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L.2024.BUPR.004\Downloads\"/>
    </mc:Choice>
  </mc:AlternateContent>
  <xr:revisionPtr revIDLastSave="0" documentId="13_ncr:1_{DC38DDD5-E38C-40CB-950D-BDC8B95D8E53}" xr6:coauthVersionLast="47" xr6:coauthVersionMax="47" xr10:uidLastSave="{00000000-0000-0000-0000-000000000000}"/>
  <bookViews>
    <workbookView xWindow="-110" yWindow="-110" windowWidth="19420" windowHeight="10300" activeTab="4" xr2:uid="{463747A0-5F26-4119-8048-D46E5589ABCD}"/>
  </bookViews>
  <sheets>
    <sheet name="REKAP " sheetId="16" r:id="rId1"/>
    <sheet name="3.BOQ STR" sheetId="11" r:id="rId2"/>
    <sheet name="4. BOQ ARS" sheetId="15" r:id="rId3"/>
    <sheet name="VOL.STR" sheetId="12" state="hidden" r:id="rId4"/>
    <sheet name="5. BOQ ME" sheetId="23" r:id="rId5"/>
    <sheet name="ANALISA ME" sheetId="24" state="hidden" r:id="rId6"/>
    <sheet name="UPAH (2)" sheetId="25" state="hidden" r:id="rId7"/>
    <sheet name="HARGA ME" sheetId="26" state="hidden" r:id="rId8"/>
    <sheet name="HSP" sheetId="8" state="hidden" r:id="rId9"/>
    <sheet name="AHS KUSEN" sheetId="14" state="hidden" r:id="rId10"/>
    <sheet name="ANL" sheetId="4" state="hidden" r:id="rId11"/>
    <sheet name="UPAH" sheetId="5" state="hidden" r:id="rId12"/>
    <sheet name="BAHAN " sheetId="9" state="hidden" r:id="rId13"/>
    <sheet name="Alat" sheetId="10" state="hidden" r:id="rId14"/>
    <sheet name="VOL STR" sheetId="22" state="hidden" r:id="rId15"/>
    <sheet name="VOL.ARS" sheetId="13" state="hidden" r:id="rId16"/>
    <sheet name="AHS FURNITURE" sheetId="20"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s>
  <definedNames>
    <definedName name="\0">#REF!</definedName>
    <definedName name="\a">#N/A</definedName>
    <definedName name="\b">#N/A</definedName>
    <definedName name="\C">#REF!</definedName>
    <definedName name="\D">#REF!</definedName>
    <definedName name="\E">#REF!</definedName>
    <definedName name="\E1">#REF!</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#REF!</definedName>
    <definedName name="\p">#N/A</definedName>
    <definedName name="\q">#REF!</definedName>
    <definedName name="\R">#REF!</definedName>
    <definedName name="\S">#REF!</definedName>
    <definedName name="\T">#REF!</definedName>
    <definedName name="\U">#REF!</definedName>
    <definedName name="\V">#REF!</definedName>
    <definedName name="\W">#REF!</definedName>
    <definedName name="\WQ">#REF!</definedName>
    <definedName name="\x">#REF!</definedName>
    <definedName name="\Y">#REF!</definedName>
    <definedName name="\Z">#REF!</definedName>
    <definedName name="_">#REF!</definedName>
    <definedName name="__">STOP2:STOP2E</definedName>
    <definedName name="___________________________MMM19">#REF!</definedName>
    <definedName name="__________________________MMM19">#REF!</definedName>
    <definedName name="_________________________DIV1">#REF!</definedName>
    <definedName name="_________________________DIV10">#REF!</definedName>
    <definedName name="_________________________DIV2">#REF!</definedName>
    <definedName name="_________________________DIV5">#REF!</definedName>
    <definedName name="_________________________DIV7">#REF!</definedName>
    <definedName name="_________________________DIV8">#REF!</definedName>
    <definedName name="_________________________DIV9">#REF!</definedName>
    <definedName name="_________________________EEE06">#REF!</definedName>
    <definedName name="_________________________EEE07">#REF!</definedName>
    <definedName name="_________________________EEE08">#REF!</definedName>
    <definedName name="_________________________EEE10">#REF!</definedName>
    <definedName name="_________________________EEE13">#REF!</definedName>
    <definedName name="_________________________EEE22">#REF!</definedName>
    <definedName name="_________________________EEE23">#REF!</definedName>
    <definedName name="_________________________LLL01">#REF!</definedName>
    <definedName name="_________________________LLL03">#REF!</definedName>
    <definedName name="_________________________MMM10">#REF!</definedName>
    <definedName name="_________________________MMM12">#REF!</definedName>
    <definedName name="_________________________MMM16">#REF!</definedName>
    <definedName name="_________________________MMM18">#REF!</definedName>
    <definedName name="_________________________MMM19">#REF!</definedName>
    <definedName name="_________________________MMM26">#REF!</definedName>
    <definedName name="_________________________MMM27">#REF!</definedName>
    <definedName name="_________________________MMM37">#REF!</definedName>
    <definedName name="_________________________MMM39">#REF!</definedName>
    <definedName name="_________________________MMM44">#REF!</definedName>
    <definedName name="_________________________MMM47">#REF!</definedName>
    <definedName name="_________________________MMM48">#REF!</definedName>
    <definedName name="________________________DIV1">#REF!</definedName>
    <definedName name="________________________DIV10">#REF!</definedName>
    <definedName name="________________________DIV2">#REF!</definedName>
    <definedName name="________________________DIV3">#REF!</definedName>
    <definedName name="________________________DIV4">#REF!</definedName>
    <definedName name="________________________DIV5">#REF!</definedName>
    <definedName name="________________________DIV6">#REF!</definedName>
    <definedName name="________________________DIV7">#REF!</definedName>
    <definedName name="________________________DIV8">#REF!</definedName>
    <definedName name="________________________DIV9">#REF!</definedName>
    <definedName name="________________________EEE02">#REF!</definedName>
    <definedName name="________________________EEE05">#REF!</definedName>
    <definedName name="________________________EEE06">#REF!</definedName>
    <definedName name="________________________EEE07">#REF!</definedName>
    <definedName name="________________________EEE08">#REF!</definedName>
    <definedName name="________________________EEE09">#REF!</definedName>
    <definedName name="________________________EEE10">#REF!</definedName>
    <definedName name="________________________EEE11">#REF!</definedName>
    <definedName name="________________________EEE13">#REF!</definedName>
    <definedName name="________________________EEE15">#REF!</definedName>
    <definedName name="________________________EEE16">#REF!</definedName>
    <definedName name="________________________EEE17">#REF!</definedName>
    <definedName name="________________________EEE19">#REF!</definedName>
    <definedName name="________________________EEE22">#REF!</definedName>
    <definedName name="________________________EEE23">#REF!</definedName>
    <definedName name="________________________EEE27">#REF!</definedName>
    <definedName name="________________________EEE29">#REF!</definedName>
    <definedName name="________________________EEE31">#REF!</definedName>
    <definedName name="________________________LLL01">#REF!</definedName>
    <definedName name="________________________LLL02">#REF!</definedName>
    <definedName name="________________________LLL03">#REF!</definedName>
    <definedName name="________________________MMM03">#REF!</definedName>
    <definedName name="________________________MMM04">#REF!</definedName>
    <definedName name="________________________MMM10">#REF!</definedName>
    <definedName name="________________________MMM11">#REF!</definedName>
    <definedName name="________________________MMM12">#REF!</definedName>
    <definedName name="________________________MMM16">#REF!</definedName>
    <definedName name="________________________MMM18">#REF!</definedName>
    <definedName name="________________________MMM19">#REF!</definedName>
    <definedName name="________________________MMM26">#REF!</definedName>
    <definedName name="________________________MMM27">#REF!</definedName>
    <definedName name="________________________MMM37">#REF!</definedName>
    <definedName name="________________________MMM39">#REF!</definedName>
    <definedName name="________________________MMM44">#REF!</definedName>
    <definedName name="________________________MMM47">#REF!</definedName>
    <definedName name="________________________MMM48">#REF!</definedName>
    <definedName name="_______________________DIV1">#REF!</definedName>
    <definedName name="_______________________DIV10">#REF!</definedName>
    <definedName name="_______________________DIV2">#REF!</definedName>
    <definedName name="_______________________DIV3">#REF!</definedName>
    <definedName name="_______________________DIV4">#REF!</definedName>
    <definedName name="_______________________DIV5">#REF!</definedName>
    <definedName name="_______________________DIV6">#REF!</definedName>
    <definedName name="_______________________DIV7">#REF!</definedName>
    <definedName name="_______________________DIV8">#REF!</definedName>
    <definedName name="_______________________DIV9">#REF!</definedName>
    <definedName name="_______________________EEE02">#REF!</definedName>
    <definedName name="_______________________EEE05">#REF!</definedName>
    <definedName name="_______________________EEE06">#REF!</definedName>
    <definedName name="_______________________EEE07">#REF!</definedName>
    <definedName name="_______________________EEE08">#REF!</definedName>
    <definedName name="_______________________EEE09">#REF!</definedName>
    <definedName name="_______________________EEE10">#REF!</definedName>
    <definedName name="_______________________EEE11">#REF!</definedName>
    <definedName name="_______________________EEE13">#REF!</definedName>
    <definedName name="_______________________EEE15">#REF!</definedName>
    <definedName name="_______________________EEE16">#REF!</definedName>
    <definedName name="_______________________EEE17">#REF!</definedName>
    <definedName name="_______________________EEE19">#REF!</definedName>
    <definedName name="_______________________EEE22">#REF!</definedName>
    <definedName name="_______________________EEE23">#REF!</definedName>
    <definedName name="_______________________EEE27">#REF!</definedName>
    <definedName name="_______________________EEE29">#REF!</definedName>
    <definedName name="_______________________EEE31">#REF!</definedName>
    <definedName name="_______________________gk2" hidden="1">#REF!</definedName>
    <definedName name="_______________________LLL01">#REF!</definedName>
    <definedName name="_______________________LLL02">#REF!</definedName>
    <definedName name="_______________________LLL03">#REF!</definedName>
    <definedName name="_______________________MMM03">#REF!</definedName>
    <definedName name="_______________________MMM04">#REF!</definedName>
    <definedName name="_______________________MMM10">#REF!</definedName>
    <definedName name="_______________________MMM11">#REF!</definedName>
    <definedName name="_______________________MMM12">#REF!</definedName>
    <definedName name="_______________________MMM16">#REF!</definedName>
    <definedName name="_______________________MMM18">#REF!</definedName>
    <definedName name="_______________________MMM19">#REF!</definedName>
    <definedName name="_______________________MMM26">#REF!</definedName>
    <definedName name="_______________________MMM27">#REF!</definedName>
    <definedName name="_______________________MMM37">#REF!</definedName>
    <definedName name="_______________________MMM39">#REF!</definedName>
    <definedName name="_______________________MMM44">#REF!</definedName>
    <definedName name="_______________________MMM47">#REF!</definedName>
    <definedName name="_______________________MMM48">#REF!</definedName>
    <definedName name="_______________________REV3" hidden="1">{#N/A,#N/A,FALSE,"REK-S-TPL";#N/A,#N/A,FALSE,"REK-TPML";#N/A,#N/A,FALSE,"RAB-TEMPEL"}</definedName>
    <definedName name="______________________DIV1">#REF!</definedName>
    <definedName name="______________________DIV10">#REF!</definedName>
    <definedName name="______________________DIV2">#REF!</definedName>
    <definedName name="______________________DIV3">#REF!</definedName>
    <definedName name="______________________DIV4">#REF!</definedName>
    <definedName name="______________________DIV5">#REF!</definedName>
    <definedName name="______________________DIV6">#REF!</definedName>
    <definedName name="______________________DIV7">#REF!</definedName>
    <definedName name="______________________DIV8">#REF!</definedName>
    <definedName name="______________________DIV9">#REF!</definedName>
    <definedName name="______________________EEE02">#REF!</definedName>
    <definedName name="______________________EEE05">#REF!</definedName>
    <definedName name="______________________EEE06">#REF!</definedName>
    <definedName name="______________________EEE07">#REF!</definedName>
    <definedName name="______________________EEE08">#REF!</definedName>
    <definedName name="______________________EEE09">#REF!</definedName>
    <definedName name="______________________EEE10">#REF!</definedName>
    <definedName name="______________________EEE11">#REF!</definedName>
    <definedName name="______________________EEE13">#REF!</definedName>
    <definedName name="______________________EEE15">#REF!</definedName>
    <definedName name="______________________EEE16">#REF!</definedName>
    <definedName name="______________________EEE17">#REF!</definedName>
    <definedName name="______________________EEE19">#REF!</definedName>
    <definedName name="______________________EEE22">#REF!</definedName>
    <definedName name="______________________EEE23">#REF!</definedName>
    <definedName name="______________________EEE27">#REF!</definedName>
    <definedName name="______________________EEE29">#REF!</definedName>
    <definedName name="______________________EEE31">#REF!</definedName>
    <definedName name="______________________gk2" hidden="1">#REF!</definedName>
    <definedName name="______________________LLL01">#REF!</definedName>
    <definedName name="______________________LLL02">#REF!</definedName>
    <definedName name="______________________LLL03">#REF!</definedName>
    <definedName name="______________________MMM03">#REF!</definedName>
    <definedName name="______________________MMM04">#REF!</definedName>
    <definedName name="______________________MMM05">#REF!</definedName>
    <definedName name="______________________MMM10">#REF!</definedName>
    <definedName name="______________________MMM11">#REF!</definedName>
    <definedName name="______________________MMM12">#REF!</definedName>
    <definedName name="______________________MMM16">#REF!</definedName>
    <definedName name="______________________MMM18">#REF!</definedName>
    <definedName name="______________________MMM19">#REF!</definedName>
    <definedName name="______________________MMM26">#REF!</definedName>
    <definedName name="______________________MMM27">#REF!</definedName>
    <definedName name="______________________MMM37">#REF!</definedName>
    <definedName name="______________________MMM39">#REF!</definedName>
    <definedName name="______________________MMM44">#REF!</definedName>
    <definedName name="______________________MMM47">#REF!</definedName>
    <definedName name="______________________MMM48">#REF!</definedName>
    <definedName name="______________________REV3" hidden="1">{#N/A,#N/A,FALSE,"REK-S-TPL";#N/A,#N/A,FALSE,"REK-TPML";#N/A,#N/A,FALSE,"RAB-TEMPEL"}</definedName>
    <definedName name="_____________________DIV1">#REF!</definedName>
    <definedName name="_____________________DIV10">#REF!</definedName>
    <definedName name="_____________________DIV2">#REF!</definedName>
    <definedName name="_____________________DIV3">#REF!</definedName>
    <definedName name="_____________________DIV4">#REF!</definedName>
    <definedName name="_____________________DIV5">#REF!</definedName>
    <definedName name="_____________________DIV6">#REF!</definedName>
    <definedName name="_____________________DIV7">#REF!</definedName>
    <definedName name="_____________________DIV8">#REF!</definedName>
    <definedName name="_____________________DIV9">#REF!</definedName>
    <definedName name="_____________________EEE02">#REF!</definedName>
    <definedName name="_____________________EEE05">#REF!</definedName>
    <definedName name="_____________________EEE06">#REF!</definedName>
    <definedName name="_____________________EEE07">#REF!</definedName>
    <definedName name="_____________________EEE08">#REF!</definedName>
    <definedName name="_____________________EEE09">#REF!</definedName>
    <definedName name="_____________________EEE10">#REF!</definedName>
    <definedName name="_____________________EEE11">#REF!</definedName>
    <definedName name="_____________________EEE13">#REF!</definedName>
    <definedName name="_____________________EEE15">#REF!</definedName>
    <definedName name="_____________________EEE16">#REF!</definedName>
    <definedName name="_____________________EEE17">#REF!</definedName>
    <definedName name="_____________________EEE19">#REF!</definedName>
    <definedName name="_____________________EEE22">#REF!</definedName>
    <definedName name="_____________________EEE23">#REF!</definedName>
    <definedName name="_____________________EEE27">#REF!</definedName>
    <definedName name="_____________________EEE29">#REF!</definedName>
    <definedName name="_____________________EEE31">#REF!</definedName>
    <definedName name="_____________________gk2" hidden="1">#REF!</definedName>
    <definedName name="_____________________LLL01">#REF!</definedName>
    <definedName name="_____________________LLL02">#REF!</definedName>
    <definedName name="_____________________LLL03">#REF!</definedName>
    <definedName name="_____________________MMM03">#REF!</definedName>
    <definedName name="_____________________MMM04">#REF!</definedName>
    <definedName name="_____________________MMM05">#REF!</definedName>
    <definedName name="_____________________MMM10">#REF!</definedName>
    <definedName name="_____________________MMM11">#REF!</definedName>
    <definedName name="_____________________MMM12">#REF!</definedName>
    <definedName name="_____________________MMM16">#REF!</definedName>
    <definedName name="_____________________MMM18">#REF!</definedName>
    <definedName name="_____________________MMM19">#REF!</definedName>
    <definedName name="_____________________MMM26">#REF!</definedName>
    <definedName name="_____________________MMM27">#REF!</definedName>
    <definedName name="_____________________MMM37">#REF!</definedName>
    <definedName name="_____________________MMM39">#REF!</definedName>
    <definedName name="_____________________MMM44">#REF!</definedName>
    <definedName name="_____________________MMM47">#REF!</definedName>
    <definedName name="_____________________MMM48">#REF!</definedName>
    <definedName name="_____________________REV3" hidden="1">{#N/A,#N/A,FALSE,"REK-S-TPL";#N/A,#N/A,FALSE,"REK-TPML";#N/A,#N/A,FALSE,"RAB-TEMPEL"}</definedName>
    <definedName name="____________________DIV1">#REF!</definedName>
    <definedName name="____________________DIV10">#REF!</definedName>
    <definedName name="____________________DIV2">#REF!</definedName>
    <definedName name="____________________DIV3">#REF!</definedName>
    <definedName name="____________________DIV4">#REF!</definedName>
    <definedName name="____________________DIV5">#REF!</definedName>
    <definedName name="____________________DIV6">#REF!</definedName>
    <definedName name="____________________DIV7">#REF!</definedName>
    <definedName name="____________________DIV8">#REF!</definedName>
    <definedName name="____________________DIV9">#REF!</definedName>
    <definedName name="____________________EEE02">#REF!</definedName>
    <definedName name="____________________EEE05">#REF!</definedName>
    <definedName name="____________________EEE06">#REF!</definedName>
    <definedName name="____________________EEE07">#REF!</definedName>
    <definedName name="____________________EEE08">#REF!</definedName>
    <definedName name="____________________EEE09">#REF!</definedName>
    <definedName name="____________________EEE10">#REF!</definedName>
    <definedName name="____________________EEE11">#REF!</definedName>
    <definedName name="____________________EEE13">#REF!</definedName>
    <definedName name="____________________EEE15">#REF!</definedName>
    <definedName name="____________________EEE16">#REF!</definedName>
    <definedName name="____________________EEE17">#REF!</definedName>
    <definedName name="____________________EEE19">#REF!</definedName>
    <definedName name="____________________EEE22">#REF!</definedName>
    <definedName name="____________________EEE23">#REF!</definedName>
    <definedName name="____________________EEE27">#REF!</definedName>
    <definedName name="____________________EEE29">#REF!</definedName>
    <definedName name="____________________EEE31">#REF!</definedName>
    <definedName name="____________________gk2" hidden="1">#REF!</definedName>
    <definedName name="____________________LLL01">#REF!</definedName>
    <definedName name="____________________LLL02">#REF!</definedName>
    <definedName name="____________________LLL03">#REF!</definedName>
    <definedName name="____________________MMM03">#REF!</definedName>
    <definedName name="____________________MMM04">#REF!</definedName>
    <definedName name="____________________MMM05">#REF!</definedName>
    <definedName name="____________________MMM10">#REF!</definedName>
    <definedName name="____________________MMM11">#REF!</definedName>
    <definedName name="____________________MMM12">#REF!</definedName>
    <definedName name="____________________MMM16">#REF!</definedName>
    <definedName name="____________________MMM18">#REF!</definedName>
    <definedName name="____________________MMM19">#REF!</definedName>
    <definedName name="____________________MMM26">#REF!</definedName>
    <definedName name="____________________MMM27">#REF!</definedName>
    <definedName name="____________________MMM37">#REF!</definedName>
    <definedName name="____________________MMM39">#REF!</definedName>
    <definedName name="____________________MMM44">#REF!</definedName>
    <definedName name="____________________MMM47">#REF!</definedName>
    <definedName name="____________________MMM48">#REF!</definedName>
    <definedName name="____________________REV3" hidden="1">{#N/A,#N/A,FALSE,"REK-S-TPL";#N/A,#N/A,FALSE,"REK-TPML";#N/A,#N/A,FALSE,"RAB-TEMPEL"}</definedName>
    <definedName name="___________________DIV1">#REF!</definedName>
    <definedName name="___________________DIV10">#REF!</definedName>
    <definedName name="___________________DIV2">#REF!</definedName>
    <definedName name="___________________DIV3">#REF!</definedName>
    <definedName name="___________________DIV4">#REF!</definedName>
    <definedName name="___________________DIV5">#REF!</definedName>
    <definedName name="___________________DIV6">#REF!</definedName>
    <definedName name="___________________DIV7">#REF!</definedName>
    <definedName name="___________________DIV8">#REF!</definedName>
    <definedName name="___________________DIV9">#REF!</definedName>
    <definedName name="___________________EEE02">#REF!</definedName>
    <definedName name="___________________EEE05">#REF!</definedName>
    <definedName name="___________________EEE06">#REF!</definedName>
    <definedName name="___________________EEE07">#REF!</definedName>
    <definedName name="___________________EEE08">#REF!</definedName>
    <definedName name="___________________EEE09">#REF!</definedName>
    <definedName name="___________________EEE10">#REF!</definedName>
    <definedName name="___________________EEE11">#REF!</definedName>
    <definedName name="___________________EEE13">#REF!</definedName>
    <definedName name="___________________EEE15">#REF!</definedName>
    <definedName name="___________________EEE16">#REF!</definedName>
    <definedName name="___________________EEE17">#REF!</definedName>
    <definedName name="___________________EEE19">#REF!</definedName>
    <definedName name="___________________EEE22">#REF!</definedName>
    <definedName name="___________________EEE23">#REF!</definedName>
    <definedName name="___________________EEE27">#REF!</definedName>
    <definedName name="___________________EEE29">#REF!</definedName>
    <definedName name="___________________EEE31">#REF!</definedName>
    <definedName name="___________________gk2" hidden="1">#REF!</definedName>
    <definedName name="___________________LLL01">#REF!</definedName>
    <definedName name="___________________LLL02">#REF!</definedName>
    <definedName name="___________________LLL03">#REF!</definedName>
    <definedName name="___________________MMM03">#REF!</definedName>
    <definedName name="___________________MMM04">#REF!</definedName>
    <definedName name="___________________MMM05">#REF!</definedName>
    <definedName name="___________________MMM10">#REF!</definedName>
    <definedName name="___________________MMM11">#REF!</definedName>
    <definedName name="___________________MMM12">#REF!</definedName>
    <definedName name="___________________MMM16">#REF!</definedName>
    <definedName name="___________________MMM18">#REF!</definedName>
    <definedName name="___________________MMM19">#REF!</definedName>
    <definedName name="___________________MMM26">#REF!</definedName>
    <definedName name="___________________MMM27">#REF!</definedName>
    <definedName name="___________________MMM37">#REF!</definedName>
    <definedName name="___________________MMM39">#REF!</definedName>
    <definedName name="___________________MMM44">#REF!</definedName>
    <definedName name="___________________MMM47">#REF!</definedName>
    <definedName name="___________________MMM48">#REF!</definedName>
    <definedName name="___________________PL1">#REF!</definedName>
    <definedName name="__________________abs100">#REF!</definedName>
    <definedName name="__________________ahu100">#REF!</definedName>
    <definedName name="__________________ahu150">#REF!</definedName>
    <definedName name="__________________ako100">#REF!</definedName>
    <definedName name="__________________ako150">#REF!</definedName>
    <definedName name="__________________ako50">#REF!</definedName>
    <definedName name="__________________ako80">#REF!</definedName>
    <definedName name="__________________aku100">#REF!</definedName>
    <definedName name="__________________aku150">#REF!</definedName>
    <definedName name="__________________bcv100">#REF!</definedName>
    <definedName name="__________________bcv125">#REF!</definedName>
    <definedName name="__________________bcv150">#REF!</definedName>
    <definedName name="__________________cas80">#REF!</definedName>
    <definedName name="__________________cvd100">#REF!</definedName>
    <definedName name="__________________cvd15">#REF!</definedName>
    <definedName name="__________________cvd150">#REF!</definedName>
    <definedName name="__________________cvd50">#REF!</definedName>
    <definedName name="__________________cvd65">#REF!</definedName>
    <definedName name="__________________daf1">#REF!</definedName>
    <definedName name="__________________DAF10">#REF!</definedName>
    <definedName name="__________________daf2">#REF!</definedName>
    <definedName name="__________________daf31">#REF!</definedName>
    <definedName name="__________________daf32">#REF!</definedName>
    <definedName name="__________________daf33">#REF!</definedName>
    <definedName name="__________________dia6">#REF!</definedName>
    <definedName name="__________________DIV1">#REF!</definedName>
    <definedName name="__________________DIV10">#REF!</definedName>
    <definedName name="__________________DIV2">#REF!</definedName>
    <definedName name="__________________DIV3">#REF!</definedName>
    <definedName name="__________________DIV4">#REF!</definedName>
    <definedName name="__________________DIV5">#REF!</definedName>
    <definedName name="__________________DIV6">#REF!</definedName>
    <definedName name="__________________DIV7">#REF!</definedName>
    <definedName name="__________________DIV8">#REF!</definedName>
    <definedName name="__________________DIV9">#REF!</definedName>
    <definedName name="__________________EEE02">#REF!</definedName>
    <definedName name="__________________EEE05">#REF!</definedName>
    <definedName name="__________________EEE06">#REF!</definedName>
    <definedName name="__________________EEE07">#REF!</definedName>
    <definedName name="__________________EEE08">#REF!</definedName>
    <definedName name="__________________EEE09">#REF!</definedName>
    <definedName name="__________________EEE10">#REF!</definedName>
    <definedName name="__________________EEE11">#REF!</definedName>
    <definedName name="__________________EEE13">#REF!</definedName>
    <definedName name="__________________EEE15">#REF!</definedName>
    <definedName name="__________________EEE16">#REF!</definedName>
    <definedName name="__________________EEE17">#REF!</definedName>
    <definedName name="__________________EEE19">#REF!</definedName>
    <definedName name="__________________EEE22">#REF!</definedName>
    <definedName name="__________________EEE23">#REF!</definedName>
    <definedName name="__________________EEE27">#REF!</definedName>
    <definedName name="__________________EEE29">#REF!</definedName>
    <definedName name="__________________EEE31">#REF!</definedName>
    <definedName name="__________________fjd100">#REF!</definedName>
    <definedName name="__________________fjd150">#REF!</definedName>
    <definedName name="__________________fjd50">#REF!</definedName>
    <definedName name="__________________fjd65">#REF!</definedName>
    <definedName name="__________________fmd150">#REF!</definedName>
    <definedName name="__________________gk2" hidden="1">#REF!</definedName>
    <definedName name="__________________grc1">#REF!</definedName>
    <definedName name="__________________gti50">#REF!</definedName>
    <definedName name="__________________gti60">#REF!</definedName>
    <definedName name="__________________gvd100">#REF!</definedName>
    <definedName name="__________________gvd15">#REF!</definedName>
    <definedName name="__________________gvd150">#REF!</definedName>
    <definedName name="__________________gvd25">#REF!</definedName>
    <definedName name="__________________gvd50">#REF!</definedName>
    <definedName name="__________________gvd65">#REF!</definedName>
    <definedName name="__________________hdw1">#REF!</definedName>
    <definedName name="__________________LLL01">#REF!</definedName>
    <definedName name="__________________LLL02">#REF!</definedName>
    <definedName name="__________________LLL03">#REF!</definedName>
    <definedName name="__________________MMM03">#REF!</definedName>
    <definedName name="__________________MMM04">#REF!</definedName>
    <definedName name="__________________MMM05">#REF!</definedName>
    <definedName name="__________________MMM10">#REF!</definedName>
    <definedName name="__________________MMM11">#REF!</definedName>
    <definedName name="__________________MMM12">#REF!</definedName>
    <definedName name="__________________MMM16">#REF!</definedName>
    <definedName name="__________________MMM18">#REF!</definedName>
    <definedName name="__________________MMM19">#REF!</definedName>
    <definedName name="__________________MMM26">#REF!</definedName>
    <definedName name="__________________MMM27">#REF!</definedName>
    <definedName name="__________________MMM37">#REF!</definedName>
    <definedName name="__________________MMM39">#REF!</definedName>
    <definedName name="__________________MMM44">#REF!</definedName>
    <definedName name="__________________MMM47">#REF!</definedName>
    <definedName name="__________________MMM48">#REF!</definedName>
    <definedName name="__________________pab100">#REF!</definedName>
    <definedName name="__________________pab125">#REF!</definedName>
    <definedName name="__________________pab15">#REF!</definedName>
    <definedName name="__________________pab150">#REF!</definedName>
    <definedName name="__________________pab2">#REF!</definedName>
    <definedName name="__________________pab20">#REF!</definedName>
    <definedName name="__________________pab25">#REF!</definedName>
    <definedName name="__________________pab32">#REF!</definedName>
    <definedName name="__________________pab4">#REF!</definedName>
    <definedName name="__________________pab40">#REF!</definedName>
    <definedName name="__________________pab50">#REF!</definedName>
    <definedName name="__________________pab6">#REF!</definedName>
    <definedName name="__________________pab65">#REF!</definedName>
    <definedName name="__________________pab80">#REF!</definedName>
    <definedName name="__________________pah150">#REF!</definedName>
    <definedName name="__________________pak100">#REF!</definedName>
    <definedName name="__________________pak150">#REF!</definedName>
    <definedName name="__________________pak50">#REF!</definedName>
    <definedName name="__________________pak80">#REF!</definedName>
    <definedName name="__________________pbs100">#REF!</definedName>
    <definedName name="__________________pbs15">#REF!</definedName>
    <definedName name="__________________pbs150">#REF!</definedName>
    <definedName name="__________________pbs40">#REF!</definedName>
    <definedName name="__________________pbs50">#REF!</definedName>
    <definedName name="__________________pbs65">#REF!</definedName>
    <definedName name="__________________pbs80">#REF!</definedName>
    <definedName name="__________________pc50">#REF!</definedName>
    <definedName name="__________________pc80">#REF!</definedName>
    <definedName name="__________________pcf80">#REF!</definedName>
    <definedName name="__________________ph100">#REF!</definedName>
    <definedName name="__________________ph150">#REF!</definedName>
    <definedName name="__________________phf100">#REF!</definedName>
    <definedName name="__________________phf150">#REF!</definedName>
    <definedName name="__________________PL1">#REF!</definedName>
    <definedName name="__________________PL2">#REF!</definedName>
    <definedName name="__________________PL3">#REF!</definedName>
    <definedName name="__________________pv100">#REF!</definedName>
    <definedName name="__________________pv40">#REF!</definedName>
    <definedName name="__________________pv50">#REF!</definedName>
    <definedName name="__________________pv80">#REF!</definedName>
    <definedName name="__________________pvf100">#REF!</definedName>
    <definedName name="__________________pvf80">#REF!</definedName>
    <definedName name="__________________REV3" hidden="1">{#N/A,#N/A,FALSE,"REK-S-TPL";#N/A,#N/A,FALSE,"REK-TPML";#N/A,#N/A,FALSE,"RAB-TEMPEL"}</definedName>
    <definedName name="__________________rk100">#REF!</definedName>
    <definedName name="__________________rk200">#REF!</definedName>
    <definedName name="__________________rk300">#REF!</definedName>
    <definedName name="__________________rk600">#REF!</definedName>
    <definedName name="__________________rkl1000">#REF!</definedName>
    <definedName name="__________________rkl1200">#REF!</definedName>
    <definedName name="__________________rkl200">#REF!</definedName>
    <definedName name="__________________rkl300">#REF!</definedName>
    <definedName name="__________________rkl400">#REF!</definedName>
    <definedName name="__________________rkl500">#REF!</definedName>
    <definedName name="__________________rkl600">#REF!</definedName>
    <definedName name="__________________rkl700">#REF!</definedName>
    <definedName name="__________________rkl800">#REF!</definedName>
    <definedName name="__________________sfv150">#REF!</definedName>
    <definedName name="__________________std100">#REF!</definedName>
    <definedName name="__________________std150">#REF!</definedName>
    <definedName name="__________________std50">#REF!</definedName>
    <definedName name="__________________std65">#REF!</definedName>
    <definedName name="__________________tlc20">#REF!</definedName>
    <definedName name="__________________tsv25">#REF!</definedName>
    <definedName name="__________________vnt100">#REF!</definedName>
    <definedName name="__________________vnt40">#REF!</definedName>
    <definedName name="__________________vnt50">#REF!</definedName>
    <definedName name="__________________vnt80">#REF!</definedName>
    <definedName name="_________________abs100">#REF!</definedName>
    <definedName name="_________________ahu100">#REF!</definedName>
    <definedName name="_________________ahu150">#REF!</definedName>
    <definedName name="_________________ako100">#REF!</definedName>
    <definedName name="_________________ako150">#REF!</definedName>
    <definedName name="_________________ako50">#REF!</definedName>
    <definedName name="_________________ako80">#REF!</definedName>
    <definedName name="_________________aku100">#REF!</definedName>
    <definedName name="_________________aku150">#REF!</definedName>
    <definedName name="_________________ATB1">#REF!</definedName>
    <definedName name="_________________ATB2">#REF!</definedName>
    <definedName name="_________________ATB3">#REF!</definedName>
    <definedName name="_________________ATB4">#REF!</definedName>
    <definedName name="_________________bcv100">#REF!</definedName>
    <definedName name="_________________bcv125">#REF!</definedName>
    <definedName name="_________________bcv150">#REF!</definedName>
    <definedName name="_________________cas80">#REF!</definedName>
    <definedName name="_________________cvd100">#REF!</definedName>
    <definedName name="_________________cvd15">#REF!</definedName>
    <definedName name="_________________cvd150">#REF!</definedName>
    <definedName name="_________________cvd50">#REF!</definedName>
    <definedName name="_________________cvd65">#REF!</definedName>
    <definedName name="_________________daf1">#REF!</definedName>
    <definedName name="_________________DAF10">#REF!</definedName>
    <definedName name="_________________daf2">#REF!</definedName>
    <definedName name="_________________daf31">#REF!</definedName>
    <definedName name="_________________daf32">#REF!</definedName>
    <definedName name="_________________daf33">#REF!</definedName>
    <definedName name="_________________dia6">#REF!</definedName>
    <definedName name="_________________DIV1">#REF!</definedName>
    <definedName name="_________________DIV10">#REF!</definedName>
    <definedName name="_________________DIV2">#REF!</definedName>
    <definedName name="_________________DIV3">#REF!</definedName>
    <definedName name="_________________DIV4">#REF!</definedName>
    <definedName name="_________________DIV5">#REF!</definedName>
    <definedName name="_________________DIV6">#REF!</definedName>
    <definedName name="_________________DIV7">#REF!</definedName>
    <definedName name="_________________DIV8">#REF!</definedName>
    <definedName name="_________________DIV9">#REF!</definedName>
    <definedName name="_________________EEE02">#REF!</definedName>
    <definedName name="_________________EEE05">#REF!</definedName>
    <definedName name="_________________EEE06">#REF!</definedName>
    <definedName name="_________________EEE07">#REF!</definedName>
    <definedName name="_________________EEE08">#REF!</definedName>
    <definedName name="_________________EEE09">#REF!</definedName>
    <definedName name="_________________EEE10">#REF!</definedName>
    <definedName name="_________________EEE11">#REF!</definedName>
    <definedName name="_________________EEE13">#REF!</definedName>
    <definedName name="_________________EEE15">#REF!</definedName>
    <definedName name="_________________EEE16">#REF!</definedName>
    <definedName name="_________________EEE17">#REF!</definedName>
    <definedName name="_________________EEE19">#REF!</definedName>
    <definedName name="_________________EEE22">#REF!</definedName>
    <definedName name="_________________EEE23">#REF!</definedName>
    <definedName name="_________________EEE27">#REF!</definedName>
    <definedName name="_________________EEE29">#REF!</definedName>
    <definedName name="_________________EEE31">#REF!</definedName>
    <definedName name="_________________fjd100">#REF!</definedName>
    <definedName name="_________________fjd150">#REF!</definedName>
    <definedName name="_________________fjd50">#REF!</definedName>
    <definedName name="_________________fjd65">#REF!</definedName>
    <definedName name="_________________fmd150">#REF!</definedName>
    <definedName name="_________________gk2" hidden="1">#REF!</definedName>
    <definedName name="_________________grc1">#REF!</definedName>
    <definedName name="_________________gti50">#REF!</definedName>
    <definedName name="_________________gti60">#REF!</definedName>
    <definedName name="_________________gvd100">#REF!</definedName>
    <definedName name="_________________gvd15">#REF!</definedName>
    <definedName name="_________________gvd150">#REF!</definedName>
    <definedName name="_________________gvd25">#REF!</definedName>
    <definedName name="_________________gvd50">#REF!</definedName>
    <definedName name="_________________gvd65">#REF!</definedName>
    <definedName name="_________________hdw1">#REF!</definedName>
    <definedName name="_________________IPR21">#REF!</definedName>
    <definedName name="_________________LLL01">#REF!</definedName>
    <definedName name="_________________LLL02">#REF!</definedName>
    <definedName name="_________________LLL03">#REF!</definedName>
    <definedName name="_________________MMM03">#REF!</definedName>
    <definedName name="_________________MMM04">#REF!</definedName>
    <definedName name="_________________MMM05">#REF!</definedName>
    <definedName name="_________________MMM10">#REF!</definedName>
    <definedName name="_________________MMM11">#REF!</definedName>
    <definedName name="_________________MMM18">#REF!</definedName>
    <definedName name="_________________MMM19">#REF!</definedName>
    <definedName name="_________________MMM37">#REF!</definedName>
    <definedName name="_________________MMM39">#REF!</definedName>
    <definedName name="_________________MMM44">#REF!</definedName>
    <definedName name="_________________pab100">#REF!</definedName>
    <definedName name="_________________pab125">#REF!</definedName>
    <definedName name="_________________pab15">#REF!</definedName>
    <definedName name="_________________pab150">#REF!</definedName>
    <definedName name="_________________pab2">#REF!</definedName>
    <definedName name="_________________pab20">#REF!</definedName>
    <definedName name="_________________pab25">#REF!</definedName>
    <definedName name="_________________pab32">#REF!</definedName>
    <definedName name="_________________pab4">#REF!</definedName>
    <definedName name="_________________pab40">#REF!</definedName>
    <definedName name="_________________pab50">#REF!</definedName>
    <definedName name="_________________pab6">#REF!</definedName>
    <definedName name="_________________pab65">#REF!</definedName>
    <definedName name="_________________pab80">#REF!</definedName>
    <definedName name="_________________pah150">#REF!</definedName>
    <definedName name="_________________pak100">#REF!</definedName>
    <definedName name="_________________pak150">#REF!</definedName>
    <definedName name="_________________pak50">#REF!</definedName>
    <definedName name="_________________pak80">#REF!</definedName>
    <definedName name="_________________pbs100">#REF!</definedName>
    <definedName name="_________________pbs15">#REF!</definedName>
    <definedName name="_________________pbs150">#REF!</definedName>
    <definedName name="_________________pbs40">#REF!</definedName>
    <definedName name="_________________pbs50">#REF!</definedName>
    <definedName name="_________________pbs65">#REF!</definedName>
    <definedName name="_________________pbs80">#REF!</definedName>
    <definedName name="_________________pc50">#REF!</definedName>
    <definedName name="_________________pc80">#REF!</definedName>
    <definedName name="_________________pcf80">#REF!</definedName>
    <definedName name="_________________ph100">#REF!</definedName>
    <definedName name="_________________ph150">#REF!</definedName>
    <definedName name="_________________phf100">#REF!</definedName>
    <definedName name="_________________phf150">#REF!</definedName>
    <definedName name="_________________PL1">#REF!</definedName>
    <definedName name="_________________PL2">#REF!</definedName>
    <definedName name="_________________PL3">#REF!</definedName>
    <definedName name="_________________pv100">#REF!</definedName>
    <definedName name="_________________pv40">#REF!</definedName>
    <definedName name="_________________pv50">#REF!</definedName>
    <definedName name="_________________pv80">#REF!</definedName>
    <definedName name="_________________pvf100">#REF!</definedName>
    <definedName name="_________________pvf80">#REF!</definedName>
    <definedName name="_________________REV3" hidden="1">{#N/A,#N/A,FALSE,"REK-S-TPL";#N/A,#N/A,FALSE,"REK-TPML";#N/A,#N/A,FALSE,"RAB-TEMPEL"}</definedName>
    <definedName name="_________________rk100">#REF!</definedName>
    <definedName name="_________________rk200">#REF!</definedName>
    <definedName name="_________________rk300">#REF!</definedName>
    <definedName name="_________________rk600">#REF!</definedName>
    <definedName name="_________________rkl1000">#REF!</definedName>
    <definedName name="_________________rkl1200">#REF!</definedName>
    <definedName name="_________________rkl200">#REF!</definedName>
    <definedName name="_________________rkl300">#REF!</definedName>
    <definedName name="_________________rkl400">#REF!</definedName>
    <definedName name="_________________rkl500">#REF!</definedName>
    <definedName name="_________________rkl600">#REF!</definedName>
    <definedName name="_________________rkl700">#REF!</definedName>
    <definedName name="_________________rkl800">#REF!</definedName>
    <definedName name="_________________sfv150">#REF!</definedName>
    <definedName name="_________________std100">#REF!</definedName>
    <definedName name="_________________std150">#REF!</definedName>
    <definedName name="_________________std50">#REF!</definedName>
    <definedName name="_________________std65">#REF!</definedName>
    <definedName name="_________________tl20">#REF!</definedName>
    <definedName name="_________________tl40">#REF!</definedName>
    <definedName name="_________________tlc20">#REF!</definedName>
    <definedName name="_________________tsv25">#REF!</definedName>
    <definedName name="_________________vnt100">#REF!</definedName>
    <definedName name="_________________vnt40">#REF!</definedName>
    <definedName name="_________________vnt50">#REF!</definedName>
    <definedName name="_________________vnt80">#REF!</definedName>
    <definedName name="________________abs100">#REF!</definedName>
    <definedName name="________________ahu100">#REF!</definedName>
    <definedName name="________________ahu150">#REF!</definedName>
    <definedName name="________________ako100">#REF!</definedName>
    <definedName name="________________ako150">#REF!</definedName>
    <definedName name="________________ako50">#REF!</definedName>
    <definedName name="________________ako80">#REF!</definedName>
    <definedName name="________________aku100">#REF!</definedName>
    <definedName name="________________aku150">#REF!</definedName>
    <definedName name="________________ATB1">#REF!</definedName>
    <definedName name="________________ATB2">#REF!</definedName>
    <definedName name="________________ATB3">#REF!</definedName>
    <definedName name="________________ATB4">#REF!</definedName>
    <definedName name="________________bcv100">#REF!</definedName>
    <definedName name="________________bcv125">#REF!</definedName>
    <definedName name="________________bcv150">#REF!</definedName>
    <definedName name="________________cas80">#REF!</definedName>
    <definedName name="________________cvd100">#REF!</definedName>
    <definedName name="________________cvd15">#REF!</definedName>
    <definedName name="________________cvd150">#REF!</definedName>
    <definedName name="________________cvd50">#REF!</definedName>
    <definedName name="________________cvd65">#REF!</definedName>
    <definedName name="________________daf1">#REF!</definedName>
    <definedName name="________________DAF10">#REF!</definedName>
    <definedName name="________________daf2">#REF!</definedName>
    <definedName name="________________daf31">#REF!</definedName>
    <definedName name="________________daf32">#REF!</definedName>
    <definedName name="________________daf33">#REF!</definedName>
    <definedName name="________________dia6">#REF!</definedName>
    <definedName name="________________DIV1">#REF!</definedName>
    <definedName name="________________DIV10">#REF!</definedName>
    <definedName name="________________DIV2">#REF!</definedName>
    <definedName name="________________DIV3">#REF!</definedName>
    <definedName name="________________DIV4">#REF!</definedName>
    <definedName name="________________DIV5">#REF!</definedName>
    <definedName name="________________DIV6">#REF!</definedName>
    <definedName name="________________DIV7">#REF!</definedName>
    <definedName name="________________DIV8">#REF!</definedName>
    <definedName name="________________DIV9">#REF!</definedName>
    <definedName name="________________EEE02">#REF!</definedName>
    <definedName name="________________EEE05">#REF!</definedName>
    <definedName name="________________EEE06">#REF!</definedName>
    <definedName name="________________EEE07">#REF!</definedName>
    <definedName name="________________EEE08">#REF!</definedName>
    <definedName name="________________EEE09">#REF!</definedName>
    <definedName name="________________EEE10">#REF!</definedName>
    <definedName name="________________EEE11">#REF!</definedName>
    <definedName name="________________EEE13">#REF!</definedName>
    <definedName name="________________EEE15">#REF!</definedName>
    <definedName name="________________EEE16">#REF!</definedName>
    <definedName name="________________EEE17">#REF!</definedName>
    <definedName name="________________EEE19">#REF!</definedName>
    <definedName name="________________EEE22">#REF!</definedName>
    <definedName name="________________EEE23">#REF!</definedName>
    <definedName name="________________EEE27">#REF!</definedName>
    <definedName name="________________EEE29">#REF!</definedName>
    <definedName name="________________EEE31">#REF!</definedName>
    <definedName name="________________fjd100">#REF!</definedName>
    <definedName name="________________fjd150">#REF!</definedName>
    <definedName name="________________fjd50">#REF!</definedName>
    <definedName name="________________fjd65">#REF!</definedName>
    <definedName name="________________fmd150">#REF!</definedName>
    <definedName name="________________gk2" hidden="1">#REF!</definedName>
    <definedName name="________________grc1">#REF!</definedName>
    <definedName name="________________gti50">#REF!</definedName>
    <definedName name="________________gti60">#REF!</definedName>
    <definedName name="________________gvd100">#REF!</definedName>
    <definedName name="________________gvd15">#REF!</definedName>
    <definedName name="________________gvd150">#REF!</definedName>
    <definedName name="________________gvd25">#REF!</definedName>
    <definedName name="________________gvd50">#REF!</definedName>
    <definedName name="________________gvd65">#REF!</definedName>
    <definedName name="________________hdw1">#REF!</definedName>
    <definedName name="________________IPR1">#REF!</definedName>
    <definedName name="________________IPR21">#REF!</definedName>
    <definedName name="________________LLL01">#REF!</definedName>
    <definedName name="________________LLL02">#REF!</definedName>
    <definedName name="________________LLL03">#REF!</definedName>
    <definedName name="________________MMM03">#REF!</definedName>
    <definedName name="________________MMM04">#REF!</definedName>
    <definedName name="________________MMM05">#REF!</definedName>
    <definedName name="________________MMM10">#REF!</definedName>
    <definedName name="________________MMM12">#REF!</definedName>
    <definedName name="________________MMM16">#REF!</definedName>
    <definedName name="________________MMM18">#REF!</definedName>
    <definedName name="________________MMM19">#REF!</definedName>
    <definedName name="________________MMM26">#REF!</definedName>
    <definedName name="________________MMM27">#REF!</definedName>
    <definedName name="________________MMM37">#REF!</definedName>
    <definedName name="________________MMM39">#REF!</definedName>
    <definedName name="________________MMM44">#REF!</definedName>
    <definedName name="________________MMM47">#REF!</definedName>
    <definedName name="________________MMM48">#REF!</definedName>
    <definedName name="________________pab100">#REF!</definedName>
    <definedName name="________________pab125">#REF!</definedName>
    <definedName name="________________pab15">#REF!</definedName>
    <definedName name="________________pab150">#REF!</definedName>
    <definedName name="________________pab2">#REF!</definedName>
    <definedName name="________________pab20">#REF!</definedName>
    <definedName name="________________pab25">#REF!</definedName>
    <definedName name="________________pab32">#REF!</definedName>
    <definedName name="________________pab4">#REF!</definedName>
    <definedName name="________________pab40">#REF!</definedName>
    <definedName name="________________pab50">#REF!</definedName>
    <definedName name="________________pab6">#REF!</definedName>
    <definedName name="________________pab65">#REF!</definedName>
    <definedName name="________________pab80">#REF!</definedName>
    <definedName name="________________pah150">#REF!</definedName>
    <definedName name="________________pak100">#REF!</definedName>
    <definedName name="________________pak150">#REF!</definedName>
    <definedName name="________________pak50">#REF!</definedName>
    <definedName name="________________pak80">#REF!</definedName>
    <definedName name="________________pbs100">#REF!</definedName>
    <definedName name="________________pbs15">#REF!</definedName>
    <definedName name="________________pbs150">#REF!</definedName>
    <definedName name="________________pbs40">#REF!</definedName>
    <definedName name="________________pbs50">#REF!</definedName>
    <definedName name="________________pbs65">#REF!</definedName>
    <definedName name="________________pbs80">#REF!</definedName>
    <definedName name="________________pc50">#REF!</definedName>
    <definedName name="________________pc80">#REF!</definedName>
    <definedName name="________________pcf80">#REF!</definedName>
    <definedName name="________________PCI25">#REF!</definedName>
    <definedName name="________________ph100">#REF!</definedName>
    <definedName name="________________ph150">#REF!</definedName>
    <definedName name="________________phf100">#REF!</definedName>
    <definedName name="________________phf150">#REF!</definedName>
    <definedName name="________________PL1">#REF!</definedName>
    <definedName name="________________PL2">#REF!</definedName>
    <definedName name="________________PL3">#REF!</definedName>
    <definedName name="________________pv100">#REF!</definedName>
    <definedName name="________________pv40">#REF!</definedName>
    <definedName name="________________pv50">#REF!</definedName>
    <definedName name="________________pv80">#REF!</definedName>
    <definedName name="________________pvf100">#REF!</definedName>
    <definedName name="________________pvf80">#REF!</definedName>
    <definedName name="________________REV3" hidden="1">{#N/A,#N/A,FALSE,"REK-S-TPL";#N/A,#N/A,FALSE,"REK-TPML";#N/A,#N/A,FALSE,"RAB-TEMPEL"}</definedName>
    <definedName name="________________rk100">#REF!</definedName>
    <definedName name="________________rk200">#REF!</definedName>
    <definedName name="________________rk300">#REF!</definedName>
    <definedName name="________________rk600">#REF!</definedName>
    <definedName name="________________rkl1000">#REF!</definedName>
    <definedName name="________________rkl1200">#REF!</definedName>
    <definedName name="________________rkl200">#REF!</definedName>
    <definedName name="________________rkl300">#REF!</definedName>
    <definedName name="________________rkl400">#REF!</definedName>
    <definedName name="________________rkl500">#REF!</definedName>
    <definedName name="________________rkl600">#REF!</definedName>
    <definedName name="________________rkl700">#REF!</definedName>
    <definedName name="________________rkl800">#REF!</definedName>
    <definedName name="________________sfv150">#REF!</definedName>
    <definedName name="________________std100">#REF!</definedName>
    <definedName name="________________std150">#REF!</definedName>
    <definedName name="________________std50">#REF!</definedName>
    <definedName name="________________std65">#REF!</definedName>
    <definedName name="________________tl20">#REF!</definedName>
    <definedName name="________________tl40">#REF!</definedName>
    <definedName name="________________tlc20">#REF!</definedName>
    <definedName name="________________TSR3">#REF!</definedName>
    <definedName name="________________tsv25">#REF!</definedName>
    <definedName name="________________vnt100">#REF!</definedName>
    <definedName name="________________vnt40">#REF!</definedName>
    <definedName name="________________vnt50">#REF!</definedName>
    <definedName name="________________vnt80">#REF!</definedName>
    <definedName name="_______________abs100">#REF!</definedName>
    <definedName name="_______________ahu100">#REF!</definedName>
    <definedName name="_______________ahu150">#REF!</definedName>
    <definedName name="_______________ako100">#REF!</definedName>
    <definedName name="_______________ako150">#REF!</definedName>
    <definedName name="_______________ako50">#REF!</definedName>
    <definedName name="_______________ako80">#REF!</definedName>
    <definedName name="_______________aku100">#REF!</definedName>
    <definedName name="_______________aku150">#REF!</definedName>
    <definedName name="_______________ATB1">#REF!</definedName>
    <definedName name="_______________ATB2">#REF!</definedName>
    <definedName name="_______________ATB3">#REF!</definedName>
    <definedName name="_______________ATB4">#REF!</definedName>
    <definedName name="_______________bcv100">#REF!</definedName>
    <definedName name="_______________bcv125">#REF!</definedName>
    <definedName name="_______________bcv150">#REF!</definedName>
    <definedName name="_______________cas80">#REF!</definedName>
    <definedName name="_______________cvd100">#REF!</definedName>
    <definedName name="_______________cvd15">#REF!</definedName>
    <definedName name="_______________cvd150">#REF!</definedName>
    <definedName name="_______________cvd50">#REF!</definedName>
    <definedName name="_______________cvd65">#REF!</definedName>
    <definedName name="_______________daf1">#REF!</definedName>
    <definedName name="_______________DAF10">#REF!</definedName>
    <definedName name="_______________daf2">#REF!</definedName>
    <definedName name="_______________daf31">#REF!</definedName>
    <definedName name="_______________daf32">#REF!</definedName>
    <definedName name="_______________daf33">#REF!</definedName>
    <definedName name="_______________dia6">#REF!</definedName>
    <definedName name="_______________DIV1">#REF!</definedName>
    <definedName name="_______________DIV10">#REF!</definedName>
    <definedName name="_______________DIV2">#REF!</definedName>
    <definedName name="_______________DIV3">#REF!</definedName>
    <definedName name="_______________DIV4">#REF!</definedName>
    <definedName name="_______________DIV5">#REF!</definedName>
    <definedName name="_______________DIV6">#REF!</definedName>
    <definedName name="_______________DIV7">#REF!</definedName>
    <definedName name="_______________DIV8">#REF!</definedName>
    <definedName name="_______________DIV9">#REF!</definedName>
    <definedName name="_______________EEE02">#REF!</definedName>
    <definedName name="_______________EEE05">#REF!</definedName>
    <definedName name="_______________EEE06">#REF!</definedName>
    <definedName name="_______________EEE07">#REF!</definedName>
    <definedName name="_______________EEE08">#REF!</definedName>
    <definedName name="_______________EEE09">#REF!</definedName>
    <definedName name="_______________EEE10">#REF!</definedName>
    <definedName name="_______________EEE11">#REF!</definedName>
    <definedName name="_______________EEE13">#REF!</definedName>
    <definedName name="_______________EEE15">#REF!</definedName>
    <definedName name="_______________EEE16">#REF!</definedName>
    <definedName name="_______________EEE17">#REF!</definedName>
    <definedName name="_______________EEE19">#REF!</definedName>
    <definedName name="_______________EEE22">#REF!</definedName>
    <definedName name="_______________EEE23">#REF!</definedName>
    <definedName name="_______________EEE27">#REF!</definedName>
    <definedName name="_______________EEE29">#REF!</definedName>
    <definedName name="_______________EEE31">#REF!</definedName>
    <definedName name="_______________fjd100">#REF!</definedName>
    <definedName name="_______________fjd150">#REF!</definedName>
    <definedName name="_______________fjd50">#REF!</definedName>
    <definedName name="_______________fjd65">#REF!</definedName>
    <definedName name="_______________fmd150">#REF!</definedName>
    <definedName name="_______________gk2" hidden="1">#REF!</definedName>
    <definedName name="_______________grc1">#REF!</definedName>
    <definedName name="_______________gti50">#REF!</definedName>
    <definedName name="_______________gti60">#REF!</definedName>
    <definedName name="_______________gvd100">#REF!</definedName>
    <definedName name="_______________gvd15">#REF!</definedName>
    <definedName name="_______________gvd150">#REF!</definedName>
    <definedName name="_______________gvd25">#REF!</definedName>
    <definedName name="_______________gvd50">#REF!</definedName>
    <definedName name="_______________gvd65">#REF!</definedName>
    <definedName name="_______________hdw1">#REF!</definedName>
    <definedName name="_______________IPR1">#REF!</definedName>
    <definedName name="_______________IPR21">#REF!</definedName>
    <definedName name="_______________LLL01">#REF!</definedName>
    <definedName name="_______________LLL02">#REF!</definedName>
    <definedName name="_______________LLL03">#REF!</definedName>
    <definedName name="_______________MDE01">#REF!</definedName>
    <definedName name="_______________MDE02">#REF!</definedName>
    <definedName name="_______________MDE03">#REF!</definedName>
    <definedName name="_______________MDE04">#REF!</definedName>
    <definedName name="_______________MDE05">#REF!</definedName>
    <definedName name="_______________MDE06">#REF!</definedName>
    <definedName name="_______________MDE07">#REF!</definedName>
    <definedName name="_______________MDE08">#REF!</definedName>
    <definedName name="_______________MDE09">#REF!</definedName>
    <definedName name="_______________MDE10">#REF!</definedName>
    <definedName name="_______________MDE11">#REF!</definedName>
    <definedName name="_______________MDE12">#REF!</definedName>
    <definedName name="_______________MDE13">#REF!</definedName>
    <definedName name="_______________MDE14">#REF!</definedName>
    <definedName name="_______________MDE18">#REF!</definedName>
    <definedName name="_______________MDE19">#REF!</definedName>
    <definedName name="_______________MDE20">#REF!</definedName>
    <definedName name="_______________MDE30">#REF!</definedName>
    <definedName name="_______________MDE31">#REF!</definedName>
    <definedName name="_______________MDE32">#REF!</definedName>
    <definedName name="_______________ME02">#REF!</definedName>
    <definedName name="_______________ME03">#REF!</definedName>
    <definedName name="_______________ME04">#REF!</definedName>
    <definedName name="_______________ME05">#REF!</definedName>
    <definedName name="_______________ME06">#REF!</definedName>
    <definedName name="_______________ME07">#REF!</definedName>
    <definedName name="_______________ME08">#REF!</definedName>
    <definedName name="_______________ME09">#REF!</definedName>
    <definedName name="_______________ME10">#REF!</definedName>
    <definedName name="_______________ME11">#REF!</definedName>
    <definedName name="_______________ME12">#REF!</definedName>
    <definedName name="_______________ME13">#REF!</definedName>
    <definedName name="_______________ME14">#REF!</definedName>
    <definedName name="_______________ME18">#REF!</definedName>
    <definedName name="_______________ME19">#REF!</definedName>
    <definedName name="_______________ME20">#REF!</definedName>
    <definedName name="_______________ME30">#REF!</definedName>
    <definedName name="_______________ME31">#REF!</definedName>
    <definedName name="_______________ME32">#REF!</definedName>
    <definedName name="_______________MMM03">#REF!</definedName>
    <definedName name="_______________MMM04">#REF!</definedName>
    <definedName name="_______________MMM10">#REF!</definedName>
    <definedName name="_______________MMM11">#REF!</definedName>
    <definedName name="_______________MMM12">#REF!</definedName>
    <definedName name="_______________MMM16">#REF!</definedName>
    <definedName name="_______________MMM18">#REF!</definedName>
    <definedName name="_______________MMM19">#REF!</definedName>
    <definedName name="_______________MMM26">#REF!</definedName>
    <definedName name="_______________MMM27">#REF!</definedName>
    <definedName name="_______________MMM37">#REF!</definedName>
    <definedName name="_______________MMM39">#REF!</definedName>
    <definedName name="_______________MMM44">#REF!</definedName>
    <definedName name="_______________MMM47">#REF!</definedName>
    <definedName name="_______________MMM48">#REF!</definedName>
    <definedName name="_______________pab100">#REF!</definedName>
    <definedName name="_______________pab125">#REF!</definedName>
    <definedName name="_______________pab15">#REF!</definedName>
    <definedName name="_______________pab150">#REF!</definedName>
    <definedName name="_______________pab2">#REF!</definedName>
    <definedName name="_______________pab20">#REF!</definedName>
    <definedName name="_______________pab25">#REF!</definedName>
    <definedName name="_______________pab32">#REF!</definedName>
    <definedName name="_______________pab4">#REF!</definedName>
    <definedName name="_______________pab40">#REF!</definedName>
    <definedName name="_______________pab50">#REF!</definedName>
    <definedName name="_______________pab6">#REF!</definedName>
    <definedName name="_______________pab65">#REF!</definedName>
    <definedName name="_______________pab80">#REF!</definedName>
    <definedName name="_______________pah150">#REF!</definedName>
    <definedName name="_______________pak100">#REF!</definedName>
    <definedName name="_______________pak150">#REF!</definedName>
    <definedName name="_______________pak50">#REF!</definedName>
    <definedName name="_______________pak80">#REF!</definedName>
    <definedName name="_______________pbs100">#REF!</definedName>
    <definedName name="_______________pbs15">#REF!</definedName>
    <definedName name="_______________pbs150">#REF!</definedName>
    <definedName name="_______________pbs40">#REF!</definedName>
    <definedName name="_______________pbs50">#REF!</definedName>
    <definedName name="_______________pbs65">#REF!</definedName>
    <definedName name="_______________pbs80">#REF!</definedName>
    <definedName name="_______________pc50">#REF!</definedName>
    <definedName name="_______________pc80">#REF!</definedName>
    <definedName name="_______________pcf80">#REF!</definedName>
    <definedName name="_______________PCI25">#REF!</definedName>
    <definedName name="_______________ph100">#REF!</definedName>
    <definedName name="_______________ph150">#REF!</definedName>
    <definedName name="_______________phf100">#REF!</definedName>
    <definedName name="_______________phf150">#REF!</definedName>
    <definedName name="_______________PL1">#REF!</definedName>
    <definedName name="_______________PL2">#REF!</definedName>
    <definedName name="_______________PL3">#REF!</definedName>
    <definedName name="_______________pv100">#REF!</definedName>
    <definedName name="_______________pv40">#REF!</definedName>
    <definedName name="_______________pv50">#REF!</definedName>
    <definedName name="_______________pv80">#REF!</definedName>
    <definedName name="_______________pvf100">#REF!</definedName>
    <definedName name="_______________pvf80">#REF!</definedName>
    <definedName name="_______________REV3" hidden="1">{#N/A,#N/A,FALSE,"REK-S-TPL";#N/A,#N/A,FALSE,"REK-TPML";#N/A,#N/A,FALSE,"RAB-TEMPEL"}</definedName>
    <definedName name="_______________rk100">#REF!</definedName>
    <definedName name="_______________rk200">#REF!</definedName>
    <definedName name="_______________rk300">#REF!</definedName>
    <definedName name="_______________rk600">#REF!</definedName>
    <definedName name="_______________rkl1000">#REF!</definedName>
    <definedName name="_______________rkl1200">#REF!</definedName>
    <definedName name="_______________rkl200">#REF!</definedName>
    <definedName name="_______________rkl300">#REF!</definedName>
    <definedName name="_______________rkl400">#REF!</definedName>
    <definedName name="_______________rkl500">#REF!</definedName>
    <definedName name="_______________rkl600">#REF!</definedName>
    <definedName name="_______________rkl700">#REF!</definedName>
    <definedName name="_______________rkl800">#REF!</definedName>
    <definedName name="_______________sfv150">#REF!</definedName>
    <definedName name="_______________std100">#REF!</definedName>
    <definedName name="_______________std150">#REF!</definedName>
    <definedName name="_______________std50">#REF!</definedName>
    <definedName name="_______________std65">#REF!</definedName>
    <definedName name="_______________tl20">#REF!</definedName>
    <definedName name="_______________tl40">#REF!</definedName>
    <definedName name="_______________tlc20">#REF!</definedName>
    <definedName name="_______________TSR3">#REF!</definedName>
    <definedName name="_______________tsv25">#REF!</definedName>
    <definedName name="_______________vnt100">#REF!</definedName>
    <definedName name="_______________vnt40">#REF!</definedName>
    <definedName name="_______________vnt50">#REF!</definedName>
    <definedName name="_______________vnt80">#REF!</definedName>
    <definedName name="______________abs100">#REF!</definedName>
    <definedName name="______________ahu100">#REF!</definedName>
    <definedName name="______________ahu150">#REF!</definedName>
    <definedName name="______________ako100">#REF!</definedName>
    <definedName name="______________ako150">#REF!</definedName>
    <definedName name="______________ako50">#REF!</definedName>
    <definedName name="______________ako80">#REF!</definedName>
    <definedName name="______________aku100">#REF!</definedName>
    <definedName name="______________aku150">#REF!</definedName>
    <definedName name="______________ATB1">#REF!</definedName>
    <definedName name="______________ATB2">#REF!</definedName>
    <definedName name="______________ATB3">#REF!</definedName>
    <definedName name="______________ATB4">#REF!</definedName>
    <definedName name="______________bcv100">#REF!</definedName>
    <definedName name="______________bcv125">#REF!</definedName>
    <definedName name="______________bcv150">#REF!</definedName>
    <definedName name="______________cas80">#REF!</definedName>
    <definedName name="______________cvd100">#REF!</definedName>
    <definedName name="______________cvd15">#REF!</definedName>
    <definedName name="______________cvd150">#REF!</definedName>
    <definedName name="______________cvd50">#REF!</definedName>
    <definedName name="______________cvd65">#REF!</definedName>
    <definedName name="______________daf1">#REF!</definedName>
    <definedName name="______________DAF10">#REF!</definedName>
    <definedName name="______________daf2">#REF!</definedName>
    <definedName name="______________daf31">#REF!</definedName>
    <definedName name="______________daf32">#REF!</definedName>
    <definedName name="______________daf33">#REF!</definedName>
    <definedName name="______________dia6">#REF!</definedName>
    <definedName name="______________DIV1">#REF!</definedName>
    <definedName name="______________DIV10">#REF!</definedName>
    <definedName name="______________DIV2">#REF!</definedName>
    <definedName name="______________DIV3">#REF!</definedName>
    <definedName name="______________DIV4">#REF!</definedName>
    <definedName name="______________DIV5">#REF!</definedName>
    <definedName name="______________DIV6">#REF!</definedName>
    <definedName name="______________DIV7">#REF!</definedName>
    <definedName name="______________DIV8">#REF!</definedName>
    <definedName name="______________DIV9">#REF!</definedName>
    <definedName name="______________EEE02">#REF!</definedName>
    <definedName name="______________EEE05">#REF!</definedName>
    <definedName name="______________EEE06">#REF!</definedName>
    <definedName name="______________EEE07">#REF!</definedName>
    <definedName name="______________EEE08">#REF!</definedName>
    <definedName name="______________EEE09">#REF!</definedName>
    <definedName name="______________EEE10">#REF!</definedName>
    <definedName name="______________EEE11">#REF!</definedName>
    <definedName name="______________EEE13">#REF!</definedName>
    <definedName name="______________EEE15">#REF!</definedName>
    <definedName name="______________EEE16">#REF!</definedName>
    <definedName name="______________EEE17">#REF!</definedName>
    <definedName name="______________EEE19">#REF!</definedName>
    <definedName name="______________EEE22">#REF!</definedName>
    <definedName name="______________EEE23">#REF!</definedName>
    <definedName name="______________EEE27">#REF!</definedName>
    <definedName name="______________EEE29">#REF!</definedName>
    <definedName name="______________EEE31">#REF!</definedName>
    <definedName name="______________fjd100">#REF!</definedName>
    <definedName name="______________fjd150">#REF!</definedName>
    <definedName name="______________fjd50">#REF!</definedName>
    <definedName name="______________fjd65">#REF!</definedName>
    <definedName name="______________fmd150">#REF!</definedName>
    <definedName name="______________gk2" hidden="1">#REF!</definedName>
    <definedName name="______________grc1">#REF!</definedName>
    <definedName name="______________gti50">#REF!</definedName>
    <definedName name="______________gti60">#REF!</definedName>
    <definedName name="______________gvd100">#REF!</definedName>
    <definedName name="______________gvd15">#REF!</definedName>
    <definedName name="______________gvd150">#REF!</definedName>
    <definedName name="______________gvd25">#REF!</definedName>
    <definedName name="______________gvd50">#REF!</definedName>
    <definedName name="______________gvd65">#REF!</definedName>
    <definedName name="______________HAL4">NA()</definedName>
    <definedName name="______________hdw1">#REF!</definedName>
    <definedName name="______________IPR1">#REF!</definedName>
    <definedName name="______________IPR21">#REF!</definedName>
    <definedName name="______________LLL01">#REF!</definedName>
    <definedName name="______________LLL02">#REF!</definedName>
    <definedName name="______________LLL03">#REF!</definedName>
    <definedName name="______________MMM03">#REF!</definedName>
    <definedName name="______________MMM04">#REF!</definedName>
    <definedName name="______________MMM05">#REF!</definedName>
    <definedName name="______________MMM10">#REF!</definedName>
    <definedName name="______________MMM11">#REF!</definedName>
    <definedName name="______________MMM12">#REF!</definedName>
    <definedName name="______________MMM16">#REF!</definedName>
    <definedName name="______________MMM18">#REF!</definedName>
    <definedName name="______________MMM19">#REF!</definedName>
    <definedName name="______________MMM26">#REF!</definedName>
    <definedName name="______________MMM27">#REF!</definedName>
    <definedName name="______________MMM37">#REF!</definedName>
    <definedName name="______________MMM39">#REF!</definedName>
    <definedName name="______________MMM44">#REF!</definedName>
    <definedName name="______________MMM47">#REF!</definedName>
    <definedName name="______________MMM48">#REF!</definedName>
    <definedName name="______________pab100">#REF!</definedName>
    <definedName name="______________pab125">#REF!</definedName>
    <definedName name="______________pab15">#REF!</definedName>
    <definedName name="______________pab150">#REF!</definedName>
    <definedName name="______________pab2">#REF!</definedName>
    <definedName name="______________pab20">#REF!</definedName>
    <definedName name="______________pab25">#REF!</definedName>
    <definedName name="______________pab32">#REF!</definedName>
    <definedName name="______________pab4">#REF!</definedName>
    <definedName name="______________pab40">#REF!</definedName>
    <definedName name="______________pab50">#REF!</definedName>
    <definedName name="______________pab6">#REF!</definedName>
    <definedName name="______________pab65">#REF!</definedName>
    <definedName name="______________pab80">#REF!</definedName>
    <definedName name="______________pah150">#REF!</definedName>
    <definedName name="______________pak100">#REF!</definedName>
    <definedName name="______________pak150">#REF!</definedName>
    <definedName name="______________pak50">#REF!</definedName>
    <definedName name="______________pak80">#REF!</definedName>
    <definedName name="______________pbs100">#REF!</definedName>
    <definedName name="______________pbs15">#REF!</definedName>
    <definedName name="______________pbs150">#REF!</definedName>
    <definedName name="______________pbs40">#REF!</definedName>
    <definedName name="______________pbs50">#REF!</definedName>
    <definedName name="______________pbs65">#REF!</definedName>
    <definedName name="______________pbs80">#REF!</definedName>
    <definedName name="______________pc50">#REF!</definedName>
    <definedName name="______________pc80">#REF!</definedName>
    <definedName name="______________pcf80">#REF!</definedName>
    <definedName name="______________PCI25">#REF!</definedName>
    <definedName name="______________ph100">#REF!</definedName>
    <definedName name="______________ph150">#REF!</definedName>
    <definedName name="______________phf100">#REF!</definedName>
    <definedName name="______________phf150">#REF!</definedName>
    <definedName name="______________PL1">#REF!</definedName>
    <definedName name="______________PL2">#REF!</definedName>
    <definedName name="______________PL3">#REF!</definedName>
    <definedName name="______________pv100">#REF!</definedName>
    <definedName name="______________pv40">#REF!</definedName>
    <definedName name="______________pv50">#REF!</definedName>
    <definedName name="______________pv80">#REF!</definedName>
    <definedName name="______________pvf100">#REF!</definedName>
    <definedName name="______________pvf80">#REF!</definedName>
    <definedName name="______________REV3" hidden="1">{#N/A,#N/A,FALSE,"REK-S-TPL";#N/A,#N/A,FALSE,"REK-TPML";#N/A,#N/A,FALSE,"RAB-TEMPEL"}</definedName>
    <definedName name="______________rk100">#REF!</definedName>
    <definedName name="______________rk200">#REF!</definedName>
    <definedName name="______________rk300">#REF!</definedName>
    <definedName name="______________rk600">#REF!</definedName>
    <definedName name="______________rkl1000">#REF!</definedName>
    <definedName name="______________rkl1200">#REF!</definedName>
    <definedName name="______________rkl200">#REF!</definedName>
    <definedName name="______________rkl300">#REF!</definedName>
    <definedName name="______________rkl400">#REF!</definedName>
    <definedName name="______________rkl500">#REF!</definedName>
    <definedName name="______________rkl600">#REF!</definedName>
    <definedName name="______________rkl700">#REF!</definedName>
    <definedName name="______________rkl800">#REF!</definedName>
    <definedName name="______________sfv150">#REF!</definedName>
    <definedName name="______________std100">#REF!</definedName>
    <definedName name="______________std150">#REF!</definedName>
    <definedName name="______________std50">#REF!</definedName>
    <definedName name="______________std65">#REF!</definedName>
    <definedName name="______________tl20">#REF!</definedName>
    <definedName name="______________tl40">#REF!</definedName>
    <definedName name="______________tlc20">#REF!</definedName>
    <definedName name="______________TSR3">#REF!</definedName>
    <definedName name="______________tsv25">#REF!</definedName>
    <definedName name="______________vnt100">#REF!</definedName>
    <definedName name="______________vnt40">#REF!</definedName>
    <definedName name="______________vnt50">#REF!</definedName>
    <definedName name="______________vnt80">#REF!</definedName>
    <definedName name="_____________abs100">#REF!</definedName>
    <definedName name="_____________ADD1">STOP2:STOP2E</definedName>
    <definedName name="_____________ahu100">#REF!</definedName>
    <definedName name="_____________ahu150">#REF!</definedName>
    <definedName name="_____________ako100">#REF!</definedName>
    <definedName name="_____________ako150">#REF!</definedName>
    <definedName name="_____________ako50">#REF!</definedName>
    <definedName name="_____________ako80">#REF!</definedName>
    <definedName name="_____________aku100">#REF!</definedName>
    <definedName name="_____________aku150">#REF!</definedName>
    <definedName name="_____________ATB1">#REF!</definedName>
    <definedName name="_____________ATB2">#REF!</definedName>
    <definedName name="_____________ATB3">#REF!</definedName>
    <definedName name="_____________ATB4">#REF!</definedName>
    <definedName name="_____________bcv100">#REF!</definedName>
    <definedName name="_____________bcv125">#REF!</definedName>
    <definedName name="_____________bcv150">#REF!</definedName>
    <definedName name="_____________cas80">#REF!</definedName>
    <definedName name="_____________cvd100">#REF!</definedName>
    <definedName name="_____________cvd15">#REF!</definedName>
    <definedName name="_____________cvd150">#REF!</definedName>
    <definedName name="_____________cvd50">#REF!</definedName>
    <definedName name="_____________cvd65">#REF!</definedName>
    <definedName name="_____________daf1">#REF!</definedName>
    <definedName name="_____________DAF10">#REF!</definedName>
    <definedName name="_____________daf2">#REF!</definedName>
    <definedName name="_____________daf31">#REF!</definedName>
    <definedName name="_____________daf32">#REF!</definedName>
    <definedName name="_____________daf33">#REF!</definedName>
    <definedName name="_____________dia6">#REF!</definedName>
    <definedName name="_____________EEE02">#REF!</definedName>
    <definedName name="_____________EEE05">#REF!</definedName>
    <definedName name="_____________EEE06">#REF!</definedName>
    <definedName name="_____________EEE07">#REF!</definedName>
    <definedName name="_____________EEE08">#REF!</definedName>
    <definedName name="_____________EEE09">#REF!</definedName>
    <definedName name="_____________EEE10">#REF!</definedName>
    <definedName name="_____________EEE11">#REF!</definedName>
    <definedName name="_____________EEE13">#REF!</definedName>
    <definedName name="_____________EEE15">#REF!</definedName>
    <definedName name="_____________EEE16">#REF!</definedName>
    <definedName name="_____________EEE17">#REF!</definedName>
    <definedName name="_____________EEE19">#REF!</definedName>
    <definedName name="_____________EEE22">#REF!</definedName>
    <definedName name="_____________EEE23">#REF!</definedName>
    <definedName name="_____________EEE27">#REF!</definedName>
    <definedName name="_____________EEE29">#REF!</definedName>
    <definedName name="_____________EEE31">#REF!</definedName>
    <definedName name="_____________fjd100">#REF!</definedName>
    <definedName name="_____________fjd150">#REF!</definedName>
    <definedName name="_____________fjd50">#REF!</definedName>
    <definedName name="_____________fjd65">#REF!</definedName>
    <definedName name="_____________fmd150">#REF!</definedName>
    <definedName name="_____________gk2" hidden="1">#REF!</definedName>
    <definedName name="_____________grc1">#REF!</definedName>
    <definedName name="_____________gti50">#REF!</definedName>
    <definedName name="_____________gti60">#REF!</definedName>
    <definedName name="_____________gvd100">#REF!</definedName>
    <definedName name="_____________gvd15">#REF!</definedName>
    <definedName name="_____________gvd150">#REF!</definedName>
    <definedName name="_____________gvd25">#REF!</definedName>
    <definedName name="_____________gvd50">#REF!</definedName>
    <definedName name="_____________gvd65">#REF!</definedName>
    <definedName name="_____________HAL4">#N/A</definedName>
    <definedName name="_____________hdw1">#REF!</definedName>
    <definedName name="_____________IPR1">#REF!</definedName>
    <definedName name="_____________IPR21">#REF!</definedName>
    <definedName name="_____________LLL01">#REF!</definedName>
    <definedName name="_____________LLL02">#REF!</definedName>
    <definedName name="_____________LLL03">#REF!</definedName>
    <definedName name="_____________ME01">#REF!</definedName>
    <definedName name="_____________MMM03">#REF!</definedName>
    <definedName name="_____________MMM04">#REF!</definedName>
    <definedName name="_____________MMM05">#REF!</definedName>
    <definedName name="_____________MMM10">#REF!</definedName>
    <definedName name="_____________MMM11">#REF!</definedName>
    <definedName name="_____________MMM12">#REF!</definedName>
    <definedName name="_____________MMM16">#REF!</definedName>
    <definedName name="_____________MMM18">#REF!</definedName>
    <definedName name="_____________MMM19">#REF!</definedName>
    <definedName name="_____________MMM26">#REF!</definedName>
    <definedName name="_____________MMM27">#REF!</definedName>
    <definedName name="_____________MMM37">#REF!</definedName>
    <definedName name="_____________MMM39">#REF!</definedName>
    <definedName name="_____________MMM44">#REF!</definedName>
    <definedName name="_____________MMM47">#REF!</definedName>
    <definedName name="_____________MMM48">#REF!</definedName>
    <definedName name="_____________pab100">#REF!</definedName>
    <definedName name="_____________pab125">#REF!</definedName>
    <definedName name="_____________pab15">#REF!</definedName>
    <definedName name="_____________pab150">#REF!</definedName>
    <definedName name="_____________pab2">#REF!</definedName>
    <definedName name="_____________pab20">#REF!</definedName>
    <definedName name="_____________pab25">#REF!</definedName>
    <definedName name="_____________pab32">#REF!</definedName>
    <definedName name="_____________pab4">#REF!</definedName>
    <definedName name="_____________pab40">#REF!</definedName>
    <definedName name="_____________pab50">#REF!</definedName>
    <definedName name="_____________pab6">#REF!</definedName>
    <definedName name="_____________pab65">#REF!</definedName>
    <definedName name="_____________pab80">#REF!</definedName>
    <definedName name="_____________pah150">#REF!</definedName>
    <definedName name="_____________pak100">#REF!</definedName>
    <definedName name="_____________pak150">#REF!</definedName>
    <definedName name="_____________pak50">#REF!</definedName>
    <definedName name="_____________pak80">#REF!</definedName>
    <definedName name="_____________pbs100">#REF!</definedName>
    <definedName name="_____________pbs15">#REF!</definedName>
    <definedName name="_____________pbs150">#REF!</definedName>
    <definedName name="_____________pbs40">#REF!</definedName>
    <definedName name="_____________pbs50">#REF!</definedName>
    <definedName name="_____________pbs65">#REF!</definedName>
    <definedName name="_____________pbs80">#REF!</definedName>
    <definedName name="_____________pc50">#REF!</definedName>
    <definedName name="_____________pc80">#REF!</definedName>
    <definedName name="_____________pcf80">#REF!</definedName>
    <definedName name="_____________PCI25">#REF!</definedName>
    <definedName name="_____________ph100">#REF!</definedName>
    <definedName name="_____________ph150">#REF!</definedName>
    <definedName name="_____________phf100">#REF!</definedName>
    <definedName name="_____________phf150">#REF!</definedName>
    <definedName name="_____________PL1">#REF!</definedName>
    <definedName name="_____________PL2">#REF!</definedName>
    <definedName name="_____________PL3">#REF!</definedName>
    <definedName name="_____________pv100">#REF!</definedName>
    <definedName name="_____________pv40">#REF!</definedName>
    <definedName name="_____________pv50">#REF!</definedName>
    <definedName name="_____________pv80">#REF!</definedName>
    <definedName name="_____________pvf100">#REF!</definedName>
    <definedName name="_____________pvf80">#REF!</definedName>
    <definedName name="_____________REV3" hidden="1">{#N/A,#N/A,FALSE,"REK-S-TPL";#N/A,#N/A,FALSE,"REK-TPML";#N/A,#N/A,FALSE,"RAB-TEMPEL"}</definedName>
    <definedName name="_____________rk100">#REF!</definedName>
    <definedName name="_____________rk200">#REF!</definedName>
    <definedName name="_____________rk300">#REF!</definedName>
    <definedName name="_____________rk600">#REF!</definedName>
    <definedName name="_____________rkl1000">#REF!</definedName>
    <definedName name="_____________rkl1200">#REF!</definedName>
    <definedName name="_____________rkl200">#REF!</definedName>
    <definedName name="_____________rkl300">#REF!</definedName>
    <definedName name="_____________rkl400">#REF!</definedName>
    <definedName name="_____________rkl500">#REF!</definedName>
    <definedName name="_____________rkl600">#REF!</definedName>
    <definedName name="_____________rkl700">#REF!</definedName>
    <definedName name="_____________rkl800">#REF!</definedName>
    <definedName name="_____________sfv150">#REF!</definedName>
    <definedName name="_____________std100">#REF!</definedName>
    <definedName name="_____________std150">#REF!</definedName>
    <definedName name="_____________std50">#REF!</definedName>
    <definedName name="_____________std65">#REF!</definedName>
    <definedName name="_____________tl20">#REF!</definedName>
    <definedName name="_____________tl40">#REF!</definedName>
    <definedName name="_____________tlc20">#REF!</definedName>
    <definedName name="_____________TSR3">#REF!</definedName>
    <definedName name="_____________tsv25">#REF!</definedName>
    <definedName name="_____________vnt100">#REF!</definedName>
    <definedName name="_____________vnt40">#REF!</definedName>
    <definedName name="_____________vnt50">#REF!</definedName>
    <definedName name="_____________vnt80">#REF!</definedName>
    <definedName name="____________abs100">#REF!</definedName>
    <definedName name="____________ahu100">#REF!</definedName>
    <definedName name="____________ahu150">#REF!</definedName>
    <definedName name="____________ako100">#REF!</definedName>
    <definedName name="____________ako150">#REF!</definedName>
    <definedName name="____________ako50">#REF!</definedName>
    <definedName name="____________ako80">#REF!</definedName>
    <definedName name="____________aku100">#REF!</definedName>
    <definedName name="____________aku150">#REF!</definedName>
    <definedName name="____________ATB1">#REF!</definedName>
    <definedName name="____________ATB2">#REF!</definedName>
    <definedName name="____________ATB3">#REF!</definedName>
    <definedName name="____________ATB4">#REF!</definedName>
    <definedName name="____________bcv100">#REF!</definedName>
    <definedName name="____________bcv125">#REF!</definedName>
    <definedName name="____________bcv150">#REF!</definedName>
    <definedName name="____________BSP3">#REF!</definedName>
    <definedName name="____________BSP4">#REF!</definedName>
    <definedName name="____________BSP5">#REF!</definedName>
    <definedName name="____________BSP6">#REF!</definedName>
    <definedName name="____________BSP8">#REF!</definedName>
    <definedName name="____________btg1">#REF!</definedName>
    <definedName name="____________btg2">#REF!</definedName>
    <definedName name="____________btg3">#REF!</definedName>
    <definedName name="____________cas80">#REF!</definedName>
    <definedName name="____________cvd100">#REF!</definedName>
    <definedName name="____________cvd15">#REF!</definedName>
    <definedName name="____________cvd150">#REF!</definedName>
    <definedName name="____________cvd50">#REF!</definedName>
    <definedName name="____________cvd65">#REF!</definedName>
    <definedName name="____________daf1">#REF!</definedName>
    <definedName name="____________DAF10">#REF!</definedName>
    <definedName name="____________daf2">#REF!</definedName>
    <definedName name="____________daf31">#REF!</definedName>
    <definedName name="____________daf32">#REF!</definedName>
    <definedName name="____________daf33">#REF!</definedName>
    <definedName name="____________dia6">#REF!</definedName>
    <definedName name="____________DIV1">#REF!</definedName>
    <definedName name="____________DIV10">#REF!</definedName>
    <definedName name="____________DIV11">#REF!</definedName>
    <definedName name="____________DIV2">#REF!</definedName>
    <definedName name="____________DIV3">#REF!</definedName>
    <definedName name="____________DIV4">#REF!</definedName>
    <definedName name="____________DIV5">#REF!</definedName>
    <definedName name="____________DIV6">#REF!</definedName>
    <definedName name="____________DIV7">#REF!</definedName>
    <definedName name="____________DIV8">#REF!</definedName>
    <definedName name="____________DIV9">#REF!</definedName>
    <definedName name="____________EEE02">#REF!</definedName>
    <definedName name="____________EEE05">#REF!</definedName>
    <definedName name="____________EEE06">#REF!</definedName>
    <definedName name="____________EEE07">#REF!</definedName>
    <definedName name="____________EEE08">#REF!</definedName>
    <definedName name="____________EEE09">#REF!</definedName>
    <definedName name="____________EEE10">#REF!</definedName>
    <definedName name="____________EEE11">#REF!</definedName>
    <definedName name="____________EEE13">#REF!</definedName>
    <definedName name="____________EEE15">#REF!</definedName>
    <definedName name="____________EEE16">#REF!</definedName>
    <definedName name="____________EEE17">#REF!</definedName>
    <definedName name="____________EEE19">#REF!</definedName>
    <definedName name="____________EEE22">#REF!</definedName>
    <definedName name="____________EEE23">#REF!</definedName>
    <definedName name="____________EEE27">#REF!</definedName>
    <definedName name="____________EEE29">#REF!</definedName>
    <definedName name="____________EEE31">#REF!</definedName>
    <definedName name="____________fcp1">#REF!</definedName>
    <definedName name="____________fjd100">#REF!</definedName>
    <definedName name="____________fjd150">#REF!</definedName>
    <definedName name="____________fjd50">#REF!</definedName>
    <definedName name="____________fjd65">#REF!</definedName>
    <definedName name="____________fmd150">#REF!</definedName>
    <definedName name="____________gk2" hidden="1">#REF!</definedName>
    <definedName name="____________grc1">#REF!</definedName>
    <definedName name="____________gti50">#REF!</definedName>
    <definedName name="____________gti60">#REF!</definedName>
    <definedName name="____________gvd100">#REF!</definedName>
    <definedName name="____________gvd15">#REF!</definedName>
    <definedName name="____________gvd150">#REF!</definedName>
    <definedName name="____________gvd25">#REF!</definedName>
    <definedName name="____________gvd50">#REF!</definedName>
    <definedName name="____________gvd65">#REF!</definedName>
    <definedName name="____________HAL1">#REF!</definedName>
    <definedName name="____________HAL2">#REF!</definedName>
    <definedName name="____________HAL3">#REF!</definedName>
    <definedName name="____________HAL4">#REF!</definedName>
    <definedName name="____________HAL5">#REF!</definedName>
    <definedName name="____________HAL6">#REF!</definedName>
    <definedName name="____________HAL7">#REF!</definedName>
    <definedName name="____________HAL8">#REF!</definedName>
    <definedName name="____________hdw1">#REF!</definedName>
    <definedName name="____________IPR1">#REF!</definedName>
    <definedName name="____________IPR21">#REF!</definedName>
    <definedName name="____________jum1">#REF!</definedName>
    <definedName name="____________jum10">#REF!</definedName>
    <definedName name="____________jum2">#REF!</definedName>
    <definedName name="____________jum3">#REF!</definedName>
    <definedName name="____________jum4">#REF!</definedName>
    <definedName name="____________jum5">#REF!</definedName>
    <definedName name="____________jum6">#REF!</definedName>
    <definedName name="____________jum7">#REF!</definedName>
    <definedName name="____________jum8">#REF!</definedName>
    <definedName name="____________jum9">#REF!</definedName>
    <definedName name="____________k100123">#REF!</definedName>
    <definedName name="____________LLL01">#REF!</definedName>
    <definedName name="____________LLL02">#REF!</definedName>
    <definedName name="____________LLL03">#REF!</definedName>
    <definedName name="____________MDE15">#REF!</definedName>
    <definedName name="____________MDE16">#REF!</definedName>
    <definedName name="____________MDE17">#REF!</definedName>
    <definedName name="____________MDE21">#REF!</definedName>
    <definedName name="____________MDE22">#REF!</definedName>
    <definedName name="____________MDE23">#REF!</definedName>
    <definedName name="____________MDE24">#REF!</definedName>
    <definedName name="____________MDE25">#REF!</definedName>
    <definedName name="____________MDE27">#REF!</definedName>
    <definedName name="____________MDE28">#REF!</definedName>
    <definedName name="____________MDE29">#REF!</definedName>
    <definedName name="____________MDE33">#REF!</definedName>
    <definedName name="____________MDE34">#REF!</definedName>
    <definedName name="____________MDE35">#REF!</definedName>
    <definedName name="____________ME15">#REF!</definedName>
    <definedName name="____________ME16">#REF!</definedName>
    <definedName name="____________ME17">#REF!</definedName>
    <definedName name="____________ME21">#REF!</definedName>
    <definedName name="____________ME22">#REF!</definedName>
    <definedName name="____________ME23">#REF!</definedName>
    <definedName name="____________ME24">#REF!</definedName>
    <definedName name="____________ME25">#REF!</definedName>
    <definedName name="____________ME27">#REF!</definedName>
    <definedName name="____________ME28">#REF!</definedName>
    <definedName name="____________ME29">#REF!</definedName>
    <definedName name="____________ME33">#REF!</definedName>
    <definedName name="____________ME34">#REF!</definedName>
    <definedName name="____________ME35">#REF!</definedName>
    <definedName name="____________MMM03">#REF!</definedName>
    <definedName name="____________MMM04">#REF!</definedName>
    <definedName name="____________MMM05">#REF!</definedName>
    <definedName name="____________MMM10">#REF!</definedName>
    <definedName name="____________MMM11">#REF!</definedName>
    <definedName name="____________MMM12">#REF!</definedName>
    <definedName name="____________MMM16">#REF!</definedName>
    <definedName name="____________MMM18">#REF!</definedName>
    <definedName name="____________MMM19">#REF!</definedName>
    <definedName name="____________MMM26">#REF!</definedName>
    <definedName name="____________MMM27">#REF!</definedName>
    <definedName name="____________MMM37">#REF!</definedName>
    <definedName name="____________MMM39">#REF!</definedName>
    <definedName name="____________MMM44">#REF!</definedName>
    <definedName name="____________MMM47">#REF!</definedName>
    <definedName name="____________MMM48">#REF!</definedName>
    <definedName name="____________nym34">#REF!</definedName>
    <definedName name="____________nym46">#REF!</definedName>
    <definedName name="____________nyy34">#REF!</definedName>
    <definedName name="____________nyy410">#REF!</definedName>
    <definedName name="____________nyy416">#REF!</definedName>
    <definedName name="____________nyy44">#REF!</definedName>
    <definedName name="____________nyy46">#REF!</definedName>
    <definedName name="____________pab100">#REF!</definedName>
    <definedName name="____________pab125">#REF!</definedName>
    <definedName name="____________pab126">#REF!</definedName>
    <definedName name="____________pab15">#REF!</definedName>
    <definedName name="____________pab150">#REF!</definedName>
    <definedName name="____________pab2">#REF!</definedName>
    <definedName name="____________pab20">#REF!</definedName>
    <definedName name="____________pab25">#REF!</definedName>
    <definedName name="____________pab32">#REF!</definedName>
    <definedName name="____________pab4">#REF!</definedName>
    <definedName name="____________pab40">#REF!</definedName>
    <definedName name="____________pab50">#REF!</definedName>
    <definedName name="____________pab6">#REF!</definedName>
    <definedName name="____________pab65">#REF!</definedName>
    <definedName name="____________pab80">#REF!</definedName>
    <definedName name="____________pah150">#REF!</definedName>
    <definedName name="____________pak100">#REF!</definedName>
    <definedName name="____________pak150">#REF!</definedName>
    <definedName name="____________pak50">#REF!</definedName>
    <definedName name="____________pak80">#REF!</definedName>
    <definedName name="____________pbs100">#REF!</definedName>
    <definedName name="____________pbs15">#REF!</definedName>
    <definedName name="____________pbs150">#REF!</definedName>
    <definedName name="____________pbs40">#REF!</definedName>
    <definedName name="____________pbs50">#REF!</definedName>
    <definedName name="____________pbs65">#REF!</definedName>
    <definedName name="____________pbs80">#REF!</definedName>
    <definedName name="____________pc50">#REF!</definedName>
    <definedName name="____________pc80">#REF!</definedName>
    <definedName name="____________pcf80">#REF!</definedName>
    <definedName name="____________PCI25">#REF!</definedName>
    <definedName name="____________ph100">#REF!</definedName>
    <definedName name="____________ph150">#REF!</definedName>
    <definedName name="____________phf100">#REF!</definedName>
    <definedName name="____________phf150">#REF!</definedName>
    <definedName name="____________PL1">#REF!</definedName>
    <definedName name="____________PL2">#REF!</definedName>
    <definedName name="____________PL3">#REF!</definedName>
    <definedName name="____________ptg1">#REF!</definedName>
    <definedName name="____________ptg2">#REF!</definedName>
    <definedName name="____________pv100">#REF!</definedName>
    <definedName name="____________pv40">#REF!</definedName>
    <definedName name="____________pv50">#REF!</definedName>
    <definedName name="____________pv80">#REF!</definedName>
    <definedName name="____________pvf100">#REF!</definedName>
    <definedName name="____________pvf80">#REF!</definedName>
    <definedName name="____________REV3" hidden="1">{#N/A,#N/A,FALSE,"REK-S-TPL";#N/A,#N/A,FALSE,"REK-TPML";#N/A,#N/A,FALSE,"RAB-TEMPEL"}</definedName>
    <definedName name="____________rk100">#REF!</definedName>
    <definedName name="____________rk200">#REF!</definedName>
    <definedName name="____________rk300">#REF!</definedName>
    <definedName name="____________rk600">#REF!</definedName>
    <definedName name="____________rkl1000">#REF!</definedName>
    <definedName name="____________rkl1200">#REF!</definedName>
    <definedName name="____________rkl200">#REF!</definedName>
    <definedName name="____________rkl300">#REF!</definedName>
    <definedName name="____________rkl400">#REF!</definedName>
    <definedName name="____________rkl500">#REF!</definedName>
    <definedName name="____________rkl600">#REF!</definedName>
    <definedName name="____________rkl700">#REF!</definedName>
    <definedName name="____________rkl800">#REF!</definedName>
    <definedName name="____________sfv150">#REF!</definedName>
    <definedName name="____________std100">#REF!</definedName>
    <definedName name="____________std150">#REF!</definedName>
    <definedName name="____________std50">#REF!</definedName>
    <definedName name="____________std65">#REF!</definedName>
    <definedName name="____________tl20">#REF!</definedName>
    <definedName name="____________tl40">#REF!</definedName>
    <definedName name="____________tlc20">#REF!</definedName>
    <definedName name="____________TSR3">#REF!</definedName>
    <definedName name="____________tsv25">#REF!</definedName>
    <definedName name="____________vnt100">#REF!</definedName>
    <definedName name="____________vnt40">#REF!</definedName>
    <definedName name="____________vnt50">#REF!</definedName>
    <definedName name="____________vnt80">#REF!</definedName>
    <definedName name="___________AAD3">HAJIME:OWARI</definedName>
    <definedName name="___________abs100">#REF!</definedName>
    <definedName name="___________ADD1">STOP2:STOP2E</definedName>
    <definedName name="___________ADD2">STOP:STOPE</definedName>
    <definedName name="___________ADD3">STOP:STOPE</definedName>
    <definedName name="___________ahu100">#REF!</definedName>
    <definedName name="___________ahu150">#REF!</definedName>
    <definedName name="___________ako100">#REF!</definedName>
    <definedName name="___________ako150">#REF!</definedName>
    <definedName name="___________ako50">#REF!</definedName>
    <definedName name="___________ako80">#REF!</definedName>
    <definedName name="___________aku100">#REF!</definedName>
    <definedName name="___________aku150">#REF!</definedName>
    <definedName name="___________ATB1">#REF!</definedName>
    <definedName name="___________ATB2">#REF!</definedName>
    <definedName name="___________ATB3">#REF!</definedName>
    <definedName name="___________ATB4">#REF!</definedName>
    <definedName name="___________bcv100">#REF!</definedName>
    <definedName name="___________bcv125">#REF!</definedName>
    <definedName name="___________bcv150">#REF!</definedName>
    <definedName name="___________bpl32">#REF!</definedName>
    <definedName name="___________bpl9">#REF!</definedName>
    <definedName name="___________bsd1600">#REF!</definedName>
    <definedName name="___________bsd2500">#REF!</definedName>
    <definedName name="___________bsd4000">#REF!</definedName>
    <definedName name="___________bud3500">#REF!</definedName>
    <definedName name="___________cas80">#REF!</definedName>
    <definedName name="___________cvd100">#REF!</definedName>
    <definedName name="___________cvd15">#REF!</definedName>
    <definedName name="___________cvd150">#REF!</definedName>
    <definedName name="___________cvd50">#REF!</definedName>
    <definedName name="___________cvd65">#REF!</definedName>
    <definedName name="___________daf1">#REF!</definedName>
    <definedName name="___________DAF10">#REF!</definedName>
    <definedName name="___________daf2">#REF!</definedName>
    <definedName name="___________daf31">#REF!</definedName>
    <definedName name="___________daf32">#REF!</definedName>
    <definedName name="___________daf33">#REF!</definedName>
    <definedName name="___________dia6">#REF!</definedName>
    <definedName name="___________DIV1">#REF!</definedName>
    <definedName name="___________DIV10">#REF!</definedName>
    <definedName name="___________DIV11">#REF!</definedName>
    <definedName name="___________DIV2">#REF!</definedName>
    <definedName name="___________DIV3">#REF!</definedName>
    <definedName name="___________DIV4">#REF!</definedName>
    <definedName name="___________DIV5">#REF!</definedName>
    <definedName name="___________DIV6">#REF!</definedName>
    <definedName name="___________DIV7">#REF!</definedName>
    <definedName name="___________DIV8">#REF!</definedName>
    <definedName name="___________DIV9">#REF!</definedName>
    <definedName name="___________dlh20">#REF!</definedName>
    <definedName name="___________dlh50">#REF!</definedName>
    <definedName name="___________EEE02">#REF!</definedName>
    <definedName name="___________EEE05">#REF!</definedName>
    <definedName name="___________EEE06">#REF!</definedName>
    <definedName name="___________EEE07">#REF!</definedName>
    <definedName name="___________EEE08">#REF!</definedName>
    <definedName name="___________EEE09">#REF!</definedName>
    <definedName name="___________EEE10">#REF!</definedName>
    <definedName name="___________EEE11">#REF!</definedName>
    <definedName name="___________EEE13">#REF!</definedName>
    <definedName name="___________EEE15">#REF!</definedName>
    <definedName name="___________EEE16">#REF!</definedName>
    <definedName name="___________EEE17">#REF!</definedName>
    <definedName name="___________EEE19">#REF!</definedName>
    <definedName name="___________EEE22">#REF!</definedName>
    <definedName name="___________EEE23">#REF!</definedName>
    <definedName name="___________EEE27">#REF!</definedName>
    <definedName name="___________EEE29">#REF!</definedName>
    <definedName name="___________EEE31">#REF!</definedName>
    <definedName name="___________fjd100">#REF!</definedName>
    <definedName name="___________fjd150">#REF!</definedName>
    <definedName name="___________fjd50">#REF!</definedName>
    <definedName name="___________fjd65">#REF!</definedName>
    <definedName name="___________fmd150">#REF!</definedName>
    <definedName name="___________frc2495">#REF!</definedName>
    <definedName name="___________frc41010">#REF!</definedName>
    <definedName name="___________frc495">#REF!</definedName>
    <definedName name="___________gk2" hidden="1">#REF!</definedName>
    <definedName name="___________grc1">#REF!</definedName>
    <definedName name="___________gti50">#REF!</definedName>
    <definedName name="___________gti60">#REF!</definedName>
    <definedName name="___________gvd100">#REF!</definedName>
    <definedName name="___________gvd15">#REF!</definedName>
    <definedName name="___________gvd150">#REF!</definedName>
    <definedName name="___________gvd25">#REF!</definedName>
    <definedName name="___________gvd50">#REF!</definedName>
    <definedName name="___________gvd65">#REF!</definedName>
    <definedName name="___________HAL1">#REF!</definedName>
    <definedName name="___________HAL2">#REF!</definedName>
    <definedName name="___________HAL3">#REF!</definedName>
    <definedName name="___________HAL4">#REF!</definedName>
    <definedName name="___________HAL5">#REF!</definedName>
    <definedName name="___________HAL6">#REF!</definedName>
    <definedName name="___________HAL7">#REF!</definedName>
    <definedName name="___________HAL8">#REF!</definedName>
    <definedName name="___________hdw1">#REF!</definedName>
    <definedName name="___________IPR1">#REF!</definedName>
    <definedName name="___________IPR21">#REF!</definedName>
    <definedName name="___________jum1">#REF!</definedName>
    <definedName name="___________jum10">#REF!</definedName>
    <definedName name="___________jum2">#REF!</definedName>
    <definedName name="___________jum3">#REF!</definedName>
    <definedName name="___________jum4">#REF!</definedName>
    <definedName name="___________jum5">#REF!</definedName>
    <definedName name="___________jum6">#REF!</definedName>
    <definedName name="___________jum7">#REF!</definedName>
    <definedName name="___________jum8">#REF!</definedName>
    <definedName name="___________jum9">#REF!</definedName>
    <definedName name="___________kco7">#REF!</definedName>
    <definedName name="___________ldp60">#REF!</definedName>
    <definedName name="___________lh50">#REF!</definedName>
    <definedName name="___________LLL01">#REF!</definedName>
    <definedName name="___________LLL02">#REF!</definedName>
    <definedName name="___________LLL03">#REF!</definedName>
    <definedName name="___________lp100">#REF!</definedName>
    <definedName name="___________lp300">#REF!</definedName>
    <definedName name="___________lp36">#REF!</definedName>
    <definedName name="___________lp500">#REF!</definedName>
    <definedName name="___________lp60">#REF!</definedName>
    <definedName name="___________lpl11">#REF!</definedName>
    <definedName name="___________MDE01">#REF!</definedName>
    <definedName name="___________MDE02">#REF!</definedName>
    <definedName name="___________MDE03">#REF!</definedName>
    <definedName name="___________MDE04">#REF!</definedName>
    <definedName name="___________MDE05">#REF!</definedName>
    <definedName name="___________MDE06">#REF!</definedName>
    <definedName name="___________MDE07">#REF!</definedName>
    <definedName name="___________MDE08">#REF!</definedName>
    <definedName name="___________MDE09">#REF!</definedName>
    <definedName name="___________MDE10">#REF!</definedName>
    <definedName name="___________MDE11">#REF!</definedName>
    <definedName name="___________MDE12">#REF!</definedName>
    <definedName name="___________MDE13">#REF!</definedName>
    <definedName name="___________MDE14">#REF!</definedName>
    <definedName name="___________MDE15">#REF!</definedName>
    <definedName name="___________MDE16">#REF!</definedName>
    <definedName name="___________MDE17">#REF!</definedName>
    <definedName name="___________MDE18">#REF!</definedName>
    <definedName name="___________MDE19">#REF!</definedName>
    <definedName name="___________MDE20">#REF!</definedName>
    <definedName name="___________MDE21">#REF!</definedName>
    <definedName name="___________MDE22">#REF!</definedName>
    <definedName name="___________MDE23">#REF!</definedName>
    <definedName name="___________MDE24">#REF!</definedName>
    <definedName name="___________MDE25">#REF!</definedName>
    <definedName name="___________MDE27">#REF!</definedName>
    <definedName name="___________MDE28">#REF!</definedName>
    <definedName name="___________MDE29">#REF!</definedName>
    <definedName name="___________MDE30">#REF!</definedName>
    <definedName name="___________MDE31">#REF!</definedName>
    <definedName name="___________MDE32">#REF!</definedName>
    <definedName name="___________MDE33">#REF!</definedName>
    <definedName name="___________MDE34">#REF!</definedName>
    <definedName name="___________MDE35">#REF!</definedName>
    <definedName name="___________MDE36">#REF!</definedName>
    <definedName name="___________MDE37">#REF!</definedName>
    <definedName name="___________MDE38">#REF!</definedName>
    <definedName name="___________MDE39">#REF!</definedName>
    <definedName name="___________MDE40">#REF!</definedName>
    <definedName name="___________MDE41">#REF!</definedName>
    <definedName name="___________MDE42">#REF!</definedName>
    <definedName name="___________MDE43">#REF!</definedName>
    <definedName name="___________MDE44">#REF!</definedName>
    <definedName name="___________MDE45">#REF!</definedName>
    <definedName name="___________MDE46">#REF!</definedName>
    <definedName name="___________MDE47">#REF!</definedName>
    <definedName name="___________MDE48">#REF!</definedName>
    <definedName name="___________MDE49">#REF!</definedName>
    <definedName name="___________MDE50">#REF!</definedName>
    <definedName name="___________MDE51">#REF!</definedName>
    <definedName name="___________MDE52">#REF!</definedName>
    <definedName name="___________MDE53">#REF!</definedName>
    <definedName name="___________MDE54">#REF!</definedName>
    <definedName name="___________MDE55">#REF!</definedName>
    <definedName name="___________MDE56">#REF!</definedName>
    <definedName name="___________MDE57">#REF!</definedName>
    <definedName name="___________MDE58">#REF!</definedName>
    <definedName name="___________MDE59">#REF!</definedName>
    <definedName name="___________MDE60">#REF!</definedName>
    <definedName name="___________MDE61">#REF!</definedName>
    <definedName name="___________MDE62">#REF!</definedName>
    <definedName name="___________MDE63">#REF!</definedName>
    <definedName name="___________MDE64">#REF!</definedName>
    <definedName name="___________MDE65">#REF!</definedName>
    <definedName name="___________MDE66">#REF!</definedName>
    <definedName name="___________MDE67">#REF!</definedName>
    <definedName name="___________MDE68">#REF!</definedName>
    <definedName name="___________ME02">#REF!</definedName>
    <definedName name="___________ME03">#REF!</definedName>
    <definedName name="___________ME04">#REF!</definedName>
    <definedName name="___________ME05">#REF!</definedName>
    <definedName name="___________ME06">#REF!</definedName>
    <definedName name="___________ME07">#REF!</definedName>
    <definedName name="___________ME08">#REF!</definedName>
    <definedName name="___________ME09">#REF!</definedName>
    <definedName name="___________ME10">#REF!</definedName>
    <definedName name="___________ME11">#REF!</definedName>
    <definedName name="___________ME12">#REF!</definedName>
    <definedName name="___________ME13">#REF!</definedName>
    <definedName name="___________ME14">#REF!</definedName>
    <definedName name="___________ME15">#REF!</definedName>
    <definedName name="___________ME16">#REF!</definedName>
    <definedName name="___________ME17">#REF!</definedName>
    <definedName name="___________ME18">#REF!</definedName>
    <definedName name="___________ME19">#REF!</definedName>
    <definedName name="___________ME20">#REF!</definedName>
    <definedName name="___________ME21">#REF!</definedName>
    <definedName name="___________ME22">#REF!</definedName>
    <definedName name="___________ME23">#REF!</definedName>
    <definedName name="___________ME24">#REF!</definedName>
    <definedName name="___________ME25">#REF!</definedName>
    <definedName name="___________ME27">#REF!</definedName>
    <definedName name="___________ME28">#REF!</definedName>
    <definedName name="___________ME29">#REF!</definedName>
    <definedName name="___________ME30">#REF!</definedName>
    <definedName name="___________ME31">#REF!</definedName>
    <definedName name="___________ME32">#REF!</definedName>
    <definedName name="___________ME33">#REF!</definedName>
    <definedName name="___________ME34">#REF!</definedName>
    <definedName name="___________ME35">#REF!</definedName>
    <definedName name="___________ME36">#REF!</definedName>
    <definedName name="___________ME37">#REF!</definedName>
    <definedName name="___________ME38">#REF!</definedName>
    <definedName name="___________ME39">#REF!</definedName>
    <definedName name="___________ME40">#REF!</definedName>
    <definedName name="___________ME41">#REF!</definedName>
    <definedName name="___________ME42">#REF!</definedName>
    <definedName name="___________ME43">#REF!</definedName>
    <definedName name="___________ME44">#REF!</definedName>
    <definedName name="___________ME45">#REF!</definedName>
    <definedName name="___________ME46">#REF!</definedName>
    <definedName name="___________ME47">#REF!</definedName>
    <definedName name="___________ME48">#REF!</definedName>
    <definedName name="___________ME49">#REF!</definedName>
    <definedName name="___________ME50">#REF!</definedName>
    <definedName name="___________ME51">#REF!</definedName>
    <definedName name="___________ME52">#REF!</definedName>
    <definedName name="___________ME53">#REF!</definedName>
    <definedName name="___________ME54">#REF!</definedName>
    <definedName name="___________ME55">#REF!</definedName>
    <definedName name="___________ME56">#REF!</definedName>
    <definedName name="___________ME57">#REF!</definedName>
    <definedName name="___________ME58">#REF!</definedName>
    <definedName name="___________ME59">#REF!</definedName>
    <definedName name="___________ME60">#REF!</definedName>
    <definedName name="___________ME61">#REF!</definedName>
    <definedName name="___________ME62">#REF!</definedName>
    <definedName name="___________ME63">#REF!</definedName>
    <definedName name="___________ME64">#REF!</definedName>
    <definedName name="___________ME65">#REF!</definedName>
    <definedName name="___________ME66">#REF!</definedName>
    <definedName name="___________ME67">#REF!</definedName>
    <definedName name="___________ME68">#REF!</definedName>
    <definedName name="___________MMM03">#REF!</definedName>
    <definedName name="___________MMM04">#REF!</definedName>
    <definedName name="___________MMM05">#REF!</definedName>
    <definedName name="___________MMM10">#REF!</definedName>
    <definedName name="___________MMM11">#REF!</definedName>
    <definedName name="___________MMM12">#REF!</definedName>
    <definedName name="___________MMM16">#REF!</definedName>
    <definedName name="___________MMM18">#REF!</definedName>
    <definedName name="___________MMM19">#REF!</definedName>
    <definedName name="___________MMM26">#REF!</definedName>
    <definedName name="___________MMM27">#REF!</definedName>
    <definedName name="___________MMM37">#REF!</definedName>
    <definedName name="___________MMM39">#REF!</definedName>
    <definedName name="___________MMM44">#REF!</definedName>
    <definedName name="___________MMM47">#REF!</definedName>
    <definedName name="___________MMM48">#REF!</definedName>
    <definedName name="___________nym34">#REF!</definedName>
    <definedName name="___________nym46">#REF!</definedName>
    <definedName name="___________nyy2416">#REF!</definedName>
    <definedName name="___________nyy244">#REF!</definedName>
    <definedName name="___________nyy246">#REF!</definedName>
    <definedName name="___________nyy34">#REF!</definedName>
    <definedName name="___________nyy410">#REF!</definedName>
    <definedName name="___________nyy41010">#REF!</definedName>
    <definedName name="___________nyy412050">#REF!</definedName>
    <definedName name="___________nyy412070">#REF!</definedName>
    <definedName name="___________nyy415070">#REF!</definedName>
    <definedName name="___________nyy416">#REF!</definedName>
    <definedName name="___________nyy41616">#REF!</definedName>
    <definedName name="___________nyy42525">#REF!</definedName>
    <definedName name="___________nyy43535">#REF!</definedName>
    <definedName name="___________nyy44">#REF!</definedName>
    <definedName name="___________nyy444">#REF!</definedName>
    <definedName name="___________nyy45050">#REF!</definedName>
    <definedName name="___________nyy46">#REF!</definedName>
    <definedName name="___________nyy466">#REF!</definedName>
    <definedName name="___________nyy47050">#REF!</definedName>
    <definedName name="___________nyy47070">#REF!</definedName>
    <definedName name="___________nyy49570">#REF!</definedName>
    <definedName name="___________PA1">#REF!</definedName>
    <definedName name="___________PA2">#REF!</definedName>
    <definedName name="___________pa9">#REF!</definedName>
    <definedName name="___________pab100">#REF!</definedName>
    <definedName name="___________pab125">#REF!</definedName>
    <definedName name="___________pab126">#REF!</definedName>
    <definedName name="___________pab15">#REF!</definedName>
    <definedName name="___________pab150">#REF!</definedName>
    <definedName name="___________pab2">#REF!</definedName>
    <definedName name="___________pab20">#REF!</definedName>
    <definedName name="___________pab25">#REF!</definedName>
    <definedName name="___________pab32">#REF!</definedName>
    <definedName name="___________pab4">#REF!</definedName>
    <definedName name="___________pab40">#REF!</definedName>
    <definedName name="___________pab50">#REF!</definedName>
    <definedName name="___________pab6">#REF!</definedName>
    <definedName name="___________pab65">#REF!</definedName>
    <definedName name="___________pab80">#REF!</definedName>
    <definedName name="___________pah150">#REF!</definedName>
    <definedName name="___________pak100">#REF!</definedName>
    <definedName name="___________pak150">#REF!</definedName>
    <definedName name="___________pak50">#REF!</definedName>
    <definedName name="___________pak80">#REF!</definedName>
    <definedName name="___________pbs100">#REF!</definedName>
    <definedName name="___________pbs15">#REF!</definedName>
    <definedName name="___________pbs150">#REF!</definedName>
    <definedName name="___________pbs40">#REF!</definedName>
    <definedName name="___________pbs50">#REF!</definedName>
    <definedName name="___________pbs65">#REF!</definedName>
    <definedName name="___________pbs80">#REF!</definedName>
    <definedName name="___________pc1">#REF!</definedName>
    <definedName name="___________pc50">#REF!</definedName>
    <definedName name="___________pc80">#REF!</definedName>
    <definedName name="___________pcf80">#REF!</definedName>
    <definedName name="___________PCI25">#REF!</definedName>
    <definedName name="___________ph100">#REF!</definedName>
    <definedName name="___________ph150">#REF!</definedName>
    <definedName name="___________phf100">#REF!</definedName>
    <definedName name="___________phf150">#REF!</definedName>
    <definedName name="___________PL1">#REF!</definedName>
    <definedName name="___________PL2">#REF!</definedName>
    <definedName name="___________PL3">#REF!</definedName>
    <definedName name="___________po1000">#REF!</definedName>
    <definedName name="___________pv100">#REF!</definedName>
    <definedName name="___________pv40">#REF!</definedName>
    <definedName name="___________pv50">#REF!</definedName>
    <definedName name="___________pv80">#REF!</definedName>
    <definedName name="___________pvf100">#REF!</definedName>
    <definedName name="___________pvf80">#REF!</definedName>
    <definedName name="___________REV3" hidden="1">{#N/A,#N/A,FALSE,"REK-S-TPL";#N/A,#N/A,FALSE,"REK-TPML";#N/A,#N/A,FALSE,"RAB-TEMPEL"}</definedName>
    <definedName name="___________rk100">#REF!</definedName>
    <definedName name="___________rk150">#REF!</definedName>
    <definedName name="___________rk200">#REF!</definedName>
    <definedName name="___________rk300">#REF!</definedName>
    <definedName name="___________rk400">#REF!</definedName>
    <definedName name="___________rk500">#REF!</definedName>
    <definedName name="___________rk600">#REF!</definedName>
    <definedName name="___________rkl1000">#REF!</definedName>
    <definedName name="___________rkl1200">#REF!</definedName>
    <definedName name="___________rkl200">#REF!</definedName>
    <definedName name="___________rkl300">#REF!</definedName>
    <definedName name="___________rkl400">#REF!</definedName>
    <definedName name="___________rkl500">#REF!</definedName>
    <definedName name="___________rkl600">#REF!</definedName>
    <definedName name="___________rkl700">#REF!</definedName>
    <definedName name="___________rkl800">#REF!</definedName>
    <definedName name="___________sfv150">#REF!</definedName>
    <definedName name="___________std100">#REF!</definedName>
    <definedName name="___________std150">#REF!</definedName>
    <definedName name="___________std4">#REF!</definedName>
    <definedName name="___________std50">#REF!</definedName>
    <definedName name="___________std65">#REF!</definedName>
    <definedName name="___________tl20">#REF!</definedName>
    <definedName name="___________tl40">#REF!</definedName>
    <definedName name="___________tlc20">#REF!</definedName>
    <definedName name="___________TSR3">#REF!</definedName>
    <definedName name="___________tsv25">#REF!</definedName>
    <definedName name="___________uls60">#REF!</definedName>
    <definedName name="___________vnt100">#REF!</definedName>
    <definedName name="___________vnt40">#REF!</definedName>
    <definedName name="___________vnt50">#REF!</definedName>
    <definedName name="___________vnt80">#REF!</definedName>
    <definedName name="__________abs100">#REF!</definedName>
    <definedName name="__________ahu100">#REF!</definedName>
    <definedName name="__________ahu150">#REF!</definedName>
    <definedName name="__________ako100">#REF!</definedName>
    <definedName name="__________ako150">#REF!</definedName>
    <definedName name="__________ako50">#REF!</definedName>
    <definedName name="__________ako80">#REF!</definedName>
    <definedName name="__________aku100">#REF!</definedName>
    <definedName name="__________aku150">#REF!</definedName>
    <definedName name="__________ATB1">#REF!</definedName>
    <definedName name="__________ATB2">#REF!</definedName>
    <definedName name="__________ATB3">#REF!</definedName>
    <definedName name="__________ATB4">#REF!</definedName>
    <definedName name="__________bbm10">#REF!</definedName>
    <definedName name="__________bbm3">#REF!</definedName>
    <definedName name="__________bbm5">#REF!</definedName>
    <definedName name="__________bbm8">#REF!</definedName>
    <definedName name="__________bcv100">#REF!</definedName>
    <definedName name="__________bcv125">#REF!</definedName>
    <definedName name="__________bcv150">#REF!</definedName>
    <definedName name="__________bet250">#REF!</definedName>
    <definedName name="__________bet275">#REF!</definedName>
    <definedName name="__________bet300">#REF!</definedName>
    <definedName name="__________bpl32">#REF!</definedName>
    <definedName name="__________bpl9">#REF!</definedName>
    <definedName name="__________bsd1600">#REF!</definedName>
    <definedName name="__________bsd2500">#REF!</definedName>
    <definedName name="__________bsd4000">#REF!</definedName>
    <definedName name="__________btn175">#REF!</definedName>
    <definedName name="__________btn300">#REF!</definedName>
    <definedName name="__________bud3500">#REF!</definedName>
    <definedName name="__________bvd1">#REF!</definedName>
    <definedName name="__________bvd2">#REF!</definedName>
    <definedName name="__________bvd3">#REF!</definedName>
    <definedName name="__________bvd34">#REF!</definedName>
    <definedName name="__________bvd4">#REF!</definedName>
    <definedName name="__________bvd5">#REF!</definedName>
    <definedName name="__________bvd8">#REF!</definedName>
    <definedName name="__________cas80">#REF!</definedName>
    <definedName name="__________cip10">#REF!</definedName>
    <definedName name="__________cip2">#REF!</definedName>
    <definedName name="__________cip3">#REF!</definedName>
    <definedName name="__________cip4">#REF!</definedName>
    <definedName name="__________cip6">#REF!</definedName>
    <definedName name="__________cip8">#REF!</definedName>
    <definedName name="__________cod4">#REF!</definedName>
    <definedName name="__________cor175">#REF!</definedName>
    <definedName name="__________cor225">#REF!</definedName>
    <definedName name="__________cor300">#REF!</definedName>
    <definedName name="__________cvd100">#REF!</definedName>
    <definedName name="__________cvd15">#REF!</definedName>
    <definedName name="__________cvd150">#REF!</definedName>
    <definedName name="__________cvd50">#REF!</definedName>
    <definedName name="__________cvd65">#REF!</definedName>
    <definedName name="__________daf1">#REF!</definedName>
    <definedName name="__________DAF10">#REF!</definedName>
    <definedName name="__________daf2">#REF!</definedName>
    <definedName name="__________daf31">#REF!</definedName>
    <definedName name="__________daf32">#REF!</definedName>
    <definedName name="__________daf33">#REF!</definedName>
    <definedName name="__________ddn400">#REF!</definedName>
    <definedName name="__________ddn600">#REF!</definedName>
    <definedName name="__________dia6">#REF!</definedName>
    <definedName name="__________DIV1">#REF!</definedName>
    <definedName name="__________DIV10">#REF!</definedName>
    <definedName name="__________DIV11">#REF!</definedName>
    <definedName name="__________DIV2">#REF!</definedName>
    <definedName name="__________DIV3">#REF!</definedName>
    <definedName name="__________DIV4">#REF!</definedName>
    <definedName name="__________DIV5">#REF!</definedName>
    <definedName name="__________DIV6">#REF!</definedName>
    <definedName name="__________DIV7">#REF!</definedName>
    <definedName name="__________DIV8">#REF!</definedName>
    <definedName name="__________DIV9">#REF!</definedName>
    <definedName name="__________dlh20">#REF!</definedName>
    <definedName name="__________dlh50">#REF!</definedName>
    <definedName name="__________dot2020">#REF!</definedName>
    <definedName name="__________EEE02">#REF!</definedName>
    <definedName name="__________EEE05">#REF!</definedName>
    <definedName name="__________EEE06">#REF!</definedName>
    <definedName name="__________EEE07">#REF!</definedName>
    <definedName name="__________EEE08">#REF!</definedName>
    <definedName name="__________EEE09">#REF!</definedName>
    <definedName name="__________EEE10">#REF!</definedName>
    <definedName name="__________EEE11">#REF!</definedName>
    <definedName name="__________EEE13">#REF!</definedName>
    <definedName name="__________EEE15">#REF!</definedName>
    <definedName name="__________EEE16">#REF!</definedName>
    <definedName name="__________EEE17">#REF!</definedName>
    <definedName name="__________EEE19">#REF!</definedName>
    <definedName name="__________EEE22">#REF!</definedName>
    <definedName name="__________EEE23">#REF!</definedName>
    <definedName name="__________EEE27">#REF!</definedName>
    <definedName name="__________EEE29">#REF!</definedName>
    <definedName name="__________EEE31">#REF!</definedName>
    <definedName name="__________fdd3">#REF!</definedName>
    <definedName name="__________fdu2">#REF!</definedName>
    <definedName name="__________FIT100">#REF!</definedName>
    <definedName name="__________fit125">#REF!</definedName>
    <definedName name="__________FIT150">#REF!</definedName>
    <definedName name="__________FIT200">#REF!</definedName>
    <definedName name="__________FIT300">#REF!</definedName>
    <definedName name="__________FIT65">#REF!</definedName>
    <definedName name="__________fit80">#REF!</definedName>
    <definedName name="__________fjd100">#REF!</definedName>
    <definedName name="__________fjd150">#REF!</definedName>
    <definedName name="__________fjd50">#REF!</definedName>
    <definedName name="__________fjd65">#REF!</definedName>
    <definedName name="__________fmd150">#REF!</definedName>
    <definedName name="__________frc2495">#REF!</definedName>
    <definedName name="__________frc41010">#REF!</definedName>
    <definedName name="__________frc495">#REF!</definedName>
    <definedName name="__________gk2" hidden="1">#REF!</definedName>
    <definedName name="__________grc1">#REF!</definedName>
    <definedName name="__________grc6">#REF!</definedName>
    <definedName name="__________grc8">#REF!</definedName>
    <definedName name="__________gti50">#REF!</definedName>
    <definedName name="__________gti60">#REF!</definedName>
    <definedName name="__________gvd1">#REF!</definedName>
    <definedName name="__________gvd10">#REF!</definedName>
    <definedName name="__________gvd100">#REF!</definedName>
    <definedName name="__________gvd15">#REF!</definedName>
    <definedName name="__________gvd150">#REF!</definedName>
    <definedName name="__________gvd2">#REF!</definedName>
    <definedName name="__________gvd25">#REF!</definedName>
    <definedName name="__________gvd3">#REF!</definedName>
    <definedName name="__________gvd5">#REF!</definedName>
    <definedName name="__________gvd50">#REF!</definedName>
    <definedName name="__________gvd6">#REF!</definedName>
    <definedName name="__________gvd65">#REF!</definedName>
    <definedName name="__________gvd8">#REF!</definedName>
    <definedName name="__________gyf9">#REF!</definedName>
    <definedName name="__________HAL1">#REF!</definedName>
    <definedName name="__________HAL2">#REF!</definedName>
    <definedName name="__________HAL3">#REF!</definedName>
    <definedName name="__________HAL4">#REF!</definedName>
    <definedName name="__________HAL5">#REF!</definedName>
    <definedName name="__________HAL6">#REF!</definedName>
    <definedName name="__________HAL7">#REF!</definedName>
    <definedName name="__________HAL8">#REF!</definedName>
    <definedName name="__________hdw1">#REF!</definedName>
    <definedName name="__________int1">#REF!</definedName>
    <definedName name="__________int2">#REF!</definedName>
    <definedName name="__________IPR1">#REF!</definedName>
    <definedName name="__________IPR21">#REF!</definedName>
    <definedName name="__________jum1">#REF!</definedName>
    <definedName name="__________jum10">#REF!</definedName>
    <definedName name="__________jum2">#REF!</definedName>
    <definedName name="__________jum3">#REF!</definedName>
    <definedName name="__________jum4">#REF!</definedName>
    <definedName name="__________jum5">#REF!</definedName>
    <definedName name="__________jum6">#REF!</definedName>
    <definedName name="__________jum7">#REF!</definedName>
    <definedName name="__________jum8">#REF!</definedName>
    <definedName name="__________jum9">#REF!</definedName>
    <definedName name="__________kco7">#REF!</definedName>
    <definedName name="__________LCM2">#REF!</definedName>
    <definedName name="__________LCM3">#REF!</definedName>
    <definedName name="__________ld100">#REF!</definedName>
    <definedName name="__________ld120">#REF!</definedName>
    <definedName name="__________ld50">#REF!</definedName>
    <definedName name="__________ld60">#REF!</definedName>
    <definedName name="__________ld80">#REF!</definedName>
    <definedName name="__________ldp60">#REF!</definedName>
    <definedName name="__________lh50">#REF!</definedName>
    <definedName name="__________LLL01">#REF!</definedName>
    <definedName name="__________LLL02">#REF!</definedName>
    <definedName name="__________LLL03">#REF!</definedName>
    <definedName name="__________lp100">#REF!</definedName>
    <definedName name="__________lp300">#REF!</definedName>
    <definedName name="__________lp36">#REF!</definedName>
    <definedName name="__________lp500">#REF!</definedName>
    <definedName name="__________lp60">#REF!</definedName>
    <definedName name="__________lpl11">#REF!</definedName>
    <definedName name="__________ls100">#REF!</definedName>
    <definedName name="__________ls50">#REF!</definedName>
    <definedName name="__________ls60">#REF!</definedName>
    <definedName name="__________ls80">#REF!</definedName>
    <definedName name="__________MAC12">#REF!</definedName>
    <definedName name="__________MAC46">#REF!</definedName>
    <definedName name="__________mc2">#REF!</definedName>
    <definedName name="__________MDE35">#REF!</definedName>
    <definedName name="__________MDE36">#REF!</definedName>
    <definedName name="__________MDE37">#REF!</definedName>
    <definedName name="__________MDE38">#REF!</definedName>
    <definedName name="__________MDE39">#REF!</definedName>
    <definedName name="__________MDE40">#REF!</definedName>
    <definedName name="__________MDE41">#REF!</definedName>
    <definedName name="__________MDE42">#REF!</definedName>
    <definedName name="__________MDE43">#REF!</definedName>
    <definedName name="__________MDE44">#REF!</definedName>
    <definedName name="__________MDE45">#REF!</definedName>
    <definedName name="__________MDE46">#REF!</definedName>
    <definedName name="__________MDE47">#REF!</definedName>
    <definedName name="__________MDE48">#REF!</definedName>
    <definedName name="__________MDE49">#REF!</definedName>
    <definedName name="__________MDE50">#REF!</definedName>
    <definedName name="__________MDE51">#REF!</definedName>
    <definedName name="__________MDE52">#REF!</definedName>
    <definedName name="__________MDE53">#REF!</definedName>
    <definedName name="__________MDE54">#REF!</definedName>
    <definedName name="__________MDE55">#REF!</definedName>
    <definedName name="__________MDE56">#REF!</definedName>
    <definedName name="__________MDE57">#REF!</definedName>
    <definedName name="__________MDE58">#REF!</definedName>
    <definedName name="__________MDE59">#REF!</definedName>
    <definedName name="__________MDE60">#REF!</definedName>
    <definedName name="__________MDE61">#REF!</definedName>
    <definedName name="__________MDE62">#REF!</definedName>
    <definedName name="__________MDE63">#REF!</definedName>
    <definedName name="__________MDE64">#REF!</definedName>
    <definedName name="__________MDE65">#REF!</definedName>
    <definedName name="__________MDE66">#REF!</definedName>
    <definedName name="__________MDE67">#REF!</definedName>
    <definedName name="__________MDE68">#REF!</definedName>
    <definedName name="__________ME35">#REF!</definedName>
    <definedName name="__________ME36">#REF!</definedName>
    <definedName name="__________ME37">#REF!</definedName>
    <definedName name="__________ME38">#REF!</definedName>
    <definedName name="__________ME39">#REF!</definedName>
    <definedName name="__________ME40">#REF!</definedName>
    <definedName name="__________ME41">#REF!</definedName>
    <definedName name="__________ME42">#REF!</definedName>
    <definedName name="__________ME43">#REF!</definedName>
    <definedName name="__________ME44">#REF!</definedName>
    <definedName name="__________ME45">#REF!</definedName>
    <definedName name="__________ME46">#REF!</definedName>
    <definedName name="__________ME47">#REF!</definedName>
    <definedName name="__________ME48">#REF!</definedName>
    <definedName name="__________ME49">#REF!</definedName>
    <definedName name="__________ME50">#REF!</definedName>
    <definedName name="__________ME51">#REF!</definedName>
    <definedName name="__________ME52">#REF!</definedName>
    <definedName name="__________ME53">#REF!</definedName>
    <definedName name="__________ME54">#REF!</definedName>
    <definedName name="__________ME55">#REF!</definedName>
    <definedName name="__________ME56">#REF!</definedName>
    <definedName name="__________ME57">#REF!</definedName>
    <definedName name="__________ME58">#REF!</definedName>
    <definedName name="__________ME59">#REF!</definedName>
    <definedName name="__________ME60">#REF!</definedName>
    <definedName name="__________ME61">#REF!</definedName>
    <definedName name="__________ME62">#REF!</definedName>
    <definedName name="__________ME63">#REF!</definedName>
    <definedName name="__________ME64">#REF!</definedName>
    <definedName name="__________ME65">#REF!</definedName>
    <definedName name="__________ME66">#REF!</definedName>
    <definedName name="__________ME67">#REF!</definedName>
    <definedName name="__________ME68">#REF!</definedName>
    <definedName name="__________MMM03">#REF!</definedName>
    <definedName name="__________MMM04">#REF!</definedName>
    <definedName name="__________MMM05">#REF!</definedName>
    <definedName name="__________MMM10">#REF!</definedName>
    <definedName name="__________MMM11">#REF!</definedName>
    <definedName name="__________MMM12">#REF!</definedName>
    <definedName name="__________MMM16">#REF!</definedName>
    <definedName name="__________MMM18">#REF!</definedName>
    <definedName name="__________MMM19">#REF!</definedName>
    <definedName name="__________MMM26">#REF!</definedName>
    <definedName name="__________MMM27">#REF!</definedName>
    <definedName name="__________MMM33">#REF!</definedName>
    <definedName name="__________MMM37">#REF!</definedName>
    <definedName name="__________MMM39">#REF!</definedName>
    <definedName name="__________MMM44">#REF!</definedName>
    <definedName name="__________MMM47">#REF!</definedName>
    <definedName name="__________MMM48">#REF!</definedName>
    <definedName name="__________mu1">#REF!</definedName>
    <definedName name="__________mu2">#REF!</definedName>
    <definedName name="__________mvd1">#REF!</definedName>
    <definedName name="__________mvd2">#REF!</definedName>
    <definedName name="__________mvd3">#REF!</definedName>
    <definedName name="__________mvd4">#REF!</definedName>
    <definedName name="__________NCL100">#REF!</definedName>
    <definedName name="__________NCL200">#REF!</definedName>
    <definedName name="__________NCL250">#REF!</definedName>
    <definedName name="__________nin190">#REF!</definedName>
    <definedName name="__________nym34">#REF!</definedName>
    <definedName name="__________nym46">#REF!</definedName>
    <definedName name="__________nyy2416">#REF!</definedName>
    <definedName name="__________nyy244">#REF!</definedName>
    <definedName name="__________nyy246">#REF!</definedName>
    <definedName name="__________nyy34">#REF!</definedName>
    <definedName name="__________nyy410">#REF!</definedName>
    <definedName name="__________nyy41010">#REF!</definedName>
    <definedName name="__________nyy412050">#REF!</definedName>
    <definedName name="__________nyy412070">#REF!</definedName>
    <definedName name="__________nyy415070">#REF!</definedName>
    <definedName name="__________nyy416">#REF!</definedName>
    <definedName name="__________nyy41616">#REF!</definedName>
    <definedName name="__________nyy42525">#REF!</definedName>
    <definedName name="__________nyy43535">#REF!</definedName>
    <definedName name="__________nyy44">#REF!</definedName>
    <definedName name="__________nyy444">#REF!</definedName>
    <definedName name="__________nyy45050">#REF!</definedName>
    <definedName name="__________nyy46">#REF!</definedName>
    <definedName name="__________nyy466">#REF!</definedName>
    <definedName name="__________nyy47050">#REF!</definedName>
    <definedName name="__________nyy47070">#REF!</definedName>
    <definedName name="__________nyy49570">#REF!</definedName>
    <definedName name="__________P14">#REF!</definedName>
    <definedName name="__________PA1">#REF!</definedName>
    <definedName name="__________PA10">#REF!</definedName>
    <definedName name="__________PA2">#REF!</definedName>
    <definedName name="__________PA3">#REF!</definedName>
    <definedName name="__________PA4">#REF!</definedName>
    <definedName name="__________PA5">#REF!</definedName>
    <definedName name="__________PA6">#REF!</definedName>
    <definedName name="__________PA7">#REF!</definedName>
    <definedName name="__________PA8">#REF!</definedName>
    <definedName name="__________PA9">#REF!</definedName>
    <definedName name="__________pab100">#REF!</definedName>
    <definedName name="__________pab125">#REF!</definedName>
    <definedName name="__________pab126">#REF!</definedName>
    <definedName name="__________pab15">#REF!</definedName>
    <definedName name="__________pab150">#REF!</definedName>
    <definedName name="__________pab2">#REF!</definedName>
    <definedName name="__________pab20">#REF!</definedName>
    <definedName name="__________pab25">#REF!</definedName>
    <definedName name="__________pab32">#REF!</definedName>
    <definedName name="__________pab4">#REF!</definedName>
    <definedName name="__________pab40">#REF!</definedName>
    <definedName name="__________pab50">#REF!</definedName>
    <definedName name="__________pab6">#REF!</definedName>
    <definedName name="__________pab65">#REF!</definedName>
    <definedName name="__________pab80">#REF!</definedName>
    <definedName name="__________pah150">#REF!</definedName>
    <definedName name="__________pak100">#REF!</definedName>
    <definedName name="__________pak150">#REF!</definedName>
    <definedName name="__________pak50">#REF!</definedName>
    <definedName name="__________pak80">#REF!</definedName>
    <definedName name="__________pas15">#REF!</definedName>
    <definedName name="__________PB1">#REF!</definedName>
    <definedName name="__________PB2">#REF!</definedName>
    <definedName name="__________PB3">#REF!</definedName>
    <definedName name="__________pb34">#REF!</definedName>
    <definedName name="__________pb4">#REF!</definedName>
    <definedName name="__________pbf3">#REF!</definedName>
    <definedName name="__________pbf4">#REF!</definedName>
    <definedName name="__________pbs100">#REF!</definedName>
    <definedName name="__________pbs15">#REF!</definedName>
    <definedName name="__________pbs150">#REF!</definedName>
    <definedName name="__________pbs40">#REF!</definedName>
    <definedName name="__________pbs50">#REF!</definedName>
    <definedName name="__________pbs65">#REF!</definedName>
    <definedName name="__________pbs80">#REF!</definedName>
    <definedName name="__________PC1">#REF!</definedName>
    <definedName name="__________pc10">#REF!</definedName>
    <definedName name="__________pc12">#REF!</definedName>
    <definedName name="__________pc2">#REF!</definedName>
    <definedName name="__________pc3">#REF!</definedName>
    <definedName name="__________pc4">#REF!</definedName>
    <definedName name="__________pc5">#REF!</definedName>
    <definedName name="__________pc50">#REF!</definedName>
    <definedName name="__________pc6">#REF!</definedName>
    <definedName name="__________pc8">#REF!</definedName>
    <definedName name="__________pc80">#REF!</definedName>
    <definedName name="__________pcf10">#REF!</definedName>
    <definedName name="__________pcf12">#REF!</definedName>
    <definedName name="__________pcf3">#REF!</definedName>
    <definedName name="__________pcf4">#REF!</definedName>
    <definedName name="__________pcf5">#REF!</definedName>
    <definedName name="__________pcf6">#REF!</definedName>
    <definedName name="__________pcf8">#REF!</definedName>
    <definedName name="__________pcf80">#REF!</definedName>
    <definedName name="__________PCI25">#REF!</definedName>
    <definedName name="__________pd1">#REF!</definedName>
    <definedName name="__________pd2">#REF!</definedName>
    <definedName name="__________pd3">#REF!</definedName>
    <definedName name="__________pdf3">#REF!</definedName>
    <definedName name="__________pek2">#REF!</definedName>
    <definedName name="__________ph100">#REF!</definedName>
    <definedName name="__________ph150">#REF!</definedName>
    <definedName name="__________phf100">#REF!</definedName>
    <definedName name="__________phf150">#REF!</definedName>
    <definedName name="__________pj1">#REF!</definedName>
    <definedName name="__________pj2">#REF!</definedName>
    <definedName name="__________PJ3">#REF!</definedName>
    <definedName name="__________PL1">#REF!</definedName>
    <definedName name="__________PL2">#REF!</definedName>
    <definedName name="__________PL3">#REF!</definedName>
    <definedName name="__________po1000">#REF!</definedName>
    <definedName name="__________por4040">#REF!</definedName>
    <definedName name="__________pv100">#REF!</definedName>
    <definedName name="__________pv40">#REF!</definedName>
    <definedName name="__________pv50">#REF!</definedName>
    <definedName name="__________pv80">#REF!</definedName>
    <definedName name="__________PVC6">#REF!</definedName>
    <definedName name="__________pvf100">#REF!</definedName>
    <definedName name="__________pvf80">#REF!</definedName>
    <definedName name="__________QS1">#REF!</definedName>
    <definedName name="__________QS10">#REF!</definedName>
    <definedName name="__________QS11">#REF!</definedName>
    <definedName name="__________QS12">#REF!</definedName>
    <definedName name="__________QS13">#REF!</definedName>
    <definedName name="__________QS14">#REF!</definedName>
    <definedName name="__________QS15">#REF!</definedName>
    <definedName name="__________QS16">#REF!</definedName>
    <definedName name="__________QS17">#REF!</definedName>
    <definedName name="__________QS18">#REF!</definedName>
    <definedName name="__________QS19">#REF!</definedName>
    <definedName name="__________QS2">#REF!</definedName>
    <definedName name="__________QS20">#REF!</definedName>
    <definedName name="__________QS21">#REF!</definedName>
    <definedName name="__________QS3">#REF!</definedName>
    <definedName name="__________QS4">#REF!</definedName>
    <definedName name="__________QS5">#REF!</definedName>
    <definedName name="__________QS6">#REF!</definedName>
    <definedName name="__________QS7">#REF!</definedName>
    <definedName name="__________QS8">#REF!</definedName>
    <definedName name="__________QS9">#REF!</definedName>
    <definedName name="__________rd4">#REF!</definedName>
    <definedName name="__________rd6">#REF!</definedName>
    <definedName name="__________rd8">#REF!</definedName>
    <definedName name="__________REV3" hidden="1">{#N/A,#N/A,FALSE,"REK-S-TPL";#N/A,#N/A,FALSE,"REK-TPML";#N/A,#N/A,FALSE,"RAB-TEMPEL"}</definedName>
    <definedName name="__________rk100">#REF!</definedName>
    <definedName name="__________rk150">#REF!</definedName>
    <definedName name="__________rk200">#REF!</definedName>
    <definedName name="__________rk300">#REF!</definedName>
    <definedName name="__________rk400">#REF!</definedName>
    <definedName name="__________rk500">#REF!</definedName>
    <definedName name="__________rk600">#REF!</definedName>
    <definedName name="__________rkl1000">#REF!</definedName>
    <definedName name="__________rkl1200">#REF!</definedName>
    <definedName name="__________rkl200">#REF!</definedName>
    <definedName name="__________rkl300">#REF!</definedName>
    <definedName name="__________rkl400">#REF!</definedName>
    <definedName name="__________rkl500">#REF!</definedName>
    <definedName name="__________rkl600">#REF!</definedName>
    <definedName name="__________rkl700">#REF!</definedName>
    <definedName name="__________rkl800">#REF!</definedName>
    <definedName name="__________sc1">#REF!</definedName>
    <definedName name="__________SC2">#REF!</definedName>
    <definedName name="__________sc3">#REF!</definedName>
    <definedName name="__________sfv150">#REF!</definedName>
    <definedName name="__________sh1040">#REF!</definedName>
    <definedName name="__________SN3">#REF!</definedName>
    <definedName name="__________std100">#REF!</definedName>
    <definedName name="__________std150">#REF!</definedName>
    <definedName name="__________std2">#REF!</definedName>
    <definedName name="__________std3">#REF!</definedName>
    <definedName name="__________STD4">#REF!</definedName>
    <definedName name="__________std50">#REF!</definedName>
    <definedName name="__________std65">#REF!</definedName>
    <definedName name="__________ti100">#REF!</definedName>
    <definedName name="__________ti120">#REF!</definedName>
    <definedName name="__________ti50">#REF!</definedName>
    <definedName name="__________ti60">#REF!</definedName>
    <definedName name="__________ti80">#REF!</definedName>
    <definedName name="__________TL1">#REF!</definedName>
    <definedName name="__________TL2">#REF!</definedName>
    <definedName name="__________tl20">#REF!</definedName>
    <definedName name="__________TL3">#REF!</definedName>
    <definedName name="__________tl40">#REF!</definedName>
    <definedName name="__________TLA120">#REF!</definedName>
    <definedName name="__________TLA35">#REF!</definedName>
    <definedName name="__________TLA50">#REF!</definedName>
    <definedName name="__________TLA70">#REF!</definedName>
    <definedName name="__________TLA95">#REF!</definedName>
    <definedName name="__________tlc20">#REF!</definedName>
    <definedName name="__________TSR3">#REF!</definedName>
    <definedName name="__________tsv25">#REF!</definedName>
    <definedName name="__________uls60">#REF!</definedName>
    <definedName name="__________utd1">#REF!</definedName>
    <definedName name="__________utd2">#REF!</definedName>
    <definedName name="__________utd3">#REF!</definedName>
    <definedName name="__________vcd2">#REF!</definedName>
    <definedName name="__________vcd3">#REF!</definedName>
    <definedName name="__________vcd4">#REF!</definedName>
    <definedName name="__________VL100">#REF!</definedName>
    <definedName name="__________VL200">#REF!</definedName>
    <definedName name="__________VL250">#REF!</definedName>
    <definedName name="__________vnt100">#REF!</definedName>
    <definedName name="__________vnt40">#REF!</definedName>
    <definedName name="__________vnt50">#REF!</definedName>
    <definedName name="__________vnt80">#REF!</definedName>
    <definedName name="__________we3">#REF!</definedName>
    <definedName name="_________AAD3">HAJIME:OWARI</definedName>
    <definedName name="_________abs100">#REF!</definedName>
    <definedName name="_________ADD1">STOP2:STOP2E</definedName>
    <definedName name="_________ADD2">STOP:STOPE</definedName>
    <definedName name="_________ADD3">STOP:STOPE</definedName>
    <definedName name="_________ahu100">#REF!</definedName>
    <definedName name="_________ahu150">#REF!</definedName>
    <definedName name="_________ako100">#REF!</definedName>
    <definedName name="_________ako150">#REF!</definedName>
    <definedName name="_________ako50">#REF!</definedName>
    <definedName name="_________ako80">#REF!</definedName>
    <definedName name="_________aku100">#REF!</definedName>
    <definedName name="_________aku150">#REF!</definedName>
    <definedName name="_________ATB1">#REF!</definedName>
    <definedName name="_________ATB2">#REF!</definedName>
    <definedName name="_________ATB3">#REF!</definedName>
    <definedName name="_________ATB4">#REF!</definedName>
    <definedName name="_________bbm10">#REF!</definedName>
    <definedName name="_________bbm3">#REF!</definedName>
    <definedName name="_________bbm5">#REF!</definedName>
    <definedName name="_________bbm8">#REF!</definedName>
    <definedName name="_________bcv100">#REF!</definedName>
    <definedName name="_________bcv125">#REF!</definedName>
    <definedName name="_________bcv150">#REF!</definedName>
    <definedName name="_________bet250">#REF!</definedName>
    <definedName name="_________bet275">#REF!</definedName>
    <definedName name="_________bet300">#REF!</definedName>
    <definedName name="_________bpl32">#REF!</definedName>
    <definedName name="_________bpl9">#REF!</definedName>
    <definedName name="_________bsd1600">#REF!</definedName>
    <definedName name="_________bsd2500">#REF!</definedName>
    <definedName name="_________bsd4000">#REF!</definedName>
    <definedName name="_________btn175">#REF!</definedName>
    <definedName name="_________btn300">#REF!</definedName>
    <definedName name="_________bud3500">#REF!</definedName>
    <definedName name="_________bvd1">#REF!</definedName>
    <definedName name="_________bvd2">#REF!</definedName>
    <definedName name="_________bvd3">#REF!</definedName>
    <definedName name="_________bvd34">#REF!</definedName>
    <definedName name="_________bvd4">#REF!</definedName>
    <definedName name="_________bvd5">#REF!</definedName>
    <definedName name="_________bvd8">#REF!</definedName>
    <definedName name="_________cas80">#REF!</definedName>
    <definedName name="_________cbr30">#REF!</definedName>
    <definedName name="_________cbr80">#REF!</definedName>
    <definedName name="_________cip10">#REF!</definedName>
    <definedName name="_________cip2">#REF!</definedName>
    <definedName name="_________cip3">#REF!</definedName>
    <definedName name="_________cip4">#REF!</definedName>
    <definedName name="_________cip6">#REF!</definedName>
    <definedName name="_________cip8">#REF!</definedName>
    <definedName name="_________cod4">#REF!</definedName>
    <definedName name="_________cor175">#REF!</definedName>
    <definedName name="_________cor225">#REF!</definedName>
    <definedName name="_________cor300">#REF!</definedName>
    <definedName name="_________cvd100">#REF!</definedName>
    <definedName name="_________cvd15">#REF!</definedName>
    <definedName name="_________cvd150">#REF!</definedName>
    <definedName name="_________cvd50">#REF!</definedName>
    <definedName name="_________cvd65">#REF!</definedName>
    <definedName name="_________daf1">#REF!</definedName>
    <definedName name="_________DAF10">#REF!</definedName>
    <definedName name="_________daf2">#REF!</definedName>
    <definedName name="_________daf31">#REF!</definedName>
    <definedName name="_________daf32">#REF!</definedName>
    <definedName name="_________daf33">#REF!</definedName>
    <definedName name="_________ddn400">#REF!</definedName>
    <definedName name="_________ddn600">#REF!</definedName>
    <definedName name="_________dia6">#REF!</definedName>
    <definedName name="_________DIV1">#REF!</definedName>
    <definedName name="_________DIV10">#REF!</definedName>
    <definedName name="_________DIV11">#REF!</definedName>
    <definedName name="_________DIV2">#REF!</definedName>
    <definedName name="_________DIV3">#REF!</definedName>
    <definedName name="_________DIV4">#REF!</definedName>
    <definedName name="_________DIV5">#REF!</definedName>
    <definedName name="_________DIV6">#REF!</definedName>
    <definedName name="_________DIV7">#REF!</definedName>
    <definedName name="_________DIV8">#REF!</definedName>
    <definedName name="_________DIV9">#REF!</definedName>
    <definedName name="_________dlh20">#REF!</definedName>
    <definedName name="_________dlh50">#REF!</definedName>
    <definedName name="_________dot2020">#REF!</definedName>
    <definedName name="_________EEE02">#REF!</definedName>
    <definedName name="_________EEE05">#REF!</definedName>
    <definedName name="_________EEE06">#REF!</definedName>
    <definedName name="_________EEE07">#REF!</definedName>
    <definedName name="_________EEE08">#REF!</definedName>
    <definedName name="_________EEE09">#REF!</definedName>
    <definedName name="_________EEE10">#REF!</definedName>
    <definedName name="_________EEE11">#REF!</definedName>
    <definedName name="_________EEE13">#REF!</definedName>
    <definedName name="_________EEE15">#REF!</definedName>
    <definedName name="_________EEE16">#REF!</definedName>
    <definedName name="_________EEE17">#REF!</definedName>
    <definedName name="_________EEE19">#REF!</definedName>
    <definedName name="_________EEE22">#REF!</definedName>
    <definedName name="_________EEE23">#REF!</definedName>
    <definedName name="_________EEE27">#REF!</definedName>
    <definedName name="_________EEE29">#REF!</definedName>
    <definedName name="_________EEE31">#REF!</definedName>
    <definedName name="_________fdd3">#REF!</definedName>
    <definedName name="_________fdu2">#REF!</definedName>
    <definedName name="_________FIT100">#REF!</definedName>
    <definedName name="_________fit125">#REF!</definedName>
    <definedName name="_________FIT150">#REF!</definedName>
    <definedName name="_________FIT200">#REF!</definedName>
    <definedName name="_________FIT300">#REF!</definedName>
    <definedName name="_________FIT65">#REF!</definedName>
    <definedName name="_________fit80">#REF!</definedName>
    <definedName name="_________fjd100">#REF!</definedName>
    <definedName name="_________fjd150">#REF!</definedName>
    <definedName name="_________fjd50">#REF!</definedName>
    <definedName name="_________fjd65">#REF!</definedName>
    <definedName name="_________fmd150">#REF!</definedName>
    <definedName name="_________frc2495">#REF!</definedName>
    <definedName name="_________frc41010">#REF!</definedName>
    <definedName name="_________frc495">#REF!</definedName>
    <definedName name="_________gk2" hidden="1">#REF!</definedName>
    <definedName name="_________grc1">#REF!</definedName>
    <definedName name="_________gti50">#REF!</definedName>
    <definedName name="_________gti60">#REF!</definedName>
    <definedName name="_________gvd1">#REF!</definedName>
    <definedName name="_________gvd10">#REF!</definedName>
    <definedName name="_________gvd100">#REF!</definedName>
    <definedName name="_________gvd15">#REF!</definedName>
    <definedName name="_________gvd150">#REF!</definedName>
    <definedName name="_________gvd2">#REF!</definedName>
    <definedName name="_________gvd25">#REF!</definedName>
    <definedName name="_________gvd3">#REF!</definedName>
    <definedName name="_________gvd5">#REF!</definedName>
    <definedName name="_________gvd50">#REF!</definedName>
    <definedName name="_________gvd6">#REF!</definedName>
    <definedName name="_________gvd65">#REF!</definedName>
    <definedName name="_________gvd8">#REF!</definedName>
    <definedName name="_________HAL1">#REF!</definedName>
    <definedName name="_________HAL2">#REF!</definedName>
    <definedName name="_________HAL3">#REF!</definedName>
    <definedName name="_________HAL4">#REF!</definedName>
    <definedName name="_________HAL5">#REF!</definedName>
    <definedName name="_________HAL6">#REF!</definedName>
    <definedName name="_________HAL7">#REF!</definedName>
    <definedName name="_________HAL8">#REF!</definedName>
    <definedName name="_________hdw1">#REF!</definedName>
    <definedName name="_________int1">#REF!</definedName>
    <definedName name="_________int2">#REF!</definedName>
    <definedName name="_________IPR1">#REF!</definedName>
    <definedName name="_________IPR21">#REF!</definedName>
    <definedName name="_________jum1">#REF!</definedName>
    <definedName name="_________jum10">#REF!</definedName>
    <definedName name="_________jum2">#REF!</definedName>
    <definedName name="_________jum3">#REF!</definedName>
    <definedName name="_________jum4">#REF!</definedName>
    <definedName name="_________jum5">#REF!</definedName>
    <definedName name="_________jum6">#REF!</definedName>
    <definedName name="_________jum7">#REF!</definedName>
    <definedName name="_________jum8">#REF!</definedName>
    <definedName name="_________jum9">#REF!</definedName>
    <definedName name="_________kco7">#REF!</definedName>
    <definedName name="_________LCM2">#REF!</definedName>
    <definedName name="_________LCM3">#REF!</definedName>
    <definedName name="_________ld100">#REF!</definedName>
    <definedName name="_________ld120">#REF!</definedName>
    <definedName name="_________ld50">#REF!</definedName>
    <definedName name="_________ld60">#REF!</definedName>
    <definedName name="_________ld80">#REF!</definedName>
    <definedName name="_________ldp60">#REF!</definedName>
    <definedName name="_________lh50">#REF!</definedName>
    <definedName name="_________LLL01">#REF!</definedName>
    <definedName name="_________LLL02">#REF!</definedName>
    <definedName name="_________LLL03">#REF!</definedName>
    <definedName name="_________lp100">#REF!</definedName>
    <definedName name="_________lp300">#REF!</definedName>
    <definedName name="_________lp36">#REF!</definedName>
    <definedName name="_________lp500">#REF!</definedName>
    <definedName name="_________lp60">#REF!</definedName>
    <definedName name="_________lpl11">#REF!</definedName>
    <definedName name="_________ls100">#REF!</definedName>
    <definedName name="_________ls50">#REF!</definedName>
    <definedName name="_________ls60">#REF!</definedName>
    <definedName name="_________ls80">#REF!</definedName>
    <definedName name="_________MAC12">#REF!</definedName>
    <definedName name="_________MAC46">#REF!</definedName>
    <definedName name="_________mc2">#REF!</definedName>
    <definedName name="_________MDE01">#REF!</definedName>
    <definedName name="_________MDE02">#REF!</definedName>
    <definedName name="_________MDE03">#REF!</definedName>
    <definedName name="_________MDE04">#REF!</definedName>
    <definedName name="_________MDE05">#REF!</definedName>
    <definedName name="_________MDE06">#REF!</definedName>
    <definedName name="_________MDE07">#REF!</definedName>
    <definedName name="_________MDE08">#REF!</definedName>
    <definedName name="_________MDE09">#REF!</definedName>
    <definedName name="_________MDE10">#REF!</definedName>
    <definedName name="_________MDE11">#REF!</definedName>
    <definedName name="_________MDE12">#REF!</definedName>
    <definedName name="_________MDE13">#REF!</definedName>
    <definedName name="_________MDE14">#REF!</definedName>
    <definedName name="_________MDE15">#REF!</definedName>
    <definedName name="_________MDE16">#REF!</definedName>
    <definedName name="_________MDE17">#REF!</definedName>
    <definedName name="_________MDE18">#REF!</definedName>
    <definedName name="_________MDE19">#REF!</definedName>
    <definedName name="_________MDE20">#REF!</definedName>
    <definedName name="_________MDE21">#REF!</definedName>
    <definedName name="_________MDE22">#REF!</definedName>
    <definedName name="_________MDE23">#REF!</definedName>
    <definedName name="_________MDE24">#REF!</definedName>
    <definedName name="_________MDE25">#REF!</definedName>
    <definedName name="_________MDE26">#REF!</definedName>
    <definedName name="_________MDE27">#REF!</definedName>
    <definedName name="_________MDE28">#REF!</definedName>
    <definedName name="_________MDE29">#REF!</definedName>
    <definedName name="_________MDE30">#REF!</definedName>
    <definedName name="_________MDE31">#REF!</definedName>
    <definedName name="_________MDE32">#REF!</definedName>
    <definedName name="_________MDE33">#REF!</definedName>
    <definedName name="_________MDE34">#REF!</definedName>
    <definedName name="_________MDE35">#REF!</definedName>
    <definedName name="_________MDE36">#REF!</definedName>
    <definedName name="_________MDE37">#REF!</definedName>
    <definedName name="_________MDE38">#REF!</definedName>
    <definedName name="_________MDE39">#REF!</definedName>
    <definedName name="_________MDE40">#REF!</definedName>
    <definedName name="_________MDE41">#REF!</definedName>
    <definedName name="_________MDE42">#REF!</definedName>
    <definedName name="_________MDE43">#REF!</definedName>
    <definedName name="_________MDE44">#REF!</definedName>
    <definedName name="_________MDE45">#REF!</definedName>
    <definedName name="_________MDE46">#REF!</definedName>
    <definedName name="_________MDE47">#REF!</definedName>
    <definedName name="_________MDE48">#REF!</definedName>
    <definedName name="_________MDE49">#REF!</definedName>
    <definedName name="_________MDE50">#REF!</definedName>
    <definedName name="_________MDE51">#REF!</definedName>
    <definedName name="_________MDE52">#REF!</definedName>
    <definedName name="_________MDE53">#REF!</definedName>
    <definedName name="_________MDE54">#REF!</definedName>
    <definedName name="_________MDE55">#REF!</definedName>
    <definedName name="_________MDE56">#REF!</definedName>
    <definedName name="_________MDE57">#REF!</definedName>
    <definedName name="_________MDE58">#REF!</definedName>
    <definedName name="_________MDE59">#REF!</definedName>
    <definedName name="_________MDE60">#REF!</definedName>
    <definedName name="_________MDE61">#REF!</definedName>
    <definedName name="_________MDE62">#REF!</definedName>
    <definedName name="_________MDE63">#REF!</definedName>
    <definedName name="_________MDE64">#REF!</definedName>
    <definedName name="_________MDE65">#REF!</definedName>
    <definedName name="_________MDE66">#REF!</definedName>
    <definedName name="_________MDE67">#REF!</definedName>
    <definedName name="_________MDE68">#REF!</definedName>
    <definedName name="_________ME01">#REF!</definedName>
    <definedName name="_________ME02">#REF!</definedName>
    <definedName name="_________ME03">#REF!</definedName>
    <definedName name="_________ME04">#REF!</definedName>
    <definedName name="_________ME05">#REF!</definedName>
    <definedName name="_________ME06">#REF!</definedName>
    <definedName name="_________ME07">#REF!</definedName>
    <definedName name="_________ME08">#REF!</definedName>
    <definedName name="_________ME09">#REF!</definedName>
    <definedName name="_________ME10">#REF!</definedName>
    <definedName name="_________ME11">#REF!</definedName>
    <definedName name="_________ME12">#REF!</definedName>
    <definedName name="_________ME13">#REF!</definedName>
    <definedName name="_________ME14">#REF!</definedName>
    <definedName name="_________ME15">#REF!</definedName>
    <definedName name="_________ME16">#REF!</definedName>
    <definedName name="_________ME17">#REF!</definedName>
    <definedName name="_________ME18">#REF!</definedName>
    <definedName name="_________ME19">#REF!</definedName>
    <definedName name="_________ME20">#REF!</definedName>
    <definedName name="_________ME21">#REF!</definedName>
    <definedName name="_________ME22">#REF!</definedName>
    <definedName name="_________ME23">#REF!</definedName>
    <definedName name="_________ME24">#REF!</definedName>
    <definedName name="_________ME25">#REF!</definedName>
    <definedName name="_________ME26">#REF!</definedName>
    <definedName name="_________ME27">#REF!</definedName>
    <definedName name="_________ME28">#REF!</definedName>
    <definedName name="_________ME29">#REF!</definedName>
    <definedName name="_________ME30">#REF!</definedName>
    <definedName name="_________ME31">#REF!</definedName>
    <definedName name="_________ME32">#REF!</definedName>
    <definedName name="_________ME33">#REF!</definedName>
    <definedName name="_________ME34">#REF!</definedName>
    <definedName name="_________ME35">#REF!</definedName>
    <definedName name="_________ME36">#REF!</definedName>
    <definedName name="_________ME37">#REF!</definedName>
    <definedName name="_________ME38">#REF!</definedName>
    <definedName name="_________ME39">#REF!</definedName>
    <definedName name="_________ME40">#REF!</definedName>
    <definedName name="_________ME41">#REF!</definedName>
    <definedName name="_________ME42">#REF!</definedName>
    <definedName name="_________ME43">#REF!</definedName>
    <definedName name="_________ME44">#REF!</definedName>
    <definedName name="_________ME45">#REF!</definedName>
    <definedName name="_________ME46">#REF!</definedName>
    <definedName name="_________ME47">#REF!</definedName>
    <definedName name="_________ME48">#REF!</definedName>
    <definedName name="_________ME49">#REF!</definedName>
    <definedName name="_________ME50">#REF!</definedName>
    <definedName name="_________ME51">#REF!</definedName>
    <definedName name="_________ME52">#REF!</definedName>
    <definedName name="_________ME53">#REF!</definedName>
    <definedName name="_________ME54">#REF!</definedName>
    <definedName name="_________ME55">#REF!</definedName>
    <definedName name="_________ME56">#REF!</definedName>
    <definedName name="_________ME57">#REF!</definedName>
    <definedName name="_________ME58">#REF!</definedName>
    <definedName name="_________ME59">#REF!</definedName>
    <definedName name="_________ME60">#REF!</definedName>
    <definedName name="_________ME61">#REF!</definedName>
    <definedName name="_________ME62">#REF!</definedName>
    <definedName name="_________ME63">#REF!</definedName>
    <definedName name="_________ME64">#REF!</definedName>
    <definedName name="_________ME65">#REF!</definedName>
    <definedName name="_________ME66">#REF!</definedName>
    <definedName name="_________ME67">#REF!</definedName>
    <definedName name="_________ME68">#REF!</definedName>
    <definedName name="_________MMM03">#REF!</definedName>
    <definedName name="_________MMM04">#REF!</definedName>
    <definedName name="_________MMM05">#REF!</definedName>
    <definedName name="_________MMM10">#REF!</definedName>
    <definedName name="_________MMM11">#REF!</definedName>
    <definedName name="_________MMM12">#REF!</definedName>
    <definedName name="_________MMM16">#REF!</definedName>
    <definedName name="_________MMM18">#REF!</definedName>
    <definedName name="_________MMM19">#REF!</definedName>
    <definedName name="_________MMM26">#REF!</definedName>
    <definedName name="_________MMM27">#REF!</definedName>
    <definedName name="_________MMM33">#REF!</definedName>
    <definedName name="_________MMM37">#REF!</definedName>
    <definedName name="_________MMM38">#REF!</definedName>
    <definedName name="_________MMM39">#REF!</definedName>
    <definedName name="_________MMM44">#REF!</definedName>
    <definedName name="_________MMM47">#REF!</definedName>
    <definedName name="_________MMM48">#REF!</definedName>
    <definedName name="_________mu1">#REF!</definedName>
    <definedName name="_________mu2">#REF!</definedName>
    <definedName name="_________mvd1">#REF!</definedName>
    <definedName name="_________mvd2">#REF!</definedName>
    <definedName name="_________mvd3">#REF!</definedName>
    <definedName name="_________mvd4">#REF!</definedName>
    <definedName name="_________NCL100">#REF!</definedName>
    <definedName name="_________NCL200">#REF!</definedName>
    <definedName name="_________NCL250">#REF!</definedName>
    <definedName name="_________nin190">#REF!</definedName>
    <definedName name="_________nym34">#REF!</definedName>
    <definedName name="_________nym46">#REF!</definedName>
    <definedName name="_________nyy2416">#REF!</definedName>
    <definedName name="_________nyy244">#REF!</definedName>
    <definedName name="_________nyy246">#REF!</definedName>
    <definedName name="_________nyy34">#REF!</definedName>
    <definedName name="_________nyy410">#REF!</definedName>
    <definedName name="_________nyy41010">#REF!</definedName>
    <definedName name="_________nyy412050">#REF!</definedName>
    <definedName name="_________nyy412070">#REF!</definedName>
    <definedName name="_________nyy415070">#REF!</definedName>
    <definedName name="_________nyy416" hidden="1">#REF!</definedName>
    <definedName name="_________nyy41616">#REF!</definedName>
    <definedName name="_________nyy42525">#REF!</definedName>
    <definedName name="_________nyy43535">#REF!</definedName>
    <definedName name="_________nyy44">#REF!</definedName>
    <definedName name="_________nyy444">#REF!</definedName>
    <definedName name="_________nyy45050">#REF!</definedName>
    <definedName name="_________nyy46">#REF!</definedName>
    <definedName name="_________nyy466">#REF!</definedName>
    <definedName name="_________nyy47050">#REF!</definedName>
    <definedName name="_________nyy47070">#REF!</definedName>
    <definedName name="_________nyy49570">#REF!</definedName>
    <definedName name="_________P14">#REF!</definedName>
    <definedName name="_________PA1">#REF!</definedName>
    <definedName name="_________PA10">#REF!</definedName>
    <definedName name="_________PA2">#REF!</definedName>
    <definedName name="_________PA3">#REF!</definedName>
    <definedName name="_________PA4">#REF!</definedName>
    <definedName name="_________PA5">#REF!</definedName>
    <definedName name="_________PA6">#REF!</definedName>
    <definedName name="_________PA7">#REF!</definedName>
    <definedName name="_________PA8">#REF!</definedName>
    <definedName name="_________PA9">#REF!</definedName>
    <definedName name="_________pab100">#REF!</definedName>
    <definedName name="_________pab125">#REF!</definedName>
    <definedName name="_________pab126">#REF!</definedName>
    <definedName name="_________pab15">#REF!</definedName>
    <definedName name="_________pab150">#REF!</definedName>
    <definedName name="_________pab2">#REF!</definedName>
    <definedName name="_________pab20">#REF!</definedName>
    <definedName name="_________pab25">#REF!</definedName>
    <definedName name="_________pab32">#REF!</definedName>
    <definedName name="_________pab4">#REF!</definedName>
    <definedName name="_________pab40">#REF!</definedName>
    <definedName name="_________pab50">#REF!</definedName>
    <definedName name="_________pab6">#REF!</definedName>
    <definedName name="_________pab65">#REF!</definedName>
    <definedName name="_________pab80">#REF!</definedName>
    <definedName name="_________pah150">#REF!</definedName>
    <definedName name="_________pak100">#REF!</definedName>
    <definedName name="_________pak150">#REF!</definedName>
    <definedName name="_________pak50">#REF!</definedName>
    <definedName name="_________pak80">#REF!</definedName>
    <definedName name="_________pas15">#REF!</definedName>
    <definedName name="_________PB1">#REF!</definedName>
    <definedName name="_________PB2">#REF!</definedName>
    <definedName name="_________PB3">#REF!</definedName>
    <definedName name="_________pb34">#REF!</definedName>
    <definedName name="_________pb4">#REF!</definedName>
    <definedName name="_________pbf3">#REF!</definedName>
    <definedName name="_________pbf4">#REF!</definedName>
    <definedName name="_________pbs100">#REF!</definedName>
    <definedName name="_________pbs15">#REF!</definedName>
    <definedName name="_________pbs150">#REF!</definedName>
    <definedName name="_________pbs40">#REF!</definedName>
    <definedName name="_________pbs50">#REF!</definedName>
    <definedName name="_________pbs65">#REF!</definedName>
    <definedName name="_________pbs80">#REF!</definedName>
    <definedName name="_________pc1">#REF!</definedName>
    <definedName name="_________pc10">#REF!</definedName>
    <definedName name="_________pc12">#REF!</definedName>
    <definedName name="_________pc2">#REF!</definedName>
    <definedName name="_________pc3">#REF!</definedName>
    <definedName name="_________pc4">#REF!</definedName>
    <definedName name="_________pc5">#REF!</definedName>
    <definedName name="_________pc50">#REF!</definedName>
    <definedName name="_________pc6">#REF!</definedName>
    <definedName name="_________pc8">#REF!</definedName>
    <definedName name="_________pc80">#REF!</definedName>
    <definedName name="_________pcf10">#REF!</definedName>
    <definedName name="_________pcf12">#REF!</definedName>
    <definedName name="_________pcf3">#REF!</definedName>
    <definedName name="_________pcf4">#REF!</definedName>
    <definedName name="_________pcf5">#REF!</definedName>
    <definedName name="_________pcf6">#REF!</definedName>
    <definedName name="_________pcf8">#REF!</definedName>
    <definedName name="_________pcf80">#REF!</definedName>
    <definedName name="_________PCI25">#REF!</definedName>
    <definedName name="_________pd1">#REF!</definedName>
    <definedName name="_________pd2">#REF!</definedName>
    <definedName name="_________pd3">#REF!</definedName>
    <definedName name="_________pdf3">#REF!</definedName>
    <definedName name="_________pek2">#REF!</definedName>
    <definedName name="_________ph100">#REF!</definedName>
    <definedName name="_________ph150">#REF!</definedName>
    <definedName name="_________phf100">#REF!</definedName>
    <definedName name="_________phf150">#REF!</definedName>
    <definedName name="_________pj1">#REF!</definedName>
    <definedName name="_________pj2">#REF!</definedName>
    <definedName name="_________PJ3">#REF!</definedName>
    <definedName name="_________PL1">#REF!</definedName>
    <definedName name="_________PL2">#REF!</definedName>
    <definedName name="_________PL3">#REF!</definedName>
    <definedName name="_________po1000">#REF!</definedName>
    <definedName name="_________por4040">#REF!</definedName>
    <definedName name="_________pv100">#REF!</definedName>
    <definedName name="_________pv40">#REF!</definedName>
    <definedName name="_________pv50">#REF!</definedName>
    <definedName name="_________pv80">#REF!</definedName>
    <definedName name="_________pvf100">#REF!</definedName>
    <definedName name="_________pvf80">#REF!</definedName>
    <definedName name="_________QS1">#REF!</definedName>
    <definedName name="_________QS10">#REF!</definedName>
    <definedName name="_________QS11">#REF!</definedName>
    <definedName name="_________QS12">#REF!</definedName>
    <definedName name="_________QS13">#REF!</definedName>
    <definedName name="_________QS14">#REF!</definedName>
    <definedName name="_________QS15">#REF!</definedName>
    <definedName name="_________QS16">#REF!</definedName>
    <definedName name="_________QS17">#REF!</definedName>
    <definedName name="_________QS18">#REF!</definedName>
    <definedName name="_________QS19">#REF!</definedName>
    <definedName name="_________QS2">#REF!</definedName>
    <definedName name="_________QS20">#REF!</definedName>
    <definedName name="_________QS21">#REF!</definedName>
    <definedName name="_________QS3">#REF!</definedName>
    <definedName name="_________QS4">#REF!</definedName>
    <definedName name="_________QS5">#REF!</definedName>
    <definedName name="_________QS6">#REF!</definedName>
    <definedName name="_________QS7">#REF!</definedName>
    <definedName name="_________QS8">#REF!</definedName>
    <definedName name="_________QS9">#REF!</definedName>
    <definedName name="_________rd4">#REF!</definedName>
    <definedName name="_________rd6">#REF!</definedName>
    <definedName name="_________rd8">#REF!</definedName>
    <definedName name="_________rk100">#REF!</definedName>
    <definedName name="_________rk150">#REF!</definedName>
    <definedName name="_________rk200">#REF!</definedName>
    <definedName name="_________rk300">#REF!</definedName>
    <definedName name="_________rk400">#REF!</definedName>
    <definedName name="_________rk500">#REF!</definedName>
    <definedName name="_________rk600">#REF!</definedName>
    <definedName name="_________rkl1000">#REF!</definedName>
    <definedName name="_________rkl1200">#REF!</definedName>
    <definedName name="_________rkl200">#REF!</definedName>
    <definedName name="_________rkl300">#REF!</definedName>
    <definedName name="_________rkl400">#REF!</definedName>
    <definedName name="_________rkl500">#REF!</definedName>
    <definedName name="_________rkl600">#REF!</definedName>
    <definedName name="_________rkl700">#REF!</definedName>
    <definedName name="_________rkl800">#REF!</definedName>
    <definedName name="_________sc1">#REF!</definedName>
    <definedName name="_________SC2">#REF!</definedName>
    <definedName name="_________sc3">#REF!</definedName>
    <definedName name="_________sfv150">#REF!</definedName>
    <definedName name="_________sh1040">#REF!</definedName>
    <definedName name="_________SN3">#REF!</definedName>
    <definedName name="_________std100">#REF!</definedName>
    <definedName name="_________std150">#REF!</definedName>
    <definedName name="_________std2">#REF!</definedName>
    <definedName name="_________std3">#REF!</definedName>
    <definedName name="_________std4">#REF!</definedName>
    <definedName name="_________std50">#REF!</definedName>
    <definedName name="_________std65">#REF!</definedName>
    <definedName name="_________ti100">#REF!</definedName>
    <definedName name="_________ti120">#REF!</definedName>
    <definedName name="_________ti50">#REF!</definedName>
    <definedName name="_________ti60">#REF!</definedName>
    <definedName name="_________ti80">#REF!</definedName>
    <definedName name="_________TL1">#REF!</definedName>
    <definedName name="_________TL2">#REF!</definedName>
    <definedName name="_________tl20">#REF!</definedName>
    <definedName name="_________TL3">#REF!</definedName>
    <definedName name="_________tl40">#REF!</definedName>
    <definedName name="_________TLA120">#REF!</definedName>
    <definedName name="_________TLA35">#REF!</definedName>
    <definedName name="_________TLA50">#REF!</definedName>
    <definedName name="_________TLA70">#REF!</definedName>
    <definedName name="_________TLA95">#REF!</definedName>
    <definedName name="_________tlc20">#REF!</definedName>
    <definedName name="_________TSR3">#REF!</definedName>
    <definedName name="_________tsv25">#REF!</definedName>
    <definedName name="_________uls60">#REF!</definedName>
    <definedName name="_________utd1">#REF!</definedName>
    <definedName name="_________utd2">#REF!</definedName>
    <definedName name="_________utd3">#REF!</definedName>
    <definedName name="_________vcd2">#REF!</definedName>
    <definedName name="_________vcd3">#REF!</definedName>
    <definedName name="_________vcd4">#REF!</definedName>
    <definedName name="_________VL100">#REF!</definedName>
    <definedName name="_________VL200">#REF!</definedName>
    <definedName name="_________VL250">#REF!</definedName>
    <definedName name="_________vnt100">#REF!</definedName>
    <definedName name="_________vnt40">#REF!</definedName>
    <definedName name="_________vnt50">#REF!</definedName>
    <definedName name="_________vnt80">#REF!</definedName>
    <definedName name="_________we3">#REF!</definedName>
    <definedName name="________AAD3">#REF!:#REF!</definedName>
    <definedName name="________abs100">#REF!</definedName>
    <definedName name="________ADD1">STOP2:STOP2E</definedName>
    <definedName name="________ahu100">#REF!</definedName>
    <definedName name="________ahu150">#REF!</definedName>
    <definedName name="________ako100">#REF!</definedName>
    <definedName name="________ako150">#REF!</definedName>
    <definedName name="________ako50">#REF!</definedName>
    <definedName name="________ako80">#REF!</definedName>
    <definedName name="________aku100">#REF!</definedName>
    <definedName name="________aku150">#REF!</definedName>
    <definedName name="________alt1">#REF!</definedName>
    <definedName name="________ATB1">#REF!</definedName>
    <definedName name="________ATB2">#REF!</definedName>
    <definedName name="________ATB3">#REF!</definedName>
    <definedName name="________ATB4">#REF!</definedName>
    <definedName name="________bbm10">#REF!</definedName>
    <definedName name="________bbm3">#REF!</definedName>
    <definedName name="________bbm5">#REF!</definedName>
    <definedName name="________bbm8">#REF!</definedName>
    <definedName name="________bcv100">#REF!</definedName>
    <definedName name="________bcv125">#REF!</definedName>
    <definedName name="________bcv150">#REF!</definedName>
    <definedName name="________bet250">#REF!</definedName>
    <definedName name="________bet275">#REF!</definedName>
    <definedName name="________bet300">#REF!</definedName>
    <definedName name="________bpl32">#REF!</definedName>
    <definedName name="________bpl9">#REF!</definedName>
    <definedName name="________bsd1600">#REF!</definedName>
    <definedName name="________bsd2500">#REF!</definedName>
    <definedName name="________bsd4000">#REF!</definedName>
    <definedName name="________btn175">#REF!</definedName>
    <definedName name="________btn300">#REF!</definedName>
    <definedName name="________bud3500">#REF!</definedName>
    <definedName name="________bvd1">#REF!</definedName>
    <definedName name="________bvd2">#REF!</definedName>
    <definedName name="________bvd3">#REF!</definedName>
    <definedName name="________bvd34">#REF!</definedName>
    <definedName name="________bvd4">#REF!</definedName>
    <definedName name="________bvd5">#REF!</definedName>
    <definedName name="________bvd8">#REF!</definedName>
    <definedName name="________cas80">#REF!</definedName>
    <definedName name="________cbr30">#REF!</definedName>
    <definedName name="________cbr80">#REF!</definedName>
    <definedName name="________cip10">#REF!</definedName>
    <definedName name="________cip2">#REF!</definedName>
    <definedName name="________cip3">#REF!</definedName>
    <definedName name="________cip4">#REF!</definedName>
    <definedName name="________cip6">#REF!</definedName>
    <definedName name="________cip8">#REF!</definedName>
    <definedName name="________cod4">#REF!</definedName>
    <definedName name="________cor175">#REF!</definedName>
    <definedName name="________cor225">#REF!</definedName>
    <definedName name="________cor300">#REF!</definedName>
    <definedName name="________cvd100">#REF!</definedName>
    <definedName name="________cvd15">#REF!</definedName>
    <definedName name="________cvd150">#REF!</definedName>
    <definedName name="________cvd50">#REF!</definedName>
    <definedName name="________cvd65">#REF!</definedName>
    <definedName name="________daf1">#REF!</definedName>
    <definedName name="________DAF10">#REF!</definedName>
    <definedName name="________daf2">#REF!</definedName>
    <definedName name="________daf31">#REF!</definedName>
    <definedName name="________daf32">#REF!</definedName>
    <definedName name="________daf33">#REF!</definedName>
    <definedName name="________ddn400">#REF!</definedName>
    <definedName name="________ddn600">#REF!</definedName>
    <definedName name="________dia6">#REF!</definedName>
    <definedName name="________DIV1">#REF!</definedName>
    <definedName name="________DIV10">#REF!</definedName>
    <definedName name="________DIV11">#REF!</definedName>
    <definedName name="________DIV2">#REF!</definedName>
    <definedName name="________DIV3">#REF!</definedName>
    <definedName name="________DIV4">#REF!</definedName>
    <definedName name="________DIV5">#REF!</definedName>
    <definedName name="________DIV6">#REF!</definedName>
    <definedName name="________DIV7">#REF!</definedName>
    <definedName name="________DIV8">#REF!</definedName>
    <definedName name="________DIV9">#REF!</definedName>
    <definedName name="________dlh20">#REF!</definedName>
    <definedName name="________dlh50">#REF!</definedName>
    <definedName name="________dot2020">#REF!</definedName>
    <definedName name="________EEE01">#REF!</definedName>
    <definedName name="________EEE02">#REF!</definedName>
    <definedName name="________EEE03">#REF!</definedName>
    <definedName name="________EEE04">#REF!</definedName>
    <definedName name="________EEE05">#REF!</definedName>
    <definedName name="________EEE06">#REF!</definedName>
    <definedName name="________EEE07">#REF!</definedName>
    <definedName name="________EEE08">#REF!</definedName>
    <definedName name="________EEE09">#REF!</definedName>
    <definedName name="________EEE10">#REF!</definedName>
    <definedName name="________EEE11">#REF!</definedName>
    <definedName name="________EEE12">#REF!</definedName>
    <definedName name="________EEE13">#REF!</definedName>
    <definedName name="________EEE14">#REF!</definedName>
    <definedName name="________EEE15">#REF!</definedName>
    <definedName name="________EEE16">#REF!</definedName>
    <definedName name="________EEE17">#REF!</definedName>
    <definedName name="________EEE18">#REF!</definedName>
    <definedName name="________EEE19">#REF!</definedName>
    <definedName name="________EEE20">#REF!</definedName>
    <definedName name="________EEE21">#REF!</definedName>
    <definedName name="________EEE22">#REF!</definedName>
    <definedName name="________EEE23">#REF!</definedName>
    <definedName name="________EEE24">#REF!</definedName>
    <definedName name="________EEE25">#REF!</definedName>
    <definedName name="________EEE26">#REF!</definedName>
    <definedName name="________EEE27">#REF!</definedName>
    <definedName name="________EEE28">#REF!</definedName>
    <definedName name="________EEE29">#REF!</definedName>
    <definedName name="________EEE30">#REF!</definedName>
    <definedName name="________EEE31">#REF!</definedName>
    <definedName name="________EEE32">#REF!</definedName>
    <definedName name="________EEE33">#REF!</definedName>
    <definedName name="________fdd3">#REF!</definedName>
    <definedName name="________fdu2">#REF!</definedName>
    <definedName name="________FIT100">#REF!</definedName>
    <definedName name="________fit125">#REF!</definedName>
    <definedName name="________FIT150">#REF!</definedName>
    <definedName name="________FIT200">#REF!</definedName>
    <definedName name="________FIT300">#REF!</definedName>
    <definedName name="________FIT65">#REF!</definedName>
    <definedName name="________fit80">#REF!</definedName>
    <definedName name="________fjd100">#REF!</definedName>
    <definedName name="________fjd150">#REF!</definedName>
    <definedName name="________fjd50">#REF!</definedName>
    <definedName name="________fjd65">#REF!</definedName>
    <definedName name="________fmd150">#REF!</definedName>
    <definedName name="________frc2495">#REF!</definedName>
    <definedName name="________frc41010">#REF!</definedName>
    <definedName name="________frc495">#REF!</definedName>
    <definedName name="________gk2" hidden="1">#REF!</definedName>
    <definedName name="________grc1">#REF!</definedName>
    <definedName name="________gti50">#REF!</definedName>
    <definedName name="________gti60">#REF!</definedName>
    <definedName name="________gvd1">#REF!</definedName>
    <definedName name="________gvd10">#REF!</definedName>
    <definedName name="________gvd100">#REF!</definedName>
    <definedName name="________gvd15">#REF!</definedName>
    <definedName name="________gvd150">#REF!</definedName>
    <definedName name="________gvd2">#REF!</definedName>
    <definedName name="________gvd25">#REF!</definedName>
    <definedName name="________gvd3">#REF!</definedName>
    <definedName name="________gvd4">#REF!</definedName>
    <definedName name="________gvd5">#REF!</definedName>
    <definedName name="________gvd50">#REF!</definedName>
    <definedName name="________gvd6">#REF!</definedName>
    <definedName name="________gvd65">#REF!</definedName>
    <definedName name="________gvd8">#REF!</definedName>
    <definedName name="________HAL1">#REF!</definedName>
    <definedName name="________HAL2">#REF!</definedName>
    <definedName name="________HAL3">#REF!</definedName>
    <definedName name="________HAL4">#REF!</definedName>
    <definedName name="________HAL5">#REF!</definedName>
    <definedName name="________HAL6">#REF!</definedName>
    <definedName name="________HAL7">#REF!</definedName>
    <definedName name="________HAL8">#REF!</definedName>
    <definedName name="________hdw1">#REF!</definedName>
    <definedName name="________int1">#REF!</definedName>
    <definedName name="________int2">#REF!</definedName>
    <definedName name="________IPR1">#REF!</definedName>
    <definedName name="________IPR21">#REF!</definedName>
    <definedName name="________jum1">#REF!</definedName>
    <definedName name="________jum10">#REF!</definedName>
    <definedName name="________jum2">#REF!</definedName>
    <definedName name="________jum3">#REF!</definedName>
    <definedName name="________jum4">#REF!</definedName>
    <definedName name="________jum5">#REF!</definedName>
    <definedName name="________jum6">#REF!</definedName>
    <definedName name="________jum7">#REF!</definedName>
    <definedName name="________jum8">#REF!</definedName>
    <definedName name="________jum9">#REF!</definedName>
    <definedName name="________kco7">#REF!</definedName>
    <definedName name="________LCM2">#REF!</definedName>
    <definedName name="________LCM3">#REF!</definedName>
    <definedName name="________ld100">#REF!</definedName>
    <definedName name="________ld120">#REF!</definedName>
    <definedName name="________ld50">#REF!</definedName>
    <definedName name="________ld60">#REF!</definedName>
    <definedName name="________ld80">#REF!</definedName>
    <definedName name="________ldp60">#REF!</definedName>
    <definedName name="________lh50">#REF!</definedName>
    <definedName name="________LLL01">#REF!</definedName>
    <definedName name="________LLL02">#REF!</definedName>
    <definedName name="________LLL03">#REF!</definedName>
    <definedName name="________LLL11">#REF!</definedName>
    <definedName name="________lp100">#REF!</definedName>
    <definedName name="________lp300">#REF!</definedName>
    <definedName name="________lp36">#REF!</definedName>
    <definedName name="________lp500">#REF!</definedName>
    <definedName name="________lp60">#REF!</definedName>
    <definedName name="________lpl11">#REF!</definedName>
    <definedName name="________ls100">#REF!</definedName>
    <definedName name="________ls50">#REF!</definedName>
    <definedName name="________ls60">#REF!</definedName>
    <definedName name="________ls80">#REF!</definedName>
    <definedName name="________MAC12">#REF!</definedName>
    <definedName name="________MAC46">#REF!</definedName>
    <definedName name="________mc2">#REF!</definedName>
    <definedName name="________MDE01">#REF!</definedName>
    <definedName name="________MDE02">#REF!</definedName>
    <definedName name="________MDE03">#REF!</definedName>
    <definedName name="________MDE04">#REF!</definedName>
    <definedName name="________MDE05">#REF!</definedName>
    <definedName name="________MDE06">#REF!</definedName>
    <definedName name="________MDE07">#REF!</definedName>
    <definedName name="________MDE08">#REF!</definedName>
    <definedName name="________MDE09">#REF!</definedName>
    <definedName name="________MDE10">#REF!</definedName>
    <definedName name="________MDE11">#REF!</definedName>
    <definedName name="________MDE12">#REF!</definedName>
    <definedName name="________MDE13">#REF!</definedName>
    <definedName name="________MDE14">#REF!</definedName>
    <definedName name="________MDE15">#REF!</definedName>
    <definedName name="________MDE16">#REF!</definedName>
    <definedName name="________MDE17">#REF!</definedName>
    <definedName name="________MDE18">#REF!</definedName>
    <definedName name="________MDE19">#REF!</definedName>
    <definedName name="________MDE20">#REF!</definedName>
    <definedName name="________MDE21">#REF!</definedName>
    <definedName name="________MDE22">#REF!</definedName>
    <definedName name="________MDE23">#REF!</definedName>
    <definedName name="________MDE24">#REF!</definedName>
    <definedName name="________MDE25">#REF!</definedName>
    <definedName name="________MDE26">#REF!</definedName>
    <definedName name="________MDE27">#REF!</definedName>
    <definedName name="________MDE28">#REF!</definedName>
    <definedName name="________MDE29">#REF!</definedName>
    <definedName name="________MDE30">#REF!</definedName>
    <definedName name="________MDE31">#REF!</definedName>
    <definedName name="________MDE32">#REF!</definedName>
    <definedName name="________MDE33">#REF!</definedName>
    <definedName name="________MDE34">#REF!</definedName>
    <definedName name="________MDE35">#REF!</definedName>
    <definedName name="________MDE36">#REF!</definedName>
    <definedName name="________MDE37">#REF!</definedName>
    <definedName name="________MDE38">#REF!</definedName>
    <definedName name="________MDE39">#REF!</definedName>
    <definedName name="________MDE40">#REF!</definedName>
    <definedName name="________MDE41">#REF!</definedName>
    <definedName name="________MDE42">#REF!</definedName>
    <definedName name="________MDE43">#REF!</definedName>
    <definedName name="________MDE44">#REF!</definedName>
    <definedName name="________MDE45">#REF!</definedName>
    <definedName name="________MDE46">#REF!</definedName>
    <definedName name="________MDE47">#REF!</definedName>
    <definedName name="________MDE48">#REF!</definedName>
    <definedName name="________MDE49">#REF!</definedName>
    <definedName name="________MDE50">#REF!</definedName>
    <definedName name="________MDE51">#REF!</definedName>
    <definedName name="________MDE52">#REF!</definedName>
    <definedName name="________MDE53">#REF!</definedName>
    <definedName name="________MDE54">#REF!</definedName>
    <definedName name="________MDE55">#REF!</definedName>
    <definedName name="________MDE56">#REF!</definedName>
    <definedName name="________MDE57">#REF!</definedName>
    <definedName name="________MDE58">#REF!</definedName>
    <definedName name="________MDE59">#REF!</definedName>
    <definedName name="________MDE60">#REF!</definedName>
    <definedName name="________MDE61">#REF!</definedName>
    <definedName name="________MDE62">#REF!</definedName>
    <definedName name="________MDE63">#REF!</definedName>
    <definedName name="________MDE64">#REF!</definedName>
    <definedName name="________MDE65">#REF!</definedName>
    <definedName name="________MDE66">#REF!</definedName>
    <definedName name="________MDE67">#REF!</definedName>
    <definedName name="________MDE68">#REF!</definedName>
    <definedName name="________ME02">#REF!</definedName>
    <definedName name="________ME03">#REF!</definedName>
    <definedName name="________ME04">#REF!</definedName>
    <definedName name="________ME05">#REF!</definedName>
    <definedName name="________ME06">#REF!</definedName>
    <definedName name="________ME07">#REF!</definedName>
    <definedName name="________ME08">#REF!</definedName>
    <definedName name="________ME09">#REF!</definedName>
    <definedName name="________ME10">#REF!</definedName>
    <definedName name="________ME11">#REF!</definedName>
    <definedName name="________ME12">#REF!</definedName>
    <definedName name="________ME13">#REF!</definedName>
    <definedName name="________ME14">#REF!</definedName>
    <definedName name="________ME15">#REF!</definedName>
    <definedName name="________ME16">#REF!</definedName>
    <definedName name="________ME17">#REF!</definedName>
    <definedName name="________ME18">#REF!</definedName>
    <definedName name="________ME19">#REF!</definedName>
    <definedName name="________ME20">#REF!</definedName>
    <definedName name="________ME21">#REF!</definedName>
    <definedName name="________ME22">#REF!</definedName>
    <definedName name="________ME23">#REF!</definedName>
    <definedName name="________ME24">#REF!</definedName>
    <definedName name="________ME25">#REF!</definedName>
    <definedName name="________ME26">#REF!</definedName>
    <definedName name="________ME27">#REF!</definedName>
    <definedName name="________ME28">#REF!</definedName>
    <definedName name="________ME29">#REF!</definedName>
    <definedName name="________ME30">#REF!</definedName>
    <definedName name="________ME31">#REF!</definedName>
    <definedName name="________ME32">#REF!</definedName>
    <definedName name="________ME33">#REF!</definedName>
    <definedName name="________ME34">#REF!</definedName>
    <definedName name="________ME35">#REF!</definedName>
    <definedName name="________ME36">#REF!</definedName>
    <definedName name="________ME37">#REF!</definedName>
    <definedName name="________ME38">#REF!</definedName>
    <definedName name="________ME39">#REF!</definedName>
    <definedName name="________ME40">#REF!</definedName>
    <definedName name="________ME41">#REF!</definedName>
    <definedName name="________ME42">#REF!</definedName>
    <definedName name="________ME43">#REF!</definedName>
    <definedName name="________ME44">#REF!</definedName>
    <definedName name="________ME45">#REF!</definedName>
    <definedName name="________ME46">#REF!</definedName>
    <definedName name="________ME47">#REF!</definedName>
    <definedName name="________ME48">#REF!</definedName>
    <definedName name="________ME49">#REF!</definedName>
    <definedName name="________ME50">#REF!</definedName>
    <definedName name="________ME51">#REF!</definedName>
    <definedName name="________ME52">#REF!</definedName>
    <definedName name="________ME53">#REF!</definedName>
    <definedName name="________ME54">#REF!</definedName>
    <definedName name="________ME55">#REF!</definedName>
    <definedName name="________ME56">#REF!</definedName>
    <definedName name="________ME57">#REF!</definedName>
    <definedName name="________ME58">#REF!</definedName>
    <definedName name="________ME59">#REF!</definedName>
    <definedName name="________ME60">#REF!</definedName>
    <definedName name="________ME61">#REF!</definedName>
    <definedName name="________ME62">#REF!</definedName>
    <definedName name="________ME63">#REF!</definedName>
    <definedName name="________ME64">#REF!</definedName>
    <definedName name="________ME65">#REF!</definedName>
    <definedName name="________ME66">#REF!</definedName>
    <definedName name="________ME67">#REF!</definedName>
    <definedName name="________ME68">#REF!</definedName>
    <definedName name="________MMM03">#REF!</definedName>
    <definedName name="________MMM04">#REF!</definedName>
    <definedName name="________MMM05">#REF!</definedName>
    <definedName name="________MMM06">#REF!</definedName>
    <definedName name="________MMM10">#REF!</definedName>
    <definedName name="________MMM11">#REF!</definedName>
    <definedName name="________MMM12">#REF!</definedName>
    <definedName name="________MMM16">#REF!</definedName>
    <definedName name="________MMM17">#REF!</definedName>
    <definedName name="________MMM18">#REF!</definedName>
    <definedName name="________MMM19">#REF!</definedName>
    <definedName name="________MMM23">#REF!</definedName>
    <definedName name="________MMM24">#REF!</definedName>
    <definedName name="________MMM25">#REF!</definedName>
    <definedName name="________MMM26">#REF!</definedName>
    <definedName name="________MMM27">#REF!</definedName>
    <definedName name="________MMM29">#REF!</definedName>
    <definedName name="________MMM30">#REF!</definedName>
    <definedName name="________MMM31">#REF!</definedName>
    <definedName name="________MMM32">#REF!</definedName>
    <definedName name="________MMM33">#REF!</definedName>
    <definedName name="________MMM34">#REF!</definedName>
    <definedName name="________MMM35">#REF!</definedName>
    <definedName name="________MMM36">#REF!</definedName>
    <definedName name="________MMM37">#REF!</definedName>
    <definedName name="________MMM38">#REF!</definedName>
    <definedName name="________MMM39">#REF!</definedName>
    <definedName name="________MMM40">#REF!</definedName>
    <definedName name="________MMM43">#REF!</definedName>
    <definedName name="________MMM44">#REF!</definedName>
    <definedName name="________MMM45">#REF!</definedName>
    <definedName name="________MMM46">#REF!</definedName>
    <definedName name="________MMM47">#REF!</definedName>
    <definedName name="________MMM48">#REF!</definedName>
    <definedName name="________MMM49">#REF!</definedName>
    <definedName name="________MMM50">#REF!</definedName>
    <definedName name="________MMM51">#REF!</definedName>
    <definedName name="________MMM52">#REF!</definedName>
    <definedName name="________MMM53">#REF!</definedName>
    <definedName name="________MMM54">#REF!</definedName>
    <definedName name="________mu1">#REF!</definedName>
    <definedName name="________mu2">#REF!</definedName>
    <definedName name="________mvd1">#REF!</definedName>
    <definedName name="________mvd2">#REF!</definedName>
    <definedName name="________mvd3">#REF!</definedName>
    <definedName name="________mvd4">#REF!</definedName>
    <definedName name="________NCL100">#REF!</definedName>
    <definedName name="________NCL200">#REF!</definedName>
    <definedName name="________NCL250">#REF!</definedName>
    <definedName name="________nin190">#REF!</definedName>
    <definedName name="________nym34">#REF!</definedName>
    <definedName name="________nym46">#REF!</definedName>
    <definedName name="________nyy2416">#REF!</definedName>
    <definedName name="________nyy244">#REF!</definedName>
    <definedName name="________nyy246">#REF!</definedName>
    <definedName name="________nyy34">#REF!</definedName>
    <definedName name="________nyy410">#REF!</definedName>
    <definedName name="________nyy41010">#REF!</definedName>
    <definedName name="________nyy412050">#REF!</definedName>
    <definedName name="________nyy412070">#REF!</definedName>
    <definedName name="________nyy415070">#REF!</definedName>
    <definedName name="________nyy416">#REF!</definedName>
    <definedName name="________nyy41616">#REF!</definedName>
    <definedName name="________nyy42525">#REF!</definedName>
    <definedName name="________nyy43535">#REF!</definedName>
    <definedName name="________nyy44">#REF!</definedName>
    <definedName name="________nyy444">#REF!</definedName>
    <definedName name="________nyy45050">#REF!</definedName>
    <definedName name="________nyy46">#REF!</definedName>
    <definedName name="________nyy466">#REF!</definedName>
    <definedName name="________nyy47050">#REF!</definedName>
    <definedName name="________nyy47070">#REF!</definedName>
    <definedName name="________nyy49570">#REF!</definedName>
    <definedName name="________PA1">#REF!</definedName>
    <definedName name="________PA10">#REF!</definedName>
    <definedName name="________PA2">#REF!</definedName>
    <definedName name="________PA3">#REF!</definedName>
    <definedName name="________PA4">#REF!</definedName>
    <definedName name="________PA5">#REF!</definedName>
    <definedName name="________PA6">#REF!</definedName>
    <definedName name="________PA7">#REF!</definedName>
    <definedName name="________PA8">#REF!</definedName>
    <definedName name="________PA9">#REF!</definedName>
    <definedName name="________pab100">#REF!</definedName>
    <definedName name="________pab125">#REF!</definedName>
    <definedName name="________pab126">#REF!</definedName>
    <definedName name="________pab15">#REF!</definedName>
    <definedName name="________pab150">#REF!</definedName>
    <definedName name="________pab2">#REF!</definedName>
    <definedName name="________pab20">#REF!</definedName>
    <definedName name="________pab25">#REF!</definedName>
    <definedName name="________pab32">#REF!</definedName>
    <definedName name="________pab4">#REF!</definedName>
    <definedName name="________pab40">#REF!</definedName>
    <definedName name="________pab50">#REF!</definedName>
    <definedName name="________pab6">#REF!</definedName>
    <definedName name="________pab65">#REF!</definedName>
    <definedName name="________pab80">#REF!</definedName>
    <definedName name="________pah150">#REF!</definedName>
    <definedName name="________pak100">#REF!</definedName>
    <definedName name="________pak150">#REF!</definedName>
    <definedName name="________pak50">#REF!</definedName>
    <definedName name="________pak80">#REF!</definedName>
    <definedName name="________PB1">#REF!</definedName>
    <definedName name="________PB2">#REF!</definedName>
    <definedName name="________PB3">#REF!</definedName>
    <definedName name="________pb34">#REF!</definedName>
    <definedName name="________pb4">#REF!</definedName>
    <definedName name="________pbf3">#REF!</definedName>
    <definedName name="________pbf4">#REF!</definedName>
    <definedName name="________pbs100">#REF!</definedName>
    <definedName name="________pbs15">#REF!</definedName>
    <definedName name="________pbs150">#REF!</definedName>
    <definedName name="________pbs40">#REF!</definedName>
    <definedName name="________pbs50">#REF!</definedName>
    <definedName name="________pbs65">#REF!</definedName>
    <definedName name="________pbs80">#REF!</definedName>
    <definedName name="________pc1">#REF!</definedName>
    <definedName name="________pc10">#REF!</definedName>
    <definedName name="________pc12">#REF!</definedName>
    <definedName name="________pc2">#REF!</definedName>
    <definedName name="________pc3">#REF!</definedName>
    <definedName name="________pc4">#REF!</definedName>
    <definedName name="________pc5">#REF!</definedName>
    <definedName name="________pc50">#REF!</definedName>
    <definedName name="________pc6">#REF!</definedName>
    <definedName name="________pc8">#REF!</definedName>
    <definedName name="________pc80">#REF!</definedName>
    <definedName name="________pcf10">#REF!</definedName>
    <definedName name="________pcf12">#REF!</definedName>
    <definedName name="________pcf3">#REF!</definedName>
    <definedName name="________pcf4">#REF!</definedName>
    <definedName name="________pcf5">#REF!</definedName>
    <definedName name="________pcf6">#REF!</definedName>
    <definedName name="________pcf8">#REF!</definedName>
    <definedName name="________pcf80">#REF!</definedName>
    <definedName name="________PCI25">#REF!</definedName>
    <definedName name="________pd1">#REF!</definedName>
    <definedName name="________pd2">#REF!</definedName>
    <definedName name="________pd3">#REF!</definedName>
    <definedName name="________pdf3">#REF!</definedName>
    <definedName name="________pek2">#REF!</definedName>
    <definedName name="________ph100">#REF!</definedName>
    <definedName name="________ph150">#REF!</definedName>
    <definedName name="________phf100">#REF!</definedName>
    <definedName name="________phf150">#REF!</definedName>
    <definedName name="________PJ2">#REF!</definedName>
    <definedName name="________PJ3">#REF!</definedName>
    <definedName name="________PL1">#REF!</definedName>
    <definedName name="________PL2">#REF!</definedName>
    <definedName name="________PL3">#REF!</definedName>
    <definedName name="________po1000">#REF!</definedName>
    <definedName name="________por4040">#REF!</definedName>
    <definedName name="________pv100">#REF!</definedName>
    <definedName name="________pv40">#REF!</definedName>
    <definedName name="________pv50">#REF!</definedName>
    <definedName name="________pv80">#REF!</definedName>
    <definedName name="________pvf100">#REF!</definedName>
    <definedName name="________pvf80">#REF!</definedName>
    <definedName name="________QS1">#REF!</definedName>
    <definedName name="________QS10">#REF!</definedName>
    <definedName name="________QS11">#REF!</definedName>
    <definedName name="________QS12">#REF!</definedName>
    <definedName name="________QS13">#REF!</definedName>
    <definedName name="________QS14">#REF!</definedName>
    <definedName name="________QS15">#REF!</definedName>
    <definedName name="________QS16">#REF!</definedName>
    <definedName name="________QS17">#REF!</definedName>
    <definedName name="________QS18">#REF!</definedName>
    <definedName name="________QS19">#REF!</definedName>
    <definedName name="________QS2">#REF!</definedName>
    <definedName name="________QS20">#REF!</definedName>
    <definedName name="________QS21">#REF!</definedName>
    <definedName name="________QS3">#REF!</definedName>
    <definedName name="________QS4">#REF!</definedName>
    <definedName name="________QS5">#REF!</definedName>
    <definedName name="________QS6">#REF!</definedName>
    <definedName name="________QS7">#REF!</definedName>
    <definedName name="________QS8">#REF!</definedName>
    <definedName name="________QS9">#REF!</definedName>
    <definedName name="________rd4">#REF!</definedName>
    <definedName name="________rd6">#REF!</definedName>
    <definedName name="________rd8">#REF!</definedName>
    <definedName name="________REV3" hidden="1">{#N/A,#N/A,FALSE,"REK-S-TPL";#N/A,#N/A,FALSE,"REK-TPML";#N/A,#N/A,FALSE,"RAB-TEMPEL"}</definedName>
    <definedName name="________rk100">#REF!</definedName>
    <definedName name="________rk150">#REF!</definedName>
    <definedName name="________rk200">#REF!</definedName>
    <definedName name="________rk300">#REF!</definedName>
    <definedName name="________rk400">#REF!</definedName>
    <definedName name="________rk500">#REF!</definedName>
    <definedName name="________rk600">#REF!</definedName>
    <definedName name="________rkl1000">#REF!</definedName>
    <definedName name="________rkl1200">#REF!</definedName>
    <definedName name="________rkl200">#REF!</definedName>
    <definedName name="________rkl300">#REF!</definedName>
    <definedName name="________rkl400">#REF!</definedName>
    <definedName name="________rkl500">#REF!</definedName>
    <definedName name="________rkl600">#REF!</definedName>
    <definedName name="________rkl700">#REF!</definedName>
    <definedName name="________rkl800">#REF!</definedName>
    <definedName name="________sc1">#REF!</definedName>
    <definedName name="________SC2">#REF!</definedName>
    <definedName name="________sc3">#REF!</definedName>
    <definedName name="________sfv150">#REF!</definedName>
    <definedName name="________sh1040">#REF!</definedName>
    <definedName name="________SN3">#REF!</definedName>
    <definedName name="________std100">#REF!</definedName>
    <definedName name="________std150">#REF!</definedName>
    <definedName name="________std2">#REF!</definedName>
    <definedName name="________std3">#REF!</definedName>
    <definedName name="________std4">#REF!</definedName>
    <definedName name="________std50">#REF!</definedName>
    <definedName name="________std65">#REF!</definedName>
    <definedName name="________ti100">#REF!</definedName>
    <definedName name="________ti120">#REF!</definedName>
    <definedName name="________ti50">#REF!</definedName>
    <definedName name="________ti60">#REF!</definedName>
    <definedName name="________ti80">#REF!</definedName>
    <definedName name="________TL1">#REF!</definedName>
    <definedName name="________TL2">#REF!</definedName>
    <definedName name="________tl20">#REF!</definedName>
    <definedName name="________TL3">#REF!</definedName>
    <definedName name="________tl40">#REF!</definedName>
    <definedName name="________TLA120">#REF!</definedName>
    <definedName name="________TLA35">#REF!</definedName>
    <definedName name="________TLA50">#REF!</definedName>
    <definedName name="________TLA70">#REF!</definedName>
    <definedName name="________TLA95">#REF!</definedName>
    <definedName name="________tlc20">#REF!</definedName>
    <definedName name="________tsI3">#REF!</definedName>
    <definedName name="________TSR3">#REF!</definedName>
    <definedName name="________tsv25">#REF!</definedName>
    <definedName name="________uls60">#REF!</definedName>
    <definedName name="________utd1">#REF!</definedName>
    <definedName name="________utd2">#REF!</definedName>
    <definedName name="________utd3">#REF!</definedName>
    <definedName name="________vcd2">#REF!</definedName>
    <definedName name="________vcd3">#REF!</definedName>
    <definedName name="________vcd4">#REF!</definedName>
    <definedName name="________VL100">#REF!</definedName>
    <definedName name="________VL200">#REF!</definedName>
    <definedName name="________VL250">#REF!</definedName>
    <definedName name="________vnt100">#REF!</definedName>
    <definedName name="________vnt40">#REF!</definedName>
    <definedName name="________vnt50">#REF!</definedName>
    <definedName name="________vnt80">#REF!</definedName>
    <definedName name="________we3">#REF!</definedName>
    <definedName name="_______abs100">#REF!</definedName>
    <definedName name="_______ADD1">STOP2:STOP2E</definedName>
    <definedName name="_______ADD2">#N/A</definedName>
    <definedName name="_______ADD3">#N/A</definedName>
    <definedName name="_______ahu100">#REF!</definedName>
    <definedName name="_______ahu150">#REF!</definedName>
    <definedName name="_______ako100">#REF!</definedName>
    <definedName name="_______ako150">#REF!</definedName>
    <definedName name="_______ako50">#REF!</definedName>
    <definedName name="_______ako80">#REF!</definedName>
    <definedName name="_______aku100">#REF!</definedName>
    <definedName name="_______aku150">#REF!</definedName>
    <definedName name="_______alt1">#REF!</definedName>
    <definedName name="_______ATB1">#REF!</definedName>
    <definedName name="_______ATB2">#REF!</definedName>
    <definedName name="_______ATB3">#REF!</definedName>
    <definedName name="_______ATB4">#REF!</definedName>
    <definedName name="_______bbm10">#REF!</definedName>
    <definedName name="_______bbm3">#REF!</definedName>
    <definedName name="_______bbm5">#REF!</definedName>
    <definedName name="_______bbm8">#REF!</definedName>
    <definedName name="_______bcv100">#REF!</definedName>
    <definedName name="_______bcv125">#REF!</definedName>
    <definedName name="_______bcv150">#REF!</definedName>
    <definedName name="_______bet250">#REF!</definedName>
    <definedName name="_______bet275">#REF!</definedName>
    <definedName name="_______bet300">#REF!</definedName>
    <definedName name="_______bpl32">#REF!</definedName>
    <definedName name="_______bpl9">#REF!</definedName>
    <definedName name="_______bsd1600">#REF!</definedName>
    <definedName name="_______bsd2500">#REF!</definedName>
    <definedName name="_______bsd4000">#REF!</definedName>
    <definedName name="_______btn175">#REF!</definedName>
    <definedName name="_______btn300">#REF!</definedName>
    <definedName name="_______bud3500">#REF!</definedName>
    <definedName name="_______bvd1">#REF!</definedName>
    <definedName name="_______bvd2">#REF!</definedName>
    <definedName name="_______bvd3">#REF!</definedName>
    <definedName name="_______bvd34">#REF!</definedName>
    <definedName name="_______bvd4">#REF!</definedName>
    <definedName name="_______bvd5">#REF!</definedName>
    <definedName name="_______bvd8">#REF!</definedName>
    <definedName name="_______cas80">#REF!</definedName>
    <definedName name="_______cbr30">#REF!</definedName>
    <definedName name="_______cbr80">#REF!</definedName>
    <definedName name="_______cip10">#REF!</definedName>
    <definedName name="_______cip2">#REF!</definedName>
    <definedName name="_______cip3">#REF!</definedName>
    <definedName name="_______cip4">#REF!</definedName>
    <definedName name="_______cip6">#REF!</definedName>
    <definedName name="_______cip8">#REF!</definedName>
    <definedName name="_______cod4">#REF!</definedName>
    <definedName name="_______cod50">#REF!</definedName>
    <definedName name="_______COR123">#REF!</definedName>
    <definedName name="_______COR135">#REF!</definedName>
    <definedName name="_______cor175">#REF!</definedName>
    <definedName name="_______cor225">#REF!</definedName>
    <definedName name="_______cor300">#REF!</definedName>
    <definedName name="_______cvd100">#REF!</definedName>
    <definedName name="_______cvd15">#REF!</definedName>
    <definedName name="_______cvd150">#REF!</definedName>
    <definedName name="_______cvd50">#REF!</definedName>
    <definedName name="_______cvd65">#REF!</definedName>
    <definedName name="_______daf1">#REF!</definedName>
    <definedName name="_______DAF10">#REF!</definedName>
    <definedName name="_______daf2">#REF!</definedName>
    <definedName name="_______daf31">#REF!</definedName>
    <definedName name="_______daf32">#REF!</definedName>
    <definedName name="_______daf33">#REF!</definedName>
    <definedName name="_______ddn400">#REF!</definedName>
    <definedName name="_______ddn600">#REF!</definedName>
    <definedName name="_______dia6">#REF!</definedName>
    <definedName name="_______DIV1">#REF!</definedName>
    <definedName name="_______DIV10">#REF!</definedName>
    <definedName name="_______DIV11">#REF!</definedName>
    <definedName name="_______DIV2">#REF!</definedName>
    <definedName name="_______DIV3">#REF!</definedName>
    <definedName name="_______DIV4">#REF!</definedName>
    <definedName name="_______DIV5">#REF!</definedName>
    <definedName name="_______DIV6">#REF!</definedName>
    <definedName name="_______DIV7">#REF!</definedName>
    <definedName name="_______DIV8">#REF!</definedName>
    <definedName name="_______DIV9">#REF!</definedName>
    <definedName name="_______dlh20">#REF!</definedName>
    <definedName name="_______dlh50">#REF!</definedName>
    <definedName name="_______dot2020">#REF!</definedName>
    <definedName name="_______EEE01">#REF!</definedName>
    <definedName name="_______EEE02">#REF!</definedName>
    <definedName name="_______EEE03">#REF!</definedName>
    <definedName name="_______EEE04">#REF!</definedName>
    <definedName name="_______EEE05">#REF!</definedName>
    <definedName name="_______EEE06">#REF!</definedName>
    <definedName name="_______EEE07">#REF!</definedName>
    <definedName name="_______EEE08">#REF!</definedName>
    <definedName name="_______EEE09">#REF!</definedName>
    <definedName name="_______EEE10">#REF!</definedName>
    <definedName name="_______EEE11">#REF!</definedName>
    <definedName name="_______EEE12">#REF!</definedName>
    <definedName name="_______EEE13">#REF!</definedName>
    <definedName name="_______EEE14">#REF!</definedName>
    <definedName name="_______EEE15">#REF!</definedName>
    <definedName name="_______EEE16">#REF!</definedName>
    <definedName name="_______EEE17">#REF!</definedName>
    <definedName name="_______EEE18">#REF!</definedName>
    <definedName name="_______EEE19">#REF!</definedName>
    <definedName name="_______EEE20">#REF!</definedName>
    <definedName name="_______EEE21">#REF!</definedName>
    <definedName name="_______EEE22">#REF!</definedName>
    <definedName name="_______EEE23">#REF!</definedName>
    <definedName name="_______EEE24">#REF!</definedName>
    <definedName name="_______EEE25">#REF!</definedName>
    <definedName name="_______EEE26">#REF!</definedName>
    <definedName name="_______EEE27">#REF!</definedName>
    <definedName name="_______EEE28">#REF!</definedName>
    <definedName name="_______EEE29">#REF!</definedName>
    <definedName name="_______EEE30">#REF!</definedName>
    <definedName name="_______EEE31">#REF!</definedName>
    <definedName name="_______EEE32">#REF!</definedName>
    <definedName name="_______EEE33">#REF!</definedName>
    <definedName name="_______fdd100">#REF!</definedName>
    <definedName name="_______fdd3">#REF!</definedName>
    <definedName name="_______fdu2">#REF!</definedName>
    <definedName name="_______FIT100">#REF!</definedName>
    <definedName name="_______fit125">#REF!</definedName>
    <definedName name="_______FIT150">#REF!</definedName>
    <definedName name="_______FIT200">#REF!</definedName>
    <definedName name="_______FIT300">#REF!</definedName>
    <definedName name="_______FIT65">#REF!</definedName>
    <definedName name="_______fit80">#REF!</definedName>
    <definedName name="_______fjd100">#REF!</definedName>
    <definedName name="_______fjd150">#REF!</definedName>
    <definedName name="_______fjd50">#REF!</definedName>
    <definedName name="_______fjd65">#REF!</definedName>
    <definedName name="_______fmd150">#REF!</definedName>
    <definedName name="_______frc2495">#REF!</definedName>
    <definedName name="_______frc41010">#REF!</definedName>
    <definedName name="_______frc495">#REF!</definedName>
    <definedName name="_______fvd100">#REF!</definedName>
    <definedName name="_______gk2" hidden="1">#REF!</definedName>
    <definedName name="_______grc1">#REF!</definedName>
    <definedName name="_______gti50">#REF!</definedName>
    <definedName name="_______gti60">#REF!</definedName>
    <definedName name="_______gvd1">#REF!</definedName>
    <definedName name="_______gvd10">#REF!</definedName>
    <definedName name="_______gvd100">#REF!</definedName>
    <definedName name="_______gvd15">#REF!</definedName>
    <definedName name="_______gvd150">#REF!</definedName>
    <definedName name="_______gvd2">#REF!</definedName>
    <definedName name="_______gvd20">#REF!</definedName>
    <definedName name="_______gvd25">#REF!</definedName>
    <definedName name="_______gvd3">#REF!</definedName>
    <definedName name="_______gvd32">#REF!</definedName>
    <definedName name="_______gvd4">#REF!</definedName>
    <definedName name="_______gvd40">#REF!</definedName>
    <definedName name="_______gvd5">#REF!</definedName>
    <definedName name="_______gvd50">#REF!</definedName>
    <definedName name="_______gvd6">#REF!</definedName>
    <definedName name="_______gvd65">#REF!</definedName>
    <definedName name="_______gvd8">#REF!</definedName>
    <definedName name="_______gvd80">#REF!</definedName>
    <definedName name="_______HAL1">#REF!</definedName>
    <definedName name="_______HAL2">#REF!</definedName>
    <definedName name="_______HAL3">#REF!</definedName>
    <definedName name="_______HAL4">#REF!</definedName>
    <definedName name="_______HAL5">#REF!</definedName>
    <definedName name="_______HAL6">#REF!</definedName>
    <definedName name="_______HAL7">#REF!</definedName>
    <definedName name="_______HAL8">#REF!</definedName>
    <definedName name="_______hdw1">#REF!</definedName>
    <definedName name="_______int1">#REF!</definedName>
    <definedName name="_______int2">#REF!</definedName>
    <definedName name="_______IPR1">#REF!</definedName>
    <definedName name="_______IPR21">#REF!</definedName>
    <definedName name="_______jum1">#REF!</definedName>
    <definedName name="_______jum10">#REF!</definedName>
    <definedName name="_______jum2">#REF!</definedName>
    <definedName name="_______jum3">#REF!</definedName>
    <definedName name="_______jum4">#REF!</definedName>
    <definedName name="_______jum5">#REF!</definedName>
    <definedName name="_______jum6">#REF!</definedName>
    <definedName name="_______jum7">#REF!</definedName>
    <definedName name="_______jum8">#REF!</definedName>
    <definedName name="_______jum9">#REF!</definedName>
    <definedName name="_______kco7">#REF!</definedName>
    <definedName name="_______ker1030">#REF!</definedName>
    <definedName name="_______kr15">#REF!</definedName>
    <definedName name="_______krm2020">#REF!</definedName>
    <definedName name="_______krm2025">#REF!</definedName>
    <definedName name="_______krm3030">#REF!</definedName>
    <definedName name="_______krm4040">#REF!</definedName>
    <definedName name="_______LCM2">#REF!</definedName>
    <definedName name="_______LCM3">#REF!</definedName>
    <definedName name="_______ld100">#REF!</definedName>
    <definedName name="_______ld120">#REF!</definedName>
    <definedName name="_______ld50">#REF!</definedName>
    <definedName name="_______ld60">#REF!</definedName>
    <definedName name="_______ld80">#REF!</definedName>
    <definedName name="_______ldp60">#REF!</definedName>
    <definedName name="_______lh50">#REF!</definedName>
    <definedName name="_______LLL01">#REF!</definedName>
    <definedName name="_______LLL02">#REF!</definedName>
    <definedName name="_______LLL03">#REF!</definedName>
    <definedName name="_______lp100">#REF!</definedName>
    <definedName name="_______lp300">#REF!</definedName>
    <definedName name="_______lp36">#REF!</definedName>
    <definedName name="_______lp500">#REF!</definedName>
    <definedName name="_______lp60">#REF!</definedName>
    <definedName name="_______lpl11">#REF!</definedName>
    <definedName name="_______ls100">#REF!</definedName>
    <definedName name="_______ls50">#REF!</definedName>
    <definedName name="_______ls60">#REF!</definedName>
    <definedName name="_______ls80">#REF!</definedName>
    <definedName name="_______MAC12">#REF!</definedName>
    <definedName name="_______MAC46">#REF!</definedName>
    <definedName name="_______mc2">#REF!</definedName>
    <definedName name="_______MDE01">#REF!</definedName>
    <definedName name="_______MDE02">#REF!</definedName>
    <definedName name="_______MDE03">#REF!</definedName>
    <definedName name="_______MDE04">#REF!</definedName>
    <definedName name="_______MDE05">#REF!</definedName>
    <definedName name="_______MDE06">#REF!</definedName>
    <definedName name="_______MDE07">#REF!</definedName>
    <definedName name="_______MDE08">#REF!</definedName>
    <definedName name="_______MDE09">#REF!</definedName>
    <definedName name="_______MDE10">#REF!</definedName>
    <definedName name="_______MDE11">#REF!</definedName>
    <definedName name="_______MDE12">#REF!</definedName>
    <definedName name="_______MDE13">#REF!</definedName>
    <definedName name="_______MDE14">#REF!</definedName>
    <definedName name="_______MDE15">#REF!</definedName>
    <definedName name="_______MDE16">#REF!</definedName>
    <definedName name="_______MDE17">#REF!</definedName>
    <definedName name="_______MDE18">#REF!</definedName>
    <definedName name="_______MDE19">#REF!</definedName>
    <definedName name="_______MDE20">#REF!</definedName>
    <definedName name="_______MDE21">#REF!</definedName>
    <definedName name="_______MDE22">#REF!</definedName>
    <definedName name="_______MDE23">#REF!</definedName>
    <definedName name="_______MDE24">#REF!</definedName>
    <definedName name="_______MDE25">#REF!</definedName>
    <definedName name="_______MDE27">#REF!</definedName>
    <definedName name="_______MDE28">#REF!</definedName>
    <definedName name="_______MDE29">#REF!</definedName>
    <definedName name="_______MDE30">#REF!</definedName>
    <definedName name="_______MDE31">#REF!</definedName>
    <definedName name="_______MDE32">#REF!</definedName>
    <definedName name="_______MDE33">#REF!</definedName>
    <definedName name="_______MDE34">#REF!</definedName>
    <definedName name="_______MDE35">#REF!</definedName>
    <definedName name="_______MDE36">#REF!</definedName>
    <definedName name="_______MDE37">#REF!</definedName>
    <definedName name="_______MDE38">#REF!</definedName>
    <definedName name="_______MDE39">#REF!</definedName>
    <definedName name="_______MDE40">#REF!</definedName>
    <definedName name="_______MDE41">#REF!</definedName>
    <definedName name="_______MDE42">#REF!</definedName>
    <definedName name="_______MDE43">#REF!</definedName>
    <definedName name="_______MDE44">#REF!</definedName>
    <definedName name="_______MDE45">#REF!</definedName>
    <definedName name="_______MDE46">#REF!</definedName>
    <definedName name="_______MDE47">#REF!</definedName>
    <definedName name="_______MDE48">#REF!</definedName>
    <definedName name="_______MDE49">#REF!</definedName>
    <definedName name="_______MDE50">#REF!</definedName>
    <definedName name="_______MDE51">#REF!</definedName>
    <definedName name="_______MDE52">#REF!</definedName>
    <definedName name="_______MDE53">#REF!</definedName>
    <definedName name="_______MDE54">#REF!</definedName>
    <definedName name="_______MDE55">#REF!</definedName>
    <definedName name="_______MDE56">#REF!</definedName>
    <definedName name="_______MDE57">#REF!</definedName>
    <definedName name="_______MDE58">#REF!</definedName>
    <definedName name="_______MDE59">#REF!</definedName>
    <definedName name="_______MDE60">#REF!</definedName>
    <definedName name="_______MDE61">#REF!</definedName>
    <definedName name="_______MDE62">#REF!</definedName>
    <definedName name="_______MDE63">#REF!</definedName>
    <definedName name="_______MDE64">#REF!</definedName>
    <definedName name="_______MDE65">#REF!</definedName>
    <definedName name="_______MDE66">#REF!</definedName>
    <definedName name="_______MDE67">#REF!</definedName>
    <definedName name="_______MDE68">#REF!</definedName>
    <definedName name="_______ME01">#REF!</definedName>
    <definedName name="_______ME02">#REF!</definedName>
    <definedName name="_______ME03">#REF!</definedName>
    <definedName name="_______ME04">#REF!</definedName>
    <definedName name="_______ME05">#REF!</definedName>
    <definedName name="_______ME06">#REF!</definedName>
    <definedName name="_______ME07">#REF!</definedName>
    <definedName name="_______ME08">#REF!</definedName>
    <definedName name="_______ME09">#REF!</definedName>
    <definedName name="_______ME10">#REF!</definedName>
    <definedName name="_______ME11">#REF!</definedName>
    <definedName name="_______ME12">#REF!</definedName>
    <definedName name="_______ME13">#REF!</definedName>
    <definedName name="_______ME14">#REF!</definedName>
    <definedName name="_______ME15">#REF!</definedName>
    <definedName name="_______ME16">#REF!</definedName>
    <definedName name="_______ME17">#REF!</definedName>
    <definedName name="_______ME18">#REF!</definedName>
    <definedName name="_______ME19">#REF!</definedName>
    <definedName name="_______ME20">#REF!</definedName>
    <definedName name="_______ME21">#REF!</definedName>
    <definedName name="_______ME22">#REF!</definedName>
    <definedName name="_______ME23">#REF!</definedName>
    <definedName name="_______ME24">#REF!</definedName>
    <definedName name="_______ME25">#REF!</definedName>
    <definedName name="_______ME27">#REF!</definedName>
    <definedName name="_______ME28">#REF!</definedName>
    <definedName name="_______ME29">#REF!</definedName>
    <definedName name="_______ME30">#REF!</definedName>
    <definedName name="_______ME31">#REF!</definedName>
    <definedName name="_______ME32">#REF!</definedName>
    <definedName name="_______ME33">#REF!</definedName>
    <definedName name="_______ME34">#REF!</definedName>
    <definedName name="_______ME35">#REF!</definedName>
    <definedName name="_______ME36">#REF!</definedName>
    <definedName name="_______ME37">#REF!</definedName>
    <definedName name="_______ME38">#REF!</definedName>
    <definedName name="_______ME39">#REF!</definedName>
    <definedName name="_______ME40">#REF!</definedName>
    <definedName name="_______ME41">#REF!</definedName>
    <definedName name="_______ME42">#REF!</definedName>
    <definedName name="_______ME43">#REF!</definedName>
    <definedName name="_______ME44">#REF!</definedName>
    <definedName name="_______ME45">#REF!</definedName>
    <definedName name="_______ME46">#REF!</definedName>
    <definedName name="_______ME47">#REF!</definedName>
    <definedName name="_______ME48">#REF!</definedName>
    <definedName name="_______ME49">#REF!</definedName>
    <definedName name="_______ME50">#REF!</definedName>
    <definedName name="_______ME51">#REF!</definedName>
    <definedName name="_______ME52">#REF!</definedName>
    <definedName name="_______ME53">#REF!</definedName>
    <definedName name="_______ME54">#REF!</definedName>
    <definedName name="_______ME55">#REF!</definedName>
    <definedName name="_______ME56">#REF!</definedName>
    <definedName name="_______ME57">#REF!</definedName>
    <definedName name="_______ME58">#REF!</definedName>
    <definedName name="_______ME59">#REF!</definedName>
    <definedName name="_______ME60">#REF!</definedName>
    <definedName name="_______ME61">#REF!</definedName>
    <definedName name="_______ME62">#REF!</definedName>
    <definedName name="_______ME63">#REF!</definedName>
    <definedName name="_______ME64">#REF!</definedName>
    <definedName name="_______ME65">#REF!</definedName>
    <definedName name="_______ME66">#REF!</definedName>
    <definedName name="_______ME67">#REF!</definedName>
    <definedName name="_______ME68">#REF!</definedName>
    <definedName name="_______mix300">#REF!</definedName>
    <definedName name="_______MMM03">#REF!</definedName>
    <definedName name="_______MMM04">#REF!</definedName>
    <definedName name="_______MMM05">#REF!</definedName>
    <definedName name="_______MMM10">#REF!</definedName>
    <definedName name="_______MMM11">#REF!</definedName>
    <definedName name="_______MMM12">#REF!</definedName>
    <definedName name="_______MMM16">#REF!</definedName>
    <definedName name="_______MMM18">#REF!</definedName>
    <definedName name="_______MMM19">#REF!</definedName>
    <definedName name="_______MMM26">#REF!</definedName>
    <definedName name="_______MMM27">#REF!</definedName>
    <definedName name="_______MMM33">#REF!</definedName>
    <definedName name="_______MMM37">#REF!</definedName>
    <definedName name="_______MMM38">#REF!</definedName>
    <definedName name="_______MMM39">#REF!</definedName>
    <definedName name="_______MMM42">#REF!</definedName>
    <definedName name="_______MMM44">#REF!</definedName>
    <definedName name="_______MMM47">#REF!</definedName>
    <definedName name="_______MMM48">#REF!</definedName>
    <definedName name="_______MMM51">'[1]4-Basic Price'!$F$110</definedName>
    <definedName name="_______mu1">#REF!</definedName>
    <definedName name="_______mu2">#REF!</definedName>
    <definedName name="_______mu200">#REF!</definedName>
    <definedName name="_______mu300">#REF!</definedName>
    <definedName name="_______mu301">#REF!</definedName>
    <definedName name="_______mu380">#REF!</definedName>
    <definedName name="_______mu400">#REF!</definedName>
    <definedName name="_______mu440">#REF!</definedName>
    <definedName name="_______mu450">#REF!</definedName>
    <definedName name="_______mvd1">#REF!</definedName>
    <definedName name="_______mvd2">#REF!</definedName>
    <definedName name="_______mvd3">#REF!</definedName>
    <definedName name="_______mvd4">#REF!</definedName>
    <definedName name="_______NCL100">#REF!</definedName>
    <definedName name="_______NCL200">#REF!</definedName>
    <definedName name="_______NCL250">#REF!</definedName>
    <definedName name="_______nin190">#REF!</definedName>
    <definedName name="_______nym34">#REF!</definedName>
    <definedName name="_______nym46">#REF!</definedName>
    <definedName name="_______nyy2416">#REF!</definedName>
    <definedName name="_______nyy244">#REF!</definedName>
    <definedName name="_______nyy246">#REF!</definedName>
    <definedName name="_______nyy34">#REF!</definedName>
    <definedName name="_______nyy410">#REF!</definedName>
    <definedName name="_______nyy41010">#REF!</definedName>
    <definedName name="_______nyy412050">#REF!</definedName>
    <definedName name="_______nyy412070">#REF!</definedName>
    <definedName name="_______nyy415070">#REF!</definedName>
    <definedName name="_______nyy416">#REF!</definedName>
    <definedName name="_______nyy41616">#REF!</definedName>
    <definedName name="_______nyy42525">#REF!</definedName>
    <definedName name="_______nyy43535">#REF!</definedName>
    <definedName name="_______nyy44">#REF!</definedName>
    <definedName name="_______nyy444">#REF!</definedName>
    <definedName name="_______nyy45050">#REF!</definedName>
    <definedName name="_______nyy46">#REF!</definedName>
    <definedName name="_______nyy466">#REF!</definedName>
    <definedName name="_______nyy47050">#REF!</definedName>
    <definedName name="_______nyy47070">#REF!</definedName>
    <definedName name="_______nyy49570">#REF!</definedName>
    <definedName name="_______P14">#REF!</definedName>
    <definedName name="_______PA1">#REF!</definedName>
    <definedName name="_______PA10">#REF!</definedName>
    <definedName name="_______PA2">#REF!</definedName>
    <definedName name="_______PA3">#REF!</definedName>
    <definedName name="_______PA4">#REF!</definedName>
    <definedName name="_______PA5">#REF!</definedName>
    <definedName name="_______PA6">#REF!</definedName>
    <definedName name="_______PA7">#REF!</definedName>
    <definedName name="_______PA8">#REF!</definedName>
    <definedName name="_______PA9">#REF!</definedName>
    <definedName name="_______pab100">#REF!</definedName>
    <definedName name="_______pab125">#REF!</definedName>
    <definedName name="_______pab126">#REF!</definedName>
    <definedName name="_______pab15">#REF!</definedName>
    <definedName name="_______pab150">#REF!</definedName>
    <definedName name="_______pab2">#REF!</definedName>
    <definedName name="_______pab20">#REF!</definedName>
    <definedName name="_______pab25">#REF!</definedName>
    <definedName name="_______pab32">#REF!</definedName>
    <definedName name="_______pab4">#REF!</definedName>
    <definedName name="_______pab40">#REF!</definedName>
    <definedName name="_______pab50">#REF!</definedName>
    <definedName name="_______pab6">#REF!</definedName>
    <definedName name="_______pab65">#REF!</definedName>
    <definedName name="_______pab80">#REF!</definedName>
    <definedName name="_______pah150">#REF!</definedName>
    <definedName name="_______pak100">#REF!</definedName>
    <definedName name="_______pak150">#REF!</definedName>
    <definedName name="_______pak50">#REF!</definedName>
    <definedName name="_______pak80">#REF!</definedName>
    <definedName name="_______PAS13">#REF!</definedName>
    <definedName name="_______pas15">#REF!</definedName>
    <definedName name="_______PB1">#REF!</definedName>
    <definedName name="_______PB2">#REF!</definedName>
    <definedName name="_______PB3">#REF!</definedName>
    <definedName name="_______pb34">#REF!</definedName>
    <definedName name="_______pb4">#REF!</definedName>
    <definedName name="_______pbf3">#REF!</definedName>
    <definedName name="_______pbf4">#REF!</definedName>
    <definedName name="_______pbs100">#REF!</definedName>
    <definedName name="_______pbs15">#REF!</definedName>
    <definedName name="_______pbs150">#REF!</definedName>
    <definedName name="_______pbs40">#REF!</definedName>
    <definedName name="_______pbs50">#REF!</definedName>
    <definedName name="_______pbs65">#REF!</definedName>
    <definedName name="_______pbs80">#REF!</definedName>
    <definedName name="_______pc1">#REF!</definedName>
    <definedName name="_______pc10">#REF!</definedName>
    <definedName name="_______pc12">#REF!</definedName>
    <definedName name="_______pc2">#REF!</definedName>
    <definedName name="_______pc3">#REF!</definedName>
    <definedName name="_______pc4">#REF!</definedName>
    <definedName name="_______pc5">#REF!</definedName>
    <definedName name="_______pc50">#REF!</definedName>
    <definedName name="_______pc6">#REF!</definedName>
    <definedName name="_______pc8">#REF!</definedName>
    <definedName name="_______pc80">#REF!</definedName>
    <definedName name="_______PCD10">#REF!</definedName>
    <definedName name="_______PCD3">#REF!</definedName>
    <definedName name="_______PCD6">#REF!</definedName>
    <definedName name="_______PCD8">#REF!</definedName>
    <definedName name="_______pcf10">#REF!</definedName>
    <definedName name="_______pcf12">#REF!</definedName>
    <definedName name="_______pcf3">#REF!</definedName>
    <definedName name="_______pcf4">#REF!</definedName>
    <definedName name="_______pcf5">#REF!</definedName>
    <definedName name="_______pcf6">#REF!</definedName>
    <definedName name="_______pcf8">#REF!</definedName>
    <definedName name="_______pcf80">#REF!</definedName>
    <definedName name="_______PCI25">#REF!</definedName>
    <definedName name="_______pd1">#REF!</definedName>
    <definedName name="_______pd2">#REF!</definedName>
    <definedName name="_______pd3">#REF!</definedName>
    <definedName name="_______pdf3">#REF!</definedName>
    <definedName name="_______pek2">#REF!</definedName>
    <definedName name="_______ph100">#REF!</definedName>
    <definedName name="_______ph150">#REF!</definedName>
    <definedName name="_______phf100">#REF!</definedName>
    <definedName name="_______phf150">#REF!</definedName>
    <definedName name="_______pj1">#REF!</definedName>
    <definedName name="_______pj2">#REF!</definedName>
    <definedName name="_______PJ3">#REF!</definedName>
    <definedName name="_______PL1">#REF!</definedName>
    <definedName name="_______PL2">#REF!</definedName>
    <definedName name="_______PL3">#REF!</definedName>
    <definedName name="_______po1000">#REF!</definedName>
    <definedName name="_______por4040">#REF!</definedName>
    <definedName name="_______pv100">#REF!</definedName>
    <definedName name="_______pv40">#REF!</definedName>
    <definedName name="_______pv50">#REF!</definedName>
    <definedName name="_______pv80">#REF!</definedName>
    <definedName name="_______pvc100">#REF!</definedName>
    <definedName name="_______pvc150">#REF!</definedName>
    <definedName name="_______pvc20">#REF!</definedName>
    <definedName name="_______pvc200">#REF!</definedName>
    <definedName name="_______pvc25">#REF!</definedName>
    <definedName name="_______pvc32">#REF!</definedName>
    <definedName name="_______pvc40">#REF!</definedName>
    <definedName name="_______pvc50">#REF!</definedName>
    <definedName name="_______pvc65">#REF!</definedName>
    <definedName name="_______pvc80">#REF!</definedName>
    <definedName name="_______pvf100">#REF!</definedName>
    <definedName name="_______pvf80">#REF!</definedName>
    <definedName name="_______qmd15">#REF!</definedName>
    <definedName name="_______qmd20">#REF!</definedName>
    <definedName name="_______QS1">#REF!</definedName>
    <definedName name="_______QS10">#REF!</definedName>
    <definedName name="_______QS11">#REF!</definedName>
    <definedName name="_______QS12">#REF!</definedName>
    <definedName name="_______QS13">#REF!</definedName>
    <definedName name="_______QS14">#REF!</definedName>
    <definedName name="_______QS15">#REF!</definedName>
    <definedName name="_______QS16">#REF!</definedName>
    <definedName name="_______QS17">#REF!</definedName>
    <definedName name="_______QS18">#REF!</definedName>
    <definedName name="_______QS19">#REF!</definedName>
    <definedName name="_______QS2">#REF!</definedName>
    <definedName name="_______QS20">#REF!</definedName>
    <definedName name="_______QS21">#REF!</definedName>
    <definedName name="_______QS3">#REF!</definedName>
    <definedName name="_______QS4">#REF!</definedName>
    <definedName name="_______QS5">#REF!</definedName>
    <definedName name="_______QS6">#REF!</definedName>
    <definedName name="_______QS7">#REF!</definedName>
    <definedName name="_______QS8">#REF!</definedName>
    <definedName name="_______QS9">#REF!</definedName>
    <definedName name="_______rd4">#REF!</definedName>
    <definedName name="_______rd6">#REF!</definedName>
    <definedName name="_______rd8">#REF!</definedName>
    <definedName name="_______rdd100">#REF!</definedName>
    <definedName name="_______rdd150">#REF!</definedName>
    <definedName name="_______REV3" hidden="1">{#N/A,#N/A,FALSE,"REK-S-TPL";#N/A,#N/A,FALSE,"REK-TPML";#N/A,#N/A,FALSE,"RAB-TEMPEL"}</definedName>
    <definedName name="_______rk100">#REF!</definedName>
    <definedName name="_______rk150">#REF!</definedName>
    <definedName name="_______rk200">#REF!</definedName>
    <definedName name="_______rk300">#REF!</definedName>
    <definedName name="_______rk400">#REF!</definedName>
    <definedName name="_______rk500">#REF!</definedName>
    <definedName name="_______rk600">#REF!</definedName>
    <definedName name="_______rkl1000">#REF!</definedName>
    <definedName name="_______rkl1200">#REF!</definedName>
    <definedName name="_______rkl200">#REF!</definedName>
    <definedName name="_______rkl300">#REF!</definedName>
    <definedName name="_______rkl400">#REF!</definedName>
    <definedName name="_______rkl500">#REF!</definedName>
    <definedName name="_______rkl600">#REF!</definedName>
    <definedName name="_______rkl700">#REF!</definedName>
    <definedName name="_______rkl800">#REF!</definedName>
    <definedName name="_______sc1">#REF!</definedName>
    <definedName name="_______SC2">#REF!</definedName>
    <definedName name="_______sc3">#REF!</definedName>
    <definedName name="_______sfv150">#REF!</definedName>
    <definedName name="_______sh1040">#REF!</definedName>
    <definedName name="_______SN3">#REF!</definedName>
    <definedName name="_______std100">#REF!</definedName>
    <definedName name="_______std150">#REF!</definedName>
    <definedName name="_______std2">#REF!</definedName>
    <definedName name="_______std3">#REF!</definedName>
    <definedName name="_______std4">#REF!</definedName>
    <definedName name="_______std50">#REF!</definedName>
    <definedName name="_______std65">#REF!</definedName>
    <definedName name="_______ti100">#REF!</definedName>
    <definedName name="_______ti120">#REF!</definedName>
    <definedName name="_______ti50">#REF!</definedName>
    <definedName name="_______ti60">#REF!</definedName>
    <definedName name="_______ti80">#REF!</definedName>
    <definedName name="_______TL1">#REF!</definedName>
    <definedName name="_______TL2">#REF!</definedName>
    <definedName name="_______tl20">#REF!</definedName>
    <definedName name="_______TL3">#REF!</definedName>
    <definedName name="_______tl40">#REF!</definedName>
    <definedName name="_______TLA120">#REF!</definedName>
    <definedName name="_______TLA35">#REF!</definedName>
    <definedName name="_______TLA50">#REF!</definedName>
    <definedName name="_______TLA70">#REF!</definedName>
    <definedName name="_______TLA95">#REF!</definedName>
    <definedName name="_______tlc20">#REF!</definedName>
    <definedName name="_______tsI3">#REF!</definedName>
    <definedName name="_______TSR3">#REF!</definedName>
    <definedName name="_______tsv25">#REF!</definedName>
    <definedName name="_______uls60">#REF!</definedName>
    <definedName name="_______utd1">#REF!</definedName>
    <definedName name="_______utd2">#REF!</definedName>
    <definedName name="_______utd3">#REF!</definedName>
    <definedName name="_______vcd2">#REF!</definedName>
    <definedName name="_______vcd3">#REF!</definedName>
    <definedName name="_______vcd4">#REF!</definedName>
    <definedName name="_______VL100">#REF!</definedName>
    <definedName name="_______VL200">#REF!</definedName>
    <definedName name="_______VL250">#REF!</definedName>
    <definedName name="_______vnt100">#REF!</definedName>
    <definedName name="_______vnt40">#REF!</definedName>
    <definedName name="_______vnt50">#REF!</definedName>
    <definedName name="_______vnt80">#REF!</definedName>
    <definedName name="_______WC1">#REF!</definedName>
    <definedName name="_______WC2">#REF!</definedName>
    <definedName name="_______WC3">#REF!</definedName>
    <definedName name="_______we3">#REF!</definedName>
    <definedName name="______aaa1">#REF!</definedName>
    <definedName name="______AAD3">#REF!:#REF!</definedName>
    <definedName name="______abs100">#REF!</definedName>
    <definedName name="______ADD1">STOP2:STOP2E</definedName>
    <definedName name="______ADD2">#REF!:STOPE</definedName>
    <definedName name="______ADD3">#REF!:STOPE</definedName>
    <definedName name="______ahu100">#REF!</definedName>
    <definedName name="______ahu150">#REF!</definedName>
    <definedName name="______ako100">#REF!</definedName>
    <definedName name="______ako150">#REF!</definedName>
    <definedName name="______ako50">#REF!</definedName>
    <definedName name="______ako80">#REF!</definedName>
    <definedName name="______aku100">#REF!</definedName>
    <definedName name="______aku150">#REF!</definedName>
    <definedName name="______alt1">#REF!</definedName>
    <definedName name="______ana1">#REF!</definedName>
    <definedName name="______ana10">#REF!</definedName>
    <definedName name="______ana100">#REF!</definedName>
    <definedName name="______ana101">#REF!</definedName>
    <definedName name="______ana102">#REF!</definedName>
    <definedName name="______ana103">#REF!</definedName>
    <definedName name="______ana104">#REF!</definedName>
    <definedName name="______ana105">#REF!</definedName>
    <definedName name="______ana106">#REF!</definedName>
    <definedName name="______ana107">#REF!</definedName>
    <definedName name="______ana108">#REF!</definedName>
    <definedName name="______ana109">#REF!</definedName>
    <definedName name="______ana11">#REF!</definedName>
    <definedName name="______ana110">#REF!</definedName>
    <definedName name="______ana111">#REF!</definedName>
    <definedName name="______ana112">#REF!</definedName>
    <definedName name="______ana113">#REF!</definedName>
    <definedName name="______ana114">#REF!</definedName>
    <definedName name="______ana115">#REF!</definedName>
    <definedName name="______ana116">#REF!</definedName>
    <definedName name="______ana117">#REF!</definedName>
    <definedName name="______ana118">#REF!</definedName>
    <definedName name="______ana119">#REF!</definedName>
    <definedName name="______ana12">#REF!</definedName>
    <definedName name="______ana120">#REF!</definedName>
    <definedName name="______ana121">#REF!</definedName>
    <definedName name="______ana122">#REF!</definedName>
    <definedName name="______ana123">#REF!</definedName>
    <definedName name="______ana124">#REF!</definedName>
    <definedName name="______ana13">#REF!</definedName>
    <definedName name="______ana14">#REF!</definedName>
    <definedName name="______ana15">#REF!</definedName>
    <definedName name="______ana16">#REF!</definedName>
    <definedName name="______ana17">#REF!</definedName>
    <definedName name="______ana18">#REF!</definedName>
    <definedName name="______ana19">#REF!</definedName>
    <definedName name="______ana2">#REF!</definedName>
    <definedName name="______ana20">#REF!</definedName>
    <definedName name="______ana21">#REF!</definedName>
    <definedName name="______ana22">#REF!</definedName>
    <definedName name="______ana23">#REF!</definedName>
    <definedName name="______ana24">#REF!</definedName>
    <definedName name="______ana25">#REF!</definedName>
    <definedName name="______ana26">#REF!</definedName>
    <definedName name="______ana27">#REF!</definedName>
    <definedName name="______ana28">#REF!</definedName>
    <definedName name="______ana29">#REF!</definedName>
    <definedName name="______ana3">#REF!</definedName>
    <definedName name="______ana30">#REF!</definedName>
    <definedName name="______ana31">#REF!</definedName>
    <definedName name="______ana32">#REF!</definedName>
    <definedName name="______ana33">#REF!</definedName>
    <definedName name="______ana34">#REF!</definedName>
    <definedName name="______ana35">#REF!</definedName>
    <definedName name="______ana36">#REF!</definedName>
    <definedName name="______ana37">#REF!</definedName>
    <definedName name="______ana38">#REF!</definedName>
    <definedName name="______ana39">#REF!</definedName>
    <definedName name="______ana4">#REF!</definedName>
    <definedName name="______ana40">#REF!</definedName>
    <definedName name="______ana41">#REF!</definedName>
    <definedName name="______ana42">#REF!</definedName>
    <definedName name="______ana43">#REF!</definedName>
    <definedName name="______ana44">#REF!</definedName>
    <definedName name="______ana45">#REF!</definedName>
    <definedName name="______ana46">#REF!</definedName>
    <definedName name="______ana47">#REF!</definedName>
    <definedName name="______ana48">#REF!</definedName>
    <definedName name="______ana49">#REF!</definedName>
    <definedName name="______ana5">#REF!</definedName>
    <definedName name="______ana50">#REF!</definedName>
    <definedName name="______ana51">#REF!</definedName>
    <definedName name="______ana52">#REF!</definedName>
    <definedName name="______ana53">#REF!</definedName>
    <definedName name="______ana54">#REF!</definedName>
    <definedName name="______ana55">#REF!</definedName>
    <definedName name="______ana56">#REF!</definedName>
    <definedName name="______ana57">#REF!</definedName>
    <definedName name="______ana58">#REF!</definedName>
    <definedName name="______ana59">#REF!</definedName>
    <definedName name="______ana6">#REF!</definedName>
    <definedName name="______ana60">#REF!</definedName>
    <definedName name="______ana61">#REF!</definedName>
    <definedName name="______ana62">#REF!</definedName>
    <definedName name="______ana63">#REF!</definedName>
    <definedName name="______ana64">#REF!</definedName>
    <definedName name="______ana65">#REF!</definedName>
    <definedName name="______ana66">#REF!</definedName>
    <definedName name="______ana67">#REF!</definedName>
    <definedName name="______ana68">#REF!</definedName>
    <definedName name="______ana69">#REF!</definedName>
    <definedName name="______ana7">#REF!</definedName>
    <definedName name="______ana70">#REF!</definedName>
    <definedName name="______ana71">#REF!</definedName>
    <definedName name="______ana72">#REF!</definedName>
    <definedName name="______ana73">#REF!</definedName>
    <definedName name="______ana74">#REF!</definedName>
    <definedName name="______ana75">#REF!</definedName>
    <definedName name="______ana76">#REF!</definedName>
    <definedName name="______ana77">#REF!</definedName>
    <definedName name="______ana78">#REF!</definedName>
    <definedName name="______ana79">#REF!</definedName>
    <definedName name="______ana8">#REF!</definedName>
    <definedName name="______ana80">#REF!</definedName>
    <definedName name="______ana81">#REF!</definedName>
    <definedName name="______ana82">#REF!</definedName>
    <definedName name="______ana83">#REF!</definedName>
    <definedName name="______ana84">#REF!</definedName>
    <definedName name="______ana85">#REF!</definedName>
    <definedName name="______ana86">#REF!</definedName>
    <definedName name="______ana87">#REF!</definedName>
    <definedName name="______ana88">#REF!</definedName>
    <definedName name="______ana89">#REF!</definedName>
    <definedName name="______ana9">#REF!</definedName>
    <definedName name="______ana90">#REF!</definedName>
    <definedName name="______ana91">#REF!</definedName>
    <definedName name="______ana92">#REF!</definedName>
    <definedName name="______ana93">#REF!</definedName>
    <definedName name="______ana94">#REF!</definedName>
    <definedName name="______ana95">#REF!</definedName>
    <definedName name="______ana96">#REF!</definedName>
    <definedName name="______ana97">#REF!</definedName>
    <definedName name="______ana98">#REF!</definedName>
    <definedName name="______ana99">#REF!</definedName>
    <definedName name="______ATB1">#REF!</definedName>
    <definedName name="______ATB2">#REF!</definedName>
    <definedName name="______ATB3">#REF!</definedName>
    <definedName name="______ATB4">#REF!</definedName>
    <definedName name="______bbm10">#REF!</definedName>
    <definedName name="______bbm3">#REF!</definedName>
    <definedName name="______bbm5">#REF!</definedName>
    <definedName name="______bbm8">#REF!</definedName>
    <definedName name="______bcv100">#REF!</definedName>
    <definedName name="______bcv125">#REF!</definedName>
    <definedName name="______bcv150">#REF!</definedName>
    <definedName name="______bes39">#REF!</definedName>
    <definedName name="______bes40">#N/A</definedName>
    <definedName name="______bet250">#REF!</definedName>
    <definedName name="______bet275">#REF!</definedName>
    <definedName name="______bet300">#REF!</definedName>
    <definedName name="______BOX2">#REF!</definedName>
    <definedName name="______bpl32">#REF!</definedName>
    <definedName name="______bpl9">#REF!</definedName>
    <definedName name="______bsd1600">#REF!</definedName>
    <definedName name="______bsd2500">#REF!</definedName>
    <definedName name="______bsd4000">#REF!</definedName>
    <definedName name="______btn175">#REF!</definedName>
    <definedName name="______btn300">#REF!</definedName>
    <definedName name="______bud3500">#REF!</definedName>
    <definedName name="______bvd1">#REF!</definedName>
    <definedName name="______bvd2">#REF!</definedName>
    <definedName name="______bvd3">#REF!</definedName>
    <definedName name="______bvd34">#REF!</definedName>
    <definedName name="______bvd4">#REF!</definedName>
    <definedName name="______bvd5">#REF!</definedName>
    <definedName name="______bvd8">#REF!</definedName>
    <definedName name="______CAL1">#REF!</definedName>
    <definedName name="______CAL10">#REF!</definedName>
    <definedName name="______CAL11">#REF!</definedName>
    <definedName name="______CAL12">#REF!</definedName>
    <definedName name="______CAL13">#REF!</definedName>
    <definedName name="______CAL14">#REF!</definedName>
    <definedName name="______CAL15">#REF!</definedName>
    <definedName name="______CAL16">#REF!</definedName>
    <definedName name="______CAL17">#REF!</definedName>
    <definedName name="______CAL18">#REF!</definedName>
    <definedName name="______CAL19">#REF!</definedName>
    <definedName name="______CAL2">#REF!</definedName>
    <definedName name="______CAL20">#REF!</definedName>
    <definedName name="______CAL21">#REF!</definedName>
    <definedName name="______CAL3">#REF!</definedName>
    <definedName name="______CAL4">#REF!</definedName>
    <definedName name="______CAL5">#REF!</definedName>
    <definedName name="______CAL6">#REF!</definedName>
    <definedName name="______CAL7">#REF!</definedName>
    <definedName name="______CAL8">#REF!</definedName>
    <definedName name="______CAL9">#REF!</definedName>
    <definedName name="______cas80">#REF!</definedName>
    <definedName name="______cip10">#REF!</definedName>
    <definedName name="______cip2">#REF!</definedName>
    <definedName name="______cip3">#REF!</definedName>
    <definedName name="______cip4">#REF!</definedName>
    <definedName name="______cip6">#REF!</definedName>
    <definedName name="______cip8">#REF!</definedName>
    <definedName name="______cod4">#REF!</definedName>
    <definedName name="______COR123">#REF!</definedName>
    <definedName name="______COR135">#REF!</definedName>
    <definedName name="______cor175">#REF!</definedName>
    <definedName name="______cor225">#REF!</definedName>
    <definedName name="______cor300">#REF!</definedName>
    <definedName name="______cvd100">#REF!</definedName>
    <definedName name="______cvd15">#REF!</definedName>
    <definedName name="______cvd150">#REF!</definedName>
    <definedName name="______cvd50">#REF!</definedName>
    <definedName name="______cvd65">#REF!</definedName>
    <definedName name="______daf1">#REF!</definedName>
    <definedName name="______DAF10">#REF!</definedName>
    <definedName name="______daf2">#REF!</definedName>
    <definedName name="______daf31">#REF!</definedName>
    <definedName name="______daf32">#REF!</definedName>
    <definedName name="______daf33">#REF!</definedName>
    <definedName name="______ddn400">#REF!</definedName>
    <definedName name="______ddn600">#REF!</definedName>
    <definedName name="______dia6">#REF!</definedName>
    <definedName name="______DIV1">#REF!</definedName>
    <definedName name="______DIV10">#REF!</definedName>
    <definedName name="______DIV11">#REF!</definedName>
    <definedName name="______DIV2">#REF!</definedName>
    <definedName name="______DIV3">#REF!</definedName>
    <definedName name="______DIV4">#REF!</definedName>
    <definedName name="______DIV5">#REF!</definedName>
    <definedName name="______DIV6">#REF!</definedName>
    <definedName name="______DIV7">#REF!</definedName>
    <definedName name="______DIV8">#REF!</definedName>
    <definedName name="______DIV9">#REF!</definedName>
    <definedName name="______dlh20">#REF!</definedName>
    <definedName name="______dlh50">#REF!</definedName>
    <definedName name="______dot2020">#REF!</definedName>
    <definedName name="______EEE01">#REF!</definedName>
    <definedName name="______EEE02">#REF!</definedName>
    <definedName name="______EEE03">#REF!</definedName>
    <definedName name="______EEE04">#REF!</definedName>
    <definedName name="______EEE05">#REF!</definedName>
    <definedName name="______EEE06">#REF!</definedName>
    <definedName name="______EEE07">#REF!</definedName>
    <definedName name="______EEE08">#REF!</definedName>
    <definedName name="______EEE09">#REF!</definedName>
    <definedName name="______EEE10">#REF!</definedName>
    <definedName name="______EEE11">#REF!</definedName>
    <definedName name="______EEE12">#REF!</definedName>
    <definedName name="______EEE13">#REF!</definedName>
    <definedName name="______EEE14">#REF!</definedName>
    <definedName name="______EEE15">#REF!</definedName>
    <definedName name="______EEE16">#REF!</definedName>
    <definedName name="______EEE17">#REF!</definedName>
    <definedName name="______EEE18">#REF!</definedName>
    <definedName name="______EEE19">#REF!</definedName>
    <definedName name="______EEE20">#REF!</definedName>
    <definedName name="______EEE21">#REF!</definedName>
    <definedName name="______EEE22">#REF!</definedName>
    <definedName name="______EEE23">#REF!</definedName>
    <definedName name="______EEE24">#REF!</definedName>
    <definedName name="______EEE25">#REF!</definedName>
    <definedName name="______EEE26">#REF!</definedName>
    <definedName name="______EEE27">#REF!</definedName>
    <definedName name="______EEE28">#REF!</definedName>
    <definedName name="______EEE29">#REF!</definedName>
    <definedName name="______EEE30">#REF!</definedName>
    <definedName name="______EEE31">#REF!</definedName>
    <definedName name="______EEE32">#REF!</definedName>
    <definedName name="______EEE33">#REF!</definedName>
    <definedName name="______fdd3">#REF!</definedName>
    <definedName name="______fdu2">#REF!</definedName>
    <definedName name="______FIT100">#REF!</definedName>
    <definedName name="______fit125">#REF!</definedName>
    <definedName name="______FIT150">#REF!</definedName>
    <definedName name="______FIT200">#REF!</definedName>
    <definedName name="______FIT300">#REF!</definedName>
    <definedName name="______FIT65">#REF!</definedName>
    <definedName name="______fit80">#REF!</definedName>
    <definedName name="______fjd100">#REF!</definedName>
    <definedName name="______fjd150">#REF!</definedName>
    <definedName name="______fjd50">#REF!</definedName>
    <definedName name="______fjd65">#REF!</definedName>
    <definedName name="______fmd150">#REF!</definedName>
    <definedName name="______frc2495">#REF!</definedName>
    <definedName name="______frc41010">#REF!</definedName>
    <definedName name="______frc495">#REF!</definedName>
    <definedName name="______GIP4004">"'file://SERVER3/har-data/STRUCTURE PRICE OF BQ KOMPAS GRAMEDIA.xls'#$analisa.$#REF!$#REF!"</definedName>
    <definedName name="______GIP5004">"'file://SERVER3/har-data/STRUCTURE PRICE OF BQ KOMPAS GRAMEDIA.xls'#$analisa.$#REF!$#REF!"</definedName>
    <definedName name="______GIP6504">"'file://SERVER3/har-data/STRUCTURE PRICE OF BQ KOMPAS GRAMEDIA.xls'#$analisa.$#REF!$#REF!"</definedName>
    <definedName name="______GIP804">"'file://SERVER3/har-data/STRUCTURE PRICE OF BQ KOMPAS GRAMEDIA.xls'#$analisa.$#REF!$#REF!"</definedName>
    <definedName name="______gk2" hidden="1">#REF!</definedName>
    <definedName name="______grc1">#REF!</definedName>
    <definedName name="______gti50">#REF!</definedName>
    <definedName name="______gti60">#REF!</definedName>
    <definedName name="______gvd1">#REF!</definedName>
    <definedName name="______gvd10">#REF!</definedName>
    <definedName name="______gvd100">#REF!</definedName>
    <definedName name="______gvd15">#REF!</definedName>
    <definedName name="______gvd150">#REF!</definedName>
    <definedName name="______gvd2">#REF!</definedName>
    <definedName name="______gvd25">#REF!</definedName>
    <definedName name="______gvd3">#REF!</definedName>
    <definedName name="______gvd4">#REF!</definedName>
    <definedName name="______gvd5">#REF!</definedName>
    <definedName name="______gvd50">#REF!</definedName>
    <definedName name="______gvd6">#REF!</definedName>
    <definedName name="______gvd65">#REF!</definedName>
    <definedName name="______gvd8">#REF!</definedName>
    <definedName name="______HAL1">#REF!</definedName>
    <definedName name="______HAL2">#REF!</definedName>
    <definedName name="______HAL3">#REF!</definedName>
    <definedName name="______HAL4">#REF!</definedName>
    <definedName name="______HAL5">#REF!</definedName>
    <definedName name="______HAL6">#REF!</definedName>
    <definedName name="______HAL7">#REF!</definedName>
    <definedName name="______HAL8">#REF!</definedName>
    <definedName name="______hdw1">#REF!</definedName>
    <definedName name="______int1">#REF!</definedName>
    <definedName name="______int2">#REF!</definedName>
    <definedName name="______IPR1">#REF!</definedName>
    <definedName name="______IPR21">#REF!</definedName>
    <definedName name="______jum1">#REF!</definedName>
    <definedName name="______jum10">#REF!</definedName>
    <definedName name="______jum2">#REF!</definedName>
    <definedName name="______jum3">#REF!</definedName>
    <definedName name="______jum4">#REF!</definedName>
    <definedName name="______jum5">#REF!</definedName>
    <definedName name="______jum6">#REF!</definedName>
    <definedName name="______jum7">#REF!</definedName>
    <definedName name="______jum8">#REF!</definedName>
    <definedName name="______jum9">#REF!</definedName>
    <definedName name="______kco7">#REF!</definedName>
    <definedName name="______ke1">#REF!</definedName>
    <definedName name="______ke2">#REF!</definedName>
    <definedName name="______ke3">#REF!</definedName>
    <definedName name="______ke4">#REF!</definedName>
    <definedName name="______ker1030">#REF!</definedName>
    <definedName name="______krm2020">#REF!</definedName>
    <definedName name="______krm2025">#REF!</definedName>
    <definedName name="______krm3030">#REF!</definedName>
    <definedName name="______krm4040">#REF!</definedName>
    <definedName name="______LCM2">#REF!</definedName>
    <definedName name="______LCM3">#REF!</definedName>
    <definedName name="______ld100">#REF!</definedName>
    <definedName name="______ld120">#REF!</definedName>
    <definedName name="______ld50">#REF!</definedName>
    <definedName name="______ld60">#REF!</definedName>
    <definedName name="______ld80">#REF!</definedName>
    <definedName name="______ldp60">#REF!</definedName>
    <definedName name="______lh50">#REF!</definedName>
    <definedName name="______LLL01">#REF!</definedName>
    <definedName name="______LLL02">#REF!</definedName>
    <definedName name="______LLL03">#REF!</definedName>
    <definedName name="______LLL04">#REF!</definedName>
    <definedName name="______LLL05">#REF!</definedName>
    <definedName name="______LLL06">#REF!</definedName>
    <definedName name="______LLL07">#REF!</definedName>
    <definedName name="______LLL08">#REF!</definedName>
    <definedName name="______LLL09">#REF!</definedName>
    <definedName name="______LLL10">#REF!</definedName>
    <definedName name="______LLL11">#REF!</definedName>
    <definedName name="______lp100">#REF!</definedName>
    <definedName name="______lp300">#REF!</definedName>
    <definedName name="______lp36">#REF!</definedName>
    <definedName name="______lp500">#REF!</definedName>
    <definedName name="______lp60">#REF!</definedName>
    <definedName name="______lpl11">#REF!</definedName>
    <definedName name="______ls100">#REF!</definedName>
    <definedName name="______ls50">#REF!</definedName>
    <definedName name="______ls60">#REF!</definedName>
    <definedName name="______ls80">#REF!</definedName>
    <definedName name="______MAC12">#REF!</definedName>
    <definedName name="______MAC46">#REF!</definedName>
    <definedName name="______mc2">#REF!</definedName>
    <definedName name="______MDE01">#REF!</definedName>
    <definedName name="______MDE02">#REF!</definedName>
    <definedName name="______MDE03">#REF!</definedName>
    <definedName name="______MDE04">#REF!</definedName>
    <definedName name="______MDE05">#REF!</definedName>
    <definedName name="______MDE06">#REF!</definedName>
    <definedName name="______MDE07">#REF!</definedName>
    <definedName name="______MDE08">#REF!</definedName>
    <definedName name="______MDE09">#REF!</definedName>
    <definedName name="______MDE10">#REF!</definedName>
    <definedName name="______MDE11">#REF!</definedName>
    <definedName name="______MDE12">#REF!</definedName>
    <definedName name="______MDE13">#REF!</definedName>
    <definedName name="______MDE14">#REF!</definedName>
    <definedName name="______MDE15">#REF!</definedName>
    <definedName name="______MDE16">#REF!</definedName>
    <definedName name="______MDE17">#REF!</definedName>
    <definedName name="______MDE18">#REF!</definedName>
    <definedName name="______MDE19">#REF!</definedName>
    <definedName name="______MDE20">#REF!</definedName>
    <definedName name="______MDE21">#REF!</definedName>
    <definedName name="______MDE22">#REF!</definedName>
    <definedName name="______MDE23">#REF!</definedName>
    <definedName name="______MDE24">#REF!</definedName>
    <definedName name="______MDE25">#REF!</definedName>
    <definedName name="______MDE26">#REF!</definedName>
    <definedName name="______MDE27">#REF!</definedName>
    <definedName name="______MDE28">#REF!</definedName>
    <definedName name="______MDE29">#REF!</definedName>
    <definedName name="______MDE30">#REF!</definedName>
    <definedName name="______MDE31">#REF!</definedName>
    <definedName name="______MDE32">#REF!</definedName>
    <definedName name="______MDE33">#REF!</definedName>
    <definedName name="______MDE34">#REF!</definedName>
    <definedName name="______MDE35">#REF!</definedName>
    <definedName name="______MDE36">#REF!</definedName>
    <definedName name="______MDE37">#REF!</definedName>
    <definedName name="______MDE38">#REF!</definedName>
    <definedName name="______MDE39">#REF!</definedName>
    <definedName name="______MDE40">#REF!</definedName>
    <definedName name="______MDE41">#REF!</definedName>
    <definedName name="______MDE42">#REF!</definedName>
    <definedName name="______MDE43">#REF!</definedName>
    <definedName name="______MDE44">#REF!</definedName>
    <definedName name="______MDE45">#REF!</definedName>
    <definedName name="______MDE46">#REF!</definedName>
    <definedName name="______MDE47">#REF!</definedName>
    <definedName name="______MDE48">#REF!</definedName>
    <definedName name="______MDE49">#REF!</definedName>
    <definedName name="______MDE50">#REF!</definedName>
    <definedName name="______MDE51">#REF!</definedName>
    <definedName name="______MDE52">#REF!</definedName>
    <definedName name="______MDE53">#REF!</definedName>
    <definedName name="______MDE54">#REF!</definedName>
    <definedName name="______MDE55">#REF!</definedName>
    <definedName name="______MDE56">#REF!</definedName>
    <definedName name="______MDE57">#REF!</definedName>
    <definedName name="______MDE58">#REF!</definedName>
    <definedName name="______MDE59">#REF!</definedName>
    <definedName name="______MDE60">#REF!</definedName>
    <definedName name="______MDE61">#REF!</definedName>
    <definedName name="______MDE62">#REF!</definedName>
    <definedName name="______MDE63">#REF!</definedName>
    <definedName name="______MDE64">#REF!</definedName>
    <definedName name="______MDE65">#REF!</definedName>
    <definedName name="______MDE66">#REF!</definedName>
    <definedName name="______MDE67">#REF!</definedName>
    <definedName name="______MDE68">#REF!</definedName>
    <definedName name="______ME01">#REF!</definedName>
    <definedName name="______ME02">#REF!</definedName>
    <definedName name="______ME03">#REF!</definedName>
    <definedName name="______ME04">#REF!</definedName>
    <definedName name="______ME05">#REF!</definedName>
    <definedName name="______ME06">#REF!</definedName>
    <definedName name="______ME07">#REF!</definedName>
    <definedName name="______ME08">#REF!</definedName>
    <definedName name="______ME09">#REF!</definedName>
    <definedName name="______ME10">#REF!</definedName>
    <definedName name="______ME11">#REF!</definedName>
    <definedName name="______ME12">#REF!</definedName>
    <definedName name="______ME13">#REF!</definedName>
    <definedName name="______ME14">#REF!</definedName>
    <definedName name="______ME15">#REF!</definedName>
    <definedName name="______ME16">#REF!</definedName>
    <definedName name="______ME17">#REF!</definedName>
    <definedName name="______ME18">#REF!</definedName>
    <definedName name="______ME19">#REF!</definedName>
    <definedName name="______ME20">#REF!</definedName>
    <definedName name="______ME21">#REF!</definedName>
    <definedName name="______ME22">#REF!</definedName>
    <definedName name="______ME23">#REF!</definedName>
    <definedName name="______ME24">#REF!</definedName>
    <definedName name="______ME25">#REF!</definedName>
    <definedName name="______ME26">#REF!</definedName>
    <definedName name="______ME27">#REF!</definedName>
    <definedName name="______ME28">#REF!</definedName>
    <definedName name="______ME29">#REF!</definedName>
    <definedName name="______ME30">#REF!</definedName>
    <definedName name="______ME31">#REF!</definedName>
    <definedName name="______ME32">#REF!</definedName>
    <definedName name="______ME33">#REF!</definedName>
    <definedName name="______ME34">#REF!</definedName>
    <definedName name="______ME35">#REF!</definedName>
    <definedName name="______ME36">#REF!</definedName>
    <definedName name="______ME37">#REF!</definedName>
    <definedName name="______ME38">#REF!</definedName>
    <definedName name="______ME39">#REF!</definedName>
    <definedName name="______ME40">#REF!</definedName>
    <definedName name="______ME41">#REF!</definedName>
    <definedName name="______ME42">#REF!</definedName>
    <definedName name="______ME43">#REF!</definedName>
    <definedName name="______ME44">#REF!</definedName>
    <definedName name="______ME45">#REF!</definedName>
    <definedName name="______ME46">#REF!</definedName>
    <definedName name="______ME47">#REF!</definedName>
    <definedName name="______ME48">#REF!</definedName>
    <definedName name="______ME49">#REF!</definedName>
    <definedName name="______ME50">#REF!</definedName>
    <definedName name="______ME51">#REF!</definedName>
    <definedName name="______ME52">#REF!</definedName>
    <definedName name="______ME53">#REF!</definedName>
    <definedName name="______ME54">#REF!</definedName>
    <definedName name="______ME55">#REF!</definedName>
    <definedName name="______ME56">#REF!</definedName>
    <definedName name="______ME57">#REF!</definedName>
    <definedName name="______ME58">#REF!</definedName>
    <definedName name="______ME59">#REF!</definedName>
    <definedName name="______ME60">#REF!</definedName>
    <definedName name="______ME61">#REF!</definedName>
    <definedName name="______ME62">#REF!</definedName>
    <definedName name="______ME63">#REF!</definedName>
    <definedName name="______ME64">#REF!</definedName>
    <definedName name="______ME65">#REF!</definedName>
    <definedName name="______ME66">#REF!</definedName>
    <definedName name="______ME67">#REF!</definedName>
    <definedName name="______ME68">#REF!</definedName>
    <definedName name="______mix300">#REF!</definedName>
    <definedName name="______MMM01">#REF!</definedName>
    <definedName name="______MMM02">#REF!</definedName>
    <definedName name="______MMM03">#REF!</definedName>
    <definedName name="______MMM04">#REF!</definedName>
    <definedName name="______MMM05">#REF!</definedName>
    <definedName name="______MMM06">#REF!</definedName>
    <definedName name="______MMM07">#REF!</definedName>
    <definedName name="______MMM08">#REF!</definedName>
    <definedName name="______MMM09">#REF!</definedName>
    <definedName name="______MMM10">#REF!</definedName>
    <definedName name="______MMM11">#REF!</definedName>
    <definedName name="______MMM12">#REF!</definedName>
    <definedName name="______MMM13">#REF!</definedName>
    <definedName name="______MMM14">#REF!</definedName>
    <definedName name="______MMM15">#REF!</definedName>
    <definedName name="______MMM16">#REF!</definedName>
    <definedName name="______MMM17">#REF!</definedName>
    <definedName name="______MMM18">#REF!</definedName>
    <definedName name="______MMM19">#REF!</definedName>
    <definedName name="______MMM20">#REF!</definedName>
    <definedName name="______MMM21">#REF!</definedName>
    <definedName name="______MMM22">#REF!</definedName>
    <definedName name="______MMM23">#REF!</definedName>
    <definedName name="______MMM24">#REF!</definedName>
    <definedName name="______MMM25">#REF!</definedName>
    <definedName name="______MMM26">#REF!</definedName>
    <definedName name="______MMM27">#REF!</definedName>
    <definedName name="______MMM28">#REF!</definedName>
    <definedName name="______MMM29">#REF!</definedName>
    <definedName name="______MMM30">#REF!</definedName>
    <definedName name="______MMM31">#REF!</definedName>
    <definedName name="______MMM32">#REF!</definedName>
    <definedName name="______MMM33">#REF!</definedName>
    <definedName name="______MMM34">#REF!</definedName>
    <definedName name="______MMM35">#REF!</definedName>
    <definedName name="______MMM36">#REF!</definedName>
    <definedName name="______MMM37">#REF!</definedName>
    <definedName name="______MMM38">#REF!</definedName>
    <definedName name="______MMM39">#REF!</definedName>
    <definedName name="______MMM40">#REF!</definedName>
    <definedName name="______MMM41">#REF!</definedName>
    <definedName name="______MMM411">#REF!</definedName>
    <definedName name="______MMM42">#REF!</definedName>
    <definedName name="______MMM43">#REF!</definedName>
    <definedName name="______MMM44">#REF!</definedName>
    <definedName name="______MMM45">#REF!</definedName>
    <definedName name="______MMM46">#REF!</definedName>
    <definedName name="______MMM47">#REF!</definedName>
    <definedName name="______MMM48">#REF!</definedName>
    <definedName name="______MMM49">#REF!</definedName>
    <definedName name="______MMM50">#REF!</definedName>
    <definedName name="______MMM51">#REF!</definedName>
    <definedName name="______MMM52">#REF!</definedName>
    <definedName name="______MMM53">#REF!</definedName>
    <definedName name="______MMM54">#REF!</definedName>
    <definedName name="______mu1">#REF!</definedName>
    <definedName name="______mu2">#REF!</definedName>
    <definedName name="______MU200">#N/A</definedName>
    <definedName name="______MU300">#N/A</definedName>
    <definedName name="______MU301">#N/A</definedName>
    <definedName name="______MU380">#N/A</definedName>
    <definedName name="______MU400">#N/A</definedName>
    <definedName name="______MU408">#N/A</definedName>
    <definedName name="______MU440">#N/A</definedName>
    <definedName name="______MU450">#N/A</definedName>
    <definedName name="______MU830">#N/A</definedName>
    <definedName name="______mul12">#REF!</definedName>
    <definedName name="______mul9">#REF!</definedName>
    <definedName name="______mvd1">#REF!</definedName>
    <definedName name="______mvd2">#REF!</definedName>
    <definedName name="______mvd3">#REF!</definedName>
    <definedName name="______mvd4">#REF!</definedName>
    <definedName name="______NCL100">#REF!</definedName>
    <definedName name="______NCL200">#REF!</definedName>
    <definedName name="______NCL250">#REF!</definedName>
    <definedName name="______nin190">#REF!</definedName>
    <definedName name="______nym34">#REF!</definedName>
    <definedName name="______nym46">#REF!</definedName>
    <definedName name="______nyy2416">#REF!</definedName>
    <definedName name="______nyy244">#REF!</definedName>
    <definedName name="______nyy246">#REF!</definedName>
    <definedName name="______nyy34">#REF!</definedName>
    <definedName name="______nyy410">#REF!</definedName>
    <definedName name="______nyy41010">#REF!</definedName>
    <definedName name="______nyy412050">#REF!</definedName>
    <definedName name="______nyy412070">#REF!</definedName>
    <definedName name="______nyy415070">#REF!</definedName>
    <definedName name="______nyy416">#REF!</definedName>
    <definedName name="______nyy41616">#REF!</definedName>
    <definedName name="______nyy42525">#REF!</definedName>
    <definedName name="______nyy43535">#REF!</definedName>
    <definedName name="______nyy44">#REF!</definedName>
    <definedName name="______nyy444">#REF!</definedName>
    <definedName name="______nyy45050">#REF!</definedName>
    <definedName name="______nyy46">#REF!</definedName>
    <definedName name="______nyy466">#REF!</definedName>
    <definedName name="______nyy47050">#REF!</definedName>
    <definedName name="______nyy47070">#REF!</definedName>
    <definedName name="______nyy49570">#REF!</definedName>
    <definedName name="______P14">#REF!</definedName>
    <definedName name="______PA1">#REF!</definedName>
    <definedName name="______PA10">#REF!</definedName>
    <definedName name="______PA2">#REF!</definedName>
    <definedName name="______PA3">#REF!</definedName>
    <definedName name="______PA4">#REF!</definedName>
    <definedName name="______PA5">#REF!</definedName>
    <definedName name="______PA6">#REF!</definedName>
    <definedName name="______PA7">#REF!</definedName>
    <definedName name="______PA8">#REF!</definedName>
    <definedName name="______PA9">#REF!</definedName>
    <definedName name="______pab100">#REF!</definedName>
    <definedName name="______pab125">#REF!</definedName>
    <definedName name="______pab126">#REF!</definedName>
    <definedName name="______pab15">#REF!</definedName>
    <definedName name="______pab150">#REF!</definedName>
    <definedName name="______pab2">#REF!</definedName>
    <definedName name="______pab20">#REF!</definedName>
    <definedName name="______pab25">#REF!</definedName>
    <definedName name="______pab32">#REF!</definedName>
    <definedName name="______pab4">#REF!</definedName>
    <definedName name="______pab40">#REF!</definedName>
    <definedName name="______pab50">#REF!</definedName>
    <definedName name="______pab6">#REF!</definedName>
    <definedName name="______pab65">#REF!</definedName>
    <definedName name="______pab80">#REF!</definedName>
    <definedName name="______pah150">#REF!</definedName>
    <definedName name="______pak100">#REF!</definedName>
    <definedName name="______pak150">#REF!</definedName>
    <definedName name="______pak50">#REF!</definedName>
    <definedName name="______pak80">#REF!</definedName>
    <definedName name="______PAS13">#REF!</definedName>
    <definedName name="______pas15">#REF!</definedName>
    <definedName name="______PB1">#REF!</definedName>
    <definedName name="______PB2">#REF!</definedName>
    <definedName name="______PB3">#REF!</definedName>
    <definedName name="______pb34">#REF!</definedName>
    <definedName name="______pb4">#REF!</definedName>
    <definedName name="______pbf3">#REF!</definedName>
    <definedName name="______pbf4">#REF!</definedName>
    <definedName name="______PBK175">#REF!</definedName>
    <definedName name="______PBK225">#REF!</definedName>
    <definedName name="______pbs100">#REF!</definedName>
    <definedName name="______pbs15">#REF!</definedName>
    <definedName name="______pbs150">#REF!</definedName>
    <definedName name="______pbs40">#REF!</definedName>
    <definedName name="______pbs50">#REF!</definedName>
    <definedName name="______pbs65">#REF!</definedName>
    <definedName name="______pbs80">#REF!</definedName>
    <definedName name="______pc1">#REF!</definedName>
    <definedName name="______pc10">#REF!</definedName>
    <definedName name="______pc12">#REF!</definedName>
    <definedName name="______pc2">#REF!</definedName>
    <definedName name="______pc3">#REF!</definedName>
    <definedName name="______pc4">#REF!</definedName>
    <definedName name="______PC450">#REF!</definedName>
    <definedName name="______pc5">#REF!</definedName>
    <definedName name="______pc50">#REF!</definedName>
    <definedName name="______pc6">#REF!</definedName>
    <definedName name="______PC600">#REF!</definedName>
    <definedName name="______pc8">#REF!</definedName>
    <definedName name="______pc80">#REF!</definedName>
    <definedName name="______PCD10">#REF!</definedName>
    <definedName name="______PCD3">#REF!</definedName>
    <definedName name="______PCD6">#REF!</definedName>
    <definedName name="______PCD8">#REF!</definedName>
    <definedName name="______pcf10">#REF!</definedName>
    <definedName name="______pcf12">#REF!</definedName>
    <definedName name="______pcf3">#REF!</definedName>
    <definedName name="______pcf4">#REF!</definedName>
    <definedName name="______pcf5">#REF!</definedName>
    <definedName name="______pcf6">#REF!</definedName>
    <definedName name="______pcf8">#REF!</definedName>
    <definedName name="______pcf80">#REF!</definedName>
    <definedName name="______PCI25">#REF!</definedName>
    <definedName name="______pd1">#REF!</definedName>
    <definedName name="______pd2">#REF!</definedName>
    <definedName name="______pd3">#REF!</definedName>
    <definedName name="______pdf3">#REF!</definedName>
    <definedName name="______pek2">#REF!</definedName>
    <definedName name="______ph100">#REF!</definedName>
    <definedName name="______ph150">#REF!</definedName>
    <definedName name="______phf100">#REF!</definedName>
    <definedName name="______phf150">#REF!</definedName>
    <definedName name="______pj1">#REF!</definedName>
    <definedName name="______pj2">#REF!</definedName>
    <definedName name="______PJ3">#REF!</definedName>
    <definedName name="______PL1">#REF!</definedName>
    <definedName name="______PL2">#REF!</definedName>
    <definedName name="______PL3">#REF!</definedName>
    <definedName name="______po1000">#REF!</definedName>
    <definedName name="______por4040">#REF!</definedName>
    <definedName name="______pv100">#REF!</definedName>
    <definedName name="______pv40">#REF!</definedName>
    <definedName name="______pv50">#REF!</definedName>
    <definedName name="______pv80">#REF!</definedName>
    <definedName name="______pvc804">"'file://SERVER3/har-data/STRUCTURE PRICE OF BQ KOMPAS GRAMEDIA.xls'#$analisa.$#REF!$#REF!"</definedName>
    <definedName name="______pvc805">"'file://SERVER3/har-data/STRUCTURE PRICE OF BQ KOMPAS GRAMEDIA.xls'#$analisa.$#REF!$#REF!"</definedName>
    <definedName name="______pvf100">#REF!</definedName>
    <definedName name="______pvf80">#REF!</definedName>
    <definedName name="______QS1">#REF!</definedName>
    <definedName name="______QS10">#REF!</definedName>
    <definedName name="______QS11">#REF!</definedName>
    <definedName name="______QS12">#REF!</definedName>
    <definedName name="______QS13">#REF!</definedName>
    <definedName name="______QS14">#REF!</definedName>
    <definedName name="______QS15">#REF!</definedName>
    <definedName name="______QS16">#REF!</definedName>
    <definedName name="______QS17">#REF!</definedName>
    <definedName name="______QS18">#REF!</definedName>
    <definedName name="______QS19">#REF!</definedName>
    <definedName name="______QS2">#REF!</definedName>
    <definedName name="______QS20">#REF!</definedName>
    <definedName name="______QS21">#REF!</definedName>
    <definedName name="______QS3">#REF!</definedName>
    <definedName name="______QS4">#REF!</definedName>
    <definedName name="______QS5">#REF!</definedName>
    <definedName name="______QS6">#REF!</definedName>
    <definedName name="______QS7">#REF!</definedName>
    <definedName name="______QS8">#REF!</definedName>
    <definedName name="______QS9">#REF!</definedName>
    <definedName name="______rd1">#REF!</definedName>
    <definedName name="______rd2">#REF!</definedName>
    <definedName name="______rd3">#REF!</definedName>
    <definedName name="______rd4">#REF!</definedName>
    <definedName name="______rd6">#REF!</definedName>
    <definedName name="______rd8">#REF!</definedName>
    <definedName name="______REV3" hidden="1">{#N/A,#N/A,FALSE,"REK-S-TPL";#N/A,#N/A,FALSE,"REK-TPML";#N/A,#N/A,FALSE,"RAB-TEMPEL"}</definedName>
    <definedName name="______rk100">#REF!</definedName>
    <definedName name="______rk150">#REF!</definedName>
    <definedName name="______rk200">#REF!</definedName>
    <definedName name="______rk300">#REF!</definedName>
    <definedName name="______rk400">#REF!</definedName>
    <definedName name="______rk500">#REF!</definedName>
    <definedName name="______rk600">#REF!</definedName>
    <definedName name="______rkl1000">#REF!</definedName>
    <definedName name="______rkl1200">#REF!</definedName>
    <definedName name="______rkl200">#REF!</definedName>
    <definedName name="______rkl300">#REF!</definedName>
    <definedName name="______rkl400">#REF!</definedName>
    <definedName name="______rkl500">#REF!</definedName>
    <definedName name="______rkl600">#REF!</definedName>
    <definedName name="______rkl700">#REF!</definedName>
    <definedName name="______rkl800">#REF!</definedName>
    <definedName name="______sc1">#REF!</definedName>
    <definedName name="______SC2">#REF!</definedName>
    <definedName name="______sc3">#REF!</definedName>
    <definedName name="______SFL1">#REF!</definedName>
    <definedName name="______SFL2">#REF!</definedName>
    <definedName name="______SFL3">#REF!</definedName>
    <definedName name="______SFM1">#REF!</definedName>
    <definedName name="______SFM2">#REF!</definedName>
    <definedName name="______SFM3">#REF!</definedName>
    <definedName name="______SFM4">#REF!</definedName>
    <definedName name="______SFM5">#REF!</definedName>
    <definedName name="______SFM6">#REF!</definedName>
    <definedName name="______SFM7">#REF!</definedName>
    <definedName name="______SFQ1">#REF!</definedName>
    <definedName name="______SFQ2">#REF!</definedName>
    <definedName name="______SFQ3">#REF!</definedName>
    <definedName name="______SFQ4">#REF!</definedName>
    <definedName name="______sfv150">#REF!</definedName>
    <definedName name="______sh1040">#REF!</definedName>
    <definedName name="______SN3">#REF!</definedName>
    <definedName name="______st1">#REF!</definedName>
    <definedName name="______st2">#REF!</definedName>
    <definedName name="______st3">#REF!</definedName>
    <definedName name="______std100">#REF!</definedName>
    <definedName name="______std150">#REF!</definedName>
    <definedName name="______std2">#REF!</definedName>
    <definedName name="______std3">#REF!</definedName>
    <definedName name="______std4">#REF!</definedName>
    <definedName name="______std50">#REF!</definedName>
    <definedName name="______std65">#REF!</definedName>
    <definedName name="______SUM1">#REF!</definedName>
    <definedName name="______SUM2">#REF!</definedName>
    <definedName name="______SUM3">#REF!</definedName>
    <definedName name="______TA01">#REF!</definedName>
    <definedName name="______TA67">#REF!</definedName>
    <definedName name="______TA78">#REF!</definedName>
    <definedName name="______TA89">#REF!</definedName>
    <definedName name="______TA90">#REF!</definedName>
    <definedName name="______ti100">#REF!</definedName>
    <definedName name="______ti120">#REF!</definedName>
    <definedName name="______ti50">#REF!</definedName>
    <definedName name="______ti60">#REF!</definedName>
    <definedName name="______ti80">#REF!</definedName>
    <definedName name="______TL1">#REF!</definedName>
    <definedName name="______TL2">#REF!</definedName>
    <definedName name="______tl20">#REF!</definedName>
    <definedName name="______TL3">#REF!</definedName>
    <definedName name="______tl40">#REF!</definedName>
    <definedName name="______TLA120">#REF!</definedName>
    <definedName name="______TLA35">#REF!</definedName>
    <definedName name="______TLA50">#REF!</definedName>
    <definedName name="______TLA70">#REF!</definedName>
    <definedName name="______TLA95">#REF!</definedName>
    <definedName name="______tlc20">#REF!</definedName>
    <definedName name="______TOP2">#REF!</definedName>
    <definedName name="______tsI3">#REF!</definedName>
    <definedName name="______TSR3">#REF!</definedName>
    <definedName name="______tsv25">#REF!</definedName>
    <definedName name="______uls60">#REF!</definedName>
    <definedName name="______up10">"'file://SERVER3/har-data/STRUCTURE PRICE OF BQ KOMPAS GRAMEDIA.xls'#$analisa.$#REF!$#REF!"</definedName>
    <definedName name="______utd1">#REF!</definedName>
    <definedName name="______utd2">#REF!</definedName>
    <definedName name="______utd3">#REF!</definedName>
    <definedName name="______vcd2">#REF!</definedName>
    <definedName name="______vcd3">#REF!</definedName>
    <definedName name="______vcd4">#REF!</definedName>
    <definedName name="______VL100">#REF!</definedName>
    <definedName name="______VL200">#REF!</definedName>
    <definedName name="______VL250">#REF!</definedName>
    <definedName name="______vnt100">#REF!</definedName>
    <definedName name="______vnt40">#REF!</definedName>
    <definedName name="______vnt50">#REF!</definedName>
    <definedName name="______vnt80">#REF!</definedName>
    <definedName name="______WC1">#REF!</definedName>
    <definedName name="______WC2">#REF!</definedName>
    <definedName name="______WC3">#REF!</definedName>
    <definedName name="______we3">#REF!</definedName>
    <definedName name="_____aaa1">#REF!</definedName>
    <definedName name="_____AAD3">HAJIME:OWARI</definedName>
    <definedName name="_____abb91">[2]chitimc!#REF!</definedName>
    <definedName name="_____abs100">#REF!</definedName>
    <definedName name="_____ADD1">STOP2:STOP2E</definedName>
    <definedName name="_____ADD2">STOP:STOPE</definedName>
    <definedName name="_____ADD3">STOP:STOPE</definedName>
    <definedName name="_____ahu100">#REF!</definedName>
    <definedName name="_____ahu150">#REF!</definedName>
    <definedName name="_____ako100">#REF!</definedName>
    <definedName name="_____ako150">#REF!</definedName>
    <definedName name="_____ako50">#REF!</definedName>
    <definedName name="_____ako80">#REF!</definedName>
    <definedName name="_____aku100">#REF!</definedName>
    <definedName name="_____aku150">#REF!</definedName>
    <definedName name="_____alt1">#REF!</definedName>
    <definedName name="_____ana1">#REF!</definedName>
    <definedName name="_____ana10">#REF!</definedName>
    <definedName name="_____ana100">#REF!</definedName>
    <definedName name="_____ana101">#REF!</definedName>
    <definedName name="_____ana102">#REF!</definedName>
    <definedName name="_____ana103">#REF!</definedName>
    <definedName name="_____ana104">#REF!</definedName>
    <definedName name="_____ana105">#REF!</definedName>
    <definedName name="_____ana106">#REF!</definedName>
    <definedName name="_____ana107">#REF!</definedName>
    <definedName name="_____ana108">#REF!</definedName>
    <definedName name="_____ana109">#REF!</definedName>
    <definedName name="_____ana11">#REF!</definedName>
    <definedName name="_____ana110">#REF!</definedName>
    <definedName name="_____ana111">#REF!</definedName>
    <definedName name="_____ana112">#REF!</definedName>
    <definedName name="_____ana113">#REF!</definedName>
    <definedName name="_____ana114">#REF!</definedName>
    <definedName name="_____ana115">#REF!</definedName>
    <definedName name="_____ana116">#REF!</definedName>
    <definedName name="_____ana117">#REF!</definedName>
    <definedName name="_____ana118">#REF!</definedName>
    <definedName name="_____ana119">#REF!</definedName>
    <definedName name="_____ana12">#REF!</definedName>
    <definedName name="_____ana120">#REF!</definedName>
    <definedName name="_____ana121">#REF!</definedName>
    <definedName name="_____ana122">#REF!</definedName>
    <definedName name="_____ana123">#REF!</definedName>
    <definedName name="_____ana124">#REF!</definedName>
    <definedName name="_____ana13">#REF!</definedName>
    <definedName name="_____ana14">#REF!</definedName>
    <definedName name="_____ana15">#REF!</definedName>
    <definedName name="_____ana16">#REF!</definedName>
    <definedName name="_____ana17">#REF!</definedName>
    <definedName name="_____ana18">#REF!</definedName>
    <definedName name="_____ana19">#REF!</definedName>
    <definedName name="_____ana2">#REF!</definedName>
    <definedName name="_____ana20">#REF!</definedName>
    <definedName name="_____ana21">#REF!</definedName>
    <definedName name="_____ana22">#REF!</definedName>
    <definedName name="_____ana23">#REF!</definedName>
    <definedName name="_____ana24">#REF!</definedName>
    <definedName name="_____ana25">#REF!</definedName>
    <definedName name="_____ana26">#REF!</definedName>
    <definedName name="_____ana27">#REF!</definedName>
    <definedName name="_____ana28">#REF!</definedName>
    <definedName name="_____ana29">#REF!</definedName>
    <definedName name="_____ana3">#REF!</definedName>
    <definedName name="_____ana30">#REF!</definedName>
    <definedName name="_____ana31">#REF!</definedName>
    <definedName name="_____ana32">#REF!</definedName>
    <definedName name="_____ana33">#REF!</definedName>
    <definedName name="_____ana34">#REF!</definedName>
    <definedName name="_____ana35">#REF!</definedName>
    <definedName name="_____ana36">#REF!</definedName>
    <definedName name="_____ana37">#REF!</definedName>
    <definedName name="_____ana38">#REF!</definedName>
    <definedName name="_____ana39">#REF!</definedName>
    <definedName name="_____ana4">#REF!</definedName>
    <definedName name="_____ana40">#REF!</definedName>
    <definedName name="_____ana41">#REF!</definedName>
    <definedName name="_____ana42">#REF!</definedName>
    <definedName name="_____ana43">#REF!</definedName>
    <definedName name="_____ana44">#REF!</definedName>
    <definedName name="_____ana45">#REF!</definedName>
    <definedName name="_____ana46">#REF!</definedName>
    <definedName name="_____ana47">#REF!</definedName>
    <definedName name="_____ana48">#REF!</definedName>
    <definedName name="_____ana49">#REF!</definedName>
    <definedName name="_____ana5">#REF!</definedName>
    <definedName name="_____ana50">#REF!</definedName>
    <definedName name="_____ana51">#REF!</definedName>
    <definedName name="_____ana52">#REF!</definedName>
    <definedName name="_____ana53">#REF!</definedName>
    <definedName name="_____ana54">#REF!</definedName>
    <definedName name="_____ana55">#REF!</definedName>
    <definedName name="_____ana56">#REF!</definedName>
    <definedName name="_____ana57">#REF!</definedName>
    <definedName name="_____ana58">#REF!</definedName>
    <definedName name="_____ana59">#REF!</definedName>
    <definedName name="_____ana6">#REF!</definedName>
    <definedName name="_____ana60">#REF!</definedName>
    <definedName name="_____ana61">#REF!</definedName>
    <definedName name="_____ana62">#REF!</definedName>
    <definedName name="_____ana63">#REF!</definedName>
    <definedName name="_____ana64">#REF!</definedName>
    <definedName name="_____ana65">#REF!</definedName>
    <definedName name="_____ana66">#REF!</definedName>
    <definedName name="_____ana67">#REF!</definedName>
    <definedName name="_____ana68">#REF!</definedName>
    <definedName name="_____ana69">#REF!</definedName>
    <definedName name="_____ana7">#REF!</definedName>
    <definedName name="_____ana70">#REF!</definedName>
    <definedName name="_____ana71">#REF!</definedName>
    <definedName name="_____ana72">#REF!</definedName>
    <definedName name="_____ana73">#REF!</definedName>
    <definedName name="_____ana74">#REF!</definedName>
    <definedName name="_____ana75">#REF!</definedName>
    <definedName name="_____ana76">#REF!</definedName>
    <definedName name="_____ana77">#REF!</definedName>
    <definedName name="_____ana78">#REF!</definedName>
    <definedName name="_____ana79">#REF!</definedName>
    <definedName name="_____ana8">#REF!</definedName>
    <definedName name="_____ana80">#REF!</definedName>
    <definedName name="_____ana81">#REF!</definedName>
    <definedName name="_____ana82">#REF!</definedName>
    <definedName name="_____ana83">#REF!</definedName>
    <definedName name="_____ana84">#REF!</definedName>
    <definedName name="_____ana85">#REF!</definedName>
    <definedName name="_____ana86">#REF!</definedName>
    <definedName name="_____ana87">#REF!</definedName>
    <definedName name="_____ana88">#REF!</definedName>
    <definedName name="_____ana89">#REF!</definedName>
    <definedName name="_____ana9">#REF!</definedName>
    <definedName name="_____ana90">#REF!</definedName>
    <definedName name="_____ana91">#REF!</definedName>
    <definedName name="_____ana92">#REF!</definedName>
    <definedName name="_____ana93">#REF!</definedName>
    <definedName name="_____ana94">#REF!</definedName>
    <definedName name="_____ana95">#REF!</definedName>
    <definedName name="_____ana96">#REF!</definedName>
    <definedName name="_____ana97">#REF!</definedName>
    <definedName name="_____ana98">#REF!</definedName>
    <definedName name="_____ana99">#REF!</definedName>
    <definedName name="_____APP3">#REF!</definedName>
    <definedName name="_____ATB1">#REF!</definedName>
    <definedName name="_____ATB2">#REF!</definedName>
    <definedName name="_____ATB3">#REF!</definedName>
    <definedName name="_____ATB4">#REF!</definedName>
    <definedName name="_____B4">#N/A</definedName>
    <definedName name="_____bbm10">#REF!</definedName>
    <definedName name="_____bbm3">#REF!</definedName>
    <definedName name="_____bbm5">#REF!</definedName>
    <definedName name="_____bbm8">#REF!</definedName>
    <definedName name="_____bcv100">#REF!</definedName>
    <definedName name="_____bcv125">#REF!</definedName>
    <definedName name="_____bcv150">#REF!</definedName>
    <definedName name="_____bes24">#REF!</definedName>
    <definedName name="_____bes39">#REF!</definedName>
    <definedName name="_____bes40">#N/A</definedName>
    <definedName name="_____bet250">#REF!</definedName>
    <definedName name="_____bet275">#REF!</definedName>
    <definedName name="_____bet300">#REF!</definedName>
    <definedName name="_____BOX2">#REF!</definedName>
    <definedName name="_____bpl32">#REF!</definedName>
    <definedName name="_____bpl9">#REF!</definedName>
    <definedName name="_____bsd1600">#REF!</definedName>
    <definedName name="_____bsd2500">#REF!</definedName>
    <definedName name="_____bsd4000">#REF!</definedName>
    <definedName name="_____btn175">#REF!</definedName>
    <definedName name="_____btn300">#REF!</definedName>
    <definedName name="_____bud3500">#REF!</definedName>
    <definedName name="_____bvd1">#REF!</definedName>
    <definedName name="_____bvd2">#REF!</definedName>
    <definedName name="_____bvd3">#REF!</definedName>
    <definedName name="_____bvd34">#REF!</definedName>
    <definedName name="_____bvd4">#REF!</definedName>
    <definedName name="_____bvd5">#REF!</definedName>
    <definedName name="_____bvd8">#REF!</definedName>
    <definedName name="_____CAL1">#REF!</definedName>
    <definedName name="_____CAL10">#REF!</definedName>
    <definedName name="_____CAL11">#REF!</definedName>
    <definedName name="_____CAL12">#REF!</definedName>
    <definedName name="_____CAL13">#REF!</definedName>
    <definedName name="_____CAL14">#REF!</definedName>
    <definedName name="_____CAL15">#REF!</definedName>
    <definedName name="_____CAL16">#REF!</definedName>
    <definedName name="_____CAL17">#REF!</definedName>
    <definedName name="_____CAL18">#REF!</definedName>
    <definedName name="_____CAL19">#REF!</definedName>
    <definedName name="_____CAL2">#REF!</definedName>
    <definedName name="_____CAL20">#REF!</definedName>
    <definedName name="_____CAL21">#REF!</definedName>
    <definedName name="_____CAL3">#REF!</definedName>
    <definedName name="_____CAL4">#REF!</definedName>
    <definedName name="_____CAL5">#REF!</definedName>
    <definedName name="_____CAL6">#REF!</definedName>
    <definedName name="_____CAL7">#REF!</definedName>
    <definedName name="_____CAL8">#REF!</definedName>
    <definedName name="_____CAL9">#REF!</definedName>
    <definedName name="_____cas80">#REF!</definedName>
    <definedName name="_____cbr30">#REF!</definedName>
    <definedName name="_____cbr80">#REF!</definedName>
    <definedName name="_____CCF2">#REF!</definedName>
    <definedName name="_____cip10">#REF!</definedName>
    <definedName name="_____cip2">#REF!</definedName>
    <definedName name="_____cip3">#REF!</definedName>
    <definedName name="_____cip4">#REF!</definedName>
    <definedName name="_____cip6">#REF!</definedName>
    <definedName name="_____cip8">#REF!</definedName>
    <definedName name="_____CLP2">#REF!</definedName>
    <definedName name="_____cod4">#REF!</definedName>
    <definedName name="_____cod50">#REF!</definedName>
    <definedName name="_____COR123">#REF!</definedName>
    <definedName name="_____COR135">#REF!</definedName>
    <definedName name="_____cor175">#REF!</definedName>
    <definedName name="_____cor225">#REF!</definedName>
    <definedName name="_____cor300">#REF!</definedName>
    <definedName name="_____CT250">'[2]dongia (2)'!#REF!</definedName>
    <definedName name="_____cvd100">#REF!</definedName>
    <definedName name="_____cvd15">#REF!</definedName>
    <definedName name="_____cvd150">#REF!</definedName>
    <definedName name="_____cvd50">#REF!</definedName>
    <definedName name="_____cvd65">#REF!</definedName>
    <definedName name="_____daf1">#REF!</definedName>
    <definedName name="_____DAF10">#REF!</definedName>
    <definedName name="_____daf2">#REF!</definedName>
    <definedName name="_____daf31">#REF!</definedName>
    <definedName name="_____daf32">#REF!</definedName>
    <definedName name="_____daf33">#REF!</definedName>
    <definedName name="_____dcd021">[3]BOQ!#REF!</definedName>
    <definedName name="_____ddn400">#REF!</definedName>
    <definedName name="_____ddn600">#REF!</definedName>
    <definedName name="_____dgt100">'[2]dongia (2)'!#REF!</definedName>
    <definedName name="_____dia6">#REF!</definedName>
    <definedName name="_____DIV1">#REF!</definedName>
    <definedName name="_____DIV10">#REF!</definedName>
    <definedName name="_____DIV11">#REF!</definedName>
    <definedName name="_____DIV2">#REF!</definedName>
    <definedName name="_____DIV3">#REF!</definedName>
    <definedName name="_____DIV4">#REF!</definedName>
    <definedName name="_____DIV5">#REF!</definedName>
    <definedName name="_____DIV6">#REF!</definedName>
    <definedName name="_____DIV7">#REF!</definedName>
    <definedName name="_____DIV8">#REF!</definedName>
    <definedName name="_____DIV9">#REF!</definedName>
    <definedName name="_____dlh20">#REF!</definedName>
    <definedName name="_____dlh50">#REF!</definedName>
    <definedName name="_____dot2020">#REF!</definedName>
    <definedName name="_____EEE01">#REF!</definedName>
    <definedName name="_____EEE02">#REF!</definedName>
    <definedName name="_____EEE03">#REF!</definedName>
    <definedName name="_____EEE04">#REF!</definedName>
    <definedName name="_____EEE05">#REF!</definedName>
    <definedName name="_____EEE06">#REF!</definedName>
    <definedName name="_____EEE07">#REF!</definedName>
    <definedName name="_____EEE08">#REF!</definedName>
    <definedName name="_____EEE09">#REF!</definedName>
    <definedName name="_____EEE10">#REF!</definedName>
    <definedName name="_____EEE11">#REF!</definedName>
    <definedName name="_____EEE12">#REF!</definedName>
    <definedName name="_____EEE13">#REF!</definedName>
    <definedName name="_____EEE14">#REF!</definedName>
    <definedName name="_____EEE15">#REF!</definedName>
    <definedName name="_____EEE16">#REF!</definedName>
    <definedName name="_____EEE17">#REF!</definedName>
    <definedName name="_____EEE18">#REF!</definedName>
    <definedName name="_____EEE19">#REF!</definedName>
    <definedName name="_____EEE20">#REF!</definedName>
    <definedName name="_____EEE21">#REF!</definedName>
    <definedName name="_____EEE22">#REF!</definedName>
    <definedName name="_____EEE23">#REF!</definedName>
    <definedName name="_____EEE24">#REF!</definedName>
    <definedName name="_____EEE25">#REF!</definedName>
    <definedName name="_____EEE26">#REF!</definedName>
    <definedName name="_____EEE27">#REF!</definedName>
    <definedName name="_____EEE28">#REF!</definedName>
    <definedName name="_____EEE29">#REF!</definedName>
    <definedName name="_____EEE30">#REF!</definedName>
    <definedName name="_____EEE31">#REF!</definedName>
    <definedName name="_____EEE32">#REF!</definedName>
    <definedName name="_____EEE33">#REF!</definedName>
    <definedName name="_____fdd100">#REF!</definedName>
    <definedName name="_____fdd3">#REF!</definedName>
    <definedName name="_____fdu2">#REF!</definedName>
    <definedName name="_____FIT100">#REF!</definedName>
    <definedName name="_____fit125">#REF!</definedName>
    <definedName name="_____FIT150">#REF!</definedName>
    <definedName name="_____FIT200">#REF!</definedName>
    <definedName name="_____FIT300">#REF!</definedName>
    <definedName name="_____FIT65">#REF!</definedName>
    <definedName name="_____fit80">#REF!</definedName>
    <definedName name="_____fjd100">#REF!</definedName>
    <definedName name="_____fjd150">#REF!</definedName>
    <definedName name="_____fjd50">#REF!</definedName>
    <definedName name="_____fjd65">#REF!</definedName>
    <definedName name="_____fmd150">#REF!</definedName>
    <definedName name="_____frc2495">#REF!</definedName>
    <definedName name="_____frc41010">#REF!</definedName>
    <definedName name="_____frc495">#REF!</definedName>
    <definedName name="_____fvd100">#REF!</definedName>
    <definedName name="_____g1">#REF!</definedName>
    <definedName name="_____gip1">#REF!</definedName>
    <definedName name="_____gip15">#REF!</definedName>
    <definedName name="_____gip3">#REF!</definedName>
    <definedName name="_____gip34">#REF!</definedName>
    <definedName name="_____gip4">#REF!</definedName>
    <definedName name="_____GIP4004">"'file://SERVER3/har-data/STRUCTURE PRICE OF BQ KOMPAS GRAMEDIA.xls'#$analisa.$#REF!$#REF!"</definedName>
    <definedName name="_____GIP5004">"'file://SERVER3/har-data/STRUCTURE PRICE OF BQ KOMPAS GRAMEDIA.xls'#$analisa.$#REF!$#REF!"</definedName>
    <definedName name="_____GIP6504">"'file://SERVER3/har-data/STRUCTURE PRICE OF BQ KOMPAS GRAMEDIA.xls'#$analisa.$#REF!$#REF!"</definedName>
    <definedName name="_____GIP804">"'file://SERVER3/har-data/STRUCTURE PRICE OF BQ KOMPAS GRAMEDIA.xls'#$analisa.$#REF!$#REF!"</definedName>
    <definedName name="_____GIV2">#N/A</definedName>
    <definedName name="_____gk2" hidden="1">#REF!</definedName>
    <definedName name="_____grc1">#REF!</definedName>
    <definedName name="_____grv30">#REF!</definedName>
    <definedName name="_____gti50">#REF!</definedName>
    <definedName name="_____gti60">#REF!</definedName>
    <definedName name="_____gvd1">#REF!</definedName>
    <definedName name="_____gvd10">#REF!</definedName>
    <definedName name="_____gvd100">#REF!</definedName>
    <definedName name="_____gvd15">#REF!</definedName>
    <definedName name="_____gvd150">#REF!</definedName>
    <definedName name="_____gvd2">#REF!</definedName>
    <definedName name="_____gvd20">#REF!</definedName>
    <definedName name="_____gvd25">#REF!</definedName>
    <definedName name="_____gvd3">#REF!</definedName>
    <definedName name="_____gvd32">#REF!</definedName>
    <definedName name="_____gvd4">#REF!</definedName>
    <definedName name="_____gvd40">#REF!</definedName>
    <definedName name="_____gvd5">#REF!</definedName>
    <definedName name="_____gvd50">#REF!</definedName>
    <definedName name="_____gvd6">#REF!</definedName>
    <definedName name="_____gvd65">#REF!</definedName>
    <definedName name="_____gvd8">#REF!</definedName>
    <definedName name="_____gvd80">#REF!</definedName>
    <definedName name="_____gyp9">#REF!</definedName>
    <definedName name="_____HAL1">#REF!</definedName>
    <definedName name="_____HAL2">#REF!</definedName>
    <definedName name="_____HAL3">#REF!</definedName>
    <definedName name="_____HAL4">#REF!</definedName>
    <definedName name="_____HAL5">#REF!</definedName>
    <definedName name="_____HAL6">#REF!</definedName>
    <definedName name="_____HAL7">#REF!</definedName>
    <definedName name="_____HAL8">#REF!</definedName>
    <definedName name="_____hdw1">#REF!</definedName>
    <definedName name="_____INF1">#REF!</definedName>
    <definedName name="_____INF2">#REF!</definedName>
    <definedName name="_____INF3">#REF!</definedName>
    <definedName name="_____INF4">#REF!</definedName>
    <definedName name="_____int1">#REF!</definedName>
    <definedName name="_____int2">#REF!</definedName>
    <definedName name="_____IPR1">#REF!</definedName>
    <definedName name="_____IPR21">#REF!</definedName>
    <definedName name="_____jum1">#REF!</definedName>
    <definedName name="_____jum10">#REF!</definedName>
    <definedName name="_____jum2">#REF!</definedName>
    <definedName name="_____jum3">#REF!</definedName>
    <definedName name="_____jum4">#REF!</definedName>
    <definedName name="_____jum5">#REF!</definedName>
    <definedName name="_____jum6">#REF!</definedName>
    <definedName name="_____jum7">#REF!</definedName>
    <definedName name="_____jum8">#REF!</definedName>
    <definedName name="_____jum9">#REF!</definedName>
    <definedName name="_____K1">#N/A</definedName>
    <definedName name="_____K3">#N/A</definedName>
    <definedName name="_____kco7">#REF!</definedName>
    <definedName name="_____ke1">#REF!</definedName>
    <definedName name="_____ke2">#REF!</definedName>
    <definedName name="_____ke3">#REF!</definedName>
    <definedName name="_____ke4">#REF!</definedName>
    <definedName name="_____ker1020">#REF!</definedName>
    <definedName name="_____ker1030">#REF!</definedName>
    <definedName name="_____kof1">#REF!</definedName>
    <definedName name="_____kr15">#REF!</definedName>
    <definedName name="_____krm2020">#REF!</definedName>
    <definedName name="_____krm2025">#REF!</definedName>
    <definedName name="_____krm3030">#REF!</definedName>
    <definedName name="_____krm4040">#REF!</definedName>
    <definedName name="_____LCM2">#REF!</definedName>
    <definedName name="_____LCM3">#REF!</definedName>
    <definedName name="_____ld100">#REF!</definedName>
    <definedName name="_____ld120">#REF!</definedName>
    <definedName name="_____ld50">#REF!</definedName>
    <definedName name="_____ld60">#REF!</definedName>
    <definedName name="_____ld80">#REF!</definedName>
    <definedName name="_____ldp60">#REF!</definedName>
    <definedName name="_____lh50">#REF!</definedName>
    <definedName name="_____LLL01">#REF!</definedName>
    <definedName name="_____LLL02">#REF!</definedName>
    <definedName name="_____LLL03">#REF!</definedName>
    <definedName name="_____LLL04">#REF!</definedName>
    <definedName name="_____LLL05">#REF!</definedName>
    <definedName name="_____LLL06">#REF!</definedName>
    <definedName name="_____LLL07">#REF!</definedName>
    <definedName name="_____LLL08">#REF!</definedName>
    <definedName name="_____LLL09">#REF!</definedName>
    <definedName name="_____LLL10">#REF!</definedName>
    <definedName name="_____LLL11">#REF!</definedName>
    <definedName name="_____lp100">#REF!</definedName>
    <definedName name="_____lp300">#REF!</definedName>
    <definedName name="_____lp36">#REF!</definedName>
    <definedName name="_____lp500">#REF!</definedName>
    <definedName name="_____lp60">#REF!</definedName>
    <definedName name="_____lpl11">#REF!</definedName>
    <definedName name="_____ls100">#REF!</definedName>
    <definedName name="_____ls50">#REF!</definedName>
    <definedName name="_____ls60">#REF!</definedName>
    <definedName name="_____ls80">#REF!</definedName>
    <definedName name="_____M6" hidden="1">{#N/A,#N/A,FALSE,"Chi tiÆt"}</definedName>
    <definedName name="_____MAC12">#REF!</definedName>
    <definedName name="_____MAC46">#REF!</definedName>
    <definedName name="_____mc2">#REF!</definedName>
    <definedName name="_____MDE01">#REF!</definedName>
    <definedName name="_____MDE02">#REF!</definedName>
    <definedName name="_____MDE03">#REF!</definedName>
    <definedName name="_____MDE04">#REF!</definedName>
    <definedName name="_____MDE05">#REF!</definedName>
    <definedName name="_____MDE06">#REF!</definedName>
    <definedName name="_____MDE07">#REF!</definedName>
    <definedName name="_____MDE08">#REF!</definedName>
    <definedName name="_____MDE09">#REF!</definedName>
    <definedName name="_____MDE10">#REF!</definedName>
    <definedName name="_____MDE11">#REF!</definedName>
    <definedName name="_____MDE12">#REF!</definedName>
    <definedName name="_____MDE13">#REF!</definedName>
    <definedName name="_____MDE14">#REF!</definedName>
    <definedName name="_____MDE15">#REF!</definedName>
    <definedName name="_____MDE16">#REF!</definedName>
    <definedName name="_____MDE17">#REF!</definedName>
    <definedName name="_____MDE18">#REF!</definedName>
    <definedName name="_____MDE19">#REF!</definedName>
    <definedName name="_____MDE20">#REF!</definedName>
    <definedName name="_____MDE21">#REF!</definedName>
    <definedName name="_____MDE22">#REF!</definedName>
    <definedName name="_____MDE23">#REF!</definedName>
    <definedName name="_____MDE24">#REF!</definedName>
    <definedName name="_____MDE25">#REF!</definedName>
    <definedName name="_____MDE26">#REF!</definedName>
    <definedName name="_____MDE27">#REF!</definedName>
    <definedName name="_____MDE28">#REF!</definedName>
    <definedName name="_____MDE29">#REF!</definedName>
    <definedName name="_____MDE30">#REF!</definedName>
    <definedName name="_____MDE31">#REF!</definedName>
    <definedName name="_____MDE32">#REF!</definedName>
    <definedName name="_____MDE33">#REF!</definedName>
    <definedName name="_____MDE34">#REF!</definedName>
    <definedName name="_____MDE35">#REF!</definedName>
    <definedName name="_____MDE36">#REF!</definedName>
    <definedName name="_____MDE37">#REF!</definedName>
    <definedName name="_____MDE38">#REF!</definedName>
    <definedName name="_____MDE39">#REF!</definedName>
    <definedName name="_____MDE40">#REF!</definedName>
    <definedName name="_____MDE41">#REF!</definedName>
    <definedName name="_____MDE42">#REF!</definedName>
    <definedName name="_____MDE43">#REF!</definedName>
    <definedName name="_____MDE44">#REF!</definedName>
    <definedName name="_____MDE45">#REF!</definedName>
    <definedName name="_____MDE46">#REF!</definedName>
    <definedName name="_____MDE47">#REF!</definedName>
    <definedName name="_____MDE48">#REF!</definedName>
    <definedName name="_____MDE49">#REF!</definedName>
    <definedName name="_____MDE50">#REF!</definedName>
    <definedName name="_____MDE51">#REF!</definedName>
    <definedName name="_____MDE52">#REF!</definedName>
    <definedName name="_____MDE53">#REF!</definedName>
    <definedName name="_____MDE54">#REF!</definedName>
    <definedName name="_____MDE55">#REF!</definedName>
    <definedName name="_____MDE56">#REF!</definedName>
    <definedName name="_____MDE57">#REF!</definedName>
    <definedName name="_____MDE58">#REF!</definedName>
    <definedName name="_____MDE59">#REF!</definedName>
    <definedName name="_____MDE60">#REF!</definedName>
    <definedName name="_____MDE61">#REF!</definedName>
    <definedName name="_____MDE62">#REF!</definedName>
    <definedName name="_____MDE63">#REF!</definedName>
    <definedName name="_____MDE64">#REF!</definedName>
    <definedName name="_____MDE65">#REF!</definedName>
    <definedName name="_____MDE66">#REF!</definedName>
    <definedName name="_____MDE67">#REF!</definedName>
    <definedName name="_____MDE68">#REF!</definedName>
    <definedName name="_____ME01">#REF!</definedName>
    <definedName name="_____ME02">#REF!</definedName>
    <definedName name="_____ME03">#REF!</definedName>
    <definedName name="_____ME04">#REF!</definedName>
    <definedName name="_____ME05">#REF!</definedName>
    <definedName name="_____ME06">#REF!</definedName>
    <definedName name="_____ME07">#REF!</definedName>
    <definedName name="_____ME08">#REF!</definedName>
    <definedName name="_____ME09">#REF!</definedName>
    <definedName name="_____ME10">#REF!</definedName>
    <definedName name="_____ME11">#REF!</definedName>
    <definedName name="_____ME12">#REF!</definedName>
    <definedName name="_____ME13">#REF!</definedName>
    <definedName name="_____ME14">#REF!</definedName>
    <definedName name="_____ME15">#REF!</definedName>
    <definedName name="_____ME16">#REF!</definedName>
    <definedName name="_____ME17">#REF!</definedName>
    <definedName name="_____ME18">#REF!</definedName>
    <definedName name="_____ME19">#REF!</definedName>
    <definedName name="_____ME20">#REF!</definedName>
    <definedName name="_____ME21">#REF!</definedName>
    <definedName name="_____ME22">#REF!</definedName>
    <definedName name="_____ME23">#REF!</definedName>
    <definedName name="_____ME24">#REF!</definedName>
    <definedName name="_____ME25">#REF!</definedName>
    <definedName name="_____ME26">#REF!</definedName>
    <definedName name="_____ME27">#REF!</definedName>
    <definedName name="_____ME28">#REF!</definedName>
    <definedName name="_____ME29">#REF!</definedName>
    <definedName name="_____ME30">#REF!</definedName>
    <definedName name="_____ME31">#REF!</definedName>
    <definedName name="_____ME32">#REF!</definedName>
    <definedName name="_____ME33">#REF!</definedName>
    <definedName name="_____ME34">#REF!</definedName>
    <definedName name="_____ME35">#REF!</definedName>
    <definedName name="_____ME36">#REF!</definedName>
    <definedName name="_____ME37">#REF!</definedName>
    <definedName name="_____ME38">#REF!</definedName>
    <definedName name="_____ME39">#REF!</definedName>
    <definedName name="_____ME40">#REF!</definedName>
    <definedName name="_____ME41">#REF!</definedName>
    <definedName name="_____ME42">#REF!</definedName>
    <definedName name="_____ME43">#REF!</definedName>
    <definedName name="_____ME44">#REF!</definedName>
    <definedName name="_____ME45">#REF!</definedName>
    <definedName name="_____ME46">#REF!</definedName>
    <definedName name="_____ME47">#REF!</definedName>
    <definedName name="_____ME48">#REF!</definedName>
    <definedName name="_____ME49">#REF!</definedName>
    <definedName name="_____ME50">#REF!</definedName>
    <definedName name="_____ME51">#REF!</definedName>
    <definedName name="_____ME52">#REF!</definedName>
    <definedName name="_____ME53">#REF!</definedName>
    <definedName name="_____ME54">#REF!</definedName>
    <definedName name="_____ME55">#REF!</definedName>
    <definedName name="_____ME56">#REF!</definedName>
    <definedName name="_____ME57">#REF!</definedName>
    <definedName name="_____ME58">#REF!</definedName>
    <definedName name="_____ME59">#REF!</definedName>
    <definedName name="_____ME60">#REF!</definedName>
    <definedName name="_____ME61">#REF!</definedName>
    <definedName name="_____ME62">#REF!</definedName>
    <definedName name="_____ME63">#REF!</definedName>
    <definedName name="_____ME64">#REF!</definedName>
    <definedName name="_____ME65">#REF!</definedName>
    <definedName name="_____ME66">#REF!</definedName>
    <definedName name="_____ME67">#REF!</definedName>
    <definedName name="_____ME68">#REF!</definedName>
    <definedName name="_____mix300">#REF!</definedName>
    <definedName name="_____MMM01">#REF!</definedName>
    <definedName name="_____MMM02">#REF!</definedName>
    <definedName name="_____MMM03">#REF!</definedName>
    <definedName name="_____MMM04">#REF!</definedName>
    <definedName name="_____MMM05">#REF!</definedName>
    <definedName name="_____MMM06">#REF!</definedName>
    <definedName name="_____MMM07">#REF!</definedName>
    <definedName name="_____MMM08">#REF!</definedName>
    <definedName name="_____MMM09">#REF!</definedName>
    <definedName name="_____MMM10">#REF!</definedName>
    <definedName name="_____MMM11">#REF!</definedName>
    <definedName name="_____MMM12">#REF!</definedName>
    <definedName name="_____MMM13">#REF!</definedName>
    <definedName name="_____MMM14">#REF!</definedName>
    <definedName name="_____MMM15">#REF!</definedName>
    <definedName name="_____MMM16">#REF!</definedName>
    <definedName name="_____MMM17">#REF!</definedName>
    <definedName name="_____MMM18">#REF!</definedName>
    <definedName name="_____MMM19">#REF!</definedName>
    <definedName name="_____MMM20">#REF!</definedName>
    <definedName name="_____MMM21">#REF!</definedName>
    <definedName name="_____MMM22">#REF!</definedName>
    <definedName name="_____MMM23">#REF!</definedName>
    <definedName name="_____MMM24">#REF!</definedName>
    <definedName name="_____MMM25">#REF!</definedName>
    <definedName name="_____MMM26">#REF!</definedName>
    <definedName name="_____MMM27">#REF!</definedName>
    <definedName name="_____MMM28">#REF!</definedName>
    <definedName name="_____MMM29">#REF!</definedName>
    <definedName name="_____MMM30">#REF!</definedName>
    <definedName name="_____MMM31">#REF!</definedName>
    <definedName name="_____MMM32">#REF!</definedName>
    <definedName name="_____MMM33">#REF!</definedName>
    <definedName name="_____MMM34">#REF!</definedName>
    <definedName name="_____MMM35">#REF!</definedName>
    <definedName name="_____MMM36">#REF!</definedName>
    <definedName name="_____MMM37">#REF!</definedName>
    <definedName name="_____MMM38">#REF!</definedName>
    <definedName name="_____MMM39">#REF!</definedName>
    <definedName name="_____MMM40">#REF!</definedName>
    <definedName name="_____MMM41">#REF!</definedName>
    <definedName name="_____MMM411">#REF!</definedName>
    <definedName name="_____MMM42">#REF!</definedName>
    <definedName name="_____MMM43">#REF!</definedName>
    <definedName name="_____MMM44">#REF!</definedName>
    <definedName name="_____MMM45">#REF!</definedName>
    <definedName name="_____MMM46">#REF!</definedName>
    <definedName name="_____MMM47">#REF!</definedName>
    <definedName name="_____MMM48">#REF!</definedName>
    <definedName name="_____MMM49">#REF!</definedName>
    <definedName name="_____MMM50">#REF!</definedName>
    <definedName name="_____MMM51">#REF!</definedName>
    <definedName name="_____MMM52">#REF!</definedName>
    <definedName name="_____MMM53">#REF!</definedName>
    <definedName name="_____MMM54">#REF!</definedName>
    <definedName name="_____mp1">#REF!</definedName>
    <definedName name="_____mu1">#REF!</definedName>
    <definedName name="_____mu2">#REF!</definedName>
    <definedName name="_____MU200">#N/A</definedName>
    <definedName name="_____MU300">#N/A</definedName>
    <definedName name="_____MU301">#N/A</definedName>
    <definedName name="_____MU380">#N/A</definedName>
    <definedName name="_____MU400">#N/A</definedName>
    <definedName name="_____MU408">#N/A</definedName>
    <definedName name="_____MU440">#N/A</definedName>
    <definedName name="_____MU450">#N/A</definedName>
    <definedName name="_____MU830">#N/A</definedName>
    <definedName name="_____mul12">#REF!</definedName>
    <definedName name="_____mul9">#REF!</definedName>
    <definedName name="_____mvd1">#REF!</definedName>
    <definedName name="_____mvd2">#REF!</definedName>
    <definedName name="_____mvd3">#REF!</definedName>
    <definedName name="_____mvd4">#REF!</definedName>
    <definedName name="_____NCL100">#REF!</definedName>
    <definedName name="_____NCL200">#REF!</definedName>
    <definedName name="_____NCL250">#REF!</definedName>
    <definedName name="_____nin190">#REF!</definedName>
    <definedName name="_____nym34">#REF!</definedName>
    <definedName name="_____nym46">#REF!</definedName>
    <definedName name="_____nyy2416">#REF!</definedName>
    <definedName name="_____nyy244">#REF!</definedName>
    <definedName name="_____nyy246">#REF!</definedName>
    <definedName name="_____nyy34">#REF!</definedName>
    <definedName name="_____nyy410">#REF!</definedName>
    <definedName name="_____nyy41010">#REF!</definedName>
    <definedName name="_____nyy412050">#REF!</definedName>
    <definedName name="_____nyy412070">#REF!</definedName>
    <definedName name="_____nyy415070">#REF!</definedName>
    <definedName name="_____nyy416">#REF!</definedName>
    <definedName name="_____nyy41616">#REF!</definedName>
    <definedName name="_____nyy42525">#REF!</definedName>
    <definedName name="_____nyy43535">#REF!</definedName>
    <definedName name="_____nyy44">#REF!</definedName>
    <definedName name="_____nyy444">#REF!</definedName>
    <definedName name="_____nyy45050">#REF!</definedName>
    <definedName name="_____nyy46">#REF!</definedName>
    <definedName name="_____nyy466">#REF!</definedName>
    <definedName name="_____nyy47050">#REF!</definedName>
    <definedName name="_____nyy47070">#REF!</definedName>
    <definedName name="_____nyy49570">#REF!</definedName>
    <definedName name="_____PA1">#REF!</definedName>
    <definedName name="_____PA10">#REF!</definedName>
    <definedName name="_____PA2">#REF!</definedName>
    <definedName name="_____PA3">#REF!</definedName>
    <definedName name="_____PA4">#REF!</definedName>
    <definedName name="_____PA5">#REF!</definedName>
    <definedName name="_____PA6">#REF!</definedName>
    <definedName name="_____PA7">#REF!</definedName>
    <definedName name="_____PA8">#REF!</definedName>
    <definedName name="_____PA9">#REF!</definedName>
    <definedName name="_____pab100">#REF!</definedName>
    <definedName name="_____pab125">#REF!</definedName>
    <definedName name="_____pab126">#REF!</definedName>
    <definedName name="_____pab15">#REF!</definedName>
    <definedName name="_____pab150">#REF!</definedName>
    <definedName name="_____pab2">#REF!</definedName>
    <definedName name="_____pab20">#REF!</definedName>
    <definedName name="_____pab25">#REF!</definedName>
    <definedName name="_____pab32">#REF!</definedName>
    <definedName name="_____pab4">#REF!</definedName>
    <definedName name="_____pab40">#REF!</definedName>
    <definedName name="_____pab50">#REF!</definedName>
    <definedName name="_____pab6">#REF!</definedName>
    <definedName name="_____pab65">#REF!</definedName>
    <definedName name="_____pab80">#REF!</definedName>
    <definedName name="_____PAC012">#REF!</definedName>
    <definedName name="_____pah150">#REF!</definedName>
    <definedName name="_____pak100">#REF!</definedName>
    <definedName name="_____pak150">#REF!</definedName>
    <definedName name="_____pak50">#REF!</definedName>
    <definedName name="_____pak80">#REF!</definedName>
    <definedName name="_____PB1">#REF!</definedName>
    <definedName name="_____PB2">#REF!</definedName>
    <definedName name="_____PB3">#REF!</definedName>
    <definedName name="_____pb34">#REF!</definedName>
    <definedName name="_____pb4">#REF!</definedName>
    <definedName name="_____pbf3">#REF!</definedName>
    <definedName name="_____pbf4">#REF!</definedName>
    <definedName name="_____PBK175">#REF!</definedName>
    <definedName name="_____PBK225">#REF!</definedName>
    <definedName name="_____pbs100">#REF!</definedName>
    <definedName name="_____pbs15">#REF!</definedName>
    <definedName name="_____pbs150">#REF!</definedName>
    <definedName name="_____pbs40">#REF!</definedName>
    <definedName name="_____pbs50">#REF!</definedName>
    <definedName name="_____pbs65">#REF!</definedName>
    <definedName name="_____pbs80">#REF!</definedName>
    <definedName name="_____pc1">#REF!</definedName>
    <definedName name="_____pc10">#REF!</definedName>
    <definedName name="_____pc12">#REF!</definedName>
    <definedName name="_____pc2">#REF!</definedName>
    <definedName name="_____pc3">#REF!</definedName>
    <definedName name="_____pc4">#REF!</definedName>
    <definedName name="_____PC450">#REF!</definedName>
    <definedName name="_____pc5">#REF!</definedName>
    <definedName name="_____pc50">#REF!</definedName>
    <definedName name="_____pc6">#REF!</definedName>
    <definedName name="_____PC600">#REF!</definedName>
    <definedName name="_____pc8">#REF!</definedName>
    <definedName name="_____pc80">#REF!</definedName>
    <definedName name="_____PCD10">#REF!</definedName>
    <definedName name="_____PCD3">#REF!</definedName>
    <definedName name="_____PCD6">#REF!</definedName>
    <definedName name="_____PCD8">#REF!</definedName>
    <definedName name="_____pcf10">#REF!</definedName>
    <definedName name="_____pcf12">#REF!</definedName>
    <definedName name="_____pcf3">#REF!</definedName>
    <definedName name="_____pcf4">#REF!</definedName>
    <definedName name="_____pcf5">#REF!</definedName>
    <definedName name="_____pcf6">#REF!</definedName>
    <definedName name="_____pcf8">#REF!</definedName>
    <definedName name="_____pcf80">#REF!</definedName>
    <definedName name="_____pd1">#REF!</definedName>
    <definedName name="_____pd2">#REF!</definedName>
    <definedName name="_____pd3">#REF!</definedName>
    <definedName name="_____pdf3">#REF!</definedName>
    <definedName name="_____pek2">#REF!</definedName>
    <definedName name="_____pf18">#REF!</definedName>
    <definedName name="_____ph100">#REF!</definedName>
    <definedName name="_____ph150">#REF!</definedName>
    <definedName name="_____phf100">#REF!</definedName>
    <definedName name="_____phf150">#REF!</definedName>
    <definedName name="_____PJ2">#REF!</definedName>
    <definedName name="_____PJ3">#REF!</definedName>
    <definedName name="_____PL1">#REF!</definedName>
    <definedName name="_____PL2">#REF!</definedName>
    <definedName name="_____PL3">#REF!</definedName>
    <definedName name="_____po1000">#REF!</definedName>
    <definedName name="_____por4040">#REF!</definedName>
    <definedName name="_____PSC052">#REF!</definedName>
    <definedName name="_____pv100">#REF!</definedName>
    <definedName name="_____pv40">#REF!</definedName>
    <definedName name="_____pv50">#REF!</definedName>
    <definedName name="_____pv80">#REF!</definedName>
    <definedName name="_____pvc100">#REF!</definedName>
    <definedName name="_____pvc150">#REF!</definedName>
    <definedName name="_____pvc20">#REF!</definedName>
    <definedName name="_____pvc200">#REF!</definedName>
    <definedName name="_____pvc25">#REF!</definedName>
    <definedName name="_____pvc32">#REF!</definedName>
    <definedName name="_____pvc40">#REF!</definedName>
    <definedName name="_____pvc50">#REF!</definedName>
    <definedName name="_____pvc65">#REF!</definedName>
    <definedName name="_____pvc80">#REF!</definedName>
    <definedName name="_____pvc804">"'file://SERVER3/har-data/STRUCTURE PRICE OF BQ KOMPAS GRAMEDIA.xls'#$analisa.$#REF!$#REF!"</definedName>
    <definedName name="_____pvc805">"'file://SERVER3/har-data/STRUCTURE PRICE OF BQ KOMPAS GRAMEDIA.xls'#$analisa.$#REF!$#REF!"</definedName>
    <definedName name="_____pvf100">#REF!</definedName>
    <definedName name="_____pvf80">#REF!</definedName>
    <definedName name="_____qmd15">#REF!</definedName>
    <definedName name="_____qmd20">#REF!</definedName>
    <definedName name="_____QS1">#REF!</definedName>
    <definedName name="_____QS10">#REF!</definedName>
    <definedName name="_____QS11">#REF!</definedName>
    <definedName name="_____QS12">#REF!</definedName>
    <definedName name="_____QS13">#REF!</definedName>
    <definedName name="_____QS14">#REF!</definedName>
    <definedName name="_____QS15">#REF!</definedName>
    <definedName name="_____QS16">#REF!</definedName>
    <definedName name="_____QS17">#REF!</definedName>
    <definedName name="_____QS18">#REF!</definedName>
    <definedName name="_____QS19">#REF!</definedName>
    <definedName name="_____QS2">#REF!</definedName>
    <definedName name="_____QS20">#REF!</definedName>
    <definedName name="_____QS21">#REF!</definedName>
    <definedName name="_____QS3">#REF!</definedName>
    <definedName name="_____QS4">#REF!</definedName>
    <definedName name="_____QS5">#REF!</definedName>
    <definedName name="_____QS6">#REF!</definedName>
    <definedName name="_____QS7">#REF!</definedName>
    <definedName name="_____QS8">#REF!</definedName>
    <definedName name="_____QS9">#REF!</definedName>
    <definedName name="_____rd1">#REF!</definedName>
    <definedName name="_____rd2">#REF!</definedName>
    <definedName name="_____rd3">#REF!</definedName>
    <definedName name="_____rd4">#REF!</definedName>
    <definedName name="_____rd6">#REF!</definedName>
    <definedName name="_____rd8">#REF!</definedName>
    <definedName name="_____rdd100">#REF!</definedName>
    <definedName name="_____rdd150">#REF!</definedName>
    <definedName name="_____rk100">#REF!</definedName>
    <definedName name="_____rk150">#REF!</definedName>
    <definedName name="_____rk200">#REF!</definedName>
    <definedName name="_____rk300">#REF!</definedName>
    <definedName name="_____rk400">#REF!</definedName>
    <definedName name="_____rk500">#REF!</definedName>
    <definedName name="_____rk600">#REF!</definedName>
    <definedName name="_____rkl1000">#REF!</definedName>
    <definedName name="_____rkl1200">#REF!</definedName>
    <definedName name="_____rkl200">#REF!</definedName>
    <definedName name="_____rkl300">#REF!</definedName>
    <definedName name="_____rkl400">#REF!</definedName>
    <definedName name="_____rkl500">#REF!</definedName>
    <definedName name="_____rkl600">#REF!</definedName>
    <definedName name="_____rkl700">#REF!</definedName>
    <definedName name="_____rkl800">#REF!</definedName>
    <definedName name="_____rst20">#REF!</definedName>
    <definedName name="_____rst30">#REF!</definedName>
    <definedName name="_____sc1">#REF!</definedName>
    <definedName name="_____SC2">#REF!</definedName>
    <definedName name="_____sc3">#REF!</definedName>
    <definedName name="_____SFL1">#REF!</definedName>
    <definedName name="_____SFL2">#REF!</definedName>
    <definedName name="_____SFL3">#REF!</definedName>
    <definedName name="_____SFM1">#REF!</definedName>
    <definedName name="_____SFM2">#REF!</definedName>
    <definedName name="_____SFM3">#REF!</definedName>
    <definedName name="_____SFM4">#REF!</definedName>
    <definedName name="_____SFM5">#REF!</definedName>
    <definedName name="_____SFM6">#REF!</definedName>
    <definedName name="_____SFM7">#REF!</definedName>
    <definedName name="_____SFQ1">#REF!</definedName>
    <definedName name="_____SFQ2">#REF!</definedName>
    <definedName name="_____SFQ3">#REF!</definedName>
    <definedName name="_____SFQ4">#REF!</definedName>
    <definedName name="_____sfv150">#REF!</definedName>
    <definedName name="_____sh1040">#REF!</definedName>
    <definedName name="_____sn1020">#REF!</definedName>
    <definedName name="_____SN3">#REF!</definedName>
    <definedName name="_____st1">#REF!</definedName>
    <definedName name="_____st2">#REF!</definedName>
    <definedName name="_____st3">#REF!</definedName>
    <definedName name="_____std100">#REF!</definedName>
    <definedName name="_____std150">#REF!</definedName>
    <definedName name="_____std2">#REF!</definedName>
    <definedName name="_____std3">#REF!</definedName>
    <definedName name="_____std4">#REF!</definedName>
    <definedName name="_____std50">#REF!</definedName>
    <definedName name="_____std65">#REF!</definedName>
    <definedName name="_____SUM1">#REF!</definedName>
    <definedName name="_____SUM2">#REF!</definedName>
    <definedName name="_____SUM3">#REF!</definedName>
    <definedName name="_____TA01">#REF!</definedName>
    <definedName name="_____TA67">#REF!</definedName>
    <definedName name="_____TA78">#REF!</definedName>
    <definedName name="_____TA89">#REF!</definedName>
    <definedName name="_____TA90">#REF!</definedName>
    <definedName name="_____tg20">#REF!</definedName>
    <definedName name="_____tg30">#REF!</definedName>
    <definedName name="_____th100">'[2]dongia (2)'!#REF!</definedName>
    <definedName name="_____TH160">'[2]dongia (2)'!#REF!</definedName>
    <definedName name="_____ti100">#REF!</definedName>
    <definedName name="_____ti120">#REF!</definedName>
    <definedName name="_____ti50">#REF!</definedName>
    <definedName name="_____ti60">#REF!</definedName>
    <definedName name="_____ti80">#REF!</definedName>
    <definedName name="_____TL1">#REF!</definedName>
    <definedName name="_____TL2">#REF!</definedName>
    <definedName name="_____TL3">#REF!</definedName>
    <definedName name="_____tl40">#REF!</definedName>
    <definedName name="_____TLA120">#REF!</definedName>
    <definedName name="_____TLA35">#REF!</definedName>
    <definedName name="_____TLA50">#REF!</definedName>
    <definedName name="_____TLA70">#REF!</definedName>
    <definedName name="_____TLA95">#REF!</definedName>
    <definedName name="_____tlc20">#REF!</definedName>
    <definedName name="_____TOP2">#REF!</definedName>
    <definedName name="_____TR250">'[2]dongia (2)'!#REF!</definedName>
    <definedName name="_____tr375">[2]giathanh1!#REF!</definedName>
    <definedName name="_____tsI3">#REF!</definedName>
    <definedName name="_____TSR3">#REF!</definedName>
    <definedName name="_____tsv25">#REF!</definedName>
    <definedName name="_____uls60">#REF!</definedName>
    <definedName name="_____up10">"'file://SERVER3/har-data/STRUCTURE PRICE OF BQ KOMPAS GRAMEDIA.xls'#$analisa.$#REF!$#REF!"</definedName>
    <definedName name="_____utd1">#REF!</definedName>
    <definedName name="_____utd2">#REF!</definedName>
    <definedName name="_____utd3">#REF!</definedName>
    <definedName name="_____vcd2">#REF!</definedName>
    <definedName name="_____vcd3">#REF!</definedName>
    <definedName name="_____vcd4">#REF!</definedName>
    <definedName name="_____VL100">#REF!</definedName>
    <definedName name="_____VL200">#REF!</definedName>
    <definedName name="_____VL250">#REF!</definedName>
    <definedName name="_____vnt100">#REF!</definedName>
    <definedName name="_____vnt40">#REF!</definedName>
    <definedName name="_____vnt50">#REF!</definedName>
    <definedName name="_____vnt80">#REF!</definedName>
    <definedName name="_____WC1">#REF!</definedName>
    <definedName name="_____WC2">#REF!</definedName>
    <definedName name="_____WC3">#REF!</definedName>
    <definedName name="_____we3">#REF!</definedName>
    <definedName name="____a66666">#REF!</definedName>
    <definedName name="____a666666">#REF!</definedName>
    <definedName name="____aaa1">#REF!</definedName>
    <definedName name="____AAD3">HAJIME:OWARI</definedName>
    <definedName name="____abb91">[4]chitimc!#REF!</definedName>
    <definedName name="____abs100">#REF!</definedName>
    <definedName name="____ADD1">STOP2:STOP2E</definedName>
    <definedName name="____ADD2">STOP:STOPE</definedName>
    <definedName name="____ADD3">STOP:STOPE</definedName>
    <definedName name="____ahu100">#REF!</definedName>
    <definedName name="____ahu150">#REF!</definedName>
    <definedName name="____ako100">#REF!</definedName>
    <definedName name="____ako150">#REF!</definedName>
    <definedName name="____ako50">#REF!</definedName>
    <definedName name="____ako80">#REF!</definedName>
    <definedName name="____aku100">#REF!</definedName>
    <definedName name="____aku150">#REF!</definedName>
    <definedName name="____alt1">#REF!</definedName>
    <definedName name="____ana1">#REF!</definedName>
    <definedName name="____ana10">#REF!</definedName>
    <definedName name="____ana100">#REF!</definedName>
    <definedName name="____ana101">#REF!</definedName>
    <definedName name="____ana102">#REF!</definedName>
    <definedName name="____ana103">#REF!</definedName>
    <definedName name="____ana104">#REF!</definedName>
    <definedName name="____ana105">#REF!</definedName>
    <definedName name="____ana106">#REF!</definedName>
    <definedName name="____ana107">#REF!</definedName>
    <definedName name="____ana108">#REF!</definedName>
    <definedName name="____ana109">#REF!</definedName>
    <definedName name="____ana11">#REF!</definedName>
    <definedName name="____ana110">#REF!</definedName>
    <definedName name="____ana111">#REF!</definedName>
    <definedName name="____ana112">#REF!</definedName>
    <definedName name="____ana113">#REF!</definedName>
    <definedName name="____ana114">#REF!</definedName>
    <definedName name="____ana115">#REF!</definedName>
    <definedName name="____ana116">#REF!</definedName>
    <definedName name="____ana117">#REF!</definedName>
    <definedName name="____ana118">#REF!</definedName>
    <definedName name="____ana119">#REF!</definedName>
    <definedName name="____ana12">#REF!</definedName>
    <definedName name="____ana120">#REF!</definedName>
    <definedName name="____ana121">#REF!</definedName>
    <definedName name="____ana122">#REF!</definedName>
    <definedName name="____ana123">#REF!</definedName>
    <definedName name="____ana124">#REF!</definedName>
    <definedName name="____ana13">#REF!</definedName>
    <definedName name="____ana14">#REF!</definedName>
    <definedName name="____ana15">#REF!</definedName>
    <definedName name="____ana16">#REF!</definedName>
    <definedName name="____ana17">#REF!</definedName>
    <definedName name="____ana18">#REF!</definedName>
    <definedName name="____ana19">#REF!</definedName>
    <definedName name="____ana2">#REF!</definedName>
    <definedName name="____ana20">#REF!</definedName>
    <definedName name="____ana21">#REF!</definedName>
    <definedName name="____ana22">#REF!</definedName>
    <definedName name="____ana23">#REF!</definedName>
    <definedName name="____ana24">#REF!</definedName>
    <definedName name="____ana25">#REF!</definedName>
    <definedName name="____ana26">#REF!</definedName>
    <definedName name="____ana27">#REF!</definedName>
    <definedName name="____ana28">#REF!</definedName>
    <definedName name="____ana29">#REF!</definedName>
    <definedName name="____ana3">#REF!</definedName>
    <definedName name="____ana30">#REF!</definedName>
    <definedName name="____ana31">#REF!</definedName>
    <definedName name="____ana32">#REF!</definedName>
    <definedName name="____ana33">#REF!</definedName>
    <definedName name="____ana34">#REF!</definedName>
    <definedName name="____ana35">#REF!</definedName>
    <definedName name="____ana36">#REF!</definedName>
    <definedName name="____ana37">#REF!</definedName>
    <definedName name="____ana38">#REF!</definedName>
    <definedName name="____ana39">#REF!</definedName>
    <definedName name="____ana4">#REF!</definedName>
    <definedName name="____ana40">#REF!</definedName>
    <definedName name="____ana41">#REF!</definedName>
    <definedName name="____ana42">#REF!</definedName>
    <definedName name="____ana43">#REF!</definedName>
    <definedName name="____ana44">#REF!</definedName>
    <definedName name="____ana45">#REF!</definedName>
    <definedName name="____ana46">#REF!</definedName>
    <definedName name="____ana47">#REF!</definedName>
    <definedName name="____ana48">#REF!</definedName>
    <definedName name="____ana49">#REF!</definedName>
    <definedName name="____ana5">#REF!</definedName>
    <definedName name="____ana50">#REF!</definedName>
    <definedName name="____ana51">#REF!</definedName>
    <definedName name="____ana52">#REF!</definedName>
    <definedName name="____ana53">#REF!</definedName>
    <definedName name="____ana54">#REF!</definedName>
    <definedName name="____ana55">#REF!</definedName>
    <definedName name="____ana56">#REF!</definedName>
    <definedName name="____ana57">#REF!</definedName>
    <definedName name="____ana58">#REF!</definedName>
    <definedName name="____ana59">#REF!</definedName>
    <definedName name="____ana6">#REF!</definedName>
    <definedName name="____ana60">#REF!</definedName>
    <definedName name="____ana61">#REF!</definedName>
    <definedName name="____ana62">#REF!</definedName>
    <definedName name="____ana63">#REF!</definedName>
    <definedName name="____ana64">#REF!</definedName>
    <definedName name="____ana65">#REF!</definedName>
    <definedName name="____ana66">#REF!</definedName>
    <definedName name="____ana67">#REF!</definedName>
    <definedName name="____ana68">#REF!</definedName>
    <definedName name="____ana69">#REF!</definedName>
    <definedName name="____ana7">#REF!</definedName>
    <definedName name="____ana70">#REF!</definedName>
    <definedName name="____ana71">#REF!</definedName>
    <definedName name="____ana72">#REF!</definedName>
    <definedName name="____ana73">#REF!</definedName>
    <definedName name="____ana74">#REF!</definedName>
    <definedName name="____ana75">#REF!</definedName>
    <definedName name="____ana76">#REF!</definedName>
    <definedName name="____ana77">#REF!</definedName>
    <definedName name="____ana78">#REF!</definedName>
    <definedName name="____ana79">#REF!</definedName>
    <definedName name="____ana8">#REF!</definedName>
    <definedName name="____ana80">#REF!</definedName>
    <definedName name="____ana81">#REF!</definedName>
    <definedName name="____ana82">#REF!</definedName>
    <definedName name="____ana83">#REF!</definedName>
    <definedName name="____ana84">#REF!</definedName>
    <definedName name="____ana85">#REF!</definedName>
    <definedName name="____ana86">#REF!</definedName>
    <definedName name="____ana87">#REF!</definedName>
    <definedName name="____ana88">#REF!</definedName>
    <definedName name="____ana89">#REF!</definedName>
    <definedName name="____ana9">#REF!</definedName>
    <definedName name="____ana90">#REF!</definedName>
    <definedName name="____ana91">#REF!</definedName>
    <definedName name="____ana92">#REF!</definedName>
    <definedName name="____ana93">#REF!</definedName>
    <definedName name="____ana94">#REF!</definedName>
    <definedName name="____ana95">#REF!</definedName>
    <definedName name="____ana96">#REF!</definedName>
    <definedName name="____ana97">#REF!</definedName>
    <definedName name="____ana98">#REF!</definedName>
    <definedName name="____ana99">#REF!</definedName>
    <definedName name="____APP3">#REF!</definedName>
    <definedName name="____asb5">#REF!</definedName>
    <definedName name="____ATB1">#REF!</definedName>
    <definedName name="____ATB2">#REF!</definedName>
    <definedName name="____ATB3">#REF!</definedName>
    <definedName name="____ATB4">#REF!</definedName>
    <definedName name="____bbm10">#REF!</definedName>
    <definedName name="____bbm3">#REF!</definedName>
    <definedName name="____bbm5">#REF!</definedName>
    <definedName name="____bbm8">#REF!</definedName>
    <definedName name="____bcv100">#REF!</definedName>
    <definedName name="____bcv125">#REF!</definedName>
    <definedName name="____bcv150">#REF!</definedName>
    <definedName name="____bes24">#REF!</definedName>
    <definedName name="____bes39">#REF!</definedName>
    <definedName name="____bes40">#N/A</definedName>
    <definedName name="____bet250">#REF!</definedName>
    <definedName name="____bet275">#REF!</definedName>
    <definedName name="____bet300">#REF!</definedName>
    <definedName name="____BOQ1">#REF!</definedName>
    <definedName name="____BOQ2">#REF!</definedName>
    <definedName name="____BOX2">#REF!</definedName>
    <definedName name="____bpl32">#REF!</definedName>
    <definedName name="____bpl9">#REF!</definedName>
    <definedName name="____bsc100">#REF!</definedName>
    <definedName name="____bsd1600">#REF!</definedName>
    <definedName name="____bsd2500">#REF!</definedName>
    <definedName name="____bsd4000">#REF!</definedName>
    <definedName name="____btn175">#REF!</definedName>
    <definedName name="____btn300">#REF!</definedName>
    <definedName name="____bud3500">#REF!</definedName>
    <definedName name="____bvd1">#REF!</definedName>
    <definedName name="____bvd2">#REF!</definedName>
    <definedName name="____bvd3">#REF!</definedName>
    <definedName name="____bvd34">#REF!</definedName>
    <definedName name="____bvd4">#REF!</definedName>
    <definedName name="____bvd5">#REF!</definedName>
    <definedName name="____bvd8">#REF!</definedName>
    <definedName name="____C">#REF!</definedName>
    <definedName name="____CAL1">#REF!</definedName>
    <definedName name="____CAL10">#REF!</definedName>
    <definedName name="____CAL11">#REF!</definedName>
    <definedName name="____CAL12">#REF!</definedName>
    <definedName name="____CAL13">#REF!</definedName>
    <definedName name="____CAL14">#REF!</definedName>
    <definedName name="____CAL15">#REF!</definedName>
    <definedName name="____CAL16">#REF!</definedName>
    <definedName name="____CAL17">#REF!</definedName>
    <definedName name="____CAL18">#REF!</definedName>
    <definedName name="____CAL19">#REF!</definedName>
    <definedName name="____CAL2">#REF!</definedName>
    <definedName name="____CAL20">#REF!</definedName>
    <definedName name="____CAL21">#REF!</definedName>
    <definedName name="____CAL3">#REF!</definedName>
    <definedName name="____CAL4">#REF!</definedName>
    <definedName name="____CAL5">#REF!</definedName>
    <definedName name="____CAL6">#REF!</definedName>
    <definedName name="____CAL7">#REF!</definedName>
    <definedName name="____CAL8">#REF!</definedName>
    <definedName name="____CAL9">#REF!</definedName>
    <definedName name="____cas80">#REF!</definedName>
    <definedName name="____CCF2">#REF!</definedName>
    <definedName name="____CFP2">'[5]Currency Rate'!$B$16</definedName>
    <definedName name="____cip10">#REF!</definedName>
    <definedName name="____cip2">#REF!</definedName>
    <definedName name="____cip3">#REF!</definedName>
    <definedName name="____cip4">#REF!</definedName>
    <definedName name="____cip6">#REF!</definedName>
    <definedName name="____cip8">#REF!</definedName>
    <definedName name="____clg01">#REF!</definedName>
    <definedName name="____clg02">#REF!</definedName>
    <definedName name="____clg03">#REF!</definedName>
    <definedName name="____clg04">#REF!</definedName>
    <definedName name="____clg05">#REF!</definedName>
    <definedName name="____clg06">#REF!</definedName>
    <definedName name="____clg07">#REF!</definedName>
    <definedName name="____clg08">#REF!</definedName>
    <definedName name="____clg09">#REF!</definedName>
    <definedName name="____clg10">#REF!</definedName>
    <definedName name="____clg11">#REF!</definedName>
    <definedName name="____clg12">#REF!</definedName>
    <definedName name="____clg13">#REF!</definedName>
    <definedName name="____clg14">#REF!</definedName>
    <definedName name="____clg15">#REF!</definedName>
    <definedName name="____clg16">#REF!</definedName>
    <definedName name="____clg17">#REF!</definedName>
    <definedName name="____clg18">#REF!</definedName>
    <definedName name="____clg19">#REF!</definedName>
    <definedName name="____clg20">#REF!</definedName>
    <definedName name="____clg21">#REF!</definedName>
    <definedName name="____clg22">#REF!</definedName>
    <definedName name="____clg23">#REF!</definedName>
    <definedName name="____clg24">#REF!</definedName>
    <definedName name="____clg25">#REF!</definedName>
    <definedName name="____clg26">#REF!</definedName>
    <definedName name="____clg27">#REF!</definedName>
    <definedName name="____clg28">#REF!</definedName>
    <definedName name="____clg29">#REF!</definedName>
    <definedName name="____clg30">#REF!</definedName>
    <definedName name="____clg31">#REF!</definedName>
    <definedName name="____clg32">#REF!</definedName>
    <definedName name="____clg33">#REF!</definedName>
    <definedName name="____clg34">#REF!</definedName>
    <definedName name="____clg35">#REF!</definedName>
    <definedName name="____clg36">#REF!</definedName>
    <definedName name="____clg37">#REF!</definedName>
    <definedName name="____CLP1">#REF!</definedName>
    <definedName name="____CLP2">#REF!</definedName>
    <definedName name="____CLP3">#REF!</definedName>
    <definedName name="____CLP4">#REF!</definedName>
    <definedName name="____CLP5">#REF!</definedName>
    <definedName name="____CLP6">#REF!</definedName>
    <definedName name="____CLP7">#REF!</definedName>
    <definedName name="____cod4">#REF!</definedName>
    <definedName name="____CON1">#REF!</definedName>
    <definedName name="____CON125">#REF!</definedName>
    <definedName name="____CON175">#REF!</definedName>
    <definedName name="____CON2">#REF!</definedName>
    <definedName name="____CON250">#REF!</definedName>
    <definedName name="____CON300">#REF!</definedName>
    <definedName name="____COR123">#REF!</definedName>
    <definedName name="____COR135">#REF!</definedName>
    <definedName name="____cor175">#REF!</definedName>
    <definedName name="____cor225">#REF!</definedName>
    <definedName name="____cor300">#REF!</definedName>
    <definedName name="____CT250">'[4]dongia (2)'!#REF!</definedName>
    <definedName name="____cvd100">#REF!</definedName>
    <definedName name="____cvd15">#REF!</definedName>
    <definedName name="____cvd150">#REF!</definedName>
    <definedName name="____cvd50">#REF!</definedName>
    <definedName name="____cvd65">#REF!</definedName>
    <definedName name="____daf1">#REF!</definedName>
    <definedName name="____DAF10">#REF!</definedName>
    <definedName name="____daf2">#REF!</definedName>
    <definedName name="____daf31">#REF!</definedName>
    <definedName name="____daf32">#REF!</definedName>
    <definedName name="____daf33">#REF!</definedName>
    <definedName name="____dcd021">[6]BOQ!#REF!</definedName>
    <definedName name="____ddn400">#REF!</definedName>
    <definedName name="____ddn600">#REF!</definedName>
    <definedName name="____dgt100">'[4]dongia (2)'!#REF!</definedName>
    <definedName name="____dia6">#REF!</definedName>
    <definedName name="____DIV1">#REF!</definedName>
    <definedName name="____DIV10">#REF!</definedName>
    <definedName name="____DIV11">#REF!</definedName>
    <definedName name="____DIV2">#REF!</definedName>
    <definedName name="____DIV3">#REF!</definedName>
    <definedName name="____DIV4">#REF!</definedName>
    <definedName name="____DIV5">#REF!</definedName>
    <definedName name="____DIV6">#REF!</definedName>
    <definedName name="____DIV7">#REF!</definedName>
    <definedName name="____DIV8">#REF!</definedName>
    <definedName name="____DIV9">#REF!</definedName>
    <definedName name="____dlh20">#REF!</definedName>
    <definedName name="____dlh50">#REF!</definedName>
    <definedName name="____dot2020">#REF!</definedName>
    <definedName name="____EEE01">#REF!</definedName>
    <definedName name="____EEE02">#REF!</definedName>
    <definedName name="____EEE03">#REF!</definedName>
    <definedName name="____EEE04">#REF!</definedName>
    <definedName name="____EEE05">#REF!</definedName>
    <definedName name="____EEE06">#REF!</definedName>
    <definedName name="____EEE07">#REF!</definedName>
    <definedName name="____EEE08">#REF!</definedName>
    <definedName name="____EEE09">#REF!</definedName>
    <definedName name="____EEE10">#REF!</definedName>
    <definedName name="____EEE11">#REF!</definedName>
    <definedName name="____EEE12">#REF!</definedName>
    <definedName name="____EEE13">#REF!</definedName>
    <definedName name="____EEE14">#REF!</definedName>
    <definedName name="____EEE15">#REF!</definedName>
    <definedName name="____EEE16">#REF!</definedName>
    <definedName name="____EEE17">#REF!</definedName>
    <definedName name="____EEE18">#REF!</definedName>
    <definedName name="____EEE19">#REF!</definedName>
    <definedName name="____EEE20">#REF!</definedName>
    <definedName name="____EEE21">#REF!</definedName>
    <definedName name="____EEE22">#REF!</definedName>
    <definedName name="____EEE23">#REF!</definedName>
    <definedName name="____EEE24">#REF!</definedName>
    <definedName name="____EEE25">#REF!</definedName>
    <definedName name="____EEE26">#REF!</definedName>
    <definedName name="____EEE27">#REF!</definedName>
    <definedName name="____EEE28">#REF!</definedName>
    <definedName name="____EEE29">#REF!</definedName>
    <definedName name="____EEE30">#REF!</definedName>
    <definedName name="____EEE31">#REF!</definedName>
    <definedName name="____EEE32">#REF!</definedName>
    <definedName name="____EEE33">#REF!</definedName>
    <definedName name="____Eqp1">#REF!</definedName>
    <definedName name="____Eqp2">#REF!</definedName>
    <definedName name="____EST1">#REF!</definedName>
    <definedName name="____EST2">#REF!</definedName>
    <definedName name="____ewr4">#REF!</definedName>
    <definedName name="____fdd3">#REF!</definedName>
    <definedName name="____fdu2">#REF!</definedName>
    <definedName name="____FIT100">#REF!</definedName>
    <definedName name="____fit125">#REF!</definedName>
    <definedName name="____FIT150">#REF!</definedName>
    <definedName name="____FIT200">#REF!</definedName>
    <definedName name="____FIT300">#REF!</definedName>
    <definedName name="____FIT65">#REF!</definedName>
    <definedName name="____fit80">#REF!</definedName>
    <definedName name="____fjd100">#REF!</definedName>
    <definedName name="____fjd150">#REF!</definedName>
    <definedName name="____fjd50">#REF!</definedName>
    <definedName name="____fjd65">#REF!</definedName>
    <definedName name="____flr01">#REF!</definedName>
    <definedName name="____flr02">#REF!</definedName>
    <definedName name="____flr03">#REF!</definedName>
    <definedName name="____flr04">#REF!</definedName>
    <definedName name="____flr05">#REF!</definedName>
    <definedName name="____flr06">#REF!</definedName>
    <definedName name="____flr07">#REF!</definedName>
    <definedName name="____flr08">#REF!</definedName>
    <definedName name="____flr09">#REF!</definedName>
    <definedName name="____flr10">#REF!</definedName>
    <definedName name="____flr11">#REF!</definedName>
    <definedName name="____flr12">#REF!</definedName>
    <definedName name="____flr13">#REF!</definedName>
    <definedName name="____flr14">#REF!</definedName>
    <definedName name="____flr15">#REF!</definedName>
    <definedName name="____flr16">#REF!</definedName>
    <definedName name="____flr17">#REF!</definedName>
    <definedName name="____flr18">#REF!</definedName>
    <definedName name="____flr181">#REF!</definedName>
    <definedName name="____flr19">#REF!</definedName>
    <definedName name="____flr20">#REF!</definedName>
    <definedName name="____flr21">#REF!</definedName>
    <definedName name="____flr22">#REF!</definedName>
    <definedName name="____flr23">#REF!</definedName>
    <definedName name="____flr24">#REF!</definedName>
    <definedName name="____flr25">#REF!</definedName>
    <definedName name="____flr26">#REF!</definedName>
    <definedName name="____flr27">#REF!</definedName>
    <definedName name="____flr28">#REF!</definedName>
    <definedName name="____flr29">#REF!</definedName>
    <definedName name="____flr30">#REF!</definedName>
    <definedName name="____flr31">#REF!</definedName>
    <definedName name="____flr32">#REF!</definedName>
    <definedName name="____flr33">#REF!</definedName>
    <definedName name="____flr34">#REF!</definedName>
    <definedName name="____flr35">#REF!</definedName>
    <definedName name="____flr36">#REF!</definedName>
    <definedName name="____flr37">#REF!</definedName>
    <definedName name="____flr38">#REF!</definedName>
    <definedName name="____flr39">#REF!</definedName>
    <definedName name="____flr40">#REF!</definedName>
    <definedName name="____flr41">#REF!</definedName>
    <definedName name="____flr42">#REF!</definedName>
    <definedName name="____flr43">#REF!</definedName>
    <definedName name="____flr44">#REF!</definedName>
    <definedName name="____flr45">#REF!</definedName>
    <definedName name="____flr46">#REF!</definedName>
    <definedName name="____flr47">#REF!</definedName>
    <definedName name="____flr48">#REF!</definedName>
    <definedName name="____flr49">#REF!</definedName>
    <definedName name="____flr50">#REF!</definedName>
    <definedName name="____flr51">#REF!</definedName>
    <definedName name="____flr52">#REF!</definedName>
    <definedName name="____flr53">#REF!</definedName>
    <definedName name="____flr54">#REF!</definedName>
    <definedName name="____flr55">#REF!</definedName>
    <definedName name="____flr56">#REF!</definedName>
    <definedName name="____flr57">#REF!</definedName>
    <definedName name="____fmd150">#REF!</definedName>
    <definedName name="____frc2495">#REF!</definedName>
    <definedName name="____frc41010">#REF!</definedName>
    <definedName name="____frc495">#REF!</definedName>
    <definedName name="____g1">#REF!</definedName>
    <definedName name="____GID1">'[4]LKVL-CK-HT-GD1'!$A$4</definedName>
    <definedName name="____gip1">#REF!</definedName>
    <definedName name="____gip15">#REF!</definedName>
    <definedName name="____gip3">#REF!</definedName>
    <definedName name="____gip34">#REF!</definedName>
    <definedName name="____gip4">#REF!</definedName>
    <definedName name="____GIP4004">"'file://SERVER3/har-data/STRUCTURE PRICE OF BQ KOMPAS GRAMEDIA.xls'#$analisa.$#REF!$#REF!"</definedName>
    <definedName name="____GIP5004">"'file://SERVER3/har-data/STRUCTURE PRICE OF BQ KOMPAS GRAMEDIA.xls'#$analisa.$#REF!$#REF!"</definedName>
    <definedName name="____GIP6504">"'file://SERVER3/har-data/STRUCTURE PRICE OF BQ KOMPAS GRAMEDIA.xls'#$analisa.$#REF!$#REF!"</definedName>
    <definedName name="____GIP804">"'file://SERVER3/har-data/STRUCTURE PRICE OF BQ KOMPAS GRAMEDIA.xls'#$analisa.$#REF!$#REF!"</definedName>
    <definedName name="____GIV2">#N/A</definedName>
    <definedName name="____gk2" hidden="1">#REF!</definedName>
    <definedName name="____grc1">#REF!</definedName>
    <definedName name="____grv20">#REF!</definedName>
    <definedName name="____grv30">#REF!</definedName>
    <definedName name="____gti50">#REF!</definedName>
    <definedName name="____gti60">#REF!</definedName>
    <definedName name="____gvd1">#REF!</definedName>
    <definedName name="____gvd10">#REF!</definedName>
    <definedName name="____gvd100">#REF!</definedName>
    <definedName name="____gvd15">#REF!</definedName>
    <definedName name="____gvd150">#REF!</definedName>
    <definedName name="____gvd2">#REF!</definedName>
    <definedName name="____gvd25">#REF!</definedName>
    <definedName name="____gvd3">#REF!</definedName>
    <definedName name="____gvd4">#REF!</definedName>
    <definedName name="____gvd5">#REF!</definedName>
    <definedName name="____gvd50">#REF!</definedName>
    <definedName name="____gvd6">#REF!</definedName>
    <definedName name="____gvd65">#REF!</definedName>
    <definedName name="____gvd8">#REF!</definedName>
    <definedName name="____gyp9">#REF!</definedName>
    <definedName name="____HAL1">#REF!</definedName>
    <definedName name="____HAL2">#REF!</definedName>
    <definedName name="____HAL3">#REF!</definedName>
    <definedName name="____HAL4">#REF!</definedName>
    <definedName name="____HAL5">#REF!</definedName>
    <definedName name="____HAL6">#REF!</definedName>
    <definedName name="____HAL7">#REF!</definedName>
    <definedName name="____HAL8">#REF!</definedName>
    <definedName name="____hdw1">#REF!</definedName>
    <definedName name="____INF1">#REF!</definedName>
    <definedName name="____INF2">#REF!</definedName>
    <definedName name="____INF3">#REF!</definedName>
    <definedName name="____INF4">#REF!</definedName>
    <definedName name="____int1">#REF!</definedName>
    <definedName name="____int2">#REF!</definedName>
    <definedName name="____IPR1">#REF!</definedName>
    <definedName name="____IPR21">#REF!</definedName>
    <definedName name="____jum1">#REF!</definedName>
    <definedName name="____jum10">#REF!</definedName>
    <definedName name="____jum2">#REF!</definedName>
    <definedName name="____jum3">#REF!</definedName>
    <definedName name="____jum4">#REF!</definedName>
    <definedName name="____jum5">#REF!</definedName>
    <definedName name="____jum6">#REF!</definedName>
    <definedName name="____jum7">#REF!</definedName>
    <definedName name="____jum8">#REF!</definedName>
    <definedName name="____jum9">#REF!</definedName>
    <definedName name="____kc3">#REF!</definedName>
    <definedName name="____kc5">#REF!</definedName>
    <definedName name="____kco7">#REF!</definedName>
    <definedName name="____ke1">#REF!</definedName>
    <definedName name="____ke2">#REF!</definedName>
    <definedName name="____ke3">#REF!</definedName>
    <definedName name="____ke4">#REF!</definedName>
    <definedName name="____ker1020">#REF!</definedName>
    <definedName name="____ker1030">#REF!</definedName>
    <definedName name="____ker2020">#REF!</definedName>
    <definedName name="____ker2025">#REF!</definedName>
    <definedName name="____ker3030">#REF!</definedName>
    <definedName name="____KEY001" hidden="1">#REF!</definedName>
    <definedName name="____KEY002" hidden="1">#REF!</definedName>
    <definedName name="____KEY01" hidden="1">#REF!</definedName>
    <definedName name="____KEY02" hidden="1">#REF!</definedName>
    <definedName name="____key1" hidden="1">#REF!</definedName>
    <definedName name="____Key2" hidden="1">#REF!</definedName>
    <definedName name="____kht20">#REF!</definedName>
    <definedName name="____kht40">#REF!</definedName>
    <definedName name="____kht50">#REF!</definedName>
    <definedName name="____KM1">[6]CH!$C$9</definedName>
    <definedName name="____KM2">[7]CH!$C$11</definedName>
    <definedName name="____ko2">#REF!</definedName>
    <definedName name="____kof1">#REF!</definedName>
    <definedName name="____KR1">#REF!</definedName>
    <definedName name="____KR22">#REF!</definedName>
    <definedName name="____KR6">#REF!</definedName>
    <definedName name="____KR7">#REF!</definedName>
    <definedName name="____KR8">#REF!</definedName>
    <definedName name="____KR9">#REF!</definedName>
    <definedName name="____krm2020">#REF!</definedName>
    <definedName name="____krm2025">#REF!</definedName>
    <definedName name="____krm3030">#REF!</definedName>
    <definedName name="____krm4040">#REF!</definedName>
    <definedName name="____L100000">#REF!</definedName>
    <definedName name="____L1000000">#REF!</definedName>
    <definedName name="____L69000">#REF!</definedName>
    <definedName name="____L70000">#REF!</definedName>
    <definedName name="____L90000">#REF!</definedName>
    <definedName name="____L99999">#REF!</definedName>
    <definedName name="____L999999">#REF!</definedName>
    <definedName name="____lb1">#REF!</definedName>
    <definedName name="____lb2">#REF!</definedName>
    <definedName name="____LBP1">#REF!</definedName>
    <definedName name="____LBP2">#REF!</definedName>
    <definedName name="____LCM2">#REF!</definedName>
    <definedName name="____LCM3">#REF!</definedName>
    <definedName name="____ld100">#REF!</definedName>
    <definedName name="____ld120">#REF!</definedName>
    <definedName name="____ld50">#REF!</definedName>
    <definedName name="____ld60">#REF!</definedName>
    <definedName name="____ld80">#REF!</definedName>
    <definedName name="____ldp60">#REF!</definedName>
    <definedName name="____lh50">#REF!</definedName>
    <definedName name="____LLL01">#REF!</definedName>
    <definedName name="____LLL02">#REF!</definedName>
    <definedName name="____LLL03">#REF!</definedName>
    <definedName name="____LLL04">#REF!</definedName>
    <definedName name="____LLL05">#REF!</definedName>
    <definedName name="____LLL06">#REF!</definedName>
    <definedName name="____LLL07">#REF!</definedName>
    <definedName name="____LLL08">#REF!</definedName>
    <definedName name="____LLL09">#REF!</definedName>
    <definedName name="____LLL10">#REF!</definedName>
    <definedName name="____LLL11">#REF!</definedName>
    <definedName name="____lp100">#REF!</definedName>
    <definedName name="____lp300">#REF!</definedName>
    <definedName name="____lp36">#REF!</definedName>
    <definedName name="____lp500">#REF!</definedName>
    <definedName name="____lp60">#REF!</definedName>
    <definedName name="____lpl11">#REF!</definedName>
    <definedName name="____ls100">#REF!</definedName>
    <definedName name="____ls50">#REF!</definedName>
    <definedName name="____ls60">#REF!</definedName>
    <definedName name="____ls80">#REF!</definedName>
    <definedName name="____lt1">#REF!</definedName>
    <definedName name="____lt2">#REF!</definedName>
    <definedName name="____lt3">#REF!</definedName>
    <definedName name="____lt4">#REF!</definedName>
    <definedName name="____lt5">#REF!</definedName>
    <definedName name="____lt6">#REF!</definedName>
    <definedName name="____lt7">#REF!</definedName>
    <definedName name="____lt8">#REF!</definedName>
    <definedName name="____M6" hidden="1">{#N/A,#N/A,FALSE,"Chi tiÆt"}</definedName>
    <definedName name="____MAC12">#REF!</definedName>
    <definedName name="____MAC46">#REF!</definedName>
    <definedName name="____MB867">#REF!</definedName>
    <definedName name="____mc2">#REF!</definedName>
    <definedName name="____MDE01">#REF!</definedName>
    <definedName name="____MDE02">#REF!</definedName>
    <definedName name="____MDE03">#REF!</definedName>
    <definedName name="____MDE04">#REF!</definedName>
    <definedName name="____MDE05">#REF!</definedName>
    <definedName name="____MDE06">#REF!</definedName>
    <definedName name="____MDE07">#REF!</definedName>
    <definedName name="____MDE08">#REF!</definedName>
    <definedName name="____MDE09">#REF!</definedName>
    <definedName name="____MDE10">#REF!</definedName>
    <definedName name="____MDE11">#REF!</definedName>
    <definedName name="____MDE12">#REF!</definedName>
    <definedName name="____MDE13">#REF!</definedName>
    <definedName name="____MDE14">#REF!</definedName>
    <definedName name="____MDE15">#REF!</definedName>
    <definedName name="____MDE16">#REF!</definedName>
    <definedName name="____MDE17">#REF!</definedName>
    <definedName name="____MDE18">#REF!</definedName>
    <definedName name="____MDE19">#REF!</definedName>
    <definedName name="____MDE20">#REF!</definedName>
    <definedName name="____MDE21">#REF!</definedName>
    <definedName name="____MDE22">#REF!</definedName>
    <definedName name="____MDE23">#REF!</definedName>
    <definedName name="____MDE24">#REF!</definedName>
    <definedName name="____MDE25">#REF!</definedName>
    <definedName name="____MDE26">#REF!</definedName>
    <definedName name="____MDE27">#REF!</definedName>
    <definedName name="____MDE28">#REF!</definedName>
    <definedName name="____MDE29">#REF!</definedName>
    <definedName name="____MDE30">#REF!</definedName>
    <definedName name="____MDE31">#REF!</definedName>
    <definedName name="____MDE32">#REF!</definedName>
    <definedName name="____MDE33">#REF!</definedName>
    <definedName name="____MDE34">#REF!</definedName>
    <definedName name="____MDE35">#REF!</definedName>
    <definedName name="____MDE36">#REF!</definedName>
    <definedName name="____MDE37">#REF!</definedName>
    <definedName name="____MDE38">#REF!</definedName>
    <definedName name="____MDE39">#REF!</definedName>
    <definedName name="____MDE40">#REF!</definedName>
    <definedName name="____MDE41">#REF!</definedName>
    <definedName name="____MDE42">#REF!</definedName>
    <definedName name="____MDE43">#REF!</definedName>
    <definedName name="____MDE44">#REF!</definedName>
    <definedName name="____MDE45">#REF!</definedName>
    <definedName name="____MDE46">#REF!</definedName>
    <definedName name="____MDE47">#REF!</definedName>
    <definedName name="____MDE48">#REF!</definedName>
    <definedName name="____MDE49">#REF!</definedName>
    <definedName name="____MDE50">#REF!</definedName>
    <definedName name="____MDE51">#REF!</definedName>
    <definedName name="____MDE52">#REF!</definedName>
    <definedName name="____MDE53">#REF!</definedName>
    <definedName name="____MDE54">#REF!</definedName>
    <definedName name="____MDE55">#REF!</definedName>
    <definedName name="____MDE56">#REF!</definedName>
    <definedName name="____MDE57">#REF!</definedName>
    <definedName name="____MDE58">#REF!</definedName>
    <definedName name="____MDE59">#REF!</definedName>
    <definedName name="____MDE60">#REF!</definedName>
    <definedName name="____MDE61">#REF!</definedName>
    <definedName name="____MDE62">#REF!</definedName>
    <definedName name="____MDE63">#REF!</definedName>
    <definedName name="____MDE64">#REF!</definedName>
    <definedName name="____MDE65">#REF!</definedName>
    <definedName name="____MDE66">#REF!</definedName>
    <definedName name="____MDE67">#REF!</definedName>
    <definedName name="____MDE68">#REF!</definedName>
    <definedName name="____ME01">#REF!</definedName>
    <definedName name="____ME02">#REF!</definedName>
    <definedName name="____ME03">#REF!</definedName>
    <definedName name="____ME04">#REF!</definedName>
    <definedName name="____ME05">#REF!</definedName>
    <definedName name="____ME06">#REF!</definedName>
    <definedName name="____ME07">#REF!</definedName>
    <definedName name="____ME08">#REF!</definedName>
    <definedName name="____ME09">#REF!</definedName>
    <definedName name="____ME1">#REF!</definedName>
    <definedName name="____ME10">#REF!</definedName>
    <definedName name="____ME11">#REF!</definedName>
    <definedName name="____ME12">#REF!</definedName>
    <definedName name="____ME13">#REF!</definedName>
    <definedName name="____ME14">#REF!</definedName>
    <definedName name="____ME15">#REF!</definedName>
    <definedName name="____ME16">#REF!</definedName>
    <definedName name="____ME17">#REF!</definedName>
    <definedName name="____ME18">#REF!</definedName>
    <definedName name="____ME19">#REF!</definedName>
    <definedName name="____ME2">#REF!</definedName>
    <definedName name="____ME20">#REF!</definedName>
    <definedName name="____ME21">#REF!</definedName>
    <definedName name="____ME22">#REF!</definedName>
    <definedName name="____ME23">#REF!</definedName>
    <definedName name="____ME24">#REF!</definedName>
    <definedName name="____ME25">#REF!</definedName>
    <definedName name="____ME26">#REF!</definedName>
    <definedName name="____ME27">#REF!</definedName>
    <definedName name="____ME28">#REF!</definedName>
    <definedName name="____ME29">#REF!</definedName>
    <definedName name="____ME3">#REF!</definedName>
    <definedName name="____ME30">#REF!</definedName>
    <definedName name="____ME31">#REF!</definedName>
    <definedName name="____ME32">#REF!</definedName>
    <definedName name="____ME33">#REF!</definedName>
    <definedName name="____ME34">#REF!</definedName>
    <definedName name="____ME35">#REF!</definedName>
    <definedName name="____ME36">#REF!</definedName>
    <definedName name="____ME37">#REF!</definedName>
    <definedName name="____ME38">#REF!</definedName>
    <definedName name="____ME39">#REF!</definedName>
    <definedName name="____ME40">#REF!</definedName>
    <definedName name="____ME41">#REF!</definedName>
    <definedName name="____ME42">#REF!</definedName>
    <definedName name="____ME43">#REF!</definedName>
    <definedName name="____ME44">#REF!</definedName>
    <definedName name="____ME45">#REF!</definedName>
    <definedName name="____ME46">#REF!</definedName>
    <definedName name="____ME47">#REF!</definedName>
    <definedName name="____ME48">#REF!</definedName>
    <definedName name="____ME49">#REF!</definedName>
    <definedName name="____ME50">#REF!</definedName>
    <definedName name="____ME51">#REF!</definedName>
    <definedName name="____ME52">#REF!</definedName>
    <definedName name="____ME53">#REF!</definedName>
    <definedName name="____ME54">#REF!</definedName>
    <definedName name="____ME55">#REF!</definedName>
    <definedName name="____ME56">#REF!</definedName>
    <definedName name="____ME57">#REF!</definedName>
    <definedName name="____ME58">#REF!</definedName>
    <definedName name="____ME59">#REF!</definedName>
    <definedName name="____ME60">#REF!</definedName>
    <definedName name="____ME61">#REF!</definedName>
    <definedName name="____ME62">#REF!</definedName>
    <definedName name="____ME63">#REF!</definedName>
    <definedName name="____ME64">#REF!</definedName>
    <definedName name="____ME65">#REF!</definedName>
    <definedName name="____ME66">#REF!</definedName>
    <definedName name="____ME67">#REF!</definedName>
    <definedName name="____ME68">#REF!</definedName>
    <definedName name="____MEN1">#REF!</definedName>
    <definedName name="____MET1">#REF!</definedName>
    <definedName name="____MET2">#REF!</definedName>
    <definedName name="____mix300">#REF!</definedName>
    <definedName name="____MJ1">#REF!</definedName>
    <definedName name="____MJ2">#REF!</definedName>
    <definedName name="____MMM01">#REF!</definedName>
    <definedName name="____MMM02">#REF!</definedName>
    <definedName name="____MMM03">#REF!</definedName>
    <definedName name="____MMM04">#REF!</definedName>
    <definedName name="____MMM05">#REF!</definedName>
    <definedName name="____MMM06">#REF!</definedName>
    <definedName name="____MMM07">#REF!</definedName>
    <definedName name="____MMM08">#REF!</definedName>
    <definedName name="____MMM09">#REF!</definedName>
    <definedName name="____MMM10">#REF!</definedName>
    <definedName name="____MMM11">#REF!</definedName>
    <definedName name="____MMM12">#REF!</definedName>
    <definedName name="____MMM13">#REF!</definedName>
    <definedName name="____MMM14">#REF!</definedName>
    <definedName name="____MMM15">#REF!</definedName>
    <definedName name="____MMM16">#REF!</definedName>
    <definedName name="____MMM17">#REF!</definedName>
    <definedName name="____MMM18">#REF!</definedName>
    <definedName name="____MMM19">#REF!</definedName>
    <definedName name="____MMM20">#REF!</definedName>
    <definedName name="____MMM21">#REF!</definedName>
    <definedName name="____MMM22">#REF!</definedName>
    <definedName name="____MMM23">#REF!</definedName>
    <definedName name="____MMM24">#REF!</definedName>
    <definedName name="____MMM25">#REF!</definedName>
    <definedName name="____MMM26">#REF!</definedName>
    <definedName name="____MMM27">#REF!</definedName>
    <definedName name="____MMM28">#REF!</definedName>
    <definedName name="____MMM29">#REF!</definedName>
    <definedName name="____MMM30">#REF!</definedName>
    <definedName name="____MMM31">#REF!</definedName>
    <definedName name="____MMM32">#REF!</definedName>
    <definedName name="____MMM33">#REF!</definedName>
    <definedName name="____MMM34">#REF!</definedName>
    <definedName name="____MMM35">#REF!</definedName>
    <definedName name="____MMM36">#REF!</definedName>
    <definedName name="____MMM37">#REF!</definedName>
    <definedName name="____MMM38">#REF!</definedName>
    <definedName name="____MMM39">#REF!</definedName>
    <definedName name="____MMM40">#REF!</definedName>
    <definedName name="____MMM41">#REF!</definedName>
    <definedName name="____MMM411">#REF!</definedName>
    <definedName name="____MMM42">#REF!</definedName>
    <definedName name="____MMM43">#REF!</definedName>
    <definedName name="____MMM44">#REF!</definedName>
    <definedName name="____MMM45">#REF!</definedName>
    <definedName name="____MMM46">#REF!</definedName>
    <definedName name="____MMM47">#REF!</definedName>
    <definedName name="____MMM48">#REF!</definedName>
    <definedName name="____MMM49">#REF!</definedName>
    <definedName name="____MMM50">#REF!</definedName>
    <definedName name="____MMM51">#REF!</definedName>
    <definedName name="____MMM52">#REF!</definedName>
    <definedName name="____MMM53">#REF!</definedName>
    <definedName name="____MMM54">#REF!</definedName>
    <definedName name="____MOB1">#REF!</definedName>
    <definedName name="____MOB2">#REF!</definedName>
    <definedName name="____mp1">#REF!</definedName>
    <definedName name="____MS1">#REF!</definedName>
    <definedName name="____MS2">#REF!</definedName>
    <definedName name="____mu1">#REF!</definedName>
    <definedName name="____mu2">#REF!</definedName>
    <definedName name="____MU200">#N/A</definedName>
    <definedName name="____MU300">#N/A</definedName>
    <definedName name="____MU301">#N/A</definedName>
    <definedName name="____MU380">#N/A</definedName>
    <definedName name="____MU400">#N/A</definedName>
    <definedName name="____MU408">#N/A</definedName>
    <definedName name="____MU440">#N/A</definedName>
    <definedName name="____MU450">#N/A</definedName>
    <definedName name="____MU830">#N/A</definedName>
    <definedName name="____mul12">#REF!</definedName>
    <definedName name="____mul9">#REF!</definedName>
    <definedName name="____mvd1">#REF!</definedName>
    <definedName name="____mvd2">#REF!</definedName>
    <definedName name="____mvd3">#REF!</definedName>
    <definedName name="____mvd4">#REF!</definedName>
    <definedName name="____NCL100">#REF!</definedName>
    <definedName name="____NCL200">#REF!</definedName>
    <definedName name="____NCL250">#REF!</definedName>
    <definedName name="____nin190">#REF!</definedName>
    <definedName name="____nym34">#REF!</definedName>
    <definedName name="____nym46">#REF!</definedName>
    <definedName name="____nyy2416">#REF!</definedName>
    <definedName name="____nyy244">#REF!</definedName>
    <definedName name="____nyy246">#REF!</definedName>
    <definedName name="____nyy34">#REF!</definedName>
    <definedName name="____nyy410">#REF!</definedName>
    <definedName name="____nyy41010">#REF!</definedName>
    <definedName name="____nyy412050">#REF!</definedName>
    <definedName name="____nyy412070">#REF!</definedName>
    <definedName name="____nyy415070">#REF!</definedName>
    <definedName name="____nyy416">#REF!</definedName>
    <definedName name="____nyy41616">#REF!</definedName>
    <definedName name="____nyy42525">#REF!</definedName>
    <definedName name="____nyy43535">#REF!</definedName>
    <definedName name="____nyy44">#REF!</definedName>
    <definedName name="____nyy444">#REF!</definedName>
    <definedName name="____nyy45050">#REF!</definedName>
    <definedName name="____nyy46">#REF!</definedName>
    <definedName name="____nyy466">#REF!</definedName>
    <definedName name="____nyy47050">#REF!</definedName>
    <definedName name="____nyy47070">#REF!</definedName>
    <definedName name="____nyy49570">#REF!</definedName>
    <definedName name="____P14">#REF!</definedName>
    <definedName name="____PA1">#REF!</definedName>
    <definedName name="____PA10">#REF!</definedName>
    <definedName name="____PA2">#REF!</definedName>
    <definedName name="____PA3">#REF!</definedName>
    <definedName name="____PA4">#REF!</definedName>
    <definedName name="____PA5">#REF!</definedName>
    <definedName name="____PA6">#REF!</definedName>
    <definedName name="____PA7">#REF!</definedName>
    <definedName name="____PA8">#REF!</definedName>
    <definedName name="____PA9">#REF!</definedName>
    <definedName name="____pab100">#REF!</definedName>
    <definedName name="____pab125">#REF!</definedName>
    <definedName name="____pab126">#REF!</definedName>
    <definedName name="____pab15">#REF!</definedName>
    <definedName name="____pab150">#REF!</definedName>
    <definedName name="____pab2">#REF!</definedName>
    <definedName name="____pab20">#REF!</definedName>
    <definedName name="____pab25">#REF!</definedName>
    <definedName name="____pab32">#REF!</definedName>
    <definedName name="____pab4">#REF!</definedName>
    <definedName name="____pab40">#REF!</definedName>
    <definedName name="____pab50">#REF!</definedName>
    <definedName name="____pab6">#REF!</definedName>
    <definedName name="____pab65">#REF!</definedName>
    <definedName name="____pab80">#REF!</definedName>
    <definedName name="____pah150">#REF!</definedName>
    <definedName name="____pak100">#REF!</definedName>
    <definedName name="____pak150">#REF!</definedName>
    <definedName name="____pak50">#REF!</definedName>
    <definedName name="____pak80">#REF!</definedName>
    <definedName name="____PAS13">#REF!</definedName>
    <definedName name="____pas15">#REF!</definedName>
    <definedName name="____pav8">#REF!</definedName>
    <definedName name="____PB1">#REF!</definedName>
    <definedName name="____PB2">#REF!</definedName>
    <definedName name="____PB3">#REF!</definedName>
    <definedName name="____pb34">#REF!</definedName>
    <definedName name="____pb4">#REF!</definedName>
    <definedName name="____pbf3">#REF!</definedName>
    <definedName name="____pbf4">#REF!</definedName>
    <definedName name="____PBK175">#REF!</definedName>
    <definedName name="____PBK225">#REF!</definedName>
    <definedName name="____pbs100">#REF!</definedName>
    <definedName name="____pbs15">#REF!</definedName>
    <definedName name="____pbs150">#REF!</definedName>
    <definedName name="____pbs40">#REF!</definedName>
    <definedName name="____pbs50">#REF!</definedName>
    <definedName name="____pbs65">#REF!</definedName>
    <definedName name="____pbs80">#REF!</definedName>
    <definedName name="____pc1">#REF!</definedName>
    <definedName name="____pc10">#REF!</definedName>
    <definedName name="____pc12">#REF!</definedName>
    <definedName name="____PC120">#REF!</definedName>
    <definedName name="____pc2">#REF!</definedName>
    <definedName name="____pc3">#REF!</definedName>
    <definedName name="____pc4">#REF!</definedName>
    <definedName name="____PC450">#REF!</definedName>
    <definedName name="____pc5">#REF!</definedName>
    <definedName name="____pc50">#REF!</definedName>
    <definedName name="____pc6">#REF!</definedName>
    <definedName name="____PC600">#REF!</definedName>
    <definedName name="____pc8">#REF!</definedName>
    <definedName name="____pc80">#REF!</definedName>
    <definedName name="____PCD10">#REF!</definedName>
    <definedName name="____PCD3">#REF!</definedName>
    <definedName name="____PCD6">#REF!</definedName>
    <definedName name="____PCD8">#REF!</definedName>
    <definedName name="____pcf10">#REF!</definedName>
    <definedName name="____pcf12">#REF!</definedName>
    <definedName name="____pcf3">#REF!</definedName>
    <definedName name="____pcf4">#REF!</definedName>
    <definedName name="____pcf5">#REF!</definedName>
    <definedName name="____pcf6">#REF!</definedName>
    <definedName name="____pcf8">#REF!</definedName>
    <definedName name="____pcf80">#REF!</definedName>
    <definedName name="____PCI25">#REF!</definedName>
    <definedName name="____pd1">#REF!</definedName>
    <definedName name="____pd2">#REF!</definedName>
    <definedName name="____pd3">#REF!</definedName>
    <definedName name="____pdf3">#REF!</definedName>
    <definedName name="____pek2">#REF!</definedName>
    <definedName name="____pf18">#REF!</definedName>
    <definedName name="____ph100">#REF!</definedName>
    <definedName name="____ph150">#REF!</definedName>
    <definedName name="____phf100">#REF!</definedName>
    <definedName name="____phf150">#REF!</definedName>
    <definedName name="____pj1">#REF!</definedName>
    <definedName name="____pj2">#REF!</definedName>
    <definedName name="____PJ3">#REF!</definedName>
    <definedName name="____PJA1">#REF!</definedName>
    <definedName name="____PJA2">#REF!</definedName>
    <definedName name="____PJA3">#REF!</definedName>
    <definedName name="____PJA4">#REF!</definedName>
    <definedName name="____PJA6">#REF!</definedName>
    <definedName name="____pk13">#REF!</definedName>
    <definedName name="____pk47">#REF!</definedName>
    <definedName name="____pk8">#REF!</definedName>
    <definedName name="____PL1">#REF!</definedName>
    <definedName name="____PL2">#REF!</definedName>
    <definedName name="____PL3">#REF!</definedName>
    <definedName name="____po1000">#REF!</definedName>
    <definedName name="____por4040">#REF!</definedName>
    <definedName name="____PRC019">#REF!</definedName>
    <definedName name="____PS1">#REF!</definedName>
    <definedName name="____PS2">#REF!</definedName>
    <definedName name="____PSC084">#REF!</definedName>
    <definedName name="____pv100">#REF!</definedName>
    <definedName name="____pv40">#REF!</definedName>
    <definedName name="____pv50">#REF!</definedName>
    <definedName name="____pv80">#REF!</definedName>
    <definedName name="____pvc05">#REF!</definedName>
    <definedName name="____pvc1">#REF!</definedName>
    <definedName name="____pvc12">#REF!</definedName>
    <definedName name="____pvc3">#REF!</definedName>
    <definedName name="____pvc34">#REF!</definedName>
    <definedName name="____pvc4">#REF!</definedName>
    <definedName name="____pvc44">#REF!</definedName>
    <definedName name="____pvc804">"'file://SERVER3/har-data/STRUCTURE PRICE OF BQ KOMPAS GRAMEDIA.xls'#$analisa.$#REF!$#REF!"</definedName>
    <definedName name="____pvc805">"'file://SERVER3/har-data/STRUCTURE PRICE OF BQ KOMPAS GRAMEDIA.xls'#$analisa.$#REF!$#REF!"</definedName>
    <definedName name="____pvf100">#REF!</definedName>
    <definedName name="____pvf80">#REF!</definedName>
    <definedName name="____QS1">#REF!</definedName>
    <definedName name="____QS10">#REF!</definedName>
    <definedName name="____QS11">#REF!</definedName>
    <definedName name="____QS12">#REF!</definedName>
    <definedName name="____QS13">#REF!</definedName>
    <definedName name="____QS14">#REF!</definedName>
    <definedName name="____QS15">#REF!</definedName>
    <definedName name="____QS16">#REF!</definedName>
    <definedName name="____QS17">#REF!</definedName>
    <definedName name="____QS18">#REF!</definedName>
    <definedName name="____QS19">#REF!</definedName>
    <definedName name="____QS2">#REF!</definedName>
    <definedName name="____QS20">#REF!</definedName>
    <definedName name="____QS21">#REF!</definedName>
    <definedName name="____QS3">#REF!</definedName>
    <definedName name="____QS4">#REF!</definedName>
    <definedName name="____QS5">#REF!</definedName>
    <definedName name="____QS6">#REF!</definedName>
    <definedName name="____QS7">#REF!</definedName>
    <definedName name="____QS8">#REF!</definedName>
    <definedName name="____QS9">#REF!</definedName>
    <definedName name="____RAB3">[8]RAB!#REF!</definedName>
    <definedName name="____rd1">#REF!</definedName>
    <definedName name="____rd2">#REF!</definedName>
    <definedName name="____rd3">#REF!</definedName>
    <definedName name="____rd4">#REF!</definedName>
    <definedName name="____rd6">#REF!</definedName>
    <definedName name="____rd8">#REF!</definedName>
    <definedName name="____REK2">#REF!</definedName>
    <definedName name="____REV3" hidden="1">{#N/A,#N/A,FALSE,"REK-S-TPL";#N/A,#N/A,FALSE,"REK-TPML";#N/A,#N/A,FALSE,"RAB-TEMPEL"}</definedName>
    <definedName name="____rk100">#REF!</definedName>
    <definedName name="____rk150">#REF!</definedName>
    <definedName name="____rk200">#REF!</definedName>
    <definedName name="____rk300">#REF!</definedName>
    <definedName name="____rk400">#REF!</definedName>
    <definedName name="____rk500">#REF!</definedName>
    <definedName name="____rk600">#REF!</definedName>
    <definedName name="____rkl1000">#REF!</definedName>
    <definedName name="____rkl1200">#REF!</definedName>
    <definedName name="____rkl200">#REF!</definedName>
    <definedName name="____rkl300">#REF!</definedName>
    <definedName name="____rkl400">#REF!</definedName>
    <definedName name="____rkl500">#REF!</definedName>
    <definedName name="____rkl600">#REF!</definedName>
    <definedName name="____rkl700">#REF!</definedName>
    <definedName name="____rkl800">#REF!</definedName>
    <definedName name="____rst20">#REF!</definedName>
    <definedName name="____rst30">#REF!</definedName>
    <definedName name="____sc1">#REF!</definedName>
    <definedName name="____SC2">#REF!</definedName>
    <definedName name="____sc3">#REF!</definedName>
    <definedName name="____SFL1">#REF!</definedName>
    <definedName name="____SFL2">#REF!</definedName>
    <definedName name="____SFL3">#REF!</definedName>
    <definedName name="____SFM1">#REF!</definedName>
    <definedName name="____SFM2">#REF!</definedName>
    <definedName name="____SFM3">#REF!</definedName>
    <definedName name="____SFM4">#REF!</definedName>
    <definedName name="____SFM5">#REF!</definedName>
    <definedName name="____SFM6">#REF!</definedName>
    <definedName name="____SFM7">#REF!</definedName>
    <definedName name="____SFQ1">#REF!</definedName>
    <definedName name="____SFQ2">#REF!</definedName>
    <definedName name="____SFQ3">#REF!</definedName>
    <definedName name="____SFQ4">#REF!</definedName>
    <definedName name="____sfv150">#REF!</definedName>
    <definedName name="____sh1040">#REF!</definedName>
    <definedName name="____sn1020">#REF!</definedName>
    <definedName name="____SN3">#REF!</definedName>
    <definedName name="____srt2">#REF!</definedName>
    <definedName name="____st1">#REF!</definedName>
    <definedName name="____st2">#REF!</definedName>
    <definedName name="____st3">#REF!</definedName>
    <definedName name="____std100">#REF!</definedName>
    <definedName name="____std150">#REF!</definedName>
    <definedName name="____std2">#REF!</definedName>
    <definedName name="____std3">#REF!</definedName>
    <definedName name="____std4">#REF!</definedName>
    <definedName name="____std50">#REF!</definedName>
    <definedName name="____std65">#REF!</definedName>
    <definedName name="____str01">#REF!</definedName>
    <definedName name="____str02">#REF!</definedName>
    <definedName name="____str03">#REF!</definedName>
    <definedName name="____str04">#REF!</definedName>
    <definedName name="____str05">#REF!</definedName>
    <definedName name="____str06">#REF!</definedName>
    <definedName name="____str07">#REF!</definedName>
    <definedName name="____str08">#REF!</definedName>
    <definedName name="____str09">#REF!</definedName>
    <definedName name="____str10">#REF!</definedName>
    <definedName name="____str100">#REF!</definedName>
    <definedName name="____str11">#REF!</definedName>
    <definedName name="____str12">#REF!</definedName>
    <definedName name="____str13">#REF!</definedName>
    <definedName name="____str14">#REF!</definedName>
    <definedName name="____str15">#REF!</definedName>
    <definedName name="____str16">#REF!</definedName>
    <definedName name="____str17">#REF!</definedName>
    <definedName name="____str18">#REF!</definedName>
    <definedName name="____str19">#REF!</definedName>
    <definedName name="____str20">#REF!</definedName>
    <definedName name="____str201">#REF!</definedName>
    <definedName name="____str21">#REF!</definedName>
    <definedName name="____str22">#REF!</definedName>
    <definedName name="____str23">#REF!</definedName>
    <definedName name="____str24">#REF!</definedName>
    <definedName name="____str25">#REF!</definedName>
    <definedName name="____str26">#REF!</definedName>
    <definedName name="____str27">#REF!</definedName>
    <definedName name="____str28">#REF!</definedName>
    <definedName name="____str29">#REF!</definedName>
    <definedName name="____str30">#REF!</definedName>
    <definedName name="____str31">#REF!</definedName>
    <definedName name="____str32">#REF!</definedName>
    <definedName name="____str33">#REF!</definedName>
    <definedName name="____str34">#REF!</definedName>
    <definedName name="____str35">#REF!</definedName>
    <definedName name="____str36">#REF!</definedName>
    <definedName name="____str37">#REF!</definedName>
    <definedName name="____str38">#REF!</definedName>
    <definedName name="____str39">#REF!</definedName>
    <definedName name="____str40">#REF!</definedName>
    <definedName name="____str41">#REF!</definedName>
    <definedName name="____str42">#REF!</definedName>
    <definedName name="____str43">#REF!</definedName>
    <definedName name="____str44">#REF!</definedName>
    <definedName name="____str45">#REF!</definedName>
    <definedName name="____str46">#REF!</definedName>
    <definedName name="____str47">#REF!</definedName>
    <definedName name="____str48">#REF!</definedName>
    <definedName name="____str49">#REF!</definedName>
    <definedName name="____str50">#REF!</definedName>
    <definedName name="____str51">#REF!</definedName>
    <definedName name="____str52">#REF!</definedName>
    <definedName name="____str53">#REF!</definedName>
    <definedName name="____str54">#REF!</definedName>
    <definedName name="____str55">#REF!</definedName>
    <definedName name="____str56">#REF!</definedName>
    <definedName name="____str561">#REF!</definedName>
    <definedName name="____str57">#REF!</definedName>
    <definedName name="____str58">#REF!</definedName>
    <definedName name="____str59">#REF!</definedName>
    <definedName name="____str60">#REF!</definedName>
    <definedName name="____str61">#REF!</definedName>
    <definedName name="____str62">#REF!</definedName>
    <definedName name="____str63">#REF!</definedName>
    <definedName name="____str64">#REF!</definedName>
    <definedName name="____str65">#REF!</definedName>
    <definedName name="____str66">#REF!</definedName>
    <definedName name="____str67">#REF!</definedName>
    <definedName name="____str68">#REF!</definedName>
    <definedName name="____str69">#REF!</definedName>
    <definedName name="____str70">#REF!</definedName>
    <definedName name="____str71">#REF!</definedName>
    <definedName name="____str72">#REF!</definedName>
    <definedName name="____str73">#REF!</definedName>
    <definedName name="____str74">#REF!</definedName>
    <definedName name="____str75">#REF!</definedName>
    <definedName name="____str76">#REF!</definedName>
    <definedName name="____str77">#REF!</definedName>
    <definedName name="____str78">#REF!</definedName>
    <definedName name="____str79">#REF!</definedName>
    <definedName name="____str80">#REF!</definedName>
    <definedName name="____str81">#REF!</definedName>
    <definedName name="____str811">#REF!</definedName>
    <definedName name="____str812">#REF!</definedName>
    <definedName name="____str813">#REF!</definedName>
    <definedName name="____str82">#REF!</definedName>
    <definedName name="____str83">#REF!</definedName>
    <definedName name="____str84">#REF!</definedName>
    <definedName name="____str85">#REF!</definedName>
    <definedName name="____str86">#REF!</definedName>
    <definedName name="____str87">#REF!</definedName>
    <definedName name="____str88">#REF!</definedName>
    <definedName name="____str89">#REF!</definedName>
    <definedName name="____str90">#REF!</definedName>
    <definedName name="____str91">#REF!</definedName>
    <definedName name="____str92">#REF!</definedName>
    <definedName name="____str93">#REF!</definedName>
    <definedName name="____str94">#REF!</definedName>
    <definedName name="____str95">#REF!</definedName>
    <definedName name="____str96">#REF!</definedName>
    <definedName name="____str97">#REF!</definedName>
    <definedName name="____str98">#REF!</definedName>
    <definedName name="____SUB1">#REF!</definedName>
    <definedName name="____SUB2">#REF!</definedName>
    <definedName name="____SUB3">#REF!</definedName>
    <definedName name="____SUB4">#REF!</definedName>
    <definedName name="____SUB5">#REF!</definedName>
    <definedName name="____SUB6">#REF!</definedName>
    <definedName name="____SUB7">#REF!</definedName>
    <definedName name="____SUM1">#REF!</definedName>
    <definedName name="____SUM2">#REF!</definedName>
    <definedName name="____SUM3">#REF!</definedName>
    <definedName name="____TA01">#REF!</definedName>
    <definedName name="____TA67">#REF!</definedName>
    <definedName name="____TA78">#REF!</definedName>
    <definedName name="____TA89">#REF!</definedName>
    <definedName name="____TA90">#REF!</definedName>
    <definedName name="____tg20">#REF!</definedName>
    <definedName name="____tg30">#REF!</definedName>
    <definedName name="____tgl2">[9]Ch!$A$16</definedName>
    <definedName name="____th100">'[4]dongia (2)'!#REF!</definedName>
    <definedName name="____TH160">'[4]dongia (2)'!#REF!</definedName>
    <definedName name="____ti100">#REF!</definedName>
    <definedName name="____ti120">#REF!</definedName>
    <definedName name="____ti50">#REF!</definedName>
    <definedName name="____ti60">#REF!</definedName>
    <definedName name="____ti80">#REF!</definedName>
    <definedName name="____tk04">#REF!</definedName>
    <definedName name="____TL1">#REF!</definedName>
    <definedName name="____TL2">#REF!</definedName>
    <definedName name="____tl20">#REF!</definedName>
    <definedName name="____TL3">#REF!</definedName>
    <definedName name="____tl40">#REF!</definedName>
    <definedName name="____TLA120">#REF!</definedName>
    <definedName name="____TLA35">#REF!</definedName>
    <definedName name="____TLA50">#REF!</definedName>
    <definedName name="____TLA70">#REF!</definedName>
    <definedName name="____TLA95">#REF!</definedName>
    <definedName name="____tlc20">#REF!</definedName>
    <definedName name="____TOP2">#REF!</definedName>
    <definedName name="____TR250">'[4]dongia (2)'!#REF!</definedName>
    <definedName name="____tr375">[4]giathanh1!#REF!</definedName>
    <definedName name="____tsI3">#REF!</definedName>
    <definedName name="____TSR3">#REF!</definedName>
    <definedName name="____tsv25">#REF!</definedName>
    <definedName name="____uls60">#REF!</definedName>
    <definedName name="____up05">#N/A</definedName>
    <definedName name="____up10">"'file://SERVER3/har-data/STRUCTURE PRICE OF BQ KOMPAS GRAMEDIA.xls'#$analisa.$#REF!$#REF!"</definedName>
    <definedName name="____UP15">#N/A</definedName>
    <definedName name="____UP20">#N/A</definedName>
    <definedName name="____usd2">#REF!</definedName>
    <definedName name="____utd1">#REF!</definedName>
    <definedName name="____utd2">#REF!</definedName>
    <definedName name="____utd3">#REF!</definedName>
    <definedName name="____vcd2">#REF!</definedName>
    <definedName name="____vcd3">#REF!</definedName>
    <definedName name="____vcd4">#REF!</definedName>
    <definedName name="____VL100">#REF!</definedName>
    <definedName name="____VL200">#REF!</definedName>
    <definedName name="____VL250">#REF!</definedName>
    <definedName name="____vnt100">#REF!</definedName>
    <definedName name="____vnt40">#REF!</definedName>
    <definedName name="____vnt50">#REF!</definedName>
    <definedName name="____vnt80">#REF!</definedName>
    <definedName name="____wal01">#REF!</definedName>
    <definedName name="____wal02">#REF!</definedName>
    <definedName name="____wal03">#REF!</definedName>
    <definedName name="____wal04">#REF!</definedName>
    <definedName name="____wal05">#REF!</definedName>
    <definedName name="____wal06">#REF!</definedName>
    <definedName name="____wal07">#REF!</definedName>
    <definedName name="____wal08">#REF!</definedName>
    <definedName name="____wal09">#REF!</definedName>
    <definedName name="____wal10">#REF!</definedName>
    <definedName name="____wal100">#REF!</definedName>
    <definedName name="____wal101">#REF!</definedName>
    <definedName name="____wal102">#REF!</definedName>
    <definedName name="____wal103">#REF!</definedName>
    <definedName name="____wal104">#REF!</definedName>
    <definedName name="____wal105">#REF!</definedName>
    <definedName name="____wal106">#REF!</definedName>
    <definedName name="____wal11">#REF!</definedName>
    <definedName name="____wal111">#REF!</definedName>
    <definedName name="____wal12">#REF!</definedName>
    <definedName name="____wal13">#REF!</definedName>
    <definedName name="____wal14">#REF!</definedName>
    <definedName name="____wal15">#REF!</definedName>
    <definedName name="____wal16">#REF!</definedName>
    <definedName name="____wal17">#REF!</definedName>
    <definedName name="____wal18">#REF!</definedName>
    <definedName name="____wal19">#REF!</definedName>
    <definedName name="____wal20">#REF!</definedName>
    <definedName name="____wal21">#REF!</definedName>
    <definedName name="____wal22">#REF!</definedName>
    <definedName name="____wal23">#REF!</definedName>
    <definedName name="____wal24">#REF!</definedName>
    <definedName name="____wal25">#REF!</definedName>
    <definedName name="____wal26">#REF!</definedName>
    <definedName name="____wal27">#REF!</definedName>
    <definedName name="____wal28">#REF!</definedName>
    <definedName name="____wal29">#REF!</definedName>
    <definedName name="____wal30">#REF!</definedName>
    <definedName name="____wal31">#REF!</definedName>
    <definedName name="____wal32">#REF!</definedName>
    <definedName name="____wal33">#REF!</definedName>
    <definedName name="____wal34">#REF!</definedName>
    <definedName name="____wal35">#REF!</definedName>
    <definedName name="____wal36">#REF!</definedName>
    <definedName name="____wal37">#REF!</definedName>
    <definedName name="____wal38">#REF!</definedName>
    <definedName name="____wal39">#REF!</definedName>
    <definedName name="____wal40">#REF!</definedName>
    <definedName name="____wal41">#REF!</definedName>
    <definedName name="____wal42">#REF!</definedName>
    <definedName name="____wal43">#REF!</definedName>
    <definedName name="____wal44">#REF!</definedName>
    <definedName name="____wal45">#REF!</definedName>
    <definedName name="____wal46">#REF!</definedName>
    <definedName name="____wal47">#REF!</definedName>
    <definedName name="____wal48">#REF!</definedName>
    <definedName name="____wal49">#REF!</definedName>
    <definedName name="____wal50">#REF!</definedName>
    <definedName name="____wal51">#REF!</definedName>
    <definedName name="____wal52">#REF!</definedName>
    <definedName name="____wal53">#REF!</definedName>
    <definedName name="____wal54">#REF!</definedName>
    <definedName name="____wal55">#REF!</definedName>
    <definedName name="____wal56">#REF!</definedName>
    <definedName name="____wal57">#REF!</definedName>
    <definedName name="____wal58">#REF!</definedName>
    <definedName name="____wal59">#REF!</definedName>
    <definedName name="____wal60">#REF!</definedName>
    <definedName name="____wal601">#REF!</definedName>
    <definedName name="____wal602">#REF!</definedName>
    <definedName name="____wal61">#REF!</definedName>
    <definedName name="____wal62">#REF!</definedName>
    <definedName name="____wal63">#REF!</definedName>
    <definedName name="____wal64">#REF!</definedName>
    <definedName name="____wal65">#REF!</definedName>
    <definedName name="____wal66">#REF!</definedName>
    <definedName name="____wal67">#REF!</definedName>
    <definedName name="____wal68">#REF!</definedName>
    <definedName name="____wal69">#REF!</definedName>
    <definedName name="____wal70">#REF!</definedName>
    <definedName name="____wal71">#REF!</definedName>
    <definedName name="____wal72">#REF!</definedName>
    <definedName name="____wal73">#REF!</definedName>
    <definedName name="____wal74">#REF!</definedName>
    <definedName name="____wal75">#REF!</definedName>
    <definedName name="____wal76">#REF!</definedName>
    <definedName name="____wal77">#REF!</definedName>
    <definedName name="____wal78">#REF!</definedName>
    <definedName name="____wal79">#REF!</definedName>
    <definedName name="____wal80">#REF!</definedName>
    <definedName name="____wal81">#REF!</definedName>
    <definedName name="____wal82">#REF!</definedName>
    <definedName name="____wal83">#REF!</definedName>
    <definedName name="____wal84">#REF!</definedName>
    <definedName name="____wal85">#REF!</definedName>
    <definedName name="____wal86">#REF!</definedName>
    <definedName name="____wal87">#REF!</definedName>
    <definedName name="____wal88">#REF!</definedName>
    <definedName name="____wal89">#REF!</definedName>
    <definedName name="____wal90">#REF!</definedName>
    <definedName name="____wal91">#REF!</definedName>
    <definedName name="____wal92">#REF!</definedName>
    <definedName name="____wal93">#REF!</definedName>
    <definedName name="____wal94">#REF!</definedName>
    <definedName name="____wal95">#REF!</definedName>
    <definedName name="____wal96">#REF!</definedName>
    <definedName name="____wal97">#REF!</definedName>
    <definedName name="____wal98">#REF!</definedName>
    <definedName name="____wal99">#REF!</definedName>
    <definedName name="____WC1">#REF!</definedName>
    <definedName name="____WC2">#REF!</definedName>
    <definedName name="____WC3">#REF!</definedName>
    <definedName name="____we3">#REF!</definedName>
    <definedName name="____WM420">#REF!</definedName>
    <definedName name="____XAG2">#REF!</definedName>
    <definedName name="____XAG50">#REF!</definedName>
    <definedName name="____XAW2">#REF!</definedName>
    <definedName name="____XAW3">#REF!</definedName>
    <definedName name="____XAW4">#REF!</definedName>
    <definedName name="___a66666">#REF!</definedName>
    <definedName name="___a666666">#REF!</definedName>
    <definedName name="___aaa1">#REF!</definedName>
    <definedName name="___AAD3">HAJIME:OWARI</definedName>
    <definedName name="___abb91">[2]chitimc!#REF!</definedName>
    <definedName name="___abs100">#REF!</definedName>
    <definedName name="___ADD1">#REF!:#REF!</definedName>
    <definedName name="___ADD2">#REF!:#REF!</definedName>
    <definedName name="___ADD3">#REF!:#REF!</definedName>
    <definedName name="___ahu100">#REF!</definedName>
    <definedName name="___ahu150">#REF!</definedName>
    <definedName name="___ako100">#REF!</definedName>
    <definedName name="___ako150">#REF!</definedName>
    <definedName name="___ako50">#REF!</definedName>
    <definedName name="___ako80">#REF!</definedName>
    <definedName name="___aku100">#REF!</definedName>
    <definedName name="___aku150">#REF!</definedName>
    <definedName name="___alt1">#REF!</definedName>
    <definedName name="___ana1">#REF!</definedName>
    <definedName name="___ana10">#REF!</definedName>
    <definedName name="___ana100">#REF!</definedName>
    <definedName name="___ana101">#REF!</definedName>
    <definedName name="___ana102">#REF!</definedName>
    <definedName name="___ana103">#REF!</definedName>
    <definedName name="___ana104">#REF!</definedName>
    <definedName name="___ana105">#REF!</definedName>
    <definedName name="___ana106">#REF!</definedName>
    <definedName name="___ana107">#REF!</definedName>
    <definedName name="___ana108">#REF!</definedName>
    <definedName name="___ana109">#REF!</definedName>
    <definedName name="___ana11">#REF!</definedName>
    <definedName name="___ana110">#REF!</definedName>
    <definedName name="___ana111">#REF!</definedName>
    <definedName name="___ana112">#REF!</definedName>
    <definedName name="___ana113">#REF!</definedName>
    <definedName name="___ana114">#REF!</definedName>
    <definedName name="___ana115">#REF!</definedName>
    <definedName name="___ana116">#REF!</definedName>
    <definedName name="___ana117">#REF!</definedName>
    <definedName name="___ana118">#REF!</definedName>
    <definedName name="___ana119">#REF!</definedName>
    <definedName name="___ana12">#REF!</definedName>
    <definedName name="___ana120">#REF!</definedName>
    <definedName name="___ana121">#REF!</definedName>
    <definedName name="___ana122">#REF!</definedName>
    <definedName name="___ana123">#REF!</definedName>
    <definedName name="___ana124">#REF!</definedName>
    <definedName name="___ana13">#REF!</definedName>
    <definedName name="___ana14">#REF!</definedName>
    <definedName name="___ana15">#REF!</definedName>
    <definedName name="___ana16">#REF!</definedName>
    <definedName name="___ana17">#REF!</definedName>
    <definedName name="___ana18">#REF!</definedName>
    <definedName name="___ana19">#REF!</definedName>
    <definedName name="___ana2">#REF!</definedName>
    <definedName name="___ana20">#REF!</definedName>
    <definedName name="___ana21">#REF!</definedName>
    <definedName name="___ana22">#REF!</definedName>
    <definedName name="___ana23">#REF!</definedName>
    <definedName name="___ana24">#REF!</definedName>
    <definedName name="___ana25">#REF!</definedName>
    <definedName name="___ana26">#REF!</definedName>
    <definedName name="___ana27">#REF!</definedName>
    <definedName name="___ana28">#REF!</definedName>
    <definedName name="___ana29">#REF!</definedName>
    <definedName name="___ana3">#REF!</definedName>
    <definedName name="___ana30">#REF!</definedName>
    <definedName name="___ana31">#REF!</definedName>
    <definedName name="___ana32">#REF!</definedName>
    <definedName name="___ana33">#REF!</definedName>
    <definedName name="___ana34">#REF!</definedName>
    <definedName name="___ana35">#REF!</definedName>
    <definedName name="___ana36">#REF!</definedName>
    <definedName name="___ana37">#REF!</definedName>
    <definedName name="___ana38">#REF!</definedName>
    <definedName name="___ana39">#REF!</definedName>
    <definedName name="___ana4">#REF!</definedName>
    <definedName name="___ana40">#REF!</definedName>
    <definedName name="___ana41">#REF!</definedName>
    <definedName name="___ana42">#REF!</definedName>
    <definedName name="___ana43">#REF!</definedName>
    <definedName name="___ana44">#REF!</definedName>
    <definedName name="___ana45">#REF!</definedName>
    <definedName name="___ana46">#REF!</definedName>
    <definedName name="___ana47">#REF!</definedName>
    <definedName name="___ana48">#REF!</definedName>
    <definedName name="___ana49">#REF!</definedName>
    <definedName name="___ana5">#REF!</definedName>
    <definedName name="___ana50">#REF!</definedName>
    <definedName name="___ana51">#REF!</definedName>
    <definedName name="___ana52">#REF!</definedName>
    <definedName name="___ana53">#REF!</definedName>
    <definedName name="___ana54">#REF!</definedName>
    <definedName name="___ana55">#REF!</definedName>
    <definedName name="___ana56">#REF!</definedName>
    <definedName name="___ana57">#REF!</definedName>
    <definedName name="___ana58">#REF!</definedName>
    <definedName name="___ana59">#REF!</definedName>
    <definedName name="___ana6">#REF!</definedName>
    <definedName name="___ana60">#REF!</definedName>
    <definedName name="___ana61">#REF!</definedName>
    <definedName name="___ana62">#REF!</definedName>
    <definedName name="___ana63">#REF!</definedName>
    <definedName name="___ana64">#REF!</definedName>
    <definedName name="___ana65">#REF!</definedName>
    <definedName name="___ana66">#REF!</definedName>
    <definedName name="___ana67">#REF!</definedName>
    <definedName name="___ana68">#REF!</definedName>
    <definedName name="___ana69">#REF!</definedName>
    <definedName name="___ana7">#REF!</definedName>
    <definedName name="___ana70">#REF!</definedName>
    <definedName name="___ana71">#REF!</definedName>
    <definedName name="___ana72">#REF!</definedName>
    <definedName name="___ana73">#REF!</definedName>
    <definedName name="___ana74">#REF!</definedName>
    <definedName name="___ana75">#REF!</definedName>
    <definedName name="___ana76">#REF!</definedName>
    <definedName name="___ana77">#REF!</definedName>
    <definedName name="___ana78">#REF!</definedName>
    <definedName name="___ana79">#REF!</definedName>
    <definedName name="___ana8">#REF!</definedName>
    <definedName name="___ana80">#REF!</definedName>
    <definedName name="___ana81">#REF!</definedName>
    <definedName name="___ana82">#REF!</definedName>
    <definedName name="___ana83">#REF!</definedName>
    <definedName name="___ana84">#REF!</definedName>
    <definedName name="___ana85">#REF!</definedName>
    <definedName name="___ana86">#REF!</definedName>
    <definedName name="___ana87">#REF!</definedName>
    <definedName name="___ana88">#REF!</definedName>
    <definedName name="___ana89">#REF!</definedName>
    <definedName name="___ana9">#REF!</definedName>
    <definedName name="___ana90">#REF!</definedName>
    <definedName name="___ana91">#REF!</definedName>
    <definedName name="___ana92">#REF!</definedName>
    <definedName name="___ana93">#REF!</definedName>
    <definedName name="___ana94">#REF!</definedName>
    <definedName name="___ana95">#REF!</definedName>
    <definedName name="___ana96">#REF!</definedName>
    <definedName name="___ana97">#REF!</definedName>
    <definedName name="___ana98">#REF!</definedName>
    <definedName name="___ana99">#REF!</definedName>
    <definedName name="___APP3">#REF!</definedName>
    <definedName name="___ars1" hidden="1">{#N/A,#N/A,FALSE,"REK";#N/A,#N/A,FALSE,"Bq-ARS"}</definedName>
    <definedName name="___asb5">#REF!</definedName>
    <definedName name="___ATB1">#REF!</definedName>
    <definedName name="___ATB2">#REF!</definedName>
    <definedName name="___ATB3">#REF!</definedName>
    <definedName name="___ATB4">#REF!</definedName>
    <definedName name="___B4">#N/A</definedName>
    <definedName name="___BBB02">#REF!</definedName>
    <definedName name="___BBB03">#REF!</definedName>
    <definedName name="___BBB04">#REF!</definedName>
    <definedName name="___BBB05">#REF!</definedName>
    <definedName name="___BBB06">#REF!</definedName>
    <definedName name="___BBB07">#REF!</definedName>
    <definedName name="___BBB08">#REF!</definedName>
    <definedName name="___BBB09">#REF!</definedName>
    <definedName name="___BBB10">#REF!</definedName>
    <definedName name="___BBB11">#REF!</definedName>
    <definedName name="___BBB12">#REF!</definedName>
    <definedName name="___BBB13">#REF!</definedName>
    <definedName name="___BBB14">#REF!</definedName>
    <definedName name="___BBB15">#REF!</definedName>
    <definedName name="___BBB16">#REF!</definedName>
    <definedName name="___BBB17">#REF!</definedName>
    <definedName name="___bbm10">#REF!</definedName>
    <definedName name="___bbm3">#REF!</definedName>
    <definedName name="___bbm5">#REF!</definedName>
    <definedName name="___bbm8">#REF!</definedName>
    <definedName name="___bcv100">#REF!</definedName>
    <definedName name="___bcv125">#REF!</definedName>
    <definedName name="___bcv150">#REF!</definedName>
    <definedName name="___bes24">#REF!</definedName>
    <definedName name="___bes39">#REF!</definedName>
    <definedName name="___bes40">#N/A</definedName>
    <definedName name="___bet250">#REF!</definedName>
    <definedName name="___bet275">#REF!</definedName>
    <definedName name="___bet300">#REF!</definedName>
    <definedName name="___BOQ1">#REF!</definedName>
    <definedName name="___BOQ2">#REF!</definedName>
    <definedName name="___BOX2">#REF!</definedName>
    <definedName name="___bpl32">#REF!</definedName>
    <definedName name="___bpl9">#REF!</definedName>
    <definedName name="___BRA2">#REF!</definedName>
    <definedName name="___bsc100">#REF!</definedName>
    <definedName name="___bsd1600">#REF!</definedName>
    <definedName name="___bsd2500">#REF!</definedName>
    <definedName name="___bsd4000">#REF!</definedName>
    <definedName name="___btn175">#REF!</definedName>
    <definedName name="___btn300">#REF!</definedName>
    <definedName name="___bud3500">#REF!</definedName>
    <definedName name="___bvd1">#REF!</definedName>
    <definedName name="___bvd2">#REF!</definedName>
    <definedName name="___bvd3">#REF!</definedName>
    <definedName name="___bvd34">#REF!</definedName>
    <definedName name="___bvd4">#REF!</definedName>
    <definedName name="___bvd5">#REF!</definedName>
    <definedName name="___bvd8">#REF!</definedName>
    <definedName name="___C">#REF!</definedName>
    <definedName name="___CAL1">#REF!</definedName>
    <definedName name="___CAL10">#REF!</definedName>
    <definedName name="___CAL11">#REF!</definedName>
    <definedName name="___CAL12">#REF!</definedName>
    <definedName name="___CAL13">#REF!</definedName>
    <definedName name="___CAL14">#REF!</definedName>
    <definedName name="___CAL15">#REF!</definedName>
    <definedName name="___CAL16">#REF!</definedName>
    <definedName name="___CAL17">#REF!</definedName>
    <definedName name="___CAL18">#REF!</definedName>
    <definedName name="___CAL19">#REF!</definedName>
    <definedName name="___CAL2">#REF!</definedName>
    <definedName name="___CAL20">#REF!</definedName>
    <definedName name="___CAL21">#REF!</definedName>
    <definedName name="___CAL3">#REF!</definedName>
    <definedName name="___CAL4">#REF!</definedName>
    <definedName name="___CAL5">#REF!</definedName>
    <definedName name="___CAL6">#REF!</definedName>
    <definedName name="___CAL7">#REF!</definedName>
    <definedName name="___CAL8">#REF!</definedName>
    <definedName name="___CAL9">#REF!</definedName>
    <definedName name="___cas80">#REF!</definedName>
    <definedName name="___CCF2">#REF!</definedName>
    <definedName name="___CFP2">'[5]Currency Rate'!$B$16</definedName>
    <definedName name="___cip10">#REF!</definedName>
    <definedName name="___cip2">#REF!</definedName>
    <definedName name="___cip3">#REF!</definedName>
    <definedName name="___cip4">#REF!</definedName>
    <definedName name="___cip6">#REF!</definedName>
    <definedName name="___cip8">#REF!</definedName>
    <definedName name="___clg01">#REF!</definedName>
    <definedName name="___clg02">#REF!</definedName>
    <definedName name="___clg03">#REF!</definedName>
    <definedName name="___clg04">#REF!</definedName>
    <definedName name="___clg05">#REF!</definedName>
    <definedName name="___clg06">#REF!</definedName>
    <definedName name="___clg07">#REF!</definedName>
    <definedName name="___clg08">#REF!</definedName>
    <definedName name="___clg09">#REF!</definedName>
    <definedName name="___clg10">#REF!</definedName>
    <definedName name="___clg11">#REF!</definedName>
    <definedName name="___clg12">#REF!</definedName>
    <definedName name="___clg13">#REF!</definedName>
    <definedName name="___clg14">#REF!</definedName>
    <definedName name="___clg15">#REF!</definedName>
    <definedName name="___clg16">#REF!</definedName>
    <definedName name="___clg17">#REF!</definedName>
    <definedName name="___clg18">#REF!</definedName>
    <definedName name="___clg19">#REF!</definedName>
    <definedName name="___clg20">#REF!</definedName>
    <definedName name="___clg21">#REF!</definedName>
    <definedName name="___clg22">#REF!</definedName>
    <definedName name="___clg23">#REF!</definedName>
    <definedName name="___clg24">#REF!</definedName>
    <definedName name="___clg25">#REF!</definedName>
    <definedName name="___clg26">#REF!</definedName>
    <definedName name="___clg27">#REF!</definedName>
    <definedName name="___clg28">#REF!</definedName>
    <definedName name="___clg29">#REF!</definedName>
    <definedName name="___clg30">#REF!</definedName>
    <definedName name="___clg31">#REF!</definedName>
    <definedName name="___clg32">#REF!</definedName>
    <definedName name="___clg33">#REF!</definedName>
    <definedName name="___clg34">#REF!</definedName>
    <definedName name="___clg35">#REF!</definedName>
    <definedName name="___clg36">#REF!</definedName>
    <definedName name="___clg37">#REF!</definedName>
    <definedName name="___CLP1">#REF!</definedName>
    <definedName name="___CLP2">#REF!</definedName>
    <definedName name="___CLP3">#REF!</definedName>
    <definedName name="___CLP4">#REF!</definedName>
    <definedName name="___CLP5">#REF!</definedName>
    <definedName name="___CLP6">#REF!</definedName>
    <definedName name="___CLP7">#REF!</definedName>
    <definedName name="___cod4">#REF!</definedName>
    <definedName name="___cod50">#REF!</definedName>
    <definedName name="___CON1">#REF!</definedName>
    <definedName name="___CON125">#REF!</definedName>
    <definedName name="___CON175">#REF!</definedName>
    <definedName name="___CON2">#REF!</definedName>
    <definedName name="___CON250">#REF!</definedName>
    <definedName name="___CON300">#REF!</definedName>
    <definedName name="___COR123">#REF!</definedName>
    <definedName name="___COR135">#REF!</definedName>
    <definedName name="___cor175">#REF!</definedName>
    <definedName name="___cor225">#REF!</definedName>
    <definedName name="___cor300">#REF!</definedName>
    <definedName name="___CT250">'[2]dongia (2)'!#REF!</definedName>
    <definedName name="___cvd100">#REF!</definedName>
    <definedName name="___cvd15">#REF!</definedName>
    <definedName name="___cvd150">#REF!</definedName>
    <definedName name="___cvd50">#REF!</definedName>
    <definedName name="___cvd65">#REF!</definedName>
    <definedName name="___daf1">#REF!</definedName>
    <definedName name="___DAF10">#REF!</definedName>
    <definedName name="___daf2">#REF!</definedName>
    <definedName name="___daf31">#REF!</definedName>
    <definedName name="___daf32">#REF!</definedName>
    <definedName name="___daf33">#REF!</definedName>
    <definedName name="___dcd021">[3]BOQ!#REF!</definedName>
    <definedName name="___ddn400">#REF!</definedName>
    <definedName name="___ddn600">#REF!</definedName>
    <definedName name="___dgt100">'[2]dongia (2)'!#REF!</definedName>
    <definedName name="___dia6">#REF!</definedName>
    <definedName name="___DIV1">#REF!</definedName>
    <definedName name="___DIV10">#REF!</definedName>
    <definedName name="___DIV11">#REF!</definedName>
    <definedName name="___DIV14">#REF!</definedName>
    <definedName name="___DIV2">#REF!</definedName>
    <definedName name="___DIV3">#REF!</definedName>
    <definedName name="___DIV4">#REF!</definedName>
    <definedName name="___DIV5">#REF!</definedName>
    <definedName name="___DIV6">#REF!</definedName>
    <definedName name="___DIV7">#REF!</definedName>
    <definedName name="___DIV8">#REF!</definedName>
    <definedName name="___DIV9">#REF!</definedName>
    <definedName name="___dlh20">#REF!</definedName>
    <definedName name="___dlh50">#REF!</definedName>
    <definedName name="___dot2020">#REF!</definedName>
    <definedName name="___EEE01">#REF!</definedName>
    <definedName name="___EEE02">#REF!</definedName>
    <definedName name="___EEE03">#REF!</definedName>
    <definedName name="___EEE04">#REF!</definedName>
    <definedName name="___EEE05">#REF!</definedName>
    <definedName name="___EEE06">#REF!</definedName>
    <definedName name="___EEE07">#REF!</definedName>
    <definedName name="___EEE08">#REF!</definedName>
    <definedName name="___EEE09">#REF!</definedName>
    <definedName name="___EEE10">#REF!</definedName>
    <definedName name="___EEE11">#REF!</definedName>
    <definedName name="___EEE12">#REF!</definedName>
    <definedName name="___EEE13">#REF!</definedName>
    <definedName name="___EEE14">#REF!</definedName>
    <definedName name="___EEE15">#REF!</definedName>
    <definedName name="___EEE16">#REF!</definedName>
    <definedName name="___EEE17">#REF!</definedName>
    <definedName name="___EEE18">#REF!</definedName>
    <definedName name="___EEE19">#REF!</definedName>
    <definedName name="___EEE20">#REF!</definedName>
    <definedName name="___EEE21">#REF!</definedName>
    <definedName name="___EEE22">#REF!</definedName>
    <definedName name="___EEE23">#REF!</definedName>
    <definedName name="___EEE24">#REF!</definedName>
    <definedName name="___EEE25">#REF!</definedName>
    <definedName name="___EEE26">#REF!</definedName>
    <definedName name="___EEE27">#REF!</definedName>
    <definedName name="___EEE28">#REF!</definedName>
    <definedName name="___EEE29">#REF!</definedName>
    <definedName name="___EEE30">#REF!</definedName>
    <definedName name="___EEE31">#REF!</definedName>
    <definedName name="___EEE32">#REF!</definedName>
    <definedName name="___EEE33">#REF!</definedName>
    <definedName name="___Eqp1">#REF!</definedName>
    <definedName name="___Eqp2">#REF!</definedName>
    <definedName name="___EQU2">#REF!</definedName>
    <definedName name="___EST1">#REF!</definedName>
    <definedName name="___EST2">#REF!</definedName>
    <definedName name="___ewr4">#REF!</definedName>
    <definedName name="___fdd100">#REF!</definedName>
    <definedName name="___fdd3">#REF!</definedName>
    <definedName name="___fdu2">#REF!</definedName>
    <definedName name="___FIT100">#REF!</definedName>
    <definedName name="___fit125">#REF!</definedName>
    <definedName name="___FIT150">#REF!</definedName>
    <definedName name="___FIT200">#REF!</definedName>
    <definedName name="___FIT300">#REF!</definedName>
    <definedName name="___FIT65">#REF!</definedName>
    <definedName name="___fit80">#REF!</definedName>
    <definedName name="___fjd100">#REF!</definedName>
    <definedName name="___fjd150">#REF!</definedName>
    <definedName name="___fjd50">#REF!</definedName>
    <definedName name="___fjd65">#REF!</definedName>
    <definedName name="___flr01">#REF!</definedName>
    <definedName name="___flr02">#REF!</definedName>
    <definedName name="___flr03">#REF!</definedName>
    <definedName name="___flr04">#REF!</definedName>
    <definedName name="___flr05">#REF!</definedName>
    <definedName name="___flr06">#REF!</definedName>
    <definedName name="___flr07">#REF!</definedName>
    <definedName name="___flr08">#REF!</definedName>
    <definedName name="___flr09">#REF!</definedName>
    <definedName name="___flr10">#REF!</definedName>
    <definedName name="___flr11">#REF!</definedName>
    <definedName name="___flr12">#REF!</definedName>
    <definedName name="___flr13">#REF!</definedName>
    <definedName name="___flr14">#REF!</definedName>
    <definedName name="___flr15">#REF!</definedName>
    <definedName name="___flr16">#REF!</definedName>
    <definedName name="___flr17">#REF!</definedName>
    <definedName name="___flr18">#REF!</definedName>
    <definedName name="___flr181">#REF!</definedName>
    <definedName name="___flr19">#REF!</definedName>
    <definedName name="___flr20">#REF!</definedName>
    <definedName name="___flr21">#REF!</definedName>
    <definedName name="___flr22">#REF!</definedName>
    <definedName name="___flr23">#REF!</definedName>
    <definedName name="___flr24">#REF!</definedName>
    <definedName name="___flr25">#REF!</definedName>
    <definedName name="___flr26">#REF!</definedName>
    <definedName name="___flr27">#REF!</definedName>
    <definedName name="___flr28">#REF!</definedName>
    <definedName name="___flr29">#REF!</definedName>
    <definedName name="___flr30">#REF!</definedName>
    <definedName name="___flr31">#REF!</definedName>
    <definedName name="___flr32">#REF!</definedName>
    <definedName name="___flr33">#REF!</definedName>
    <definedName name="___flr34">#REF!</definedName>
    <definedName name="___flr35">#REF!</definedName>
    <definedName name="___flr36">#REF!</definedName>
    <definedName name="___flr37">#REF!</definedName>
    <definedName name="___flr38">#REF!</definedName>
    <definedName name="___flr39">#REF!</definedName>
    <definedName name="___flr40">#REF!</definedName>
    <definedName name="___flr41">#REF!</definedName>
    <definedName name="___flr42">#REF!</definedName>
    <definedName name="___flr43">#REF!</definedName>
    <definedName name="___flr44">#REF!</definedName>
    <definedName name="___flr45">#REF!</definedName>
    <definedName name="___flr46">#REF!</definedName>
    <definedName name="___flr47">#REF!</definedName>
    <definedName name="___flr48">#REF!</definedName>
    <definedName name="___flr49">#REF!</definedName>
    <definedName name="___flr50">#REF!</definedName>
    <definedName name="___flr51">#REF!</definedName>
    <definedName name="___flr52">#REF!</definedName>
    <definedName name="___flr53">#REF!</definedName>
    <definedName name="___flr54">#REF!</definedName>
    <definedName name="___flr55">#REF!</definedName>
    <definedName name="___flr56">#REF!</definedName>
    <definedName name="___flr57">#REF!</definedName>
    <definedName name="___fmd150">#REF!</definedName>
    <definedName name="___frc2495">#REF!</definedName>
    <definedName name="___frc41010">#REF!</definedName>
    <definedName name="___frc495">#REF!</definedName>
    <definedName name="___fvd100">#REF!</definedName>
    <definedName name="___g1">#REF!</definedName>
    <definedName name="___GID1">'[2]LKVL-CK-HT-GD1'!$A$4</definedName>
    <definedName name="___gip1">#REF!</definedName>
    <definedName name="___gip15">#REF!</definedName>
    <definedName name="___gip3">#REF!</definedName>
    <definedName name="___gip34">#REF!</definedName>
    <definedName name="___gip4">#REF!</definedName>
    <definedName name="___GIP4004">"'file://SERVER3/har-data/STRUCTURE PRICE OF BQ KOMPAS GRAMEDIA.xls'#$analisa.$#REF!$#REF!"</definedName>
    <definedName name="___GIP5004">"'file://SERVER3/har-data/STRUCTURE PRICE OF BQ KOMPAS GRAMEDIA.xls'#$analisa.$#REF!$#REF!"</definedName>
    <definedName name="___GIP6504">"'file://SERVER3/har-data/STRUCTURE PRICE OF BQ KOMPAS GRAMEDIA.xls'#$analisa.$#REF!$#REF!"</definedName>
    <definedName name="___GIP804">"'file://SERVER3/har-data/STRUCTURE PRICE OF BQ KOMPAS GRAMEDIA.xls'#$analisa.$#REF!$#REF!"</definedName>
    <definedName name="___GIV2">#N/A</definedName>
    <definedName name="___gk2" hidden="1">#REF!</definedName>
    <definedName name="___grc1">#REF!</definedName>
    <definedName name="___grv20">#REF!</definedName>
    <definedName name="___grv30">#REF!</definedName>
    <definedName name="___gti50">#REF!</definedName>
    <definedName name="___gti60">#REF!</definedName>
    <definedName name="___gvd1">#REF!</definedName>
    <definedName name="___gvd10">#REF!</definedName>
    <definedName name="___gvd100">#REF!</definedName>
    <definedName name="___gvd15">#REF!</definedName>
    <definedName name="___gvd150">#REF!</definedName>
    <definedName name="___gvd2">#REF!</definedName>
    <definedName name="___gvd20">#REF!</definedName>
    <definedName name="___gvd25">#REF!</definedName>
    <definedName name="___gvd3">#REF!</definedName>
    <definedName name="___gvd32">#REF!</definedName>
    <definedName name="___gvd4">#REF!</definedName>
    <definedName name="___gvd40">#REF!</definedName>
    <definedName name="___gvd5">#REF!</definedName>
    <definedName name="___gvd50">#REF!</definedName>
    <definedName name="___gvd6">#REF!</definedName>
    <definedName name="___gvd65">#REF!</definedName>
    <definedName name="___gvd8">#REF!</definedName>
    <definedName name="___gvd80">#REF!</definedName>
    <definedName name="___gyp9">#REF!</definedName>
    <definedName name="___HAL1">#REF!</definedName>
    <definedName name="___HAL2">#REF!</definedName>
    <definedName name="___HAL3">#REF!</definedName>
    <definedName name="___HAL4">#REF!</definedName>
    <definedName name="___HAL5">#REF!</definedName>
    <definedName name="___HAL6">#REF!</definedName>
    <definedName name="___HAL7">#REF!</definedName>
    <definedName name="___HAL8">#REF!</definedName>
    <definedName name="___hdw1">#REF!</definedName>
    <definedName name="___INF1">#REF!</definedName>
    <definedName name="___INF2">#REF!</definedName>
    <definedName name="___INF3">#REF!</definedName>
    <definedName name="___INF4">#REF!</definedName>
    <definedName name="___int1">#REF!</definedName>
    <definedName name="___int2">#REF!</definedName>
    <definedName name="___IPR1">#REF!</definedName>
    <definedName name="___IPR21">#REF!</definedName>
    <definedName name="___jum1">#REF!</definedName>
    <definedName name="___jum10">#REF!</definedName>
    <definedName name="___jum2">#REF!</definedName>
    <definedName name="___jum3">#REF!</definedName>
    <definedName name="___jum4">#REF!</definedName>
    <definedName name="___jum5">#REF!</definedName>
    <definedName name="___jum6">#REF!</definedName>
    <definedName name="___jum7">#REF!</definedName>
    <definedName name="___jum8">#REF!</definedName>
    <definedName name="___jum9">#REF!</definedName>
    <definedName name="___K1">#N/A</definedName>
    <definedName name="___K3">#N/A</definedName>
    <definedName name="___kc3">#REF!</definedName>
    <definedName name="___kc5">#REF!</definedName>
    <definedName name="___kco7">#REF!</definedName>
    <definedName name="___ke1">#REF!</definedName>
    <definedName name="___ke2">#REF!</definedName>
    <definedName name="___ke3">#REF!</definedName>
    <definedName name="___ke4">#REF!</definedName>
    <definedName name="___ker1020">#REF!</definedName>
    <definedName name="___ker1030">#REF!</definedName>
    <definedName name="___ker2020">#REF!</definedName>
    <definedName name="___ker2025">#REF!</definedName>
    <definedName name="___ker3030">#REF!</definedName>
    <definedName name="___KEY001" hidden="1">#REF!</definedName>
    <definedName name="___KEY002" hidden="1">#REF!</definedName>
    <definedName name="___KEY01" hidden="1">#REF!</definedName>
    <definedName name="___KEY02" hidden="1">#REF!</definedName>
    <definedName name="___key1" hidden="1">#REF!</definedName>
    <definedName name="___Key2" hidden="1">#REF!</definedName>
    <definedName name="___kht20">#REF!</definedName>
    <definedName name="___kht40">#REF!</definedName>
    <definedName name="___kht50">#REF!</definedName>
    <definedName name="___KM1">[3]CH!$C$9</definedName>
    <definedName name="___KM2">[7]CH!$C$11</definedName>
    <definedName name="___ko2">#REF!</definedName>
    <definedName name="___kof1">#REF!</definedName>
    <definedName name="___KR1">#REF!</definedName>
    <definedName name="___kr15">#REF!</definedName>
    <definedName name="___KR22">#REF!</definedName>
    <definedName name="___KR6">#REF!</definedName>
    <definedName name="___KR7">#REF!</definedName>
    <definedName name="___KR8">#REF!</definedName>
    <definedName name="___KR9">#REF!</definedName>
    <definedName name="___krm2020">#REF!</definedName>
    <definedName name="___krm2025">#REF!</definedName>
    <definedName name="___krm3030">#REF!</definedName>
    <definedName name="___krm4040">#REF!</definedName>
    <definedName name="___L100000">#REF!</definedName>
    <definedName name="___L1000000">#REF!</definedName>
    <definedName name="___L69000">#REF!</definedName>
    <definedName name="___L70000">#REF!</definedName>
    <definedName name="___L90000">#REF!</definedName>
    <definedName name="___L99999">#REF!</definedName>
    <definedName name="___L999999">#REF!</definedName>
    <definedName name="___lb1">#REF!</definedName>
    <definedName name="___lb2">#REF!</definedName>
    <definedName name="___LBP1">#REF!</definedName>
    <definedName name="___LBP2">#REF!</definedName>
    <definedName name="___LCM2">#REF!</definedName>
    <definedName name="___LCM3">#REF!</definedName>
    <definedName name="___ld100">#REF!</definedName>
    <definedName name="___ld120">#REF!</definedName>
    <definedName name="___ld50">#REF!</definedName>
    <definedName name="___ld60">#REF!</definedName>
    <definedName name="___ld80">#REF!</definedName>
    <definedName name="___ldp60">#REF!</definedName>
    <definedName name="___lh50">#REF!</definedName>
    <definedName name="___LLL01">#REF!</definedName>
    <definedName name="___LLL02">#REF!</definedName>
    <definedName name="___LLL03">#REF!</definedName>
    <definedName name="___LLL04">#REF!</definedName>
    <definedName name="___LLL05">#REF!</definedName>
    <definedName name="___LLL06">#REF!</definedName>
    <definedName name="___LLL07">#REF!</definedName>
    <definedName name="___LLL08">#REF!</definedName>
    <definedName name="___LLL09">#REF!</definedName>
    <definedName name="___LLL10">#REF!</definedName>
    <definedName name="___LLL11">#REF!</definedName>
    <definedName name="___lp100">#REF!</definedName>
    <definedName name="___lp300">#REF!</definedName>
    <definedName name="___lp36">#REF!</definedName>
    <definedName name="___lp500">#REF!</definedName>
    <definedName name="___lp60">#REF!</definedName>
    <definedName name="___lpl11">#REF!</definedName>
    <definedName name="___ls100">#REF!</definedName>
    <definedName name="___ls50">#REF!</definedName>
    <definedName name="___ls60">#REF!</definedName>
    <definedName name="___ls80">#REF!</definedName>
    <definedName name="___lt1">#REF!</definedName>
    <definedName name="___lt2">#REF!</definedName>
    <definedName name="___lt3">#REF!</definedName>
    <definedName name="___lt4">#REF!</definedName>
    <definedName name="___lt5">#REF!</definedName>
    <definedName name="___lt6">#REF!</definedName>
    <definedName name="___lt7">#REF!</definedName>
    <definedName name="___lt8">#REF!</definedName>
    <definedName name="___M6" hidden="1">{#N/A,#N/A,FALSE,"Chi tiÆt"}</definedName>
    <definedName name="___MAC12">#REF!</definedName>
    <definedName name="___MAC46">#REF!</definedName>
    <definedName name="___MB867">#REF!</definedName>
    <definedName name="___mc2">#REF!</definedName>
    <definedName name="___MDE01">#REF!</definedName>
    <definedName name="___MDE02">#REF!</definedName>
    <definedName name="___MDE03">#REF!</definedName>
    <definedName name="___MDE04">#REF!</definedName>
    <definedName name="___MDE05">#REF!</definedName>
    <definedName name="___MDE06">#REF!</definedName>
    <definedName name="___MDE07">#REF!</definedName>
    <definedName name="___MDE08">#REF!</definedName>
    <definedName name="___MDE09">#REF!</definedName>
    <definedName name="___MDE10">#REF!</definedName>
    <definedName name="___MDE11">#REF!</definedName>
    <definedName name="___MDE12">#REF!</definedName>
    <definedName name="___MDE13">#REF!</definedName>
    <definedName name="___MDE14">#REF!</definedName>
    <definedName name="___MDE15">#REF!</definedName>
    <definedName name="___MDE16">#REF!</definedName>
    <definedName name="___MDE17">#REF!</definedName>
    <definedName name="___MDE18">#REF!</definedName>
    <definedName name="___MDE19">#REF!</definedName>
    <definedName name="___MDE20">#REF!</definedName>
    <definedName name="___MDE21">#REF!</definedName>
    <definedName name="___MDE22">#REF!</definedName>
    <definedName name="___MDE23">#REF!</definedName>
    <definedName name="___MDE24">#REF!</definedName>
    <definedName name="___MDE25">#REF!</definedName>
    <definedName name="___MDE26">#REF!</definedName>
    <definedName name="___MDE27">#REF!</definedName>
    <definedName name="___MDE28">#REF!</definedName>
    <definedName name="___MDE29">#REF!</definedName>
    <definedName name="___MDE30">#REF!</definedName>
    <definedName name="___MDE31">#REF!</definedName>
    <definedName name="___MDE32">#REF!</definedName>
    <definedName name="___MDE33">#REF!</definedName>
    <definedName name="___MDE34">#REF!</definedName>
    <definedName name="___MDE35">#REF!</definedName>
    <definedName name="___MDE36">#REF!</definedName>
    <definedName name="___MDE37">#REF!</definedName>
    <definedName name="___MDE38">#REF!</definedName>
    <definedName name="___MDE39">#REF!</definedName>
    <definedName name="___MDE40">#REF!</definedName>
    <definedName name="___MDE41">#REF!</definedName>
    <definedName name="___MDE42">#REF!</definedName>
    <definedName name="___MDE43">#REF!</definedName>
    <definedName name="___MDE44">#REF!</definedName>
    <definedName name="___MDE45">#REF!</definedName>
    <definedName name="___MDE46">#REF!</definedName>
    <definedName name="___MDE47">#REF!</definedName>
    <definedName name="___MDE48">#REF!</definedName>
    <definedName name="___MDE49">#REF!</definedName>
    <definedName name="___MDE50">#REF!</definedName>
    <definedName name="___MDE51">#REF!</definedName>
    <definedName name="___MDE52">#REF!</definedName>
    <definedName name="___MDE53">#REF!</definedName>
    <definedName name="___MDE54">#REF!</definedName>
    <definedName name="___MDE55">#REF!</definedName>
    <definedName name="___MDE56">#REF!</definedName>
    <definedName name="___MDE57">#REF!</definedName>
    <definedName name="___MDE58">#REF!</definedName>
    <definedName name="___MDE59">#REF!</definedName>
    <definedName name="___MDE60">#REF!</definedName>
    <definedName name="___MDE61">#REF!</definedName>
    <definedName name="___MDE62">#REF!</definedName>
    <definedName name="___MDE63">#REF!</definedName>
    <definedName name="___MDE64">#REF!</definedName>
    <definedName name="___MDE65">#REF!</definedName>
    <definedName name="___MDE66">#REF!</definedName>
    <definedName name="___MDE67">#REF!</definedName>
    <definedName name="___MDE68">#REF!</definedName>
    <definedName name="___ME01">#REF!</definedName>
    <definedName name="___ME02">#REF!</definedName>
    <definedName name="___ME03">#REF!</definedName>
    <definedName name="___ME04">#REF!</definedName>
    <definedName name="___ME05">#REF!</definedName>
    <definedName name="___ME06">#REF!</definedName>
    <definedName name="___ME07">#REF!</definedName>
    <definedName name="___ME08">#REF!</definedName>
    <definedName name="___ME09">#REF!</definedName>
    <definedName name="___ME1">#REF!</definedName>
    <definedName name="___ME10">#REF!</definedName>
    <definedName name="___ME11">#REF!</definedName>
    <definedName name="___ME12">#REF!</definedName>
    <definedName name="___ME13">#REF!</definedName>
    <definedName name="___ME14">#REF!</definedName>
    <definedName name="___ME15">#REF!</definedName>
    <definedName name="___ME16">#REF!</definedName>
    <definedName name="___ME17">#REF!</definedName>
    <definedName name="___ME18">#REF!</definedName>
    <definedName name="___ME19">#REF!</definedName>
    <definedName name="___ME2">#REF!</definedName>
    <definedName name="___ME20">#REF!</definedName>
    <definedName name="___ME21">#REF!</definedName>
    <definedName name="___ME22">#REF!</definedName>
    <definedName name="___ME23">#REF!</definedName>
    <definedName name="___ME24">#REF!</definedName>
    <definedName name="___ME25">#REF!</definedName>
    <definedName name="___ME26">#REF!</definedName>
    <definedName name="___ME27">#REF!</definedName>
    <definedName name="___ME28">#REF!</definedName>
    <definedName name="___ME29">#REF!</definedName>
    <definedName name="___ME3">#REF!</definedName>
    <definedName name="___ME30">#REF!</definedName>
    <definedName name="___ME31">#REF!</definedName>
    <definedName name="___ME32">#REF!</definedName>
    <definedName name="___ME33">#REF!</definedName>
    <definedName name="___ME34">#REF!</definedName>
    <definedName name="___ME35">#REF!</definedName>
    <definedName name="___ME36">#REF!</definedName>
    <definedName name="___ME37">#REF!</definedName>
    <definedName name="___ME38">#REF!</definedName>
    <definedName name="___ME39">#REF!</definedName>
    <definedName name="___ME40">#REF!</definedName>
    <definedName name="___ME41">#REF!</definedName>
    <definedName name="___ME42">#REF!</definedName>
    <definedName name="___ME43">#REF!</definedName>
    <definedName name="___ME44">#REF!</definedName>
    <definedName name="___ME45">#REF!</definedName>
    <definedName name="___ME46">#REF!</definedName>
    <definedName name="___ME47">#REF!</definedName>
    <definedName name="___ME48">#REF!</definedName>
    <definedName name="___ME49">#REF!</definedName>
    <definedName name="___ME50">#REF!</definedName>
    <definedName name="___ME51">#REF!</definedName>
    <definedName name="___ME52">#REF!</definedName>
    <definedName name="___ME53">#REF!</definedName>
    <definedName name="___ME54">#REF!</definedName>
    <definedName name="___ME55">#REF!</definedName>
    <definedName name="___ME56">#REF!</definedName>
    <definedName name="___ME57">#REF!</definedName>
    <definedName name="___ME58">#REF!</definedName>
    <definedName name="___ME59">#REF!</definedName>
    <definedName name="___ME60">#REF!</definedName>
    <definedName name="___ME61">#REF!</definedName>
    <definedName name="___ME62">#REF!</definedName>
    <definedName name="___ME63">#REF!</definedName>
    <definedName name="___ME64">#REF!</definedName>
    <definedName name="___ME65">#REF!</definedName>
    <definedName name="___ME66">#REF!</definedName>
    <definedName name="___ME67">#REF!</definedName>
    <definedName name="___ME68">#REF!</definedName>
    <definedName name="___MEN1">#REF!</definedName>
    <definedName name="___MET1">#REF!</definedName>
    <definedName name="___MET2">#REF!</definedName>
    <definedName name="___mg8">#REF!</definedName>
    <definedName name="___mix300">#REF!</definedName>
    <definedName name="___MJ1">#REF!</definedName>
    <definedName name="___MJ2">#REF!</definedName>
    <definedName name="___MMM01">#REF!</definedName>
    <definedName name="___MMM02">#REF!</definedName>
    <definedName name="___MMM03">#REF!</definedName>
    <definedName name="___MMM04">#REF!</definedName>
    <definedName name="___MMM05">#REF!</definedName>
    <definedName name="___MMM06">#REF!</definedName>
    <definedName name="___MMM07">#REF!</definedName>
    <definedName name="___MMM08">#REF!</definedName>
    <definedName name="___MMM09">#REF!</definedName>
    <definedName name="___MMM10">#REF!</definedName>
    <definedName name="___MMM11">#REF!</definedName>
    <definedName name="___MMM12">#REF!</definedName>
    <definedName name="___MMM13">#REF!</definedName>
    <definedName name="___MMM14">#REF!</definedName>
    <definedName name="___MMM15">#REF!</definedName>
    <definedName name="___MMM16">#REF!</definedName>
    <definedName name="___MMM17">#REF!</definedName>
    <definedName name="___MMM18">#REF!</definedName>
    <definedName name="___MMM19">#REF!</definedName>
    <definedName name="___MMM20">#REF!</definedName>
    <definedName name="___MMM21">#REF!</definedName>
    <definedName name="___MMM22">#REF!</definedName>
    <definedName name="___MMM23">#REF!</definedName>
    <definedName name="___MMM24">#REF!</definedName>
    <definedName name="___MMM25">#REF!</definedName>
    <definedName name="___MMM26">#REF!</definedName>
    <definedName name="___MMM27">#REF!</definedName>
    <definedName name="___MMM28">#REF!</definedName>
    <definedName name="___MMM29">#REF!</definedName>
    <definedName name="___MMM30">#REF!</definedName>
    <definedName name="___MMM31">#REF!</definedName>
    <definedName name="___MMM32">#REF!</definedName>
    <definedName name="___MMM33">#REF!</definedName>
    <definedName name="___MMM34">#REF!</definedName>
    <definedName name="___MMM35">#REF!</definedName>
    <definedName name="___MMM36">#REF!</definedName>
    <definedName name="___MMM37">#REF!</definedName>
    <definedName name="___MMM38">#REF!</definedName>
    <definedName name="___MMM39">#REF!</definedName>
    <definedName name="___MMM40">#REF!</definedName>
    <definedName name="___MMM41">#REF!</definedName>
    <definedName name="___MMM411">#REF!</definedName>
    <definedName name="___MMM42">#REF!</definedName>
    <definedName name="___MMM43">#REF!</definedName>
    <definedName name="___MMM44">#REF!</definedName>
    <definedName name="___MMM45">#REF!</definedName>
    <definedName name="___MMM46">#REF!</definedName>
    <definedName name="___MMM47">#REF!</definedName>
    <definedName name="___MMM48">#REF!</definedName>
    <definedName name="___MMM49">#REF!</definedName>
    <definedName name="___MMM50">#REF!</definedName>
    <definedName name="___MMM51">#REF!</definedName>
    <definedName name="___MMM52">#REF!</definedName>
    <definedName name="___MMM53">#REF!</definedName>
    <definedName name="___MMM54">#REF!</definedName>
    <definedName name="___MOB1">#REF!</definedName>
    <definedName name="___MOB2">#REF!</definedName>
    <definedName name="___mp1">#REF!</definedName>
    <definedName name="___MS1">#REF!</definedName>
    <definedName name="___MS2">#REF!</definedName>
    <definedName name="___mu1">#REF!</definedName>
    <definedName name="___mu2">#REF!</definedName>
    <definedName name="___MU200">#N/A</definedName>
    <definedName name="___MU300">#N/A</definedName>
    <definedName name="___MU301">#N/A</definedName>
    <definedName name="___MU380">#N/A</definedName>
    <definedName name="___MU400">#N/A</definedName>
    <definedName name="___MU408">#N/A</definedName>
    <definedName name="___MU440">#N/A</definedName>
    <definedName name="___MU450">#N/A</definedName>
    <definedName name="___MU830">#N/A</definedName>
    <definedName name="___mul12">#REF!</definedName>
    <definedName name="___mul9">#REF!</definedName>
    <definedName name="___mvd1">#REF!</definedName>
    <definedName name="___mvd2">#REF!</definedName>
    <definedName name="___mvd3">#REF!</definedName>
    <definedName name="___mvd4">#REF!</definedName>
    <definedName name="___NCL100">#REF!</definedName>
    <definedName name="___NCL200">#REF!</definedName>
    <definedName name="___NCL250">#REF!</definedName>
    <definedName name="___nin190">#REF!</definedName>
    <definedName name="___nym34">#REF!</definedName>
    <definedName name="___nym46">#REF!</definedName>
    <definedName name="___nyy2416">#REF!</definedName>
    <definedName name="___nyy244">#REF!</definedName>
    <definedName name="___nyy246">#REF!</definedName>
    <definedName name="___nyy34">#REF!</definedName>
    <definedName name="___nyy410">#REF!</definedName>
    <definedName name="___nyy41010">#REF!</definedName>
    <definedName name="___nyy412050">#REF!</definedName>
    <definedName name="___nyy412070">#REF!</definedName>
    <definedName name="___nyy415070">#REF!</definedName>
    <definedName name="___nyy416">#REF!</definedName>
    <definedName name="___nyy41616">#REF!</definedName>
    <definedName name="___nyy42525">#REF!</definedName>
    <definedName name="___nyy43535">#REF!</definedName>
    <definedName name="___nyy44">#REF!</definedName>
    <definedName name="___nyy444">#REF!</definedName>
    <definedName name="___nyy45050">#REF!</definedName>
    <definedName name="___nyy46">#REF!</definedName>
    <definedName name="___nyy466">#REF!</definedName>
    <definedName name="___nyy47050">#REF!</definedName>
    <definedName name="___nyy47070">#REF!</definedName>
    <definedName name="___nyy49570">#REF!</definedName>
    <definedName name="___PA1">#REF!</definedName>
    <definedName name="___PA10">#REF!</definedName>
    <definedName name="___PA2">#REF!</definedName>
    <definedName name="___PA3">#REF!</definedName>
    <definedName name="___PA4">#REF!</definedName>
    <definedName name="___PA5">#REF!</definedName>
    <definedName name="___PA6">#REF!</definedName>
    <definedName name="___PA7">#REF!</definedName>
    <definedName name="___PA8">#REF!</definedName>
    <definedName name="___PA9">#REF!</definedName>
    <definedName name="___pab100">#REF!</definedName>
    <definedName name="___pab125">#REF!</definedName>
    <definedName name="___pab126">#REF!</definedName>
    <definedName name="___pab15">#REF!</definedName>
    <definedName name="___pab150">#REF!</definedName>
    <definedName name="___pab2">#REF!</definedName>
    <definedName name="___pab20">#REF!</definedName>
    <definedName name="___pab25">#REF!</definedName>
    <definedName name="___pab32">#REF!</definedName>
    <definedName name="___pab4">#REF!</definedName>
    <definedName name="___pab40">#REF!</definedName>
    <definedName name="___pab50">#REF!</definedName>
    <definedName name="___pab6">#REF!</definedName>
    <definedName name="___pab65">#REF!</definedName>
    <definedName name="___pab80">#REF!</definedName>
    <definedName name="___PAC012">#REF!</definedName>
    <definedName name="___pah150">#REF!</definedName>
    <definedName name="___pak100">#REF!</definedName>
    <definedName name="___pak150">#REF!</definedName>
    <definedName name="___pak50">#REF!</definedName>
    <definedName name="___pak80">#REF!</definedName>
    <definedName name="___pav8">#REF!</definedName>
    <definedName name="___PB1">#REF!</definedName>
    <definedName name="___PB2">#REF!</definedName>
    <definedName name="___PB3">#REF!</definedName>
    <definedName name="___pb34">#REF!</definedName>
    <definedName name="___pb4">#REF!</definedName>
    <definedName name="___pbf3">#REF!</definedName>
    <definedName name="___pbf4">#REF!</definedName>
    <definedName name="___PBK175">#REF!</definedName>
    <definedName name="___PBK225">#REF!</definedName>
    <definedName name="___pbs100">#REF!</definedName>
    <definedName name="___pbs15">#REF!</definedName>
    <definedName name="___pbs150">#REF!</definedName>
    <definedName name="___pbs40">#REF!</definedName>
    <definedName name="___pbs50">#REF!</definedName>
    <definedName name="___pbs65">#REF!</definedName>
    <definedName name="___pbs80">#REF!</definedName>
    <definedName name="___pc1">#REF!</definedName>
    <definedName name="___pc10">#REF!</definedName>
    <definedName name="___pc12">#REF!</definedName>
    <definedName name="___PC120">#REF!</definedName>
    <definedName name="___pc2">#REF!</definedName>
    <definedName name="___pc3">#REF!</definedName>
    <definedName name="___pc4">#REF!</definedName>
    <definedName name="___PC450">#REF!</definedName>
    <definedName name="___pc5">#REF!</definedName>
    <definedName name="___pc50">#REF!</definedName>
    <definedName name="___pc6">#REF!</definedName>
    <definedName name="___PC600">#REF!</definedName>
    <definedName name="___pc8">#REF!</definedName>
    <definedName name="___pc80">#REF!</definedName>
    <definedName name="___PCD10">#REF!</definedName>
    <definedName name="___PCD3">#REF!</definedName>
    <definedName name="___PCD6">#REF!</definedName>
    <definedName name="___PCD8">#REF!</definedName>
    <definedName name="___pcf10">#REF!</definedName>
    <definedName name="___pcf12">#REF!</definedName>
    <definedName name="___pcf3">#REF!</definedName>
    <definedName name="___pcf4">#REF!</definedName>
    <definedName name="___pcf5">#REF!</definedName>
    <definedName name="___pcf6">#REF!</definedName>
    <definedName name="___pcf8">#REF!</definedName>
    <definedName name="___pcf80">#REF!</definedName>
    <definedName name="___pd1">#REF!</definedName>
    <definedName name="___pd2">#REF!</definedName>
    <definedName name="___pd3">#REF!</definedName>
    <definedName name="___pdf3">#REF!</definedName>
    <definedName name="___pek2">#REF!</definedName>
    <definedName name="___pf18">#REF!</definedName>
    <definedName name="___ph100">#REF!</definedName>
    <definedName name="___ph150">#REF!</definedName>
    <definedName name="___phf100">#REF!</definedName>
    <definedName name="___phf150">#REF!</definedName>
    <definedName name="___PJ2">#REF!</definedName>
    <definedName name="___PJ3">#REF!</definedName>
    <definedName name="___PJA1">#REF!</definedName>
    <definedName name="___PJA2">#REF!</definedName>
    <definedName name="___PJA3">#REF!</definedName>
    <definedName name="___PJA4">#REF!</definedName>
    <definedName name="___PJA6">#REF!</definedName>
    <definedName name="___pk13">#REF!</definedName>
    <definedName name="___pk47">#REF!</definedName>
    <definedName name="___pk8">#REF!</definedName>
    <definedName name="___PL1">#REF!</definedName>
    <definedName name="___PL2">#REF!</definedName>
    <definedName name="___PL3">#REF!</definedName>
    <definedName name="___po1000">#REF!</definedName>
    <definedName name="___por4040">#REF!</definedName>
    <definedName name="___PRC019">#REF!</definedName>
    <definedName name="___PS1">#REF!</definedName>
    <definedName name="___PS2">#REF!</definedName>
    <definedName name="___PSC052">#REF!</definedName>
    <definedName name="___PSC084">#REF!</definedName>
    <definedName name="___pv100">#REF!</definedName>
    <definedName name="___pv40">#REF!</definedName>
    <definedName name="___pv50">#REF!</definedName>
    <definedName name="___pv80">#REF!</definedName>
    <definedName name="___PVC05">#REF!</definedName>
    <definedName name="___pvc1">#REF!</definedName>
    <definedName name="___pvc100">#REF!</definedName>
    <definedName name="___pvc12">#REF!</definedName>
    <definedName name="___pvc150">#REF!</definedName>
    <definedName name="___PVC153">#REF!</definedName>
    <definedName name="___pvc20">#REF!</definedName>
    <definedName name="___pvc200">#REF!</definedName>
    <definedName name="___pvc25">#REF!</definedName>
    <definedName name="___PVC3">#REF!</definedName>
    <definedName name="___pvc32">#REF!</definedName>
    <definedName name="___PVC34">#REF!</definedName>
    <definedName name="___PVC4">#REF!</definedName>
    <definedName name="___pvc40">#REF!</definedName>
    <definedName name="___pvc44">#REF!</definedName>
    <definedName name="___pvc50">#REF!</definedName>
    <definedName name="___pvc65">#REF!</definedName>
    <definedName name="___pvc80">#REF!</definedName>
    <definedName name="___pvc804">"'file://SERVER3/har-data/STRUCTURE PRICE OF BQ KOMPAS GRAMEDIA.xls'#$analisa.$#REF!$#REF!"</definedName>
    <definedName name="___pvc805">"'file://SERVER3/har-data/STRUCTURE PRICE OF BQ KOMPAS GRAMEDIA.xls'#$analisa.$#REF!$#REF!"</definedName>
    <definedName name="___pvf100">#REF!</definedName>
    <definedName name="___pvf80">#REF!</definedName>
    <definedName name="___qmd15">#REF!</definedName>
    <definedName name="___qmd20">#REF!</definedName>
    <definedName name="___QS1">#REF!</definedName>
    <definedName name="___QS10">#REF!</definedName>
    <definedName name="___QS11">#REF!</definedName>
    <definedName name="___QS12">#REF!</definedName>
    <definedName name="___QS13">#REF!</definedName>
    <definedName name="___QS14">#REF!</definedName>
    <definedName name="___QS15">#REF!</definedName>
    <definedName name="___QS16">#REF!</definedName>
    <definedName name="___QS17">#REF!</definedName>
    <definedName name="___QS18">#REF!</definedName>
    <definedName name="___QS19">#REF!</definedName>
    <definedName name="___QS2">#REF!</definedName>
    <definedName name="___QS20">#REF!</definedName>
    <definedName name="___QS21">#REF!</definedName>
    <definedName name="___QS3">#REF!</definedName>
    <definedName name="___QS4">#REF!</definedName>
    <definedName name="___QS5">#REF!</definedName>
    <definedName name="___QS6">#REF!</definedName>
    <definedName name="___QS7">#REF!</definedName>
    <definedName name="___QS8">#REF!</definedName>
    <definedName name="___QS9">#REF!</definedName>
    <definedName name="___rd1">#REF!</definedName>
    <definedName name="___rd2">#REF!</definedName>
    <definedName name="___rd3">#REF!</definedName>
    <definedName name="___rd4">#REF!</definedName>
    <definedName name="___rd6">#REF!</definedName>
    <definedName name="___rd8">#REF!</definedName>
    <definedName name="___rdd100">#REF!</definedName>
    <definedName name="___rdd150">#REF!</definedName>
    <definedName name="___REK2">#REF!</definedName>
    <definedName name="___REV3" hidden="1">{#N/A,#N/A,FALSE,"REK-S-TPL";#N/A,#N/A,FALSE,"REK-TPML";#N/A,#N/A,FALSE,"RAB-TEMPEL"}</definedName>
    <definedName name="___rk100">#REF!</definedName>
    <definedName name="___rk150">#REF!</definedName>
    <definedName name="___rk200">#REF!</definedName>
    <definedName name="___rk300">#REF!</definedName>
    <definedName name="___rk400">#REF!</definedName>
    <definedName name="___rk500">#REF!</definedName>
    <definedName name="___rk600">#REF!</definedName>
    <definedName name="___rkl1000">#REF!</definedName>
    <definedName name="___rkl1200">#REF!</definedName>
    <definedName name="___rkl200">#REF!</definedName>
    <definedName name="___rkl300">#REF!</definedName>
    <definedName name="___rkl400">#REF!</definedName>
    <definedName name="___rkl500">#REF!</definedName>
    <definedName name="___rkl600">#REF!</definedName>
    <definedName name="___rkl700">#REF!</definedName>
    <definedName name="___rkl800">#REF!</definedName>
    <definedName name="___rst20">#REF!</definedName>
    <definedName name="___rst30">#REF!</definedName>
    <definedName name="___sc1">#REF!</definedName>
    <definedName name="___SC2">#REF!</definedName>
    <definedName name="___sc3">#REF!</definedName>
    <definedName name="___SFL1">#REF!</definedName>
    <definedName name="___SFL2">#REF!</definedName>
    <definedName name="___SFL3">#REF!</definedName>
    <definedName name="___SFM1">#REF!</definedName>
    <definedName name="___SFM2">#REF!</definedName>
    <definedName name="___SFM3">#REF!</definedName>
    <definedName name="___SFM4">#REF!</definedName>
    <definedName name="___SFM5">#REF!</definedName>
    <definedName name="___SFM6">#REF!</definedName>
    <definedName name="___SFM7">#REF!</definedName>
    <definedName name="___SFQ1">#REF!</definedName>
    <definedName name="___SFQ2">#REF!</definedName>
    <definedName name="___SFQ3">#REF!</definedName>
    <definedName name="___SFQ4">#REF!</definedName>
    <definedName name="___sfv150">#REF!</definedName>
    <definedName name="___sh1040">#REF!</definedName>
    <definedName name="___sn1020">#REF!</definedName>
    <definedName name="___SN3">#REF!</definedName>
    <definedName name="___srt2">#REF!</definedName>
    <definedName name="___st1">#REF!</definedName>
    <definedName name="___st2">#REF!</definedName>
    <definedName name="___st3">#REF!</definedName>
    <definedName name="___std100">#REF!</definedName>
    <definedName name="___std150">#REF!</definedName>
    <definedName name="___std2">#REF!</definedName>
    <definedName name="___std3">#REF!</definedName>
    <definedName name="___std4">#REF!</definedName>
    <definedName name="___std50">#REF!</definedName>
    <definedName name="___std65">#REF!</definedName>
    <definedName name="___str01">#REF!</definedName>
    <definedName name="___str02">#REF!</definedName>
    <definedName name="___str03">#REF!</definedName>
    <definedName name="___str04">#REF!</definedName>
    <definedName name="___str05">#REF!</definedName>
    <definedName name="___str06">#REF!</definedName>
    <definedName name="___str07">#REF!</definedName>
    <definedName name="___str08">#REF!</definedName>
    <definedName name="___str09">#REF!</definedName>
    <definedName name="___str10">#REF!</definedName>
    <definedName name="___str100">#REF!</definedName>
    <definedName name="___str11">#REF!</definedName>
    <definedName name="___str12">#REF!</definedName>
    <definedName name="___str13">#REF!</definedName>
    <definedName name="___str14">#REF!</definedName>
    <definedName name="___str15">#REF!</definedName>
    <definedName name="___str16">#REF!</definedName>
    <definedName name="___str17">#REF!</definedName>
    <definedName name="___str18">#REF!</definedName>
    <definedName name="___str19">#REF!</definedName>
    <definedName name="___str20">#REF!</definedName>
    <definedName name="___str201">#REF!</definedName>
    <definedName name="___str21">#REF!</definedName>
    <definedName name="___str22">#REF!</definedName>
    <definedName name="___str23">#REF!</definedName>
    <definedName name="___str24">#REF!</definedName>
    <definedName name="___str25">#REF!</definedName>
    <definedName name="___str26">#REF!</definedName>
    <definedName name="___str27">#REF!</definedName>
    <definedName name="___str28">#REF!</definedName>
    <definedName name="___str29">#REF!</definedName>
    <definedName name="___str30">#REF!</definedName>
    <definedName name="___str31">#REF!</definedName>
    <definedName name="___str32">#REF!</definedName>
    <definedName name="___str33">#REF!</definedName>
    <definedName name="___str34">#REF!</definedName>
    <definedName name="___str35">#REF!</definedName>
    <definedName name="___str36">#REF!</definedName>
    <definedName name="___str37">#REF!</definedName>
    <definedName name="___str38">#REF!</definedName>
    <definedName name="___str39">#REF!</definedName>
    <definedName name="___str40">#REF!</definedName>
    <definedName name="___str41">#REF!</definedName>
    <definedName name="___str42">#REF!</definedName>
    <definedName name="___str43">#REF!</definedName>
    <definedName name="___str44">#REF!</definedName>
    <definedName name="___str45">#REF!</definedName>
    <definedName name="___str46">#REF!</definedName>
    <definedName name="___str47">#REF!</definedName>
    <definedName name="___str48">#REF!</definedName>
    <definedName name="___str49">#REF!</definedName>
    <definedName name="___str50">#REF!</definedName>
    <definedName name="___str51">#REF!</definedName>
    <definedName name="___str52">#REF!</definedName>
    <definedName name="___str53">#REF!</definedName>
    <definedName name="___str54">#REF!</definedName>
    <definedName name="___str55">#REF!</definedName>
    <definedName name="___str56">#REF!</definedName>
    <definedName name="___str561">#REF!</definedName>
    <definedName name="___str57">#REF!</definedName>
    <definedName name="___str58">#REF!</definedName>
    <definedName name="___str59">#REF!</definedName>
    <definedName name="___str60">#REF!</definedName>
    <definedName name="___str61">#REF!</definedName>
    <definedName name="___str62">#REF!</definedName>
    <definedName name="___str63">#REF!</definedName>
    <definedName name="___str64">#REF!</definedName>
    <definedName name="___str65">#REF!</definedName>
    <definedName name="___str66">#REF!</definedName>
    <definedName name="___str67">#REF!</definedName>
    <definedName name="___str68">#REF!</definedName>
    <definedName name="___str69">#REF!</definedName>
    <definedName name="___str70">#REF!</definedName>
    <definedName name="___str71">#REF!</definedName>
    <definedName name="___str72">#REF!</definedName>
    <definedName name="___str73">#REF!</definedName>
    <definedName name="___str74">#REF!</definedName>
    <definedName name="___str75">#REF!</definedName>
    <definedName name="___str76">#REF!</definedName>
    <definedName name="___str77">#REF!</definedName>
    <definedName name="___str78">#REF!</definedName>
    <definedName name="___str79">#REF!</definedName>
    <definedName name="___str80">#REF!</definedName>
    <definedName name="___str81">#REF!</definedName>
    <definedName name="___str811">#REF!</definedName>
    <definedName name="___str812">#REF!</definedName>
    <definedName name="___str813">#REF!</definedName>
    <definedName name="___str82">#REF!</definedName>
    <definedName name="___str83">#REF!</definedName>
    <definedName name="___str84">#REF!</definedName>
    <definedName name="___str85">#REF!</definedName>
    <definedName name="___str86">#REF!</definedName>
    <definedName name="___str87">#REF!</definedName>
    <definedName name="___str88">#REF!</definedName>
    <definedName name="___str89">#REF!</definedName>
    <definedName name="___str90">#REF!</definedName>
    <definedName name="___str91">#REF!</definedName>
    <definedName name="___str92">#REF!</definedName>
    <definedName name="___str93">#REF!</definedName>
    <definedName name="___str94">#REF!</definedName>
    <definedName name="___str95">#REF!</definedName>
    <definedName name="___str96">#REF!</definedName>
    <definedName name="___str97">#REF!</definedName>
    <definedName name="___str98">#REF!</definedName>
    <definedName name="___SUB1">#REF!</definedName>
    <definedName name="___SUB2">#REF!</definedName>
    <definedName name="___SUB3">#REF!</definedName>
    <definedName name="___SUB4">#REF!</definedName>
    <definedName name="___SUB5">#REF!</definedName>
    <definedName name="___SUB6">#REF!</definedName>
    <definedName name="___SUB7">#REF!</definedName>
    <definedName name="___SUM1">#REF!</definedName>
    <definedName name="___SUM2">#REF!</definedName>
    <definedName name="___SUM3">#REF!</definedName>
    <definedName name="___TA01">#REF!</definedName>
    <definedName name="___TA67">#REF!</definedName>
    <definedName name="___TA78">#REF!</definedName>
    <definedName name="___TA89">#REF!</definedName>
    <definedName name="___TA90">#REF!</definedName>
    <definedName name="___tg20">#REF!</definedName>
    <definedName name="___tg30">#REF!</definedName>
    <definedName name="___tgl2">[9]Ch!$A$16</definedName>
    <definedName name="___th100">'[2]dongia (2)'!#REF!</definedName>
    <definedName name="___TH160">'[2]dongia (2)'!#REF!</definedName>
    <definedName name="___ti100">#REF!</definedName>
    <definedName name="___ti120">#REF!</definedName>
    <definedName name="___ti50">#REF!</definedName>
    <definedName name="___ti60">#REF!</definedName>
    <definedName name="___ti80">#REF!</definedName>
    <definedName name="___tk04">#REF!</definedName>
    <definedName name="___TL1">#REF!</definedName>
    <definedName name="___TL2">#REF!</definedName>
    <definedName name="___TL3">#REF!</definedName>
    <definedName name="___tl40">#REF!</definedName>
    <definedName name="___TLA120">#REF!</definedName>
    <definedName name="___TLA35">#REF!</definedName>
    <definedName name="___TLA50">#REF!</definedName>
    <definedName name="___TLA70">#REF!</definedName>
    <definedName name="___TLA95">#REF!</definedName>
    <definedName name="___tlc20">#REF!</definedName>
    <definedName name="___TOP2">#REF!</definedName>
    <definedName name="___TR250">'[2]dongia (2)'!#REF!</definedName>
    <definedName name="___tr375">[2]giathanh1!#REF!</definedName>
    <definedName name="___tsI3">#REF!</definedName>
    <definedName name="___TSR3">#REF!</definedName>
    <definedName name="___tsv25">#REF!</definedName>
    <definedName name="___uls60">#REF!</definedName>
    <definedName name="___up05">#N/A</definedName>
    <definedName name="___up10">"'file://SERVER3/har-data/STRUCTURE PRICE OF BQ KOMPAS GRAMEDIA.xls'#$analisa.$#REF!$#REF!"</definedName>
    <definedName name="___UP15">#N/A</definedName>
    <definedName name="___UP20">#N/A</definedName>
    <definedName name="___usd2">#REF!</definedName>
    <definedName name="___utd1">#REF!</definedName>
    <definedName name="___utd2">#REF!</definedName>
    <definedName name="___utd3">#REF!</definedName>
    <definedName name="___UUU01">#REF!</definedName>
    <definedName name="___UUU02">#REF!</definedName>
    <definedName name="___UUU03">#REF!</definedName>
    <definedName name="___vcd2">#REF!</definedName>
    <definedName name="___vcd3">#REF!</definedName>
    <definedName name="___vcd4">#REF!</definedName>
    <definedName name="___VL100">#REF!</definedName>
    <definedName name="___VL200">#REF!</definedName>
    <definedName name="___VL250">#REF!</definedName>
    <definedName name="___vnt100">#REF!</definedName>
    <definedName name="___vnt40">#REF!</definedName>
    <definedName name="___vnt50">#REF!</definedName>
    <definedName name="___vnt80">#REF!</definedName>
    <definedName name="___wal01">#REF!</definedName>
    <definedName name="___wal02">#REF!</definedName>
    <definedName name="___wal03">#REF!</definedName>
    <definedName name="___wal04">#REF!</definedName>
    <definedName name="___wal05">#REF!</definedName>
    <definedName name="___wal06">#REF!</definedName>
    <definedName name="___wal07">#REF!</definedName>
    <definedName name="___wal08">#REF!</definedName>
    <definedName name="___wal09">#REF!</definedName>
    <definedName name="___wal10">#REF!</definedName>
    <definedName name="___wal100">#REF!</definedName>
    <definedName name="___wal101">#REF!</definedName>
    <definedName name="___wal102">#REF!</definedName>
    <definedName name="___wal103">#REF!</definedName>
    <definedName name="___wal104">#REF!</definedName>
    <definedName name="___wal105">#REF!</definedName>
    <definedName name="___wal106">#REF!</definedName>
    <definedName name="___wal11">#REF!</definedName>
    <definedName name="___wal111">#REF!</definedName>
    <definedName name="___wal12">#REF!</definedName>
    <definedName name="___wal13">#REF!</definedName>
    <definedName name="___wal14">#REF!</definedName>
    <definedName name="___wal15">#REF!</definedName>
    <definedName name="___wal16">#REF!</definedName>
    <definedName name="___wal17">#REF!</definedName>
    <definedName name="___wal18">#REF!</definedName>
    <definedName name="___wal19">#REF!</definedName>
    <definedName name="___wal20">#REF!</definedName>
    <definedName name="___wal21">#REF!</definedName>
    <definedName name="___wal22">#REF!</definedName>
    <definedName name="___wal23">#REF!</definedName>
    <definedName name="___wal24">#REF!</definedName>
    <definedName name="___wal25">#REF!</definedName>
    <definedName name="___wal26">#REF!</definedName>
    <definedName name="___wal27">#REF!</definedName>
    <definedName name="___wal28">#REF!</definedName>
    <definedName name="___wal29">#REF!</definedName>
    <definedName name="___wal30">#REF!</definedName>
    <definedName name="___wal31">#REF!</definedName>
    <definedName name="___wal32">#REF!</definedName>
    <definedName name="___wal33">#REF!</definedName>
    <definedName name="___wal34">#REF!</definedName>
    <definedName name="___wal35">#REF!</definedName>
    <definedName name="___wal36">#REF!</definedName>
    <definedName name="___wal37">#REF!</definedName>
    <definedName name="___wal38">#REF!</definedName>
    <definedName name="___wal39">#REF!</definedName>
    <definedName name="___wal40">#REF!</definedName>
    <definedName name="___wal41">#REF!</definedName>
    <definedName name="___wal42">#REF!</definedName>
    <definedName name="___wal43">#REF!</definedName>
    <definedName name="___wal44">#REF!</definedName>
    <definedName name="___wal45">#REF!</definedName>
    <definedName name="___wal46">#REF!</definedName>
    <definedName name="___wal47">#REF!</definedName>
    <definedName name="___wal48">#REF!</definedName>
    <definedName name="___wal49">#REF!</definedName>
    <definedName name="___wal50">#REF!</definedName>
    <definedName name="___wal51">#REF!</definedName>
    <definedName name="___wal52">#REF!</definedName>
    <definedName name="___wal53">#REF!</definedName>
    <definedName name="___wal54">#REF!</definedName>
    <definedName name="___wal55">#REF!</definedName>
    <definedName name="___wal56">#REF!</definedName>
    <definedName name="___wal57">#REF!</definedName>
    <definedName name="___wal58">#REF!</definedName>
    <definedName name="___wal59">#REF!</definedName>
    <definedName name="___wal60">#REF!</definedName>
    <definedName name="___wal601">#REF!</definedName>
    <definedName name="___wal602">#REF!</definedName>
    <definedName name="___wal61">#REF!</definedName>
    <definedName name="___wal62">#REF!</definedName>
    <definedName name="___wal63">#REF!</definedName>
    <definedName name="___wal64">#REF!</definedName>
    <definedName name="___wal65">#REF!</definedName>
    <definedName name="___wal66">#REF!</definedName>
    <definedName name="___wal67">#REF!</definedName>
    <definedName name="___wal68">#REF!</definedName>
    <definedName name="___wal69">#REF!</definedName>
    <definedName name="___wal70">#REF!</definedName>
    <definedName name="___wal71">#REF!</definedName>
    <definedName name="___wal72">#REF!</definedName>
    <definedName name="___wal73">#REF!</definedName>
    <definedName name="___wal74">#REF!</definedName>
    <definedName name="___wal75">#REF!</definedName>
    <definedName name="___wal76">#REF!</definedName>
    <definedName name="___wal77">#REF!</definedName>
    <definedName name="___wal78">#REF!</definedName>
    <definedName name="___wal79">#REF!</definedName>
    <definedName name="___wal80">#REF!</definedName>
    <definedName name="___wal81">#REF!</definedName>
    <definedName name="___wal82">#REF!</definedName>
    <definedName name="___wal83">#REF!</definedName>
    <definedName name="___wal84">#REF!</definedName>
    <definedName name="___wal85">#REF!</definedName>
    <definedName name="___wal86">#REF!</definedName>
    <definedName name="___wal87">#REF!</definedName>
    <definedName name="___wal88">#REF!</definedName>
    <definedName name="___wal89">#REF!</definedName>
    <definedName name="___wal90">#REF!</definedName>
    <definedName name="___wal91">#REF!</definedName>
    <definedName name="___wal92">#REF!</definedName>
    <definedName name="___wal93">#REF!</definedName>
    <definedName name="___wal94">#REF!</definedName>
    <definedName name="___wal95">#REF!</definedName>
    <definedName name="___wal96">#REF!</definedName>
    <definedName name="___wal97">#REF!</definedName>
    <definedName name="___wal98">#REF!</definedName>
    <definedName name="___wal99">#REF!</definedName>
    <definedName name="___WC1">#REF!</definedName>
    <definedName name="___WC2">#REF!</definedName>
    <definedName name="___WC3">#REF!</definedName>
    <definedName name="___we3">#REF!</definedName>
    <definedName name="___WM420">#REF!</definedName>
    <definedName name="___XAG2">#REF!</definedName>
    <definedName name="___XAG43">#REF!</definedName>
    <definedName name="___XAG50">#REF!</definedName>
    <definedName name="___XAG67">#REF!</definedName>
    <definedName name="___XAW2">#REF!</definedName>
    <definedName name="___XAW3">#REF!</definedName>
    <definedName name="___XAW4">#REF!</definedName>
    <definedName name="___XK010">#REF!</definedName>
    <definedName name="___XK011">#REF!</definedName>
    <definedName name="___XK012">#REF!</definedName>
    <definedName name="___XK013">#REF!</definedName>
    <definedName name="___XK014">#REF!</definedName>
    <definedName name="___XK016">#REF!</definedName>
    <definedName name="___XK017">#REF!</definedName>
    <definedName name="___XK018">#REF!</definedName>
    <definedName name="___XK020">#REF!</definedName>
    <definedName name="___XK023">#REF!</definedName>
    <definedName name="___XK024">#REF!</definedName>
    <definedName name="___XK025">#REF!</definedName>
    <definedName name="___XK026">#REF!</definedName>
    <definedName name="___XK030">#REF!</definedName>
    <definedName name="___XK035">#REF!</definedName>
    <definedName name="___XK040">#REF!</definedName>
    <definedName name="___XK110">#REF!</definedName>
    <definedName name="___XK111">#REF!</definedName>
    <definedName name="___XK112">#REF!</definedName>
    <definedName name="___XK113">#REF!</definedName>
    <definedName name="___XK114">#REF!</definedName>
    <definedName name="___XK115">#REF!</definedName>
    <definedName name="___XK116">#REF!</definedName>
    <definedName name="___XK117">#REF!</definedName>
    <definedName name="___XK118">#REF!</definedName>
    <definedName name="___xk12">#REF!</definedName>
    <definedName name="___XK121">#REF!</definedName>
    <definedName name="___XK122">#REF!</definedName>
    <definedName name="___XK123">#REF!</definedName>
    <definedName name="___XK124">#REF!</definedName>
    <definedName name="___XK125">#REF!</definedName>
    <definedName name="___xk126">#REF!</definedName>
    <definedName name="___XK131">#REF!</definedName>
    <definedName name="___XK132">#REF!</definedName>
    <definedName name="___XK139">#REF!</definedName>
    <definedName name="___XK140">#REF!</definedName>
    <definedName name="___XK158">#REF!</definedName>
    <definedName name="___XK175">#REF!</definedName>
    <definedName name="___XK210">#REF!</definedName>
    <definedName name="___XK211">#REF!</definedName>
    <definedName name="___XK220">#REF!</definedName>
    <definedName name="___XK221">#REF!</definedName>
    <definedName name="___XK224">#REF!</definedName>
    <definedName name="___XK225">#REF!</definedName>
    <definedName name="___XK230">#REF!</definedName>
    <definedName name="___XK231">#REF!</definedName>
    <definedName name="___XK232">#REF!</definedName>
    <definedName name="___XK233">#REF!</definedName>
    <definedName name="___XK310">#REF!</definedName>
    <definedName name="___XK311">#REF!</definedName>
    <definedName name="___XK320">#REF!</definedName>
    <definedName name="___XK321">#REF!</definedName>
    <definedName name="___xk324">#REF!</definedName>
    <definedName name="___XK341">#REF!</definedName>
    <definedName name="___XK342">#REF!</definedName>
    <definedName name="___XK410">#REF!</definedName>
    <definedName name="___XK411">#REF!</definedName>
    <definedName name="___XK421">#REF!</definedName>
    <definedName name="___XK422">#REF!</definedName>
    <definedName name="___XK424">#REF!</definedName>
    <definedName name="___XK510">#REF!</definedName>
    <definedName name="___XK511">#REF!</definedName>
    <definedName name="___XK512">#REF!</definedName>
    <definedName name="___XK513">#REF!</definedName>
    <definedName name="___XK514">#REF!</definedName>
    <definedName name="___XK515">#REF!</definedName>
    <definedName name="___XK516">#REF!</definedName>
    <definedName name="___XK520">#REF!</definedName>
    <definedName name="___XK521">#REF!</definedName>
    <definedName name="___XK522">#REF!</definedName>
    <definedName name="___XK523">#REF!</definedName>
    <definedName name="___XK612">#REF!</definedName>
    <definedName name="___XK615">#REF!</definedName>
    <definedName name="___XK618">#REF!</definedName>
    <definedName name="___XK636">#REF!</definedName>
    <definedName name="___XK638">#REF!</definedName>
    <definedName name="___xk639">#REF!</definedName>
    <definedName name="___XK705">#REF!</definedName>
    <definedName name="___XK710">#REF!</definedName>
    <definedName name="___XK715">#REF!</definedName>
    <definedName name="___XK719">#REF!</definedName>
    <definedName name="___XK720">#REF!</definedName>
    <definedName name="___XK722">#REF!</definedName>
    <definedName name="___XK725">#REF!</definedName>
    <definedName name="___XK726">#REF!</definedName>
    <definedName name="___xk730">#REF!</definedName>
    <definedName name="___XK810">#REF!</definedName>
    <definedName name="___XK815">#REF!</definedName>
    <definedName name="___XK855">#REF!</definedName>
    <definedName name="___XK865">#REF!</definedName>
    <definedName name="__1_?≫?">#REF!</definedName>
    <definedName name="__1__123Graph_ACHART_1" hidden="1">#REF!</definedName>
    <definedName name="__1__123Graph_ACHART_3J" hidden="1">#REF!</definedName>
    <definedName name="__10__123Graph_DCHART_3J" hidden="1">#REF!</definedName>
    <definedName name="__11__123Graph_DCHART_4K" hidden="1">#REF!</definedName>
    <definedName name="__12__123Graph_DCHART_5L" hidden="1">#REF!</definedName>
    <definedName name="__123Graph_A" localSheetId="12" hidden="1">#REF!</definedName>
    <definedName name="__123Graph_A" hidden="1">#REF!</definedName>
    <definedName name="__123Graph_B" localSheetId="12"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X" localSheetId="12" hidden="1">#REF!</definedName>
    <definedName name="__123Graph_X" hidden="1">#REF!</definedName>
    <definedName name="__13__123Graph_ECHART_3J" hidden="1">#REF!</definedName>
    <definedName name="__14__123Graph_ECHART_5L" hidden="1">#REF!</definedName>
    <definedName name="__15__123Graph_FCHART_3J" hidden="1">#REF!</definedName>
    <definedName name="__16__123Graph_FCHART_5L" hidden="1">#REF!</definedName>
    <definedName name="__1SPBA_I">#REF!</definedName>
    <definedName name="__2__123Graph_ACHART_4K" hidden="1">#REF!</definedName>
    <definedName name="__2’??">#REF!</definedName>
    <definedName name="__3__123Graph_ACHART_5L" hidden="1">#REF!</definedName>
    <definedName name="__4__123Graph_BCHART_3J" hidden="1">#REF!</definedName>
    <definedName name="__5__123Graph_BCHART_4K" hidden="1">#REF!</definedName>
    <definedName name="__6__123Graph_BCHART_5L" hidden="1">#REF!</definedName>
    <definedName name="__7__123Graph_CCHART_3J" hidden="1">#REF!</definedName>
    <definedName name="__8__123Graph_CCHART_4K" hidden="1">#REF!</definedName>
    <definedName name="__9__123Graph_CCHART_5L" hidden="1">#REF!</definedName>
    <definedName name="__A100000">#REF!</definedName>
    <definedName name="__a66666">#REF!</definedName>
    <definedName name="__a666666">#REF!</definedName>
    <definedName name="__A99999">#REF!</definedName>
    <definedName name="__aaa1">#REF!</definedName>
    <definedName name="__AAD3">#REF!:#REF!</definedName>
    <definedName name="__abb91">[2]chitimc!#REF!</definedName>
    <definedName name="__abs100">#REF!</definedName>
    <definedName name="__ADD1">#REF!:#REF!</definedName>
    <definedName name="__ADD2">#REF!:#REF!</definedName>
    <definedName name="__ADD3">#REF!:#REF!</definedName>
    <definedName name="__AHS2">#N/A</definedName>
    <definedName name="__ahu100">#REF!</definedName>
    <definedName name="__ahu150">#REF!</definedName>
    <definedName name="__ako100">#REF!</definedName>
    <definedName name="__ako150">#REF!</definedName>
    <definedName name="__ako50">#REF!</definedName>
    <definedName name="__ako80">#REF!</definedName>
    <definedName name="__aku100">#REF!</definedName>
    <definedName name="__aku150">#REF!</definedName>
    <definedName name="__alt1">#REF!</definedName>
    <definedName name="__ana1">#REF!</definedName>
    <definedName name="__ana10">#REF!</definedName>
    <definedName name="__ana100">#REF!</definedName>
    <definedName name="__ana101">#REF!</definedName>
    <definedName name="__ana102">#REF!</definedName>
    <definedName name="__ana103">#REF!</definedName>
    <definedName name="__ana104">#REF!</definedName>
    <definedName name="__ana105">#REF!</definedName>
    <definedName name="__ana106">#REF!</definedName>
    <definedName name="__ana107">#REF!</definedName>
    <definedName name="__ana108">#REF!</definedName>
    <definedName name="__ana109">#REF!</definedName>
    <definedName name="__ana11">#REF!</definedName>
    <definedName name="__ana110">#REF!</definedName>
    <definedName name="__ana111">#REF!</definedName>
    <definedName name="__ana112">#REF!</definedName>
    <definedName name="__ana113">#REF!</definedName>
    <definedName name="__ana114">#REF!</definedName>
    <definedName name="__ana115">#REF!</definedName>
    <definedName name="__ana116">#REF!</definedName>
    <definedName name="__ana117">#REF!</definedName>
    <definedName name="__ana118">#REF!</definedName>
    <definedName name="__ana119">#REF!</definedName>
    <definedName name="__ana12">#REF!</definedName>
    <definedName name="__ana120">#REF!</definedName>
    <definedName name="__ana121">#REF!</definedName>
    <definedName name="__ana122">#REF!</definedName>
    <definedName name="__ana123">#REF!</definedName>
    <definedName name="__ana124">#REF!</definedName>
    <definedName name="__ana13">#REF!</definedName>
    <definedName name="__ana14">#REF!</definedName>
    <definedName name="__ana15">#REF!</definedName>
    <definedName name="__ana16">#REF!</definedName>
    <definedName name="__ana17">#REF!</definedName>
    <definedName name="__ana18">#REF!</definedName>
    <definedName name="__ana19">#REF!</definedName>
    <definedName name="__ana2">#REF!</definedName>
    <definedName name="__ana20">#REF!</definedName>
    <definedName name="__ana21">#REF!</definedName>
    <definedName name="__ana22">#REF!</definedName>
    <definedName name="__ana23">#REF!</definedName>
    <definedName name="__ana24">#REF!</definedName>
    <definedName name="__ana25">#REF!</definedName>
    <definedName name="__ana26">#REF!</definedName>
    <definedName name="__ana27">#REF!</definedName>
    <definedName name="__ana28">#REF!</definedName>
    <definedName name="__ana29">#REF!</definedName>
    <definedName name="__ana3">#REF!</definedName>
    <definedName name="__ana30">#REF!</definedName>
    <definedName name="__ana31">#REF!</definedName>
    <definedName name="__ana32">#REF!</definedName>
    <definedName name="__ana33">#REF!</definedName>
    <definedName name="__ana34">#REF!</definedName>
    <definedName name="__ana35">#REF!</definedName>
    <definedName name="__ana36">#REF!</definedName>
    <definedName name="__ana37">#REF!</definedName>
    <definedName name="__ana38">#REF!</definedName>
    <definedName name="__ana39">#REF!</definedName>
    <definedName name="__ana4">#REF!</definedName>
    <definedName name="__ana40">#REF!</definedName>
    <definedName name="__ana41">#REF!</definedName>
    <definedName name="__ana42">#REF!</definedName>
    <definedName name="__ana43">#REF!</definedName>
    <definedName name="__ana44">#REF!</definedName>
    <definedName name="__ana45">#REF!</definedName>
    <definedName name="__ana46">#REF!</definedName>
    <definedName name="__ana47">#REF!</definedName>
    <definedName name="__ana48">#REF!</definedName>
    <definedName name="__ana49">#REF!</definedName>
    <definedName name="__ana5">#REF!</definedName>
    <definedName name="__ana50">#REF!</definedName>
    <definedName name="__ana51">#REF!</definedName>
    <definedName name="__ana52">#REF!</definedName>
    <definedName name="__ana53">#REF!</definedName>
    <definedName name="__ana54">#REF!</definedName>
    <definedName name="__ana55">#REF!</definedName>
    <definedName name="__ana56">#REF!</definedName>
    <definedName name="__ana57">#REF!</definedName>
    <definedName name="__ana58">#REF!</definedName>
    <definedName name="__ana59">#REF!</definedName>
    <definedName name="__ana6">#REF!</definedName>
    <definedName name="__ana60">#REF!</definedName>
    <definedName name="__ana61">#REF!</definedName>
    <definedName name="__ana62">#REF!</definedName>
    <definedName name="__ana63">#REF!</definedName>
    <definedName name="__ana64">#REF!</definedName>
    <definedName name="__ana65">#REF!</definedName>
    <definedName name="__ana66">#REF!</definedName>
    <definedName name="__ana67">#REF!</definedName>
    <definedName name="__ana68">#REF!</definedName>
    <definedName name="__ana69">#REF!</definedName>
    <definedName name="__ana7">#REF!</definedName>
    <definedName name="__ana70">#REF!</definedName>
    <definedName name="__ana71">#REF!</definedName>
    <definedName name="__ana72">#REF!</definedName>
    <definedName name="__ana73">#REF!</definedName>
    <definedName name="__ana74">#REF!</definedName>
    <definedName name="__ana75">#REF!</definedName>
    <definedName name="__ana76">#REF!</definedName>
    <definedName name="__ana77">#REF!</definedName>
    <definedName name="__ana78">#REF!</definedName>
    <definedName name="__ana79">#REF!</definedName>
    <definedName name="__ana8">#REF!</definedName>
    <definedName name="__ana80">#REF!</definedName>
    <definedName name="__ana81">#REF!</definedName>
    <definedName name="__ana82">#REF!</definedName>
    <definedName name="__ana83">#REF!</definedName>
    <definedName name="__ana84">#REF!</definedName>
    <definedName name="__ana85">#REF!</definedName>
    <definedName name="__ana86">#REF!</definedName>
    <definedName name="__ana87">#REF!</definedName>
    <definedName name="__ana88">#REF!</definedName>
    <definedName name="__ana89">#REF!</definedName>
    <definedName name="__ana9">#REF!</definedName>
    <definedName name="__ana90">#REF!</definedName>
    <definedName name="__ana91">#REF!</definedName>
    <definedName name="__ana92">#REF!</definedName>
    <definedName name="__ana93">#REF!</definedName>
    <definedName name="__ana94">#REF!</definedName>
    <definedName name="__ana95">#REF!</definedName>
    <definedName name="__ana96">#REF!</definedName>
    <definedName name="__ana97">#REF!</definedName>
    <definedName name="__ana98">#REF!</definedName>
    <definedName name="__ana99">#REF!</definedName>
    <definedName name="__anK010">#REF!</definedName>
    <definedName name="__anK011">#REF!</definedName>
    <definedName name="__anK012">#REF!</definedName>
    <definedName name="__anK013">#REF!</definedName>
    <definedName name="__anK014">#REF!</definedName>
    <definedName name="__anK016">#REF!</definedName>
    <definedName name="__anK017">#REF!</definedName>
    <definedName name="__anK018">#REF!</definedName>
    <definedName name="__anK020">#REF!</definedName>
    <definedName name="__anK026">#REF!</definedName>
    <definedName name="__anK035">#REF!</definedName>
    <definedName name="__anK040">#REF!</definedName>
    <definedName name="__anK110">#REF!</definedName>
    <definedName name="__anK111">#REF!</definedName>
    <definedName name="__anK112">#REF!</definedName>
    <definedName name="__anK113">#REF!</definedName>
    <definedName name="__anK114">#REF!</definedName>
    <definedName name="__anK115">#REF!</definedName>
    <definedName name="__anK116">#REF!</definedName>
    <definedName name="__anK127">#REF!</definedName>
    <definedName name="__anK139">#REF!</definedName>
    <definedName name="__anK210">#REF!</definedName>
    <definedName name="__anK211">#REF!</definedName>
    <definedName name="__anK220">#REF!</definedName>
    <definedName name="__anK221">#REF!</definedName>
    <definedName name="__anK224">#REF!</definedName>
    <definedName name="__anK225">#REF!</definedName>
    <definedName name="__anK310">#REF!</definedName>
    <definedName name="__anK311">#REF!</definedName>
    <definedName name="__anK320">#REF!</definedName>
    <definedName name="__anK321">#REF!</definedName>
    <definedName name="__ANK341">#REF!</definedName>
    <definedName name="__anK342">#REF!</definedName>
    <definedName name="__anK410">#REF!</definedName>
    <definedName name="__anK411">#REF!</definedName>
    <definedName name="__anK421">#REF!</definedName>
    <definedName name="__anK422">#REF!</definedName>
    <definedName name="__anK423">#REF!</definedName>
    <definedName name="__anK510">#REF!</definedName>
    <definedName name="__anK511">#REF!</definedName>
    <definedName name="__anK512">#REF!</definedName>
    <definedName name="__anK513">#REF!</definedName>
    <definedName name="__anK514">#REF!</definedName>
    <definedName name="__anK517">#REF!</definedName>
    <definedName name="__anK520">#REF!</definedName>
    <definedName name="__anK521">#REF!</definedName>
    <definedName name="__anK522">#REF!</definedName>
    <definedName name="__anK528">#REF!</definedName>
    <definedName name="__anK612">#REF!</definedName>
    <definedName name="__anK615">#REF!</definedName>
    <definedName name="__anK616">#REF!</definedName>
    <definedName name="__ANK618">#REF!</definedName>
    <definedName name="__anK621">#REF!</definedName>
    <definedName name="__anK636">#REF!</definedName>
    <definedName name="__anK638">#REF!</definedName>
    <definedName name="__anK639">#REF!</definedName>
    <definedName name="__anK641">#REF!</definedName>
    <definedName name="__anK705">#REF!</definedName>
    <definedName name="__APP3">#REF!</definedName>
    <definedName name="__ars1" hidden="1">{#N/A,#N/A,FALSE,"REK";#N/A,#N/A,FALSE,"Bq-ARS"}</definedName>
    <definedName name="__asb5">#REF!</definedName>
    <definedName name="__ATB4">#REF!</definedName>
    <definedName name="__B4">#N/A</definedName>
    <definedName name="__BBB01">#REF!</definedName>
    <definedName name="__BBB02">#REF!</definedName>
    <definedName name="__BBB03">#REF!</definedName>
    <definedName name="__BBB04">#REF!</definedName>
    <definedName name="__BBB05">#REF!</definedName>
    <definedName name="__BBB06">#REF!</definedName>
    <definedName name="__BBB07">#REF!</definedName>
    <definedName name="__BBB08">#REF!</definedName>
    <definedName name="__BBB09">#REF!</definedName>
    <definedName name="__BBB10">#REF!</definedName>
    <definedName name="__BBB11">#REF!</definedName>
    <definedName name="__BBB12">#REF!</definedName>
    <definedName name="__BBB13">#REF!</definedName>
    <definedName name="__BBB14">#REF!</definedName>
    <definedName name="__BBB15">#REF!</definedName>
    <definedName name="__BBB16">#REF!</definedName>
    <definedName name="__BBB17">#REF!</definedName>
    <definedName name="__bbm1">#REF!</definedName>
    <definedName name="__bbm10">#REF!</definedName>
    <definedName name="__bbm3">#REF!</definedName>
    <definedName name="__bbm5">#REF!</definedName>
    <definedName name="__bbm8">#REF!</definedName>
    <definedName name="__bcv100">#REF!</definedName>
    <definedName name="__bcv125">#REF!</definedName>
    <definedName name="__bcv150">#REF!</definedName>
    <definedName name="__bes24">#REF!</definedName>
    <definedName name="__bes39">#REF!</definedName>
    <definedName name="__bes40">#N/A</definedName>
    <definedName name="__bet250">#REF!</definedName>
    <definedName name="__bet275">#REF!</definedName>
    <definedName name="__bet300">#REF!</definedName>
    <definedName name="__Bjl28">#REF!</definedName>
    <definedName name="__BKB2">#REF!</definedName>
    <definedName name="__BKB3">#REF!</definedName>
    <definedName name="__BOQ1">#REF!</definedName>
    <definedName name="__BOQ2">#REF!</definedName>
    <definedName name="__BOX2">#REF!</definedName>
    <definedName name="__bpl32">#REF!</definedName>
    <definedName name="__bpl9">#REF!</definedName>
    <definedName name="__BRA2">#REF!</definedName>
    <definedName name="__bsc100">#REF!</definedName>
    <definedName name="__bsd1600">#REF!</definedName>
    <definedName name="__bsd2500">#REF!</definedName>
    <definedName name="__bsd4000">#REF!</definedName>
    <definedName name="__btn175">#REF!</definedName>
    <definedName name="__BTN25">#REF!</definedName>
    <definedName name="__btn300">#REF!</definedName>
    <definedName name="__bud3500">#REF!</definedName>
    <definedName name="__bvd1">#REF!</definedName>
    <definedName name="__bvd2">#REF!</definedName>
    <definedName name="__bvd3">#REF!</definedName>
    <definedName name="__bvd34">#REF!</definedName>
    <definedName name="__bvd4">#REF!</definedName>
    <definedName name="__bvd5">#REF!</definedName>
    <definedName name="__bvd8">#REF!</definedName>
    <definedName name="__C">#REF!</definedName>
    <definedName name="__CAL1">#REF!</definedName>
    <definedName name="__CAL10">#REF!</definedName>
    <definedName name="__CAL11">#REF!</definedName>
    <definedName name="__CAL12">#REF!</definedName>
    <definedName name="__CAL13">#REF!</definedName>
    <definedName name="__CAL14">#REF!</definedName>
    <definedName name="__CAL15">#REF!</definedName>
    <definedName name="__CAL16">#REF!</definedName>
    <definedName name="__CAL17">#REF!</definedName>
    <definedName name="__CAL18">#REF!</definedName>
    <definedName name="__CAL19">#REF!</definedName>
    <definedName name="__CAL2">#REF!</definedName>
    <definedName name="__CAL20">#REF!</definedName>
    <definedName name="__CAL200">#REF!</definedName>
    <definedName name="__CAL2002">#REF!</definedName>
    <definedName name="__CAL21">#REF!</definedName>
    <definedName name="__CAL3">#REF!</definedName>
    <definedName name="__CAL4">#REF!</definedName>
    <definedName name="__CAL5">#REF!</definedName>
    <definedName name="__CAL6">#REF!</definedName>
    <definedName name="__CAL7">#REF!</definedName>
    <definedName name="__CAL8">#REF!</definedName>
    <definedName name="__CAL9">#REF!</definedName>
    <definedName name="__CAN15">[10]Material!#REF!</definedName>
    <definedName name="__cas80">#REF!</definedName>
    <definedName name="__CCF2">#REF!</definedName>
    <definedName name="__CFP2">'[5]Currency Rate'!$B$16</definedName>
    <definedName name="__cip10">#REF!</definedName>
    <definedName name="__cip2">#REF!</definedName>
    <definedName name="__cip3">#REF!</definedName>
    <definedName name="__cip4">#REF!</definedName>
    <definedName name="__cip6">#REF!</definedName>
    <definedName name="__cip8">#REF!</definedName>
    <definedName name="__clg01">#REF!</definedName>
    <definedName name="__clg02">#REF!</definedName>
    <definedName name="__clg03">#REF!</definedName>
    <definedName name="__clg04">#REF!</definedName>
    <definedName name="__clg05">#REF!</definedName>
    <definedName name="__clg06">#REF!</definedName>
    <definedName name="__clg07">#REF!</definedName>
    <definedName name="__clg08">#REF!</definedName>
    <definedName name="__clg09">#REF!</definedName>
    <definedName name="__clg10">#REF!</definedName>
    <definedName name="__clg11">#REF!</definedName>
    <definedName name="__clg12">#REF!</definedName>
    <definedName name="__clg13">#REF!</definedName>
    <definedName name="__clg14">#REF!</definedName>
    <definedName name="__clg15">#REF!</definedName>
    <definedName name="__clg16">#REF!</definedName>
    <definedName name="__clg17">#REF!</definedName>
    <definedName name="__clg18">#REF!</definedName>
    <definedName name="__clg19">#REF!</definedName>
    <definedName name="__clg20">#REF!</definedName>
    <definedName name="__clg21">#REF!</definedName>
    <definedName name="__clg22">#REF!</definedName>
    <definedName name="__clg23">#REF!</definedName>
    <definedName name="__clg24">#REF!</definedName>
    <definedName name="__clg25">#REF!</definedName>
    <definedName name="__clg26">#REF!</definedName>
    <definedName name="__clg27">#REF!</definedName>
    <definedName name="__clg28">#REF!</definedName>
    <definedName name="__clg29">#REF!</definedName>
    <definedName name="__clg30">#REF!</definedName>
    <definedName name="__clg31">#REF!</definedName>
    <definedName name="__clg32">#REF!</definedName>
    <definedName name="__clg33">#REF!</definedName>
    <definedName name="__clg34">#REF!</definedName>
    <definedName name="__clg35">#REF!</definedName>
    <definedName name="__clg36">#REF!</definedName>
    <definedName name="__clg37">#REF!</definedName>
    <definedName name="__CLP1">#REF!</definedName>
    <definedName name="__CLP2">#REF!</definedName>
    <definedName name="__CLP3">#REF!</definedName>
    <definedName name="__CLP4">#REF!</definedName>
    <definedName name="__CLP5">#REF!</definedName>
    <definedName name="__CLP6">#REF!</definedName>
    <definedName name="__CLP7">#REF!</definedName>
    <definedName name="__cod4">#REF!</definedName>
    <definedName name="__cod50">#REF!</definedName>
    <definedName name="__CON1">#REF!</definedName>
    <definedName name="__CON2">#REF!</definedName>
    <definedName name="__COR123">#REF!</definedName>
    <definedName name="__COR135">#REF!</definedName>
    <definedName name="__cor175">#REF!</definedName>
    <definedName name="__cor225">#REF!</definedName>
    <definedName name="__cor300">#REF!</definedName>
    <definedName name="__CT250">'[2]dongia (2)'!#REF!</definedName>
    <definedName name="__cvd100">#REF!</definedName>
    <definedName name="__cvd15">#REF!</definedName>
    <definedName name="__cvd150">#REF!</definedName>
    <definedName name="__cvd50">#REF!</definedName>
    <definedName name="__cvd65">#REF!</definedName>
    <definedName name="__daf1">#REF!</definedName>
    <definedName name="__DAF10">#REF!</definedName>
    <definedName name="__daf2">#REF!</definedName>
    <definedName name="__daf31">#REF!</definedName>
    <definedName name="__daf32">#REF!</definedName>
    <definedName name="__daf33">#REF!</definedName>
    <definedName name="__dcd021">[3]BOQ!#REF!</definedName>
    <definedName name="__ddg30">#REF!</definedName>
    <definedName name="__ddn400">#REF!</definedName>
    <definedName name="__ddn600">#REF!</definedName>
    <definedName name="__dgt100">'[2]dongia (2)'!#REF!</definedName>
    <definedName name="__dia6">#REF!</definedName>
    <definedName name="__DIV1">#REF!</definedName>
    <definedName name="__DIV10">#REF!</definedName>
    <definedName name="__DIV11">#REF!</definedName>
    <definedName name="__DIV14">#REF!</definedName>
    <definedName name="__DIV2">#REF!</definedName>
    <definedName name="__DIV3">#REF!</definedName>
    <definedName name="__DIV4">#REF!</definedName>
    <definedName name="__DIV5">#REF!</definedName>
    <definedName name="__DIV6">#REF!</definedName>
    <definedName name="__DIV7">#REF!</definedName>
    <definedName name="__DIV8">#REF!</definedName>
    <definedName name="__DIV9">#REF!</definedName>
    <definedName name="__dlh20">#REF!</definedName>
    <definedName name="__dlh50">#REF!</definedName>
    <definedName name="__Dlk10">#REF!</definedName>
    <definedName name="__dot2020">#REF!</definedName>
    <definedName name="__dtr8">#REF!</definedName>
    <definedName name="__EEE01">#REF!</definedName>
    <definedName name="__EEE02">#REF!</definedName>
    <definedName name="__EEE03">#REF!</definedName>
    <definedName name="__EEE04">#REF!</definedName>
    <definedName name="__EEE05">#REF!</definedName>
    <definedName name="__EEE06">#REF!</definedName>
    <definedName name="__EEE07">#REF!</definedName>
    <definedName name="__EEE08">#REF!</definedName>
    <definedName name="__EEE09">#REF!</definedName>
    <definedName name="__EEE10">#REF!</definedName>
    <definedName name="__EEE11">#REF!</definedName>
    <definedName name="__EEE12">#REF!</definedName>
    <definedName name="__EEE13">#REF!</definedName>
    <definedName name="__EEE14">#REF!</definedName>
    <definedName name="__EEE15">#REF!</definedName>
    <definedName name="__EEE16">#REF!</definedName>
    <definedName name="__EEE17">#REF!</definedName>
    <definedName name="__EEE18">#REF!</definedName>
    <definedName name="__EEE19">#REF!</definedName>
    <definedName name="__EEE20">#REF!</definedName>
    <definedName name="__EEE21">#REF!</definedName>
    <definedName name="__EEE22">#REF!</definedName>
    <definedName name="__EEE23">#REF!</definedName>
    <definedName name="__EEE24">#REF!</definedName>
    <definedName name="__EEE25">#REF!</definedName>
    <definedName name="__EEE26">#REF!</definedName>
    <definedName name="__EEE27">#REF!</definedName>
    <definedName name="__EEE28">#REF!</definedName>
    <definedName name="__EEE29">#REF!</definedName>
    <definedName name="__EEE30">#REF!</definedName>
    <definedName name="__EEE31">#REF!</definedName>
    <definedName name="__EEE32">#REF!</definedName>
    <definedName name="__EEE33">#REF!</definedName>
    <definedName name="__Eqp1">#REF!</definedName>
    <definedName name="__Eqp2">#REF!</definedName>
    <definedName name="__EQU1">#REF!</definedName>
    <definedName name="__EQU2">#REF!</definedName>
    <definedName name="__EST1">#REF!</definedName>
    <definedName name="__EST2">#REF!</definedName>
    <definedName name="__ewr4">#REF!</definedName>
    <definedName name="__fdd100">#REF!</definedName>
    <definedName name="__fdd3">#REF!</definedName>
    <definedName name="__fdu2">#REF!</definedName>
    <definedName name="__FIT100">#REF!</definedName>
    <definedName name="__fit125">#REF!</definedName>
    <definedName name="__FIT150">#REF!</definedName>
    <definedName name="__FIT200">#REF!</definedName>
    <definedName name="__FIT300">#REF!</definedName>
    <definedName name="__FIT65">#REF!</definedName>
    <definedName name="__fit80">#REF!</definedName>
    <definedName name="__fjd100">#REF!</definedName>
    <definedName name="__fjd150">#REF!</definedName>
    <definedName name="__fjd50">#REF!</definedName>
    <definedName name="__fjd65">#REF!</definedName>
    <definedName name="__flr01">#REF!</definedName>
    <definedName name="__flr02">#REF!</definedName>
    <definedName name="__flr03">#REF!</definedName>
    <definedName name="__flr04">#REF!</definedName>
    <definedName name="__flr05">#REF!</definedName>
    <definedName name="__flr06">#REF!</definedName>
    <definedName name="__flr07">#REF!</definedName>
    <definedName name="__flr08">#REF!</definedName>
    <definedName name="__flr09">#REF!</definedName>
    <definedName name="__flr10">#REF!</definedName>
    <definedName name="__flr11">#REF!</definedName>
    <definedName name="__flr12">#REF!</definedName>
    <definedName name="__flr13">#REF!</definedName>
    <definedName name="__flr14">#REF!</definedName>
    <definedName name="__flr15">#REF!</definedName>
    <definedName name="__flr16">#REF!</definedName>
    <definedName name="__flr17">#REF!</definedName>
    <definedName name="__flr18">#REF!</definedName>
    <definedName name="__flr181">#REF!</definedName>
    <definedName name="__flr19">#REF!</definedName>
    <definedName name="__flr20">#REF!</definedName>
    <definedName name="__flr21">#REF!</definedName>
    <definedName name="__flr22">#REF!</definedName>
    <definedName name="__flr23">#REF!</definedName>
    <definedName name="__flr24">#REF!</definedName>
    <definedName name="__flr25">#REF!</definedName>
    <definedName name="__flr26">#REF!</definedName>
    <definedName name="__flr27">#REF!</definedName>
    <definedName name="__flr28">#REF!</definedName>
    <definedName name="__flr29">#REF!</definedName>
    <definedName name="__flr30">#REF!</definedName>
    <definedName name="__flr31">#REF!</definedName>
    <definedName name="__flr32">#REF!</definedName>
    <definedName name="__flr33">#REF!</definedName>
    <definedName name="__flr34">#REF!</definedName>
    <definedName name="__flr35">#REF!</definedName>
    <definedName name="__flr36">#REF!</definedName>
    <definedName name="__flr37">#REF!</definedName>
    <definedName name="__flr38">#REF!</definedName>
    <definedName name="__flr39">#REF!</definedName>
    <definedName name="__flr40">#REF!</definedName>
    <definedName name="__flr41">#REF!</definedName>
    <definedName name="__flr42">#REF!</definedName>
    <definedName name="__flr43">#REF!</definedName>
    <definedName name="__flr44">#REF!</definedName>
    <definedName name="__flr45">#REF!</definedName>
    <definedName name="__flr46">#REF!</definedName>
    <definedName name="__flr47">#REF!</definedName>
    <definedName name="__flr48">#REF!</definedName>
    <definedName name="__flr49">#REF!</definedName>
    <definedName name="__flr50">#REF!</definedName>
    <definedName name="__flr51">#REF!</definedName>
    <definedName name="__flr52">#REF!</definedName>
    <definedName name="__flr53">#REF!</definedName>
    <definedName name="__flr54">#REF!</definedName>
    <definedName name="__flr55">#REF!</definedName>
    <definedName name="__flr56">#REF!</definedName>
    <definedName name="__flr57">#REF!</definedName>
    <definedName name="__fmd150">#REF!</definedName>
    <definedName name="__frc2495">#REF!</definedName>
    <definedName name="__frc41010">#REF!</definedName>
    <definedName name="__frc495">#REF!</definedName>
    <definedName name="__ftv10">#REF!</definedName>
    <definedName name="__ftv2">#REF!</definedName>
    <definedName name="__ftv3">#REF!</definedName>
    <definedName name="__ftv4">#REF!</definedName>
    <definedName name="__ftv5">#REF!</definedName>
    <definedName name="__ftv6">#REF!</definedName>
    <definedName name="__ftv8">#REF!</definedName>
    <definedName name="__fvd100">#REF!</definedName>
    <definedName name="__fxj2">#REF!</definedName>
    <definedName name="__fxj3">#REF!</definedName>
    <definedName name="__fxj4">#REF!</definedName>
    <definedName name="__fxj5">#REF!</definedName>
    <definedName name="__fxj6">#REF!</definedName>
    <definedName name="__fxj8">#REF!</definedName>
    <definedName name="__g1">#REF!</definedName>
    <definedName name="__Gfu20">#REF!</definedName>
    <definedName name="__Gfu30">#REF!</definedName>
    <definedName name="__GID1">'[2]LKVL-CK-HT-GD1'!$A$4</definedName>
    <definedName name="__GiM06">#REF!</definedName>
    <definedName name="__gip1">#REF!</definedName>
    <definedName name="__gip15">#REF!</definedName>
    <definedName name="__gip3">#REF!</definedName>
    <definedName name="__gip34">#REF!</definedName>
    <definedName name="__gip4">#REF!</definedName>
    <definedName name="__GIP4004">"'file://SERVER3/har-data/STRUCTURE PRICE OF BQ KOMPAS GRAMEDIA.xls'#$analisa.$#REF!$#REF!"</definedName>
    <definedName name="__GIP5004">"'file://SERVER3/har-data/STRUCTURE PRICE OF BQ KOMPAS GRAMEDIA.xls'#$analisa.$#REF!$#REF!"</definedName>
    <definedName name="__GIP6504">"'file://SERVER3/har-data/STRUCTURE PRICE OF BQ KOMPAS GRAMEDIA.xls'#$analisa.$#REF!$#REF!"</definedName>
    <definedName name="__GIP804">"'file://SERVER3/har-data/STRUCTURE PRICE OF BQ KOMPAS GRAMEDIA.xls'#$analisa.$#REF!$#REF!"</definedName>
    <definedName name="__giv1">#REF!</definedName>
    <definedName name="__GIV2">#N/A</definedName>
    <definedName name="__gk2" hidden="1">#REF!</definedName>
    <definedName name="__GNB1">#REF!</definedName>
    <definedName name="__grc1">#REF!</definedName>
    <definedName name="__Grc4">#REF!</definedName>
    <definedName name="__grv20">#REF!</definedName>
    <definedName name="__grv30">#REF!</definedName>
    <definedName name="__gti50">#REF!</definedName>
    <definedName name="__gti60">#REF!</definedName>
    <definedName name="__gvd1">#REF!</definedName>
    <definedName name="__gvd10">#REF!</definedName>
    <definedName name="__gvd100">#REF!</definedName>
    <definedName name="__gvd15">#REF!</definedName>
    <definedName name="__gvd150">#REF!</definedName>
    <definedName name="__gvd2">#REF!</definedName>
    <definedName name="__gvd20">#REF!</definedName>
    <definedName name="__gvd25">#REF!</definedName>
    <definedName name="__gvd3">#REF!</definedName>
    <definedName name="__gvd32">#REF!</definedName>
    <definedName name="__gvd4">#REF!</definedName>
    <definedName name="__gvd40">#REF!</definedName>
    <definedName name="__gvd5">#REF!</definedName>
    <definedName name="__gvd50">#REF!</definedName>
    <definedName name="__gvd6">#REF!</definedName>
    <definedName name="__gvd65">#REF!</definedName>
    <definedName name="__gvd8">#REF!</definedName>
    <definedName name="__gvd80">#REF!</definedName>
    <definedName name="__gyp9">#REF!</definedName>
    <definedName name="__HAL1">#REF!</definedName>
    <definedName name="__HAL2">#REF!</definedName>
    <definedName name="__HAL3">#REF!</definedName>
    <definedName name="__HAL4">#REF!</definedName>
    <definedName name="__HAL5">#REF!</definedName>
    <definedName name="__HAL6">#REF!</definedName>
    <definedName name="__HAL7">#REF!</definedName>
    <definedName name="__HAL8">#REF!</definedName>
    <definedName name="__hdw1">#REF!</definedName>
    <definedName name="__hsm01">#REF!</definedName>
    <definedName name="__hsm02">#REF!</definedName>
    <definedName name="__hsm06">#REF!</definedName>
    <definedName name="__hsm07">#REF!</definedName>
    <definedName name="__hsm16">#REF!</definedName>
    <definedName name="__hsm44">#REF!</definedName>
    <definedName name="__INF1">#REF!</definedName>
    <definedName name="__INF2">#REF!</definedName>
    <definedName name="__INF3">#REF!</definedName>
    <definedName name="__INF4">#REF!</definedName>
    <definedName name="__int1">#REF!</definedName>
    <definedName name="__int2">#REF!</definedName>
    <definedName name="__IPR1">#REF!</definedName>
    <definedName name="__IPR21">#REF!</definedName>
    <definedName name="__jum1">#REF!</definedName>
    <definedName name="__jum10">#REF!</definedName>
    <definedName name="__jum2">#REF!</definedName>
    <definedName name="__jum3">#REF!</definedName>
    <definedName name="__jum4">#REF!</definedName>
    <definedName name="__jum5">#REF!</definedName>
    <definedName name="__jum6">#REF!</definedName>
    <definedName name="__jum7">#REF!</definedName>
    <definedName name="__jum8">#REF!</definedName>
    <definedName name="__jum9">#REF!</definedName>
    <definedName name="__K1">#N/A</definedName>
    <definedName name="__K3">#N/A</definedName>
    <definedName name="__kc3">#REF!</definedName>
    <definedName name="__kc5">#REF!</definedName>
    <definedName name="__kco7">#REF!</definedName>
    <definedName name="__ke1">#REF!</definedName>
    <definedName name="__ke2">#REF!</definedName>
    <definedName name="__ke3">#REF!</definedName>
    <definedName name="__ke4">#REF!</definedName>
    <definedName name="__ker1020">#REF!</definedName>
    <definedName name="__ker1030">#REF!</definedName>
    <definedName name="__ker2020">#REF!</definedName>
    <definedName name="__ker2025">#REF!</definedName>
    <definedName name="__ker3030">#REF!</definedName>
    <definedName name="__KEY001" hidden="1">#REF!</definedName>
    <definedName name="__KEY002" hidden="1">#REF!</definedName>
    <definedName name="__KEY01" hidden="1">#REF!</definedName>
    <definedName name="__KEY02" hidden="1">#REF!</definedName>
    <definedName name="__key1" hidden="1">#REF!</definedName>
    <definedName name="__Key2" hidden="1">#REF!</definedName>
    <definedName name="__kht20">#REF!</definedName>
    <definedName name="__kht40">#REF!</definedName>
    <definedName name="__kht50">#REF!</definedName>
    <definedName name="__KM1">[3]CH!$C$9</definedName>
    <definedName name="__KM2">[7]CH!$C$11</definedName>
    <definedName name="__ko2">#REF!</definedName>
    <definedName name="__kof1">#REF!</definedName>
    <definedName name="__KR1">#REF!</definedName>
    <definedName name="__kr15">#REF!</definedName>
    <definedName name="__KR22">#REF!</definedName>
    <definedName name="__KR6">#REF!</definedName>
    <definedName name="__KR7">#REF!</definedName>
    <definedName name="__KR8">#REF!</definedName>
    <definedName name="__KR9">#REF!</definedName>
    <definedName name="__krm2020">#REF!</definedName>
    <definedName name="__krm2025">#REF!</definedName>
    <definedName name="__krm3030">#REF!</definedName>
    <definedName name="__krm4040">#REF!</definedName>
    <definedName name="__Krp12">#REF!</definedName>
    <definedName name="__Krp33">#REF!</definedName>
    <definedName name="__Krw12">#REF!</definedName>
    <definedName name="__Krw22">#REF!</definedName>
    <definedName name="__Krw33">#REF!</definedName>
    <definedName name="__L100000">#REF!</definedName>
    <definedName name="__L1000000">#REF!</definedName>
    <definedName name="__L69000">#REF!</definedName>
    <definedName name="__L70000">#REF!</definedName>
    <definedName name="__L90000">#REF!</definedName>
    <definedName name="__L99999">#REF!</definedName>
    <definedName name="__L999999">#REF!</definedName>
    <definedName name="__Lad1">#REF!</definedName>
    <definedName name="__Lad2">#REF!</definedName>
    <definedName name="__Lad3">#REF!</definedName>
    <definedName name="__lb1">#REF!</definedName>
    <definedName name="__lb2">#REF!</definedName>
    <definedName name="__LBP1">#REF!</definedName>
    <definedName name="__LBP2">#REF!</definedName>
    <definedName name="__LCM2">#REF!</definedName>
    <definedName name="__LCM3">#REF!</definedName>
    <definedName name="__ld100">#REF!</definedName>
    <definedName name="__ld120">#REF!</definedName>
    <definedName name="__ld50">#REF!</definedName>
    <definedName name="__ld60">#REF!</definedName>
    <definedName name="__ld80">#REF!</definedName>
    <definedName name="__ldp60">#REF!</definedName>
    <definedName name="__lh50">#REF!</definedName>
    <definedName name="__LLL01">#REF!</definedName>
    <definedName name="__LLL02">#REF!</definedName>
    <definedName name="__LLL03">#REF!</definedName>
    <definedName name="__LLL04">#REF!</definedName>
    <definedName name="__LLL05">#REF!</definedName>
    <definedName name="__LLL06">#REF!</definedName>
    <definedName name="__LLL07">#REF!</definedName>
    <definedName name="__LLL08">#REF!</definedName>
    <definedName name="__LLL09">#REF!</definedName>
    <definedName name="__LLL10">#REF!</definedName>
    <definedName name="__LLL11">#REF!</definedName>
    <definedName name="__lp100">#REF!</definedName>
    <definedName name="__lp300">#REF!</definedName>
    <definedName name="__lp36">#REF!</definedName>
    <definedName name="__lp500">#REF!</definedName>
    <definedName name="__lp60">#REF!</definedName>
    <definedName name="__Lpk02">#REF!</definedName>
    <definedName name="__Lpk10">#REF!</definedName>
    <definedName name="__lpl11">#REF!</definedName>
    <definedName name="__ls100">#REF!</definedName>
    <definedName name="__ls50">#REF!</definedName>
    <definedName name="__ls60">#REF!</definedName>
    <definedName name="__ls80">#REF!</definedName>
    <definedName name="__lt1">#REF!</definedName>
    <definedName name="__lt2">#REF!</definedName>
    <definedName name="__lt3">#REF!</definedName>
    <definedName name="__lt4">#REF!</definedName>
    <definedName name="__lt5">#REF!</definedName>
    <definedName name="__lt6">#REF!</definedName>
    <definedName name="__lt7">#REF!</definedName>
    <definedName name="__lt8">#REF!</definedName>
    <definedName name="__M6" hidden="1">{#N/A,#N/A,FALSE,"Chi tiÆt"}</definedName>
    <definedName name="__MAC12">#REF!</definedName>
    <definedName name="__MAC46">#REF!</definedName>
    <definedName name="__mat2">#REF!</definedName>
    <definedName name="__MB867">#REF!</definedName>
    <definedName name="__mc2">#REF!</definedName>
    <definedName name="__MDE01">#REF!</definedName>
    <definedName name="__MDE02">#REF!</definedName>
    <definedName name="__MDE03">#REF!</definedName>
    <definedName name="__MDE04">#REF!</definedName>
    <definedName name="__MDE05">#REF!</definedName>
    <definedName name="__MDE06">#REF!</definedName>
    <definedName name="__MDE07">#REF!</definedName>
    <definedName name="__MDE08">#REF!</definedName>
    <definedName name="__MDE09">#REF!</definedName>
    <definedName name="__MDE10">#REF!</definedName>
    <definedName name="__MDE11">#REF!</definedName>
    <definedName name="__MDE12">#REF!</definedName>
    <definedName name="__MDE13">#REF!</definedName>
    <definedName name="__MDE14">#REF!</definedName>
    <definedName name="__MDE15">#REF!</definedName>
    <definedName name="__MDE16">#REF!</definedName>
    <definedName name="__MDE17">#REF!</definedName>
    <definedName name="__MDE18">#REF!</definedName>
    <definedName name="__MDE19">#REF!</definedName>
    <definedName name="__MDE20">#REF!</definedName>
    <definedName name="__MDE21">#REF!</definedName>
    <definedName name="__MDE22">#REF!</definedName>
    <definedName name="__MDE23">#REF!</definedName>
    <definedName name="__MDE24">#REF!</definedName>
    <definedName name="__MDE25">#REF!</definedName>
    <definedName name="__MDE26">#REF!</definedName>
    <definedName name="__MDE27">#REF!</definedName>
    <definedName name="__MDE28">#REF!</definedName>
    <definedName name="__MDE29">#REF!</definedName>
    <definedName name="__MDE30">#REF!</definedName>
    <definedName name="__MDE31">#REF!</definedName>
    <definedName name="__MDE32">#REF!</definedName>
    <definedName name="__MDE33">#REF!</definedName>
    <definedName name="__MDE34">#REF!</definedName>
    <definedName name="__MDE35">#REF!</definedName>
    <definedName name="__MDE36">#REF!</definedName>
    <definedName name="__MDE37">#REF!</definedName>
    <definedName name="__MDE38">#REF!</definedName>
    <definedName name="__MDE39">#REF!</definedName>
    <definedName name="__MDE40">#REF!</definedName>
    <definedName name="__MDE41">#REF!</definedName>
    <definedName name="__MDE42">#REF!</definedName>
    <definedName name="__MDE43">#REF!</definedName>
    <definedName name="__MDE44">#REF!</definedName>
    <definedName name="__MDE45">#REF!</definedName>
    <definedName name="__MDE46">#REF!</definedName>
    <definedName name="__MDE47">#REF!</definedName>
    <definedName name="__MDE48">#REF!</definedName>
    <definedName name="__MDE49">#REF!</definedName>
    <definedName name="__MDE50">#REF!</definedName>
    <definedName name="__MDE51">#REF!</definedName>
    <definedName name="__MDE52">#REF!</definedName>
    <definedName name="__MDE53">#REF!</definedName>
    <definedName name="__MDE54">#REF!</definedName>
    <definedName name="__MDE55">#REF!</definedName>
    <definedName name="__MDE56">#REF!</definedName>
    <definedName name="__MDE57">#REF!</definedName>
    <definedName name="__MDE58">#REF!</definedName>
    <definedName name="__MDE59">#REF!</definedName>
    <definedName name="__MDE60">#REF!</definedName>
    <definedName name="__MDE61">#REF!</definedName>
    <definedName name="__MDE62">#REF!</definedName>
    <definedName name="__MDE63">#REF!</definedName>
    <definedName name="__MDE64">#REF!</definedName>
    <definedName name="__MDE65">#REF!</definedName>
    <definedName name="__MDE66">#REF!</definedName>
    <definedName name="__MDE67">#REF!</definedName>
    <definedName name="__MDE68">#REF!</definedName>
    <definedName name="__ME01">#REF!</definedName>
    <definedName name="__ME02">#REF!</definedName>
    <definedName name="__ME03">#REF!</definedName>
    <definedName name="__ME04">#REF!</definedName>
    <definedName name="__ME05">#REF!</definedName>
    <definedName name="__ME06">#REF!</definedName>
    <definedName name="__ME07">#REF!</definedName>
    <definedName name="__ME08">#REF!</definedName>
    <definedName name="__ME09">#REF!</definedName>
    <definedName name="__me1">#REF!</definedName>
    <definedName name="__ME10">#REF!</definedName>
    <definedName name="__ME11">#REF!</definedName>
    <definedName name="__ME12">#REF!</definedName>
    <definedName name="__ME13">#REF!</definedName>
    <definedName name="__ME14">#REF!</definedName>
    <definedName name="__ME15">#REF!</definedName>
    <definedName name="__ME16">#REF!</definedName>
    <definedName name="__ME17">#REF!</definedName>
    <definedName name="__ME18">#REF!</definedName>
    <definedName name="__ME19">#REF!</definedName>
    <definedName name="__ME2">#REF!</definedName>
    <definedName name="__ME20">#REF!</definedName>
    <definedName name="__ME21">#REF!</definedName>
    <definedName name="__ME22">#REF!</definedName>
    <definedName name="__ME23">#REF!</definedName>
    <definedName name="__ME24">#REF!</definedName>
    <definedName name="__ME25">#REF!</definedName>
    <definedName name="__ME26">#REF!</definedName>
    <definedName name="__ME27">#REF!</definedName>
    <definedName name="__ME28">#REF!</definedName>
    <definedName name="__ME29">#REF!</definedName>
    <definedName name="__ME3">#REF!</definedName>
    <definedName name="__ME30">#REF!</definedName>
    <definedName name="__ME31">#REF!</definedName>
    <definedName name="__ME32">#REF!</definedName>
    <definedName name="__ME33">#REF!</definedName>
    <definedName name="__ME34">#REF!</definedName>
    <definedName name="__ME35">#REF!</definedName>
    <definedName name="__ME36">#REF!</definedName>
    <definedName name="__ME37">#REF!</definedName>
    <definedName name="__ME38">#REF!</definedName>
    <definedName name="__ME39">#REF!</definedName>
    <definedName name="__ME40">#REF!</definedName>
    <definedName name="__ME41">#REF!</definedName>
    <definedName name="__ME42">#REF!</definedName>
    <definedName name="__ME43">#REF!</definedName>
    <definedName name="__ME44">#REF!</definedName>
    <definedName name="__ME45">#REF!</definedName>
    <definedName name="__ME46">#REF!</definedName>
    <definedName name="__ME47">#REF!</definedName>
    <definedName name="__ME48">#REF!</definedName>
    <definedName name="__ME49">#REF!</definedName>
    <definedName name="__ME50">#REF!</definedName>
    <definedName name="__ME51">#REF!</definedName>
    <definedName name="__ME52">#REF!</definedName>
    <definedName name="__ME53">#REF!</definedName>
    <definedName name="__ME54">#REF!</definedName>
    <definedName name="__ME55">#REF!</definedName>
    <definedName name="__ME56">#REF!</definedName>
    <definedName name="__ME57">#REF!</definedName>
    <definedName name="__ME58">#REF!</definedName>
    <definedName name="__ME59">#REF!</definedName>
    <definedName name="__ME60">#REF!</definedName>
    <definedName name="__ME61">#REF!</definedName>
    <definedName name="__ME62">#REF!</definedName>
    <definedName name="__ME63">#REF!</definedName>
    <definedName name="__ME64">#REF!</definedName>
    <definedName name="__ME65">#REF!</definedName>
    <definedName name="__ME66">#REF!</definedName>
    <definedName name="__ME67">#REF!</definedName>
    <definedName name="__ME68">#REF!</definedName>
    <definedName name="__MEN1">#REF!</definedName>
    <definedName name="__MET1">#REF!</definedName>
    <definedName name="__MET2">#REF!</definedName>
    <definedName name="__mg8">#REF!</definedName>
    <definedName name="__mix300">#REF!</definedName>
    <definedName name="__MJ1">#REF!</definedName>
    <definedName name="__MJ2">#REF!</definedName>
    <definedName name="__MMM01">#REF!</definedName>
    <definedName name="__MMM02">#REF!</definedName>
    <definedName name="__MMM03">#REF!</definedName>
    <definedName name="__MMM04">#REF!</definedName>
    <definedName name="__MMM05">#REF!</definedName>
    <definedName name="__MMM06">#REF!</definedName>
    <definedName name="__MMM07">#REF!</definedName>
    <definedName name="__MMM08">#REF!</definedName>
    <definedName name="__MMM09">#REF!</definedName>
    <definedName name="__MMM10">#REF!</definedName>
    <definedName name="__MMM11">#REF!</definedName>
    <definedName name="__MMM12">#REF!</definedName>
    <definedName name="__MMM13">#REF!</definedName>
    <definedName name="__MMM14">#REF!</definedName>
    <definedName name="__MMM15">#REF!</definedName>
    <definedName name="__MMM16">#REF!</definedName>
    <definedName name="__MMM17">#REF!</definedName>
    <definedName name="__MMM18">#REF!</definedName>
    <definedName name="__MMM19">#REF!</definedName>
    <definedName name="__MMM20">#REF!</definedName>
    <definedName name="__MMM21">#REF!</definedName>
    <definedName name="__MMM22">#REF!</definedName>
    <definedName name="__MMM23">#REF!</definedName>
    <definedName name="__MMM24">#REF!</definedName>
    <definedName name="__MMM25">#REF!</definedName>
    <definedName name="__MMM26">#REF!</definedName>
    <definedName name="__MMM27">#REF!</definedName>
    <definedName name="__MMM28">#REF!</definedName>
    <definedName name="__MMM29">#REF!</definedName>
    <definedName name="__MMM30">#REF!</definedName>
    <definedName name="__MMM31">#REF!</definedName>
    <definedName name="__MMM32">#REF!</definedName>
    <definedName name="__MMM33">#REF!</definedName>
    <definedName name="__MMM34">#REF!</definedName>
    <definedName name="__MMM35">#REF!</definedName>
    <definedName name="__MMM36">#REF!</definedName>
    <definedName name="__MMM37">#REF!</definedName>
    <definedName name="__MMM38">#REF!</definedName>
    <definedName name="__MMM39">#REF!</definedName>
    <definedName name="__MMM40">#REF!</definedName>
    <definedName name="__MMM41">#REF!</definedName>
    <definedName name="__MMM411">#REF!</definedName>
    <definedName name="__MMM42">#REF!</definedName>
    <definedName name="__MMM43">#REF!</definedName>
    <definedName name="__MMM44">#REF!</definedName>
    <definedName name="__MMM45">#REF!</definedName>
    <definedName name="__MMM46">#REF!</definedName>
    <definedName name="__MMM47">#REF!</definedName>
    <definedName name="__MMM48">#REF!</definedName>
    <definedName name="__MMM49">#REF!</definedName>
    <definedName name="__MMM50">#REF!</definedName>
    <definedName name="__MMM51">#REF!</definedName>
    <definedName name="__MMM52">#REF!</definedName>
    <definedName name="__MMM53">#REF!</definedName>
    <definedName name="__MMM54">#REF!</definedName>
    <definedName name="__MOB1">#REF!</definedName>
    <definedName name="__MOB2">#REF!</definedName>
    <definedName name="__mp1">#REF!</definedName>
    <definedName name="__Mpk12">#REF!</definedName>
    <definedName name="__Mpk9">#REF!</definedName>
    <definedName name="__MS1">#REF!</definedName>
    <definedName name="__MS2">#REF!</definedName>
    <definedName name="__mu1">#REF!</definedName>
    <definedName name="__mu2">#REF!</definedName>
    <definedName name="__MU200">#N/A</definedName>
    <definedName name="__mu250">#REF!</definedName>
    <definedName name="__MU300">#N/A</definedName>
    <definedName name="__MU301">#N/A</definedName>
    <definedName name="__MU380">#N/A</definedName>
    <definedName name="__MU400">#N/A</definedName>
    <definedName name="__MU408">#N/A</definedName>
    <definedName name="__MU440">#N/A</definedName>
    <definedName name="__MU450">#N/A</definedName>
    <definedName name="__MU830">#N/A</definedName>
    <definedName name="__mul12">#REF!</definedName>
    <definedName name="__mul9">#REF!</definedName>
    <definedName name="__mvd1">#REF!</definedName>
    <definedName name="__mvd2">#REF!</definedName>
    <definedName name="__mvd3">#REF!</definedName>
    <definedName name="__mvd4">#REF!</definedName>
    <definedName name="__NCL100">#REF!</definedName>
    <definedName name="__NCL200">#REF!</definedName>
    <definedName name="__NCL250">#REF!</definedName>
    <definedName name="__new5">#N/A</definedName>
    <definedName name="__nin190">#REF!</definedName>
    <definedName name="__nya10">#REF!</definedName>
    <definedName name="__nya120">#REF!</definedName>
    <definedName name="__nya150">#REF!</definedName>
    <definedName name="__nya16">#REF!</definedName>
    <definedName name="__nya185">#REF!</definedName>
    <definedName name="__nya240">#REF!</definedName>
    <definedName name="__nya25">#REF!</definedName>
    <definedName name="__nya300">#REF!</definedName>
    <definedName name="__nya35">#REF!</definedName>
    <definedName name="__nya4">#REF!</definedName>
    <definedName name="__nya400">#REF!</definedName>
    <definedName name="__nya50">#REF!</definedName>
    <definedName name="__nya6">#REF!</definedName>
    <definedName name="__nya70">#REF!</definedName>
    <definedName name="__nya95">#REF!</definedName>
    <definedName name="__nyf410">#REF!</definedName>
    <definedName name="__nyf416">#REF!</definedName>
    <definedName name="__nyf425">#REF!</definedName>
    <definedName name="__nyf435">#REF!</definedName>
    <definedName name="__nyf450">#REF!</definedName>
    <definedName name="__nyf46">#REF!</definedName>
    <definedName name="__nyf470">#REF!</definedName>
    <definedName name="__nyf495">#REF!</definedName>
    <definedName name="__nym210">#REF!</definedName>
    <definedName name="__nym216">#REF!</definedName>
    <definedName name="__nym225">#REF!</definedName>
    <definedName name="__nym235">#REF!</definedName>
    <definedName name="__nym24">#REF!</definedName>
    <definedName name="__nym26">#REF!</definedName>
    <definedName name="__nym310">#REF!</definedName>
    <definedName name="__nym316">#REF!</definedName>
    <definedName name="__nym325">#REF!</definedName>
    <definedName name="__nym34">#REF!</definedName>
    <definedName name="__nym36">#REF!</definedName>
    <definedName name="__nym410">#REF!</definedName>
    <definedName name="__nym416">#REF!</definedName>
    <definedName name="__nym425">#REF!</definedName>
    <definedName name="__nym44">#REF!</definedName>
    <definedName name="__nym46">#REF!</definedName>
    <definedName name="__nyy110">#REF!</definedName>
    <definedName name="__nyy1120">#REF!</definedName>
    <definedName name="__nyy1150">#REF!</definedName>
    <definedName name="__nyy116">#REF!</definedName>
    <definedName name="__nyy1185">#REF!</definedName>
    <definedName name="__nyy1240">#REF!</definedName>
    <definedName name="__nyy125">#REF!</definedName>
    <definedName name="__nyy1300">#REF!</definedName>
    <definedName name="__nyy135">#REF!</definedName>
    <definedName name="__nyy14">#REF!</definedName>
    <definedName name="__nyy1400">#REF!</definedName>
    <definedName name="__nyy150">#REF!</definedName>
    <definedName name="__nyy1500">#REF!</definedName>
    <definedName name="__nyy16">#REF!</definedName>
    <definedName name="__nyy1630">#REF!</definedName>
    <definedName name="__nyy170">#REF!</definedName>
    <definedName name="__nyy195">#REF!</definedName>
    <definedName name="__nyy210">#REF!</definedName>
    <definedName name="__nyy2120">#REF!</definedName>
    <definedName name="__nyy2150">#REF!</definedName>
    <definedName name="__nyy216">#REF!</definedName>
    <definedName name="__nyy2185">#REF!</definedName>
    <definedName name="__nyy225">#REF!</definedName>
    <definedName name="__nyy235">#REF!</definedName>
    <definedName name="__nyy24">#REF!</definedName>
    <definedName name="__nyy2416">#REF!</definedName>
    <definedName name="__nyy244">#REF!</definedName>
    <definedName name="__nyy246">#REF!</definedName>
    <definedName name="__nyy250">#REF!</definedName>
    <definedName name="__nyy26">#REF!</definedName>
    <definedName name="__nyy270">#REF!</definedName>
    <definedName name="__nyy295">#REF!</definedName>
    <definedName name="__nyy310">#REF!</definedName>
    <definedName name="__nyy3120">#REF!</definedName>
    <definedName name="__nyy3150">#REF!</definedName>
    <definedName name="__nyy316">#REF!</definedName>
    <definedName name="__nyy3185">#REF!</definedName>
    <definedName name="__nyy3240">#REF!</definedName>
    <definedName name="__nyy325">#REF!</definedName>
    <definedName name="__nyy335">#REF!</definedName>
    <definedName name="__nyy34">#REF!</definedName>
    <definedName name="__nyy350">#REF!</definedName>
    <definedName name="__nyy36">#REF!</definedName>
    <definedName name="__nyy370">#REF!</definedName>
    <definedName name="__nyy395">#REF!</definedName>
    <definedName name="__nyy410">#REF!</definedName>
    <definedName name="__nyy41010">#REF!</definedName>
    <definedName name="__nyy4120">#REF!</definedName>
    <definedName name="__nyy412050">#REF!</definedName>
    <definedName name="__nyy412070">#REF!</definedName>
    <definedName name="__nyy4150">#REF!</definedName>
    <definedName name="__nyy415070">#REF!</definedName>
    <definedName name="__nyy416">#REF!</definedName>
    <definedName name="__nyy41616">#REF!</definedName>
    <definedName name="__nyy4185">#REF!</definedName>
    <definedName name="__nyy4240">#REF!</definedName>
    <definedName name="__nyy425">#REF!</definedName>
    <definedName name="__nyy42525">#REF!</definedName>
    <definedName name="__nyy4300">#REF!</definedName>
    <definedName name="__nyy435">#REF!</definedName>
    <definedName name="__nyy43535">#REF!</definedName>
    <definedName name="__nyy44">#REF!</definedName>
    <definedName name="__nyy444">#REF!</definedName>
    <definedName name="__nyy450">#REF!</definedName>
    <definedName name="__nyy45050">#REF!</definedName>
    <definedName name="__nyy46">#REF!</definedName>
    <definedName name="__nyy466">#REF!</definedName>
    <definedName name="__nyy470">#REF!</definedName>
    <definedName name="__nyy47050">#REF!</definedName>
    <definedName name="__nyy47070">#REF!</definedName>
    <definedName name="__nyy495">#REF!</definedName>
    <definedName name="__nyy49570">#REF!</definedName>
    <definedName name="__Opa1">#REF!</definedName>
    <definedName name="__Opa2">#REF!</definedName>
    <definedName name="__P14">#REF!</definedName>
    <definedName name="__PA1">#REF!</definedName>
    <definedName name="__PA10">#REF!</definedName>
    <definedName name="__PA2">#REF!</definedName>
    <definedName name="__PA3">#REF!</definedName>
    <definedName name="__PA4">#REF!</definedName>
    <definedName name="__PA5">#REF!</definedName>
    <definedName name="__PA6">#REF!</definedName>
    <definedName name="__PA7">#REF!</definedName>
    <definedName name="__PA8">#REF!</definedName>
    <definedName name="__PA9">#REF!</definedName>
    <definedName name="__pab100">#REF!</definedName>
    <definedName name="__pab101">#REF!</definedName>
    <definedName name="__pab125">#REF!</definedName>
    <definedName name="__pab126">#REF!</definedName>
    <definedName name="__pab15">#REF!</definedName>
    <definedName name="__pab150">#REF!</definedName>
    <definedName name="__pab2">#REF!</definedName>
    <definedName name="__pab20">#REF!</definedName>
    <definedName name="__pab25">#REF!</definedName>
    <definedName name="__pab32">#REF!</definedName>
    <definedName name="__pab4">#REF!</definedName>
    <definedName name="__pab40">#REF!</definedName>
    <definedName name="__pab50">#REF!</definedName>
    <definedName name="__pab6">#REF!</definedName>
    <definedName name="__pab65">#REF!</definedName>
    <definedName name="__pab80">#REF!</definedName>
    <definedName name="__PAC012">#REF!</definedName>
    <definedName name="__pah150">#REF!</definedName>
    <definedName name="__pak100">#REF!</definedName>
    <definedName name="__pak150">#REF!</definedName>
    <definedName name="__pak50">#REF!</definedName>
    <definedName name="__pak80">#REF!</definedName>
    <definedName name="__pan2">#REF!</definedName>
    <definedName name="__PAS13">#REF!</definedName>
    <definedName name="__pas15">#REF!</definedName>
    <definedName name="__pav8">#REF!</definedName>
    <definedName name="__PB1">#REF!</definedName>
    <definedName name="__PB2">#REF!</definedName>
    <definedName name="__PB3">#REF!</definedName>
    <definedName name="__pb34">#REF!</definedName>
    <definedName name="__pb4">#REF!</definedName>
    <definedName name="__pbc66">#REF!</definedName>
    <definedName name="__pbc81">#REF!</definedName>
    <definedName name="__pbf3">#REF!</definedName>
    <definedName name="__pbf4">#REF!</definedName>
    <definedName name="__PBK175">#REF!</definedName>
    <definedName name="__PBK225">#REF!</definedName>
    <definedName name="__pbs100">#REF!</definedName>
    <definedName name="__pbs101">#REF!</definedName>
    <definedName name="__pbs15">#REF!</definedName>
    <definedName name="__pbs150">#REF!</definedName>
    <definedName name="__pbs151">#REF!</definedName>
    <definedName name="__pbs16">#REF!</definedName>
    <definedName name="__pbs40">#REF!</definedName>
    <definedName name="__pbs41">#REF!</definedName>
    <definedName name="__pbs50">#REF!</definedName>
    <definedName name="__pbs51">#REF!</definedName>
    <definedName name="__pbs65">#REF!</definedName>
    <definedName name="__pbs80">#REF!</definedName>
    <definedName name="__pc1">#REF!</definedName>
    <definedName name="__pc10">#REF!</definedName>
    <definedName name="__pc12">#REF!</definedName>
    <definedName name="__pc2">#REF!</definedName>
    <definedName name="__pc3">#REF!</definedName>
    <definedName name="__pc4">#REF!</definedName>
    <definedName name="__PC450">#REF!</definedName>
    <definedName name="__pc5">#REF!</definedName>
    <definedName name="__pc50">#REF!</definedName>
    <definedName name="__pc6">#REF!</definedName>
    <definedName name="__PC600">#REF!</definedName>
    <definedName name="__pc8">#REF!</definedName>
    <definedName name="__pc80">#REF!</definedName>
    <definedName name="__PCD10">#REF!</definedName>
    <definedName name="__PCD3">#REF!</definedName>
    <definedName name="__PCD6">#REF!</definedName>
    <definedName name="__PCD8">#REF!</definedName>
    <definedName name="__pcf10">#REF!</definedName>
    <definedName name="__pcf12">#REF!</definedName>
    <definedName name="__pcf3">#REF!</definedName>
    <definedName name="__pcf4">#REF!</definedName>
    <definedName name="__pcf5">#REF!</definedName>
    <definedName name="__pcf6">#REF!</definedName>
    <definedName name="__pcf8">#REF!</definedName>
    <definedName name="__pcf80">#REF!</definedName>
    <definedName name="__PCI25">#REF!</definedName>
    <definedName name="__pd1">#REF!</definedName>
    <definedName name="__pd2">#REF!</definedName>
    <definedName name="__pd3">#REF!</definedName>
    <definedName name="__pdf3">#REF!</definedName>
    <definedName name="__pek2">#REF!</definedName>
    <definedName name="__pf18">#REF!</definedName>
    <definedName name="__ph100">#REF!</definedName>
    <definedName name="__ph150">#REF!</definedName>
    <definedName name="__phf100">#REF!</definedName>
    <definedName name="__phf150">#REF!</definedName>
    <definedName name="__pj1">#REF!</definedName>
    <definedName name="__pj2">#REF!</definedName>
    <definedName name="__PJ3">#REF!</definedName>
    <definedName name="__PJA1">#REF!</definedName>
    <definedName name="__PJA2">#REF!</definedName>
    <definedName name="__PJA3">#REF!</definedName>
    <definedName name="__PJA4">#REF!</definedName>
    <definedName name="__PJA6">#REF!</definedName>
    <definedName name="__pk13">#REF!</definedName>
    <definedName name="__pk47">#REF!</definedName>
    <definedName name="__pk8">#REF!</definedName>
    <definedName name="__PL1">#REF!</definedName>
    <definedName name="__PL2">#REF!</definedName>
    <definedName name="__PL3">#REF!</definedName>
    <definedName name="__po1000">#REF!</definedName>
    <definedName name="__por4040">#REF!</definedName>
    <definedName name="__ppn1">#REF!</definedName>
    <definedName name="__PRC019">#REF!</definedName>
    <definedName name="__PS1">#REF!</definedName>
    <definedName name="__PS2">#REF!</definedName>
    <definedName name="__PSC052">#REF!</definedName>
    <definedName name="__PSC084">#REF!</definedName>
    <definedName name="__pv100">#REF!</definedName>
    <definedName name="__pv101">#REF!</definedName>
    <definedName name="__pv40">#REF!</definedName>
    <definedName name="__pv41">#REF!</definedName>
    <definedName name="__pv50">#REF!</definedName>
    <definedName name="__pv55">#REF!</definedName>
    <definedName name="__pv80">#REF!</definedName>
    <definedName name="__pv85">#REF!</definedName>
    <definedName name="__PVC05">#REF!</definedName>
    <definedName name="__pvc1">#REF!</definedName>
    <definedName name="__pvc100">#REF!</definedName>
    <definedName name="__pvc12">#REF!</definedName>
    <definedName name="__pvc150">#REF!</definedName>
    <definedName name="__PVC153">#REF!</definedName>
    <definedName name="__PVC2">#REF!</definedName>
    <definedName name="__pvc20">#REF!</definedName>
    <definedName name="__pvc200">#REF!</definedName>
    <definedName name="__pvc25">#REF!</definedName>
    <definedName name="__PVC3">#REF!</definedName>
    <definedName name="__pvc32">#REF!</definedName>
    <definedName name="__PVC34">#REF!</definedName>
    <definedName name="__PVC4">#REF!</definedName>
    <definedName name="__pvc40">#REF!</definedName>
    <definedName name="__pvc44">#REF!</definedName>
    <definedName name="__pvc50">#REF!</definedName>
    <definedName name="__pvc65">#REF!</definedName>
    <definedName name="__pvc80">#REF!</definedName>
    <definedName name="__pvc804">"'file://SERVER3/har-data/STRUCTURE PRICE OF BQ KOMPAS GRAMEDIA.xls'#$analisa.$#REF!$#REF!"</definedName>
    <definedName name="__pvc805">"'file://SERVER3/har-data/STRUCTURE PRICE OF BQ KOMPAS GRAMEDIA.xls'#$analisa.$#REF!$#REF!"</definedName>
    <definedName name="__pvf100">#REF!</definedName>
    <definedName name="__pvf105">#REF!</definedName>
    <definedName name="__pvf80">#REF!</definedName>
    <definedName name="__pvf85">#REF!</definedName>
    <definedName name="__qmd15">#REF!</definedName>
    <definedName name="__qmd20">#REF!</definedName>
    <definedName name="__QS1">#REF!</definedName>
    <definedName name="__QS10">#REF!</definedName>
    <definedName name="__QS11">#REF!</definedName>
    <definedName name="__QS12">#REF!</definedName>
    <definedName name="__QS13">#REF!</definedName>
    <definedName name="__QS14">#REF!</definedName>
    <definedName name="__QS15">#REF!</definedName>
    <definedName name="__QS16">#REF!</definedName>
    <definedName name="__QS17">#REF!</definedName>
    <definedName name="__QS18">#REF!</definedName>
    <definedName name="__QS19">#REF!</definedName>
    <definedName name="__QS2">#REF!</definedName>
    <definedName name="__QS20">#REF!</definedName>
    <definedName name="__QS21">#REF!</definedName>
    <definedName name="__QS3">#REF!</definedName>
    <definedName name="__QS4">#REF!</definedName>
    <definedName name="__QS5">#REF!</definedName>
    <definedName name="__QS6">#REF!</definedName>
    <definedName name="__QS7">#REF!</definedName>
    <definedName name="__QS8">#REF!</definedName>
    <definedName name="__QS9">#REF!</definedName>
    <definedName name="__rab1">#REF!</definedName>
    <definedName name="__RAB2">#REF!</definedName>
    <definedName name="__RAB3">[8]RAB!#REF!</definedName>
    <definedName name="__RAB4">#REF!</definedName>
    <definedName name="__rd1">#REF!</definedName>
    <definedName name="__rd2">#REF!</definedName>
    <definedName name="__rd3">#REF!</definedName>
    <definedName name="__rd4">#REF!</definedName>
    <definedName name="__rd6">#REF!</definedName>
    <definedName name="__rd8">#REF!</definedName>
    <definedName name="__rdd100">#REF!</definedName>
    <definedName name="__rdd150">#REF!</definedName>
    <definedName name="__REV3" hidden="1">{#N/A,#N/A,FALSE,"REK-S-TPL";#N/A,#N/A,FALSE,"REK-TPML";#N/A,#N/A,FALSE,"RAB-TEMPEL"}</definedName>
    <definedName name="__rk100">#REF!</definedName>
    <definedName name="__rk150">#REF!</definedName>
    <definedName name="__rk200">#REF!</definedName>
    <definedName name="__rk300">#REF!</definedName>
    <definedName name="__rk400">#REF!</definedName>
    <definedName name="__rk500">#REF!</definedName>
    <definedName name="__rk600">#REF!</definedName>
    <definedName name="__rkl1000">#REF!</definedName>
    <definedName name="__rkl1200">#REF!</definedName>
    <definedName name="__rkl200">#REF!</definedName>
    <definedName name="__rkl300">#REF!</definedName>
    <definedName name="__rkl400">#REF!</definedName>
    <definedName name="__rkl500">#REF!</definedName>
    <definedName name="__rkl600">#REF!</definedName>
    <definedName name="__rkl700">#REF!</definedName>
    <definedName name="__rkl800">#REF!</definedName>
    <definedName name="__RM100">#REF!</definedName>
    <definedName name="__RM175">#REF!</definedName>
    <definedName name="__RM225">#REF!</definedName>
    <definedName name="__RM300">#REF!</definedName>
    <definedName name="__RM350">#REF!</definedName>
    <definedName name="__RM400">#REF!</definedName>
    <definedName name="__rst20">#REF!</definedName>
    <definedName name="__rst30">#REF!</definedName>
    <definedName name="__sc1">#REF!</definedName>
    <definedName name="__sc175">'[11]UP MINOR'!$C$22</definedName>
    <definedName name="__SC2">#REF!</definedName>
    <definedName name="__sc3">#REF!</definedName>
    <definedName name="__SFL1">#REF!</definedName>
    <definedName name="__SFL2">#REF!</definedName>
    <definedName name="__SFL3">#REF!</definedName>
    <definedName name="__SFM1">#REF!</definedName>
    <definedName name="__SFM2">#REF!</definedName>
    <definedName name="__SFM3">#REF!</definedName>
    <definedName name="__SFM4">#REF!</definedName>
    <definedName name="__SFM5">#REF!</definedName>
    <definedName name="__SFM6">#REF!</definedName>
    <definedName name="__SFM7">#REF!</definedName>
    <definedName name="__SFQ1">#REF!</definedName>
    <definedName name="__SFQ2">#REF!</definedName>
    <definedName name="__SFQ3">#REF!</definedName>
    <definedName name="__SFQ4">#REF!</definedName>
    <definedName name="__sfv150">#REF!</definedName>
    <definedName name="__sh1040">#REF!</definedName>
    <definedName name="__SHT2">#REF!</definedName>
    <definedName name="__SHT3">#REF!</definedName>
    <definedName name="__SM175">#REF!</definedName>
    <definedName name="__sn1020">#REF!</definedName>
    <definedName name="__SN3">#REF!</definedName>
    <definedName name="__Spl12">#REF!</definedName>
    <definedName name="__Spl23">#REF!</definedName>
    <definedName name="__Spl57">#REF!</definedName>
    <definedName name="__srt2">#REF!</definedName>
    <definedName name="__st1">#REF!</definedName>
    <definedName name="__st2">#REF!</definedName>
    <definedName name="__st3">#REF!</definedName>
    <definedName name="__std100">#REF!</definedName>
    <definedName name="__std150">#REF!</definedName>
    <definedName name="__std2">#REF!</definedName>
    <definedName name="__std3">#REF!</definedName>
    <definedName name="__std4">#REF!</definedName>
    <definedName name="__std50">#REF!</definedName>
    <definedName name="__std65">#REF!</definedName>
    <definedName name="__str01">#REF!</definedName>
    <definedName name="__str02">#REF!</definedName>
    <definedName name="__str03">#REF!</definedName>
    <definedName name="__str04">#REF!</definedName>
    <definedName name="__str05">#REF!</definedName>
    <definedName name="__str06">#REF!</definedName>
    <definedName name="__str07">#REF!</definedName>
    <definedName name="__str08">#REF!</definedName>
    <definedName name="__str09">#REF!</definedName>
    <definedName name="__str10">#REF!</definedName>
    <definedName name="__str100">#REF!</definedName>
    <definedName name="__str11">#REF!</definedName>
    <definedName name="__str12">#REF!</definedName>
    <definedName name="__str13">#REF!</definedName>
    <definedName name="__str14">#REF!</definedName>
    <definedName name="__str15">#REF!</definedName>
    <definedName name="__str16">#REF!</definedName>
    <definedName name="__str17">#REF!</definedName>
    <definedName name="__str18">#REF!</definedName>
    <definedName name="__str19">#REF!</definedName>
    <definedName name="__str20">#REF!</definedName>
    <definedName name="__str201">#REF!</definedName>
    <definedName name="__str21">#REF!</definedName>
    <definedName name="__str22">#REF!</definedName>
    <definedName name="__str23">#REF!</definedName>
    <definedName name="__str24">#REF!</definedName>
    <definedName name="__str25">#REF!</definedName>
    <definedName name="__str26">#REF!</definedName>
    <definedName name="__str27">#REF!</definedName>
    <definedName name="__str28">#REF!</definedName>
    <definedName name="__str29">#REF!</definedName>
    <definedName name="__str30">#REF!</definedName>
    <definedName name="__str31">#REF!</definedName>
    <definedName name="__str32">#REF!</definedName>
    <definedName name="__str33">#REF!</definedName>
    <definedName name="__str34">#REF!</definedName>
    <definedName name="__str35">#REF!</definedName>
    <definedName name="__str36">#REF!</definedName>
    <definedName name="__str37">#REF!</definedName>
    <definedName name="__str38">#REF!</definedName>
    <definedName name="__str39">#REF!</definedName>
    <definedName name="__str40">#REF!</definedName>
    <definedName name="__str41">#REF!</definedName>
    <definedName name="__str42">#REF!</definedName>
    <definedName name="__str43">#REF!</definedName>
    <definedName name="__str44">#REF!</definedName>
    <definedName name="__str45">#REF!</definedName>
    <definedName name="__str46">#REF!</definedName>
    <definedName name="__str47">#REF!</definedName>
    <definedName name="__str48">#REF!</definedName>
    <definedName name="__str49">#REF!</definedName>
    <definedName name="__str50">#REF!</definedName>
    <definedName name="__str51">#REF!</definedName>
    <definedName name="__str52">#REF!</definedName>
    <definedName name="__str53">#REF!</definedName>
    <definedName name="__str54">#REF!</definedName>
    <definedName name="__str55">#REF!</definedName>
    <definedName name="__str56">#REF!</definedName>
    <definedName name="__str561">#REF!</definedName>
    <definedName name="__str57">#REF!</definedName>
    <definedName name="__str58">#REF!</definedName>
    <definedName name="__str59">#REF!</definedName>
    <definedName name="__str60">#REF!</definedName>
    <definedName name="__str61">#REF!</definedName>
    <definedName name="__str62">#REF!</definedName>
    <definedName name="__str63">#REF!</definedName>
    <definedName name="__str64">#REF!</definedName>
    <definedName name="__str65">#REF!</definedName>
    <definedName name="__str66">#REF!</definedName>
    <definedName name="__str67">#REF!</definedName>
    <definedName name="__str68">#REF!</definedName>
    <definedName name="__str69">#REF!</definedName>
    <definedName name="__str70">#REF!</definedName>
    <definedName name="__str71">#REF!</definedName>
    <definedName name="__str72">#REF!</definedName>
    <definedName name="__str73">#REF!</definedName>
    <definedName name="__str74">#REF!</definedName>
    <definedName name="__str75">#REF!</definedName>
    <definedName name="__str76">#REF!</definedName>
    <definedName name="__str77">#REF!</definedName>
    <definedName name="__str78">#REF!</definedName>
    <definedName name="__str79">#REF!</definedName>
    <definedName name="__str80">#REF!</definedName>
    <definedName name="__str81">#REF!</definedName>
    <definedName name="__str811">#REF!</definedName>
    <definedName name="__str812">#REF!</definedName>
    <definedName name="__str813">#REF!</definedName>
    <definedName name="__str82">#REF!</definedName>
    <definedName name="__str83">#REF!</definedName>
    <definedName name="__str84">#REF!</definedName>
    <definedName name="__str85">#REF!</definedName>
    <definedName name="__str86">#REF!</definedName>
    <definedName name="__str87">#REF!</definedName>
    <definedName name="__str88">#REF!</definedName>
    <definedName name="__str89">#REF!</definedName>
    <definedName name="__str90">#REF!</definedName>
    <definedName name="__str91">#REF!</definedName>
    <definedName name="__str92">#REF!</definedName>
    <definedName name="__str93">#REF!</definedName>
    <definedName name="__str94">#REF!</definedName>
    <definedName name="__str95">#REF!</definedName>
    <definedName name="__str96">#REF!</definedName>
    <definedName name="__str97">#REF!</definedName>
    <definedName name="__str98">#REF!</definedName>
    <definedName name="__SUB1">#REF!</definedName>
    <definedName name="__SUB2">#REF!</definedName>
    <definedName name="__SUB3">#REF!</definedName>
    <definedName name="__SUB4">#REF!</definedName>
    <definedName name="__SUB5">#REF!</definedName>
    <definedName name="__SUB6">#REF!</definedName>
    <definedName name="__SUB7">#REF!</definedName>
    <definedName name="__SUM1">#REF!</definedName>
    <definedName name="__SUM2">#REF!</definedName>
    <definedName name="__SUM3">#REF!</definedName>
    <definedName name="__TA01">#REF!</definedName>
    <definedName name="__TA67">#REF!</definedName>
    <definedName name="__TA78">#REF!</definedName>
    <definedName name="__TA89">#REF!</definedName>
    <definedName name="__TA90">#REF!</definedName>
    <definedName name="__Tbb1">#REF!</definedName>
    <definedName name="__Tbb2">#REF!</definedName>
    <definedName name="__Tbs1">#REF!</definedName>
    <definedName name="__Tbs2">#REF!</definedName>
    <definedName name="__Tbt1">#REF!</definedName>
    <definedName name="__Tbt2">#REF!</definedName>
    <definedName name="__TCa1">#REF!</definedName>
    <definedName name="__Tca2">#REF!</definedName>
    <definedName name="__tg20">#REF!</definedName>
    <definedName name="__tg30">#REF!</definedName>
    <definedName name="__tgl2">[9]Ch!$A$16</definedName>
    <definedName name="__th100">'[2]dongia (2)'!#REF!</definedName>
    <definedName name="__TH160">'[2]dongia (2)'!#REF!</definedName>
    <definedName name="__ti100">#REF!</definedName>
    <definedName name="__ti120">#REF!</definedName>
    <definedName name="__ti50">#REF!</definedName>
    <definedName name="__ti60">#REF!</definedName>
    <definedName name="__ti80">#REF!</definedName>
    <definedName name="__tk04">#REF!</definedName>
    <definedName name="__Tky1">#REF!</definedName>
    <definedName name="__Tky2">#REF!</definedName>
    <definedName name="__TL1">#REF!</definedName>
    <definedName name="__TL2">#REF!</definedName>
    <definedName name="__tl20">#REF!</definedName>
    <definedName name="__TL3">#REF!</definedName>
    <definedName name="__tl40">#REF!</definedName>
    <definedName name="__TLA120">#REF!</definedName>
    <definedName name="__TLA35">#REF!</definedName>
    <definedName name="__TLA50">#REF!</definedName>
    <definedName name="__TLA70">#REF!</definedName>
    <definedName name="__TLA95">#REF!</definedName>
    <definedName name="__tlc20">#REF!</definedName>
    <definedName name="__TOP2">#REF!</definedName>
    <definedName name="__Tpk03">#REF!</definedName>
    <definedName name="__Tpk04">#REF!</definedName>
    <definedName name="__Tpk06">#REF!</definedName>
    <definedName name="__TR1">#REF!</definedName>
    <definedName name="__TR250">'[2]dongia (2)'!#REF!</definedName>
    <definedName name="__tr375">[2]giathanh1!#REF!</definedName>
    <definedName name="__tsI3">#REF!</definedName>
    <definedName name="__TSR3">#REF!</definedName>
    <definedName name="__tsv25">#REF!</definedName>
    <definedName name="__tv14">#REF!</definedName>
    <definedName name="__Twd04">#REF!</definedName>
    <definedName name="__uls60">#REF!</definedName>
    <definedName name="__up05">#N/A</definedName>
    <definedName name="__up10">"'file://SERVER3/har-data/STRUCTURE PRICE OF BQ KOMPAS GRAMEDIA.xls'#$analisa.$#REF!$#REF!"</definedName>
    <definedName name="__UP15">#N/A</definedName>
    <definedName name="__UP20">#N/A</definedName>
    <definedName name="__usd2">#REF!</definedName>
    <definedName name="__utd1">#REF!</definedName>
    <definedName name="__utd2">#REF!</definedName>
    <definedName name="__utd3">#REF!</definedName>
    <definedName name="__UUU01">#REF!</definedName>
    <definedName name="__UUU02">#REF!</definedName>
    <definedName name="__UUU03">#REF!</definedName>
    <definedName name="__vcd2">#REF!</definedName>
    <definedName name="__vcd3">#REF!</definedName>
    <definedName name="__vcd4">#REF!</definedName>
    <definedName name="__VL100">#REF!</definedName>
    <definedName name="__VL200">#REF!</definedName>
    <definedName name="__VL250">#REF!</definedName>
    <definedName name="__vnt100">#REF!</definedName>
    <definedName name="__vnt40">#REF!</definedName>
    <definedName name="__vnt50">#REF!</definedName>
    <definedName name="__vnt80">#REF!</definedName>
    <definedName name="__wal01">#REF!</definedName>
    <definedName name="__wal02">#REF!</definedName>
    <definedName name="__wal03">#REF!</definedName>
    <definedName name="__wal04">#REF!</definedName>
    <definedName name="__wal05">#REF!</definedName>
    <definedName name="__wal06">#REF!</definedName>
    <definedName name="__wal07">#REF!</definedName>
    <definedName name="__wal08">#REF!</definedName>
    <definedName name="__wal09">#REF!</definedName>
    <definedName name="__wal10">#REF!</definedName>
    <definedName name="__wal100">#REF!</definedName>
    <definedName name="__wal101">#REF!</definedName>
    <definedName name="__wal102">#REF!</definedName>
    <definedName name="__wal103">#REF!</definedName>
    <definedName name="__wal104">#REF!</definedName>
    <definedName name="__wal105">#REF!</definedName>
    <definedName name="__wal106">#REF!</definedName>
    <definedName name="__wal11">#REF!</definedName>
    <definedName name="__wal111">#REF!</definedName>
    <definedName name="__wal12">#REF!</definedName>
    <definedName name="__wal13">#REF!</definedName>
    <definedName name="__wal14">#REF!</definedName>
    <definedName name="__wal15">#REF!</definedName>
    <definedName name="__wal16">#REF!</definedName>
    <definedName name="__wal17">#REF!</definedName>
    <definedName name="__wal18">#REF!</definedName>
    <definedName name="__wal19">#REF!</definedName>
    <definedName name="__wal20">#REF!</definedName>
    <definedName name="__wal21">#REF!</definedName>
    <definedName name="__wal22">#REF!</definedName>
    <definedName name="__wal23">#REF!</definedName>
    <definedName name="__wal24">#REF!</definedName>
    <definedName name="__wal25">#REF!</definedName>
    <definedName name="__wal26">#REF!</definedName>
    <definedName name="__wal27">#REF!</definedName>
    <definedName name="__wal28">#REF!</definedName>
    <definedName name="__wal29">#REF!</definedName>
    <definedName name="__wal30">#REF!</definedName>
    <definedName name="__wal31">#REF!</definedName>
    <definedName name="__wal32">#REF!</definedName>
    <definedName name="__wal33">#REF!</definedName>
    <definedName name="__wal34">#REF!</definedName>
    <definedName name="__wal35">#REF!</definedName>
    <definedName name="__wal36">#REF!</definedName>
    <definedName name="__wal37">#REF!</definedName>
    <definedName name="__wal38">#REF!</definedName>
    <definedName name="__wal39">#REF!</definedName>
    <definedName name="__wal40">#REF!</definedName>
    <definedName name="__wal41">#REF!</definedName>
    <definedName name="__wal42">#REF!</definedName>
    <definedName name="__wal43">#REF!</definedName>
    <definedName name="__wal44">#REF!</definedName>
    <definedName name="__wal45">#REF!</definedName>
    <definedName name="__wal46">#REF!</definedName>
    <definedName name="__wal47">#REF!</definedName>
    <definedName name="__wal48">#REF!</definedName>
    <definedName name="__wal49">#REF!</definedName>
    <definedName name="__wal50">#REF!</definedName>
    <definedName name="__wal51">#REF!</definedName>
    <definedName name="__wal52">#REF!</definedName>
    <definedName name="__wal53">#REF!</definedName>
    <definedName name="__wal54">#REF!</definedName>
    <definedName name="__wal55">#REF!</definedName>
    <definedName name="__wal56">#REF!</definedName>
    <definedName name="__wal57">#REF!</definedName>
    <definedName name="__wal58">#REF!</definedName>
    <definedName name="__wal59">#REF!</definedName>
    <definedName name="__wal60">#REF!</definedName>
    <definedName name="__wal601">#REF!</definedName>
    <definedName name="__wal602">#REF!</definedName>
    <definedName name="__wal61">#REF!</definedName>
    <definedName name="__wal62">#REF!</definedName>
    <definedName name="__wal63">#REF!</definedName>
    <definedName name="__wal64">#REF!</definedName>
    <definedName name="__wal65">#REF!</definedName>
    <definedName name="__wal66">#REF!</definedName>
    <definedName name="__wal67">#REF!</definedName>
    <definedName name="__wal68">#REF!</definedName>
    <definedName name="__wal69">#REF!</definedName>
    <definedName name="__wal70">#REF!</definedName>
    <definedName name="__wal71">#REF!</definedName>
    <definedName name="__wal72">#REF!</definedName>
    <definedName name="__wal73">#REF!</definedName>
    <definedName name="__wal74">#REF!</definedName>
    <definedName name="__wal75">#REF!</definedName>
    <definedName name="__wal76">#REF!</definedName>
    <definedName name="__wal77">#REF!</definedName>
    <definedName name="__wal78">#REF!</definedName>
    <definedName name="__wal79">#REF!</definedName>
    <definedName name="__wal80">#REF!</definedName>
    <definedName name="__wal81">#REF!</definedName>
    <definedName name="__wal82">#REF!</definedName>
    <definedName name="__wal83">#REF!</definedName>
    <definedName name="__wal84">#REF!</definedName>
    <definedName name="__wal85">#REF!</definedName>
    <definedName name="__wal86">#REF!</definedName>
    <definedName name="__wal87">#REF!</definedName>
    <definedName name="__wal88">#REF!</definedName>
    <definedName name="__wal89">#REF!</definedName>
    <definedName name="__wal90">#REF!</definedName>
    <definedName name="__wal91">#REF!</definedName>
    <definedName name="__wal92">#REF!</definedName>
    <definedName name="__wal93">#REF!</definedName>
    <definedName name="__wal94">#REF!</definedName>
    <definedName name="__wal95">#REF!</definedName>
    <definedName name="__wal96">#REF!</definedName>
    <definedName name="__wal97">#REF!</definedName>
    <definedName name="__wal98">#REF!</definedName>
    <definedName name="__wal99">#REF!</definedName>
    <definedName name="__WC1">#REF!</definedName>
    <definedName name="__WC2">#REF!</definedName>
    <definedName name="__WC3">#REF!</definedName>
    <definedName name="__we3">#REF!</definedName>
    <definedName name="__WF32">[10]Material!#REF!</definedName>
    <definedName name="__WF42">[10]Material!#REF!</definedName>
    <definedName name="__WM420">#REF!</definedName>
    <definedName name="__XAG2">#REF!</definedName>
    <definedName name="__XAG50">#REF!</definedName>
    <definedName name="__XAW2">#REF!</definedName>
    <definedName name="__XAW3">#REF!</definedName>
    <definedName name="__XAW4">#REF!</definedName>
    <definedName name="_0">"'file:///media/sda2/nUGerOHo/@PROJECT/GRAHA SANTIKA-MEDAN/Angel/PROYEK/Kuperin Karya Utama/Maple Park/Main Pile/Final/Design IPR R3/BQ ALT DW.xls'#$Penjumlahan.$#REF!$#REF!"</definedName>
    <definedName name="_0は表示せず空">#REF!</definedName>
    <definedName name="_1">#N/A</definedName>
    <definedName name="_1.">#REF!</definedName>
    <definedName name="_1_?≫?">#REF!</definedName>
    <definedName name="_1___123Graph_ACHART_1" hidden="1">#REF!</definedName>
    <definedName name="_1__123Graph_ACHART_1" hidden="1">#REF!</definedName>
    <definedName name="_1__123Graph_ACHART_3J" hidden="1">#REF!</definedName>
    <definedName name="_1__Excel_BuiltIn__FilterDatabase_4_1_1">#REF!</definedName>
    <definedName name="_1_CHECK_UNIT">#REF!</definedName>
    <definedName name="_1_EUR">#REF!</definedName>
    <definedName name="_1_us">#REF!</definedName>
    <definedName name="_1_労賃金入力">#REF!</definedName>
    <definedName name="_1_総括_B_4縦_">#REF!</definedName>
    <definedName name="_10">#REF!</definedName>
    <definedName name="_10__123Graph_ACHART_3J" hidden="1">#REF!</definedName>
    <definedName name="_10__123Graph_BCHART_3J" hidden="1">#REF!</definedName>
    <definedName name="_10__123Graph_CCHART_3J" hidden="1">#REF!</definedName>
    <definedName name="_10__123Graph_DCHART_3J" hidden="1">#REF!</definedName>
    <definedName name="_10_S_1_1">#REF!</definedName>
    <definedName name="_10000">#REF!</definedName>
    <definedName name="_10000_1">#REF!</definedName>
    <definedName name="_10000_14">#REF!</definedName>
    <definedName name="_10000_14_15">#REF!</definedName>
    <definedName name="_10000_14_15_1">#REF!</definedName>
    <definedName name="_10000_14_15_16">#REF!</definedName>
    <definedName name="_10000_14_15_7">#REF!</definedName>
    <definedName name="_10000_14_16">#REF!</definedName>
    <definedName name="_10000_14_8">#REF!</definedName>
    <definedName name="_10000_14_9">#REF!</definedName>
    <definedName name="_10000_15">#REF!</definedName>
    <definedName name="_10000_15_1">#REF!</definedName>
    <definedName name="_10000_15_16">#REF!</definedName>
    <definedName name="_10000_15_7">#REF!</definedName>
    <definedName name="_10000_16">#REF!</definedName>
    <definedName name="_10000_22">#REF!</definedName>
    <definedName name="_10000_5">#REF!</definedName>
    <definedName name="_10000_5_15">#REF!</definedName>
    <definedName name="_10000_5_15_1">#REF!</definedName>
    <definedName name="_10000_5_15_16">#REF!</definedName>
    <definedName name="_10000_5_15_7">#REF!</definedName>
    <definedName name="_10000_5_16">#REF!</definedName>
    <definedName name="_10000_5_8">#REF!</definedName>
    <definedName name="_10000_5_9">#REF!</definedName>
    <definedName name="_10000_6">#REF!</definedName>
    <definedName name="_10000_6_15">#REF!</definedName>
    <definedName name="_10000_6_15_1">#REF!</definedName>
    <definedName name="_10000_6_15_16">#REF!</definedName>
    <definedName name="_10000_6_15_7">#REF!</definedName>
    <definedName name="_10000_6_16">#REF!</definedName>
    <definedName name="_10000_6_8">#REF!</definedName>
    <definedName name="_10000_6_9">#REF!</definedName>
    <definedName name="_10000_7">#REF!</definedName>
    <definedName name="_10000_7_15">#REF!</definedName>
    <definedName name="_10000_7_15_1">#REF!</definedName>
    <definedName name="_10000_7_15_16">#REF!</definedName>
    <definedName name="_10000_7_15_7">#REF!</definedName>
    <definedName name="_10000_7_16">#REF!</definedName>
    <definedName name="_10000_7_8">#REF!</definedName>
    <definedName name="_10000_7_9">#REF!</definedName>
    <definedName name="_10000_8">#REF!</definedName>
    <definedName name="_10000_9">#REF!</definedName>
    <definedName name="_1001ACX_6_1_1">#REF!</definedName>
    <definedName name="_1006ADX_5_1">#REF!</definedName>
    <definedName name="_100abpg_1_1">#REF!</definedName>
    <definedName name="_101_J_1">#REF!</definedName>
    <definedName name="_1011ADX_6_1">#REF!</definedName>
    <definedName name="_1016ADX_6_1_1">#REF!</definedName>
    <definedName name="_101abpg_2_1">#REF!</definedName>
    <definedName name="_1021ahrd100_5_1">#REF!</definedName>
    <definedName name="_1026ahrd100_6_1">#REF!</definedName>
    <definedName name="_102abs100_1_1">#REF!</definedName>
    <definedName name="_103_J_2">#REF!</definedName>
    <definedName name="_1031ahrd100_6_1_1">#REF!</definedName>
    <definedName name="_1036ahrd150_5_1">#REF!</definedName>
    <definedName name="_103abs100_2_1">#REF!</definedName>
    <definedName name="_1041ahrd150_6_1">#REF!</definedName>
    <definedName name="_1046ahrd150_6_1_1">#REF!</definedName>
    <definedName name="_104abwl_1_1">#REF!</definedName>
    <definedName name="_105_J_3">#REF!</definedName>
    <definedName name="_1051ahu100_5_1">#REF!</definedName>
    <definedName name="_1056ahu100_6_1">#REF!</definedName>
    <definedName name="_105abwl_2_1">#REF!</definedName>
    <definedName name="_106____________Excel_BuiltIn__FilterDatabase_4_1_1">#REF!</definedName>
    <definedName name="_1061ahu100_6_1_1">#REF!</definedName>
    <definedName name="_1066ahu150_5_1">#REF!</definedName>
    <definedName name="_106ahrd100_1_1">#REF!</definedName>
    <definedName name="_107____________Excel_BuiltIn_Print_Area_4_1_1">#REF!</definedName>
    <definedName name="_107_K_1">#REF!</definedName>
    <definedName name="_1071ahu150_6_1">#REF!</definedName>
    <definedName name="_1076ahu150_6_1_1">#REF!</definedName>
    <definedName name="_107ahrd100_2_1">#REF!</definedName>
    <definedName name="_108___________Excel_BuiltIn__FilterDatabase_4_1_1">#REF!</definedName>
    <definedName name="_1081ahuf100_5_1">#REF!</definedName>
    <definedName name="_1086ahuf100_6_1">#REF!</definedName>
    <definedName name="_108ahrd150_1_1">#REF!</definedName>
    <definedName name="_109___________Excel_BuiltIn_Print_Area_4_1_1">#REF!</definedName>
    <definedName name="_109_K_2">#REF!</definedName>
    <definedName name="_1091ahuf100_6_1_1">#REF!</definedName>
    <definedName name="_1096ahuf150_5_1">#REF!</definedName>
    <definedName name="_109ahrd150_2_1">#REF!</definedName>
    <definedName name="_10Excel_BuiltIn_Print_Area_4_1_1">#REF!</definedName>
    <definedName name="_11">#REF!</definedName>
    <definedName name="_11__123Graph_BCHART_4K" hidden="1">#REF!</definedName>
    <definedName name="_11__123Graph_CCHART_4K" hidden="1">#REF!</definedName>
    <definedName name="_11__123Graph_DCHART_4K" hidden="1">#REF!</definedName>
    <definedName name="_11_S_1_2">#REF!</definedName>
    <definedName name="_110__________Excel_BuiltIn__FilterDatabase_4_1_1">#REF!</definedName>
    <definedName name="_1101ahuf150_6_1">#REF!</definedName>
    <definedName name="_1106ahuf150_6_1_1">#REF!</definedName>
    <definedName name="_110ahuf100_1_1">#REF!</definedName>
    <definedName name="_111__________Excel_BuiltIn_Print_Area_4_1_1">#REF!</definedName>
    <definedName name="_111_K_3">#REF!</definedName>
    <definedName name="_1111ahuf150ahuf150_5_1">#REF!</definedName>
    <definedName name="_1116ahuf150ahuf150_6_1">#REF!</definedName>
    <definedName name="_111ahuf100_2_1">#REF!</definedName>
    <definedName name="_112_L_1">#REF!</definedName>
    <definedName name="_1121ahuf150ahuf150_6_1_1">#REF!</definedName>
    <definedName name="_1126akco100_5_1">#REF!</definedName>
    <definedName name="_112ahuf150_1_1">#REF!</definedName>
    <definedName name="_113_M_1">#REF!</definedName>
    <definedName name="_1131akco100_6_1">#REF!</definedName>
    <definedName name="_1136akco100_6_1_1">#REF!</definedName>
    <definedName name="_113ahuf150_2_1">#REF!</definedName>
    <definedName name="_114________Excel_BuiltIn__FilterDatabase_4_1_1">#REF!</definedName>
    <definedName name="_1141akco150_5_1">#REF!</definedName>
    <definedName name="_1146akco150_6_1">#REF!</definedName>
    <definedName name="_114ahuf150ahuf150_1_1">#REF!</definedName>
    <definedName name="_115________Excel_BuiltIn_Print_Area_4_1_1">#REF!</definedName>
    <definedName name="_1151akco150_6_1_1">#REF!</definedName>
    <definedName name="_1156akco80_5_1">#REF!</definedName>
    <definedName name="_115ahuf150ahuf150_2_1">#REF!</definedName>
    <definedName name="_116_______Excel_BuiltIn__FilterDatabase_4_1_1">#REF!</definedName>
    <definedName name="_1161akco80_6_1">#REF!</definedName>
    <definedName name="_1166akco80_6_1_1">#REF!</definedName>
    <definedName name="_116akco150_1_1">#REF!</definedName>
    <definedName name="_117_______Excel_BuiltIn_Print_Area_4_1_1">#REF!</definedName>
    <definedName name="_1171akfd50_5_1">#REF!</definedName>
    <definedName name="_1176akfd50_6_1">#REF!</definedName>
    <definedName name="_117akco150_2_1">#REF!</definedName>
    <definedName name="_118_M_1_1">#REF!</definedName>
    <definedName name="_1181akfd50_6_1_1">#REF!</definedName>
    <definedName name="_1186akfj100_5_1">#REF!</definedName>
    <definedName name="_118akco80_1_1">#REF!</definedName>
    <definedName name="_1191akfj100_6_1">#REF!</definedName>
    <definedName name="_1196akfj100_6_1_1">#REF!</definedName>
    <definedName name="_119akco80_2_1">#REF!</definedName>
    <definedName name="_12">#REF!</definedName>
    <definedName name="_12__123Graph_BCHART_5L" hidden="1">#REF!</definedName>
    <definedName name="_12__123Graph_CCHART_5L" hidden="1">#REF!</definedName>
    <definedName name="_12__123Graph_DCHART_5L" hidden="1">#REF!</definedName>
    <definedName name="_120_____Excel_BuiltIn__FilterDatabase_4_1_1">#REF!</definedName>
    <definedName name="_1201akgv100_5_1">#REF!</definedName>
    <definedName name="_1206akgv100_6_1">#REF!</definedName>
    <definedName name="_120akgv80_1_1">#REF!</definedName>
    <definedName name="_121_____Excel_BuiltIn_Print_Area_4_1_1">#REF!</definedName>
    <definedName name="_1211akgv100_6_1_1">#REF!</definedName>
    <definedName name="_1216akgv80_5_1">#REF!</definedName>
    <definedName name="_121akgv80_2_1">#REF!</definedName>
    <definedName name="_1221akgv80_6_1">#REF!</definedName>
    <definedName name="_1226akgv80_6_1_1">#REF!</definedName>
    <definedName name="_122ako100_1_1">#REF!</definedName>
    <definedName name="_123_M_5_1">#REF!</definedName>
    <definedName name="_1231ako100_5_1">#REF!</definedName>
    <definedName name="_1236ako100_6_1">#REF!</definedName>
    <definedName name="_123ako100_2_1">#REF!</definedName>
    <definedName name="_123Graph_F" hidden="1">#REF!</definedName>
    <definedName name="_123Graph_X" hidden="1">'[12]Urai _Resap pengikat'!$G$12:$G$20</definedName>
    <definedName name="_124___Excel_BuiltIn__FilterDatabase_4_1_1">#REF!</definedName>
    <definedName name="_1241ako100_6_1_1">#REF!</definedName>
    <definedName name="_1246ako150_5_1">#REF!</definedName>
    <definedName name="_124ako150_1_1">#REF!</definedName>
    <definedName name="_125___Excel_BuiltIn_Print_Area_4_1_1">#REF!</definedName>
    <definedName name="_1251ako150_6_1">#REF!</definedName>
    <definedName name="_1256ako150_6_1_1">#REF!</definedName>
    <definedName name="_125ako150_2_1">#REF!</definedName>
    <definedName name="_126__Excel_BuiltIn__FilterDatabase_4_1_1">#REF!</definedName>
    <definedName name="_1261ako50_5_1">#REF!</definedName>
    <definedName name="_1266ako50_6_1">#REF!</definedName>
    <definedName name="_126ako50_1_1">#REF!</definedName>
    <definedName name="_127__Excel_BuiltIn_Print_Area_4_1_1">#REF!</definedName>
    <definedName name="_1271ako50_6_1_1">#REF!</definedName>
    <definedName name="_1276ako80_5_1">#REF!</definedName>
    <definedName name="_127ako50_2_1">#REF!</definedName>
    <definedName name="_128_M_6_1">#REF!</definedName>
    <definedName name="_1281ako80_6_1">#REF!</definedName>
    <definedName name="_1286ako80_6_1_1">#REF!</definedName>
    <definedName name="_128ako80_1_1">#REF!</definedName>
    <definedName name="_1291akof100_5_1">#REF!</definedName>
    <definedName name="_1296akof100_6_1">#REF!</definedName>
    <definedName name="_129ako80_2_1">#REF!</definedName>
    <definedName name="_13">#REF!</definedName>
    <definedName name="_13__123Graph_ACHART_4K" hidden="1">#REF!</definedName>
    <definedName name="_13__123Graph_DCHART_3J" hidden="1">#REF!</definedName>
    <definedName name="_13__123Graph_ECHART_3J" hidden="1">#REF!</definedName>
    <definedName name="_13_S_2_1">#REF!</definedName>
    <definedName name="_1301akof100_6_1_1">#REF!</definedName>
    <definedName name="_1306akof150_5_1">#REF!</definedName>
    <definedName name="_130akof100_1_1">#REF!</definedName>
    <definedName name="_130Excel_BuiltIn__FilterDatabase_4_1_1">#REF!</definedName>
    <definedName name="_1311akof150_6_1">#REF!</definedName>
    <definedName name="_1316akof150_6_1_1">#REF!</definedName>
    <definedName name="_131akof100_2_1">#REF!</definedName>
    <definedName name="_131Excel_BuiltIn_Print_Area_4_1_1">#REF!</definedName>
    <definedName name="_1321akof4_5_1">#REF!</definedName>
    <definedName name="_1326akof4_6_1">#REF!</definedName>
    <definedName name="_132akof150_1_1">#REF!</definedName>
    <definedName name="_133_M_6_1_1">#REF!</definedName>
    <definedName name="_1331akof4_6_1_1">#REF!</definedName>
    <definedName name="_1336akof6_5_1">#REF!</definedName>
    <definedName name="_133akof150_2_1">#REF!</definedName>
    <definedName name="_134_N_1">#REF!</definedName>
    <definedName name="_1341akof6_6_1">#REF!</definedName>
    <definedName name="_1346akof6_6_1_1">#REF!</definedName>
    <definedName name="_134akof4_1_1">#REF!</definedName>
    <definedName name="_135_O_1">#REF!</definedName>
    <definedName name="_1351akof80_5_1">#REF!</definedName>
    <definedName name="_1356akof80_6_1">#REF!</definedName>
    <definedName name="_135akof4_2_1">#REF!</definedName>
    <definedName name="_136_P_1">#REF!</definedName>
    <definedName name="_1361akof80_6_1_1">#REF!</definedName>
    <definedName name="_1366akofl80_5_1">#REF!</definedName>
    <definedName name="_136akof6_1_1">#REF!</definedName>
    <definedName name="_1371akofl80_6_1">#REF!</definedName>
    <definedName name="_1376akofl80_6_1_1">#REF!</definedName>
    <definedName name="_137akof6_2_1">#REF!</definedName>
    <definedName name="_1381akogv100_5_1">#REF!</definedName>
    <definedName name="_1386akogv100_6_1">#REF!</definedName>
    <definedName name="_138akof80_1_1">#REF!</definedName>
    <definedName name="_139_Q_2">#REF!</definedName>
    <definedName name="_1391akogv100_6_1_1">#REF!</definedName>
    <definedName name="_1396akogv80_5_1">#REF!</definedName>
    <definedName name="_139akof80_2_1">#REF!</definedName>
    <definedName name="_14">#REF!</definedName>
    <definedName name="_14__123Graph_DCHART_4K" hidden="1">#REF!</definedName>
    <definedName name="_14__123Graph_ECHART_5L" hidden="1">#REF!</definedName>
    <definedName name="_14_W_1_1">#REF!</definedName>
    <definedName name="_1401akogv80_6_1">#REF!</definedName>
    <definedName name="_1406akogv80_6_1_1">#REF!</definedName>
    <definedName name="_140akofl80_1_1">#REF!</definedName>
    <definedName name="_1411aku100_5_1">#REF!</definedName>
    <definedName name="_1416aku100_6_1">#REF!</definedName>
    <definedName name="_141akofl80_2_1">#REF!</definedName>
    <definedName name="_1421aku100_6_1_1">#REF!</definedName>
    <definedName name="_1426aku150_5_1">#REF!</definedName>
    <definedName name="_142akogv80_1_1">#REF!</definedName>
    <definedName name="_1431aku150_6_1">#REF!</definedName>
    <definedName name="_1436aku150_6_1_1">#REF!</definedName>
    <definedName name="_143akogv80_2_1">#REF!</definedName>
    <definedName name="_144_Q_1_1">#REF!</definedName>
    <definedName name="_1441B_1_1">#REF!</definedName>
    <definedName name="_1446B_1_1_1">#REF!</definedName>
    <definedName name="_144aku100_1_1">#REF!</definedName>
    <definedName name="_1451B_1_5_1">#REF!</definedName>
    <definedName name="_1456B_1_6_1">#REF!</definedName>
    <definedName name="_145aku100_2_1">#REF!</definedName>
    <definedName name="_1461B_1_6_1_1">#REF!</definedName>
    <definedName name="_1466B_5_1">#REF!</definedName>
    <definedName name="_146aku150_1_1">#REF!</definedName>
    <definedName name="_1471B_6_1">#REF!</definedName>
    <definedName name="_1476B_6_1_1">#REF!</definedName>
    <definedName name="_147aku150_2_1">#REF!</definedName>
    <definedName name="_147Excel_BuiltIn_Print_Area_9_1">#REF!,#REF!</definedName>
    <definedName name="_1484BAHAN_1_1">#REF!</definedName>
    <definedName name="_1489BAHAN_5_1">#REF!</definedName>
    <definedName name="_148B_1_1">#REF!</definedName>
    <definedName name="_149_Q_1_1_1">#REF!</definedName>
    <definedName name="_1494BAHAN_6_1">#REF!</definedName>
    <definedName name="_1499BAHAN_6_1_1">#REF!</definedName>
    <definedName name="_149bdia6_1_1">#REF!</definedName>
    <definedName name="_15">#REF!</definedName>
    <definedName name="_15__123Graph_DCHART_5L" hidden="1">#REF!</definedName>
    <definedName name="_15__123Graph_FCHART_3J" hidden="1">#REF!</definedName>
    <definedName name="_1504basaom_5_1">#REF!</definedName>
    <definedName name="_1509basaom_6_1">#REF!</definedName>
    <definedName name="_150bdia6_2_1">#REF!</definedName>
    <definedName name="_1514basaom_6_1_1">#REF!</definedName>
    <definedName name="_1519basdim_5_1">#REF!</definedName>
    <definedName name="_151cas80_1_1">#REF!</definedName>
    <definedName name="_1524basdim_6_1">#REF!</definedName>
    <definedName name="_1529basdim_6_1_1">#REF!</definedName>
    <definedName name="_152cas80_2_1">#REF!</definedName>
    <definedName name="_1534basdoc_5_1">#REF!</definedName>
    <definedName name="_1539basdoc_6_1">#REF!</definedName>
    <definedName name="_153casf80_1_1">#REF!</definedName>
    <definedName name="_1544basdoc_6_1_1">#REF!</definedName>
    <definedName name="_1549basfs_5_1">#REF!</definedName>
    <definedName name="_154casf80_2_1">#REF!</definedName>
    <definedName name="_1554basfs_6_1">#REF!</definedName>
    <definedName name="_1559basfs_6_1_1">#REF!</definedName>
    <definedName name="_1564basi_5_1">#REF!</definedName>
    <definedName name="_1569basi_6_1">#REF!</definedName>
    <definedName name="_156D_1_1">#REF!</definedName>
    <definedName name="_1574basi_6_1_1">#REF!</definedName>
    <definedName name="_1579basitc_5_1">#REF!</definedName>
    <definedName name="_157detib2100_1_1">#REF!</definedName>
    <definedName name="_1584basitc_6_1">#REF!</definedName>
    <definedName name="_1589basitc_6_1_1">#REF!</definedName>
    <definedName name="_158detib2100_2_1">#REF!</definedName>
    <definedName name="_1594basrtu_5_1">#REF!</definedName>
    <definedName name="_1599basrtu_6_1">#REF!</definedName>
    <definedName name="_159detib2120_1_1">#REF!</definedName>
    <definedName name="_16">#REF!</definedName>
    <definedName name="_16__123Graph_ACHART_5L" hidden="1">#REF!</definedName>
    <definedName name="_16__123Graph_CCHART_3J" hidden="1">#REF!</definedName>
    <definedName name="_16__123Graph_ECHART_3J" hidden="1">#REF!</definedName>
    <definedName name="_16__123Graph_FCHART_5L" hidden="1">#REF!</definedName>
    <definedName name="_160_Q_4_6_1">#REF!</definedName>
    <definedName name="_1604basrtu_6_1_1">#REF!</definedName>
    <definedName name="_1609bastw_5_1">#REF!</definedName>
    <definedName name="_160detib2120_2_1">#REF!</definedName>
    <definedName name="_1614bastw_6_1">#REF!</definedName>
    <definedName name="_1619bastw_6_1_1">#REF!</definedName>
    <definedName name="_161detib250_1_1">#REF!</definedName>
    <definedName name="_1624BAX_5_1">#REF!</definedName>
    <definedName name="_1629BAX_6_1">#REF!</definedName>
    <definedName name="_162detib250_2_1">#REF!</definedName>
    <definedName name="_1634BAX_6_1_1">#REF!</definedName>
    <definedName name="_1639BBX_5_1">#REF!</definedName>
    <definedName name="_163detib260_1_1">#REF!</definedName>
    <definedName name="_1644BBX_6_1">#REF!</definedName>
    <definedName name="_1649BBX_6_1_1">#REF!</definedName>
    <definedName name="_164detib260_2_1">#REF!</definedName>
    <definedName name="_165_Q_4_7_1">#REF!</definedName>
    <definedName name="_1654bcv100_5_1">#REF!</definedName>
    <definedName name="_1659bcv100_6_1">#REF!</definedName>
    <definedName name="_165detib280_1_1">#REF!</definedName>
    <definedName name="_1664bcv100_6_1_1">#REF!</definedName>
    <definedName name="_1669bcv125_5_1">#REF!</definedName>
    <definedName name="_166detib280_2_1">#REF!</definedName>
    <definedName name="_1674bcv125_6_1">#REF!</definedName>
    <definedName name="_1679bcv125_6_1_1">#REF!</definedName>
    <definedName name="_167DFDF_1_1">#REF!</definedName>
    <definedName name="_1684bcv150_5_1">#REF!</definedName>
    <definedName name="_1689bcv150_6_1">#REF!</definedName>
    <definedName name="_168DFDF_2_1">#REF!</definedName>
    <definedName name="_1694bcv150_6_1_1">#REF!</definedName>
    <definedName name="_1699BCX_5_1">#REF!</definedName>
    <definedName name="_169dia6_1_1">#REF!</definedName>
    <definedName name="_17">#REF!</definedName>
    <definedName name="_17__123Graph_CCHART_4K" hidden="1">#REF!</definedName>
    <definedName name="_17__123Graph_ECHART_5L" hidden="1">#REF!</definedName>
    <definedName name="_170_Q_6_1">#REF!</definedName>
    <definedName name="_1704BCX_6_1">#REF!</definedName>
    <definedName name="_1709BCX_6_1_1">#REF!</definedName>
    <definedName name="_170dia6_2_1">#REF!</definedName>
    <definedName name="_1714bdia6_5_1">#REF!</definedName>
    <definedName name="_1719bdia6_6_1">#REF!</definedName>
    <definedName name="_171dstib2100_1_1">#REF!</definedName>
    <definedName name="_1724bdia6_6_1_1">#REF!</definedName>
    <definedName name="_1729BJ_5_1">#REF!</definedName>
    <definedName name="_172dstib2100_2_1">#REF!</definedName>
    <definedName name="_1734BJ_6_1">#REF!</definedName>
    <definedName name="_1739BJ_6_1_1">#REF!</definedName>
    <definedName name="_173dstib2120_1_1">#REF!</definedName>
    <definedName name="_1746bmcb_5_1">#REF!</definedName>
    <definedName name="_174dstib2120_2_1">#REF!</definedName>
    <definedName name="_175_Q_6_1_1">#REF!</definedName>
    <definedName name="_1751bmcb_6_1">#REF!</definedName>
    <definedName name="_1756bmcb_6_1_1">#REF!</definedName>
    <definedName name="_175dstib250_1_1">#REF!</definedName>
    <definedName name="_1761BS_5_1">#REF!</definedName>
    <definedName name="_1766BS_6_1">#REF!</definedName>
    <definedName name="_176dstib250_2_1">#REF!</definedName>
    <definedName name="_1771BS_6_1_1">#REF!</definedName>
    <definedName name="_1776C_1_5_1">#REF!</definedName>
    <definedName name="_177dstib260_1_1">#REF!</definedName>
    <definedName name="_1781C_1_6_1">#REF!</definedName>
    <definedName name="_1786C_1_6_1_1">#REF!</definedName>
    <definedName name="_178dstib260_2_1">#REF!</definedName>
    <definedName name="_179_R_1">#REF!</definedName>
    <definedName name="_1791C_2_5_1">#REF!</definedName>
    <definedName name="_1796C_2_6_1">#REF!</definedName>
    <definedName name="_179dstib280_1_1">#REF!</definedName>
    <definedName name="_18">#REF!</definedName>
    <definedName name="_18__123Graph_CCHART_5L" hidden="1">#REF!</definedName>
    <definedName name="_18_750_KVA_X_64___1">#REF!</definedName>
    <definedName name="_180_S_1">#REF!</definedName>
    <definedName name="_1801C_2_6_1_1">#REF!</definedName>
    <definedName name="_1806cas80_5_1">#REF!</definedName>
    <definedName name="_180dstib280_2_1">#REF!</definedName>
    <definedName name="_1811cas80_6_1">#REF!</definedName>
    <definedName name="_1816cas80_6_1_1">#REF!</definedName>
    <definedName name="_181E_1_1">#REF!</definedName>
    <definedName name="_1821casf80_5_1">#REF!</definedName>
    <definedName name="_1826casf80_6_1">#REF!</definedName>
    <definedName name="_182Excel_BuiltIn_Print_Area_1_1">#REF!</definedName>
    <definedName name="_1831casf80_6_1_1">#REF!</definedName>
    <definedName name="_1836cvd100_5_1">#REF!</definedName>
    <definedName name="_183Excel_BuiltIn_Print_Area_10_1_1">#REF!</definedName>
    <definedName name="_1841cvd100_6_1">#REF!</definedName>
    <definedName name="_1846cvd100_6_1_1">#REF!</definedName>
    <definedName name="_184Excel_BuiltIn_Print_Area_11_1_1">#REF!</definedName>
    <definedName name="_185_S_1_1">#REF!</definedName>
    <definedName name="_1851cvd15_5_1">#REF!</definedName>
    <definedName name="_1856cvd15_6_1">#REF!</definedName>
    <definedName name="_185Excel_BuiltIn_Print_Area_12_1_1">#REF!</definedName>
    <definedName name="_1861cvd15_6_1_1">#REF!</definedName>
    <definedName name="_1866cvd150_5_1">#REF!</definedName>
    <definedName name="_186Excel_BuiltIn_Print_Area_13_1_1">#REF!</definedName>
    <definedName name="_1871cvd150_6_1">#REF!</definedName>
    <definedName name="_1876cvd150_6_1_1">#REF!</definedName>
    <definedName name="_187Excel_BuiltIn_Print_Area_15_1">#REF!</definedName>
    <definedName name="_1881cvd50_5_1">#REF!</definedName>
    <definedName name="_1886cvd50_6_1">#REF!</definedName>
    <definedName name="_188Excel_BuiltIn_Print_Area_15_1_1">#REF!</definedName>
    <definedName name="_1891cvd50_6_1_1">#REF!</definedName>
    <definedName name="_1896cvd65_5_1">#REF!</definedName>
    <definedName name="_189Excel_BuiltIn_Print_Area_15_1_1_1">#REF!</definedName>
    <definedName name="_18CSTON2_3">#REF!</definedName>
    <definedName name="_19">#REF!</definedName>
    <definedName name="_19__123Graph_DCHART_3J" hidden="1">#REF!</definedName>
    <definedName name="_19__123Graph_FCHART_3J" hidden="1">#REF!</definedName>
    <definedName name="_190_S_1_1_1">#REF!</definedName>
    <definedName name="_1901cvd65_6_1">#REF!</definedName>
    <definedName name="_1906cvd65_6_1_1">#REF!</definedName>
    <definedName name="_190Excel_BuiltIn_Print_Area_2_1">#REF!</definedName>
    <definedName name="_1911D_1_1">#REF!</definedName>
    <definedName name="_1916D_1_1_1">#REF!</definedName>
    <definedName name="_191Excel_BuiltIn_Print_Area_3_1_1">#REF!</definedName>
    <definedName name="_1921D_1_5_1">#REF!</definedName>
    <definedName name="_1926D_1_6_1">#REF!</definedName>
    <definedName name="_192Excel_BuiltIn_Print_Area_4_1">#REF!</definedName>
    <definedName name="_1931D_1_6_1_1">#REF!</definedName>
    <definedName name="_1936D_5_1">#REF!</definedName>
    <definedName name="_193Excel_BuiltIn_Print_Area_7_1">#REF!</definedName>
    <definedName name="_1941D_6_1">#REF!</definedName>
    <definedName name="_1946D_6_1_1">#REF!</definedName>
    <definedName name="_194Excel_BuiltIn_Print_Area_8_1_1">#REF!</definedName>
    <definedName name="_195_S_1_6_1">#REF!</definedName>
    <definedName name="_1951daa_6_1">#REF!</definedName>
    <definedName name="_1956daa_6_1_1">#REF!</definedName>
    <definedName name="_1959Daf.4_5_1">#REF!</definedName>
    <definedName name="_195Excel_BuiltIn_Print_Area_8_1_1_1">#REF!</definedName>
    <definedName name="_1964Daf.4_6_1">#REF!</definedName>
    <definedName name="_1967Daf.4_6_1_1">#REF!</definedName>
    <definedName name="_196Excel_BuiltIn_Print_Area_8_1_1_1_1">#REF!</definedName>
    <definedName name="_1972DAF_10_6_1">#REF!</definedName>
    <definedName name="_1977DAF_10_6_1_1">#REF!</definedName>
    <definedName name="_197Excel_BuiltIn_Print_Area_8_1_1_1_1_1">#REF!</definedName>
    <definedName name="_1982DAF_4_6_1">#REF!</definedName>
    <definedName name="_1987DAF_4_6_1_1">#REF!</definedName>
    <definedName name="_198Excel_BuiltIn_Print_Area_9_1">#REF!,#REF!</definedName>
    <definedName name="_1992DAF10_6_1">#REF!</definedName>
    <definedName name="_1997DAF10_6_1_1">#REF!</definedName>
    <definedName name="_199Excel_BuiltIn_Print_Area_9_1_1">#REF!</definedName>
    <definedName name="_1A">#REF!</definedName>
    <definedName name="_1A_2_1">#REF!</definedName>
    <definedName name="_1CHECK_UNIT">#REF!</definedName>
    <definedName name="_1Excel_BuiltIn_Print_Area_4_1">#REF!</definedName>
    <definedName name="_1Excel_BuiltIn_Print_Area_9_1">#REF!,#REF!</definedName>
    <definedName name="_1K.615_SCREEN">#REF!</definedName>
    <definedName name="_1SPBA_I">#REF!</definedName>
    <definedName name="_2">#N/A</definedName>
    <definedName name="_2.">#REF!</definedName>
    <definedName name="_2.02">#REF!</definedName>
    <definedName name="_2.2">#REF!</definedName>
    <definedName name="_2__123Graph_ACHART_1" hidden="1">#REF!</definedName>
    <definedName name="_2__123Graph_ACHART_3J" hidden="1">#REF!</definedName>
    <definedName name="_2__123Graph_ACHART_4K" hidden="1">#REF!</definedName>
    <definedName name="_2__Excel_BuiltIn_Print_Area_4_1_1">#REF!</definedName>
    <definedName name="_2_一覧表_棟別_">#REF!</definedName>
    <definedName name="_2’??">#REF!</definedName>
    <definedName name="_20__123Graph_DCHART_4K" hidden="1">#REF!</definedName>
    <definedName name="_20__123Graph_FCHART_5L" hidden="1">#REF!</definedName>
    <definedName name="_20’??">#REF!</definedName>
    <definedName name="_200_S_1_6_1_1">#REF!</definedName>
    <definedName name="_2002daf32_6_1">#REF!</definedName>
    <definedName name="_2007daf32_6_1_1">#REF!</definedName>
    <definedName name="_200Excel_BuiltIn_Print_Titles_11_1_1">#REF!</definedName>
    <definedName name="_2012daf33_6_1">#REF!</definedName>
    <definedName name="_2017daf33_6_1_1">#REF!</definedName>
    <definedName name="_201Excel_BuiltIn_Print_Titles_4_1">#REF!</definedName>
    <definedName name="_2022dak_6_1">#REF!</definedName>
    <definedName name="_2027dak_6_1_1">#REF!</definedName>
    <definedName name="_202pab100_1_1">#REF!</definedName>
    <definedName name="_2032DAX_5_1">#REF!</definedName>
    <definedName name="_2037DAX_6_1">#REF!</definedName>
    <definedName name="_203pab100_2_1">#REF!</definedName>
    <definedName name="_2042DAX_6_1_1">#REF!</definedName>
    <definedName name="_2047DBX_5_1">#REF!</definedName>
    <definedName name="_204pab15_1_1">#REF!</definedName>
    <definedName name="_205_S_3_6_1">#REF!</definedName>
    <definedName name="_2052DBX_6_1">#REF!</definedName>
    <definedName name="_2057DBX_6_1_1">#REF!</definedName>
    <definedName name="_205pab15_2_1">#REF!</definedName>
    <definedName name="_2062DCX_5_1">#REF!</definedName>
    <definedName name="_2067DCX_6_1">#REF!</definedName>
    <definedName name="_206pab150_1_1">#REF!</definedName>
    <definedName name="_2072DCX_6_1_1">#REF!</definedName>
    <definedName name="_2077DDX_5_1">#REF!</definedName>
    <definedName name="_207pab150_2_1">#REF!</definedName>
    <definedName name="_2082DDX_6_1">#REF!</definedName>
    <definedName name="_2087DDX_6_1_1">#REF!</definedName>
    <definedName name="_208pab2_1_1">#REF!</definedName>
    <definedName name="_2092detib2100_5_1">#REF!</definedName>
    <definedName name="_2097detib2100_6_1">#REF!</definedName>
    <definedName name="_209pab2_2_1">#REF!</definedName>
    <definedName name="_21__123Graph_DCHART_5L" hidden="1">#REF!</definedName>
    <definedName name="_210_S_3_6_1_1">#REF!</definedName>
    <definedName name="_2102detib2100_6_1_1">#REF!</definedName>
    <definedName name="_2107detib2120_5_1">#REF!</definedName>
    <definedName name="_210pab20_1_1">#REF!</definedName>
    <definedName name="_2112detib2120_6_1">#REF!</definedName>
    <definedName name="_2117detib2120_6_1_1">#REF!</definedName>
    <definedName name="_211pab20_2_1">#REF!</definedName>
    <definedName name="_2122detib250_5_1">#REF!</definedName>
    <definedName name="_2127detib250_6_1">#REF!</definedName>
    <definedName name="_212pab25_1_1">#REF!</definedName>
    <definedName name="_2132detib250_6_1_1">#REF!</definedName>
    <definedName name="_2137detib260_5_1">#REF!</definedName>
    <definedName name="_213pab25_2_1">#REF!</definedName>
    <definedName name="_2142detib260_6_1">#REF!</definedName>
    <definedName name="_2147detib260_6_1_1">#REF!</definedName>
    <definedName name="_214pab32_1_1">#REF!</definedName>
    <definedName name="_215_S_4_6_1">#REF!</definedName>
    <definedName name="_2152detib280_5_1">#REF!</definedName>
    <definedName name="_2157detib280_6_1">#REF!</definedName>
    <definedName name="_215pab32_2_1">#REF!</definedName>
    <definedName name="_2162detib280_6_1_1">#REF!</definedName>
    <definedName name="_2167dgk_6_1">#REF!</definedName>
    <definedName name="_216pab4_1_1">#REF!</definedName>
    <definedName name="_2172dgk_6_1_1">#REF!</definedName>
    <definedName name="_2177dia6_5_1">#REF!</definedName>
    <definedName name="_217pab4_2_1">#REF!</definedName>
    <definedName name="_2182dia6_6_1">#REF!</definedName>
    <definedName name="_2187dia6_6_1_1">#REF!</definedName>
    <definedName name="_218pab40_1_1">#REF!</definedName>
    <definedName name="_2192dka_6_1">#REF!</definedName>
    <definedName name="_2197dka_6_1_1">#REF!</definedName>
    <definedName name="_219pab40_2_1">#REF!</definedName>
    <definedName name="_21A_1_1">#REF!</definedName>
    <definedName name="_21FA">#REF!</definedName>
    <definedName name="_21PK">#REF!</definedName>
    <definedName name="_22__123Graph_ECHART_3J" hidden="1">#REF!</definedName>
    <definedName name="_220_S_4_7_1">#REF!</definedName>
    <definedName name="_2202dkk_6_1">#REF!</definedName>
    <definedName name="_2207dkk_6_1_1">#REF!</definedName>
    <definedName name="_220pab50_1_1">#REF!</definedName>
    <definedName name="_2212dlpar38120_5_1">#REF!</definedName>
    <definedName name="_2217dlpar38120_6_1">#REF!</definedName>
    <definedName name="_221pab50_2_1">#REF!</definedName>
    <definedName name="_2222dlpar38120_6_1_1">#REF!</definedName>
    <definedName name="_2227dlplc13w_5_1">#REF!</definedName>
    <definedName name="_222pab6_1_1">#REF!</definedName>
    <definedName name="_2232dlplc13w_6_1">#REF!</definedName>
    <definedName name="_2237dlplc13w_6_1_1">#REF!</definedName>
    <definedName name="_223pab6_2_1">#REF!</definedName>
    <definedName name="_2242dlplc13wbimc_5_1">#REF!</definedName>
    <definedName name="_2247dlplc13wbimc_6_1">#REF!</definedName>
    <definedName name="_224pab80_1_1">#REF!</definedName>
    <definedName name="_225_S_5_1">#REF!</definedName>
    <definedName name="_2252dlplc13wbimc_6_1_1">#REF!</definedName>
    <definedName name="_2255DODOL_6_1">#REF!</definedName>
    <definedName name="_2258DODOL_6_1_1">#REF!</definedName>
    <definedName name="_225pab80_2_1">#REF!</definedName>
    <definedName name="_2263DOMBA_6_1">#REF!</definedName>
    <definedName name="_2268DOMBA_6_1_1">#REF!</definedName>
    <definedName name="_226pabf100_1_1">#REF!</definedName>
    <definedName name="_2273dpa_6_1">#REF!</definedName>
    <definedName name="_2278dpa_6_1_1">#REF!</definedName>
    <definedName name="_227pabf100_2_1">#REF!</definedName>
    <definedName name="_2283dpk_6_1">#REF!</definedName>
    <definedName name="_2288dpk_6_1_1">#REF!</definedName>
    <definedName name="_228pabf150_1_1">#REF!</definedName>
    <definedName name="_2293drilb2100_5_1">#REF!</definedName>
    <definedName name="_2298drilb2100_6_1">#REF!</definedName>
    <definedName name="_229pabf150_2_1">#REF!</definedName>
    <definedName name="_22A">'[13]I-KAMAR'!#REF!</definedName>
    <definedName name="_22A_1_1_1">#REF!</definedName>
    <definedName name="_22FA">'[14]2.1'!#REF!</definedName>
    <definedName name="_22PK">'[14]2.1'!#REF!</definedName>
    <definedName name="_23_?≫?">#REF!</definedName>
    <definedName name="_23__123Graph_ECHART_5L" hidden="1">#REF!</definedName>
    <definedName name="_230_S_5_6_1">#REF!</definedName>
    <definedName name="_2303drilb2100_6_1_1">#REF!</definedName>
    <definedName name="_2308drilb2120_5_1">#REF!</definedName>
    <definedName name="_230pabf4_1_1">#REF!</definedName>
    <definedName name="_2313drilb2120_6_1">#REF!</definedName>
    <definedName name="_2318drilb2120_6_1_1">#REF!</definedName>
    <definedName name="_231FA">'[14]2.1'!#REF!</definedName>
    <definedName name="_231pabf4_2_1">#REF!</definedName>
    <definedName name="_231PK">'[14]2.1'!#REF!</definedName>
    <definedName name="_2323drilb250_5_1">#REF!</definedName>
    <definedName name="_2328drilb250_6_1">#REF!</definedName>
    <definedName name="_232FA">'[14]2.1'!#REF!</definedName>
    <definedName name="_232pabf6_1_1">#REF!</definedName>
    <definedName name="_232PK">'[14]2.1'!#REF!</definedName>
    <definedName name="_2333drilb250_6_1_1">#REF!</definedName>
    <definedName name="_2338drilb260_5_1">#REF!</definedName>
    <definedName name="_233FA">'[14]2.1'!#REF!</definedName>
    <definedName name="_233pabf6_2_1">#REF!</definedName>
    <definedName name="_233PK">'[14]2.1'!#REF!</definedName>
    <definedName name="_2343drilb260_6_1">#REF!</definedName>
    <definedName name="_2348drilb260_6_1_1">#REF!</definedName>
    <definedName name="_234pabf80_1_1">#REF!</definedName>
    <definedName name="_235_S_5_6_1_1">#REF!</definedName>
    <definedName name="_2353drilb280_5_1">#REF!</definedName>
    <definedName name="_2358drilb280_6_1">#REF!</definedName>
    <definedName name="_235pabf80_2_1">#REF!</definedName>
    <definedName name="_2363drilb280_6_1_1">#REF!</definedName>
    <definedName name="_2368drildl3a100_5_1">#REF!</definedName>
    <definedName name="_236pak100_1_1">#REF!</definedName>
    <definedName name="_2373drildl3a100_6_1">#REF!</definedName>
    <definedName name="_2378drildl3a100_6_1_1">#REF!</definedName>
    <definedName name="_237pak100_2_1">#REF!</definedName>
    <definedName name="_2383drildl3a120_5_1">#REF!</definedName>
    <definedName name="_2388drildl3a120_6_1">#REF!</definedName>
    <definedName name="_238pak150_1_1">#REF!</definedName>
    <definedName name="_2393drildl3a120_6_1_1">#REF!</definedName>
    <definedName name="_2398drildl3a50_5_1">#REF!</definedName>
    <definedName name="_239pak150_2_1">#REF!</definedName>
    <definedName name="_23A_1_1_2">#REF!</definedName>
    <definedName name="_24’??">#REF!</definedName>
    <definedName name="_240_S_6_1">#REF!</definedName>
    <definedName name="_2403drildl3a50_6_1">#REF!</definedName>
    <definedName name="_2408drildl3a50_6_1_1">#REF!</definedName>
    <definedName name="_240pak50_1_1">#REF!</definedName>
    <definedName name="_241">'[15]2.1'!#REF!</definedName>
    <definedName name="_2413drildl3a60_5_1">#REF!</definedName>
    <definedName name="_2418drildl3a60_6_1">#REF!</definedName>
    <definedName name="_241FA">'[14]2.1'!#REF!</definedName>
    <definedName name="_241pak50_2_1">#REF!</definedName>
    <definedName name="_241PK">'[14]2.1'!#REF!</definedName>
    <definedName name="_2423drildl3a60_6_1_1">#REF!</definedName>
    <definedName name="_2428drildl3a80_5_1">#REF!</definedName>
    <definedName name="_242FA">'[14]2.1'!#REF!</definedName>
    <definedName name="_242pak80_1_1">#REF!</definedName>
    <definedName name="_242PK">'[14]2.1'!#REF!</definedName>
    <definedName name="_2433drildl3a80_6_1">#REF!</definedName>
    <definedName name="_2438drildl3a80_6_1_1">#REF!</definedName>
    <definedName name="_243FA">'[14]2.1'!#REF!</definedName>
    <definedName name="_243pak80_2_1">#REF!</definedName>
    <definedName name="_243PK">'[14]2.1'!#REF!</definedName>
    <definedName name="_2443drill1100_5_1">#REF!</definedName>
    <definedName name="_2448drill1100_6_1">#REF!</definedName>
    <definedName name="_244paket_1_1">#REF!</definedName>
    <definedName name="_245_S_6_1_1">#REF!</definedName>
    <definedName name="_2453drill1100_6_1_1">#REF!</definedName>
    <definedName name="_2458drill1120_5_1">#REF!</definedName>
    <definedName name="_245PAKET_2_1">#REF!</definedName>
    <definedName name="_2463drill1120_6_1">#REF!</definedName>
    <definedName name="_2468drill1120_6_1_1">#REF!</definedName>
    <definedName name="_246pakf100_1_1">#REF!</definedName>
    <definedName name="_2473drill150_5_1">#REF!</definedName>
    <definedName name="_2478drill150_6_1">#REF!</definedName>
    <definedName name="_247pakf100_2_1">#REF!</definedName>
    <definedName name="_2483drill150_6_1_1">#REF!</definedName>
    <definedName name="_2488drill160_5_1">#REF!</definedName>
    <definedName name="_248pakf150_1_1">#REF!</definedName>
    <definedName name="_2493drill160_6_1">#REF!</definedName>
    <definedName name="_2498drill160_6_1_1">#REF!</definedName>
    <definedName name="_249pakf150_2_1">#REF!</definedName>
    <definedName name="_24A_2_1">#REF!</definedName>
    <definedName name="_250_S_7_1">#REF!</definedName>
    <definedName name="_2503drill180_5_1">#REF!</definedName>
    <definedName name="_2508drill180_6_1">#REF!</definedName>
    <definedName name="_250pakf80_1_1">#REF!</definedName>
    <definedName name="_2513drill180_6_1_1">#REF!</definedName>
    <definedName name="_2518drill3100_5_1">#REF!</definedName>
    <definedName name="_251pakf80_2_1">#REF!</definedName>
    <definedName name="_2523drill3100_6_1">#REF!</definedName>
    <definedName name="_2528drill3100_6_1_1">#REF!</definedName>
    <definedName name="_252pc80_1_1">#REF!</definedName>
    <definedName name="_2533drill3120_5_1">#REF!</definedName>
    <definedName name="_2538drill3120_6_1">#REF!</definedName>
    <definedName name="_253pc80_2_1">#REF!</definedName>
    <definedName name="_254_T_1">#REF!</definedName>
    <definedName name="_2543drill3120_6_1_1">#REF!</definedName>
    <definedName name="_2548drill350_5_1">#REF!</definedName>
    <definedName name="_254pcf80_1_1">#REF!</definedName>
    <definedName name="_255_U_1">#REF!</definedName>
    <definedName name="_2553drill350_6_1">#REF!</definedName>
    <definedName name="_2558drill350_6_1_1">#REF!</definedName>
    <definedName name="_255pcf80_2_1">#REF!</definedName>
    <definedName name="_2563drill360_5_1">#REF!</definedName>
    <definedName name="_2568drill360_6_1">#REF!</definedName>
    <definedName name="_256phf100_1_1">#REF!</definedName>
    <definedName name="_257_V_1">#REF!</definedName>
    <definedName name="_2573drill360_6_1_1">#REF!</definedName>
    <definedName name="_2578drill380_5_1">#REF!</definedName>
    <definedName name="_257phf100_2_1">#REF!</definedName>
    <definedName name="_2583drill380_6_1">#REF!</definedName>
    <definedName name="_2588drill380_6_1_1">#REF!</definedName>
    <definedName name="_258phf150_1_1">#REF!</definedName>
    <definedName name="_259_V_2">#REF!</definedName>
    <definedName name="_2593drill5100_5_1">#REF!</definedName>
    <definedName name="_2598drill5100_6_1">#REF!</definedName>
    <definedName name="_259phf150_2_1">#REF!</definedName>
    <definedName name="_25A_2_1_1">#REF!</definedName>
    <definedName name="_25BATU_KALI_1_5">#REF!</definedName>
    <definedName name="_25Excel_BuiltIn_Print_Area_9_1">#REF!,#REF!</definedName>
    <definedName name="_26__123Graph_BCHART_3J" hidden="1">#REF!</definedName>
    <definedName name="_2603drill5100_6_1_1">#REF!</definedName>
    <definedName name="_2608drill5120_5_1">#REF!</definedName>
    <definedName name="_260Print_Area_MI_1_1">#REF!</definedName>
    <definedName name="_261_V_3">#REF!</definedName>
    <definedName name="_2613drill5120_6_1">#REF!</definedName>
    <definedName name="_2618drill5120_6_1_1">#REF!</definedName>
    <definedName name="_2623drill550_5_1">#REF!</definedName>
    <definedName name="_2628drill550_6_1">#REF!</definedName>
    <definedName name="_263_W_1">#REF!</definedName>
    <definedName name="_2633drill550_6_1_1">#REF!</definedName>
    <definedName name="_2638drill560_5_1">#REF!</definedName>
    <definedName name="_263pv100_1_1">#REF!</definedName>
    <definedName name="_2643drill560_6_1">#REF!</definedName>
    <definedName name="_2648drill560_6_1_1">#REF!</definedName>
    <definedName name="_264pv100_2_1">#REF!</definedName>
    <definedName name="_265_W_2">#REF!</definedName>
    <definedName name="_2653drill580_5_1">#REF!</definedName>
    <definedName name="_2658drill580_6_1">#REF!</definedName>
    <definedName name="_265pv40_1_1">#REF!</definedName>
    <definedName name="_2663drill580_6_1_1">#REF!</definedName>
    <definedName name="_2668drill5a100_5_1">#REF!</definedName>
    <definedName name="_266pv40_2_1">#REF!</definedName>
    <definedName name="_267_W_3">#REF!</definedName>
    <definedName name="_2673drill5a100_6_1">#REF!</definedName>
    <definedName name="_2678drill5a100_6_1_1">#REF!</definedName>
    <definedName name="_267pv50_1_1">#REF!</definedName>
    <definedName name="_2683drill5a120_5_1">#REF!</definedName>
    <definedName name="_2688drill5a120_6_1">#REF!</definedName>
    <definedName name="_268pv50_2_1">#REF!</definedName>
    <definedName name="_2693drill5a120_6_1_1">#REF!</definedName>
    <definedName name="_2698drill5a50_5_1">#REF!</definedName>
    <definedName name="_269pv80_1_1">#REF!</definedName>
    <definedName name="_26abch100_1_1">#REF!</definedName>
    <definedName name="_26Excel_BuiltIn_Print_Titles_4_1_1">#REF!,#REF!</definedName>
    <definedName name="_27__123Graph_FCHART_3J" hidden="1">#REF!</definedName>
    <definedName name="_2703drill5a50_6_1">#REF!</definedName>
    <definedName name="_2708drill5a50_6_1_1">#REF!</definedName>
    <definedName name="_270pv80_2_1">#REF!</definedName>
    <definedName name="_2713drill5a60_5_1">#REF!</definedName>
    <definedName name="_2718drill5a60_6_1">#REF!</definedName>
    <definedName name="_271pvf100_1_1">#REF!</definedName>
    <definedName name="_2723drill5a60_6_1_1">#REF!</definedName>
    <definedName name="_2728drill5a80_5_1">#REF!</definedName>
    <definedName name="_272pvf100_2_1">#REF!</definedName>
    <definedName name="_273_CSTON2_3">#REF!</definedName>
    <definedName name="_2733drill5a80_6_1">#REF!</definedName>
    <definedName name="_2738drill5a80_6_1_1">#REF!</definedName>
    <definedName name="_273pvf80_1_1">#REF!</definedName>
    <definedName name="_2743drill6a100_5_1">#REF!</definedName>
    <definedName name="_2748drill6a100_6_1">#REF!</definedName>
    <definedName name="_274pvf80_2_1">#REF!</definedName>
    <definedName name="_2753drill6a100_6_1_1">#REF!</definedName>
    <definedName name="_2758drill6a120_5_1">#REF!</definedName>
    <definedName name="_275vnt100_1_1">#REF!</definedName>
    <definedName name="_276_Y_1">#REF!</definedName>
    <definedName name="_2763drill6a120_6_1">#REF!</definedName>
    <definedName name="_2768drill6a120_6_1_1">#REF!</definedName>
    <definedName name="_276vnt100_2_1">#REF!</definedName>
    <definedName name="_277_Z_1">#REF!</definedName>
    <definedName name="_2773drill6a50_5_1">#REF!</definedName>
    <definedName name="_2778drill6a50_6_1">#REF!</definedName>
    <definedName name="_277CSTON2_3">#REF!</definedName>
    <definedName name="_277vnt40_1_1">#REF!</definedName>
    <definedName name="_2783drill6a50_6_1_1">#REF!</definedName>
    <definedName name="_2788drill6a60_5_1">#REF!</definedName>
    <definedName name="_278vnt40_2_1">#REF!</definedName>
    <definedName name="_2793drill6a60_6_1">#REF!</definedName>
    <definedName name="_2798drill6a60_6_1_1">#REF!</definedName>
    <definedName name="_279vnt50_1_1">#REF!</definedName>
    <definedName name="_27abch100_2_1">#REF!</definedName>
    <definedName name="_28__123Graph_FCHART_5L" hidden="1">#REF!</definedName>
    <definedName name="_2803drill6a80_5_1">#REF!</definedName>
    <definedName name="_2808drill6a80_6_1">#REF!</definedName>
    <definedName name="_280vnt50_2_1">#REF!</definedName>
    <definedName name="_2813drill6a80_6_1_1">#REF!</definedName>
    <definedName name="_2818drillug100_5_1">#REF!</definedName>
    <definedName name="_281vnt80_1_1">#REF!</definedName>
    <definedName name="_2823drillug100_6_1">#REF!</definedName>
    <definedName name="_2828drillug100_6_1_1">#REF!</definedName>
    <definedName name="_282vnt80_2_1">#REF!</definedName>
    <definedName name="_2833drillug120_5_1">#REF!</definedName>
    <definedName name="_2838drillug120_6_1">#REF!</definedName>
    <definedName name="_283vntf100_1_1">#REF!</definedName>
    <definedName name="_2843drillug120_6_1_1">#REF!</definedName>
    <definedName name="_2848drillug50_5_1">#REF!</definedName>
    <definedName name="_284vntf100_2_1">#REF!</definedName>
    <definedName name="_2853drillug50_6_1">#REF!</definedName>
    <definedName name="_2858drillug50_6_1_1">#REF!</definedName>
    <definedName name="_285A_1_1_1">#REF!</definedName>
    <definedName name="_285vntf80_1_1">#REF!</definedName>
    <definedName name="_2863drillug60_5_1">#REF!</definedName>
    <definedName name="_2868drillug60_6_1">#REF!</definedName>
    <definedName name="_286vntf80_2_1">#REF!</definedName>
    <definedName name="_2873drillug60_6_1_1">#REF!</definedName>
    <definedName name="_2878drillug80_5_1">#REF!</definedName>
    <definedName name="_2883drillug80_6_1">#REF!</definedName>
    <definedName name="_2888drillug80_6_1_1">#REF!</definedName>
    <definedName name="_2893dsilb2100_5_1">#REF!</definedName>
    <definedName name="_2898dsilb2100_6_1">#REF!</definedName>
    <definedName name="_28aber100_1_1">#REF!</definedName>
    <definedName name="_29__123Graph_BCHART_4K" hidden="1">#REF!</definedName>
    <definedName name="_2903dsilb2100_6_1_1">#REF!</definedName>
    <definedName name="_2908dsilb2120_5_1">#REF!</definedName>
    <definedName name="_290A_1_1_1_1">#REF!</definedName>
    <definedName name="_2913dsilb2120_6_1">#REF!</definedName>
    <definedName name="_2918dsilb2120_6_1_1">#REF!</definedName>
    <definedName name="_2923dsilb250_5_1">#REF!</definedName>
    <definedName name="_2928dsilb250_6_1">#REF!</definedName>
    <definedName name="_2933dsilb250_6_1_1">#REF!</definedName>
    <definedName name="_2938dsilb260_5_1">#REF!</definedName>
    <definedName name="_2943dsilb260_6_1">#REF!</definedName>
    <definedName name="_2948dsilb260_6_1_1">#REF!</definedName>
    <definedName name="_2953dsilb280_5_1">#REF!</definedName>
    <definedName name="_2954dsilb280_6_1">#REF!</definedName>
    <definedName name="_2955dsilb280_6_1">#REF!</definedName>
    <definedName name="_2956dsilb280_6_1">#REF!</definedName>
    <definedName name="_2957dsilb280_6_1">#REF!</definedName>
    <definedName name="_2958dsilb280_6_1">#REF!</definedName>
    <definedName name="_2959dsilb280_6_1_1">#REF!</definedName>
    <definedName name="_295A_1_5_1">#REF!</definedName>
    <definedName name="_2960dsilb280_6_1_1">#REF!</definedName>
    <definedName name="_2961dsilb280_6_1_1">#REF!</definedName>
    <definedName name="_2962dsilb280_6_1_1">#REF!</definedName>
    <definedName name="_2963dsilb280_6_1_1">#REF!</definedName>
    <definedName name="_2964dsildb2100_5_1">#REF!</definedName>
    <definedName name="_2965dsildb2100_5_1">#REF!</definedName>
    <definedName name="_2966dsildb2100_5_1">#REF!</definedName>
    <definedName name="_2967dsildb2100_5_1">#REF!</definedName>
    <definedName name="_2968dsildb2100_5_1">#REF!</definedName>
    <definedName name="_2969dsildb2100_6_1">#REF!</definedName>
    <definedName name="_2970dsildb2100_6_1">#REF!</definedName>
    <definedName name="_2971dsildb2100_6_1">#REF!</definedName>
    <definedName name="_2972dsildb2100_6_1">#REF!</definedName>
    <definedName name="_2973dsildb2100_6_1">#REF!</definedName>
    <definedName name="_2974dsildb2100_6_1_1">#REF!</definedName>
    <definedName name="_2975dsildb2100_6_1_1">#REF!</definedName>
    <definedName name="_2976dsildb2100_6_1_1">#REF!</definedName>
    <definedName name="_2977dsildb2100_6_1_1">#REF!</definedName>
    <definedName name="_2978dsildb2100_6_1_1">#REF!</definedName>
    <definedName name="_2979dsildb2120_5_1">#REF!</definedName>
    <definedName name="_2980dsildb2120_5_1">#REF!</definedName>
    <definedName name="_2981dsildb2120_5_1">#REF!</definedName>
    <definedName name="_2982dsildb2120_5_1">#REF!</definedName>
    <definedName name="_2983dsildb2120_5_1">#REF!</definedName>
    <definedName name="_2984dsildb2120_6_1">#REF!</definedName>
    <definedName name="_2985dsildb2120_6_1">#REF!</definedName>
    <definedName name="_2986dsildb2120_6_1">#REF!</definedName>
    <definedName name="_2987dsildb2120_6_1">#REF!</definedName>
    <definedName name="_2988dsildb2120_6_1">#REF!</definedName>
    <definedName name="_2989dsildb2120_6_1_1">#REF!</definedName>
    <definedName name="_2990dsildb2120_6_1_1">#REF!</definedName>
    <definedName name="_2991dsildb2120_6_1_1">#REF!</definedName>
    <definedName name="_2992dsildb2120_6_1_1">#REF!</definedName>
    <definedName name="_2993dsildb2120_6_1_1">#REF!</definedName>
    <definedName name="_2994dsildb250_5_1">#REF!</definedName>
    <definedName name="_2995dsildb250_5_1">#REF!</definedName>
    <definedName name="_2996dsildb250_5_1">#REF!</definedName>
    <definedName name="_2997dsildb250_5_1">#REF!</definedName>
    <definedName name="_2998dsildb250_5_1">#REF!</definedName>
    <definedName name="_2999dsildb250_6_1">#REF!</definedName>
    <definedName name="_29aber100_2_1">#REF!</definedName>
    <definedName name="_2CSTON2_3">#REF!</definedName>
    <definedName name="_2Excel_BuiltIn__FilterDatabase_4_1_1">#REF!</definedName>
    <definedName name="_2Excel_BuiltIn_Print_Area_7_1">#REF!</definedName>
    <definedName name="_2Excel_BuiltIn_Print_Area_8_1_1_1">#REF!</definedName>
    <definedName name="_2Excel_BuiltIn_Print_Area_9_1">#REF!,#REF!</definedName>
    <definedName name="_2K.615_SCREEN">#REF!</definedName>
    <definedName name="_2SPBA_I">#REF!</definedName>
    <definedName name="_3">#N/A</definedName>
    <definedName name="_3.">#REF!</definedName>
    <definedName name="_3.08_1_">#REF!</definedName>
    <definedName name="_3.08_8_">#REF!</definedName>
    <definedName name="_3.RekapSTR" hidden="1">#REF!</definedName>
    <definedName name="_3_?≫?">#REF!</definedName>
    <definedName name="_3__123Graph_ACHART_1" hidden="1">#REF!</definedName>
    <definedName name="_3__123Graph_ACHART_4K" hidden="1">#REF!</definedName>
    <definedName name="_3__123Graph_ACHART_5L" hidden="1">#REF!</definedName>
    <definedName name="_3_初期画面に戻">#REF!</definedName>
    <definedName name="_3_総括資_A_4縦">#REF!</definedName>
    <definedName name="_3000dsildb250_6_1">#REF!</definedName>
    <definedName name="_3001dsildb250_6_1">#REF!</definedName>
    <definedName name="_3002dsildb250_6_1">#REF!</definedName>
    <definedName name="_3003dsildb250_6_1">#REF!</definedName>
    <definedName name="_3004dsildb250_6_1_1">#REF!</definedName>
    <definedName name="_3005dsildb250_6_1_1">#REF!</definedName>
    <definedName name="_3006dsildb250_6_1_1">#REF!</definedName>
    <definedName name="_3007dsildb250_6_1_1">#REF!</definedName>
    <definedName name="_3008dsildb250_6_1_1">#REF!</definedName>
    <definedName name="_3009dsildb260_5_1">#REF!</definedName>
    <definedName name="_3010dsildb260_5_1">#REF!</definedName>
    <definedName name="_3011dsildb260_5_1">#REF!</definedName>
    <definedName name="_3012dsildb260_5_1">#REF!</definedName>
    <definedName name="_3013dsildb260_5_1">#REF!</definedName>
    <definedName name="_3014dsildb260_6_1">#REF!</definedName>
    <definedName name="_3015dsildb260_6_1">#REF!</definedName>
    <definedName name="_3016dsildb260_6_1">#REF!</definedName>
    <definedName name="_3017dsildb260_6_1">#REF!</definedName>
    <definedName name="_3018dsildb260_6_1">#REF!</definedName>
    <definedName name="_3019dsildb260_6_1_1">#REF!</definedName>
    <definedName name="_3020dsildb260_6_1_1">#REF!</definedName>
    <definedName name="_3021dsildb260_6_1_1">#REF!</definedName>
    <definedName name="_3022dsildb260_6_1_1">#REF!</definedName>
    <definedName name="_3023dsildb260_6_1_1">#REF!</definedName>
    <definedName name="_3024dsildb280_5_1">#REF!</definedName>
    <definedName name="_3025dsildb280_5_1">#REF!</definedName>
    <definedName name="_3026dsildb280_5_1">#REF!</definedName>
    <definedName name="_3027dsildb280_5_1">#REF!</definedName>
    <definedName name="_3028dsildb280_5_1">#REF!</definedName>
    <definedName name="_3029dsildb280_6_1">#REF!</definedName>
    <definedName name="_3030dsildb280_6_1">#REF!</definedName>
    <definedName name="_3031dsildb280_6_1">#REF!</definedName>
    <definedName name="_3032dsildb280_6_1">#REF!</definedName>
    <definedName name="_3033dsildb280_6_1">#REF!</definedName>
    <definedName name="_3034dsildb280_6_1_1">#REF!</definedName>
    <definedName name="_3035dsildb280_6_1_1">#REF!</definedName>
    <definedName name="_3036dsildb280_6_1_1">#REF!</definedName>
    <definedName name="_3037dsildb280_6_1_1">#REF!</definedName>
    <definedName name="_3038dsildb280_6_1_1">#REF!</definedName>
    <definedName name="_3039dsildl1100_5_1">#REF!</definedName>
    <definedName name="_303A_2_1_1_1">#REF!</definedName>
    <definedName name="_3040dsildl1100_5_1">#REF!</definedName>
    <definedName name="_3041dsildl1100_5_1">#REF!</definedName>
    <definedName name="_3042dsildl1100_5_1">#REF!</definedName>
    <definedName name="_3043dsildl1100_5_1">#REF!</definedName>
    <definedName name="_3044dsildl1100_6_1">#REF!</definedName>
    <definedName name="_3045dsildl1100_6_1">#REF!</definedName>
    <definedName name="_3046dsildl1100_6_1">#REF!</definedName>
    <definedName name="_3047dsildl1100_6_1">#REF!</definedName>
    <definedName name="_3048dsildl1100_6_1">#REF!</definedName>
    <definedName name="_3049dsildl1100_6_1_1">#REF!</definedName>
    <definedName name="_3050dsildl1100_6_1_1">#REF!</definedName>
    <definedName name="_3051dsildl1100_6_1_1">#REF!</definedName>
    <definedName name="_3052dsildl1100_6_1_1">#REF!</definedName>
    <definedName name="_3053dsildl1100_6_1_1">#REF!</definedName>
    <definedName name="_3054dsildl1120_5_1">#REF!</definedName>
    <definedName name="_3055dsildl1120_5_1">#REF!</definedName>
    <definedName name="_3056dsildl1120_5_1">#REF!</definedName>
    <definedName name="_3057dsildl1120_5_1">#REF!</definedName>
    <definedName name="_3058dsildl1120_5_1">#REF!</definedName>
    <definedName name="_3059dsildl1120_6_1">#REF!</definedName>
    <definedName name="_3060dsildl1120_6_1">#REF!</definedName>
    <definedName name="_3061dsildl1120_6_1">#REF!</definedName>
    <definedName name="_3062dsildl1120_6_1">#REF!</definedName>
    <definedName name="_3063dsildl1120_6_1">#REF!</definedName>
    <definedName name="_3064dsildl1120_6_1_1">#REF!</definedName>
    <definedName name="_3065dsildl1120_6_1_1">#REF!</definedName>
    <definedName name="_3066dsildl1120_6_1_1">#REF!</definedName>
    <definedName name="_3067dsildl1120_6_1_1">#REF!</definedName>
    <definedName name="_3068dsildl1120_6_1_1">#REF!</definedName>
    <definedName name="_3069dsildl150_5_1">#REF!</definedName>
    <definedName name="_3070dsildl150_5_1">#REF!</definedName>
    <definedName name="_3071dsildl150_5_1">#REF!</definedName>
    <definedName name="_3072dsildl150_5_1">#REF!</definedName>
    <definedName name="_3073dsildl150_5_1">#REF!</definedName>
    <definedName name="_3074dsildl150_6_1">#REF!</definedName>
    <definedName name="_3075dsildl150_6_1">#REF!</definedName>
    <definedName name="_3076dsildl150_6_1">#REF!</definedName>
    <definedName name="_3077dsildl150_6_1">#REF!</definedName>
    <definedName name="_3078dsildl150_6_1">#REF!</definedName>
    <definedName name="_3079dsildl150_6_1_1">#REF!</definedName>
    <definedName name="_3080dsildl150_6_1_1">#REF!</definedName>
    <definedName name="_3081dsildl150_6_1_1">#REF!</definedName>
    <definedName name="_3082dsildl150_6_1_1">#REF!</definedName>
    <definedName name="_3083dsildl150_6_1_1">#REF!</definedName>
    <definedName name="_3084dsildl160_5_1">#REF!</definedName>
    <definedName name="_3085dsildl160_5_1">#REF!</definedName>
    <definedName name="_3086dsildl160_5_1">#REF!</definedName>
    <definedName name="_3087dsildl160_5_1">#REF!</definedName>
    <definedName name="_3088dsildl160_5_1">#REF!</definedName>
    <definedName name="_3089dsildl160_6_1">#REF!</definedName>
    <definedName name="_308A_2_5_1">#REF!</definedName>
    <definedName name="_3090dsildl160_6_1">#REF!</definedName>
    <definedName name="_3091dsildl160_6_1">#REF!</definedName>
    <definedName name="_3092dsildl160_6_1">#REF!</definedName>
    <definedName name="_3093dsildl160_6_1">#REF!</definedName>
    <definedName name="_3094dsildl160_6_1_1">#REF!</definedName>
    <definedName name="_3095dsildl160_6_1_1">#REF!</definedName>
    <definedName name="_3096dsildl160_6_1_1">#REF!</definedName>
    <definedName name="_3097dsildl160_6_1_1">#REF!</definedName>
    <definedName name="_3098dsildl160_6_1_1">#REF!</definedName>
    <definedName name="_3099dsildl180_5_1">#REF!</definedName>
    <definedName name="_30aber15_1_1">#REF!</definedName>
    <definedName name="_3100dsildl180_5_1">#REF!</definedName>
    <definedName name="_3101dsildl180_5_1">#REF!</definedName>
    <definedName name="_3102dsildl180_5_1">#REF!</definedName>
    <definedName name="_3103dsildl180_5_1">#REF!</definedName>
    <definedName name="_3104dsildl180_6_1">#REF!</definedName>
    <definedName name="_3105dsildl180_6_1">#REF!</definedName>
    <definedName name="_3106dsildl180_6_1">#REF!</definedName>
    <definedName name="_3107dsildl180_6_1">#REF!</definedName>
    <definedName name="_3108dsildl180_6_1">#REF!</definedName>
    <definedName name="_3109dsildl180_6_1_1">#REF!</definedName>
    <definedName name="_3110dsildl180_6_1_1">#REF!</definedName>
    <definedName name="_3111dsildl180_6_1_1">#REF!</definedName>
    <definedName name="_3112dsildl180_6_1_1">#REF!</definedName>
    <definedName name="_3113dsildl180_6_1_1">#REF!</definedName>
    <definedName name="_3114dsildl3100_5_1">#REF!</definedName>
    <definedName name="_3115dsildl3100_5_1">#REF!</definedName>
    <definedName name="_3116dsildl3100_5_1">#REF!</definedName>
    <definedName name="_3117dsildl3100_5_1">#REF!</definedName>
    <definedName name="_3118dsildl3100_5_1">#REF!</definedName>
    <definedName name="_3119dsildl3100_6_1">#REF!</definedName>
    <definedName name="_3120dsildl3100_6_1">#REF!</definedName>
    <definedName name="_3121dsildl3100_6_1">#REF!</definedName>
    <definedName name="_3122dsildl3100_6_1">#REF!</definedName>
    <definedName name="_3123dsildl3100_6_1">#REF!</definedName>
    <definedName name="_3124dsildl3100_6_1_1">#REF!</definedName>
    <definedName name="_3125dsildl3100_6_1_1">#REF!</definedName>
    <definedName name="_3126dsildl3100_6_1_1">#REF!</definedName>
    <definedName name="_3127dsildl3100_6_1_1">#REF!</definedName>
    <definedName name="_3128dsildl3100_6_1_1">#REF!</definedName>
    <definedName name="_3129dsildl3120_5_1">#REF!</definedName>
    <definedName name="_3130dsildl3120_5_1">#REF!</definedName>
    <definedName name="_3131dsildl3120_5_1">#REF!</definedName>
    <definedName name="_3132dsildl3120_5_1">#REF!</definedName>
    <definedName name="_3133dsildl3120_5_1">#REF!</definedName>
    <definedName name="_3134dsildl3120_6_1">#REF!</definedName>
    <definedName name="_3135dsildl3120_6_1">#REF!</definedName>
    <definedName name="_3136dsildl3120_6_1">#REF!</definedName>
    <definedName name="_3137dsildl3120_6_1">#REF!</definedName>
    <definedName name="_3138dsildl3120_6_1">#REF!</definedName>
    <definedName name="_3139dsildl3120_6_1_1">#REF!</definedName>
    <definedName name="_313A_2_6_1">#REF!</definedName>
    <definedName name="_3140dsildl3120_6_1_1">#REF!</definedName>
    <definedName name="_3141dsildl3120_6_1_1">#REF!</definedName>
    <definedName name="_3142dsildl3120_6_1_1">#REF!</definedName>
    <definedName name="_3143dsildl3120_6_1_1">#REF!</definedName>
    <definedName name="_3144dsildl350_5_1">#REF!</definedName>
    <definedName name="_3145dsildl350_5_1">#REF!</definedName>
    <definedName name="_3146dsildl350_5_1">#REF!</definedName>
    <definedName name="_3147dsildl350_5_1">#REF!</definedName>
    <definedName name="_3148dsildl350_5_1">#REF!</definedName>
    <definedName name="_3149dsildl350_6_1">#REF!</definedName>
    <definedName name="_3150dsildl350_6_1">#REF!</definedName>
    <definedName name="_3151dsildl350_6_1">#REF!</definedName>
    <definedName name="_3152dsildl350_6_1">#REF!</definedName>
    <definedName name="_3153dsildl350_6_1">#REF!</definedName>
    <definedName name="_3154dsildl350_6_1_1">#REF!</definedName>
    <definedName name="_3155dsildl350_6_1_1">#REF!</definedName>
    <definedName name="_3156dsildl350_6_1_1">#REF!</definedName>
    <definedName name="_3157dsildl350_6_1_1">#REF!</definedName>
    <definedName name="_3158dsildl350_6_1_1">#REF!</definedName>
    <definedName name="_3159dsildl360_5_1">#REF!</definedName>
    <definedName name="_3160dsildl360_5_1">#REF!</definedName>
    <definedName name="_3161dsildl360_5_1">#REF!</definedName>
    <definedName name="_3162dsildl360_5_1">#REF!</definedName>
    <definedName name="_3163dsildl360_5_1">#REF!</definedName>
    <definedName name="_3164dsildl360_6_1">#REF!</definedName>
    <definedName name="_3165dsildl360_6_1">#REF!</definedName>
    <definedName name="_3166dsildl360_6_1">#REF!</definedName>
    <definedName name="_3167dsildl360_6_1">#REF!</definedName>
    <definedName name="_3168dsildl360_6_1">#REF!</definedName>
    <definedName name="_3169dsildl360_6_1_1">#REF!</definedName>
    <definedName name="_3170dsildl360_6_1_1">#REF!</definedName>
    <definedName name="_3171dsildl360_6_1_1">#REF!</definedName>
    <definedName name="_3172dsildl360_6_1_1">#REF!</definedName>
    <definedName name="_3173dsildl360_6_1_1">#REF!</definedName>
    <definedName name="_3174dsildl380_5_1">#REF!</definedName>
    <definedName name="_3175dsildl380_5_1">#REF!</definedName>
    <definedName name="_3176dsildl380_5_1">#REF!</definedName>
    <definedName name="_3177dsildl380_5_1">#REF!</definedName>
    <definedName name="_3178dsildl380_5_1">#REF!</definedName>
    <definedName name="_3179dsildl380_6_1">#REF!</definedName>
    <definedName name="_3180dsildl380_6_1">#REF!</definedName>
    <definedName name="_3181dsildl380_6_1">#REF!</definedName>
    <definedName name="_3182dsildl380_6_1">#REF!</definedName>
    <definedName name="_3183dsildl380_6_1">#REF!</definedName>
    <definedName name="_3184dsildl380_6_1_1">#REF!</definedName>
    <definedName name="_3185dsildl380_6_1_1">#REF!</definedName>
    <definedName name="_3186dsildl380_6_1_1">#REF!</definedName>
    <definedName name="_3187dsildl380_6_1_1">#REF!</definedName>
    <definedName name="_3188dsildl380_6_1_1">#REF!</definedName>
    <definedName name="_3189dsildl3a100_5_1">#REF!</definedName>
    <definedName name="_318A_2_6_1_1">#REF!</definedName>
    <definedName name="_3190dsildl3a100_5_1">#REF!</definedName>
    <definedName name="_3191dsildl3a100_5_1">#REF!</definedName>
    <definedName name="_3192dsildl3a100_5_1">#REF!</definedName>
    <definedName name="_3193dsildl3a100_5_1">#REF!</definedName>
    <definedName name="_3194dsildl3a100_6_1">#REF!</definedName>
    <definedName name="_3195dsildl3a100_6_1">#REF!</definedName>
    <definedName name="_3196dsildl3a100_6_1">#REF!</definedName>
    <definedName name="_3197dsildl3a100_6_1">#REF!</definedName>
    <definedName name="_3198dsildl3a100_6_1">#REF!</definedName>
    <definedName name="_3199dsildl3a100_6_1_1">#REF!</definedName>
    <definedName name="_31aber15_2_1">#REF!</definedName>
    <definedName name="_32__123Graph_BCHART_5L" hidden="1">#REF!</definedName>
    <definedName name="_32_B_1">#REF!</definedName>
    <definedName name="_3200dsildl3a100_6_1_1">#REF!</definedName>
    <definedName name="_3201dsildl3a100_6_1_1">#REF!</definedName>
    <definedName name="_3202dsildl3a100_6_1_1">#REF!</definedName>
    <definedName name="_3203dsildl3a100_6_1_1">#REF!</definedName>
    <definedName name="_3204dsildl3a120_5_1">#REF!</definedName>
    <definedName name="_3205dsildl3a120_5_1">#REF!</definedName>
    <definedName name="_3206dsildl3a120_5_1">#REF!</definedName>
    <definedName name="_3207dsildl3a120_5_1">#REF!</definedName>
    <definedName name="_3208dsildl3a120_5_1">#REF!</definedName>
    <definedName name="_3209dsildl3a120_6_1">#REF!</definedName>
    <definedName name="_3210dsildl3a120_6_1">#REF!</definedName>
    <definedName name="_3211dsildl3a120_6_1">#REF!</definedName>
    <definedName name="_3212dsildl3a120_6_1">#REF!</definedName>
    <definedName name="_3213dsildl3a120_6_1">#REF!</definedName>
    <definedName name="_3214dsildl3a120_6_1_1">#REF!</definedName>
    <definedName name="_3215dsildl3a120_6_1_1">#REF!</definedName>
    <definedName name="_3216dsildl3a120_6_1_1">#REF!</definedName>
    <definedName name="_3217dsildl3a120_6_1_1">#REF!</definedName>
    <definedName name="_3218dsildl3a120_6_1_1">#REF!</definedName>
    <definedName name="_3219dsildl3a50_5_1">#REF!</definedName>
    <definedName name="_3220dsildl3a50_5_1">#REF!</definedName>
    <definedName name="_3221dsildl3a50_5_1">#REF!</definedName>
    <definedName name="_3222dsildl3a50_5_1">#REF!</definedName>
    <definedName name="_3223dsildl3a50_5_1">#REF!</definedName>
    <definedName name="_3224dsildl3a50_6_1">#REF!</definedName>
    <definedName name="_3225dsildl3a50_6_1">#REF!</definedName>
    <definedName name="_3226dsildl3a50_6_1">#REF!</definedName>
    <definedName name="_3227dsildl3a50_6_1">#REF!</definedName>
    <definedName name="_3228dsildl3a50_6_1">#REF!</definedName>
    <definedName name="_3229dsildl3a50_6_1_1">#REF!</definedName>
    <definedName name="_3230dsildl3a50_6_1_1">#REF!</definedName>
    <definedName name="_3231dsildl3a50_6_1_1">#REF!</definedName>
    <definedName name="_3232dsildl3a50_6_1_1">#REF!</definedName>
    <definedName name="_3233dsildl3a50_6_1_1">#REF!</definedName>
    <definedName name="_3234dsildl3a60_5_1">#REF!</definedName>
    <definedName name="_3235dsildl3a60_5_1">#REF!</definedName>
    <definedName name="_3236dsildl3a60_5_1">#REF!</definedName>
    <definedName name="_3237dsildl3a60_5_1">#REF!</definedName>
    <definedName name="_3238dsildl3a60_5_1">#REF!</definedName>
    <definedName name="_3239dsildl3a60_6_1">#REF!</definedName>
    <definedName name="_323A_4_6_1">#REF!</definedName>
    <definedName name="_3240dsildl3a60_6_1">#REF!</definedName>
    <definedName name="_3241dsildl3a60_6_1">#REF!</definedName>
    <definedName name="_3242dsildl3a60_6_1">#REF!</definedName>
    <definedName name="_3243dsildl3a60_6_1">#REF!</definedName>
    <definedName name="_3244dsildl3a60_6_1_1">#REF!</definedName>
    <definedName name="_3245dsildl3a60_6_1_1">#REF!</definedName>
    <definedName name="_3246dsildl3a60_6_1_1">#REF!</definedName>
    <definedName name="_3247dsildl3a60_6_1_1">#REF!</definedName>
    <definedName name="_3248dsildl3a60_6_1_1">#REF!</definedName>
    <definedName name="_3249dsildl3a80_5_1">#REF!</definedName>
    <definedName name="_3250dsildl3a80_5_1">#REF!</definedName>
    <definedName name="_3251dsildl3a80_5_1">#REF!</definedName>
    <definedName name="_3252dsildl3a80_5_1">#REF!</definedName>
    <definedName name="_3253dsildl3a80_5_1">#REF!</definedName>
    <definedName name="_3254dsildl3a80_6_1">#REF!</definedName>
    <definedName name="_3255dsildl3a80_6_1">#REF!</definedName>
    <definedName name="_3256dsildl3a80_6_1">#REF!</definedName>
    <definedName name="_3257dsildl3a80_6_1">#REF!</definedName>
    <definedName name="_3258dsildl3a80_6_1">#REF!</definedName>
    <definedName name="_3259dsildl3a80_6_1_1">#REF!</definedName>
    <definedName name="_3260dsildl3a80_6_1_1">#REF!</definedName>
    <definedName name="_3261dsildl3a80_6_1_1">#REF!</definedName>
    <definedName name="_3262dsildl3a80_6_1_1">#REF!</definedName>
    <definedName name="_3263dsildl3a80_6_1_1">#REF!</definedName>
    <definedName name="_3264dsildl5100_5_1">#REF!</definedName>
    <definedName name="_3265dsildl5100_5_1">#REF!</definedName>
    <definedName name="_3266dsildl5100_5_1">#REF!</definedName>
    <definedName name="_3267dsildl5100_5_1">#REF!</definedName>
    <definedName name="_3268dsildl5100_5_1">#REF!</definedName>
    <definedName name="_3269dsildl5100_6_1">#REF!</definedName>
    <definedName name="_3270dsildl5100_6_1">#REF!</definedName>
    <definedName name="_3271dsildl5100_6_1">#REF!</definedName>
    <definedName name="_3272dsildl5100_6_1">#REF!</definedName>
    <definedName name="_3273dsildl5100_6_1">#REF!</definedName>
    <definedName name="_3274dsildl5100_6_1_1">#REF!</definedName>
    <definedName name="_3275dsildl5100_6_1_1">#REF!</definedName>
    <definedName name="_3276dsildl5100_6_1_1">#REF!</definedName>
    <definedName name="_3277dsildl5100_6_1_1">#REF!</definedName>
    <definedName name="_3278dsildl5100_6_1_1">#REF!</definedName>
    <definedName name="_3279dsildl5120_5_1">#REF!</definedName>
    <definedName name="_3280dsildl5120_5_1">#REF!</definedName>
    <definedName name="_3281dsildl5120_5_1">#REF!</definedName>
    <definedName name="_3282dsildl5120_5_1">#REF!</definedName>
    <definedName name="_3283dsildl5120_5_1">#REF!</definedName>
    <definedName name="_3284dsildl5120_6_1">#REF!</definedName>
    <definedName name="_3285dsildl5120_6_1">#REF!</definedName>
    <definedName name="_3286dsildl5120_6_1">#REF!</definedName>
    <definedName name="_3287dsildl5120_6_1">#REF!</definedName>
    <definedName name="_3288dsildl5120_6_1">#REF!</definedName>
    <definedName name="_3289dsildl5120_6_1_1">#REF!</definedName>
    <definedName name="_328A_4_7_1">#REF!</definedName>
    <definedName name="_3290dsildl5120_6_1_1">#REF!</definedName>
    <definedName name="_3291dsildl5120_6_1_1">#REF!</definedName>
    <definedName name="_3292dsildl5120_6_1_1">#REF!</definedName>
    <definedName name="_3293dsildl5120_6_1_1">#REF!</definedName>
    <definedName name="_3294dsildl550_5_1">#REF!</definedName>
    <definedName name="_3295dsildl550_5_1">#REF!</definedName>
    <definedName name="_3296dsildl550_5_1">#REF!</definedName>
    <definedName name="_3297dsildl550_5_1">#REF!</definedName>
    <definedName name="_3298dsildl550_5_1">#REF!</definedName>
    <definedName name="_3299dsildl550_6_1">#REF!</definedName>
    <definedName name="_32Aber150_1_1">#REF!</definedName>
    <definedName name="_3300dsildl550_6_1">#REF!</definedName>
    <definedName name="_3301dsildl550_6_1">#REF!</definedName>
    <definedName name="_3302dsildl550_6_1">#REF!</definedName>
    <definedName name="_3303dsildl550_6_1">#REF!</definedName>
    <definedName name="_3304dsildl550_6_1_1">#REF!</definedName>
    <definedName name="_3305dsildl550_6_1_1">#REF!</definedName>
    <definedName name="_3306dsildl550_6_1_1">#REF!</definedName>
    <definedName name="_3307dsildl550_6_1_1">#REF!</definedName>
    <definedName name="_3308dsildl550_6_1_1">#REF!</definedName>
    <definedName name="_3309dsildl560_5_1">#REF!</definedName>
    <definedName name="_3310dsildl560_5_1">#REF!</definedName>
    <definedName name="_3311dsildl560_5_1">#REF!</definedName>
    <definedName name="_3312dsildl560_5_1">#REF!</definedName>
    <definedName name="_3313dsildl560_5_1">#REF!</definedName>
    <definedName name="_3314dsildl560_6_1">#REF!</definedName>
    <definedName name="_3315dsildl560_6_1">#REF!</definedName>
    <definedName name="_3316dsildl560_6_1">#REF!</definedName>
    <definedName name="_3317dsildl560_6_1">#REF!</definedName>
    <definedName name="_3318dsildl560_6_1">#REF!</definedName>
    <definedName name="_3319dsildl560_6_1_1">#REF!</definedName>
    <definedName name="_3320dsildl560_6_1_1">#REF!</definedName>
    <definedName name="_3321dsildl560_6_1_1">#REF!</definedName>
    <definedName name="_3322dsildl560_6_1_1">#REF!</definedName>
    <definedName name="_3323dsildl560_6_1_1">#REF!</definedName>
    <definedName name="_3324dsildl580_5_1">#REF!</definedName>
    <definedName name="_3325dsildl580_5_1">#REF!</definedName>
    <definedName name="_3326dsildl580_5_1">#REF!</definedName>
    <definedName name="_3327dsildl580_5_1">#REF!</definedName>
    <definedName name="_3328dsildl580_5_1">#REF!</definedName>
    <definedName name="_3329dsildl580_6_1">#REF!</definedName>
    <definedName name="_3330dsildl580_6_1">#REF!</definedName>
    <definedName name="_3331dsildl580_6_1">#REF!</definedName>
    <definedName name="_3332dsildl580_6_1">#REF!</definedName>
    <definedName name="_3333dsildl580_6_1">#REF!</definedName>
    <definedName name="_3334dsildl580_6_1_1">#REF!</definedName>
    <definedName name="_3335dsildl580_6_1_1">#REF!</definedName>
    <definedName name="_3336dsildl580_6_1_1">#REF!</definedName>
    <definedName name="_3337dsildl580_6_1_1">#REF!</definedName>
    <definedName name="_3338dsildl580_6_1_1">#REF!</definedName>
    <definedName name="_3339dsildl5a100_5_1">#REF!</definedName>
    <definedName name="_333A_5_1">#REF!</definedName>
    <definedName name="_3340dsildl5a100_5_1">#REF!</definedName>
    <definedName name="_3341dsildl5a100_5_1">#REF!</definedName>
    <definedName name="_3342dsildl5a100_5_1">#REF!</definedName>
    <definedName name="_3343dsildl5a100_5_1">#REF!</definedName>
    <definedName name="_3344dsildl5a100_6_1">#REF!</definedName>
    <definedName name="_3345dsildl5a100_6_1">#REF!</definedName>
    <definedName name="_3346dsildl5a100_6_1">#REF!</definedName>
    <definedName name="_3347dsildl5a100_6_1">#REF!</definedName>
    <definedName name="_3348dsildl5a100_6_1">#REF!</definedName>
    <definedName name="_3349dsildl5a100_6_1_1">#REF!</definedName>
    <definedName name="_3350dsildl5a100_6_1_1">#REF!</definedName>
    <definedName name="_3351dsildl5a100_6_1_1">#REF!</definedName>
    <definedName name="_3352dsildl5a100_6_1_1">#REF!</definedName>
    <definedName name="_3353dsildl5a100_6_1_1">#REF!</definedName>
    <definedName name="_3354dsildl5a120_5_1">#REF!</definedName>
    <definedName name="_3355dsildl5a120_5_1">#REF!</definedName>
    <definedName name="_3356dsildl5a120_5_1">#REF!</definedName>
    <definedName name="_3357dsildl5a120_5_1">#REF!</definedName>
    <definedName name="_3358dsildl5a120_5_1">#REF!</definedName>
    <definedName name="_3359dsildl5a120_6_1">#REF!</definedName>
    <definedName name="_3360dsildl5a120_6_1">#REF!</definedName>
    <definedName name="_3361dsildl5a120_6_1">#REF!</definedName>
    <definedName name="_3362dsildl5a120_6_1">#REF!</definedName>
    <definedName name="_3363dsildl5a120_6_1">#REF!</definedName>
    <definedName name="_3364dsildl5a120_6_1_1">#REF!</definedName>
    <definedName name="_3365dsildl5a120_6_1_1">#REF!</definedName>
    <definedName name="_3366dsildl5a120_6_1_1">#REF!</definedName>
    <definedName name="_3367dsildl5a120_6_1_1">#REF!</definedName>
    <definedName name="_3368dsildl5a120_6_1_1">#REF!</definedName>
    <definedName name="_3369dsildl5a50_5_1">#REF!</definedName>
    <definedName name="_3370dsildl5a50_5_1">#REF!</definedName>
    <definedName name="_3371dsildl5a50_5_1">#REF!</definedName>
    <definedName name="_3372dsildl5a50_5_1">#REF!</definedName>
    <definedName name="_3373dsildl5a50_5_1">#REF!</definedName>
    <definedName name="_3374dsildl5a50_6_1">#REF!</definedName>
    <definedName name="_3375dsildl5a50_6_1">#REF!</definedName>
    <definedName name="_3376dsildl5a50_6_1">#REF!</definedName>
    <definedName name="_3377dsildl5a50_6_1">#REF!</definedName>
    <definedName name="_3378dsildl5a50_6_1">#REF!</definedName>
    <definedName name="_3379dsildl5a50_6_1_1">#REF!</definedName>
    <definedName name="_3380dsildl5a50_6_1_1">#REF!</definedName>
    <definedName name="_3381dsildl5a50_6_1_1">#REF!</definedName>
    <definedName name="_3382dsildl5a50_6_1_1">#REF!</definedName>
    <definedName name="_3383dsildl5a50_6_1_1">#REF!</definedName>
    <definedName name="_3384dsildl5a60_5_1">#REF!</definedName>
    <definedName name="_3385dsildl5a60_5_1">#REF!</definedName>
    <definedName name="_3386dsildl5a60_5_1">#REF!</definedName>
    <definedName name="_3387dsildl5a60_5_1">#REF!</definedName>
    <definedName name="_3388dsildl5a60_5_1">#REF!</definedName>
    <definedName name="_3389dsildl5a60_6_1">#REF!</definedName>
    <definedName name="_338A_6_1">#REF!</definedName>
    <definedName name="_3390dsildl5a60_6_1">#REF!</definedName>
    <definedName name="_3391dsildl5a60_6_1">#REF!</definedName>
    <definedName name="_3392dsildl5a60_6_1">#REF!</definedName>
    <definedName name="_3393dsildl5a60_6_1">#REF!</definedName>
    <definedName name="_3394dsildl5a60_6_1_1">#REF!</definedName>
    <definedName name="_3395dsildl5a60_6_1_1">#REF!</definedName>
    <definedName name="_3396dsildl5a60_6_1_1">#REF!</definedName>
    <definedName name="_3397dsildl5a60_6_1_1">#REF!</definedName>
    <definedName name="_3398dsildl5a60_6_1_1">#REF!</definedName>
    <definedName name="_3399dsildl5a80_5_1">#REF!</definedName>
    <definedName name="_33Aber150_2_1">#REF!</definedName>
    <definedName name="_33BEKISTING_M2">#REF!</definedName>
    <definedName name="_33CSTON2_3">#REF!</definedName>
    <definedName name="_34_B_2">#REF!</definedName>
    <definedName name="_3400dsildl5a80_5_1">#REF!</definedName>
    <definedName name="_3401dsildl5a80_5_1">#REF!</definedName>
    <definedName name="_3402dsildl5a80_5_1">#REF!</definedName>
    <definedName name="_3403dsildl5a80_5_1">#REF!</definedName>
    <definedName name="_3404dsildl5a80_6_1">#REF!</definedName>
    <definedName name="_3405dsildl5a80_6_1">#REF!</definedName>
    <definedName name="_3406dsildl5a80_6_1">#REF!</definedName>
    <definedName name="_3407dsildl5a80_6_1">#REF!</definedName>
    <definedName name="_3408dsildl5a80_6_1">#REF!</definedName>
    <definedName name="_3409dsildl5a80_6_1_1">#REF!</definedName>
    <definedName name="_3410dsildl5a80_6_1_1">#REF!</definedName>
    <definedName name="_3411dsildl5a80_6_1_1">#REF!</definedName>
    <definedName name="_3412dsildl5a80_6_1_1">#REF!</definedName>
    <definedName name="_3413dsildl5a80_6_1_1">#REF!</definedName>
    <definedName name="_3414dsildl6a100_5_1">#REF!</definedName>
    <definedName name="_3415dsildl6a100_5_1">#REF!</definedName>
    <definedName name="_3416dsildl6a100_5_1">#REF!</definedName>
    <definedName name="_3417dsildl6a100_5_1">#REF!</definedName>
    <definedName name="_3418dsildl6a100_5_1">#REF!</definedName>
    <definedName name="_3419dsildl6a100_6_1">#REF!</definedName>
    <definedName name="_3420dsildl6a100_6_1">#REF!</definedName>
    <definedName name="_3421dsildl6a100_6_1">#REF!</definedName>
    <definedName name="_3422dsildl6a100_6_1">#REF!</definedName>
    <definedName name="_3423dsildl6a100_6_1">#REF!</definedName>
    <definedName name="_3424dsildl6a100_6_1_1">#REF!</definedName>
    <definedName name="_3425dsildl6a100_6_1_1">#REF!</definedName>
    <definedName name="_3426dsildl6a100_6_1_1">#REF!</definedName>
    <definedName name="_3427dsildl6a100_6_1_1">#REF!</definedName>
    <definedName name="_3428dsildl6a100_6_1_1">#REF!</definedName>
    <definedName name="_3429dsildl6a120_5_1">#REF!</definedName>
    <definedName name="_3430dsildl6a120_5_1">#REF!</definedName>
    <definedName name="_3431dsildl6a120_5_1">#REF!</definedName>
    <definedName name="_3432dsildl6a120_5_1">#REF!</definedName>
    <definedName name="_3433dsildl6a120_5_1">#REF!</definedName>
    <definedName name="_3434dsildl6a120_6_1">#REF!</definedName>
    <definedName name="_3435dsildl6a120_6_1">#REF!</definedName>
    <definedName name="_3436dsildl6a120_6_1">#REF!</definedName>
    <definedName name="_3437dsildl6a120_6_1">#REF!</definedName>
    <definedName name="_3438dsildl6a120_6_1">#REF!</definedName>
    <definedName name="_3439dsildl6a120_6_1_1">#REF!</definedName>
    <definedName name="_343A_6_1_1">#REF!</definedName>
    <definedName name="_3440dsildl6a120_6_1_1">#REF!</definedName>
    <definedName name="_3441dsildl6a120_6_1_1">#REF!</definedName>
    <definedName name="_3442dsildl6a120_6_1_1">#REF!</definedName>
    <definedName name="_3443dsildl6a120_6_1_1">#REF!</definedName>
    <definedName name="_3444dsildl6a50_5_1">#REF!</definedName>
    <definedName name="_3445dsildl6a50_5_1">#REF!</definedName>
    <definedName name="_3446dsildl6a50_5_1">#REF!</definedName>
    <definedName name="_3447dsildl6a50_5_1">#REF!</definedName>
    <definedName name="_3448dsildl6a50_5_1">#REF!</definedName>
    <definedName name="_3449dsildl6a50_6_1">#REF!</definedName>
    <definedName name="_345">#REF!</definedName>
    <definedName name="_3450dsildl6a50_6_1">#REF!</definedName>
    <definedName name="_3451dsildl6a50_6_1">#REF!</definedName>
    <definedName name="_3452dsildl6a50_6_1">#REF!</definedName>
    <definedName name="_3453dsildl6a50_6_1">#REF!</definedName>
    <definedName name="_3454dsildl6a50_6_1_1">#REF!</definedName>
    <definedName name="_3455dsildl6a50_6_1_1">#REF!</definedName>
    <definedName name="_3456dsildl6a50_6_1_1">#REF!</definedName>
    <definedName name="_3457dsildl6a50_6_1_1">#REF!</definedName>
    <definedName name="_3458dsildl6a50_6_1_1">#REF!</definedName>
    <definedName name="_3459dsildl6a60_5_1">#REF!</definedName>
    <definedName name="_3460dsildl6a60_5_1">#REF!</definedName>
    <definedName name="_3461dsildl6a60_5_1">#REF!</definedName>
    <definedName name="_3462dsildl6a60_5_1">#REF!</definedName>
    <definedName name="_3463dsildl6a60_5_1">#REF!</definedName>
    <definedName name="_3464dsildl6a60_6_1">#REF!</definedName>
    <definedName name="_3465dsildl6a60_6_1">#REF!</definedName>
    <definedName name="_3466dsildl6a60_6_1">#REF!</definedName>
    <definedName name="_3467dsildl6a60_6_1">#REF!</definedName>
    <definedName name="_3468dsildl6a60_6_1">#REF!</definedName>
    <definedName name="_3469dsildl6a60_6_1_1">#REF!</definedName>
    <definedName name="_346A_7_1">#REF!</definedName>
    <definedName name="_3470dsildl6a60_6_1_1">#REF!</definedName>
    <definedName name="_3471dsildl6a60_6_1_1">#REF!</definedName>
    <definedName name="_3472dsildl6a60_6_1_1">#REF!</definedName>
    <definedName name="_3473dsildl6a60_6_1_1">#REF!</definedName>
    <definedName name="_3474dsildl6a80_5_1">#REF!</definedName>
    <definedName name="_3475dsildl6a80_5_1">#REF!</definedName>
    <definedName name="_3476dsildl6a80_5_1">#REF!</definedName>
    <definedName name="_3477dsildl6a80_5_1">#REF!</definedName>
    <definedName name="_3478dsildl6a80_5_1">#REF!</definedName>
    <definedName name="_3479dsildl6a80_6_1">#REF!</definedName>
    <definedName name="_3480dsildl6a80_6_1">#REF!</definedName>
    <definedName name="_3481dsildl6a80_6_1">#REF!</definedName>
    <definedName name="_3482dsildl6a80_6_1">#REF!</definedName>
    <definedName name="_3483dsildl6a80_6_1">#REF!</definedName>
    <definedName name="_3484dsildl6a80_6_1_1">#REF!</definedName>
    <definedName name="_3485dsildl6a80_6_1_1">#REF!</definedName>
    <definedName name="_3486dsildl6a80_6_1_1">#REF!</definedName>
    <definedName name="_3487dsildl6a80_6_1_1">#REF!</definedName>
    <definedName name="_3488dsildl6a80_6_1_1">#REF!</definedName>
    <definedName name="_3489dsildlug100_5_1">#REF!</definedName>
    <definedName name="_3490dsildlug100_5_1">#REF!</definedName>
    <definedName name="_3491dsildlug100_5_1">#REF!</definedName>
    <definedName name="_3492dsildlug100_5_1">#REF!</definedName>
    <definedName name="_3493dsildlug100_5_1">#REF!</definedName>
    <definedName name="_3494dsildlug100_6_1">#REF!</definedName>
    <definedName name="_3495dsildlug100_6_1">#REF!</definedName>
    <definedName name="_3496dsildlug100_6_1">#REF!</definedName>
    <definedName name="_3497dsildlug100_6_1">#REF!</definedName>
    <definedName name="_3498dsildlug100_6_1">#REF!</definedName>
    <definedName name="_3499dsildlug100_6_1_1">#REF!</definedName>
    <definedName name="_34aber2_1_1">#REF!</definedName>
    <definedName name="_34BETON_DINDING">#REF!</definedName>
    <definedName name="_3500dsildlug100_6_1_1">#REF!</definedName>
    <definedName name="_3501dsildlug100_6_1_1">#REF!</definedName>
    <definedName name="_3502dsildlug100_6_1_1">#REF!</definedName>
    <definedName name="_3503dsildlug100_6_1_1">#REF!</definedName>
    <definedName name="_3504dsildlug120_5_1">#REF!</definedName>
    <definedName name="_3505dsildlug120_5_1">#REF!</definedName>
    <definedName name="_3506dsildlug120_5_1">#REF!</definedName>
    <definedName name="_3507dsildlug120_5_1">#REF!</definedName>
    <definedName name="_3508dsildlug120_5_1">#REF!</definedName>
    <definedName name="_3509dsildlug120_6_1">#REF!</definedName>
    <definedName name="_3510dsildlug120_6_1">#REF!</definedName>
    <definedName name="_3511dsildlug120_6_1">#REF!</definedName>
    <definedName name="_3512dsildlug120_6_1">#REF!</definedName>
    <definedName name="_3513dsildlug120_6_1">#REF!</definedName>
    <definedName name="_3514dsildlug120_6_1_1">#REF!</definedName>
    <definedName name="_3515dsildlug120_6_1_1">#REF!</definedName>
    <definedName name="_3516dsildlug120_6_1_1">#REF!</definedName>
    <definedName name="_3517dsildlug120_6_1_1">#REF!</definedName>
    <definedName name="_3518dsildlug120_6_1_1">#REF!</definedName>
    <definedName name="_3519dsildlug50_5_1">#REF!</definedName>
    <definedName name="_351aax_5_1">#REF!</definedName>
    <definedName name="_3520dsildlug50_5_1">#REF!</definedName>
    <definedName name="_3521dsildlug50_5_1">#REF!</definedName>
    <definedName name="_3522dsildlug50_5_1">#REF!</definedName>
    <definedName name="_3523dsildlug50_5_1">#REF!</definedName>
    <definedName name="_3524dsildlug50_6_1">#REF!</definedName>
    <definedName name="_3525dsildlug50_6_1">#REF!</definedName>
    <definedName name="_3526dsildlug50_6_1">#REF!</definedName>
    <definedName name="_3527dsildlug50_6_1">#REF!</definedName>
    <definedName name="_3528dsildlug50_6_1">#REF!</definedName>
    <definedName name="_3529dsildlug50_6_1_1">#REF!</definedName>
    <definedName name="_3530dsildlug50_6_1_1">#REF!</definedName>
    <definedName name="_3531dsildlug50_6_1_1">#REF!</definedName>
    <definedName name="_3532dsildlug50_6_1_1">#REF!</definedName>
    <definedName name="_3533dsildlug50_6_1_1">#REF!</definedName>
    <definedName name="_3534dsildlug60_5_1">#REF!</definedName>
    <definedName name="_3535dsildlug60_5_1">#REF!</definedName>
    <definedName name="_3536dsildlug60_5_1">#REF!</definedName>
    <definedName name="_3537dsildlug60_5_1">#REF!</definedName>
    <definedName name="_3538dsildlug60_5_1">#REF!</definedName>
    <definedName name="_3539dsildlug60_6_1">#REF!</definedName>
    <definedName name="_3540dsildlug60_6_1">#REF!</definedName>
    <definedName name="_3541dsildlug60_6_1">#REF!</definedName>
    <definedName name="_3542dsildlug60_6_1">#REF!</definedName>
    <definedName name="_3543dsildlug60_6_1">#REF!</definedName>
    <definedName name="_3544dsildlug60_6_1_1">#REF!</definedName>
    <definedName name="_3545dsildlug60_6_1_1">#REF!</definedName>
    <definedName name="_3546dsildlug60_6_1_1">#REF!</definedName>
    <definedName name="_3547dsildlug60_6_1_1">#REF!</definedName>
    <definedName name="_3548dsildlug60_6_1_1">#REF!</definedName>
    <definedName name="_3549dsildlug80_5_1">#REF!</definedName>
    <definedName name="_3550dsildlug80_5_1">#REF!</definedName>
    <definedName name="_3551dsildlug80_5_1">#REF!</definedName>
    <definedName name="_3552dsildlug80_5_1">#REF!</definedName>
    <definedName name="_3553dsildlug80_5_1">#REF!</definedName>
    <definedName name="_3554dsildlug80_6_1">#REF!</definedName>
    <definedName name="_3555dsildlug80_6_1">#REF!</definedName>
    <definedName name="_3556dsildlug80_6_1">#REF!</definedName>
    <definedName name="_3557dsildlug80_6_1">#REF!</definedName>
    <definedName name="_3558dsildlug80_6_1">#REF!</definedName>
    <definedName name="_3559dsildlug80_6_1_1">#REF!</definedName>
    <definedName name="_3560dsildlug80_6_1_1">#REF!</definedName>
    <definedName name="_3561dsildlug80_6_1_1">#REF!</definedName>
    <definedName name="_3562dsildlug80_6_1_1">#REF!</definedName>
    <definedName name="_3563dsildlug80_6_1_1">#REF!</definedName>
    <definedName name="_3564dsill1100_5_1">#REF!</definedName>
    <definedName name="_3565dsill1100_5_1">#REF!</definedName>
    <definedName name="_3566dsill1100_5_1">#REF!</definedName>
    <definedName name="_3567dsill1100_5_1">#REF!</definedName>
    <definedName name="_3568dsill1100_5_1">#REF!</definedName>
    <definedName name="_3569dsill1100_6_1">#REF!</definedName>
    <definedName name="_356aax_6_1">#REF!</definedName>
    <definedName name="_3570dsill1100_6_1">#REF!</definedName>
    <definedName name="_3571dsill1100_6_1">#REF!</definedName>
    <definedName name="_3572dsill1100_6_1">#REF!</definedName>
    <definedName name="_3573dsill1100_6_1">#REF!</definedName>
    <definedName name="_3574dsill1100_6_1_1">#REF!</definedName>
    <definedName name="_3575dsill1100_6_1_1">#REF!</definedName>
    <definedName name="_3576dsill1100_6_1_1">#REF!</definedName>
    <definedName name="_3577dsill1100_6_1_1">#REF!</definedName>
    <definedName name="_3578dsill1100_6_1_1">#REF!</definedName>
    <definedName name="_3579dsill1120_5_1">#REF!</definedName>
    <definedName name="_3580dsill1120_5_1">#REF!</definedName>
    <definedName name="_3581dsill1120_5_1">#REF!</definedName>
    <definedName name="_3582dsill1120_5_1">#REF!</definedName>
    <definedName name="_3583dsill1120_5_1">#REF!</definedName>
    <definedName name="_3584dsill1120_6_1">#REF!</definedName>
    <definedName name="_3585dsill1120_6_1">#REF!</definedName>
    <definedName name="_3586dsill1120_6_1">#REF!</definedName>
    <definedName name="_3587dsill1120_6_1">#REF!</definedName>
    <definedName name="_3588dsill1120_6_1">#REF!</definedName>
    <definedName name="_3589dsill1120_6_1_1">#REF!</definedName>
    <definedName name="_3590dsill1120_6_1_1">#REF!</definedName>
    <definedName name="_3591dsill1120_6_1_1">#REF!</definedName>
    <definedName name="_3592dsill1120_6_1_1">#REF!</definedName>
    <definedName name="_3593dsill1120_6_1_1">#REF!</definedName>
    <definedName name="_3594dsill150_5_1">#REF!</definedName>
    <definedName name="_3595dsill150_5_1">#REF!</definedName>
    <definedName name="_3596dsill150_5_1">#REF!</definedName>
    <definedName name="_3597dsill150_5_1">#REF!</definedName>
    <definedName name="_3598dsill150_5_1">#REF!</definedName>
    <definedName name="_3599dsill150_6_1">#REF!</definedName>
    <definedName name="_35aber2_2_1">#REF!</definedName>
    <definedName name="_35Excel_BuiltIn_Print_Area_14_1">#REF!</definedName>
    <definedName name="_36_B_3">#REF!</definedName>
    <definedName name="_3600dsill150_6_1">#REF!</definedName>
    <definedName name="_3601dsill150_6_1">#REF!</definedName>
    <definedName name="_3602dsill150_6_1">#REF!</definedName>
    <definedName name="_3603dsill150_6_1">#REF!</definedName>
    <definedName name="_3604dsill150_6_1_1">#REF!</definedName>
    <definedName name="_3605dsill150_6_1_1">#REF!</definedName>
    <definedName name="_3606dsill150_6_1_1">#REF!</definedName>
    <definedName name="_3607dsill150_6_1_1">#REF!</definedName>
    <definedName name="_3608dsill150_6_1_1">#REF!</definedName>
    <definedName name="_3609dsill160_5_1">#REF!</definedName>
    <definedName name="_3610dsill160_5_1">#REF!</definedName>
    <definedName name="_3611dsill160_5_1">#REF!</definedName>
    <definedName name="_3612dsill160_5_1">#REF!</definedName>
    <definedName name="_3613dsill160_5_1">#REF!</definedName>
    <definedName name="_3614dsill160_6_1">#REF!</definedName>
    <definedName name="_3615dsill160_6_1">#REF!</definedName>
    <definedName name="_3616dsill160_6_1">#REF!</definedName>
    <definedName name="_3617dsill160_6_1">#REF!</definedName>
    <definedName name="_3618dsill160_6_1">#REF!</definedName>
    <definedName name="_3619dsill160_6_1_1">#REF!</definedName>
    <definedName name="_361aax_6_1_1">#REF!</definedName>
    <definedName name="_3620dsill160_6_1_1">#REF!</definedName>
    <definedName name="_3621dsill160_6_1_1">#REF!</definedName>
    <definedName name="_3622dsill160_6_1_1">#REF!</definedName>
    <definedName name="_3623dsill160_6_1_1">#REF!</definedName>
    <definedName name="_3624dsill180_6_1">#REF!</definedName>
    <definedName name="_3625dsill180_6_1">#REF!</definedName>
    <definedName name="_3626dsill180_6_1">#REF!</definedName>
    <definedName name="_3627dsill180_6_1">#REF!</definedName>
    <definedName name="_3628dsill180_6_1">#REF!</definedName>
    <definedName name="_3629dsill3100_6_1">#REF!</definedName>
    <definedName name="_3630dsill3100_6_1">#REF!</definedName>
    <definedName name="_3631dsill3100_6_1">#REF!</definedName>
    <definedName name="_3632dsill3100_6_1">#REF!</definedName>
    <definedName name="_3633dsill3100_6_1">#REF!</definedName>
    <definedName name="_3634dsill3120_6_1">#REF!</definedName>
    <definedName name="_3635dsill3120_6_1">#REF!</definedName>
    <definedName name="_3636dsill3120_6_1">#REF!</definedName>
    <definedName name="_3637dsill3120_6_1">#REF!</definedName>
    <definedName name="_3638dsill3120_6_1">#REF!</definedName>
    <definedName name="_3639dsill350_6_1">#REF!</definedName>
    <definedName name="_363ab_6_1">#REF!</definedName>
    <definedName name="_3640dsill350_6_1">#REF!</definedName>
    <definedName name="_3641dsill350_6_1">#REF!</definedName>
    <definedName name="_3642dsill350_6_1">#REF!</definedName>
    <definedName name="_3643dsill350_6_1">#REF!</definedName>
    <definedName name="_3644dsill360_6_1">#REF!</definedName>
    <definedName name="_3645dsill360_6_1">#REF!</definedName>
    <definedName name="_3646dsill360_6_1">#REF!</definedName>
    <definedName name="_3647dsill360_6_1">#REF!</definedName>
    <definedName name="_3648dsill360_6_1">#REF!</definedName>
    <definedName name="_3649dsill380_6_1">#REF!</definedName>
    <definedName name="_3650dsill380_6_1">#REF!</definedName>
    <definedName name="_3651dsill380_6_1">#REF!</definedName>
    <definedName name="_3652dsill380_6_1">#REF!</definedName>
    <definedName name="_3653dsill380_6_1">#REF!</definedName>
    <definedName name="_3654dsill3a100_6_1">#REF!</definedName>
    <definedName name="_3655dsill3a100_6_1">#REF!</definedName>
    <definedName name="_3656dsill3a100_6_1">#REF!</definedName>
    <definedName name="_3657dsill3a100_6_1">#REF!</definedName>
    <definedName name="_3658dsill3a100_6_1">#REF!</definedName>
    <definedName name="_3659dsill3a120_6_1">#REF!</definedName>
    <definedName name="_3660dsill3a120_6_1">#REF!</definedName>
    <definedName name="_3661dsill3a120_6_1">#REF!</definedName>
    <definedName name="_3662dsill3a120_6_1">#REF!</definedName>
    <definedName name="_3663dsill3a120_6_1">#REF!</definedName>
    <definedName name="_3664dsill3a50_6_1">#REF!</definedName>
    <definedName name="_3665dsill3a50_6_1">#REF!</definedName>
    <definedName name="_3666dsill3a50_6_1">#REF!</definedName>
    <definedName name="_3667dsill3a50_6_1">#REF!</definedName>
    <definedName name="_3668dsill3a50_6_1">#REF!</definedName>
    <definedName name="_3669dsill3a60_6_1">#REF!</definedName>
    <definedName name="_366ab_6_1">#REF!</definedName>
    <definedName name="_3670dsill3a60_6_1">#REF!</definedName>
    <definedName name="_3671dsill3a60_6_1">#REF!</definedName>
    <definedName name="_3672dsill3a60_6_1">#REF!</definedName>
    <definedName name="_3673dsill3a60_6_1">#REF!</definedName>
    <definedName name="_3674dsill3a80_6_1">#REF!</definedName>
    <definedName name="_3675dsill3a80_6_1">#REF!</definedName>
    <definedName name="_3676dsill3a80_6_1">#REF!</definedName>
    <definedName name="_3677dsill3a80_6_1">#REF!</definedName>
    <definedName name="_3678dsill3a80_6_1">#REF!</definedName>
    <definedName name="_3679dsill5100_6_1">#REF!</definedName>
    <definedName name="_3680dsill5100_6_1">#REF!</definedName>
    <definedName name="_3681dsill5100_6_1">#REF!</definedName>
    <definedName name="_3682dsill5100_6_1">#REF!</definedName>
    <definedName name="_3683dsill5100_6_1">#REF!</definedName>
    <definedName name="_3684dsill5120_6_1">#REF!</definedName>
    <definedName name="_3685dsill5120_6_1">#REF!</definedName>
    <definedName name="_3686dsill5120_6_1">#REF!</definedName>
    <definedName name="_3687dsill5120_6_1">#REF!</definedName>
    <definedName name="_3688dsill5120_6_1">#REF!</definedName>
    <definedName name="_3689dsill550_6_1">#REF!</definedName>
    <definedName name="_3690dsill550_6_1">#REF!</definedName>
    <definedName name="_3691dsill550_6_1">#REF!</definedName>
    <definedName name="_3692dsill550_6_1">#REF!</definedName>
    <definedName name="_3693dsill550_6_1">#REF!</definedName>
    <definedName name="_3694dsill560_6_1">#REF!</definedName>
    <definedName name="_3695dsill560_6_1">#REF!</definedName>
    <definedName name="_3696dsill560_6_1">#REF!</definedName>
    <definedName name="_3697dsill560_6_1">#REF!</definedName>
    <definedName name="_3698dsill560_6_1">#REF!</definedName>
    <definedName name="_3699dsill580_6_1">#REF!</definedName>
    <definedName name="_36aber20_1_1">#REF!</definedName>
    <definedName name="_36GALIAN_FONDASI">#REF!</definedName>
    <definedName name="_37_C_1">#REF!</definedName>
    <definedName name="_3700dsill580_6_1">#REF!</definedName>
    <definedName name="_3701dsill580_6_1">#REF!</definedName>
    <definedName name="_3702dsill580_6_1">#REF!</definedName>
    <definedName name="_3703dsill580_6_1">#REF!</definedName>
    <definedName name="_3704dsill5a100_6_1">#REF!</definedName>
    <definedName name="_3705dsill5a100_6_1">#REF!</definedName>
    <definedName name="_3706dsill5a100_6_1">#REF!</definedName>
    <definedName name="_3707dsill5a100_6_1">#REF!</definedName>
    <definedName name="_3708dsill5a100_6_1">#REF!</definedName>
    <definedName name="_3709dsill5a120_6_1">#REF!</definedName>
    <definedName name="_3710dsill5a120_6_1">#REF!</definedName>
    <definedName name="_3711dsill5a120_6_1">#REF!</definedName>
    <definedName name="_3712dsill5a120_6_1">#REF!</definedName>
    <definedName name="_3713dsill5a120_6_1">#REF!</definedName>
    <definedName name="_3714dsill5a50_6_1">#REF!</definedName>
    <definedName name="_3715dsill5a50_6_1">#REF!</definedName>
    <definedName name="_3716dsill5a50_6_1">#REF!</definedName>
    <definedName name="_3717dsill5a50_6_1">#REF!</definedName>
    <definedName name="_3718dsill5a50_6_1">#REF!</definedName>
    <definedName name="_3719dsill5a60_6_1">#REF!</definedName>
    <definedName name="_371ab_6_1_1">#REF!</definedName>
    <definedName name="_3720dsill5a60_6_1">#REF!</definedName>
    <definedName name="_3721dsill5a60_6_1">#REF!</definedName>
    <definedName name="_3722dsill5a60_6_1">#REF!</definedName>
    <definedName name="_3723dsill5a60_6_1">#REF!</definedName>
    <definedName name="_3724dsill5a80_6_1">#REF!</definedName>
    <definedName name="_3725dsill5a80_6_1">#REF!</definedName>
    <definedName name="_3726dsill5a80_6_1">#REF!</definedName>
    <definedName name="_3727dsill5a80_6_1">#REF!</definedName>
    <definedName name="_3728dsill5a80_6_1">#REF!</definedName>
    <definedName name="_3729dsill6a100_6_1">#REF!</definedName>
    <definedName name="_3730dsill6a100_6_1">#REF!</definedName>
    <definedName name="_3731dsill6a100_6_1">#REF!</definedName>
    <definedName name="_3732dsill6a100_6_1">#REF!</definedName>
    <definedName name="_3733dsill6a100_6_1">#REF!</definedName>
    <definedName name="_3734dsill6a120_6_1">#REF!</definedName>
    <definedName name="_3735dsill6a120_6_1">#REF!</definedName>
    <definedName name="_3736dsill6a120_6_1">#REF!</definedName>
    <definedName name="_3737dsill6a120_6_1">#REF!</definedName>
    <definedName name="_3738dsill6a120_6_1">#REF!</definedName>
    <definedName name="_3739dsill6a50_6_1">#REF!</definedName>
    <definedName name="_3740dsill6a50_6_1">#REF!</definedName>
    <definedName name="_3741dsill6a50_6_1">#REF!</definedName>
    <definedName name="_3742dsill6a50_6_1">#REF!</definedName>
    <definedName name="_3743dsill6a50_6_1">#REF!</definedName>
    <definedName name="_3744dsill6a60_6_1">#REF!</definedName>
    <definedName name="_3745dsill6a60_6_1">#REF!</definedName>
    <definedName name="_3746dsill6a60_6_1">#REF!</definedName>
    <definedName name="_3747dsill6a60_6_1">#REF!</definedName>
    <definedName name="_3748dsill6a60_6_1">#REF!</definedName>
    <definedName name="_3749dsill6a80_6_1">#REF!</definedName>
    <definedName name="_3750dsill6a80_6_1">#REF!</definedName>
    <definedName name="_3751dsill6a80_6_1">#REF!</definedName>
    <definedName name="_3752dsill6a80_6_1">#REF!</definedName>
    <definedName name="_3753dsill6a80_6_1">#REF!</definedName>
    <definedName name="_3754dsillug100_6_1">#REF!</definedName>
    <definedName name="_3755dsillug100_6_1">#REF!</definedName>
    <definedName name="_3756dsillug100_6_1">#REF!</definedName>
    <definedName name="_3757dsillug100_6_1">#REF!</definedName>
    <definedName name="_3758dsillug100_6_1">#REF!</definedName>
    <definedName name="_3759dsillug120_6_1">#REF!</definedName>
    <definedName name="_3760dsillug120_6_1">#REF!</definedName>
    <definedName name="_3761dsillug120_6_1">#REF!</definedName>
    <definedName name="_3762dsillug120_6_1">#REF!</definedName>
    <definedName name="_3763dsillug120_6_1">#REF!</definedName>
    <definedName name="_3764dsillug50_6_1">#REF!</definedName>
    <definedName name="_3765dsillug50_6_1">#REF!</definedName>
    <definedName name="_3766dsillug50_6_1">#REF!</definedName>
    <definedName name="_3767dsillug50_6_1">#REF!</definedName>
    <definedName name="_3768dsillug50_6_1">#REF!</definedName>
    <definedName name="_3769dsillug60_6_1">#REF!</definedName>
    <definedName name="_376abch100_5_1">#REF!</definedName>
    <definedName name="_3770dsillug60_6_1">#REF!</definedName>
    <definedName name="_3771dsillug60_6_1">#REF!</definedName>
    <definedName name="_3772dsillug60_6_1">#REF!</definedName>
    <definedName name="_3773dsillug60_6_1">#REF!</definedName>
    <definedName name="_3774dsillug80_6_1">#REF!</definedName>
    <definedName name="_3775dsillug80_6_1">#REF!</definedName>
    <definedName name="_3776dsillug80_6_1">#REF!</definedName>
    <definedName name="_3777dsillug80_6_1">#REF!</definedName>
    <definedName name="_3778dsillug80_6_1">#REF!</definedName>
    <definedName name="_3779dstib2100_6_1">#REF!</definedName>
    <definedName name="_3780dstib2100_6_1">#REF!</definedName>
    <definedName name="_3781dstib2100_6_1">#REF!</definedName>
    <definedName name="_3782dstib2100_6_1">#REF!</definedName>
    <definedName name="_3783dstib2100_6_1">#REF!</definedName>
    <definedName name="_3784dstib2120_6_1">#REF!</definedName>
    <definedName name="_3785dstib2120_6_1">#REF!</definedName>
    <definedName name="_3786dstib2120_6_1">#REF!</definedName>
    <definedName name="_3787dstib2120_6_1">#REF!</definedName>
    <definedName name="_3788dstib2120_6_1">#REF!</definedName>
    <definedName name="_3789dstib250_6_1">#REF!</definedName>
    <definedName name="_3790dstib250_6_1">#REF!</definedName>
    <definedName name="_3791dstib250_6_1">#REF!</definedName>
    <definedName name="_3792dstib250_6_1">#REF!</definedName>
    <definedName name="_3793dstib250_6_1">#REF!</definedName>
    <definedName name="_3794dstib260_6_1">#REF!</definedName>
    <definedName name="_3795dstib260_6_1">#REF!</definedName>
    <definedName name="_3796dstib260_6_1">#REF!</definedName>
    <definedName name="_3797dstib260_6_1">#REF!</definedName>
    <definedName name="_3798dstib260_6_1">#REF!</definedName>
    <definedName name="_3799dstib280_6_1">#REF!</definedName>
    <definedName name="_37aber20_2_1">#REF!</definedName>
    <definedName name="_3800dstib280_6_1">#REF!</definedName>
    <definedName name="_3801dstib280_6_1">#REF!</definedName>
    <definedName name="_3802dstib280_6_1">#REF!</definedName>
    <definedName name="_3803dstib280_6_1">#REF!</definedName>
    <definedName name="_3804E_1_1">#REF!</definedName>
    <definedName name="_3805E_1_1">#REF!</definedName>
    <definedName name="_3806E_1_1">#REF!</definedName>
    <definedName name="_3807E_1_1">#REF!</definedName>
    <definedName name="_3808E_1_1">#REF!</definedName>
    <definedName name="_3809E_1_6_1">#REF!</definedName>
    <definedName name="_3810E_1_6_1">#REF!</definedName>
    <definedName name="_3811E_1_6_1">#REF!</definedName>
    <definedName name="_3812E_1_6_1">#REF!</definedName>
    <definedName name="_3813E_1_6_1">#REF!</definedName>
    <definedName name="_3814E_6_1">#REF!</definedName>
    <definedName name="_3815E_6_1">#REF!</definedName>
    <definedName name="_3816E_6_1">#REF!</definedName>
    <definedName name="_3817E_6_1">#REF!</definedName>
    <definedName name="_3818E_6_1">#REF!</definedName>
    <definedName name="_3819EA_1">#REF!</definedName>
    <definedName name="_381abch100_6_1">#REF!</definedName>
    <definedName name="_3820EA_1">#REF!</definedName>
    <definedName name="_3821EA1.2_1">#REF!</definedName>
    <definedName name="_3822EA1.2_1">#REF!</definedName>
    <definedName name="_3823EEX_6_1">#REF!</definedName>
    <definedName name="_3824EEX_6_1">#REF!</definedName>
    <definedName name="_3825EEX_6_1">#REF!</definedName>
    <definedName name="_3826EEX_6_1">#REF!</definedName>
    <definedName name="_3827EEX_6_1">#REF!</definedName>
    <definedName name="_3828EFX_6_1">#REF!</definedName>
    <definedName name="_3829EFX_6_1">#REF!</definedName>
    <definedName name="_3830EFX_6_1">#REF!</definedName>
    <definedName name="_3831EFX_6_1">#REF!</definedName>
    <definedName name="_3832EFX_6_1">#REF!</definedName>
    <definedName name="_3833EGX_6_1">#REF!</definedName>
    <definedName name="_3834EGX_6_1">#REF!</definedName>
    <definedName name="_3835EGX_6_1">#REF!</definedName>
    <definedName name="_3836EGX_6_1">#REF!</definedName>
    <definedName name="_3837EGX_6_1">#REF!</definedName>
    <definedName name="_3838EHX_6_1">#REF!</definedName>
    <definedName name="_3839EHX_6_1">#REF!</definedName>
    <definedName name="_3840EHX_6_1">#REF!</definedName>
    <definedName name="_3841EHX_6_1">#REF!</definedName>
    <definedName name="_3842EHX_6_1">#REF!</definedName>
    <definedName name="_3843EJX_6_1">#REF!</definedName>
    <definedName name="_3844EJX_6_1">#REF!</definedName>
    <definedName name="_3845EJX_6_1">#REF!</definedName>
    <definedName name="_3846EJX_6_1">#REF!</definedName>
    <definedName name="_3847EJX_6_1">#REF!</definedName>
    <definedName name="_3848EKX_6_1">#REF!</definedName>
    <definedName name="_3849EKX_6_1">#REF!</definedName>
    <definedName name="_3850EKX_6_1">#REF!</definedName>
    <definedName name="_3851EKX_6_1">#REF!</definedName>
    <definedName name="_3852EKX_6_1">#REF!</definedName>
    <definedName name="_3853elek_6_1">#REF!</definedName>
    <definedName name="_3854elek_6_1">#REF!</definedName>
    <definedName name="_3855elek_6_1">#REF!</definedName>
    <definedName name="_3856elek_6_1">#REF!</definedName>
    <definedName name="_3857elek_6_1">#REF!</definedName>
    <definedName name="_3858ELX_6_1">#REF!</definedName>
    <definedName name="_3859ELX_6_1">#REF!</definedName>
    <definedName name="_3860ELX_6_1">#REF!</definedName>
    <definedName name="_3861ELX_6_1">#REF!</definedName>
    <definedName name="_3862ELX_6_1">#REF!</definedName>
    <definedName name="_3863eol_6_1">#REF!</definedName>
    <definedName name="_3864eol_6_1">#REF!</definedName>
    <definedName name="_3865eol_6_1">#REF!</definedName>
    <definedName name="_3866eol_6_1">#REF!</definedName>
    <definedName name="_3867eol_6_1">#REF!</definedName>
    <definedName name="_3868Excel_BuiltIn_Print_Area_1">#REF!</definedName>
    <definedName name="_3869Excel_BuiltIn_Print_Area_21">#REF!</definedName>
    <definedName name="_386abch100_6_1_1">#REF!</definedName>
    <definedName name="_3870Excel_BuiltIn_Print_Area_1_1">#REF!</definedName>
    <definedName name="_3871Excel_BuiltIn_Print_Area_1_1">#REF!</definedName>
    <definedName name="_3872Excel_BuiltIn_Print_Area_1_1">#REF!</definedName>
    <definedName name="_3873Excel_BuiltIn_Print_Area_1_1_1">#REF!</definedName>
    <definedName name="_3874Excel_BuiltIn_Print_Area_1_1_1">#REF!</definedName>
    <definedName name="_3875Excel_BuiltIn_Print_Area_1_1_1">#REF!</definedName>
    <definedName name="_3876Excel_BuiltIn_Print_Area_1_1_1_1">#REF!</definedName>
    <definedName name="_3877Excel_BuiltIn_Print_Area_1_1_1_1">#REF!</definedName>
    <definedName name="_3878Excel_BuiltIn_Print_Area_1_1_1_1">#REF!</definedName>
    <definedName name="_3879Excel_BuiltIn_Print_Area_1_1_1_1_1">#REF!</definedName>
    <definedName name="_3882Excel_BuiltIn_Print_Area_1_1_1_1_1_1_1">#REF!</definedName>
    <definedName name="_3883Excel_BuiltIn_Print_Area_1_1_1_1_1_1_1">#REF!</definedName>
    <definedName name="_3884Excel_BuiltIn_Print_Area_1_1_1_17_1">#REF!</definedName>
    <definedName name="_3885Excel_BuiltIn_Print_Area_1_1_1_17_1">#REF!</definedName>
    <definedName name="_3886Excel_BuiltIn_Print_Area_1_1_37_1">#REF!</definedName>
    <definedName name="_3887Excel_BuiltIn_Print_Area_1_2_1">#REF!</definedName>
    <definedName name="_3888Excel_BuiltIn_Print_Area_12_1">#REF!</definedName>
    <definedName name="_3889Excel_BuiltIn_Print_Area_12_1">#REF!</definedName>
    <definedName name="_3890Excel_BuiltIn_Print_Area_17_1_1_1_1">#REF!</definedName>
    <definedName name="_3891Excel_BuiltIn_Print_Area_17_1_1_1_1">#REF!</definedName>
    <definedName name="_3892Excel_BuiltIn_Print_Area_2_1">#REF!</definedName>
    <definedName name="_3893Excel_BuiltIn_Print_Area_2_1">#REF!</definedName>
    <definedName name="_3894Excel_BuiltIn_Print_Area_2_1">#REF!</definedName>
    <definedName name="_3895Excel_BuiltIn_Print_Area_2_1_1">#REF!</definedName>
    <definedName name="_3896Excel_BuiltIn_Print_Area_2_1_1">#REF!</definedName>
    <definedName name="_3897Excel_BuiltIn_Print_Area_2_1_1">#REF!</definedName>
    <definedName name="_3898Excel_BuiltIn_Print_Area_2_1_1_1">#REF!</definedName>
    <definedName name="_3899Excel_BuiltIn_Print_Area_2_1_1_1">#REF!</definedName>
    <definedName name="_38aber25_1_1">#REF!</definedName>
    <definedName name="_39_CH1..H1___C__R_1">#REF!</definedName>
    <definedName name="_3900Excel_BuiltIn_Print_Area_2_1_1_1">#REF!</definedName>
    <definedName name="_3901Excel_BuiltIn_Print_Area_2_1_1_1_1_1_1">#REF!</definedName>
    <definedName name="_3902Excel_BuiltIn_Print_Area_2_1_1_1_1_1_1">#REF!</definedName>
    <definedName name="_3903Excel_BuiltIn_Print_Area_2_1_1_1_1_1_1">#REF!</definedName>
    <definedName name="_3904Excel_BuiltIn_Print_Area_27_1">#REF!</definedName>
    <definedName name="_3905Excel_BuiltIn_Print_Area_27_1">#REF!</definedName>
    <definedName name="_3906Excel_BuiltIn_Print_Area_27_1">#REF!</definedName>
    <definedName name="_3907Excel_BuiltIn_Print_Area_27_1_1">#REF!</definedName>
    <definedName name="_3908Excel_BuiltIn_Print_Area_27_1_1">#REF!</definedName>
    <definedName name="_3909Excel_BuiltIn_Print_Area_3_1">#REF!</definedName>
    <definedName name="_3910Excel_BuiltIn_Print_Area_3_1">#REF!</definedName>
    <definedName name="_3911Excel_BuiltIn_Print_Area_3_1">#REF!</definedName>
    <definedName name="_3912Excel_BuiltIn_Print_Area_3_1_1">#REF!</definedName>
    <definedName name="_3913Excel_BuiltIn_Print_Area_3_1_1">#REF!</definedName>
    <definedName name="_3914Excel_BuiltIn_Print_Area_3_1_1">#REF!</definedName>
    <definedName name="_3915Excel_BuiltIn_Print_Area_3_1_1_1">#REF!</definedName>
    <definedName name="_3916Excel_BuiltIn_Print_Area_3_1_1_1">#REF!</definedName>
    <definedName name="_3917Excel_BuiltIn_Print_Area_3_1_1_1">#REF!</definedName>
    <definedName name="_3918Excel_BuiltIn_Print_Area_34_1">#REF!</definedName>
    <definedName name="_3919Excel_BuiltIn_Print_Area_34_1">#REF!</definedName>
    <definedName name="_391aber100_5_1">#REF!</definedName>
    <definedName name="_3920Excel_BuiltIn_Print_Area_34_1">#REF!</definedName>
    <definedName name="_3921Excel_BuiltIn_Print_Area_34_1_1">#REF!</definedName>
    <definedName name="_3922Excel_BuiltIn_Print_Area_34_1_1">#REF!</definedName>
    <definedName name="_3923Excel_BuiltIn_Print_Area_35_1">#REF!</definedName>
    <definedName name="_3924Excel_BuiltIn_Print_Area_35_1">#REF!</definedName>
    <definedName name="_3925Excel_BuiltIn_Print_Area_37_1">#REF!</definedName>
    <definedName name="_3926Excel_BuiltIn_Print_Area_4_1">#REF!</definedName>
    <definedName name="_3927Excel_BuiltIn_Print_Area_4_1">#REF!</definedName>
    <definedName name="_3928Excel_BuiltIn_Print_Area_4_1">#REF!</definedName>
    <definedName name="_3929Excel_BuiltIn_Print_Area_4_1">#REF!</definedName>
    <definedName name="_3930Excel_BuiltIn_Print_Area_4_1">#REF!</definedName>
    <definedName name="_3931Excel_BuiltIn_Print_Area_4_1_1">#REF!</definedName>
    <definedName name="_3932Excel_BuiltIn_Print_Area_4_1_1">#REF!</definedName>
    <definedName name="_3933Excel_BuiltIn_Print_Area_4_1_1">#REF!</definedName>
    <definedName name="_3934Excel_BuiltIn_Print_Area_4_1_1_1">#REF!</definedName>
    <definedName name="_3935Excel_BuiltIn_Print_Area_4_1_1_1">#REF!</definedName>
    <definedName name="_3936Excel_BuiltIn_Print_Area_4_1_1_1">#REF!</definedName>
    <definedName name="_3937Excel_BuiltIn_Print_Area_4_1_1_1_1_1_1">#REF!</definedName>
    <definedName name="_3938Excel_BuiltIn_Print_Area_4_1_1_1_1_1_1">#REF!</definedName>
    <definedName name="_3939Excel_BuiltIn_Print_Area_4_1_1_1_1_1_1">#REF!</definedName>
    <definedName name="_3940Excel_BuiltIn_Print_Area_5_1">#REF!</definedName>
    <definedName name="_3941Excel_BuiltIn_Print_Area_5_1">#REF!</definedName>
    <definedName name="_3942Excel_BuiltIn_Print_Area_5_1">#REF!</definedName>
    <definedName name="_3943Excel_BuiltIn_Print_Area_5_1_1">#REF!</definedName>
    <definedName name="_3944Excel_BuiltIn_Print_Area_5_1_1">#REF!</definedName>
    <definedName name="_3945Excel_BuiltIn_Print_Area_5_1_1">#REF!</definedName>
    <definedName name="_3946Excel_BuiltIn_Print_Area_5_1_1_1">#REF!</definedName>
    <definedName name="_3947Excel_BuiltIn_Print_Area_5_1_1_1">#REF!</definedName>
    <definedName name="_3948Excel_BuiltIn_Print_Area_5_1_1_1">#REF!</definedName>
    <definedName name="_3949Excel_BuiltIn_Print_Area_5_1_1_1_1">#REF!</definedName>
    <definedName name="_3950Excel_BuiltIn_Print_Area_5_1_1_1_1">#REF!</definedName>
    <definedName name="_3951Excel_BuiltIn_Print_Area_5_1_1_1_1">#REF!</definedName>
    <definedName name="_3952Excel_BuiltIn_Print_Area_5_1_6_1">#REF!</definedName>
    <definedName name="_3953Excel_BuiltIn_Print_Area_5_1_6_1">#REF!</definedName>
    <definedName name="_3954Excel_BuiltIn_Print_Area_5_1_6_1">#REF!</definedName>
    <definedName name="_3955Excel_BuiltIn_Print_Area_6_1">#REF!</definedName>
    <definedName name="_3956Excel_BuiltIn_Print_Area_6_1">#REF!</definedName>
    <definedName name="_3957Excel_BuiltIn_Print_Area_6_1">#REF!</definedName>
    <definedName name="_3958Excel_BuiltIn_Print_Area_6_1_1">#REF!</definedName>
    <definedName name="_3959Excel_BuiltIn_Print_Area_6_1_1">#REF!</definedName>
    <definedName name="_3960Excel_BuiltIn_Print_Area_6_1_1">#REF!</definedName>
    <definedName name="_3961Excel_BuiltIn_Print_Area_6_1_1">#REF!</definedName>
    <definedName name="_3962Excel_BuiltIn_Print_Area_6_1_1">#REF!</definedName>
    <definedName name="_3963Excel_BuiltIn_Print_Area_6_1_1_1_1">#REF!</definedName>
    <definedName name="_3964Excel_BuiltIn_Print_Area_6_1_1_1_1">#REF!</definedName>
    <definedName name="_3965Excel_BuiltIn_Print_Area_6_1_1_1_1">#REF!</definedName>
    <definedName name="_3966Excel_BuiltIn_Print_Area_7_1">#REF!</definedName>
    <definedName name="_3967Excel_BuiltIn_Print_Area_7_1">#REF!</definedName>
    <definedName name="_3968Excel_BuiltIn_Print_Area_7_1">#REF!</definedName>
    <definedName name="_3969Excel_BuiltIn_Print_Area_7_1">#REF!</definedName>
    <definedName name="_396aber100_6_1">#REF!</definedName>
    <definedName name="_3970Excel_BuiltIn_Print_Area_7_1">#REF!</definedName>
    <definedName name="_3971Excel_BuiltIn_Print_Area_7_1_1">#REF!</definedName>
    <definedName name="_3972Excel_BuiltIn_Print_Area_7_1_1">#REF!</definedName>
    <definedName name="_3973Excel_BuiltIn_Print_Area_7_1_1">#REF!</definedName>
    <definedName name="_3974Excel_BuiltIn_Print_Area_7_1_1_1">#REF!</definedName>
    <definedName name="_3975Excel_BuiltIn_Print_Area_7_1_1_1">#REF!</definedName>
    <definedName name="_3976Excel_BuiltIn_Print_Area_7_1_1_1">#REF!</definedName>
    <definedName name="_3977Excel_BuiltIn_Print_Area_7_1_1_1_1">#REF!</definedName>
    <definedName name="_3978Excel_BuiltIn_Print_Area_7_1_1_1_1">#REF!</definedName>
    <definedName name="_3979Excel_BuiltIn_Print_Area_7_1_1_1_1">#REF!</definedName>
    <definedName name="_3980Excel_BuiltIn_Print_Area_7_1_1_1_1_1">#REF!</definedName>
    <definedName name="_3981Excel_BuiltIn_Print_Area_7_1_1_1_1_1">#REF!</definedName>
    <definedName name="_3982Excel_BuiltIn_Print_Area_7_1_1_1_1_1">#REF!</definedName>
    <definedName name="_3983Excel_BuiltIn_Print_Area_7_1_10_1">#REF!</definedName>
    <definedName name="_3984Excel_BuiltIn_Print_Area_7_1_10_1">#REF!</definedName>
    <definedName name="_3985Excel_BuiltIn_Print_Area_7_1_11_1">#REF!</definedName>
    <definedName name="_3986Excel_BuiltIn_Print_Area_7_1_11_1">#REF!</definedName>
    <definedName name="_3987Excel_BuiltIn_Print_Area_7_1_12_1">#REF!</definedName>
    <definedName name="_3988Excel_BuiltIn_Print_Area_7_1_12_1">#REF!</definedName>
    <definedName name="_3989Excel_BuiltIn_Print_Area_7_1_13_1">#REF!</definedName>
    <definedName name="_3990Excel_BuiltIn_Print_Area_7_1_13_1">#REF!</definedName>
    <definedName name="_3991Excel_BuiltIn_Print_Area_7_1_3_1">#REF!</definedName>
    <definedName name="_3992Excel_BuiltIn_Print_Area_7_1_3_1">#REF!</definedName>
    <definedName name="_3993Excel_BuiltIn_Print_Area_7_1_4_1">#REF!</definedName>
    <definedName name="_3994Excel_BuiltIn_Print_Area_7_1_4_1">#REF!</definedName>
    <definedName name="_3995Excel_BuiltIn_Print_Area_7_1_5_1">#REF!</definedName>
    <definedName name="_3996Excel_BuiltIn_Print_Area_7_1_5_1">#REF!</definedName>
    <definedName name="_3997Excel_BuiltIn_Print_Area_7_1_6_1">#REF!</definedName>
    <definedName name="_3998Excel_BuiltIn_Print_Area_7_1_6_1">#REF!</definedName>
    <definedName name="_3999Excel_BuiltIn_Print_Area_7_1_7_1">#REF!</definedName>
    <definedName name="_39aber25_2_1">#REF!</definedName>
    <definedName name="_3Excel_BuiltIn_Print_Area_1_1">#REF!</definedName>
    <definedName name="_3Excel_BuiltIn_Print_Area_4_1_1">#REF!</definedName>
    <definedName name="_3Excel_BuiltIn_Print_Area_9_1_1_1">#REF!</definedName>
    <definedName name="_3Excel_BuiltIn_Print_Titles_4_1">#REF!</definedName>
    <definedName name="_3WROLLER">#REF!</definedName>
    <definedName name="_4">#N/A</definedName>
    <definedName name="_4__123Graph_ACHART_1" hidden="1">#REF!</definedName>
    <definedName name="_4__123Graph_ACHART_2" hidden="1">#REF!</definedName>
    <definedName name="_4__123Graph_ACHART_3J" hidden="1">#REF!</definedName>
    <definedName name="_4__123Graph_ACHART_5L" hidden="1">#REF!</definedName>
    <definedName name="_4__123Graph_BCHART_3J" hidden="1">#REF!</definedName>
    <definedName name="_4__123Graph_XCHART_1" hidden="1">#REF!</definedName>
    <definedName name="_4_事業資_A_4縦">#REF!</definedName>
    <definedName name="_4_印刷">#REF!</definedName>
    <definedName name="_4000Excel_BuiltIn_Print_Area_7_1_7_1">#REF!</definedName>
    <definedName name="_4001Excel_BuiltIn_Print_Area_7_1_8_1">#REF!</definedName>
    <definedName name="_4002Excel_BuiltIn_Print_Area_7_1_8_1">#REF!</definedName>
    <definedName name="_4003Excel_BuiltIn_Print_Area_7_1_9_1">#REF!</definedName>
    <definedName name="_4004Excel_BuiltIn_Print_Area_7_1_9_1">#REF!</definedName>
    <definedName name="_4005Excel_BuiltIn_Print_Area_8_1">#REF!</definedName>
    <definedName name="_4006Excel_BuiltIn_Print_Area_8_1">#REF!</definedName>
    <definedName name="_4007Excel_BuiltIn_Print_Area_8_1">#REF!</definedName>
    <definedName name="_4008Excel_BuiltIn_Print_Area_8_1_1">#REF!</definedName>
    <definedName name="_4009Excel_BuiltIn_Print_Area_8_1_1">#REF!</definedName>
    <definedName name="_4010Excel_BuiltIn_Print_Area_8_1_1">#REF!</definedName>
    <definedName name="_4011Excel_BuiltIn_Print_Titles_10">#REF!</definedName>
    <definedName name="_4012Excel_BuiltIn_Print_Titles_1_1">#REF!</definedName>
    <definedName name="_4013Excel_BuiltIn_Print_Titles_1_1_1">#REF!</definedName>
    <definedName name="_4014Excel_BuiltIn_Print_Titles_1_1_1_1_1">#REF!</definedName>
    <definedName name="_4015Excel_BuiltIn_Print_Titles_1_1_1_1_1">#REF!</definedName>
    <definedName name="_4016Excel_BuiltIn_Print_Titles_1_10_1">#REF!</definedName>
    <definedName name="_4017Excel_BuiltIn_Print_Titles_1_10_1">#REF!</definedName>
    <definedName name="_4018Excel_BuiltIn_Print_Titles_1_11_1">#REF!</definedName>
    <definedName name="_4019Excel_BuiltIn_Print_Titles_1_11_1">#REF!</definedName>
    <definedName name="_401aber100_6_1_1">#REF!</definedName>
    <definedName name="_4020Excel_BuiltIn_Print_Titles_1_12_1">#REF!</definedName>
    <definedName name="_4021Excel_BuiltIn_Print_Titles_1_12_1">#REF!</definedName>
    <definedName name="_4022Excel_BuiltIn_Print_Titles_1_13_1">#REF!</definedName>
    <definedName name="_4023Excel_BuiltIn_Print_Titles_1_13_1">#REF!</definedName>
    <definedName name="_4024Excel_BuiltIn_Print_Titles_1_3_1">#REF!</definedName>
    <definedName name="_4025Excel_BuiltIn_Print_Titles_1_3_1">#REF!</definedName>
    <definedName name="_4026Excel_BuiltIn_Print_Titles_1_4_1">#REF!</definedName>
    <definedName name="_4027Excel_BuiltIn_Print_Titles_1_4_1">#REF!</definedName>
    <definedName name="_4028Excel_BuiltIn_Print_Titles_1_5_1">#REF!</definedName>
    <definedName name="_4029Excel_BuiltIn_Print_Titles_1_5_1">#REF!</definedName>
    <definedName name="_4030Excel_BuiltIn_Print_Titles_1_6_1">#REF!</definedName>
    <definedName name="_4031Excel_BuiltIn_Print_Titles_1_6_1">#REF!</definedName>
    <definedName name="_4032Excel_BuiltIn_Print_Titles_1_7_1">#REF!</definedName>
    <definedName name="_4033Excel_BuiltIn_Print_Titles_1_7_1">#REF!</definedName>
    <definedName name="_4034Excel_BuiltIn_Print_Titles_1_8_1">#REF!</definedName>
    <definedName name="_4035Excel_BuiltIn_Print_Titles_1_8_1">#REF!</definedName>
    <definedName name="_4036Excel_BuiltIn_Print_Titles_1_9_1">#REF!</definedName>
    <definedName name="_4037Excel_BuiltIn_Print_Titles_1_9_1">#REF!</definedName>
    <definedName name="_4038Excel_BuiltIn_Print_Titles_10_1_1">#REF!</definedName>
    <definedName name="_4039Excel_BuiltIn_Print_Titles_10_1_1">#REF!</definedName>
    <definedName name="_4040Excel_BuiltIn_Print_Titles_11_1_1">#REF!</definedName>
    <definedName name="_4041Excel_BuiltIn_Print_Titles_11_1_1">#REF!</definedName>
    <definedName name="_4042Excel_BuiltIn_Print_Titles_12_1">#REF!</definedName>
    <definedName name="_4043Excel_BuiltIn_Print_Titles_12_1">#REF!</definedName>
    <definedName name="_4044Excel_BuiltIn_Print_Titles_12_1">#REF!</definedName>
    <definedName name="_4045Excel_BuiltIn_Print_Titles_12_1_1">#REF!</definedName>
    <definedName name="_4046Excel_BuiltIn_Print_Titles_12_1_1">#REF!</definedName>
    <definedName name="_4047Excel_BuiltIn_Print_Titles_13_1">#REF!</definedName>
    <definedName name="_4048Excel_BuiltIn_Print_Titles_13_1">#REF!</definedName>
    <definedName name="_4059Excel_BuiltIn_Print_Titles_14_1_2">#REF!</definedName>
    <definedName name="_4060Excel_BuiltIn_Print_Titles_14_1_2">#REF!</definedName>
    <definedName name="_4067Excel_BuiltIn_Print_Titles_16_1">#REF!</definedName>
    <definedName name="_4068Excel_BuiltIn_Print_Titles_16_1">#REF!</definedName>
    <definedName name="_406aber15_5_1">#REF!</definedName>
    <definedName name="_4073Excel_BuiltIn_Print_Titles_16_1_1">#REF!</definedName>
    <definedName name="_4074Excel_BuiltIn_Print_Titles_16_1_1">#REF!</definedName>
    <definedName name="_4079Excel_BuiltIn_Print_Titles_28_1">#REF!</definedName>
    <definedName name="_4080Excel_BuiltIn_Print_Titles_28_1">#REF!</definedName>
    <definedName name="_4081Excel_BuiltIn_Print_Titles_3_1">#REF!</definedName>
    <definedName name="_4082Excel_BuiltIn_Print_Titles_3_1">#REF!</definedName>
    <definedName name="_4083Excel_BuiltIn_Print_Titles_30_1">#REF!</definedName>
    <definedName name="_4084Excel_BuiltIn_Print_Titles_30_1">#REF!</definedName>
    <definedName name="_4085Excel_BuiltIn_Print_Titles_30_1_1">#REF!</definedName>
    <definedName name="_4086Excel_BuiltIn_Print_Titles_30_1_1">#REF!</definedName>
    <definedName name="_4087Excel_BuiltIn_Print_Titles_35_1">#REF!</definedName>
    <definedName name="_4088Excel_BuiltIn_Print_Titles_35_1">#REF!</definedName>
    <definedName name="_4089Excel_BuiltIn_Print_Titles_4_1">#REF!</definedName>
    <definedName name="_4090Excel_BuiltIn_Print_Titles_4_1">#REF!</definedName>
    <definedName name="_4091Excel_BuiltIn_Print_Titles_4_1_1">#REF!</definedName>
    <definedName name="_4092Excel_BuiltIn_Print_Titles_5_1">#REF!</definedName>
    <definedName name="_4093Excel_BuiltIn_Print_Titles_5_1">#REF!</definedName>
    <definedName name="_4094Excel_BuiltIn_Print_Titles_5_1_1">#REF!</definedName>
    <definedName name="_4095Excel_BuiltIn_Print_Titles_5_1_1">#REF!</definedName>
    <definedName name="_4096Excel_BuiltIn_Print_Titles_6_1">#REF!</definedName>
    <definedName name="_4097Excel_BuiltIn_Print_Titles_6_1">#REF!</definedName>
    <definedName name="_4098Excel_BuiltIn_Print_Titles_6_1_1">#REF!</definedName>
    <definedName name="_4099Excel_BuiltIn_Print_Titles_6_1_1">#REF!</definedName>
    <definedName name="_40aber32_1_1">#REF!</definedName>
    <definedName name="_41_CH11..H11___C__1">#REF!</definedName>
    <definedName name="_4100Excel_BuiltIn_Print_Titles_7_1">#REF!</definedName>
    <definedName name="_4101Excel_BuiltIn_Print_Titles_7_1">#REF!</definedName>
    <definedName name="_4102Excel_BuiltIn_Print_Titles_8_1_1">#REF!</definedName>
    <definedName name="_4103Excel_BuiltIn_Print_Titles_8_1_1">#REF!</definedName>
    <definedName name="_4104Excel_BuiltIn_Print_Titles_9_1">#REF!</definedName>
    <definedName name="_4105Excel_BuiltIn_Print_Titles_9_1">#REF!</definedName>
    <definedName name="_4106Excel_BuiltIn_Print_Titles_9_1_1">#REF!</definedName>
    <definedName name="_4107Excel_BuiltIn_Print_Titles_9_1_1">#REF!</definedName>
    <definedName name="_4108EXTRA_6_1">#REF!</definedName>
    <definedName name="_4109EXTRA_6_1">#REF!</definedName>
    <definedName name="_4110EXTRA_6_1">#REF!</definedName>
    <definedName name="_4111EXTRA_6_1">#REF!</definedName>
    <definedName name="_4112EXTRA_6_1">#REF!</definedName>
    <definedName name="_4113faab_6_1">#REF!</definedName>
    <definedName name="_4114faab_6_1">#REF!</definedName>
    <definedName name="_4115faab_6_1">#REF!</definedName>
    <definedName name="_4116faab_6_1">#REF!</definedName>
    <definedName name="_4117faab_6_1">#REF!</definedName>
    <definedName name="_4118facm_6_1">#REF!</definedName>
    <definedName name="_4119facm_6_1">#REF!</definedName>
    <definedName name="_411aber15_6_1">#REF!</definedName>
    <definedName name="_4120facm_6_1">#REF!</definedName>
    <definedName name="_4121facm_6_1">#REF!</definedName>
    <definedName name="_4122facm_6_1">#REF!</definedName>
    <definedName name="_4123facp_6_1">#REF!</definedName>
    <definedName name="_4124facp_6_1">#REF!</definedName>
    <definedName name="_4125facp_6_1">#REF!</definedName>
    <definedName name="_4126facp_6_1">#REF!</definedName>
    <definedName name="_4127facp_6_1">#REF!</definedName>
    <definedName name="_4128faeol_6_1">#REF!</definedName>
    <definedName name="_4129faeol_6_1">#REF!</definedName>
    <definedName name="_4130faeol_6_1">#REF!</definedName>
    <definedName name="_4131faeol_6_1">#REF!</definedName>
    <definedName name="_4132faeol_6_1">#REF!</definedName>
    <definedName name="_4133fahd_6_1">#REF!</definedName>
    <definedName name="_4134fahd_6_1">#REF!</definedName>
    <definedName name="_4135fahd_6_1">#REF!</definedName>
    <definedName name="_4136fahd_6_1">#REF!</definedName>
    <definedName name="_4137fahd_6_1">#REF!</definedName>
    <definedName name="_4138fahdt_6_1">#REF!</definedName>
    <definedName name="_4139fahdt_6_1">#REF!</definedName>
    <definedName name="_4140fahdt_6_1">#REF!</definedName>
    <definedName name="_4141fahdt_6_1">#REF!</definedName>
    <definedName name="_4142fahdt_6_1">#REF!</definedName>
    <definedName name="_4143fahs_6_1">#REF!</definedName>
    <definedName name="_4144fahs_6_1">#REF!</definedName>
    <definedName name="_4145fahs_6_1">#REF!</definedName>
    <definedName name="_4146fahs_6_1">#REF!</definedName>
    <definedName name="_4147fahs_6_1">#REF!</definedName>
    <definedName name="_4148fail_6_1">#REF!</definedName>
    <definedName name="_4149fail_6_1">#REF!</definedName>
    <definedName name="_4150fail_6_1">#REF!</definedName>
    <definedName name="_4151fail_6_1">#REF!</definedName>
    <definedName name="_4152fail_6_1">#REF!</definedName>
    <definedName name="_4153faitc_6_1">#REF!</definedName>
    <definedName name="_4154faitc_6_1">#REF!</definedName>
    <definedName name="_4155faitc_6_1">#REF!</definedName>
    <definedName name="_4156faitc_6_1">#REF!</definedName>
    <definedName name="_4157faitc_6_1">#REF!</definedName>
    <definedName name="_4158faki_6_1">#REF!</definedName>
    <definedName name="_4159faki_6_1">#REF!</definedName>
    <definedName name="_4160faki_6_1">#REF!</definedName>
    <definedName name="_4161faki_6_1">#REF!</definedName>
    <definedName name="_4162faki_6_1">#REF!</definedName>
    <definedName name="_4163faktd_6_1">#REF!</definedName>
    <definedName name="_4164faktd_6_1">#REF!</definedName>
    <definedName name="_4165faktd_6_1">#REF!</definedName>
    <definedName name="_4166faktd_6_1">#REF!</definedName>
    <definedName name="_4167faktd_6_1">#REF!</definedName>
    <definedName name="_4168fam_6_1">#REF!</definedName>
    <definedName name="_4169fam_6_1">#REF!</definedName>
    <definedName name="_416aber15_6_1_1">#REF!</definedName>
    <definedName name="_4170fam_6_1">#REF!</definedName>
    <definedName name="_4171fam_6_1">#REF!</definedName>
    <definedName name="_4172fam_6_1">#REF!</definedName>
    <definedName name="_4173famcp_6_1">#REF!</definedName>
    <definedName name="_4174famcp_6_1">#REF!</definedName>
    <definedName name="_4175famcp_6_1">#REF!</definedName>
    <definedName name="_4176famcp_6_1">#REF!</definedName>
    <definedName name="_4177famcp_6_1">#REF!</definedName>
    <definedName name="_4178faoi_6_1">#REF!</definedName>
    <definedName name="_4179faoi_6_1">#REF!</definedName>
    <definedName name="_4180faoi_6_1">#REF!</definedName>
    <definedName name="_4181faoi_6_1">#REF!</definedName>
    <definedName name="_4182faoi_6_1">#REF!</definedName>
    <definedName name="_4183far_6_1">#REF!</definedName>
    <definedName name="_4184far_6_1">#REF!</definedName>
    <definedName name="_4185far_6_1">#REF!</definedName>
    <definedName name="_4186far_6_1">#REF!</definedName>
    <definedName name="_4187far_6_1">#REF!</definedName>
    <definedName name="_4188fasd_6_1">#REF!</definedName>
    <definedName name="_4189fasd_6_1">#REF!</definedName>
    <definedName name="_4190fasd_6_1">#REF!</definedName>
    <definedName name="_4191fasd_6_1">#REF!</definedName>
    <definedName name="_4192fasd_6_1">#REF!</definedName>
    <definedName name="_4193fasdt_6_1">#REF!</definedName>
    <definedName name="_4194fasdt_6_1">#REF!</definedName>
    <definedName name="_4195fasdt_6_1">#REF!</definedName>
    <definedName name="_4196fasdt_6_1">#REF!</definedName>
    <definedName name="_4197fasdt_6_1">#REF!</definedName>
    <definedName name="_4198fat_6_1">#REF!</definedName>
    <definedName name="_4199fat_6_1">#REF!</definedName>
    <definedName name="_41aber32_2_1">#REF!</definedName>
    <definedName name="_41CHECK_UNIT">#REF!</definedName>
    <definedName name="_42__123Graph_CCHART_3J" hidden="1">#REF!</definedName>
    <definedName name="_4200fat_6_1">#REF!</definedName>
    <definedName name="_4201fat_6_1">#REF!</definedName>
    <definedName name="_4202fat_6_1">#REF!</definedName>
    <definedName name="_4203feco25_6_1">#REF!</definedName>
    <definedName name="_4204feco25_6_1">#REF!</definedName>
    <definedName name="_4205feco25_6_1">#REF!</definedName>
    <definedName name="_4206feco25_6_1">#REF!</definedName>
    <definedName name="_4207feco25_6_1">#REF!</definedName>
    <definedName name="_4208fedc2_6_1">#REF!</definedName>
    <definedName name="_4209fedc2_6_1">#REF!</definedName>
    <definedName name="_4210fedc2_6_1">#REF!</definedName>
    <definedName name="_4211fedc2_6_1">#REF!</definedName>
    <definedName name="_4212fedc2_6_1">#REF!</definedName>
    <definedName name="_4213fedc35_6_1">#REF!</definedName>
    <definedName name="_4214fedc35_6_1">#REF!</definedName>
    <definedName name="_4215fedc35_6_1">#REF!</definedName>
    <definedName name="_4216fedc35_6_1">#REF!</definedName>
    <definedName name="_4217fedc35_6_1">#REF!</definedName>
    <definedName name="_4218FEX_6_1">#REF!</definedName>
    <definedName name="_4219FEX_6_1">#REF!</definedName>
    <definedName name="_421Aber150_5_1">#REF!</definedName>
    <definedName name="_4220FEX_6_1">#REF!</definedName>
    <definedName name="_4221FEX_6_1">#REF!</definedName>
    <definedName name="_4222FEX_6_1">#REF!</definedName>
    <definedName name="_4223fffff_6_1">#REF!</definedName>
    <definedName name="_4224fffff_6_1">#REF!</definedName>
    <definedName name="_4225fffff_6_1">#REF!</definedName>
    <definedName name="_4226fffff_6_1">#REF!</definedName>
    <definedName name="_4227fffff_6_1">#REF!</definedName>
    <definedName name="_4228FFX_6_1">#REF!</definedName>
    <definedName name="_4229FFX_6_1">#REF!</definedName>
    <definedName name="_4230FFX_6_1">#REF!</definedName>
    <definedName name="_4231FFX_6_1">#REF!</definedName>
    <definedName name="_4232FFX_6_1">#REF!</definedName>
    <definedName name="_4233FGX_6_1">#REF!</definedName>
    <definedName name="_4234FGX_6_1">#REF!</definedName>
    <definedName name="_4235FGX_6_1">#REF!</definedName>
    <definedName name="_4236FGX_6_1">#REF!</definedName>
    <definedName name="_4237FGX_6_1">#REF!</definedName>
    <definedName name="_4238FHX_6_1">#REF!</definedName>
    <definedName name="_4239FHX_6_1">#REF!</definedName>
    <definedName name="_4240FHX_6_1">#REF!</definedName>
    <definedName name="_4241FHX_6_1">#REF!</definedName>
    <definedName name="_4242FHX_6_1">#REF!</definedName>
    <definedName name="_4243FIRST_FLOOR_1_1">#REF!</definedName>
    <definedName name="_4244FIRST_FLOOR_1_1">#REF!</definedName>
    <definedName name="_4245FIRST_FLOOR_1_1">#REF!</definedName>
    <definedName name="_4246FIRST_FLOOR_1_1">#REF!</definedName>
    <definedName name="_4247FIRST_FLOOR_1_1">#REF!</definedName>
    <definedName name="_4248FIRST_FLOOR_6_1">#REF!</definedName>
    <definedName name="_4249FIRST_FLOOR_6_1">#REF!</definedName>
    <definedName name="_4250FIRST_FLOOR_6_1">#REF!</definedName>
    <definedName name="_4251FIRST_FLOOR_6_1">#REF!</definedName>
    <definedName name="_4252FIRST_FLOOR_6_1">#REF!</definedName>
    <definedName name="_4253fjd100_6_1">#REF!</definedName>
    <definedName name="_4254fjd100_6_1">#REF!</definedName>
    <definedName name="_4255fjd100_6_1">#REF!</definedName>
    <definedName name="_4256fjd100_6_1">#REF!</definedName>
    <definedName name="_4257fjd100_6_1">#REF!</definedName>
    <definedName name="_4258fjd150_6_1">#REF!</definedName>
    <definedName name="_4259fjd150_6_1">#REF!</definedName>
    <definedName name="_4260fjd150_6_1">#REF!</definedName>
    <definedName name="_4261fjd150_6_1">#REF!</definedName>
    <definedName name="_4262fjd150_6_1">#REF!</definedName>
    <definedName name="_4263fjd50_6_1">#REF!</definedName>
    <definedName name="_4264fjd50_6_1">#REF!</definedName>
    <definedName name="_4265fjd50_6_1">#REF!</definedName>
    <definedName name="_4266fjd50_6_1">#REF!</definedName>
    <definedName name="_4267fjd50_6_1">#REF!</definedName>
    <definedName name="_4268fjd65_6_1">#REF!</definedName>
    <definedName name="_4269fjd65_6_1">#REF!</definedName>
    <definedName name="_426Aber150_6_1">#REF!</definedName>
    <definedName name="_4270fjd65_6_1">#REF!</definedName>
    <definedName name="_4271fjd65_6_1">#REF!</definedName>
    <definedName name="_4272fjd65_6_1">#REF!</definedName>
    <definedName name="_4273FJX_6_1">#REF!</definedName>
    <definedName name="_4274FJX_6_1">#REF!</definedName>
    <definedName name="_4275FJX_6_1">#REF!</definedName>
    <definedName name="_4276FJX_6_1">#REF!</definedName>
    <definedName name="_4277FJX_6_1">#REF!</definedName>
    <definedName name="_4278fkx_6_1">#REF!</definedName>
    <definedName name="_4279fkx_6_1">#REF!</definedName>
    <definedName name="_4280fkx_6_1">#REF!</definedName>
    <definedName name="_4281fkx_6_1">#REF!</definedName>
    <definedName name="_4282fkx_6_1">#REF!</definedName>
    <definedName name="_4283flmh400_6_1">#REF!</definedName>
    <definedName name="_4284flmh400_6_1">#REF!</definedName>
    <definedName name="_4285flmh400_6_1">#REF!</definedName>
    <definedName name="_4286flmh400_6_1">#REF!</definedName>
    <definedName name="_4287flmh400_6_1">#REF!</definedName>
    <definedName name="_4288flx_6_1">#REF!</definedName>
    <definedName name="_4289flx_6_1">#REF!</definedName>
    <definedName name="_4290flx_6_1">#REF!</definedName>
    <definedName name="_4291flx_6_1">#REF!</definedName>
    <definedName name="_4292flx_6_1">#REF!</definedName>
    <definedName name="_4293fmd150_6_1">#REF!</definedName>
    <definedName name="_4294fmd150_6_1">#REF!</definedName>
    <definedName name="_4295fmd150_6_1">#REF!</definedName>
    <definedName name="_4296fmd150_6_1">#REF!</definedName>
    <definedName name="_4297fmd150_6_1">#REF!</definedName>
    <definedName name="_4298frc4x10_6_1">#REF!</definedName>
    <definedName name="_4299frc4x10_6_1">#REF!</definedName>
    <definedName name="_42aber4_1_1">#REF!</definedName>
    <definedName name="_43_CH13..H13___C__1">#REF!</definedName>
    <definedName name="_4300frc4x10_6_1">#REF!</definedName>
    <definedName name="_4301frc4x10_6_1">#REF!</definedName>
    <definedName name="_4302frc4x10_6_1">#REF!</definedName>
    <definedName name="_4303frc4x1x400_6_1">#REF!</definedName>
    <definedName name="_4304frc4x1x400_6_1">#REF!</definedName>
    <definedName name="_4305frc4x1x400_6_1">#REF!</definedName>
    <definedName name="_4306frc4x1x400_6_1">#REF!</definedName>
    <definedName name="_4307frc4x1x400_6_1">#REF!</definedName>
    <definedName name="_4308frc4x25_6_1">#REF!</definedName>
    <definedName name="_4309frc4x25_6_1">#REF!</definedName>
    <definedName name="_4310frc4x25_6_1">#REF!</definedName>
    <definedName name="_4311frc4x25_6_1">#REF!</definedName>
    <definedName name="_4312frc4x25_6_1">#REF!</definedName>
    <definedName name="_4313frc4x300_6_1">#REF!</definedName>
    <definedName name="_4314frc4x300_6_1">#REF!</definedName>
    <definedName name="_4315frc4x300_6_1">#REF!</definedName>
    <definedName name="_4316frc4x300_6_1">#REF!</definedName>
    <definedName name="_4317frc4x300_6_1">#REF!</definedName>
    <definedName name="_4318frc4x35_6_1">#REF!</definedName>
    <definedName name="_4319frc4x35_6_1">#REF!</definedName>
    <definedName name="_431Aber150_6_1_1">#REF!</definedName>
    <definedName name="_4320frc4x35_6_1">#REF!</definedName>
    <definedName name="_4321frc4x35_6_1">#REF!</definedName>
    <definedName name="_4322frc4x35_6_1">#REF!</definedName>
    <definedName name="_4323frc4x95_6_1">#REF!</definedName>
    <definedName name="_4324frc4x95_6_1">#REF!</definedName>
    <definedName name="_4325frc4x95_6_1">#REF!</definedName>
    <definedName name="_4326frc4x95_6_1">#REF!</definedName>
    <definedName name="_4327frc4x95_6_1">#REF!</definedName>
    <definedName name="_4328frc5x4_6_1">#REF!</definedName>
    <definedName name="_4329frc5x4_6_1">#REF!</definedName>
    <definedName name="_4330frc5x4_6_1">#REF!</definedName>
    <definedName name="_4331frc5x4_6_1">#REF!</definedName>
    <definedName name="_4332frc5x4_6_1">#REF!</definedName>
    <definedName name="_4333frc5x6_6_1">#REF!</definedName>
    <definedName name="_4334frc5x6_6_1">#REF!</definedName>
    <definedName name="_4335frc5x6_6_1">#REF!</definedName>
    <definedName name="_4336frc5x6_6_1">#REF!</definedName>
    <definedName name="_4337frc5x6_6_1">#REF!</definedName>
    <definedName name="_4338fs_6_1">#REF!</definedName>
    <definedName name="_4339fs_6_1">#REF!</definedName>
    <definedName name="_4340fs_6_1">#REF!</definedName>
    <definedName name="_4341fs_6_1">#REF!</definedName>
    <definedName name="_4342fs_6_1">#REF!</definedName>
    <definedName name="_4343FSB_1">#REF!</definedName>
    <definedName name="_4344FSB_1">#REF!</definedName>
    <definedName name="_4345FSDATA_1">#REF!</definedName>
    <definedName name="_4346FSDATA_1">#REF!</definedName>
    <definedName name="_4347fsvd100_6_1">#REF!</definedName>
    <definedName name="_4348fsvd100_6_1">#REF!</definedName>
    <definedName name="_4349fsvd100_6_1">#REF!</definedName>
    <definedName name="_4350fsvd100_6_1">#REF!</definedName>
    <definedName name="_4351fsvd100_6_1">#REF!</definedName>
    <definedName name="_4352fsvd150_6_1">#REF!</definedName>
    <definedName name="_4353fsvd150_6_1">#REF!</definedName>
    <definedName name="_4354fsvd150_6_1">#REF!</definedName>
    <definedName name="_4355fsvd150_6_1">#REF!</definedName>
    <definedName name="_4356fsvd150_6_1">#REF!</definedName>
    <definedName name="_4357fsvd65_6_1">#REF!</definedName>
    <definedName name="_4358fsvd65_6_1">#REF!</definedName>
    <definedName name="_4359fsvd65_6_1">#REF!</definedName>
    <definedName name="_4360fsvd65_6_1">#REF!</definedName>
    <definedName name="_4361fsvd65_6_1">#REF!</definedName>
    <definedName name="_4362FURNITURE__FURNISHING_1">#REF!</definedName>
    <definedName name="_4363FURNITURE__FURNISHING_1">#REF!</definedName>
    <definedName name="_4364FURNITURE__FURNISHING_1_1">#REF!</definedName>
    <definedName name="_4365FURNITURE__FURNISHING_1_1">#REF!</definedName>
    <definedName name="_4366FURNITURE__FURNISHING_1_1">#REF!</definedName>
    <definedName name="_4367FURNITURE__FURNISHING_1_1">#REF!</definedName>
    <definedName name="_4368FURNITURE__FURNISHING_1_1">#REF!</definedName>
    <definedName name="_4369FURNITURE__FURNISHING_6_1">#REF!</definedName>
    <definedName name="_436aber2_5_1">#REF!</definedName>
    <definedName name="_4370FURNITURE__FURNISHING_6_1">#REF!</definedName>
    <definedName name="_4371FURNITURE__FURNISHING_6_1">#REF!</definedName>
    <definedName name="_4372FURNITURE__FURNISHING_6_1">#REF!</definedName>
    <definedName name="_4373FURNITURE__FURNISHING_6_1">#REF!</definedName>
    <definedName name="_4374govpd15_6_1">#REF!</definedName>
    <definedName name="_4375govpd15_6_1">#REF!</definedName>
    <definedName name="_4376govpd15_6_1">#REF!</definedName>
    <definedName name="_4377govpd15_6_1">#REF!</definedName>
    <definedName name="_4378govpd15_6_1">#REF!</definedName>
    <definedName name="_4379GRAND_PALEMBANG_HOTEL___PALEMBANG_1_1">#REF!</definedName>
    <definedName name="_4380GRAND_PALEMBANG_HOTEL___PALEMBANG_1_1">#REF!</definedName>
    <definedName name="_4381GRAND_PALEMBANG_HOTEL___PALEMBANG_1_1">#REF!</definedName>
    <definedName name="_4382GRAND_PALEMBANG_HOTEL___PALEMBANG_6_1">#REF!</definedName>
    <definedName name="_4383GRAND_PALEMBANG_HOTEL___PALEMBANG_6_1">#REF!</definedName>
    <definedName name="_4384GRAND_PALEMBANG_HOTEL___PALEMBANG_6_1">#REF!</definedName>
    <definedName name="_4385grc_6_1">#REF!</definedName>
    <definedName name="_4386grc_6_1">#REF!</definedName>
    <definedName name="_4387grc_6_1">#REF!</definedName>
    <definedName name="_4388grc_6_1">#REF!</definedName>
    <definedName name="_4389grc_6_1">#REF!</definedName>
    <definedName name="_4390grc1_6_1">#REF!</definedName>
    <definedName name="_4391grc1_6_1">#REF!</definedName>
    <definedName name="_4392grc1_6_1">#REF!</definedName>
    <definedName name="_4393grc1_6_1">#REF!</definedName>
    <definedName name="_4394grc1_6_1">#REF!</definedName>
    <definedName name="_4395GROUND_FLOOR_1_1">#REF!</definedName>
    <definedName name="_4396GROUND_FLOOR_1_1">#REF!</definedName>
    <definedName name="_4397GROUND_FLOOR_1_1">#REF!</definedName>
    <definedName name="_4398GROUND_FLOOR_1_1">#REF!</definedName>
    <definedName name="_4399GROUND_FLOOR_1_1">#REF!</definedName>
    <definedName name="_43aber4_2_1">#REF!</definedName>
    <definedName name="_4400GROUND_FLOOR_6_1">#REF!</definedName>
    <definedName name="_4401GROUND_FLOOR_6_1">#REF!</definedName>
    <definedName name="_4402GROUND_FLOOR_6_1">#REF!</definedName>
    <definedName name="_4403GROUND_FLOOR_6_1">#REF!</definedName>
    <definedName name="_4404GROUND_FLOOR_6_1">#REF!</definedName>
    <definedName name="_4405gs110g_6_1">#REF!</definedName>
    <definedName name="_4406gs110g_6_1">#REF!</definedName>
    <definedName name="_4407gs110g_6_1">#REF!</definedName>
    <definedName name="_4408gs110g_6_1">#REF!</definedName>
    <definedName name="_4409gs110g_6_1">#REF!</definedName>
    <definedName name="_4410gs14g_6_1">#REF!</definedName>
    <definedName name="_4411gs14g_6_1">#REF!</definedName>
    <definedName name="_4412gs14g_6_1">#REF!</definedName>
    <definedName name="_4413gs14g_6_1">#REF!</definedName>
    <definedName name="_4414gs14g_6_1">#REF!</definedName>
    <definedName name="_4415gs55g_6_1">#REF!</definedName>
    <definedName name="_4416gs55g_6_1">#REF!</definedName>
    <definedName name="_4417gs55g_6_1">#REF!</definedName>
    <definedName name="_4418gs55g_6_1">#REF!</definedName>
    <definedName name="_4419gs55g_6_1">#REF!</definedName>
    <definedName name="_441aber2_6_1">#REF!</definedName>
    <definedName name="_4420gs6g_6_1">#REF!</definedName>
    <definedName name="_4421gs6g_6_1">#REF!</definedName>
    <definedName name="_4422gs6g_6_1">#REF!</definedName>
    <definedName name="_4423gs6g_6_1">#REF!</definedName>
    <definedName name="_4424gs6g_6_1">#REF!</definedName>
    <definedName name="_4425gs80g_6_1">#REF!</definedName>
    <definedName name="_4426gs80g_6_1">#REF!</definedName>
    <definedName name="_4427gs80g_6_1">#REF!</definedName>
    <definedName name="_4428gs80g_6_1">#REF!</definedName>
    <definedName name="_4429gs80g_6_1">#REF!</definedName>
    <definedName name="_4430gti50_6_1">#REF!</definedName>
    <definedName name="_4431gti50_6_1">#REF!</definedName>
    <definedName name="_4432gti50_6_1">#REF!</definedName>
    <definedName name="_4433gti50_6_1">#REF!</definedName>
    <definedName name="_4434gti50_6_1">#REF!</definedName>
    <definedName name="_4435gti60_6_1">#REF!</definedName>
    <definedName name="_4436gti60_6_1">#REF!</definedName>
    <definedName name="_4437gti60_6_1">#REF!</definedName>
    <definedName name="_4438gti60_6_1">#REF!</definedName>
    <definedName name="_4439gti60_6_1">#REF!</definedName>
    <definedName name="_4440gvd100_6_1">#REF!</definedName>
    <definedName name="_4441gvd100_6_1">#REF!</definedName>
    <definedName name="_4442gvd100_6_1">#REF!</definedName>
    <definedName name="_4443gvd100_6_1">#REF!</definedName>
    <definedName name="_4444gvd100_6_1">#REF!</definedName>
    <definedName name="_4445gvd15_6_1">#REF!</definedName>
    <definedName name="_4446gvd15_6_1">#REF!</definedName>
    <definedName name="_4447gvd15_6_1">#REF!</definedName>
    <definedName name="_4448gvd15_6_1">#REF!</definedName>
    <definedName name="_4449gvd15_6_1">#REF!</definedName>
    <definedName name="_4450gvd150_6_1">#REF!</definedName>
    <definedName name="_4451gvd150_6_1">#REF!</definedName>
    <definedName name="_4452gvd150_6_1">#REF!</definedName>
    <definedName name="_4453gvd150_6_1">#REF!</definedName>
    <definedName name="_4454gvd150_6_1">#REF!</definedName>
    <definedName name="_4455gvd25_6_1">#REF!</definedName>
    <definedName name="_4456gvd25_6_1">#REF!</definedName>
    <definedName name="_4457gvd25_6_1">#REF!</definedName>
    <definedName name="_4458gvd25_6_1">#REF!</definedName>
    <definedName name="_4459gvd25_6_1">#REF!</definedName>
    <definedName name="_4460gvd50_6_1">#REF!</definedName>
    <definedName name="_4461gvd50_6_1">#REF!</definedName>
    <definedName name="_4462gvd50_6_1">#REF!</definedName>
    <definedName name="_4463gvd50_6_1">#REF!</definedName>
    <definedName name="_4464gvd50_6_1">#REF!</definedName>
    <definedName name="_4465gvd65_6_1">#REF!</definedName>
    <definedName name="_4466gvd65_6_1">#REF!</definedName>
    <definedName name="_4467gvd65_6_1">#REF!</definedName>
    <definedName name="_4468gvd65_6_1">#REF!</definedName>
    <definedName name="_4469gvd65_6_1">#REF!</definedName>
    <definedName name="_446aber2_6_1_1">#REF!</definedName>
    <definedName name="_4470hdw_6_1">#REF!</definedName>
    <definedName name="_4471hdw_6_1">#REF!</definedName>
    <definedName name="_4472hdw_6_1">#REF!</definedName>
    <definedName name="_4473hdw_6_1">#REF!</definedName>
    <definedName name="_4474hdw_6_1">#REF!</definedName>
    <definedName name="_4475hdw1_6_1">#REF!</definedName>
    <definedName name="_4476hdw1_6_1">#REF!</definedName>
    <definedName name="_4477hdw1_6_1">#REF!</definedName>
    <definedName name="_4478hdw1_6_1">#REF!</definedName>
    <definedName name="_4479hdw1_6_1">#REF!</definedName>
    <definedName name="_4480hil_6_1">#REF!</definedName>
    <definedName name="_4481hil_6_1">#REF!</definedName>
    <definedName name="_4482hil_6_1">#REF!</definedName>
    <definedName name="_4483hil_6_1">#REF!</definedName>
    <definedName name="_4484hil_6_1">#REF!</definedName>
    <definedName name="_4485hspt_6_1">#REF!</definedName>
    <definedName name="_4486hspt_6_1">#REF!</definedName>
    <definedName name="_4487hspt_6_1">#REF!</definedName>
    <definedName name="_4488hspt_6_1">#REF!</definedName>
    <definedName name="_4489hspt_6_1">#REF!</definedName>
    <definedName name="_4490hsut_6_1">#REF!</definedName>
    <definedName name="_4491hsut_6_1">#REF!</definedName>
    <definedName name="_4492hsut_6_1">#REF!</definedName>
    <definedName name="_4493hsut_6_1">#REF!</definedName>
    <definedName name="_4494hsut_6_1">#REF!</definedName>
    <definedName name="_4495hswt_6_1">#REF!</definedName>
    <definedName name="_4496hswt_6_1">#REF!</definedName>
    <definedName name="_4497hswt_6_1">#REF!</definedName>
    <definedName name="_4498hswt_6_1">#REF!</definedName>
    <definedName name="_4499hswt_6_1">#REF!</definedName>
    <definedName name="_44aber40_1_1">#REF!</definedName>
    <definedName name="_44PASANG_BOVLANG">#REF!</definedName>
    <definedName name="_45__123Graph_CCHART_4K" hidden="1">#REF!</definedName>
    <definedName name="_45_CH15..H15___C__1">#REF!</definedName>
    <definedName name="_4500ihb_6_1">#REF!</definedName>
    <definedName name="_4501ihb_6_1">#REF!</definedName>
    <definedName name="_4502ihb_6_1">#REF!</definedName>
    <definedName name="_4503ihb_6_1">#REF!</definedName>
    <definedName name="_4504ihb_6_1">#REF!</definedName>
    <definedName name="_4505ihbl_6_1">#REF!</definedName>
    <definedName name="_4506ihbl_6_1">#REF!</definedName>
    <definedName name="_4507ihbl_6_1">#REF!</definedName>
    <definedName name="_4508ihbl_6_1">#REF!</definedName>
    <definedName name="_4509ihbl_6_1">#REF!</definedName>
    <definedName name="_4510JASA_1_1">#REF!</definedName>
    <definedName name="_4511JASA_1_1">#REF!</definedName>
    <definedName name="_4512JASA_1_1">#REF!</definedName>
    <definedName name="_4513JASA_1_1">#REF!</definedName>
    <definedName name="_4514JASA_1_1">#REF!</definedName>
    <definedName name="_4515JASA_6_1">#REF!</definedName>
    <definedName name="_4516JASA_6_1">#REF!</definedName>
    <definedName name="_4517JASA_6_1">#REF!</definedName>
    <definedName name="_4518JASA_6_1">#REF!</definedName>
    <definedName name="_4519JASA_6_1">#REF!</definedName>
    <definedName name="_451aber20_5_1">#REF!</definedName>
    <definedName name="_4520JEFTA_1_1">#REF!</definedName>
    <definedName name="_4521JEFTA_1_1">#REF!</definedName>
    <definedName name="_4522JEFTA_1_1">#REF!</definedName>
    <definedName name="_4523JEFTA_1_1">#REF!</definedName>
    <definedName name="_4524JEFTA_1_1">#REF!</definedName>
    <definedName name="_4525JEFTA_6_1">#REF!</definedName>
    <definedName name="_4526JEFTA_6_1">#REF!</definedName>
    <definedName name="_4527JEFTA_6_1">#REF!</definedName>
    <definedName name="_4528JEFTA_6_1">#REF!</definedName>
    <definedName name="_4529JEFTA_6_1">#REF!</definedName>
    <definedName name="_4530jik_6_1">#REF!</definedName>
    <definedName name="_4531jik_6_1">#REF!</definedName>
    <definedName name="_4532jik_6_1">#REF!</definedName>
    <definedName name="_4533jik_6_1">#REF!</definedName>
    <definedName name="_4534jik_6_1">#REF!</definedName>
    <definedName name="_4535JJ_1">#REF!</definedName>
    <definedName name="_4536JJ_1">#REF!</definedName>
    <definedName name="_4537kab_6_1">#REF!</definedName>
    <definedName name="_4538kab_6_1">#REF!</definedName>
    <definedName name="_4539kab_6_1">#REF!</definedName>
    <definedName name="_4540kab_6_1">#REF!</definedName>
    <definedName name="_4541kab_6_1">#REF!</definedName>
    <definedName name="_4542kd_6_1">#REF!</definedName>
    <definedName name="_4543kd_6_1">#REF!</definedName>
    <definedName name="_4544kd_6_1">#REF!</definedName>
    <definedName name="_4545kd_6_1">#REF!</definedName>
    <definedName name="_4546kd_6_1">#REF!</definedName>
    <definedName name="_4547kfs_6_1">#REF!</definedName>
    <definedName name="_4548kfs_6_1">#REF!</definedName>
    <definedName name="_4549kfs_6_1">#REF!</definedName>
    <definedName name="_4550kfs_6_1">#REF!</definedName>
    <definedName name="_4551kfs_6_1">#REF!</definedName>
    <definedName name="_4552kgs_6_1">#REF!</definedName>
    <definedName name="_4553kgs_6_1">#REF!</definedName>
    <definedName name="_4554kgs_6_1">#REF!</definedName>
    <definedName name="_4555kgs_6_1">#REF!</definedName>
    <definedName name="_4556kgs_6_1">#REF!</definedName>
    <definedName name="_4557kitc100x2x0.6_6_1">#REF!</definedName>
    <definedName name="_4558kitc100x2x0.6_6_1">#REF!</definedName>
    <definedName name="_4559kitc100x2x0.6_6_1">#REF!</definedName>
    <definedName name="_4560kitc100x2x0.6_6_1">#REF!</definedName>
    <definedName name="_4561kitc100x2x0.6_6_1">#REF!</definedName>
    <definedName name="_4562kitc2x100x2x0.6_6_1">#REF!</definedName>
    <definedName name="_4563kitc2x100x2x0.6_6_1">#REF!</definedName>
    <definedName name="_4564kitc2x100x2x0.6_6_1">#REF!</definedName>
    <definedName name="_4565kitc2x100x2x0.6_6_1">#REF!</definedName>
    <definedName name="_4566kitc2x100x2x0.6_6_1">#REF!</definedName>
    <definedName name="_4567kji_6_1">#REF!</definedName>
    <definedName name="_4568kji_6_1">#REF!</definedName>
    <definedName name="_4569kji_6_1">#REF!</definedName>
    <definedName name="_456aber20_6_1">#REF!</definedName>
    <definedName name="_4570kji_6_1">#REF!</definedName>
    <definedName name="_4571kji_6_1">#REF!</definedName>
    <definedName name="_4574kk10a_6_1">#REF!</definedName>
    <definedName name="_4575kk10a_6_1">#REF!</definedName>
    <definedName name="_4576kk10a_6_1">#REF!</definedName>
    <definedName name="_4577kk10a_6_1">#REF!</definedName>
    <definedName name="_4578kk10a_6_1">#REF!</definedName>
    <definedName name="_4579kk16a_6_1">#REF!</definedName>
    <definedName name="_4580kk16a_6_1">#REF!</definedName>
    <definedName name="_4581kk16a_6_1">#REF!</definedName>
    <definedName name="_4582kk16a_6_1">#REF!</definedName>
    <definedName name="_4583kk16a_6_1">#REF!</definedName>
    <definedName name="_4584kkm_6_1">#REF!</definedName>
    <definedName name="_4585kkm_6_1">#REF!</definedName>
    <definedName name="_4586kkm_6_1">#REF!</definedName>
    <definedName name="_4587kkm_6_1">#REF!</definedName>
    <definedName name="_4588kkm_6_1">#REF!</definedName>
    <definedName name="_4589kknymhy_6_1">#REF!</definedName>
    <definedName name="_4590kknymhy_6_1">#REF!</definedName>
    <definedName name="_4591kknymhy_6_1">#REF!</definedName>
    <definedName name="_4592kknymhy_6_1">#REF!</definedName>
    <definedName name="_4593kknymhy_6_1">#REF!</definedName>
    <definedName name="_4594kkts_6_1">#REF!</definedName>
    <definedName name="_4595kkts_6_1">#REF!</definedName>
    <definedName name="_4596kkts_6_1">#REF!</definedName>
    <definedName name="_4597kkts_6_1">#REF!</definedName>
    <definedName name="_4598kkts_6_1">#REF!</definedName>
    <definedName name="_4599klp_6_1">#REF!</definedName>
    <definedName name="_45aber40_2_1">#REF!</definedName>
    <definedName name="_45PERATAAN_TANAH">#REF!</definedName>
    <definedName name="_4600klp_6_1">#REF!</definedName>
    <definedName name="_4601klp_6_1">#REF!</definedName>
    <definedName name="_4602klp_6_1">#REF!</definedName>
    <definedName name="_4603klp_6_1">#REF!</definedName>
    <definedName name="_4604km_6_1">#REF!</definedName>
    <definedName name="_4605km_6_1">#REF!</definedName>
    <definedName name="_4606km_6_1">#REF!</definedName>
    <definedName name="_4607km_6_1">#REF!</definedName>
    <definedName name="_4608km_6_1">#REF!</definedName>
    <definedName name="_4609kmm_6_1">#REF!</definedName>
    <definedName name="_4610kmm_6_1">#REF!</definedName>
    <definedName name="_4611kmm_6_1">#REF!</definedName>
    <definedName name="_4612kmm_6_1">#REF!</definedName>
    <definedName name="_4613kmm_6_1">#REF!</definedName>
    <definedName name="_4616KODE_6_1">#REF!</definedName>
    <definedName name="_4617KODE_6_1">#REF!</definedName>
    <definedName name="_4618KODE_6_1">#REF!</definedName>
    <definedName name="_4619KODE_6_1">#REF!</definedName>
    <definedName name="_461aber20_6_1_1">#REF!</definedName>
    <definedName name="_4620KODE_6_1">#REF!</definedName>
    <definedName name="_4621koef1_6_1">#REF!</definedName>
    <definedName name="_4622koef1_6_1">#REF!</definedName>
    <definedName name="_4623koef1_6_1">#REF!</definedName>
    <definedName name="_4624koef1_6_1">#REF!</definedName>
    <definedName name="_4625koef1_6_1">#REF!</definedName>
    <definedName name="_4626koeflingg_6_1">#REF!</definedName>
    <definedName name="_4627koeflingg_6_1">#REF!</definedName>
    <definedName name="_4628koeflingg_6_1">#REF!</definedName>
    <definedName name="_4629koeflingg_6_1">#REF!</definedName>
    <definedName name="_4630koeflingg_6_1">#REF!</definedName>
    <definedName name="_4631koeflingk_6_1">#REF!</definedName>
    <definedName name="_4632koeflingk_6_1">#REF!</definedName>
    <definedName name="_4633koeflingk_6_1">#REF!</definedName>
    <definedName name="_4634koeflingk_6_1">#REF!</definedName>
    <definedName name="_4635koeflingk_6_1">#REF!</definedName>
    <definedName name="_4636kof_6_1">#REF!</definedName>
    <definedName name="_4637kof_6_1">#REF!</definedName>
    <definedName name="_4638kof_6_1">#REF!</definedName>
    <definedName name="_4639kof_6_1">#REF!</definedName>
    <definedName name="_4640kof_6_1">#REF!</definedName>
    <definedName name="_4641KOM_1">#REF!</definedName>
    <definedName name="_4642KOM_1">#REF!</definedName>
    <definedName name="_4643ksk_6_1">#REF!</definedName>
    <definedName name="_4644ksk_6_1">#REF!</definedName>
    <definedName name="_4645ksk_6_1">#REF!</definedName>
    <definedName name="_4646ksk_6_1">#REF!</definedName>
    <definedName name="_4647ksk_6_1">#REF!</definedName>
    <definedName name="_4648kst_6_1">#REF!</definedName>
    <definedName name="_4649kst_6_1">#REF!</definedName>
    <definedName name="_4650kst_6_1">#REF!</definedName>
    <definedName name="_4651kst_6_1">#REF!</definedName>
    <definedName name="_4652kst_6_1">#REF!</definedName>
    <definedName name="_4653ktpm_6_1">#REF!</definedName>
    <definedName name="_4654ktpm_6_1">#REF!</definedName>
    <definedName name="_4655ktpm_6_1">#REF!</definedName>
    <definedName name="_4656ktpm_6_1">#REF!</definedName>
    <definedName name="_4657ktpm_6_1">#REF!</definedName>
    <definedName name="_4658KUSEN__PINTU__JENDELA__ALAT_ALAT_PENGGANTUNG_DAN_CURTAIN_WALL_1_1">#REF!</definedName>
    <definedName name="_4659KUSEN__PINTU__JENDELA__ALAT_ALAT_PENGGANTUNG_DAN_CURTAIN_WALL_1_1">#REF!</definedName>
    <definedName name="_4660KUSEN__PINTU__JENDELA__ALAT_ALAT_PENGGANTUNG_DAN_CURTAIN_WALL_1_1">#REF!</definedName>
    <definedName name="_4661KUSEN__PINTU__JENDELA__ALAT_ALAT_PENGGANTUNG_DAN_CURTAIN_WALL_1_1">#REF!</definedName>
    <definedName name="_4662KUSEN__PINTU__JENDELA__ALAT_ALAT_PENGGANTUNG_DAN_CURTAIN_WALL_1_1">#REF!</definedName>
    <definedName name="_4663KUSEN__PINTU__JENDELA__ALAT_ALAT_PENGGANTUNG_DAN_CURTAIN_WALL_6_1">#REF!</definedName>
    <definedName name="_4664KUSEN__PINTU__JENDELA__ALAT_ALAT_PENGGANTUNG_DAN_CURTAIN_WALL_6_1">#REF!</definedName>
    <definedName name="_4665KUSEN__PINTU__JENDELA__ALAT_ALAT_PENGGANTUNG_DAN_CURTAIN_WALL_6_1">#REF!</definedName>
    <definedName name="_4666KUSEN__PINTU__JENDELA__ALAT_ALAT_PENGGANTUNG_DAN_CURTAIN_WALL_6_1">#REF!</definedName>
    <definedName name="_4667KUSEN__PINTU__JENDELA__ALAT_ALAT_PENGGANTUNG_DAN_CURTAIN_WALL_6_1">#REF!</definedName>
    <definedName name="_4668kwh1st_6_1">#REF!</definedName>
    <definedName name="_4669kwh1st_6_1">#REF!</definedName>
    <definedName name="_466aber25_5_1">#REF!</definedName>
    <definedName name="_4670kwh1st_6_1">#REF!</definedName>
    <definedName name="_4671kwh1st_6_1">#REF!</definedName>
    <definedName name="_4672kwh1st_6_1">#REF!</definedName>
    <definedName name="_4673kwh3st_6_1">#REF!</definedName>
    <definedName name="_4674kwh3st_6_1">#REF!</definedName>
    <definedName name="_4675kwh3st_6_1">#REF!</definedName>
    <definedName name="_4676kwh3st_6_1">#REF!</definedName>
    <definedName name="_4677kwh3st_6_1">#REF!</definedName>
    <definedName name="_4678ky_6_1">#REF!</definedName>
    <definedName name="_4679ky_6_1">#REF!</definedName>
    <definedName name="_4680ky_6_1">#REF!</definedName>
    <definedName name="_4681ky_6_1">#REF!</definedName>
    <definedName name="_4682ky_6_1">#REF!</definedName>
    <definedName name="_4683l1ti50_6_1">#REF!</definedName>
    <definedName name="_4684l1ti50_6_1">#REF!</definedName>
    <definedName name="_4685l1ti50_6_1">#REF!</definedName>
    <definedName name="_4686l1ti50_6_1">#REF!</definedName>
    <definedName name="_4687l1ti50_6_1">#REF!</definedName>
    <definedName name="_4688l1ti60_6_1">#REF!</definedName>
    <definedName name="_4689l1ti60_6_1">#REF!</definedName>
    <definedName name="_4690l1ti60_6_1">#REF!</definedName>
    <definedName name="_4691l1ti60_6_1">#REF!</definedName>
    <definedName name="_4692l1ti60_6_1">#REF!</definedName>
    <definedName name="_4693l3l100_6_1">#REF!</definedName>
    <definedName name="_4694l3l100_6_1">#REF!</definedName>
    <definedName name="_4695l3l100_6_1">#REF!</definedName>
    <definedName name="_4696l3l100_6_1">#REF!</definedName>
    <definedName name="_4697l3l100_6_1">#REF!</definedName>
    <definedName name="_4698l3l50_6_1">#REF!</definedName>
    <definedName name="_4699l3l50_6_1">#REF!</definedName>
    <definedName name="_46aber50_1_1">#REF!</definedName>
    <definedName name="_46SCREET_LANTAI">#REF!</definedName>
    <definedName name="_47_CH17..H17___C__1">#REF!</definedName>
    <definedName name="_4700l3l50_6_1">#REF!</definedName>
    <definedName name="_4701l3l50_6_1">#REF!</definedName>
    <definedName name="_4702l3l50_6_1">#REF!</definedName>
    <definedName name="_4703l3l60_6_1">#REF!</definedName>
    <definedName name="_4704l3l60_6_1">#REF!</definedName>
    <definedName name="_4705l3l60_6_1">#REF!</definedName>
    <definedName name="_4706l3l60_6_1">#REF!</definedName>
    <definedName name="_4707l3l60_6_1">#REF!</definedName>
    <definedName name="_4708l3l70_6_1">#REF!</definedName>
    <definedName name="_4709l3l70_6_1">#REF!</definedName>
    <definedName name="_4710l3l70_6_1">#REF!</definedName>
    <definedName name="_4711l3l70_6_1">#REF!</definedName>
    <definedName name="_4712l3l70_6_1">#REF!</definedName>
    <definedName name="_4713l3l80_6_1">#REF!</definedName>
    <definedName name="_4714l3l80_6_1">#REF!</definedName>
    <definedName name="_4715l3l80_6_1">#REF!</definedName>
    <definedName name="_4716l3l80_6_1">#REF!</definedName>
    <definedName name="_4717l3l80_6_1">#REF!</definedName>
    <definedName name="_4718l3ld100_6_1">#REF!</definedName>
    <definedName name="_4719l3ld100_6_1">#REF!</definedName>
    <definedName name="_471aber25_6_1">#REF!</definedName>
    <definedName name="_4720l3ld100_6_1">#REF!</definedName>
    <definedName name="_4721l3ld100_6_1">#REF!</definedName>
    <definedName name="_4722l3ld100_6_1">#REF!</definedName>
    <definedName name="_4723l3ld50_6_1">#REF!</definedName>
    <definedName name="_4724l3ld50_6_1">#REF!</definedName>
    <definedName name="_4725l3ld50_6_1">#REF!</definedName>
    <definedName name="_4726l3ld50_6_1">#REF!</definedName>
    <definedName name="_4727l3ld50_6_1">#REF!</definedName>
    <definedName name="_4728l3ld60_6_1">#REF!</definedName>
    <definedName name="_4729l3ld60_6_1">#REF!</definedName>
    <definedName name="_4730l3ld60_6_1">#REF!</definedName>
    <definedName name="_4731l3ld60_6_1">#REF!</definedName>
    <definedName name="_4732l3ld60_6_1">#REF!</definedName>
    <definedName name="_4733l3ld70_6_1">#REF!</definedName>
    <definedName name="_4734l3ld70_6_1">#REF!</definedName>
    <definedName name="_4735l3ld70_6_1">#REF!</definedName>
    <definedName name="_4736l3ld70_6_1">#REF!</definedName>
    <definedName name="_4737l3ld70_6_1">#REF!</definedName>
    <definedName name="_4738l3ld80_6_1">#REF!</definedName>
    <definedName name="_4739l3ld80_6_1">#REF!</definedName>
    <definedName name="_4740l3ld80_6_1">#REF!</definedName>
    <definedName name="_4741l3ld80_6_1">#REF!</definedName>
    <definedName name="_4742l3ld80_6_1">#REF!</definedName>
    <definedName name="_4743l3ti50_6_1">#REF!</definedName>
    <definedName name="_4744l3ti50_6_1">#REF!</definedName>
    <definedName name="_4745l3ti50_6_1">#REF!</definedName>
    <definedName name="_4746l3ti50_6_1">#REF!</definedName>
    <definedName name="_4747l3ti50_6_1">#REF!</definedName>
    <definedName name="_4748l3ti60_6_1">#REF!</definedName>
    <definedName name="_4749l3ti60_6_1">#REF!</definedName>
    <definedName name="_4750l3ti60_6_1">#REF!</definedName>
    <definedName name="_4751l3ti60_6_1">#REF!</definedName>
    <definedName name="_4752l3ti60_6_1">#REF!</definedName>
    <definedName name="_4753l3ti80_6_1">#REF!</definedName>
    <definedName name="_4754l3ti80_6_1">#REF!</definedName>
    <definedName name="_4755l3ti80_6_1">#REF!</definedName>
    <definedName name="_4756l3ti80_6_1">#REF!</definedName>
    <definedName name="_4757l3ti80_6_1">#REF!</definedName>
    <definedName name="_4758l3tisf50_6_1">#REF!</definedName>
    <definedName name="_4759l3tisf50_6_1">#REF!</definedName>
    <definedName name="_4760l3tisf50_6_1">#REF!</definedName>
    <definedName name="_4761l3tisf50_6_1">#REF!</definedName>
    <definedName name="_4762l3tisf50_6_1">#REF!</definedName>
    <definedName name="_4763l3tisf60_6_1">#REF!</definedName>
    <definedName name="_4764l3tisf60_6_1">#REF!</definedName>
    <definedName name="_4765l3tisf60_6_1">#REF!</definedName>
    <definedName name="_4766l3tisf60_6_1">#REF!</definedName>
    <definedName name="_4767l3tisf60_6_1">#REF!</definedName>
    <definedName name="_4768LANTAI_P3_6_1">#REF!</definedName>
    <definedName name="_4769LANTAI_P3_6_1">#REF!</definedName>
    <definedName name="_476aber25_6_1_1">#REF!</definedName>
    <definedName name="_4770LANTAI_P3_6_1">#REF!</definedName>
    <definedName name="_4771leb_6_1">#REF!</definedName>
    <definedName name="_4772leb_6_1">#REF!</definedName>
    <definedName name="_4773leb_6_1">#REF!</definedName>
    <definedName name="_4774leb_6_1">#REF!</definedName>
    <definedName name="_4775leb_6_1">#REF!</definedName>
    <definedName name="_4776lgld100_6_1">#REF!</definedName>
    <definedName name="_4777lgld100_6_1">#REF!</definedName>
    <definedName name="_4778lgld100_6_1">#REF!</definedName>
    <definedName name="_4779lgld100_6_1">#REF!</definedName>
    <definedName name="_4780lgld100_6_1">#REF!</definedName>
    <definedName name="_4781lgld70_6_1">#REF!</definedName>
    <definedName name="_4782lgld70_6_1">#REF!</definedName>
    <definedName name="_4783lgld70_6_1">#REF!</definedName>
    <definedName name="_4784lgld70_6_1">#REF!</definedName>
    <definedName name="_4785lgld70_6_1">#REF!</definedName>
    <definedName name="_4786lgld80_6_1">#REF!</definedName>
    <definedName name="_4787lgld80_6_1">#REF!</definedName>
    <definedName name="_4788lgld80_6_1">#REF!</definedName>
    <definedName name="_4789lgld80_6_1">#REF!</definedName>
    <definedName name="_4790lgld80_6_1">#REF!</definedName>
    <definedName name="_4791lgti50_6_1">#REF!</definedName>
    <definedName name="_4792lgti50_6_1">#REF!</definedName>
    <definedName name="_4793lgti50_6_1">#REF!</definedName>
    <definedName name="_4794lgti50_6_1">#REF!</definedName>
    <definedName name="_4795lgti50_6_1">#REF!</definedName>
    <definedName name="_4796lgti60_6_1">#REF!</definedName>
    <definedName name="_4797lgti60_6_1">#REF!</definedName>
    <definedName name="_4798lgti60_6_1">#REF!</definedName>
    <definedName name="_4799lgti60_6_1">#REF!</definedName>
    <definedName name="_47aber50_2_1">#REF!</definedName>
    <definedName name="_47URUGAN_FONDASI">#REF!</definedName>
    <definedName name="_48__123Graph_CCHART_5L" hidden="1">#REF!</definedName>
    <definedName name="_4800lgti60_6_1">#REF!</definedName>
    <definedName name="_4801lgti70_6_1">#REF!</definedName>
    <definedName name="_4802lgti70_6_1">#REF!</definedName>
    <definedName name="_4803lgti70_6_1">#REF!</definedName>
    <definedName name="_4804lgti70_6_1">#REF!</definedName>
    <definedName name="_4805lgti70_6_1">#REF!</definedName>
    <definedName name="_4806lgtisf50_6_1">#REF!</definedName>
    <definedName name="_4807lgtisf50_6_1">#REF!</definedName>
    <definedName name="_4808lgtisf50_6_1">#REF!</definedName>
    <definedName name="_4809lgtisf50_6_1">#REF!</definedName>
    <definedName name="_4810lgtisf50_6_1">#REF!</definedName>
    <definedName name="_4811lgtisf60_6_1">#REF!</definedName>
    <definedName name="_4812lgtisf60_6_1">#REF!</definedName>
    <definedName name="_4813lgtisf60_6_1">#REF!</definedName>
    <definedName name="_4814lgtisf60_6_1">#REF!</definedName>
    <definedName name="_4815lgtisf60_6_1">#REF!</definedName>
    <definedName name="_4816LOBBY_1_1">#REF!</definedName>
    <definedName name="_4817LOBBY_1_1">#REF!</definedName>
    <definedName name="_4818LOBBY_1_1">#REF!</definedName>
    <definedName name="_4819LOBBY_1_1">#REF!</definedName>
    <definedName name="_481aber32_5_1">#REF!</definedName>
    <definedName name="_4820LOBBY_1_1">#REF!</definedName>
    <definedName name="_4821LOBBY_6_1">#REF!</definedName>
    <definedName name="_4822LOBBY_6_1">#REF!</definedName>
    <definedName name="_4823LOBBY_6_1">#REF!</definedName>
    <definedName name="_4824LOBBY_6_1">#REF!</definedName>
    <definedName name="_4825LOBBY_6_1">#REF!</definedName>
    <definedName name="_4826Luas_Bangunan_6_1">#REF!</definedName>
    <definedName name="_4827Luas_Bangunan_6_1">#REF!</definedName>
    <definedName name="_4828Luas_Bangunan_6_1">#REF!</definedName>
    <definedName name="_4829Luas_Bangunan_6_1">#REF!</definedName>
    <definedName name="_4830Luas_Bangunan_6_1">#REF!</definedName>
    <definedName name="_4831mark_up_6_1">#REF!</definedName>
    <definedName name="_4832mark_up_6_1">#REF!</definedName>
    <definedName name="_4833mark_up_6_1">#REF!</definedName>
    <definedName name="_4834mark_up_6_1">#REF!</definedName>
    <definedName name="_4835mark_up_6_1">#REF!</definedName>
    <definedName name="_4836MARKUP_6_1">#REF!</definedName>
    <definedName name="_4837MARKUP_6_1">#REF!</definedName>
    <definedName name="_4838MARKUP_6_1">#REF!</definedName>
    <definedName name="_4839MARKUP_6_1">#REF!</definedName>
    <definedName name="_4840MARKUP_6_1">#REF!</definedName>
    <definedName name="_4841mat_6_1">#REF!</definedName>
    <definedName name="_4842mat_6_1">#REF!</definedName>
    <definedName name="_4843mat_6_1">#REF!</definedName>
    <definedName name="_4844mat_6_1">#REF!</definedName>
    <definedName name="_4845mat_6_1">#REF!</definedName>
    <definedName name="_4846ME_6_1">#REF!</definedName>
    <definedName name="_4847ME_6_1">#REF!</definedName>
    <definedName name="_4848ME_6_1">#REF!</definedName>
    <definedName name="_4849ME_6_1">#REF!</definedName>
    <definedName name="_4850ME_6_1">#REF!</definedName>
    <definedName name="_4851mm_6_1">#REF!</definedName>
    <definedName name="_4852mm_6_1">#REF!</definedName>
    <definedName name="_4853mm_6_1">#REF!</definedName>
    <definedName name="_4854mm_6_1">#REF!</definedName>
    <definedName name="_4855mm_6_1">#REF!</definedName>
    <definedName name="_4856nyfgby3x6lt_6_1">#REF!</definedName>
    <definedName name="_4857nyfgby3x6lt_6_1">#REF!</definedName>
    <definedName name="_4858nyfgby4x6lt_6_1">#REF!</definedName>
    <definedName name="_4859nyfgby4x6lt_6_1">#REF!</definedName>
    <definedName name="_4860nyfgby4x6lt_6_1">#REF!</definedName>
    <definedName name="_4861nyfgby4x6lt_6_1">#REF!</definedName>
    <definedName name="_4862nyfgby4x6lt_6_1">#REF!</definedName>
    <definedName name="_4863nyfgby4x95_6_1">#REF!</definedName>
    <definedName name="_4864nyfgby4x95_6_1">#REF!</definedName>
    <definedName name="_4865nyfgby4x95_6_1">#REF!</definedName>
    <definedName name="_4866nyfgby4x95_6_1">#REF!</definedName>
    <definedName name="_4867nyfgby4x95_6_1">#REF!</definedName>
    <definedName name="_4868nyfgby5x6lt_6_1">#REF!</definedName>
    <definedName name="_4869nyfgby5x6lt_6_1">#REF!</definedName>
    <definedName name="_486aber32_6_1">#REF!</definedName>
    <definedName name="_4870nyfgby5x6lt_6_1">#REF!</definedName>
    <definedName name="_4871nyfgby5x6lt_6_1">#REF!</definedName>
    <definedName name="_4872nyfgby5x6lt_6_1">#REF!</definedName>
    <definedName name="_4873nym3x2.5flt_6_1">#REF!</definedName>
    <definedName name="_4874nym3x2.5flt_6_1">#REF!</definedName>
    <definedName name="_4875nym3x2.5flt_6_1">#REF!</definedName>
    <definedName name="_4876nym3x2.5flt_6_1">#REF!</definedName>
    <definedName name="_4877nym3x2.5flt_6_1">#REF!</definedName>
    <definedName name="_4878nyy11x1x500_6_1">#REF!</definedName>
    <definedName name="_4879nyy11x1x500_6_1">#REF!</definedName>
    <definedName name="_4880nyy11x1x500_6_1">#REF!</definedName>
    <definedName name="_4881nyy11x1x500_6_1">#REF!</definedName>
    <definedName name="_4882nyy11x1x500_6_1">#REF!</definedName>
    <definedName name="_4883nyy14x1x500_6_1">#REF!</definedName>
    <definedName name="_4884nyy14x1x500_6_1">#REF!</definedName>
    <definedName name="_4885nyy14x1x500_6_1">#REF!</definedName>
    <definedName name="_4886nyy14x1x500_6_1">#REF!</definedName>
    <definedName name="_4887nyy14x1x500_6_1">#REF!</definedName>
    <definedName name="_4888nyy16x1x500_6_1">#REF!</definedName>
    <definedName name="_4889nyy16x1x500_6_1">#REF!</definedName>
    <definedName name="_4890nyy16x1x500_6_1">#REF!</definedName>
    <definedName name="_4891nyy16x1x500_6_1">#REF!</definedName>
    <definedName name="_4892nyy16x1x500_6_1">#REF!</definedName>
    <definedName name="_4893nyy18x1x500_6_1">#REF!</definedName>
    <definedName name="_4894nyy18x1x500_6_1">#REF!</definedName>
    <definedName name="_4895nyy18x1x500_6_1">#REF!</definedName>
    <definedName name="_4896nyy18x1x500_6_1">#REF!</definedName>
    <definedName name="_4897nyy18x1x500_6_1">#REF!</definedName>
    <definedName name="_4898nyy21x1x500_6_1">#REF!</definedName>
    <definedName name="_4899nyy21x1x500_6_1">#REF!</definedName>
    <definedName name="_48Aber6_1_1">#REF!</definedName>
    <definedName name="_48PRINT_SUMMARY">'[16]r.tank'!#REF!</definedName>
    <definedName name="_48URUGAN_PASIR">#REF!</definedName>
    <definedName name="_49_CH19..H19___C__1">#REF!</definedName>
    <definedName name="_4900nyy21x1x500_6_1">#REF!</definedName>
    <definedName name="_4901nyy21x1x500_6_1">#REF!</definedName>
    <definedName name="_4902nyy21x1x500_6_1">#REF!</definedName>
    <definedName name="_4903nyy25x1x500_6_1">#REF!</definedName>
    <definedName name="_4904nyy25x1x500_6_1">#REF!</definedName>
    <definedName name="_4905nyy25x1x500_6_1">#REF!</definedName>
    <definedName name="_4906nyy25x1x500_6_1">#REF!</definedName>
    <definedName name="_4907nyy25x1x500_6_1">#REF!</definedName>
    <definedName name="_4908nyy2x4x16_6_1">#REF!</definedName>
    <definedName name="_4909nyy2x4x16_6_1">#REF!</definedName>
    <definedName name="_4910nyy2x4x16_6_1">#REF!</definedName>
    <definedName name="_4911nyy2x4x16_6_1">#REF!</definedName>
    <definedName name="_4912nyy2x4x16_6_1">#REF!</definedName>
    <definedName name="_4913nyy3x6_6_1">#REF!</definedName>
    <definedName name="_4914nyy3x6_6_1">#REF!</definedName>
    <definedName name="_4915nyy3x6_6_1">#REF!</definedName>
    <definedName name="_4916nyy3x6_6_1">#REF!</definedName>
    <definedName name="_4917nyy3x6_6_1">#REF!</definedName>
    <definedName name="_4918nyy4x10_6_1">#REF!</definedName>
    <definedName name="_4919nyy4x10_6_1">#REF!</definedName>
    <definedName name="_491aber32_6_1_1">#REF!</definedName>
    <definedName name="_4920nyy4x10_6_1">#REF!</definedName>
    <definedName name="_4921nyy4x10_6_1">#REF!</definedName>
    <definedName name="_4922nyy4x10_6_1">#REF!</definedName>
    <definedName name="_4923nyy4x120_6_1">#REF!</definedName>
    <definedName name="_4924nyy4x120_6_1">#REF!</definedName>
    <definedName name="_4925nyy4x120_6_1">#REF!</definedName>
    <definedName name="_4926nyy4x120_6_1">#REF!</definedName>
    <definedName name="_4927nyy4x120_6_1">#REF!</definedName>
    <definedName name="_4928nyy4x16_6_1">#REF!</definedName>
    <definedName name="_4929nyy4x16_6_1">#REF!</definedName>
    <definedName name="_4930nyy4x16_6_1">#REF!</definedName>
    <definedName name="_4931nyy4x16_6_1">#REF!</definedName>
    <definedName name="_4932nyy4x16_6_1">#REF!</definedName>
    <definedName name="_4933nyy4x185_6_1">#REF!</definedName>
    <definedName name="_4934nyy4x185_6_1">#REF!</definedName>
    <definedName name="_4935nyy4x185_6_1">#REF!</definedName>
    <definedName name="_4936nyy4x185_6_1">#REF!</definedName>
    <definedName name="_4937nyy4x185_6_1">#REF!</definedName>
    <definedName name="_4938nyy4x1x300_6_1">#REF!</definedName>
    <definedName name="_4939nyy4x1x300_6_1">#REF!</definedName>
    <definedName name="_4940nyy4x1x300_6_1">#REF!</definedName>
    <definedName name="_4941nyy4x1x300_6_1">#REF!</definedName>
    <definedName name="_4942nyy4x1x300_6_1">#REF!</definedName>
    <definedName name="_4943nyy4x1x400_6_1">#REF!</definedName>
    <definedName name="_4944nyy4x1x400_6_1">#REF!</definedName>
    <definedName name="_4945nyy4x1x400_6_1">#REF!</definedName>
    <definedName name="_4946nyy4x1x400_6_1">#REF!</definedName>
    <definedName name="_4947nyy4x1x400_6_1">#REF!</definedName>
    <definedName name="_4948nyy4x1x500_6_1">#REF!</definedName>
    <definedName name="_4949nyy4x1x500_6_1">#REF!</definedName>
    <definedName name="_4950nyy4x1x500_6_1">#REF!</definedName>
    <definedName name="_4951nyy4x1x500_6_1">#REF!</definedName>
    <definedName name="_4952nyy4x1x500_6_1">#REF!</definedName>
    <definedName name="_4953nyy4x25_6_1">#REF!</definedName>
    <definedName name="_4954nyy4x25_6_1">#REF!</definedName>
    <definedName name="_4955nyy4x25_6_1">#REF!</definedName>
    <definedName name="_4956nyy4x25_6_1">#REF!</definedName>
    <definedName name="_4957nyy4x25_6_1">#REF!</definedName>
    <definedName name="_4958nyy4x50_6_1">#REF!</definedName>
    <definedName name="_4959nyy4x50_6_1">#REF!</definedName>
    <definedName name="_4960nyy4x50_6_1">#REF!</definedName>
    <definedName name="_4961nyy4x50_6_1">#REF!</definedName>
    <definedName name="_4962nyy4x50_6_1">#REF!</definedName>
    <definedName name="_4963nyy4x70_6_1">#REF!</definedName>
    <definedName name="_4964nyy4x70_6_1">#REF!</definedName>
    <definedName name="_4965nyy4x70_6_1">#REF!</definedName>
    <definedName name="_4966nyy4x70_6_1">#REF!</definedName>
    <definedName name="_4967nyy4x70_6_1">#REF!</definedName>
    <definedName name="_4968nyy4x95_6_1">#REF!</definedName>
    <definedName name="_4969nyy4x95_6_1">#REF!</definedName>
    <definedName name="_496aber4_5_1">#REF!</definedName>
    <definedName name="_4970nyy4x95_6_1">#REF!</definedName>
    <definedName name="_4971nyy4x95_6_1">#REF!</definedName>
    <definedName name="_4972nyy4x95_6_1">#REF!</definedName>
    <definedName name="_4973nyy5x4_6_1">#REF!</definedName>
    <definedName name="_4974nyy5x4_6_1">#REF!</definedName>
    <definedName name="_4975nyy5x4_6_1">#REF!</definedName>
    <definedName name="_4976nyy5x4_6_1">#REF!</definedName>
    <definedName name="_4977nyy5x4_6_1">#REF!</definedName>
    <definedName name="_4978nyy5x6_6_1">#REF!</definedName>
    <definedName name="_4979nyy5x6_6_1">#REF!</definedName>
    <definedName name="_4980nyy5x6_6_1">#REF!</definedName>
    <definedName name="_4981nyy5x6_6_1">#REF!</definedName>
    <definedName name="_4982nyy5x6_6_1">#REF!</definedName>
    <definedName name="_4983nyy7x1x300_6_1">#REF!</definedName>
    <definedName name="_4984nyy7x1x300_6_1">#REF!</definedName>
    <definedName name="_4985nyy7x1x300_6_1">#REF!</definedName>
    <definedName name="_4986nyy7x1x300_6_1">#REF!</definedName>
    <definedName name="_4987nyy7x1x300_6_1">#REF!</definedName>
    <definedName name="_4988nyy7x1x500_6_1">#REF!</definedName>
    <definedName name="_4989nyy7x1x500_6_1">#REF!</definedName>
    <definedName name="_4990nyy7x1x500_6_1">#REF!</definedName>
    <definedName name="_4991nyy7x1x500_6_1">#REF!</definedName>
    <definedName name="_4992nyy7x1x500_6_1">#REF!</definedName>
    <definedName name="_4993OPERATING_EQUIPMENT_1">#REF!</definedName>
    <definedName name="_4994OPERATING_EQUIPMENT_1">#REF!</definedName>
    <definedName name="_4995OPERATING_EQUIPMENT_1_1">#REF!</definedName>
    <definedName name="_4996OPERATING_EQUIPMENT_1_1">#REF!</definedName>
    <definedName name="_4997OPERATING_EQUIPMENT_1_1">#REF!</definedName>
    <definedName name="_4998OPERATING_EQUIPMENT_1_1">#REF!</definedName>
    <definedName name="_4999OPERATING_EQUIPMENT_1_1">#REF!</definedName>
    <definedName name="_49Aber6_2_1">#REF!</definedName>
    <definedName name="_4CSTON2_3">#REF!</definedName>
    <definedName name="_4Excel_BuiltIn_Print_Area_1_1_1_1">#REF!</definedName>
    <definedName name="_4WORD_M_001_07">#REF!</definedName>
    <definedName name="_4WORD_O_005_E_">#REF!</definedName>
    <definedName name="_5">#N/A</definedName>
    <definedName name="_5.01">#REF!</definedName>
    <definedName name="_5.1">#REF!</definedName>
    <definedName name="_5___123Graph_ACHART_1" hidden="1">#REF!</definedName>
    <definedName name="_5__123Graph_ACHART_4K" hidden="1">#REF!</definedName>
    <definedName name="_5__123Graph_BCHART_2" hidden="1">#REF!</definedName>
    <definedName name="_5__123Graph_BCHART_4K" hidden="1">#REF!</definedName>
    <definedName name="_5__Excel_BuiltIn__FilterDatabase_4_1_1">#REF!</definedName>
    <definedName name="_5_D_1_1">#REF!</definedName>
    <definedName name="_5_入力表_棟別_">#REF!</definedName>
    <definedName name="_5_罫線引き">#REF!</definedName>
    <definedName name="_5000">#REF!</definedName>
    <definedName name="_5000_1">#REF!</definedName>
    <definedName name="_5000_14">#REF!</definedName>
    <definedName name="_5000_14_15">#REF!</definedName>
    <definedName name="_5000_14_15_1">#REF!</definedName>
    <definedName name="_5000_14_15_16">#REF!</definedName>
    <definedName name="_5000_14_15_7">#REF!</definedName>
    <definedName name="_5000_14_16">#REF!</definedName>
    <definedName name="_5000_14_8">#REF!</definedName>
    <definedName name="_5000_14_9">#REF!</definedName>
    <definedName name="_5000_15">#REF!</definedName>
    <definedName name="_5000_15_1">#REF!</definedName>
    <definedName name="_5000_15_16">#REF!</definedName>
    <definedName name="_5000_15_7">#REF!</definedName>
    <definedName name="_5000_16">#REF!</definedName>
    <definedName name="_5000_22">#REF!</definedName>
    <definedName name="_5000_5">#REF!</definedName>
    <definedName name="_5000_5_15">#REF!</definedName>
    <definedName name="_5000_5_15_1">#REF!</definedName>
    <definedName name="_5000_5_15_16">#REF!</definedName>
    <definedName name="_5000_5_15_7">#REF!</definedName>
    <definedName name="_5000_5_16">#REF!</definedName>
    <definedName name="_5000_5_8">#REF!</definedName>
    <definedName name="_5000_5_9">#REF!</definedName>
    <definedName name="_5000_6">#REF!</definedName>
    <definedName name="_5000_6_15">#REF!</definedName>
    <definedName name="_5000_6_15_1">#REF!</definedName>
    <definedName name="_5000_6_15_16">#REF!</definedName>
    <definedName name="_5000_6_15_7">#REF!</definedName>
    <definedName name="_5000_6_16">#REF!</definedName>
    <definedName name="_5000_6_8">#REF!</definedName>
    <definedName name="_5000_6_9">#REF!</definedName>
    <definedName name="_5000_7">#REF!</definedName>
    <definedName name="_5000_7_15">#REF!</definedName>
    <definedName name="_5000_7_15_1">#REF!</definedName>
    <definedName name="_5000_7_15_16">#REF!</definedName>
    <definedName name="_5000_7_15_7">#REF!</definedName>
    <definedName name="_5000_7_16">#REF!</definedName>
    <definedName name="_5000_7_8">#REF!</definedName>
    <definedName name="_5000_7_9">#REF!</definedName>
    <definedName name="_5000_8">#REF!</definedName>
    <definedName name="_5000_9">#REF!</definedName>
    <definedName name="_5000OPERATING_EQUIPMENT_6_1">#REF!</definedName>
    <definedName name="_5001OPERATING_EQUIPMENT_6_1">#REF!</definedName>
    <definedName name="_5002OPERATING_EQUIPMENT_6_1">#REF!</definedName>
    <definedName name="_5003OPERATING_EQUIPMENT_6_1">#REF!</definedName>
    <definedName name="_5004OPERATING_EQUIPMENT_6_1">#REF!</definedName>
    <definedName name="_5005ot_6_1">#REF!</definedName>
    <definedName name="_5006ot_6_1">#REF!</definedName>
    <definedName name="_5007ot_6_1">#REF!</definedName>
    <definedName name="_5008ot_6_1">#REF!</definedName>
    <definedName name="_5009ot_6_1">#REF!</definedName>
    <definedName name="_5010p1ti50_6_1">#REF!</definedName>
    <definedName name="_5011p1ti50_6_1">#REF!</definedName>
    <definedName name="_5012p1ti50_6_1">#REF!</definedName>
    <definedName name="_5013p1ti50_6_1">#REF!</definedName>
    <definedName name="_5014p1ti50_6_1">#REF!</definedName>
    <definedName name="_5015p1ti60_6_1">#REF!</definedName>
    <definedName name="_5016p1ti60_6_1">#REF!</definedName>
    <definedName name="_5017p1ti60_6_1">#REF!</definedName>
    <definedName name="_5018p1ti60_6_1">#REF!</definedName>
    <definedName name="_5019p1ti60_6_1">#REF!</definedName>
    <definedName name="_501aber4_6_1">#REF!</definedName>
    <definedName name="_5020p1ti70_6_1">#REF!</definedName>
    <definedName name="_5021p1ti70_6_1">#REF!</definedName>
    <definedName name="_5022p1ti70_6_1">#REF!</definedName>
    <definedName name="_5023p1ti70_6_1">#REF!</definedName>
    <definedName name="_5024p1ti70_6_1">#REF!</definedName>
    <definedName name="_5025p1ti80_6_1">#REF!</definedName>
    <definedName name="_5026p1ti80_6_1">#REF!</definedName>
    <definedName name="_5027p1ti80_6_1">#REF!</definedName>
    <definedName name="_5028p1ti80_6_1">#REF!</definedName>
    <definedName name="_5029p1ti80_6_1">#REF!</definedName>
    <definedName name="_5030p1tif50_6_1">#REF!</definedName>
    <definedName name="_5031p1tif50_6_1">#REF!</definedName>
    <definedName name="_5032p1tif50_6_1">#REF!</definedName>
    <definedName name="_5033p1tif50_6_1">#REF!</definedName>
    <definedName name="_5034p1tif50_6_1">#REF!</definedName>
    <definedName name="_5035p2ti50_6_1">#REF!</definedName>
    <definedName name="_5036p2ti50_6_1">#REF!</definedName>
    <definedName name="_5037p2ti50_6_1">#REF!</definedName>
    <definedName name="_5038p2ti50_6_1">#REF!</definedName>
    <definedName name="_5039p2ti50_6_1">#REF!</definedName>
    <definedName name="_5040p2ti60_6_1">#REF!</definedName>
    <definedName name="_5041p2ti60_6_1">#REF!</definedName>
    <definedName name="_5042p2ti60_6_1">#REF!</definedName>
    <definedName name="_5043p2ti60_6_1">#REF!</definedName>
    <definedName name="_5044p2ti60_6_1">#REF!</definedName>
    <definedName name="_5045p2ti70_6_1">#REF!</definedName>
    <definedName name="_5046p2ti70_6_1">#REF!</definedName>
    <definedName name="_5047p2ti70_6_1">#REF!</definedName>
    <definedName name="_5048p2ti70_6_1">#REF!</definedName>
    <definedName name="_5049p2ti70_6_1">#REF!</definedName>
    <definedName name="_5050p2ti80_6_1">#REF!</definedName>
    <definedName name="_5051p2ti80_6_1">#REF!</definedName>
    <definedName name="_5052p2ti80_6_1">#REF!</definedName>
    <definedName name="_5053p2ti80_6_1">#REF!</definedName>
    <definedName name="_5054p2ti80_6_1">#REF!</definedName>
    <definedName name="_5055p2tif50_6_1">#REF!</definedName>
    <definedName name="_5056p2tif50_6_1">#REF!</definedName>
    <definedName name="_5057p2tif50_6_1">#REF!</definedName>
    <definedName name="_5058p2tif50_6_1">#REF!</definedName>
    <definedName name="_5059p2tif50_6_1">#REF!</definedName>
    <definedName name="_5060p3al50_6_1">#REF!</definedName>
    <definedName name="_5061p3al50_6_1">#REF!</definedName>
    <definedName name="_5062p3al50_6_1">#REF!</definedName>
    <definedName name="_5063p3al50_6_1">#REF!</definedName>
    <definedName name="_5064p3al50_6_1">#REF!</definedName>
    <definedName name="_5065p3al60_6_1">#REF!</definedName>
    <definedName name="_5066p3al60_6_1">#REF!</definedName>
    <definedName name="_5067p3al60_6_1">#REF!</definedName>
    <definedName name="_5068p3al60_6_1">#REF!</definedName>
    <definedName name="_5069p3al60_6_1">#REF!</definedName>
    <definedName name="_506aber4_6_1_1">#REF!</definedName>
    <definedName name="_5070p3al70_6_1">#REF!</definedName>
    <definedName name="_5071p3al70_6_1">#REF!</definedName>
    <definedName name="_5072p3al70_6_1">#REF!</definedName>
    <definedName name="_5073p3al70_6_1">#REF!</definedName>
    <definedName name="_5074p3al70_6_1">#REF!</definedName>
    <definedName name="_5075p3al80_6_1">#REF!</definedName>
    <definedName name="_5076p3al80_6_1">#REF!</definedName>
    <definedName name="_5077p3al80_6_1">#REF!</definedName>
    <definedName name="_5078p3al80_6_1">#REF!</definedName>
    <definedName name="_5079p3al80_6_1">#REF!</definedName>
    <definedName name="_5080p3ati50_6_1">#REF!</definedName>
    <definedName name="_5081p3ati50_6_1">#REF!</definedName>
    <definedName name="_5082p3ati50_6_1">#REF!</definedName>
    <definedName name="_5083p3ati50_6_1">#REF!</definedName>
    <definedName name="_5084p3ati50_6_1">#REF!</definedName>
    <definedName name="_5085p3ati60_6_1">#REF!</definedName>
    <definedName name="_5086p3ati60_6_1">#REF!</definedName>
    <definedName name="_5087p3ati60_6_1">#REF!</definedName>
    <definedName name="_5088p3ati60_6_1">#REF!</definedName>
    <definedName name="_5089p3ati60_6_1">#REF!</definedName>
    <definedName name="_5090p3atif50_6_1">#REF!</definedName>
    <definedName name="_5091p3atif50_6_1">#REF!</definedName>
    <definedName name="_5092p3atif50_6_1">#REF!</definedName>
    <definedName name="_5093p3atif50_6_1">#REF!</definedName>
    <definedName name="_5094p3atif50_6_1">#REF!</definedName>
    <definedName name="_5095p3atifr50_6_1">#REF!</definedName>
    <definedName name="_5096p3atifr50_6_1">#REF!</definedName>
    <definedName name="_5097p3atifr50_6_1">#REF!</definedName>
    <definedName name="_5098p3atifr50_6_1">#REF!</definedName>
    <definedName name="_5099p3atifr50_6_1">#REF!</definedName>
    <definedName name="_50aber80_1_1">#REF!</definedName>
    <definedName name="_51__123Graph_DCHART_3J" hidden="1">#REF!</definedName>
    <definedName name="_51_CH21..H21___C__1">#REF!</definedName>
    <definedName name="_5100p3atifr60_6_1">#REF!</definedName>
    <definedName name="_5101p3atifr60_6_1">#REF!</definedName>
    <definedName name="_5102p3atifr60_6_1">#REF!</definedName>
    <definedName name="_5103p3atifr60_6_1">#REF!</definedName>
    <definedName name="_5104p3atifr60_6_1">#REF!</definedName>
    <definedName name="_5105p3ti50_6_1">#REF!</definedName>
    <definedName name="_5106p3ti50_6_1">#REF!</definedName>
    <definedName name="_5107p3ti50_6_1">#REF!</definedName>
    <definedName name="_5108p3ti50_6_1">#REF!</definedName>
    <definedName name="_5109p3ti50_6_1">#REF!</definedName>
    <definedName name="_5110p3ti60_6_1">#REF!</definedName>
    <definedName name="_5111p3ti60_6_1">#REF!</definedName>
    <definedName name="_5112p3ti60_6_1">#REF!</definedName>
    <definedName name="_5113p3ti60_6_1">#REF!</definedName>
    <definedName name="_5114p3ti60_6_1">#REF!</definedName>
    <definedName name="_5115p3ti70_6_1">#REF!</definedName>
    <definedName name="_5116p3ti70_6_1">#REF!</definedName>
    <definedName name="_5117p3ti70_6_1">#REF!</definedName>
    <definedName name="_5118p3ti70_6_1">#REF!</definedName>
    <definedName name="_5119p3ti70_6_1">#REF!</definedName>
    <definedName name="_511aber40_5_1">#REF!</definedName>
    <definedName name="_5120p3ti80_6_1">#REF!</definedName>
    <definedName name="_5121p3ti80_6_1">#REF!</definedName>
    <definedName name="_5122p3ti80_6_1">#REF!</definedName>
    <definedName name="_5123p3ti80_6_1">#REF!</definedName>
    <definedName name="_5124p3ti80_6_1">#REF!</definedName>
    <definedName name="_5125p3tif50_6_1">#REF!</definedName>
    <definedName name="_5126p3tif50_6_1">#REF!</definedName>
    <definedName name="_5127p3tif50_6_1">#REF!</definedName>
    <definedName name="_5128p3tif50_6_1">#REF!</definedName>
    <definedName name="_5129p3tif50_6_1">#REF!</definedName>
    <definedName name="_5130pab100_6_1">#REF!</definedName>
    <definedName name="_5131pab100_6_1">#REF!</definedName>
    <definedName name="_5132pab100_6_1">#REF!</definedName>
    <definedName name="_5133pab100_6_1">#REF!</definedName>
    <definedName name="_5134pab100_6_1">#REF!</definedName>
    <definedName name="_5135pab125_6_1">#REF!</definedName>
    <definedName name="_5136pab125_6_1">#REF!</definedName>
    <definedName name="_5137pab125_6_1">#REF!</definedName>
    <definedName name="_5138pab125_6_1">#REF!</definedName>
    <definedName name="_5139pab125_6_1">#REF!</definedName>
    <definedName name="_5140pab15_6_1">#REF!</definedName>
    <definedName name="_5141pab15_6_1">#REF!</definedName>
    <definedName name="_5142pab15_6_1">#REF!</definedName>
    <definedName name="_5143pab15_6_1">#REF!</definedName>
    <definedName name="_5144pab15_6_1">#REF!</definedName>
    <definedName name="_5145pab150_6_1">#REF!</definedName>
    <definedName name="_5146pab150_6_1">#REF!</definedName>
    <definedName name="_5147pab150_6_1">#REF!</definedName>
    <definedName name="_5148pab150_6_1">#REF!</definedName>
    <definedName name="_5149pab150_6_1">#REF!</definedName>
    <definedName name="_5150pab2_6_1">#REF!</definedName>
    <definedName name="_5151pab2_6_1">#REF!</definedName>
    <definedName name="_5152pab2_6_1">#REF!</definedName>
    <definedName name="_5153pab2_6_1">#REF!</definedName>
    <definedName name="_5154pab2_6_1">#REF!</definedName>
    <definedName name="_5155pab20_6_1">#REF!</definedName>
    <definedName name="_5156pab20_6_1">#REF!</definedName>
    <definedName name="_5157pab20_6_1">#REF!</definedName>
    <definedName name="_5158pab20_6_1">#REF!</definedName>
    <definedName name="_5159pab20_6_1">#REF!</definedName>
    <definedName name="_5160pab25_6_1">#REF!</definedName>
    <definedName name="_5161pab25_6_1">#REF!</definedName>
    <definedName name="_5162pab25_6_1">#REF!</definedName>
    <definedName name="_5163pab25_6_1">#REF!</definedName>
    <definedName name="_5164pab25_6_1">#REF!</definedName>
    <definedName name="_5165pab32_6_1">#REF!</definedName>
    <definedName name="_5166pab32_6_1">#REF!</definedName>
    <definedName name="_5167pab32_6_1">#REF!</definedName>
    <definedName name="_5168pab32_6_1">#REF!</definedName>
    <definedName name="_5169pab32_6_1">#REF!</definedName>
    <definedName name="_516aber40_6_1">#REF!</definedName>
    <definedName name="_5170pab4_6_1">#REF!</definedName>
    <definedName name="_5171pab4_6_1">#REF!</definedName>
    <definedName name="_5172pab4_6_1">#REF!</definedName>
    <definedName name="_5173pab4_6_1">#REF!</definedName>
    <definedName name="_5174pab4_6_1">#REF!</definedName>
    <definedName name="_5175pab40_6_1">#REF!</definedName>
    <definedName name="_5176pab40_6_1">#REF!</definedName>
    <definedName name="_5177pab40_6_1">#REF!</definedName>
    <definedName name="_5178pab40_6_1">#REF!</definedName>
    <definedName name="_5179pab40_6_1">#REF!</definedName>
    <definedName name="_5180pab50_6_1">#REF!</definedName>
    <definedName name="_5181pab50_6_1">#REF!</definedName>
    <definedName name="_5182pab50_6_1">#REF!</definedName>
    <definedName name="_5183pab50_6_1">#REF!</definedName>
    <definedName name="_5184pab50_6_1">#REF!</definedName>
    <definedName name="_5185pab6_6_1">#REF!</definedName>
    <definedName name="_5186pab6_6_1">#REF!</definedName>
    <definedName name="_5187pab6_6_1">#REF!</definedName>
    <definedName name="_5188pab6_6_1">#REF!</definedName>
    <definedName name="_5189pab6_6_1">#REF!</definedName>
    <definedName name="_5190pab65_6_1">#REF!</definedName>
    <definedName name="_5191pab65_6_1">#REF!</definedName>
    <definedName name="_5192pab65_6_1">#REF!</definedName>
    <definedName name="_5193pab65_6_1">#REF!</definedName>
    <definedName name="_5194pab65_6_1">#REF!</definedName>
    <definedName name="_5195pab80_6_1">#REF!</definedName>
    <definedName name="_5196pab80_6_1">#REF!</definedName>
    <definedName name="_5197pab80_6_1">#REF!</definedName>
    <definedName name="_5198pab80_6_1">#REF!</definedName>
    <definedName name="_5199pab80_6_1">#REF!</definedName>
    <definedName name="_51aber80_2_1">#REF!</definedName>
    <definedName name="_5200pabf100_6_1">#REF!</definedName>
    <definedName name="_5201pabf100_6_1">#REF!</definedName>
    <definedName name="_5202pabf100_6_1">#REF!</definedName>
    <definedName name="_5203pabf100_6_1">#REF!</definedName>
    <definedName name="_5204pabf100_6_1">#REF!</definedName>
    <definedName name="_5205pabf125_6_1">#REF!</definedName>
    <definedName name="_5206pabf125_6_1">#REF!</definedName>
    <definedName name="_5207pabf125_6_1">#REF!</definedName>
    <definedName name="_5208pabf125_6_1">#REF!</definedName>
    <definedName name="_5209pabf125_6_1">#REF!</definedName>
    <definedName name="_5210pabf150_6_1">#REF!</definedName>
    <definedName name="_5211pabf150_6_1">#REF!</definedName>
    <definedName name="_5212pabf150_6_1">#REF!</definedName>
    <definedName name="_5213pabf150_6_1">#REF!</definedName>
    <definedName name="_5214pabf150_6_1">#REF!</definedName>
    <definedName name="_5215pabf4_6_1">#REF!</definedName>
    <definedName name="_5216pabf4_6_1">#REF!</definedName>
    <definedName name="_5217pabf4_6_1">#REF!</definedName>
    <definedName name="_5218pabf4_6_1">#REF!</definedName>
    <definedName name="_5219pabf4_6_1">#REF!</definedName>
    <definedName name="_521aber40_6_1_1">#REF!</definedName>
    <definedName name="_5220pabf6_6_1">#REF!</definedName>
    <definedName name="_5221pabf6_6_1">#REF!</definedName>
    <definedName name="_5222pabf6_6_1">#REF!</definedName>
    <definedName name="_5223pabf6_6_1">#REF!</definedName>
    <definedName name="_5224pabf6_6_1">#REF!</definedName>
    <definedName name="_5225pabf65_6_1">#REF!</definedName>
    <definedName name="_5226pabf65_6_1">#REF!</definedName>
    <definedName name="_5227pabf65_6_1">#REF!</definedName>
    <definedName name="_5228pabf65_6_1">#REF!</definedName>
    <definedName name="_5229pabf65_6_1">#REF!</definedName>
    <definedName name="_522FA">#REF!</definedName>
    <definedName name="_5230pabf80_6_1">#REF!</definedName>
    <definedName name="_5231pabf80_6_1">#REF!</definedName>
    <definedName name="_5232pabf80_6_1">#REF!</definedName>
    <definedName name="_5233pabf80_6_1">#REF!</definedName>
    <definedName name="_5234pabf80_6_1">#REF!</definedName>
    <definedName name="_5235pah150_6_1">#REF!</definedName>
    <definedName name="_5236pah150_6_1">#REF!</definedName>
    <definedName name="_5237pah150_6_1">#REF!</definedName>
    <definedName name="_5238pah150_6_1">#REF!</definedName>
    <definedName name="_5239pah150_6_1">#REF!</definedName>
    <definedName name="_5240pak100_6_1">#REF!</definedName>
    <definedName name="_5241pak100_6_1">#REF!</definedName>
    <definedName name="_5242pak100_6_1">#REF!</definedName>
    <definedName name="_5243pak100_6_1">#REF!</definedName>
    <definedName name="_5244pak100_6_1">#REF!</definedName>
    <definedName name="_5245pak150_6_1">#REF!</definedName>
    <definedName name="_5246pak150_6_1">#REF!</definedName>
    <definedName name="_5247pak150_6_1">#REF!</definedName>
    <definedName name="_5248pak150_6_1">#REF!</definedName>
    <definedName name="_5249pak150_6_1">#REF!</definedName>
    <definedName name="_5250pak50_6_1">#REF!</definedName>
    <definedName name="_5251pak50_6_1">#REF!</definedName>
    <definedName name="_5252pak50_6_1">#REF!</definedName>
    <definedName name="_5253pak50_6_1">#REF!</definedName>
    <definedName name="_5254pak50_6_1">#REF!</definedName>
    <definedName name="_5255pak80_6_1">#REF!</definedName>
    <definedName name="_5256pak80_6_1">#REF!</definedName>
    <definedName name="_5257pak80_6_1">#REF!</definedName>
    <definedName name="_5258pak80_6_1">#REF!</definedName>
    <definedName name="_5259pak80_6_1">#REF!</definedName>
    <definedName name="_5260PAKET_6_1">#REF!</definedName>
    <definedName name="_5261PAKET_6_1">#REF!</definedName>
    <definedName name="_5262PAKET_6_1">#REF!</definedName>
    <definedName name="_5263PAKET_6_1">#REF!</definedName>
    <definedName name="_5264PAKET_6_1">#REF!</definedName>
    <definedName name="_5265pakf100_6_1">#REF!</definedName>
    <definedName name="_5266pakf100_6_1">#REF!</definedName>
    <definedName name="_5267pakf100_6_1">#REF!</definedName>
    <definedName name="_5268pakf100_6_1">#REF!</definedName>
    <definedName name="_5269pakf100_6_1">#REF!</definedName>
    <definedName name="_526aber50_5_1">#REF!</definedName>
    <definedName name="_5270pakf150_6_1">#REF!</definedName>
    <definedName name="_5271pakf150_6_1">#REF!</definedName>
    <definedName name="_5272pakf150_6_1">#REF!</definedName>
    <definedName name="_5273pakf150_6_1">#REF!</definedName>
    <definedName name="_5274pakf150_6_1">#REF!</definedName>
    <definedName name="_5275pakf80_6_1">#REF!</definedName>
    <definedName name="_5276pakf80_6_1">#REF!</definedName>
    <definedName name="_5277pakf80_6_1">#REF!</definedName>
    <definedName name="_5278pakf80_6_1">#REF!</definedName>
    <definedName name="_5279pakf80_6_1">#REF!</definedName>
    <definedName name="_5280pbs100_6_1">#REF!</definedName>
    <definedName name="_5281pbs100_6_1">#REF!</definedName>
    <definedName name="_5282pbs100_6_1">#REF!</definedName>
    <definedName name="_5283pbs100_6_1">#REF!</definedName>
    <definedName name="_5284pbs100_6_1">#REF!</definedName>
    <definedName name="_5285pbs15_6_1">#REF!</definedName>
    <definedName name="_5286pbs15_6_1">#REF!</definedName>
    <definedName name="_5287pbs15_6_1">#REF!</definedName>
    <definedName name="_5288pbs15_6_1">#REF!</definedName>
    <definedName name="_5289pbs15_6_1">#REF!</definedName>
    <definedName name="_5290pbs150_6_1">#REF!</definedName>
    <definedName name="_5291pbs150_6_1">#REF!</definedName>
    <definedName name="_5292pbs150_6_1">#REF!</definedName>
    <definedName name="_5293pbs150_6_1">#REF!</definedName>
    <definedName name="_5294pbs150_6_1">#REF!</definedName>
    <definedName name="_5295pbs40_6_1">#REF!</definedName>
    <definedName name="_5296pbs40_6_1">#REF!</definedName>
    <definedName name="_5297pbs40_6_1">#REF!</definedName>
    <definedName name="_5298pbs40_6_1">#REF!</definedName>
    <definedName name="_5299pbs40_6_1">#REF!</definedName>
    <definedName name="_52aberf100_1_1">#REF!</definedName>
    <definedName name="_53_CH23..H23___C__1">#REF!</definedName>
    <definedName name="_5300pbs50_6_1">#REF!</definedName>
    <definedName name="_5301pbs50_6_1">#REF!</definedName>
    <definedName name="_5302pbs50_6_1">#REF!</definedName>
    <definedName name="_5303pbs50_6_1">#REF!</definedName>
    <definedName name="_5304pbs50_6_1">#REF!</definedName>
    <definedName name="_5305pbs65_6_1">#REF!</definedName>
    <definedName name="_5306pbs65_6_1">#REF!</definedName>
    <definedName name="_5307pbs65_6_1">#REF!</definedName>
    <definedName name="_5308pbs65_6_1">#REF!</definedName>
    <definedName name="_5309pbs65_6_1">#REF!</definedName>
    <definedName name="_5310pbs80_6_1">#REF!</definedName>
    <definedName name="_5311pbs80_6_1">#REF!</definedName>
    <definedName name="_5312pbs80_6_1">#REF!</definedName>
    <definedName name="_5313pbs80_6_1">#REF!</definedName>
    <definedName name="_5314pbs80_6_1">#REF!</definedName>
    <definedName name="_5315pbsf100_6_1">#REF!</definedName>
    <definedName name="_5316pbsf100_6_1">#REF!</definedName>
    <definedName name="_5317pbsf100_6_1">#REF!</definedName>
    <definedName name="_5318pbsf100_6_1">#REF!</definedName>
    <definedName name="_5319pbsf100_6_1">#REF!</definedName>
    <definedName name="_531aber50_6_1">#REF!</definedName>
    <definedName name="_5320pbsf150_6_1">#REF!</definedName>
    <definedName name="_5321pbsf150_6_1">#REF!</definedName>
    <definedName name="_5322pbsf150_6_1">#REF!</definedName>
    <definedName name="_5323pbsf150_6_1">#REF!</definedName>
    <definedName name="_5324pbsf150_6_1">#REF!</definedName>
    <definedName name="_5325pbsf65_6_1">#REF!</definedName>
    <definedName name="_5326pbsf65_6_1">#REF!</definedName>
    <definedName name="_5327pbsf65_6_1">#REF!</definedName>
    <definedName name="_5328pbsf65_6_1">#REF!</definedName>
    <definedName name="_5329pbsf65_6_1">#REF!</definedName>
    <definedName name="_5330pbsf80_6_1">#REF!</definedName>
    <definedName name="_5331pbsf80_6_1">#REF!</definedName>
    <definedName name="_5332pbsf80_6_1">#REF!</definedName>
    <definedName name="_5333pbsf80_6_1">#REF!</definedName>
    <definedName name="_5334pbsf80_6_1">#REF!</definedName>
    <definedName name="_5335pc50_6_1">#REF!</definedName>
    <definedName name="_5336pc50_6_1">#REF!</definedName>
    <definedName name="_5337pc50_6_1">#REF!</definedName>
    <definedName name="_5338pc50_6_1">#REF!</definedName>
    <definedName name="_5339pc50_6_1">#REF!</definedName>
    <definedName name="_5340pc80_6_1">#REF!</definedName>
    <definedName name="_5341pc80_6_1">#REF!</definedName>
    <definedName name="_5342pc80_6_1">#REF!</definedName>
    <definedName name="_5343pc80_6_1">#REF!</definedName>
    <definedName name="_5344pc80_6_1">#REF!</definedName>
    <definedName name="_5345pcf80_6_1">#REF!</definedName>
    <definedName name="_5346pcf80_6_1">#REF!</definedName>
    <definedName name="_5347pcf80_6_1">#REF!</definedName>
    <definedName name="_5348pcf80_6_1">#REF!</definedName>
    <definedName name="_5349pcf80_6_1">#REF!</definedName>
    <definedName name="_5350PEK_1_1">#REF!</definedName>
    <definedName name="_5351PEK_1_1">#REF!</definedName>
    <definedName name="_5352PEK_1_1">#REF!</definedName>
    <definedName name="_5353PEK_1_1">#REF!</definedName>
    <definedName name="_5354PEK_1_1">#REF!</definedName>
    <definedName name="_5355PEK_1_6_1">#REF!</definedName>
    <definedName name="_5356PEK_1_6_1">#REF!</definedName>
    <definedName name="_5357PEK_1_6_1">#REF!</definedName>
    <definedName name="_5358PEK_1_6_1">#REF!</definedName>
    <definedName name="_5359PEK_1_6_1">#REF!</definedName>
    <definedName name="_5360PEK_3_6_1">#REF!</definedName>
    <definedName name="_5361PEK_3_6_1">#REF!</definedName>
    <definedName name="_5362PEK_3_6_1">#REF!</definedName>
    <definedName name="_5363PEK_3_6_1">#REF!</definedName>
    <definedName name="_5364PEK_3_6_1">#REF!</definedName>
    <definedName name="_5365PEK_4_6_1">#REF!</definedName>
    <definedName name="_5366PEK_4_6_1">#REF!</definedName>
    <definedName name="_5367PEK_4_6_1">#REF!</definedName>
    <definedName name="_5368PEK_4_6_1">#REF!</definedName>
    <definedName name="_5369PEK_4_6_1">#REF!</definedName>
    <definedName name="_536aber50_6_1_1">#REF!</definedName>
    <definedName name="_5370PEK_5_6_1">#REF!</definedName>
    <definedName name="_5371PEK_5_6_1">#REF!</definedName>
    <definedName name="_5372PEK_5_6_1">#REF!</definedName>
    <definedName name="_5373PEK_5_6_1">#REF!</definedName>
    <definedName name="_5374PEK_5_6_1">#REF!</definedName>
    <definedName name="_5375PEK_6_1">#REF!</definedName>
    <definedName name="_5376PEK_6_1">#REF!</definedName>
    <definedName name="_5377PEK_6_1">#REF!</definedName>
    <definedName name="_5378PEK_6_1">#REF!</definedName>
    <definedName name="_5379PEK_6_1">#REF!</definedName>
    <definedName name="_5380PEKERJAAN__A_C_1_1">#REF!</definedName>
    <definedName name="_5381PEKERJAAN__A_C_1_1">#REF!</definedName>
    <definedName name="_5382PEKERJAAN__A_C_1_1">#REF!</definedName>
    <definedName name="_5383PEKERJAAN__A_C_1_1">#REF!</definedName>
    <definedName name="_5384PEKERJAAN__A_C_1_1">#REF!</definedName>
    <definedName name="_5385PEKERJAAN__A_C_6_1">#REF!</definedName>
    <definedName name="_5386PEKERJAAN__A_C_6_1">#REF!</definedName>
    <definedName name="_5387PEKERJAAN__A_C_6_1">#REF!</definedName>
    <definedName name="_5388PEKERJAAN__A_C_6_1">#REF!</definedName>
    <definedName name="_5389PEKERJAAN__A_C_6_1">#REF!</definedName>
    <definedName name="_5390PEKERJAAN_CAT_1_1">#REF!</definedName>
    <definedName name="_5391PEKERJAAN_CAT_1_1">#REF!</definedName>
    <definedName name="_5392PEKERJAAN_CAT_1_1">#REF!</definedName>
    <definedName name="_5393PEKERJAAN_CAT_1_1">#REF!</definedName>
    <definedName name="_5394PEKERJAAN_CAT_1_1">#REF!</definedName>
    <definedName name="_5395PEKERJAAN_CAT_6_1">#REF!</definedName>
    <definedName name="_5396PEKERJAAN_CAT_6_1">#REF!</definedName>
    <definedName name="_5397PEKERJAAN_CAT_6_1">#REF!</definedName>
    <definedName name="_5398PEKERJAAN_CAT_6_1">#REF!</definedName>
    <definedName name="_5399PEKERJAAN_CAT_6_1">#REF!</definedName>
    <definedName name="_53aberf100_2_1">#REF!</definedName>
    <definedName name="_54__123Graph_DCHART_4K" hidden="1">#REF!</definedName>
    <definedName name="_5400PEKERJAAN_CCTV__SOUND_SYSTEM____MATV_1_1">#REF!</definedName>
    <definedName name="_5401PEKERJAAN_CCTV__SOUND_SYSTEM____MATV_1_1">#REF!</definedName>
    <definedName name="_5402PEKERJAAN_CCTV__SOUND_SYSTEM____MATV_1_1">#REF!</definedName>
    <definedName name="_5403PEKERJAAN_CCTV__SOUND_SYSTEM____MATV_1_1">#REF!</definedName>
    <definedName name="_5404PEKERJAAN_CCTV__SOUND_SYSTEM____MATV_1_1">#REF!</definedName>
    <definedName name="_5405PEKERJAAN_CCTV__SOUND_SYSTEM____MATV_6_1">#REF!</definedName>
    <definedName name="_5406PEKERJAAN_CCTV__SOUND_SYSTEM____MATV_6_1">#REF!</definedName>
    <definedName name="_5407PEKERJAAN_CCTV__SOUND_SYSTEM____MATV_6_1">#REF!</definedName>
    <definedName name="_5408PEKERJAAN_CCTV__SOUND_SYSTEM____MATV_6_1">#REF!</definedName>
    <definedName name="_5409PEKERJAAN_CCTV__SOUND_SYSTEM____MATV_6_1">#REF!</definedName>
    <definedName name="_5410PEKERJAAN_DINDING_DAN_FINISHING_DINDING_1_1">#REF!</definedName>
    <definedName name="_5411PEKERJAAN_DINDING_DAN_FINISHING_DINDING_1_1">#REF!</definedName>
    <definedName name="_5412PEKERJAAN_DINDING_DAN_FINISHING_DINDING_1_1">#REF!</definedName>
    <definedName name="_5413PEKERJAAN_DINDING_DAN_FINISHING_DINDING_1_1">#REF!</definedName>
    <definedName name="_5414PEKERJAAN_DINDING_DAN_FINISHING_DINDING_1_1">#REF!</definedName>
    <definedName name="_5415PEKERJAAN_DINDING_DAN_FINISHING_DINDING_6_1">#REF!</definedName>
    <definedName name="_5416PEKERJAAN_DINDING_DAN_FINISHING_DINDING_6_1">#REF!</definedName>
    <definedName name="_5417PEKERJAAN_DINDING_DAN_FINISHING_DINDING_6_1">#REF!</definedName>
    <definedName name="_5418PEKERJAAN_DINDING_DAN_FINISHING_DINDING_6_1">#REF!</definedName>
    <definedName name="_5419PEKERJAAN_DINDING_DAN_FINISHING_DINDING_6_1">#REF!</definedName>
    <definedName name="_541Aber6_5_1">#REF!</definedName>
    <definedName name="_5420PEKERJAAN_FINISHING_LANTAI_1_1">#REF!</definedName>
    <definedName name="_5421PEKERJAAN_FINISHING_LANTAI_1_1">#REF!</definedName>
    <definedName name="_5422PEKERJAAN_FINISHING_LANTAI_1_1">#REF!</definedName>
    <definedName name="_5423PEKERJAAN_FINISHING_LANTAI_1_1">#REF!</definedName>
    <definedName name="_5424PEKERJAAN_FINISHING_LANTAI_1_1">#REF!</definedName>
    <definedName name="_5425PEKERJAAN_FINISHING_LANTAI_6_1">#REF!</definedName>
    <definedName name="_5426PEKERJAAN_FINISHING_LANTAI_6_1">#REF!</definedName>
    <definedName name="_5427PEKERJAAN_FINISHING_LANTAI_6_1">#REF!</definedName>
    <definedName name="_5428PEKERJAAN_FINISHING_LANTAI_6_1">#REF!</definedName>
    <definedName name="_5429PEKERJAAN_FINISHING_LANTAI_6_1">#REF!</definedName>
    <definedName name="_5430PEKERJAAN_GONDOLA_1_1">#REF!</definedName>
    <definedName name="_5431PEKERJAAN_GONDOLA_1_1">#REF!</definedName>
    <definedName name="_5432PEKERJAAN_GONDOLA_1_1">#REF!</definedName>
    <definedName name="_5433PEKERJAAN_GONDOLA_1_1">#REF!</definedName>
    <definedName name="_5434PEKERJAAN_GONDOLA_1_1">#REF!</definedName>
    <definedName name="_5435PEKERJAAN_GONDOLA_6_1">#REF!</definedName>
    <definedName name="_5436PEKERJAAN_GONDOLA_6_1">#REF!</definedName>
    <definedName name="_5437PEKERJAAN_GONDOLA_6_1">#REF!</definedName>
    <definedName name="_5438PEKERJAAN_GONDOLA_6_1">#REF!</definedName>
    <definedName name="_5439PEKERJAAN_GONDOLA_6_1">#REF!</definedName>
    <definedName name="_5440PEKERJAAN_LIFT_ex_KOREA_1_1">#REF!</definedName>
    <definedName name="_5441PEKERJAAN_LIFT_ex_KOREA_1_1">#REF!</definedName>
    <definedName name="_5442PEKERJAAN_LIFT_ex_KOREA_1_1">#REF!</definedName>
    <definedName name="_5443PEKERJAAN_LIFT_ex_KOREA_1_1">#REF!</definedName>
    <definedName name="_5444PEKERJAAN_LIFT_ex_KOREA_1_1">#REF!</definedName>
    <definedName name="_5445PEKERJAAN_LIFT_ex_KOREA_6_1">#REF!</definedName>
    <definedName name="_5446PEKERJAAN_LIFT_ex_KOREA_6_1">#REF!</definedName>
    <definedName name="_5447PEKERJAAN_LIFT_ex_KOREA_6_1">#REF!</definedName>
    <definedName name="_5448PEKERJAAN_LIFT_ex_KOREA_6_1">#REF!</definedName>
    <definedName name="_5449PEKERJAAN_LIFT_ex_KOREA_6_1">#REF!</definedName>
    <definedName name="_5450PEKERJAAN_LISTRIK___GENSET_1_1">#REF!</definedName>
    <definedName name="_5451PEKERJAAN_LISTRIK___GENSET_1_1">#REF!</definedName>
    <definedName name="_5452PEKERJAAN_LISTRIK___GENSET_1_1">#REF!</definedName>
    <definedName name="_5453PEKERJAAN_LISTRIK___GENSET_1_1">#REF!</definedName>
    <definedName name="_5454PEKERJAAN_LISTRIK___GENSET_1_1">#REF!</definedName>
    <definedName name="_5455PEKERJAAN_LISTRIK___GENSET_6_1">#REF!</definedName>
    <definedName name="_5456PEKERJAAN_LISTRIK___GENSET_6_1">#REF!</definedName>
    <definedName name="_5457PEKERJAAN_LISTRIK___GENSET_6_1">#REF!</definedName>
    <definedName name="_5458PEKERJAAN_LISTRIK___GENSET_6_1">#REF!</definedName>
    <definedName name="_5459PEKERJAAN_LISTRIK___GENSET_6_1">#REF!</definedName>
    <definedName name="_5460PEKERJAAN_LUAR_1">#REF!</definedName>
    <definedName name="_5461PEKERJAAN_LUAR_1">#REF!</definedName>
    <definedName name="_5462PEKERJAAN_LUAR_1_1">#REF!</definedName>
    <definedName name="_5463PEKERJAAN_LUAR_1_1">#REF!</definedName>
    <definedName name="_5464PEKERJAAN_LUAR_1_1">#REF!</definedName>
    <definedName name="_5465PEKERJAAN_LUAR_1_1">#REF!</definedName>
    <definedName name="_5466PEKERJAAN_LUAR_1_1">#REF!</definedName>
    <definedName name="_5467PEKERJAAN_LUAR_6_1">#REF!</definedName>
    <definedName name="_5468PEKERJAAN_LUAR_6_1">#REF!</definedName>
    <definedName name="_5469PEKERJAAN_LUAR_6_1">#REF!</definedName>
    <definedName name="_546Aber6_6_1">#REF!</definedName>
    <definedName name="_5470PEKERJAAN_LUAR_6_1">#REF!</definedName>
    <definedName name="_5471PEKERJAAN_LUAR_6_1">#REF!</definedName>
    <definedName name="_5472PEKERJAAN_PLAFOND_1_1">#REF!</definedName>
    <definedName name="_5473PEKERJAAN_PLAFOND_1_1">#REF!</definedName>
    <definedName name="_5474PEKERJAAN_PLAFOND_1_1">#REF!</definedName>
    <definedName name="_5475PEKERJAAN_PLAFOND_1_1">#REF!</definedName>
    <definedName name="_5476PEKERJAAN_PLAFOND_1_1">#REF!</definedName>
    <definedName name="_5477PEKERJAAN_PLAFOND_6_1">#REF!</definedName>
    <definedName name="_5478PEKERJAAN_PLAFOND_6_1">#REF!</definedName>
    <definedName name="_5479PEKERJAAN_PLAFOND_6_1">#REF!</definedName>
    <definedName name="_5480PEKERJAAN_PLAFOND_6_1">#REF!</definedName>
    <definedName name="_5481PEKERJAAN_PLAFOND_6_1">#REF!</definedName>
    <definedName name="_5482PEKERJAAN_PLUMBING___SANITARY_1_1">#REF!</definedName>
    <definedName name="_5483PEKERJAAN_PLUMBING___SANITARY_1_1">#REF!</definedName>
    <definedName name="_5484PEKERJAAN_PLUMBING___SANITARY_1_1">#REF!</definedName>
    <definedName name="_5485PEKERJAAN_PLUMBING___SANITARY_1_1">#REF!</definedName>
    <definedName name="_5486PEKERJAAN_PLUMBING___SANITARY_1_1">#REF!</definedName>
    <definedName name="_5487PEKERJAAN_PLUMBING___SANITARY_6_1">#REF!</definedName>
    <definedName name="_5488PEKERJAAN_PLUMBING___SANITARY_6_1">#REF!</definedName>
    <definedName name="_5489PEKERJAAN_PLUMBING___SANITARY_6_1">#REF!</definedName>
    <definedName name="_5490PEKERJAAN_PLUMBING___SANITARY_6_1">#REF!</definedName>
    <definedName name="_5491PEKERJAAN_PLUMBING___SANITARY_6_1">#REF!</definedName>
    <definedName name="_5492PEKERJAAN_PONDASI_1_1">#REF!</definedName>
    <definedName name="_5493PEKERJAAN_PONDASI_1_1">#REF!</definedName>
    <definedName name="_5494PEKERJAAN_PONDASI_1_1">#REF!</definedName>
    <definedName name="_5495PEKERJAAN_PONDASI_1_1">#REF!</definedName>
    <definedName name="_5496PEKERJAAN_PONDASI_1_1">#REF!</definedName>
    <definedName name="_5497PEKERJAAN_PONDASI_6_1">#REF!</definedName>
    <definedName name="_5498PEKERJAAN_PONDASI_6_1">#REF!</definedName>
    <definedName name="_5499PEKERJAAN_PONDASI_6_1">#REF!</definedName>
    <definedName name="_54aberf150_1_1">#REF!</definedName>
    <definedName name="_55_CH25..H25___C__1">#REF!</definedName>
    <definedName name="_5500PEKERJAAN_PONDASI_6_1">#REF!</definedName>
    <definedName name="_5501PEKERJAAN_PONDASI_6_1">#REF!</definedName>
    <definedName name="_5502PEKERJAAN_RAILING_DAN_LAIN___LAIN_1_1">#REF!</definedName>
    <definedName name="_5503PEKERJAAN_RAILING_DAN_LAIN___LAIN_1_1">#REF!</definedName>
    <definedName name="_5504PEKERJAAN_RAILING_DAN_LAIN___LAIN_1_1">#REF!</definedName>
    <definedName name="_5505PEKERJAAN_RAILING_DAN_LAIN___LAIN_1_1">#REF!</definedName>
    <definedName name="_5506PEKERJAAN_RAILING_DAN_LAIN___LAIN_1_1">#REF!</definedName>
    <definedName name="_5507PEKERJAAN_RAILING_DAN_LAIN___LAIN_6_1">#REF!</definedName>
    <definedName name="_5508PEKERJAAN_RAILING_DAN_LAIN___LAIN_6_1">#REF!</definedName>
    <definedName name="_5509PEKERJAAN_RAILING_DAN_LAIN___LAIN_6_1">#REF!</definedName>
    <definedName name="_5510PEKERJAAN_RAILING_DAN_LAIN___LAIN_6_1">#REF!</definedName>
    <definedName name="_5511PEKERJAAN_RAILING_DAN_LAIN___LAIN_6_1">#REF!</definedName>
    <definedName name="_5512PEKERJAAN_SPRINKLER___FIRE_FIGHTING_1_1">#REF!</definedName>
    <definedName name="_5513PEKERJAAN_SPRINKLER___FIRE_FIGHTING_1_1">#REF!</definedName>
    <definedName name="_5514PEKERJAAN_SPRINKLER___FIRE_FIGHTING_1_1">#REF!</definedName>
    <definedName name="_5515PEKERJAAN_SPRINKLER___FIRE_FIGHTING_1_1">#REF!</definedName>
    <definedName name="_5516PEKERJAAN_SPRINKLER___FIRE_FIGHTING_1_1">#REF!</definedName>
    <definedName name="_5517PEKERJAAN_SPRINKLER___FIRE_FIGHTING_6_1">#REF!</definedName>
    <definedName name="_5518PEKERJAAN_SPRINKLER___FIRE_FIGHTING_6_1">#REF!</definedName>
    <definedName name="_5519PEKERJAAN_SPRINKLER___FIRE_FIGHTING_6_1">#REF!</definedName>
    <definedName name="_551Aber6_6_1_1">#REF!</definedName>
    <definedName name="_5520PEKERJAAN_SPRINKLER___FIRE_FIGHTING_6_1">#REF!</definedName>
    <definedName name="_5521PEKERJAAN_SPRINKLER___FIRE_FIGHTING_6_1">#REF!</definedName>
    <definedName name="_5522PEKERJAAN_STRUKTUR_ATAS_DAN_ATAP_1_1">#REF!</definedName>
    <definedName name="_5523PEKERJAAN_STRUKTUR_ATAS_DAN_ATAP_1_1">#REF!</definedName>
    <definedName name="_5524PEKERJAAN_STRUKTUR_ATAS_DAN_ATAP_1_1">#REF!</definedName>
    <definedName name="_5525PEKERJAAN_STRUKTUR_ATAS_DAN_ATAP_1_1">#REF!</definedName>
    <definedName name="_5526PEKERJAAN_STRUKTUR_ATAS_DAN_ATAP_1_1">#REF!</definedName>
    <definedName name="_5527PEKERJAAN_STRUKTUR_ATAS_DAN_ATAP_6_1">#REF!</definedName>
    <definedName name="_5528PEKERJAAN_STRUKTUR_ATAS_DAN_ATAP_6_1">#REF!</definedName>
    <definedName name="_5529PEKERJAAN_STRUKTUR_ATAS_DAN_ATAP_6_1">#REF!</definedName>
    <definedName name="_5530PEKERJAAN_STRUKTUR_ATAS_DAN_ATAP_6_1">#REF!</definedName>
    <definedName name="_5531PEKERJAAN_STRUKTUR_ATAS_DAN_ATAP_6_1">#REF!</definedName>
    <definedName name="_5532PEKERJAAN_SUB_STRUKTUR_1_1">#REF!</definedName>
    <definedName name="_5533PEKERJAAN_SUB_STRUKTUR_1_1">#REF!</definedName>
    <definedName name="_5534PEKERJAAN_SUB_STRUKTUR_1_1">#REF!</definedName>
    <definedName name="_5535PEKERJAAN_SUB_STRUKTUR_1_1">#REF!</definedName>
    <definedName name="_5536PEKERJAAN_SUB_STRUKTUR_1_1">#REF!</definedName>
    <definedName name="_5537PEKERJAAN_SUB_STRUKTUR_6_1">#REF!</definedName>
    <definedName name="_5538PEKERJAAN_SUB_STRUKTUR_6_1">#REF!</definedName>
    <definedName name="_5539PEKERJAAN_SUB_STRUKTUR_6_1">#REF!</definedName>
    <definedName name="_5540PEKERJAAN_SUB_STRUKTUR_6_1">#REF!</definedName>
    <definedName name="_5541PEKERJAAN_SUB_STRUKTUR_6_1">#REF!</definedName>
    <definedName name="_5542PEKERJAAN_TANAH_1_1">#REF!</definedName>
    <definedName name="_5543PEKERJAAN_TANAH_1_1">#REF!</definedName>
    <definedName name="_5544PEKERJAAN_TANAH_1_1">#REF!</definedName>
    <definedName name="_5545PEKERJAAN_TANAH_1_1">#REF!</definedName>
    <definedName name="_5546PEKERJAAN_TANAH_1_1">#REF!</definedName>
    <definedName name="_5547PEKERJAAN_TANAH_6_1">#REF!</definedName>
    <definedName name="_5548PEKERJAAN_TANAH_6_1">#REF!</definedName>
    <definedName name="_5549PEKERJAAN_TANAH_6_1">#REF!</definedName>
    <definedName name="_5550PEKERJAAN_TANAH_6_1">#REF!</definedName>
    <definedName name="_5551PEKERJAAN_TANAH_6_1">#REF!</definedName>
    <definedName name="_5552PEKERJAAN_TELEPON_1_1">#REF!</definedName>
    <definedName name="_5553PEKERJAAN_TELEPON_1_1">#REF!</definedName>
    <definedName name="_5554PEKERJAAN_TELEPON_1_1">#REF!</definedName>
    <definedName name="_5555PEKERJAAN_TELEPON_1_1">#REF!</definedName>
    <definedName name="_5556PEKERJAAN_TELEPON_1_1">#REF!</definedName>
    <definedName name="_5557PEKERJAAN_TELEPON_6_1">#REF!</definedName>
    <definedName name="_5558PEKERJAAN_TELEPON_6_1">#REF!</definedName>
    <definedName name="_5559PEKERJAAN_TELEPON_6_1">#REF!</definedName>
    <definedName name="_5560PEKERJAAN_TELEPON_6_1">#REF!</definedName>
    <definedName name="_5561PEKERJAAN_TELEPON_6_1">#REF!</definedName>
    <definedName name="_5562pgc_6_1">#REF!</definedName>
    <definedName name="_5563pgc_6_1">#REF!</definedName>
    <definedName name="_5564pgc_6_1">#REF!</definedName>
    <definedName name="_5565pgc_6_1">#REF!</definedName>
    <definedName name="_5566pgc_6_1">#REF!</definedName>
    <definedName name="_5567ph100_6_1">#REF!</definedName>
    <definedName name="_5568ph100_6_1">#REF!</definedName>
    <definedName name="_5569ph100_6_1">#REF!</definedName>
    <definedName name="_556aber80_5_1">#REF!</definedName>
    <definedName name="_5570ph100_6_1">#REF!</definedName>
    <definedName name="_5571ph100_6_1">#REF!</definedName>
    <definedName name="_5572ph150_6_1">#REF!</definedName>
    <definedName name="_5573ph150_6_1">#REF!</definedName>
    <definedName name="_5574ph150_6_1">#REF!</definedName>
    <definedName name="_5575ph150_6_1">#REF!</definedName>
    <definedName name="_5576ph150_6_1">#REF!</definedName>
    <definedName name="_5577phf100_6_1">#REF!</definedName>
    <definedName name="_5578phf100_6_1">#REF!</definedName>
    <definedName name="_5579phf100_6_1">#REF!</definedName>
    <definedName name="_5580phf100_6_1">#REF!</definedName>
    <definedName name="_5581phf100_6_1">#REF!</definedName>
    <definedName name="_5582phf150_6_1">#REF!</definedName>
    <definedName name="_5583phf150_6_1">#REF!</definedName>
    <definedName name="_5584phf150_6_1">#REF!</definedName>
    <definedName name="_5585phf150_6_1">#REF!</definedName>
    <definedName name="_5586phf150_6_1">#REF!</definedName>
    <definedName name="_5587plum_6_1">#REF!</definedName>
    <definedName name="_5588plum_6_1">#REF!</definedName>
    <definedName name="_5589plum_6_1">#REF!</definedName>
    <definedName name="_5590plum_6_1">#REF!</definedName>
    <definedName name="_5591plum_6_1">#REF!</definedName>
    <definedName name="_5595PRINT_AREA_MI_6_1">#REF!</definedName>
    <definedName name="_5596PRINT_AREA_MI_6_1">#REF!</definedName>
    <definedName name="_5597PRINT_AREA_MI_6_1">#REF!</definedName>
    <definedName name="_5598PRINT_TITLES_MI_1">#REF!</definedName>
    <definedName name="_5599PRINT_TITLES_MI_1_1">#REF!</definedName>
    <definedName name="_55aberf150_2_1">#REF!</definedName>
    <definedName name="_5600PRINT_TITLES_MI_1_1_1">#REF!</definedName>
    <definedName name="_5601PRINT_TITLES_MI_1_1_1">#REF!</definedName>
    <definedName name="_5602PRINT_TITLES_MI_1_10_1">#REF!</definedName>
    <definedName name="_5603PRINT_TITLES_MI_1_10_1">#REF!</definedName>
    <definedName name="_5604PRINT_TITLES_MI_1_11_1">#REF!</definedName>
    <definedName name="_5605PRINT_TITLES_MI_1_11_1">#REF!</definedName>
    <definedName name="_5606PRINT_TITLES_MI_1_12_1">#REF!</definedName>
    <definedName name="_5607PRINT_TITLES_MI_1_12_1">#REF!</definedName>
    <definedName name="_5608PRINT_TITLES_MI_1_13_1">#REF!</definedName>
    <definedName name="_5609PRINT_TITLES_MI_1_13_1">#REF!</definedName>
    <definedName name="_5610PRINT_TITLES_MI_1_3_1">#REF!</definedName>
    <definedName name="_5611PRINT_TITLES_MI_1_3_1">#REF!</definedName>
    <definedName name="_5612PRINT_TITLES_MI_1_37_1">#REF!</definedName>
    <definedName name="_5613PRINT_TITLES_MI_1_4_1">#REF!</definedName>
    <definedName name="_5614PRINT_TITLES_MI_1_4_1">#REF!</definedName>
    <definedName name="_5615PRINT_TITLES_MI_1_5_1">#REF!</definedName>
    <definedName name="_5616PRINT_TITLES_MI_1_5_1">#REF!</definedName>
    <definedName name="_5617PRINT_TITLES_MI_1_6_1">#REF!</definedName>
    <definedName name="_5618PRINT_TITLES_MI_1_6_1">#REF!</definedName>
    <definedName name="_5619PRINT_TITLES_MI_1_7_1">#REF!</definedName>
    <definedName name="_561aber80_6_1">#REF!</definedName>
    <definedName name="_5620PRINT_TITLES_MI_1_8_1">#REF!</definedName>
    <definedName name="_5621PRINT_TITLES_MI_1_8_1">#REF!</definedName>
    <definedName name="_5622PRINT_TITLES_MI_1_9_1">#REF!</definedName>
    <definedName name="_5623PRINT_TITLES_MI_1_9_1">#REF!</definedName>
    <definedName name="_5624PRINT_TITLES_MI_10_1">#REF!</definedName>
    <definedName name="_5625PRINT_TITLES_MI_10_1">#REF!</definedName>
    <definedName name="_5626PRINT_TITLES_MI_11_1">#REF!</definedName>
    <definedName name="_5627PRINT_TITLES_MI_11_1">#REF!</definedName>
    <definedName name="_5628PRINT_TITLES_MI_12_1">#REF!</definedName>
    <definedName name="_5629PRINT_TITLES_MI_12_1">#REF!</definedName>
    <definedName name="_5630PRINT_TITLES_MI_13_1">#REF!</definedName>
    <definedName name="_5631PRINT_TITLES_MI_13_1">#REF!</definedName>
    <definedName name="_5632PRINT_TITLES_MI_3_1">#REF!</definedName>
    <definedName name="_5633PRINT_TITLES_MI_3_1">#REF!</definedName>
    <definedName name="_5634PRINT_TITLES_MI_37_1">#REF!</definedName>
    <definedName name="_5635PRINT_TITLES_MI_4_1">#REF!</definedName>
    <definedName name="_5636PRINT_TITLES_MI_4_1">#REF!</definedName>
    <definedName name="_5637PRINT_TITLES_MI_5_1">#REF!</definedName>
    <definedName name="_5638PRINT_TITLES_MI_5_1">#REF!</definedName>
    <definedName name="_5639PRINT_TITLES_MI_6_1">#REF!</definedName>
    <definedName name="_5640PRINT_TITLES_MI_7_1">#REF!</definedName>
    <definedName name="_5641PRINT_TITLES_MI_8_1">#REF!</definedName>
    <definedName name="_5642PRINT_TITLES_MI_8_1">#REF!</definedName>
    <definedName name="_5643PRINT_TITLES_MI_9_1">#REF!</definedName>
    <definedName name="_5644PRINT_TITLES_MI_9_1">#REF!</definedName>
    <definedName name="_5645PRO_6_1">#REF!</definedName>
    <definedName name="_5646PRO_6_1">#REF!</definedName>
    <definedName name="_5647PRO_6_1">#REF!</definedName>
    <definedName name="_5648PRO_6_1">#REF!</definedName>
    <definedName name="_5649PRO_6_1">#REF!</definedName>
    <definedName name="_5650prs_6_1">#REF!</definedName>
    <definedName name="_5651prs_6_1">#REF!</definedName>
    <definedName name="_5652prs_6_1">#REF!</definedName>
    <definedName name="_5653prs_6_1">#REF!</definedName>
    <definedName name="_5654prs_6_1">#REF!</definedName>
    <definedName name="_5655pv100_6_1">#REF!</definedName>
    <definedName name="_5656pv100_6_1">#REF!</definedName>
    <definedName name="_5657pv100_6_1">#REF!</definedName>
    <definedName name="_5658pv100_6_1">#REF!</definedName>
    <definedName name="_5659pv100_6_1">#REF!</definedName>
    <definedName name="_5660pv40_6_1">#REF!</definedName>
    <definedName name="_5661pv40_6_1">#REF!</definedName>
    <definedName name="_5662pv40_6_1">#REF!</definedName>
    <definedName name="_5663pv40_6_1">#REF!</definedName>
    <definedName name="_5664pv40_6_1">#REF!</definedName>
    <definedName name="_5665pv50_6_1">#REF!</definedName>
    <definedName name="_5666pv50_6_1">#REF!</definedName>
    <definedName name="_5667pv50_6_1">#REF!</definedName>
    <definedName name="_5668pv50_6_1">#REF!</definedName>
    <definedName name="_5669pv50_6_1">#REF!</definedName>
    <definedName name="_566aber80_6_1_1">#REF!</definedName>
    <definedName name="_5670pv80_6_1">#REF!</definedName>
    <definedName name="_5671pv80_6_1">#REF!</definedName>
    <definedName name="_5672pv80_6_1">#REF!</definedName>
    <definedName name="_5673pv80_6_1">#REF!</definedName>
    <definedName name="_5674pv80_6_1">#REF!</definedName>
    <definedName name="_5675pvf100_6_1">#REF!</definedName>
    <definedName name="_5676pvf100_6_1">#REF!</definedName>
    <definedName name="_5677pvf100_6_1">#REF!</definedName>
    <definedName name="_5678pvf100_6_1">#REF!</definedName>
    <definedName name="_5679pvf100_6_1">#REF!</definedName>
    <definedName name="_5680pvf80_6_1">#REF!</definedName>
    <definedName name="_5681pvf80_6_1">#REF!</definedName>
    <definedName name="_5682pvf80_6_1">#REF!</definedName>
    <definedName name="_5683pvf80_6_1">#REF!</definedName>
    <definedName name="_5684pvf80_6_1">#REF!</definedName>
    <definedName name="_5685RAP_6_1">#REF!</definedName>
    <definedName name="_5686RAP_6_1">#REF!</definedName>
    <definedName name="_5687RAP_6_1">#REF!</definedName>
    <definedName name="_5688RAP_6_1">#REF!</definedName>
    <definedName name="_5689RAP_6_1">#REF!</definedName>
    <definedName name="_5690REAL_6_1">#REF!</definedName>
    <definedName name="_5691REAL_6_1">#REF!</definedName>
    <definedName name="_5692REAL_6_1">#REF!</definedName>
    <definedName name="_5693REAL_6_1">#REF!</definedName>
    <definedName name="_5694REAL_6_1">#REF!</definedName>
    <definedName name="_5695REKAP_1">#REF!</definedName>
    <definedName name="_5696REKAP_1">#REF!</definedName>
    <definedName name="_5697rk100_6_1">#REF!</definedName>
    <definedName name="_5698rk100_6_1">#REF!</definedName>
    <definedName name="_5699rk100_6_1">#REF!</definedName>
    <definedName name="_56aberf4_1_1">#REF!</definedName>
    <definedName name="_57__123Graph_DCHART_5L" hidden="1">#REF!</definedName>
    <definedName name="_57_CH27..H27___C__1">#REF!</definedName>
    <definedName name="_5700rk100_6_1">#REF!</definedName>
    <definedName name="_5701rk100_6_1">#REF!</definedName>
    <definedName name="_5702rk200_6_1">#REF!</definedName>
    <definedName name="_5703rk200_6_1">#REF!</definedName>
    <definedName name="_5704rk200_6_1">#REF!</definedName>
    <definedName name="_5705rk200_6_1">#REF!</definedName>
    <definedName name="_5706rk200_6_1">#REF!</definedName>
    <definedName name="_5707rk300_6_1">#REF!</definedName>
    <definedName name="_5708rk300_6_1">#REF!</definedName>
    <definedName name="_5709rk300_6_1">#REF!</definedName>
    <definedName name="_5710rk300_6_1">#REF!</definedName>
    <definedName name="_5711rk300_6_1">#REF!</definedName>
    <definedName name="_5712rk600_6_1">#REF!</definedName>
    <definedName name="_5713rk600_6_1">#REF!</definedName>
    <definedName name="_5714rk600_6_1">#REF!</definedName>
    <definedName name="_5715rk600_6_1">#REF!</definedName>
    <definedName name="_5716rk600_6_1">#REF!</definedName>
    <definedName name="_5717rkl1000_6_1">#REF!</definedName>
    <definedName name="_5718rkl1000_6_1">#REF!</definedName>
    <definedName name="_5719rkl1000_6_1">#REF!</definedName>
    <definedName name="_571aberf100_5_1">#REF!</definedName>
    <definedName name="_5720rkl1000_6_1">#REF!</definedName>
    <definedName name="_5721rkl1000_6_1">#REF!</definedName>
    <definedName name="_5722rkl1200_6_1">#REF!</definedName>
    <definedName name="_5723rkl1200_6_1">#REF!</definedName>
    <definedName name="_5724rkl1200_6_1">#REF!</definedName>
    <definedName name="_5725rkl1200_6_1">#REF!</definedName>
    <definedName name="_5726rkl1200_6_1">#REF!</definedName>
    <definedName name="_5727rkl200_6_1">#REF!</definedName>
    <definedName name="_5728rkl200_6_1">#REF!</definedName>
    <definedName name="_5729rkl200_6_1">#REF!</definedName>
    <definedName name="_5730rkl200_6_1">#REF!</definedName>
    <definedName name="_5731rkl200_6_1">#REF!</definedName>
    <definedName name="_5732rkl300_6_1">#REF!</definedName>
    <definedName name="_5733rkl300_6_1">#REF!</definedName>
    <definedName name="_5734rkl300_6_1">#REF!</definedName>
    <definedName name="_5735rkl300_6_1">#REF!</definedName>
    <definedName name="_5736rkl300_6_1">#REF!</definedName>
    <definedName name="_5737rkl400_6_1">#REF!</definedName>
    <definedName name="_5738rkl400_6_1">#REF!</definedName>
    <definedName name="_5739rkl400_6_1">#REF!</definedName>
    <definedName name="_5740rkl400_6_1">#REF!</definedName>
    <definedName name="_5741rkl400_6_1">#REF!</definedName>
    <definedName name="_5742rkl500_6_1">#REF!</definedName>
    <definedName name="_5743rkl500_6_1">#REF!</definedName>
    <definedName name="_5744rkl500_6_1">#REF!</definedName>
    <definedName name="_5745rkl500_6_1">#REF!</definedName>
    <definedName name="_5746rkl500_6_1">#REF!</definedName>
    <definedName name="_5747rkl600_6_1">#REF!</definedName>
    <definedName name="_5748rkl600_6_1">#REF!</definedName>
    <definedName name="_5749rkl600_6_1">#REF!</definedName>
    <definedName name="_5750rkl600_6_1">#REF!</definedName>
    <definedName name="_5751rkl600_6_1">#REF!</definedName>
    <definedName name="_5752rkl700_6_1">#REF!</definedName>
    <definedName name="_5753rkl700_6_1">#REF!</definedName>
    <definedName name="_5754rkl700_6_1">#REF!</definedName>
    <definedName name="_5755rkl700_6_1">#REF!</definedName>
    <definedName name="_5756rkl700_6_1">#REF!</definedName>
    <definedName name="_5757rkl800_6_1">#REF!</definedName>
    <definedName name="_5758rkl800_6_1">#REF!</definedName>
    <definedName name="_5759rkl800_6_1">#REF!</definedName>
    <definedName name="_5760rkl800_6_1">#REF!</definedName>
    <definedName name="_5761rkl800_6_1">#REF!</definedName>
    <definedName name="_5762ROUND_1_1">#REF!</definedName>
    <definedName name="_5763ROUND_1_1">#REF!</definedName>
    <definedName name="_5764ROUND_1_1">#REF!</definedName>
    <definedName name="_5765ROUND_1_1">#REF!</definedName>
    <definedName name="_5766ROUND_1_1">#REF!</definedName>
    <definedName name="_5767ROUND_6_1">#REF!</definedName>
    <definedName name="_5768ROUND_6_1">#REF!</definedName>
    <definedName name="_5769ROUND_6_1">#REF!</definedName>
    <definedName name="_576aberf100_6_1">#REF!</definedName>
    <definedName name="_5770ROUND_6_1">#REF!</definedName>
    <definedName name="_5771ROUND_6_1">#REF!</definedName>
    <definedName name="_5772rukan_a_1">#REF!</definedName>
    <definedName name="_5773rukan_a_1">#REF!</definedName>
    <definedName name="_5774rukan_aa_1">#REF!</definedName>
    <definedName name="_5775rukan_aa_1">#REF!</definedName>
    <definedName name="_5776rukan_b_1">#REF!</definedName>
    <definedName name="_5777rukan_b_1">#REF!</definedName>
    <definedName name="_5778rukan_c_1">#REF!</definedName>
    <definedName name="_5779rukan_c_1">#REF!</definedName>
    <definedName name="_5780rukan_cc_1">#REF!</definedName>
    <definedName name="_5781rukan_cc_1">#REF!</definedName>
    <definedName name="_5782rukan_d_1">#REF!</definedName>
    <definedName name="_5783rukan_d_1">#REF!</definedName>
    <definedName name="_5784rukan_dd_1">#REF!</definedName>
    <definedName name="_5785rukan_dd_1">#REF!</definedName>
    <definedName name="_5786rukan_e_1">#REF!</definedName>
    <definedName name="_5787rukan_e_1">#REF!</definedName>
    <definedName name="_5788rukan_ee_1">#REF!</definedName>
    <definedName name="_5789rukan_ee_1">#REF!</definedName>
    <definedName name="_5790S.23_1">#REF!</definedName>
    <definedName name="_5791S.23_1">#REF!</definedName>
    <definedName name="_5792S.24_1">#REF!</definedName>
    <definedName name="_5793S.24_1">#REF!</definedName>
    <definedName name="_5794S.25_1">#REF!</definedName>
    <definedName name="_5795S.25_1">#REF!</definedName>
    <definedName name="_5796S.26_1">#REF!</definedName>
    <definedName name="_5797S.26_1">#REF!</definedName>
    <definedName name="_5798SA.2_1">#REF!</definedName>
    <definedName name="_5799SA.2_1">#REF!</definedName>
    <definedName name="_57aberf4_2_1">#REF!</definedName>
    <definedName name="_5800SA.5_1">#REF!</definedName>
    <definedName name="_5801SA.5_1">#REF!</definedName>
    <definedName name="_5802SC.1_1">#REF!</definedName>
    <definedName name="_5803SC.1_1">#REF!</definedName>
    <definedName name="_5804sfv150_6_1">#REF!</definedName>
    <definedName name="_5805sfv150_6_1">#REF!</definedName>
    <definedName name="_5806sfv150_6_1">#REF!</definedName>
    <definedName name="_5807sfv150_6_1">#REF!</definedName>
    <definedName name="_5808sfv150_6_1">#REF!</definedName>
    <definedName name="_5809sfvd100_6_1">#REF!</definedName>
    <definedName name="_5810sfvd100_6_1">#REF!</definedName>
    <definedName name="_5811sfvd100_6_1">#REF!</definedName>
    <definedName name="_5812sfvd100_6_1">#REF!</definedName>
    <definedName name="_5813sfvd100_6_1">#REF!</definedName>
    <definedName name="_5814sg_6_1">#REF!</definedName>
    <definedName name="_5815sg_6_1">#REF!</definedName>
    <definedName name="_5816sg_6_1">#REF!</definedName>
    <definedName name="_5817sg_6_1">#REF!</definedName>
    <definedName name="_5818sg_6_1">#REF!</definedName>
    <definedName name="_5819ssss_6_1">#REF!</definedName>
    <definedName name="_581aberf100_6_1_1">#REF!</definedName>
    <definedName name="_5820ssss_6_1">#REF!</definedName>
    <definedName name="_5821ssss_6_1">#REF!</definedName>
    <definedName name="_5822ssss_6_1">#REF!</definedName>
    <definedName name="_5823ssss_6_1">#REF!</definedName>
    <definedName name="_5824st_6_1">#REF!</definedName>
    <definedName name="_5825st_6_1">#REF!</definedName>
    <definedName name="_5826st_6_1">#REF!</definedName>
    <definedName name="_5827st_6_1">#REF!</definedName>
    <definedName name="_5828st_6_1">#REF!</definedName>
    <definedName name="_5829std100_6_1">#REF!</definedName>
    <definedName name="_5830std100_6_1">#REF!</definedName>
    <definedName name="_5831std100_6_1">#REF!</definedName>
    <definedName name="_5832std100_6_1">#REF!</definedName>
    <definedName name="_5833std100_6_1">#REF!</definedName>
    <definedName name="_5834std150_6_1">#REF!</definedName>
    <definedName name="_5835std150_6_1">#REF!</definedName>
    <definedName name="_5836std150_6_1">#REF!</definedName>
    <definedName name="_5837std150_6_1">#REF!</definedName>
    <definedName name="_5838std150_6_1">#REF!</definedName>
    <definedName name="_5839std50_6_1">#REF!</definedName>
    <definedName name="_5840std50_6_1">#REF!</definedName>
    <definedName name="_5841std50_6_1">#REF!</definedName>
    <definedName name="_5842std50_6_1">#REF!</definedName>
    <definedName name="_5843std50_6_1">#REF!</definedName>
    <definedName name="_5844std65_6_1">#REF!</definedName>
    <definedName name="_5845std65_6_1">#REF!</definedName>
    <definedName name="_5846std65_6_1">#REF!</definedName>
    <definedName name="_5847std65_6_1">#REF!</definedName>
    <definedName name="_5848std65_6_1">#REF!</definedName>
    <definedName name="_5849STOP2_1">#REF!</definedName>
    <definedName name="_5850STOP2_1">#REF!</definedName>
    <definedName name="_5851SUP_1">#REF!</definedName>
    <definedName name="_5852SUP_1">#REF!</definedName>
    <definedName name="_5853SUPT_1">#REF!</definedName>
    <definedName name="_5854SUPT_1">#REF!</definedName>
    <definedName name="_5855tawg16_6_1">#REF!</definedName>
    <definedName name="_5856tawg16_6_1">#REF!</definedName>
    <definedName name="_5857tawg16_6_1">#REF!</definedName>
    <definedName name="_5858tawg16_6_1">#REF!</definedName>
    <definedName name="_5859tawg16_6_1">#REF!</definedName>
    <definedName name="_5860tidf10_6_1">#REF!</definedName>
    <definedName name="_5861tidf10_6_1">#REF!</definedName>
    <definedName name="_5862tidf10_6_1">#REF!</definedName>
    <definedName name="_5863tidf10_6_1">#REF!</definedName>
    <definedName name="_5864tidf10_6_1">#REF!</definedName>
    <definedName name="_5865tidf100_6_1">#REF!</definedName>
    <definedName name="_5866tidf100_6_1">#REF!</definedName>
    <definedName name="_5867tidf100_6_1">#REF!</definedName>
    <definedName name="_5868tidf100_6_1">#REF!</definedName>
    <definedName name="_5869tidf100_6_1">#REF!</definedName>
    <definedName name="_586aberf150_5_1">#REF!</definedName>
    <definedName name="_5870tidf350_6_1">#REF!</definedName>
    <definedName name="_5871tidf350_6_1">#REF!</definedName>
    <definedName name="_5872tidf350_6_1">#REF!</definedName>
    <definedName name="_5873tidf350_6_1">#REF!</definedName>
    <definedName name="_5874tidf350_6_1">#REF!</definedName>
    <definedName name="_5875tki_6_1">#REF!</definedName>
    <definedName name="_5876tki_6_1">#REF!</definedName>
    <definedName name="_5877tki_6_1">#REF!</definedName>
    <definedName name="_5878tki_6_1">#REF!</definedName>
    <definedName name="_5879tki_6_1">#REF!</definedName>
    <definedName name="_5880tkitc10x2x0.6_6_1">#REF!</definedName>
    <definedName name="_5881tkitc10x2x0.6_6_1">#REF!</definedName>
    <definedName name="_5882tkitc10x2x0.6_6_1">#REF!</definedName>
    <definedName name="_5883tkitc10x2x0.6_6_1">#REF!</definedName>
    <definedName name="_5884tkitc10x2x0.6_6_1">#REF!</definedName>
    <definedName name="_5885tl1x36bimc_6_1">#REF!</definedName>
    <definedName name="_5886tl1x36bimc_6_1">#REF!</definedName>
    <definedName name="_5887tl1x36bimc_6_1">#REF!</definedName>
    <definedName name="_5888tl1x36bimc_6_1">#REF!</definedName>
    <definedName name="_5889tl1x36bimc_6_1">#REF!</definedName>
    <definedName name="_5890tla2x18iac_6_1">#REF!</definedName>
    <definedName name="_5891tla2x18iac_6_1">#REF!</definedName>
    <definedName name="_5892tla2x18iac_6_1">#REF!</definedName>
    <definedName name="_5893tla2x18iac_6_1">#REF!</definedName>
    <definedName name="_5894tla2x18iac_6_1">#REF!</definedName>
    <definedName name="_5895tla2x18iacbimc_6_1">#REF!</definedName>
    <definedName name="_5896tla2x18iacbimc_6_1">#REF!</definedName>
    <definedName name="_5897tla2x18iacbimc_6_1">#REF!</definedName>
    <definedName name="_5898tla2x18iacbimc_6_1">#REF!</definedName>
    <definedName name="_5899tla2x18iacbimc_6_1">#REF!</definedName>
    <definedName name="_58aberf6_1_1">#REF!</definedName>
    <definedName name="_59_CH29..H29___C__1">#REF!</definedName>
    <definedName name="_5900tlb1x18_6_1">#REF!</definedName>
    <definedName name="_5901tlb1x18_6_1">#REF!</definedName>
    <definedName name="_5902tlb1x18_6_1">#REF!</definedName>
    <definedName name="_5903tlb1x18_6_1">#REF!</definedName>
    <definedName name="_5904tlb1x18_6_1">#REF!</definedName>
    <definedName name="_5905tlb1x36_6_1">#REF!</definedName>
    <definedName name="_5906tlb1x36_6_1">#REF!</definedName>
    <definedName name="_5907tlb1x36_6_1">#REF!</definedName>
    <definedName name="_5908tlb1x36_6_1">#REF!</definedName>
    <definedName name="_5909tlb1x36_6_1">#REF!</definedName>
    <definedName name="_5910tlb1x36bimc_6_1">#REF!</definedName>
    <definedName name="_5911tlb1x36bimc_6_1">#REF!</definedName>
    <definedName name="_5912tlb1x36bimc_6_1">#REF!</definedName>
    <definedName name="_5913tlb1x36bimc_6_1">#REF!</definedName>
    <definedName name="_5914tlb1x36bimc_6_1">#REF!</definedName>
    <definedName name="_5915tlb1x36w_6_1">#REF!</definedName>
    <definedName name="_5916tlb1x36w_6_1">#REF!</definedName>
    <definedName name="_5917tlb1x36w_6_1">#REF!</definedName>
    <definedName name="_5918tlb1x36w_6_1">#REF!</definedName>
    <definedName name="_5919tlb1x36w_6_1">#REF!</definedName>
    <definedName name="_591aberf150_6_1">#REF!</definedName>
    <definedName name="_5920tlbk1x36_6_1">#REF!</definedName>
    <definedName name="_5921tlbk1x36_6_1">#REF!</definedName>
    <definedName name="_5922tlbk1x36_6_1">#REF!</definedName>
    <definedName name="_5923tlbk1x36_6_1">#REF!</definedName>
    <definedName name="_5924tlbk1x36_6_1">#REF!</definedName>
    <definedName name="_5925tlbvs2x18_6_1">#REF!</definedName>
    <definedName name="_5926tlbvs2x18_6_1">#REF!</definedName>
    <definedName name="_5927tlbvs2x18_6_1">#REF!</definedName>
    <definedName name="_5928tlbvs2x18_6_1">#REF!</definedName>
    <definedName name="_5929tlbvs2x18_6_1">#REF!</definedName>
    <definedName name="_5930tlbvs2x18bimc_6_1">#REF!</definedName>
    <definedName name="_5931tlbvs2x18bimc_6_1">#REF!</definedName>
    <definedName name="_5932tlbvs2x18bimc_6_1">#REF!</definedName>
    <definedName name="_5933tlbvs2x18bimc_6_1">#REF!</definedName>
    <definedName name="_5934tlbvs2x18bimc_6_1">#REF!</definedName>
    <definedName name="_5935tlc20_6_1">#REF!</definedName>
    <definedName name="_5936tlc20_6_1">#REF!</definedName>
    <definedName name="_5937tlc20_6_1">#REF!</definedName>
    <definedName name="_5938tlc20_6_1">#REF!</definedName>
    <definedName name="_5939tlc20_6_1">#REF!</definedName>
    <definedName name="_5940tlc20bimc_6_1">#REF!</definedName>
    <definedName name="_5941tlc20bimc_6_1">#REF!</definedName>
    <definedName name="_5942tlc20bimc_6_1">#REF!</definedName>
    <definedName name="_5943tlc20bimc_6_1">#REF!</definedName>
    <definedName name="_5944tlc20bimc_6_1">#REF!</definedName>
    <definedName name="_5945tlidf250p_6_1">#REF!</definedName>
    <definedName name="_5946tlidf250p_6_1">#REF!</definedName>
    <definedName name="_5947tlidf250p_6_1">#REF!</definedName>
    <definedName name="_5948tlidf250p_6_1">#REF!</definedName>
    <definedName name="_5949tlidf250p_6_1">#REF!</definedName>
    <definedName name="_5950tltko2x36_6_1">#REF!</definedName>
    <definedName name="_5951tltko2x36_6_1">#REF!</definedName>
    <definedName name="_5952tltko2x36_6_1">#REF!</definedName>
    <definedName name="_5953tltko2x36_6_1">#REF!</definedName>
    <definedName name="_5954tltko2x36_6_1">#REF!</definedName>
    <definedName name="_5955tltko2x36bimc_6_1">#REF!</definedName>
    <definedName name="_5956tltko2x36bimc_6_1">#REF!</definedName>
    <definedName name="_5957tltko2x36bimc_6_1">#REF!</definedName>
    <definedName name="_5958tltko2x36bimc_6_1">#REF!</definedName>
    <definedName name="_5959tltko2x36bimc_6_1">#REF!</definedName>
    <definedName name="_5960town_a_1_1">#REF!</definedName>
    <definedName name="_5961town_a_1_1">#REF!</definedName>
    <definedName name="_5962town_a_1_1">#REF!</definedName>
    <definedName name="_5963town_a_1_1">#REF!</definedName>
    <definedName name="_5964town_a_1_1">#REF!</definedName>
    <definedName name="_5965town_a_6_1">#REF!</definedName>
    <definedName name="_5966town_a_6_1">#REF!</definedName>
    <definedName name="_5967town_a_6_1">#REF!</definedName>
    <definedName name="_5968town_a_6_1">#REF!</definedName>
    <definedName name="_5969town_a_6_1">#REF!</definedName>
    <definedName name="_596aberf150_6_1_1">#REF!</definedName>
    <definedName name="_5970town_b_1_1">#REF!</definedName>
    <definedName name="_5971town_b_1_1">#REF!</definedName>
    <definedName name="_5972town_b_1_1">#REF!</definedName>
    <definedName name="_5973town_b_1_1">#REF!</definedName>
    <definedName name="_5974town_b_1_1">#REF!</definedName>
    <definedName name="_5975town_b_6_1">#REF!</definedName>
    <definedName name="_5976town_b_6_1">#REF!</definedName>
    <definedName name="_5977town_b_6_1">#REF!</definedName>
    <definedName name="_5978town_b_6_1">#REF!</definedName>
    <definedName name="_5979town_b_6_1">#REF!</definedName>
    <definedName name="_5980town_c_1_1">#REF!</definedName>
    <definedName name="_5981town_c_1_1">#REF!</definedName>
    <definedName name="_5982town_c_1_1">#REF!</definedName>
    <definedName name="_5983town_c_1_1">#REF!</definedName>
    <definedName name="_5984town_c_1_1">#REF!</definedName>
    <definedName name="_5985town_c_6_1">#REF!</definedName>
    <definedName name="_5986town_c_6_1">#REF!</definedName>
    <definedName name="_5987town_c_6_1">#REF!</definedName>
    <definedName name="_5988town_c_6_1">#REF!</definedName>
    <definedName name="_5989town_c_6_1">#REF!</definedName>
    <definedName name="_5990town_d_1_1">#REF!</definedName>
    <definedName name="_5991town_d_1_1">#REF!</definedName>
    <definedName name="_5992town_d_1_1">#REF!</definedName>
    <definedName name="_5993town_d_1_1">#REF!</definedName>
    <definedName name="_5994town_d_1_1">#REF!</definedName>
    <definedName name="_5995town_d_6_1">#REF!</definedName>
    <definedName name="_5996town_d_6_1">#REF!</definedName>
    <definedName name="_5997town_d_6_1">#REF!</definedName>
    <definedName name="_5998town_d_6_1">#REF!</definedName>
    <definedName name="_5999town_d_6_1">#REF!</definedName>
    <definedName name="_59aberf6_2_1">#REF!</definedName>
    <definedName name="_5Excel_BuiltIn_Print_Area_9_1">#REF!,#REF!</definedName>
    <definedName name="_6">#N/A</definedName>
    <definedName name="_6.02_1_">#REF!</definedName>
    <definedName name="_6.02_2_">#REF!</definedName>
    <definedName name="_6.05">#REF!</definedName>
    <definedName name="_6__123Graph_ACHART_1" hidden="1">#REF!</definedName>
    <definedName name="_6__123Graph_ACHART_5L" hidden="1">#REF!</definedName>
    <definedName name="_6__123Graph_BCHART_3J" hidden="1">#REF!</definedName>
    <definedName name="_6__123Graph_BCHART_5L" hidden="1">#REF!</definedName>
    <definedName name="_6__123Graph_CCHART_2" hidden="1">#REF!</definedName>
    <definedName name="_6_M_1_1">#REF!</definedName>
    <definedName name="_6_罫線消去">#REF!</definedName>
    <definedName name="_60__123Graph_ECHART_3J" hidden="1">#REF!</definedName>
    <definedName name="_6000town_e_1_1">#REF!</definedName>
    <definedName name="_6001town_e_1_1">#REF!</definedName>
    <definedName name="_6002town_e_1_1">#REF!</definedName>
    <definedName name="_6003town_e_1_1">#REF!</definedName>
    <definedName name="_6004town_e_1_1">#REF!</definedName>
    <definedName name="_6005town_e_6_1">#REF!</definedName>
    <definedName name="_6006town_e_6_1">#REF!</definedName>
    <definedName name="_6007town_e_6_1">#REF!</definedName>
    <definedName name="_6008town_e_6_1">#REF!</definedName>
    <definedName name="_6009town_e_6_1">#REF!</definedName>
    <definedName name="_6010tpm_6_1">#REF!</definedName>
    <definedName name="_6011tpm_6_1">#REF!</definedName>
    <definedName name="_6012tpm_6_1">#REF!</definedName>
    <definedName name="_6013tpm_6_1">#REF!</definedName>
    <definedName name="_6014tpm_6_1">#REF!</definedName>
    <definedName name="_6015tscb_6_1">#REF!</definedName>
    <definedName name="_6016tscb_6_1">#REF!</definedName>
    <definedName name="_6017tscb_6_1">#REF!</definedName>
    <definedName name="_6018tscb_6_1">#REF!</definedName>
    <definedName name="_6019tscb_6_1">#REF!</definedName>
    <definedName name="_601aberf4_5_1">#REF!</definedName>
    <definedName name="_6020tscs3w_6_1">#REF!</definedName>
    <definedName name="_6021tscs3w_6_1">#REF!</definedName>
    <definedName name="_6022tscs3w_6_1">#REF!</definedName>
    <definedName name="_6023tscs3w_6_1">#REF!</definedName>
    <definedName name="_6024tscs3w_6_1">#REF!</definedName>
    <definedName name="_6025tscs6w_6_1">#REF!</definedName>
    <definedName name="_6026tscs6w_6_1">#REF!</definedName>
    <definedName name="_6027tscs6w_6_1">#REF!</definedName>
    <definedName name="_6028tscs6w_6_1">#REF!</definedName>
    <definedName name="_6029tscs6w_6_1">#REF!</definedName>
    <definedName name="_6030tshs15_6_1">#REF!</definedName>
    <definedName name="_6031tshs15_6_1">#REF!</definedName>
    <definedName name="_6032tshs15_6_1">#REF!</definedName>
    <definedName name="_6033tshs15_6_1">#REF!</definedName>
    <definedName name="_6034tshs15_6_1">#REF!</definedName>
    <definedName name="_6035tshs6w_6_1">#REF!</definedName>
    <definedName name="_6036tshs6w_6_1">#REF!</definedName>
    <definedName name="_6037tshs6w_6_1">#REF!</definedName>
    <definedName name="_6038tshs6w_6_1">#REF!</definedName>
    <definedName name="_6039tshs6w_6_1">#REF!</definedName>
    <definedName name="_6040tski_6_1">#REF!</definedName>
    <definedName name="_6041tski_6_1">#REF!</definedName>
    <definedName name="_6042tski_6_1">#REF!</definedName>
    <definedName name="_6043tski_6_1">#REF!</definedName>
    <definedName name="_6044tski_6_1">#REF!</definedName>
    <definedName name="_6045tskie_6_1">#REF!</definedName>
    <definedName name="_6046tskie_6_1">#REF!</definedName>
    <definedName name="_6047tskie_6_1">#REF!</definedName>
    <definedName name="_6048tskie_6_1">#REF!</definedName>
    <definedName name="_6049tskie_6_1">#REF!</definedName>
    <definedName name="_6050tsnya2x1.5_6_1">#REF!</definedName>
    <definedName name="_6051tsnya2x1.5_6_1">#REF!</definedName>
    <definedName name="_6052tsnya2x1.5_6_1">#REF!</definedName>
    <definedName name="_6053tsnya2x1.5_6_1">#REF!</definedName>
    <definedName name="_6054tsnya2x1.5_6_1">#REF!</definedName>
    <definedName name="_6055tsnyafrc_6_1">#REF!</definedName>
    <definedName name="_6056tsnyafrc_6_1">#REF!</definedName>
    <definedName name="_6057tsnyafrc_6_1">#REF!</definedName>
    <definedName name="_6058tsnyafrc_6_1">#REF!</definedName>
    <definedName name="_6059tsnyafrc_6_1">#REF!</definedName>
    <definedName name="_6060tso_6_1">#REF!</definedName>
    <definedName name="_6061tso_6_1">#REF!</definedName>
    <definedName name="_6062tso_6_1">#REF!</definedName>
    <definedName name="_6063tso_6_1">#REF!</definedName>
    <definedName name="_6064tso_6_1">#REF!</definedName>
    <definedName name="_6065tsv25_6_1">#REF!</definedName>
    <definedName name="_6066tsv25_6_1">#REF!</definedName>
    <definedName name="_6067tsv25_6_1">#REF!</definedName>
    <definedName name="_6068tsv25_6_1">#REF!</definedName>
    <definedName name="_6069tsv25_6_1">#REF!</definedName>
    <definedName name="_606aberf4_6_1">#REF!</definedName>
    <definedName name="_6070TYPICAL_FLOOR___7_LEVEL_1_1">#REF!</definedName>
    <definedName name="_6071TYPICAL_FLOOR___7_LEVEL_1_1">#REF!</definedName>
    <definedName name="_6072TYPICAL_FLOOR___7_LEVEL_1_1">#REF!</definedName>
    <definedName name="_6073TYPICAL_FLOOR___7_LEVEL_1_1">#REF!</definedName>
    <definedName name="_6074TYPICAL_FLOOR___7_LEVEL_1_1">#REF!</definedName>
    <definedName name="_6075TYPICAL_FLOOR___7_LEVEL_6_1">#REF!</definedName>
    <definedName name="_6076TYPICAL_FLOOR___7_LEVEL_6_1">#REF!</definedName>
    <definedName name="_6077TYPICAL_FLOOR___7_LEVEL_6_1">#REF!</definedName>
    <definedName name="_6078TYPICAL_FLOOR___7_LEVEL_6_1">#REF!</definedName>
    <definedName name="_6079TYPICAL_FLOOR___7_LEVEL_6_1">#REF!</definedName>
    <definedName name="_6080UPAH_1_1">#REF!</definedName>
    <definedName name="_6081UPAH_1_1">#REF!</definedName>
    <definedName name="_6082UPAH_1_1">#REF!</definedName>
    <definedName name="_6083UPAH_1_1">#REF!</definedName>
    <definedName name="_6084UPAH_1_1">#REF!</definedName>
    <definedName name="_6085UPAH_6_1">#REF!</definedName>
    <definedName name="_6086UPAH_6_1">#REF!</definedName>
    <definedName name="_6087UPAH_6_1">#REF!</definedName>
    <definedName name="_6088UPAH_6_1">#REF!</definedName>
    <definedName name="_6089UPAH_6_1">#REF!</definedName>
    <definedName name="_6092vnt100_6_1">#REF!</definedName>
    <definedName name="_6093vnt100_6_1">#REF!</definedName>
    <definedName name="_6094vnt100_6_1">#REF!</definedName>
    <definedName name="_6095vnt100_6_1">#REF!</definedName>
    <definedName name="_6096vnt100_6_1">#REF!</definedName>
    <definedName name="_6097vnt40_6_1">#REF!</definedName>
    <definedName name="_6098vnt40_6_1">#REF!</definedName>
    <definedName name="_6099vnt40_6_1">#REF!</definedName>
    <definedName name="_60aberf80_1_1">#REF!</definedName>
    <definedName name="_61_CH3..H3___C__R_1">#REF!</definedName>
    <definedName name="_6100vnt40_6_1">#REF!</definedName>
    <definedName name="_6101vnt40_6_1">#REF!</definedName>
    <definedName name="_6102vnt50_6_1">#REF!</definedName>
    <definedName name="_6103vnt50_6_1">#REF!</definedName>
    <definedName name="_6104vnt50_6_1">#REF!</definedName>
    <definedName name="_6105vnt50_6_1">#REF!</definedName>
    <definedName name="_6106vnt50_6_1">#REF!</definedName>
    <definedName name="_6107vnt80_6_1">#REF!</definedName>
    <definedName name="_6108vnt80_6_1">#REF!</definedName>
    <definedName name="_6109vnt80_6_1">#REF!</definedName>
    <definedName name="_6110vnt80_6_1">#REF!</definedName>
    <definedName name="_6111vnt80_6_1">#REF!</definedName>
    <definedName name="_6112vntf100_6_1">#REF!</definedName>
    <definedName name="_6113vntf100_6_1">#REF!</definedName>
    <definedName name="_6114vntf100_6_1">#REF!</definedName>
    <definedName name="_6115vntf100_6_1">#REF!</definedName>
    <definedName name="_6116vntf100_6_1">#REF!</definedName>
    <definedName name="_6117vntf80_6_1">#REF!</definedName>
    <definedName name="_6118vntf80_6_1">#REF!</definedName>
    <definedName name="_6119vntf80_6_1">#REF!</definedName>
    <definedName name="_611aberf4_6_1_1">#REF!</definedName>
    <definedName name="_6120vntf80_6_1">#REF!</definedName>
    <definedName name="_6121vntf80_6_1">#REF!</definedName>
    <definedName name="_6124wtc_6_1">#REF!</definedName>
    <definedName name="_6125wtc_6_1">#REF!</definedName>
    <definedName name="_6126wtc_6_1">#REF!</definedName>
    <definedName name="_6127wtc_6_1">#REF!</definedName>
    <definedName name="_6128wtc_6_1">#REF!</definedName>
    <definedName name="_6129Z_1">#REF!</definedName>
    <definedName name="_6130Z_1">#REF!</definedName>
    <definedName name="_6131Z_6_1">#REF!</definedName>
    <definedName name="_6132Z_6_1">#REF!</definedName>
    <definedName name="_6133Z_6_1">#REF!</definedName>
    <definedName name="_6134Z_6_1">#REF!</definedName>
    <definedName name="_6135Z_6_1">#REF!</definedName>
    <definedName name="_6136ZZ_1">#REF!</definedName>
    <definedName name="_6137ZZ_1">#REF!</definedName>
    <definedName name="_616aberf6_5_1">#REF!</definedName>
    <definedName name="_61aberf80_2_1">#REF!</definedName>
    <definedName name="_621aberf6_6_1">#REF!</definedName>
    <definedName name="_626aberf6_6_1_1">#REF!</definedName>
    <definedName name="_62abfj100_1_1">#REF!</definedName>
    <definedName name="_63__123Graph_ECHART_5L" hidden="1">#REF!</definedName>
    <definedName name="_63_CH31..H31___C__1">#REF!</definedName>
    <definedName name="_631aberf80_5_1">#REF!</definedName>
    <definedName name="_636aberf80_6_1">#REF!</definedName>
    <definedName name="_63abfj100_2_1">#REF!</definedName>
    <definedName name="_641aberf80_6_1_1">#REF!</definedName>
    <definedName name="_646abfj100_5_1">#REF!</definedName>
    <definedName name="_64abfj150_1_1">#REF!</definedName>
    <definedName name="_65_CH33..H33___C__1">#REF!</definedName>
    <definedName name="_651abfj100_6_1">#REF!</definedName>
    <definedName name="_656abfj100_6_1_1">#REF!</definedName>
    <definedName name="_65abfj150_2_1">#REF!</definedName>
    <definedName name="_661abfj150_5_1">#REF!</definedName>
    <definedName name="_666abfj150_6_1">#REF!</definedName>
    <definedName name="_66abfj40_1_1">#REF!</definedName>
    <definedName name="_67">#REF!</definedName>
    <definedName name="_67_CH35..H35___C__1">#REF!</definedName>
    <definedName name="_671abfj150_6_1_1">#REF!</definedName>
    <definedName name="_676abfj40_5_1">#REF!</definedName>
    <definedName name="_67abfj40_2_1">#REF!</definedName>
    <definedName name="_681abfj40_6_1">#REF!</definedName>
    <definedName name="_686abfj40_6_1_1">#REF!</definedName>
    <definedName name="_68abfj50_1_1">#REF!</definedName>
    <definedName name="_69_CH37..H37___C__1">#REF!</definedName>
    <definedName name="_691abfj50_5_1">#REF!</definedName>
    <definedName name="_696abfj50_6_1">#REF!</definedName>
    <definedName name="_69abfj50_2_1">#REF!</definedName>
    <definedName name="_7">#REF!</definedName>
    <definedName name="_7.07_2_">#REF!</definedName>
    <definedName name="_7.08_2_">#REF!</definedName>
    <definedName name="_7.08_3_">#REF!</definedName>
    <definedName name="_7.09">#REF!</definedName>
    <definedName name="_7.1__2" localSheetId="7">'[17]D7(1)'!#REF!</definedName>
    <definedName name="_7.1__2">#REF!</definedName>
    <definedName name="_7.10_2_">#REF!</definedName>
    <definedName name="_7__123Graph_BCHART_4K" hidden="1">#REF!</definedName>
    <definedName name="_7__123Graph_CCHART_3J" hidden="1">#REF!</definedName>
    <definedName name="_7__123Graph_DCHART_2" hidden="1">#REF!</definedName>
    <definedName name="_7_M_1_2">#REF!</definedName>
    <definedName name="_701abfj50_6_1_1">#REF!</definedName>
    <definedName name="_706abfl40_5_1">#REF!</definedName>
    <definedName name="_70abfl40_1_1">#REF!</definedName>
    <definedName name="_71_CH39..H39___C__1">#REF!</definedName>
    <definedName name="_711abfl40_6_1">#REF!</definedName>
    <definedName name="_716abfl40_6_1_1">#REF!</definedName>
    <definedName name="_71abfl40_2_1">#REF!</definedName>
    <definedName name="_721abft100_5_1">#REF!</definedName>
    <definedName name="_726abft100_6_1">#REF!</definedName>
    <definedName name="_72abft100_1_1">#REF!</definedName>
    <definedName name="_73__123Graph_FCHART_3J" hidden="1">#REF!</definedName>
    <definedName name="_73_CH41..H41___C__1">#REF!</definedName>
    <definedName name="_731abft100_6_1_1">#REF!</definedName>
    <definedName name="_736abft150_5_1">#REF!</definedName>
    <definedName name="_73abft100_2_1">#REF!</definedName>
    <definedName name="_741abft150_6_1">#REF!</definedName>
    <definedName name="_746abft150_6_1_1">#REF!</definedName>
    <definedName name="_74abft150_1_1">#REF!</definedName>
    <definedName name="_75_CH43..H43___C__1">#REF!</definedName>
    <definedName name="_750_KVA_X_64__">#REF!</definedName>
    <definedName name="_751abft50_5_1">#REF!</definedName>
    <definedName name="_756abft50_6_1">#REF!</definedName>
    <definedName name="_75abft150_2_1">#REF!</definedName>
    <definedName name="_76__123Graph_FCHART_5L" hidden="1">#REF!</definedName>
    <definedName name="_761abft50_6_1_1">#REF!</definedName>
    <definedName name="_766abfv100_5_1">#REF!</definedName>
    <definedName name="_76abft50_1_1">#REF!</definedName>
    <definedName name="_77_CH45..H45___C__1">#REF!</definedName>
    <definedName name="_771abfv100_6_1">#REF!</definedName>
    <definedName name="_776abfv100_6_1_1">#REF!</definedName>
    <definedName name="_77abft50_2_1">#REF!</definedName>
    <definedName name="_781abfv150_5_1">#REF!</definedName>
    <definedName name="_786abfv150_6_1">#REF!</definedName>
    <definedName name="_78abfv100_1_1">#REF!</definedName>
    <definedName name="_79_CH5..H5___C__R_1">#REF!</definedName>
    <definedName name="_791abfv150_6_1_1">#REF!</definedName>
    <definedName name="_796abfv50_5_1">#REF!</definedName>
    <definedName name="_79abfv100_2_1">#REF!</definedName>
    <definedName name="_8">#REF!</definedName>
    <definedName name="_8.01_9_">#REF!</definedName>
    <definedName name="_8.02_13_">#REF!</definedName>
    <definedName name="_8.02_21_A">#REF!</definedName>
    <definedName name="_8.02_4_">#REF!</definedName>
    <definedName name="_8.03_1_">#REF!</definedName>
    <definedName name="_8.03_2_A">#REF!</definedName>
    <definedName name="_8.03_4_A">#REF!</definedName>
    <definedName name="_8.05_2_">#REF!</definedName>
    <definedName name="_8.1__1">#REF!</definedName>
    <definedName name="_8.1__2">#REF!</definedName>
    <definedName name="_8.1__5">#REF!</definedName>
    <definedName name="_8.2__1">#REF!</definedName>
    <definedName name="_8.2__2">#REF!</definedName>
    <definedName name="_8.2__3">#REF!</definedName>
    <definedName name="_8.2__4">#REF!</definedName>
    <definedName name="_8.2__5">#REF!</definedName>
    <definedName name="_8.2_5">#REF!</definedName>
    <definedName name="_8.3__1">#REF!</definedName>
    <definedName name="_8.3__3">#REF!</definedName>
    <definedName name="_8.4__1">#REF!</definedName>
    <definedName name="_8.4__10">#REF!</definedName>
    <definedName name="_8.4__12">#REF!</definedName>
    <definedName name="_8.4__2">#REF!</definedName>
    <definedName name="_8.4__3_a">#REF!</definedName>
    <definedName name="_8.4__4_a">#REF!</definedName>
    <definedName name="_8.4__5">#REF!</definedName>
    <definedName name="_8.4__6_a">#REF!</definedName>
    <definedName name="_8.4__6_b">#REF!</definedName>
    <definedName name="_8.4__7">#REF!</definedName>
    <definedName name="_8.5__1">#REF!</definedName>
    <definedName name="_8.6__3">#REF!</definedName>
    <definedName name="_8.7__4">#REF!</definedName>
    <definedName name="_8__123Graph_BCHART_5L" hidden="1">#REF!</definedName>
    <definedName name="_8__123Graph_CCHART_4K" hidden="1">#REF!</definedName>
    <definedName name="_8__123Graph_ECHART_2" hidden="1">#REF!</definedName>
    <definedName name="_8_Q_1_1">#REF!</definedName>
    <definedName name="_8000">#REF!</definedName>
    <definedName name="_8000_1">#REF!</definedName>
    <definedName name="_8000_14">#REF!</definedName>
    <definedName name="_8000_14_15">#REF!</definedName>
    <definedName name="_8000_14_15_1">#REF!</definedName>
    <definedName name="_8000_14_15_16">#REF!</definedName>
    <definedName name="_8000_14_15_7">#REF!</definedName>
    <definedName name="_8000_14_16">#REF!</definedName>
    <definedName name="_8000_14_8">#REF!</definedName>
    <definedName name="_8000_14_9">#REF!</definedName>
    <definedName name="_8000_15">#REF!</definedName>
    <definedName name="_8000_15_1">#REF!</definedName>
    <definedName name="_8000_15_16">#REF!</definedName>
    <definedName name="_8000_15_7">#REF!</definedName>
    <definedName name="_8000_16">#REF!</definedName>
    <definedName name="_8000_22">#REF!</definedName>
    <definedName name="_8000_5">#REF!</definedName>
    <definedName name="_8000_5_15">#REF!</definedName>
    <definedName name="_8000_5_15_1">#REF!</definedName>
    <definedName name="_8000_5_15_16">#REF!</definedName>
    <definedName name="_8000_5_15_7">#REF!</definedName>
    <definedName name="_8000_5_16">#REF!</definedName>
    <definedName name="_8000_5_8">#REF!</definedName>
    <definedName name="_8000_5_9">#REF!</definedName>
    <definedName name="_8000_6">#REF!</definedName>
    <definedName name="_8000_6_15">#REF!</definedName>
    <definedName name="_8000_6_15_1">#REF!</definedName>
    <definedName name="_8000_6_15_16">#REF!</definedName>
    <definedName name="_8000_6_15_7">#REF!</definedName>
    <definedName name="_8000_6_16">#REF!</definedName>
    <definedName name="_8000_6_8">#REF!</definedName>
    <definedName name="_8000_6_9">#REF!</definedName>
    <definedName name="_8000_7">#REF!</definedName>
    <definedName name="_8000_7_15">#REF!</definedName>
    <definedName name="_8000_7_15_1">#REF!</definedName>
    <definedName name="_8000_7_15_16">#REF!</definedName>
    <definedName name="_8000_7_15_7">#REF!</definedName>
    <definedName name="_8000_7_16">#REF!</definedName>
    <definedName name="_8000_7_8">#REF!</definedName>
    <definedName name="_8000_7_9">#REF!</definedName>
    <definedName name="_8000_8">#REF!</definedName>
    <definedName name="_8000_9">#REF!</definedName>
    <definedName name="_801abfv50_6_1">#REF!</definedName>
    <definedName name="_806abfv50_6_1_1">#REF!</definedName>
    <definedName name="_80abfv150_1_1">#REF!</definedName>
    <definedName name="_81_CH7..H7___C__R_1">#REF!</definedName>
    <definedName name="_811abfv80_5_1">#REF!</definedName>
    <definedName name="_816abfv80_6_1">#REF!</definedName>
    <definedName name="_818FA">#REF!</definedName>
    <definedName name="_818PK">#REF!</definedName>
    <definedName name="_81abfv150_2_1">#REF!</definedName>
    <definedName name="_821abfv80_6_1_1">#REF!</definedName>
    <definedName name="_826abgv100_5_1">#REF!</definedName>
    <definedName name="_82abfv50_1_1">#REF!</definedName>
    <definedName name="_83_CH9..H9___C__R_1">#REF!</definedName>
    <definedName name="_831abgv100_6_1">#REF!</definedName>
    <definedName name="_836abgv100_6_1_1">#REF!</definedName>
    <definedName name="_83abfv50_2_1">#REF!</definedName>
    <definedName name="_84_D_1">#REF!</definedName>
    <definedName name="_841abgv150_5_1">#REF!</definedName>
    <definedName name="_846abgv150_6_1">#REF!</definedName>
    <definedName name="_84abfv80_1_1">#REF!</definedName>
    <definedName name="_85_E_1">#REF!</definedName>
    <definedName name="_851abgv150_6_1_1">#REF!</definedName>
    <definedName name="_856abgv20_5_1">#REF!</definedName>
    <definedName name="_85abfv80_2_1">#REF!</definedName>
    <definedName name="_86_F_1">#REF!</definedName>
    <definedName name="_861abgv20_6_1">#REF!</definedName>
    <definedName name="_866abgv20_6_1_1">#REF!</definedName>
    <definedName name="_86abgv100_1_1">#REF!</definedName>
    <definedName name="_871abgv32_5_1">#REF!</definedName>
    <definedName name="_876abgv32_6_1">#REF!</definedName>
    <definedName name="_87abgv100_2_1">#REF!</definedName>
    <definedName name="_881abgv32_6_1_1">#REF!</definedName>
    <definedName name="_886abgv40_5_1">#REF!</definedName>
    <definedName name="_88abgv150_1_1">#REF!</definedName>
    <definedName name="_891abgv40_6_1">#REF!</definedName>
    <definedName name="_896abgv40_6_1_1">#REF!</definedName>
    <definedName name="_89abgv150_2_1">#REF!</definedName>
    <definedName name="_9">#REF!</definedName>
    <definedName name="_9.02">#REF!</definedName>
    <definedName name="_9.05_1_">#REF!</definedName>
    <definedName name="_9.09_1_">#REF!</definedName>
    <definedName name="_9__123Graph_ACHART_2" hidden="1">#REF!</definedName>
    <definedName name="_9__123Graph_CCHART_5L" hidden="1">#REF!</definedName>
    <definedName name="_901abgv50_5_1">#REF!</definedName>
    <definedName name="_906abgv50_6_1">#REF!</definedName>
    <definedName name="_90abgv20_1_1">#REF!</definedName>
    <definedName name="_91_F_6_1">#REF!</definedName>
    <definedName name="_911abgv50_6_1_1">#REF!</definedName>
    <definedName name="_916abka15_5_1">#REF!</definedName>
    <definedName name="_91abgv20_2_1">#REF!</definedName>
    <definedName name="_921abka15_6_1">#REF!</definedName>
    <definedName name="_926abka15_6_1_1">#REF!</definedName>
    <definedName name="_92abgv32_1_1">#REF!</definedName>
    <definedName name="_931abpg_5_1">#REF!</definedName>
    <definedName name="_936abpg_6_1">#REF!</definedName>
    <definedName name="_93abgv32_2_1">#REF!</definedName>
    <definedName name="_941abpg_6_1_1">#REF!</definedName>
    <definedName name="_946abs100_5_1">#REF!</definedName>
    <definedName name="_94abgv40_1_1">#REF!</definedName>
    <definedName name="_951abs100_6_1">#REF!</definedName>
    <definedName name="_956abs100_6_1_1">#REF!</definedName>
    <definedName name="_95abgv40_2_1">#REF!</definedName>
    <definedName name="_96_F_6_1_1">#REF!</definedName>
    <definedName name="_961abwl_5_1">#REF!</definedName>
    <definedName name="_966abwl_6_1">#REF!</definedName>
    <definedName name="_96abgv50_1_1">#REF!</definedName>
    <definedName name="_97_G_1">#REF!</definedName>
    <definedName name="_971abwl_6_1_1">#REF!</definedName>
    <definedName name="_976ABX_5_1">#REF!</definedName>
    <definedName name="_97abgv50_2_1">#REF!</definedName>
    <definedName name="_98_H_1">#REF!</definedName>
    <definedName name="_981ABX_6_1">#REF!</definedName>
    <definedName name="_986ABX_6_1_1">#REF!</definedName>
    <definedName name="_98abka15_1_1">#REF!</definedName>
    <definedName name="_99_I_1">#REF!</definedName>
    <definedName name="_991ACX_5_1">#REF!</definedName>
    <definedName name="_996ACX_6_1">#REF!</definedName>
    <definedName name="_99abka15_2_1">#REF!</definedName>
    <definedName name="_a">#REF!</definedName>
    <definedName name="_A_1">"'file:///media/sda2/nUGerOHo/@PROJECT/GRAHA SANTIKA-MEDAN/User_1/data (d)/PROJECT/IBIS-SOLO/01/15/ESTIMATE/EST-1CV.XLS'#$I_KAMAR.$#REF!$#REF!:$#REF!$#REF!"</definedName>
    <definedName name="_A_2">NA()</definedName>
    <definedName name="_A_6">#REF!</definedName>
    <definedName name="_A_7">#REF!</definedName>
    <definedName name="_A_8">#REF!</definedName>
    <definedName name="_A100000">#REF!</definedName>
    <definedName name="_A16500">#REF!</definedName>
    <definedName name="_a66666">#REF!</definedName>
    <definedName name="_a666666">#REF!</definedName>
    <definedName name="_A99999">#REF!</definedName>
    <definedName name="_aaa1">#REF!</definedName>
    <definedName name="_AAD1">#N/A</definedName>
    <definedName name="_AAD3">#N/A</definedName>
    <definedName name="_abb91">[18]chitimc!#REF!</definedName>
    <definedName name="_abs100">#REF!</definedName>
    <definedName name="_ADD1">#N/A</definedName>
    <definedName name="_ADD2">#N/A</definedName>
    <definedName name="_ADD3">#N/A</definedName>
    <definedName name="_adt34">[19]alat!$J$16</definedName>
    <definedName name="_adt810">[19]alat!$J$17</definedName>
    <definedName name="_AHS2">#N/A</definedName>
    <definedName name="_ahu100">#REF!</definedName>
    <definedName name="_ahu150">#REF!</definedName>
    <definedName name="_ako100">#REF!</definedName>
    <definedName name="_ako150">#REF!</definedName>
    <definedName name="_ako50">#REF!</definedName>
    <definedName name="_ako80">#REF!</definedName>
    <definedName name="_aku100">#REF!</definedName>
    <definedName name="_aku150">#REF!</definedName>
    <definedName name="_alb1">#REF!</definedName>
    <definedName name="_alt1">#N/A</definedName>
    <definedName name="_amd1" hidden="1">{#N/A,#N/A,FALSE,"Chi tiÆt"}</definedName>
    <definedName name="_ana1">#REF!</definedName>
    <definedName name="_ana10">#REF!</definedName>
    <definedName name="_ana100">#REF!</definedName>
    <definedName name="_ana101">#REF!</definedName>
    <definedName name="_ana102">#REF!</definedName>
    <definedName name="_ana103">#REF!</definedName>
    <definedName name="_ana104">#REF!</definedName>
    <definedName name="_ana105">#REF!</definedName>
    <definedName name="_ana106">#REF!</definedName>
    <definedName name="_ana107">#REF!</definedName>
    <definedName name="_ana108">#REF!</definedName>
    <definedName name="_ana109">#REF!</definedName>
    <definedName name="_ana11">#REF!</definedName>
    <definedName name="_ana110">#REF!</definedName>
    <definedName name="_ana111">#REF!</definedName>
    <definedName name="_ana112">#REF!</definedName>
    <definedName name="_ana113">#REF!</definedName>
    <definedName name="_ana114">#REF!</definedName>
    <definedName name="_ana115">#REF!</definedName>
    <definedName name="_ana116">#REF!</definedName>
    <definedName name="_ana117">#REF!</definedName>
    <definedName name="_ana118">#REF!</definedName>
    <definedName name="_ana119">#REF!</definedName>
    <definedName name="_ana12">#REF!</definedName>
    <definedName name="_ana120">#REF!</definedName>
    <definedName name="_ana121">#REF!</definedName>
    <definedName name="_ana122">#REF!</definedName>
    <definedName name="_ana123">#REF!</definedName>
    <definedName name="_ana124">#REF!</definedName>
    <definedName name="_ana13">#REF!</definedName>
    <definedName name="_ana14">#REF!</definedName>
    <definedName name="_ana15">#REF!</definedName>
    <definedName name="_ana16">#REF!</definedName>
    <definedName name="_ana17">#REF!</definedName>
    <definedName name="_ana18">#REF!</definedName>
    <definedName name="_ana19">#REF!</definedName>
    <definedName name="_ana2">#REF!</definedName>
    <definedName name="_ana20">#REF!</definedName>
    <definedName name="_ana21">#REF!</definedName>
    <definedName name="_ana22">#REF!</definedName>
    <definedName name="_ana23">#REF!</definedName>
    <definedName name="_ana24">#REF!</definedName>
    <definedName name="_ana25">#REF!</definedName>
    <definedName name="_ana26">#REF!</definedName>
    <definedName name="_ana27">#REF!</definedName>
    <definedName name="_ana28">#REF!</definedName>
    <definedName name="_ana29">#REF!</definedName>
    <definedName name="_ana3">#REF!</definedName>
    <definedName name="_ana30">#REF!</definedName>
    <definedName name="_ana31">#REF!</definedName>
    <definedName name="_ana32">#REF!</definedName>
    <definedName name="_ana33">#REF!</definedName>
    <definedName name="_ana34">#REF!</definedName>
    <definedName name="_ana35">#REF!</definedName>
    <definedName name="_ana36">#REF!</definedName>
    <definedName name="_ana37">#REF!</definedName>
    <definedName name="_ana38">#REF!</definedName>
    <definedName name="_ana39">#REF!</definedName>
    <definedName name="_ana4">#REF!</definedName>
    <definedName name="_ana40">#REF!</definedName>
    <definedName name="_ana41">#REF!</definedName>
    <definedName name="_ana42">#REF!</definedName>
    <definedName name="_ana43">#REF!</definedName>
    <definedName name="_ana44">#REF!</definedName>
    <definedName name="_ana45">#REF!</definedName>
    <definedName name="_ana46">#REF!</definedName>
    <definedName name="_ana47">#REF!</definedName>
    <definedName name="_ana48">#REF!</definedName>
    <definedName name="_ana49">#REF!</definedName>
    <definedName name="_ana5">#REF!</definedName>
    <definedName name="_ana50">#REF!</definedName>
    <definedName name="_ana51">#REF!</definedName>
    <definedName name="_ana52">#REF!</definedName>
    <definedName name="_ana53">#REF!</definedName>
    <definedName name="_ana54">#REF!</definedName>
    <definedName name="_ana55">#REF!</definedName>
    <definedName name="_ana56">#REF!</definedName>
    <definedName name="_ana57">#REF!</definedName>
    <definedName name="_ana58">#REF!</definedName>
    <definedName name="_ana59">#REF!</definedName>
    <definedName name="_ana6">#REF!</definedName>
    <definedName name="_ana60">#REF!</definedName>
    <definedName name="_ana61">#REF!</definedName>
    <definedName name="_ana62">#REF!</definedName>
    <definedName name="_ana63">#REF!</definedName>
    <definedName name="_ana64">#REF!</definedName>
    <definedName name="_ana65">#REF!</definedName>
    <definedName name="_ana66">#REF!</definedName>
    <definedName name="_ana67">#REF!</definedName>
    <definedName name="_ana68">#REF!</definedName>
    <definedName name="_ana69">#REF!</definedName>
    <definedName name="_ana7">#REF!</definedName>
    <definedName name="_ana70">#REF!</definedName>
    <definedName name="_ana71">#REF!</definedName>
    <definedName name="_ana72">#REF!</definedName>
    <definedName name="_ana73">#REF!</definedName>
    <definedName name="_ana74">#REF!</definedName>
    <definedName name="_ana75">#REF!</definedName>
    <definedName name="_ana76">#REF!</definedName>
    <definedName name="_ana77">#REF!</definedName>
    <definedName name="_ana78">#REF!</definedName>
    <definedName name="_ana79">#REF!</definedName>
    <definedName name="_ana8">#REF!</definedName>
    <definedName name="_ana80">#REF!</definedName>
    <definedName name="_ana81">#REF!</definedName>
    <definedName name="_ana82">#REF!</definedName>
    <definedName name="_ana83">#REF!</definedName>
    <definedName name="_ana84">#REF!</definedName>
    <definedName name="_ana85">#REF!</definedName>
    <definedName name="_ana86">#REF!</definedName>
    <definedName name="_ana87">#REF!</definedName>
    <definedName name="_ana88">#REF!</definedName>
    <definedName name="_ana89">#REF!</definedName>
    <definedName name="_ana9">#REF!</definedName>
    <definedName name="_ana90">#REF!</definedName>
    <definedName name="_ana91">#REF!</definedName>
    <definedName name="_ana92">#REF!</definedName>
    <definedName name="_ana93">#REF!</definedName>
    <definedName name="_ana94">#REF!</definedName>
    <definedName name="_ana95">#REF!</definedName>
    <definedName name="_ana96">#REF!</definedName>
    <definedName name="_ana97">#REF!</definedName>
    <definedName name="_ana98">#REF!</definedName>
    <definedName name="_ana99">#REF!</definedName>
    <definedName name="_ANHARGAPK">#REF!</definedName>
    <definedName name="_anK010">#REF!</definedName>
    <definedName name="_anK011">#REF!</definedName>
    <definedName name="_anK012">#REF!</definedName>
    <definedName name="_anK013">#REF!</definedName>
    <definedName name="_anK014">#REF!</definedName>
    <definedName name="_anK016">#REF!</definedName>
    <definedName name="_anK017">#REF!</definedName>
    <definedName name="_anK018">#REF!</definedName>
    <definedName name="_anK020">#REF!</definedName>
    <definedName name="_anK026">#REF!</definedName>
    <definedName name="_anK035">#REF!</definedName>
    <definedName name="_anK040">#REF!</definedName>
    <definedName name="_anK110">#REF!</definedName>
    <definedName name="_anK111">#REF!</definedName>
    <definedName name="_anK112">#REF!</definedName>
    <definedName name="_anK113">#REF!</definedName>
    <definedName name="_anK114">#REF!</definedName>
    <definedName name="_anK115">#REF!</definedName>
    <definedName name="_anK116">#REF!</definedName>
    <definedName name="_anK127">#REF!</definedName>
    <definedName name="_anK139">#REF!</definedName>
    <definedName name="_anK210">#REF!</definedName>
    <definedName name="_anK211">#REF!</definedName>
    <definedName name="_anK220">#REF!</definedName>
    <definedName name="_anK221">#REF!</definedName>
    <definedName name="_anK224">#REF!</definedName>
    <definedName name="_anK225">#REF!</definedName>
    <definedName name="_ank275">[20]DivVII!$G$50</definedName>
    <definedName name="_anK310">#REF!</definedName>
    <definedName name="_anK311">#REF!</definedName>
    <definedName name="_anK320">#REF!</definedName>
    <definedName name="_anK321">#REF!</definedName>
    <definedName name="_ANK341">#REF!</definedName>
    <definedName name="_anK342">#REF!</definedName>
    <definedName name="_anK410">#REF!</definedName>
    <definedName name="_anK411">#REF!</definedName>
    <definedName name="_anK421">#REF!</definedName>
    <definedName name="_anK422">#REF!</definedName>
    <definedName name="_anK423">#REF!</definedName>
    <definedName name="_anK510">#REF!</definedName>
    <definedName name="_anK511">#REF!</definedName>
    <definedName name="_anK512">#REF!</definedName>
    <definedName name="_anK513">#REF!</definedName>
    <definedName name="_anK514">#REF!</definedName>
    <definedName name="_anK517">#REF!</definedName>
    <definedName name="_anK520">#REF!</definedName>
    <definedName name="_anK521">#REF!</definedName>
    <definedName name="_anK522">#REF!</definedName>
    <definedName name="_anK528">#REF!</definedName>
    <definedName name="_anK612">#REF!</definedName>
    <definedName name="_anK615">#REF!</definedName>
    <definedName name="_anK616">#REF!</definedName>
    <definedName name="_ANK618">#REF!</definedName>
    <definedName name="_anK621">#REF!</definedName>
    <definedName name="_anK636">#REF!</definedName>
    <definedName name="_anK638">#REF!</definedName>
    <definedName name="_anK639">#REF!</definedName>
    <definedName name="_anK641">#REF!</definedName>
    <definedName name="_anK705">#REF!</definedName>
    <definedName name="_APP3">#N/A</definedName>
    <definedName name="_ars1" hidden="1">{#N/A,#N/A,FALSE,"REK";#N/A,#N/A,FALSE,"Bq-ARS"}</definedName>
    <definedName name="_asb5">'[21]Harga Satuan Bahan'!$E$70</definedName>
    <definedName name="_ATB3">#REF!</definedName>
    <definedName name="_ATB4">#REF!</definedName>
    <definedName name="_b">#REF!</definedName>
    <definedName name="_B4">#N/A</definedName>
    <definedName name="_baa1">'[22]Daftar Harga Upah dan Bahan'!$F$35</definedName>
    <definedName name="_BAB2">#REF!</definedName>
    <definedName name="_BAB7">#REF!</definedName>
    <definedName name="_bba12">'[22]Daftar Harga Upah dan Bahan'!$F$55</definedName>
    <definedName name="_bba14">'[22]Daftar Harga Upah dan Bahan'!$F$57</definedName>
    <definedName name="_bba17">'[22]Daftar Harga Upah dan Bahan'!$F$60</definedName>
    <definedName name="_bba2">'[22]Daftar Harga Upah dan Bahan'!$F$44</definedName>
    <definedName name="_bba6">'[22]Daftar Harga Upah dan Bahan'!$F$49</definedName>
    <definedName name="_BBB01">#REF!</definedName>
    <definedName name="_BBB02">#REF!</definedName>
    <definedName name="_BBB03">#REF!</definedName>
    <definedName name="_BBB04">#REF!</definedName>
    <definedName name="_BBB05">#REF!</definedName>
    <definedName name="_BBB06">#REF!</definedName>
    <definedName name="_BBB07">#REF!</definedName>
    <definedName name="_BBB08">#REF!</definedName>
    <definedName name="_BBB09">#REF!</definedName>
    <definedName name="_BBB10">#REF!</definedName>
    <definedName name="_BBB11">#REF!</definedName>
    <definedName name="_BBB12">#REF!</definedName>
    <definedName name="_BBB13">#REF!</definedName>
    <definedName name="_BBB14">#REF!</definedName>
    <definedName name="_BBB15">#REF!</definedName>
    <definedName name="_BBB16">#REF!</definedName>
    <definedName name="_BBB17">#REF!</definedName>
    <definedName name="_bbm1">#REF!</definedName>
    <definedName name="_bbm10">#REF!</definedName>
    <definedName name="_bbm2">'[23]hs-str'!#REF!</definedName>
    <definedName name="_bbm3">#REF!</definedName>
    <definedName name="_bbm5">#REF!</definedName>
    <definedName name="_bbm8">#REF!</definedName>
    <definedName name="_bca1">'[22]Daftar Harga Upah dan Bahan'!$F$62</definedName>
    <definedName name="_bca3">'[22]Daftar Harga Upah dan Bahan'!$F$64</definedName>
    <definedName name="_bca4">'[22]Daftar Harga Upah dan Bahan'!$F$65</definedName>
    <definedName name="_bca5">'[22]Daftar Harga Upah dan Bahan'!$F$67</definedName>
    <definedName name="_bca6">'[22]Daftar Harga Upah dan Bahan'!$F$68</definedName>
    <definedName name="_bca8">'[22]Daftar Harga Upah dan Bahan'!$F$85</definedName>
    <definedName name="_bcv100">#REF!</definedName>
    <definedName name="_bcv125">#REF!</definedName>
    <definedName name="_bcv150">#REF!</definedName>
    <definedName name="_bda1">'[22]Daftar Harga Upah dan Bahan'!$F$88</definedName>
    <definedName name="_bda10">'[22]Daftar Harga Upah dan Bahan'!$F$97</definedName>
    <definedName name="_bda12">'[22]Daftar Harga Upah dan Bahan'!$F$99</definedName>
    <definedName name="_bda2">'[22]Daftar Harga Upah dan Bahan'!$F$89</definedName>
    <definedName name="_bda22">'[22]Daftar Harga Upah dan Bahan'!$F$109</definedName>
    <definedName name="_bda24">'[22]Daftar Harga Upah dan Bahan'!$F$111</definedName>
    <definedName name="_BDA3">'[22]Daftar Harga Upah dan Bahan'!$F$90</definedName>
    <definedName name="_BDA4">'[22]Daftar Harga Upah dan Bahan'!$F$91</definedName>
    <definedName name="_bda5">'[22]Daftar Harga Upah dan Bahan'!$F$92</definedName>
    <definedName name="_bda6">'[22]Daftar Harga Upah dan Bahan'!$F$93</definedName>
    <definedName name="_bda8">'[22]Daftar Harga Upah dan Bahan'!$F$95</definedName>
    <definedName name="_bda9">'[22]Daftar Harga Upah dan Bahan'!$F$96</definedName>
    <definedName name="_bea1">'[22]Daftar Harga Upah dan Bahan'!$F$117</definedName>
    <definedName name="_bea2">'[22]Daftar Harga Upah dan Bahan'!$F$118</definedName>
    <definedName name="_bea8">'[22]Daftar Harga Upah dan Bahan'!$F$124</definedName>
    <definedName name="_bes24">#REF!</definedName>
    <definedName name="_bes39">#REF!</definedName>
    <definedName name="_bes40">#N/A</definedName>
    <definedName name="_bet1">#REF!</definedName>
    <definedName name="_bet250">#REF!</definedName>
    <definedName name="_bet275">#REF!</definedName>
    <definedName name="_bet300">#REF!</definedName>
    <definedName name="_bet350">#REF!</definedName>
    <definedName name="_bet400">#REF!</definedName>
    <definedName name="_Bjl28">#REF!</definedName>
    <definedName name="_BKB2">#REF!</definedName>
    <definedName name="_BKB3">#REF!</definedName>
    <definedName name="_blk1">#REF!</definedName>
    <definedName name="_bln2">#REF!</definedName>
    <definedName name="_BOQ1">#REF!</definedName>
    <definedName name="_BOQ2">#REF!</definedName>
    <definedName name="_bor1030">[24]Analisa!#REF!</definedName>
    <definedName name="_bor50">#REF!</definedName>
    <definedName name="_bor60">#REF!</definedName>
    <definedName name="_BOX2">#REF!</definedName>
    <definedName name="_bpl32">#REF!</definedName>
    <definedName name="_bpl9">#REF!</definedName>
    <definedName name="_BRA2">#REF!</definedName>
    <definedName name="_bsc100">#REF!</definedName>
    <definedName name="_bsd1600">#REF!</definedName>
    <definedName name="_bsd2500">#REF!</definedName>
    <definedName name="_bsd4000">#REF!</definedName>
    <definedName name="_btn175">#REF!</definedName>
    <definedName name="_btn225">#REF!</definedName>
    <definedName name="_btn25">#REF!</definedName>
    <definedName name="_btn250">'[25]analisa Str'!#REF!</definedName>
    <definedName name="_btn300">#REF!</definedName>
    <definedName name="_btn450">'[26]analisa Str'!#REF!</definedName>
    <definedName name="_bud3500">#REF!</definedName>
    <definedName name="_bus50">[24]Analisa!#REF!</definedName>
    <definedName name="_bvd1">#REF!</definedName>
    <definedName name="_bvd2">#REF!</definedName>
    <definedName name="_bvd3">#REF!</definedName>
    <definedName name="_bvd34">#REF!</definedName>
    <definedName name="_bvd4">#REF!</definedName>
    <definedName name="_bvd5">#REF!</definedName>
    <definedName name="_bvd8">#REF!</definedName>
    <definedName name="_C">#REF!</definedName>
    <definedName name="_C1">#REF!</definedName>
    <definedName name="_C10">#REF!</definedName>
    <definedName name="_C11">#REF!</definedName>
    <definedName name="_C12">#REF!</definedName>
    <definedName name="_C13">#REF!</definedName>
    <definedName name="_C2">#REF!</definedName>
    <definedName name="_C3">#REF!</definedName>
    <definedName name="_C4">#REF!</definedName>
    <definedName name="_C5">#REF!</definedName>
    <definedName name="_C6">#REF!</definedName>
    <definedName name="_C7">#REF!</definedName>
    <definedName name="_C8">#REF!</definedName>
    <definedName name="_C9">#REF!</definedName>
    <definedName name="_caa2">'[22]Daftar Harga Upah dan Bahan'!$F$165</definedName>
    <definedName name="_caa3">'[22]Daftar Harga Upah dan Bahan'!$F$166</definedName>
    <definedName name="_caa4">'[22]Daftar Harga Upah dan Bahan'!$F$167</definedName>
    <definedName name="_caa5">'[22]Daftar Harga Upah dan Bahan'!$F$168</definedName>
    <definedName name="_CAL1">#REF!</definedName>
    <definedName name="_CAL10">#REF!</definedName>
    <definedName name="_CAL11">#REF!</definedName>
    <definedName name="_CAL12">#REF!</definedName>
    <definedName name="_CAL13">#REF!</definedName>
    <definedName name="_CAL14">#REF!</definedName>
    <definedName name="_CAL15">#REF!</definedName>
    <definedName name="_CAL16">#REF!</definedName>
    <definedName name="_CAL17">#REF!</definedName>
    <definedName name="_CAL18">#REF!</definedName>
    <definedName name="_CAL19">#REF!</definedName>
    <definedName name="_CAL2">#REF!</definedName>
    <definedName name="_CAL20">#REF!</definedName>
    <definedName name="_CAL200">#REF!</definedName>
    <definedName name="_CAL2002">#REF!</definedName>
    <definedName name="_CAL21">#REF!</definedName>
    <definedName name="_CAL3">#REF!</definedName>
    <definedName name="_CAL4">#REF!</definedName>
    <definedName name="_CAL5">#REF!</definedName>
    <definedName name="_CAL6">#REF!</definedName>
    <definedName name="_CAL7">#REF!</definedName>
    <definedName name="_CAL8">#REF!</definedName>
    <definedName name="_CAL9">#REF!</definedName>
    <definedName name="_CAN15">[27]Material!#REF!</definedName>
    <definedName name="_cas80">#REF!</definedName>
    <definedName name="_cat1">[28]upah!$D$23</definedName>
    <definedName name="_cat2">[28]upah!$D$24</definedName>
    <definedName name="_cat3">[28]upah!$D$25</definedName>
    <definedName name="_CCF2">#REF!</definedName>
    <definedName name="_CCO1">#REF!</definedName>
    <definedName name="_CFP2">#REF!</definedName>
    <definedName name="_CH1..H1___C__R">#REF!</definedName>
    <definedName name="_CH11..H11___C_">#REF!</definedName>
    <definedName name="_CH13..H13___C_">#REF!</definedName>
    <definedName name="_CH15..H15___C_">#REF!</definedName>
    <definedName name="_CH17..H17___C_">#REF!</definedName>
    <definedName name="_CH19..H19___C_">#REF!</definedName>
    <definedName name="_CH21..H21___C_">#REF!</definedName>
    <definedName name="_CH23..H23___C_">#REF!</definedName>
    <definedName name="_CH25..H25___C_">#REF!</definedName>
    <definedName name="_CH27..H27___C_">#REF!</definedName>
    <definedName name="_CH29..H29___C_">#REF!</definedName>
    <definedName name="_CH3..H3___C__R">#REF!</definedName>
    <definedName name="_CH31..H31___C_">#REF!</definedName>
    <definedName name="_CH33..H33___C_">#REF!</definedName>
    <definedName name="_CH35..H35___C_">#REF!</definedName>
    <definedName name="_CH37..H37___C_">#REF!</definedName>
    <definedName name="_CH39..H39___C_">#REF!</definedName>
    <definedName name="_CH41..H41___C_">#REF!</definedName>
    <definedName name="_CH43..H43___C_">#REF!</definedName>
    <definedName name="_CH45..H45___C_">#REF!</definedName>
    <definedName name="_CH5..H5___C__R">#REF!</definedName>
    <definedName name="_CH7..H7___C__R">#REF!</definedName>
    <definedName name="_CH9..H9___C__R">#REF!</definedName>
    <definedName name="_cip10">#REF!</definedName>
    <definedName name="_cip2">#REF!</definedName>
    <definedName name="_cip3">#REF!</definedName>
    <definedName name="_cip4">#REF!</definedName>
    <definedName name="_cip6">#REF!</definedName>
    <definedName name="_cip8">#REF!</definedName>
    <definedName name="_cle10">'[29]BAG-III'!$J$302</definedName>
    <definedName name="_cle65">'[29]BAG-III'!$J$303</definedName>
    <definedName name="_clg01">#REF!</definedName>
    <definedName name="_clg02">#REF!</definedName>
    <definedName name="_clg03">#REF!</definedName>
    <definedName name="_clg04">#REF!</definedName>
    <definedName name="_clg05">#REF!</definedName>
    <definedName name="_clg06">#REF!</definedName>
    <definedName name="_clg07">#REF!</definedName>
    <definedName name="_clg08">#REF!</definedName>
    <definedName name="_clg09">#REF!</definedName>
    <definedName name="_clg10">#REF!</definedName>
    <definedName name="_clg11">#REF!</definedName>
    <definedName name="_clg12">#REF!</definedName>
    <definedName name="_clg13">#REF!</definedName>
    <definedName name="_clg14">#REF!</definedName>
    <definedName name="_clg15">#REF!</definedName>
    <definedName name="_clg16">#REF!</definedName>
    <definedName name="_clg17">#REF!</definedName>
    <definedName name="_clg18">#REF!</definedName>
    <definedName name="_clg19">#REF!</definedName>
    <definedName name="_clg20">#REF!</definedName>
    <definedName name="_clg21">#REF!</definedName>
    <definedName name="_clg22">#REF!</definedName>
    <definedName name="_clg23">#REF!</definedName>
    <definedName name="_clg24">#REF!</definedName>
    <definedName name="_clg25">#REF!</definedName>
    <definedName name="_clg26">#REF!</definedName>
    <definedName name="_clg27">#REF!</definedName>
    <definedName name="_clg28">#REF!</definedName>
    <definedName name="_clg29">#REF!</definedName>
    <definedName name="_clg30">#REF!</definedName>
    <definedName name="_clg31">#REF!</definedName>
    <definedName name="_clg32">#REF!</definedName>
    <definedName name="_clg33">#REF!</definedName>
    <definedName name="_clg34">#REF!</definedName>
    <definedName name="_clg35">#REF!</definedName>
    <definedName name="_clg36">#REF!</definedName>
    <definedName name="_clg37">#REF!</definedName>
    <definedName name="_CLP1">#REF!</definedName>
    <definedName name="_CLP2">#REF!</definedName>
    <definedName name="_CLP3">#REF!</definedName>
    <definedName name="_CLP4">#REF!</definedName>
    <definedName name="_CLP5">#REF!</definedName>
    <definedName name="_CLP6">#REF!</definedName>
    <definedName name="_CLP7">#REF!</definedName>
    <definedName name="_cod4">#REF!</definedName>
    <definedName name="_cod50">#REF!</definedName>
    <definedName name="_CON1">#REF!</definedName>
    <definedName name="_CON2">#REF!</definedName>
    <definedName name="_cor1">[30]S.UPAH!$J$26</definedName>
    <definedName name="_cor175">#REF!</definedName>
    <definedName name="_cor225">#REF!</definedName>
    <definedName name="_cor300">#REF!</definedName>
    <definedName name="_CT250">'[18]dongia (2)'!#REF!</definedName>
    <definedName name="_ctb4">#REF!</definedName>
    <definedName name="_cvd100">#REF!</definedName>
    <definedName name="_cvd15">#REF!</definedName>
    <definedName name="_cvd150">#REF!</definedName>
    <definedName name="_cvd50">#REF!</definedName>
    <definedName name="_cvd65">#REF!</definedName>
    <definedName name="_D">#REF!</definedName>
    <definedName name="_D_1">#REF!</definedName>
    <definedName name="_D_1_1">#REF!</definedName>
    <definedName name="_D_14">#REF!</definedName>
    <definedName name="_D_14_15">#REF!</definedName>
    <definedName name="_D_14_15_1">#REF!</definedName>
    <definedName name="_D_14_15_16">#REF!</definedName>
    <definedName name="_D_14_15_7">#REF!</definedName>
    <definedName name="_D_14_16">#REF!</definedName>
    <definedName name="_D_14_8">#REF!</definedName>
    <definedName name="_D_14_9">#REF!</definedName>
    <definedName name="_D_15">#REF!</definedName>
    <definedName name="_D_15_1">#REF!</definedName>
    <definedName name="_D_15_16">#REF!</definedName>
    <definedName name="_D_15_7">#REF!</definedName>
    <definedName name="_D_16">#REF!</definedName>
    <definedName name="_D_22">#REF!</definedName>
    <definedName name="_D_5">#REF!</definedName>
    <definedName name="_D_5_15">#REF!</definedName>
    <definedName name="_D_5_15_1">#REF!</definedName>
    <definedName name="_D_5_15_16">#REF!</definedName>
    <definedName name="_D_5_15_7">#REF!</definedName>
    <definedName name="_D_5_16">#REF!</definedName>
    <definedName name="_D_5_8">#REF!</definedName>
    <definedName name="_D_5_9">#REF!</definedName>
    <definedName name="_D_6">#REF!</definedName>
    <definedName name="_D_6_15">#REF!</definedName>
    <definedName name="_D_6_15_1">#REF!</definedName>
    <definedName name="_D_6_15_16">#REF!</definedName>
    <definedName name="_D_6_15_7">#REF!</definedName>
    <definedName name="_D_6_16">#REF!</definedName>
    <definedName name="_D_6_8">#REF!</definedName>
    <definedName name="_D_6_9">#REF!</definedName>
    <definedName name="_D_7">#REF!</definedName>
    <definedName name="_D_7_15">#REF!</definedName>
    <definedName name="_D_7_15_1">#REF!</definedName>
    <definedName name="_D_7_15_16">#REF!</definedName>
    <definedName name="_D_7_15_7">#REF!</definedName>
    <definedName name="_D_7_16">#REF!</definedName>
    <definedName name="_D_7_8">#REF!</definedName>
    <definedName name="_D_7_9">#REF!</definedName>
    <definedName name="_D_8">#REF!</definedName>
    <definedName name="_D_9">#REF!</definedName>
    <definedName name="_daf1">#REF!</definedName>
    <definedName name="_DAF10">#REF!</definedName>
    <definedName name="_daf2">#REF!</definedName>
    <definedName name="_daf31">#REF!</definedName>
    <definedName name="_daf32">#REF!</definedName>
    <definedName name="_daf33">#REF!</definedName>
    <definedName name="_dcd021">[3]BOQ!#REF!</definedName>
    <definedName name="_ddg10">[31]ARTAGDING!#REF!</definedName>
    <definedName name="_ddg20">[31]ARTAGDING!#REF!</definedName>
    <definedName name="_ddg30">#REF!</definedName>
    <definedName name="_ddn400">#REF!</definedName>
    <definedName name="_ddn600">#REF!</definedName>
    <definedName name="_dgt100">'[18]dongia (2)'!#REF!</definedName>
    <definedName name="_dia6">#REF!</definedName>
    <definedName name="_dil60">#REF!</definedName>
    <definedName name="_dip02">#REF!</definedName>
    <definedName name="_Dist_Bin" hidden="1">#REF!</definedName>
    <definedName name="_Dist_Values" hidden="1">#REF!</definedName>
    <definedName name="_DIV1">#REF!</definedName>
    <definedName name="_DIV10">#REF!</definedName>
    <definedName name="_DIV11" localSheetId="7">#REF!</definedName>
    <definedName name="_DIV11">#REF!</definedName>
    <definedName name="_DIV14">#REF!</definedName>
    <definedName name="_DIV2">#REF!</definedName>
    <definedName name="_DIV3">#REF!</definedName>
    <definedName name="_DIV4">#REF!</definedName>
    <definedName name="_DIV5">#REF!</definedName>
    <definedName name="_DIV6">#REF!</definedName>
    <definedName name="_DIV7">#REF!</definedName>
    <definedName name="_DIV8">#REF!</definedName>
    <definedName name="_DIV9">#REF!</definedName>
    <definedName name="_dld60">#REF!</definedName>
    <definedName name="_dlh20">#REF!</definedName>
    <definedName name="_dlh50">#REF!</definedName>
    <definedName name="_Dlk10">#REF!</definedName>
    <definedName name="_dot2020">#REF!</definedName>
    <definedName name="_dti100">#REF!</definedName>
    <definedName name="_dti60">#REF!</definedName>
    <definedName name="_dti80">#REF!</definedName>
    <definedName name="_dtr34">#REF!</definedName>
    <definedName name="_dtr8">#REF!</definedName>
    <definedName name="_E">#REF!</definedName>
    <definedName name="_eag1010">#REF!</definedName>
    <definedName name="_eag1414">#REF!</definedName>
    <definedName name="_eag88">#REF!</definedName>
    <definedName name="_EEE">'[32]5-ALAT(1)'!$AW$25</definedName>
    <definedName name="_EEE01">#REF!</definedName>
    <definedName name="_EEE02">#REF!</definedName>
    <definedName name="_EEE03">#REF!</definedName>
    <definedName name="_EEE04">#REF!</definedName>
    <definedName name="_EEE05">#REF!</definedName>
    <definedName name="_EEE06">#REF!</definedName>
    <definedName name="_EEE07">#REF!</definedName>
    <definedName name="_EEE08">#REF!</definedName>
    <definedName name="_EEE09">#REF!</definedName>
    <definedName name="_EEE10">#REF!</definedName>
    <definedName name="_EEE11">#REF!</definedName>
    <definedName name="_EEE12">#REF!</definedName>
    <definedName name="_EEE13">#REF!</definedName>
    <definedName name="_EEE14">#REF!</definedName>
    <definedName name="_EEE15">#REF!</definedName>
    <definedName name="_EEE16">#REF!</definedName>
    <definedName name="_EEE17">#REF!</definedName>
    <definedName name="_EEE18">#REF!</definedName>
    <definedName name="_EEE19">#REF!</definedName>
    <definedName name="_EEE20">#REF!</definedName>
    <definedName name="_EEE21">#REF!</definedName>
    <definedName name="_EEE22">#REF!</definedName>
    <definedName name="_EEE23">#REF!</definedName>
    <definedName name="_EEE24">#REF!</definedName>
    <definedName name="_EEE25">#REF!</definedName>
    <definedName name="_EEE26">#REF!</definedName>
    <definedName name="_EEE27">#REF!</definedName>
    <definedName name="_EEE28">#REF!</definedName>
    <definedName name="_EEE29">#REF!</definedName>
    <definedName name="_EEE30">#REF!</definedName>
    <definedName name="_EEE31">#REF!</definedName>
    <definedName name="_EEE32">#REF!</definedName>
    <definedName name="_EEE33">#REF!</definedName>
    <definedName name="_Eqp1">#REF!</definedName>
    <definedName name="_Eqp2">#REF!</definedName>
    <definedName name="_EQU1">#REF!</definedName>
    <definedName name="_EQU2">#REF!</definedName>
    <definedName name="_EST1">#REF!</definedName>
    <definedName name="_EST2">#REF!</definedName>
    <definedName name="_ewr4">#REF!</definedName>
    <definedName name="_f" hidden="1">#REF!</definedName>
    <definedName name="_F_1">#REF!</definedName>
    <definedName name="_F_10">#REF!</definedName>
    <definedName name="_F_11">#REF!</definedName>
    <definedName name="_F_12">#REF!</definedName>
    <definedName name="_F_13">#REF!</definedName>
    <definedName name="_F_2">#REF!</definedName>
    <definedName name="_F_2_1">#REF!</definedName>
    <definedName name="_F_2_1_6">#REF!</definedName>
    <definedName name="_F_2_5">#REF!</definedName>
    <definedName name="_F_2_6">#REF!</definedName>
    <definedName name="_F_2_7">#REF!</definedName>
    <definedName name="_F_2_7_5">#REF!</definedName>
    <definedName name="_F_3">#REF!</definedName>
    <definedName name="_F_3_10">#REF!</definedName>
    <definedName name="_F_3_11">#REF!</definedName>
    <definedName name="_F_3_12">#REF!</definedName>
    <definedName name="_F_3_13">#REF!</definedName>
    <definedName name="_F_3_5">#REF!</definedName>
    <definedName name="_F_3_6">#REF!</definedName>
    <definedName name="_F_3_7">#REF!</definedName>
    <definedName name="_F_3_7_5">#REF!</definedName>
    <definedName name="_F_3_9">#REF!</definedName>
    <definedName name="_F_4">#REF!</definedName>
    <definedName name="_F_4_5">#REF!</definedName>
    <definedName name="_F_5">#REF!</definedName>
    <definedName name="_F_6">#REF!</definedName>
    <definedName name="_F_6_1">#REF!</definedName>
    <definedName name="_F_6_1_5">#REF!</definedName>
    <definedName name="_F_6_10">#REF!</definedName>
    <definedName name="_F_6_11">#REF!</definedName>
    <definedName name="_F_6_12">#REF!</definedName>
    <definedName name="_F_6_13">#REF!</definedName>
    <definedName name="_F_6_5">#REF!</definedName>
    <definedName name="_F_6_6">#REF!</definedName>
    <definedName name="_F_6_7">#REF!</definedName>
    <definedName name="_F_6_7_5">#REF!</definedName>
    <definedName name="_F_6_9">#REF!</definedName>
    <definedName name="_F_7">#REF!</definedName>
    <definedName name="_F_7_5">#REF!</definedName>
    <definedName name="_F_9">#REF!</definedName>
    <definedName name="_FAK1" localSheetId="7">[33]H_Dasar!#REF!</definedName>
    <definedName name="_FAK1">[33]H_Dasar!#REF!</definedName>
    <definedName name="_faw10">'[29]BAG-III'!$J$316</definedName>
    <definedName name="_faw65">'[29]BAG-III'!$J$317</definedName>
    <definedName name="_fdd100">#REF!</definedName>
    <definedName name="_fdd3">#REF!</definedName>
    <definedName name="_fdu2">#REF!</definedName>
    <definedName name="_Fill" hidden="1">#REF!</definedName>
    <definedName name="_xlnm._FilterDatabase" hidden="1">#REF!</definedName>
    <definedName name="_FIT100">#REF!</definedName>
    <definedName name="_fit125">#REF!</definedName>
    <definedName name="_FIT150">#REF!</definedName>
    <definedName name="_FIT200">#REF!</definedName>
    <definedName name="_FIT300">#REF!</definedName>
    <definedName name="_FIT65">#REF!</definedName>
    <definedName name="_fit80">#REF!</definedName>
    <definedName name="_fjd100">#REF!</definedName>
    <definedName name="_fjd150">#REF!</definedName>
    <definedName name="_fjd50">#REF!</definedName>
    <definedName name="_fjd65">#REF!</definedName>
    <definedName name="_flr01">#REF!</definedName>
    <definedName name="_flr02">#REF!</definedName>
    <definedName name="_flr03">#REF!</definedName>
    <definedName name="_flr04">#REF!</definedName>
    <definedName name="_flr05">#REF!</definedName>
    <definedName name="_flr06">#REF!</definedName>
    <definedName name="_flr07">#REF!</definedName>
    <definedName name="_flr08">#REF!</definedName>
    <definedName name="_flr09">#REF!</definedName>
    <definedName name="_flr10">#REF!</definedName>
    <definedName name="_flr11">#REF!</definedName>
    <definedName name="_flr12">#REF!</definedName>
    <definedName name="_flr13">#REF!</definedName>
    <definedName name="_flr14">#REF!</definedName>
    <definedName name="_flr15">#REF!</definedName>
    <definedName name="_flr16">#REF!</definedName>
    <definedName name="_flr17">#REF!</definedName>
    <definedName name="_flr18">#REF!</definedName>
    <definedName name="_flr181">#REF!</definedName>
    <definedName name="_flr19">#REF!</definedName>
    <definedName name="_flr20">#REF!</definedName>
    <definedName name="_flr21">#REF!</definedName>
    <definedName name="_flr22">#REF!</definedName>
    <definedName name="_flr23">#REF!</definedName>
    <definedName name="_flr24">#REF!</definedName>
    <definedName name="_flr25">#REF!</definedName>
    <definedName name="_flr26">#REF!</definedName>
    <definedName name="_flr27">#REF!</definedName>
    <definedName name="_flr28">#REF!</definedName>
    <definedName name="_flr29">#REF!</definedName>
    <definedName name="_flr30">#REF!</definedName>
    <definedName name="_flr31">#REF!</definedName>
    <definedName name="_flr32">#REF!</definedName>
    <definedName name="_flr33">#REF!</definedName>
    <definedName name="_flr34">#REF!</definedName>
    <definedName name="_flr35">#REF!</definedName>
    <definedName name="_flr36">#REF!</definedName>
    <definedName name="_flr37">#REF!</definedName>
    <definedName name="_flr38">#REF!</definedName>
    <definedName name="_flr39">#REF!</definedName>
    <definedName name="_flr40">#REF!</definedName>
    <definedName name="_flr41">#REF!</definedName>
    <definedName name="_flr42">#REF!</definedName>
    <definedName name="_flr43">#REF!</definedName>
    <definedName name="_flr44">#REF!</definedName>
    <definedName name="_flr45">#REF!</definedName>
    <definedName name="_flr46">#REF!</definedName>
    <definedName name="_flr47">#REF!</definedName>
    <definedName name="_flr48">#REF!</definedName>
    <definedName name="_flr49">#REF!</definedName>
    <definedName name="_flr50">#REF!</definedName>
    <definedName name="_flr51">#REF!</definedName>
    <definedName name="_flr52">#REF!</definedName>
    <definedName name="_flr53">#REF!</definedName>
    <definedName name="_flr54">#REF!</definedName>
    <definedName name="_flr55">#REF!</definedName>
    <definedName name="_flr56">#REF!</definedName>
    <definedName name="_flr57">#REF!</definedName>
    <definedName name="_fmd150">#REF!</definedName>
    <definedName name="_frc234">#REF!</definedName>
    <definedName name="_frc2495">#REF!</definedName>
    <definedName name="_frc41010">#REF!</definedName>
    <definedName name="_frc495">#REF!</definedName>
    <definedName name="_frm74">#REF!</definedName>
    <definedName name="_ftv10">#REF!</definedName>
    <definedName name="_ftv2">#REF!</definedName>
    <definedName name="_ftv3">#REF!</definedName>
    <definedName name="_ftv4">#REF!</definedName>
    <definedName name="_ftv5">#REF!</definedName>
    <definedName name="_ftv6">#REF!</definedName>
    <definedName name="_ftv8">#REF!</definedName>
    <definedName name="_fvd100">#REF!</definedName>
    <definedName name="_fxj2">#REF!</definedName>
    <definedName name="_fxj3">#REF!</definedName>
    <definedName name="_fxj4">#REF!</definedName>
    <definedName name="_fxj5">#REF!</definedName>
    <definedName name="_fxj6">#REF!</definedName>
    <definedName name="_fxj8">#REF!</definedName>
    <definedName name="_G">#REF!</definedName>
    <definedName name="_g1">#REF!</definedName>
    <definedName name="_gat50">'[29]BAG-III'!$J$284</definedName>
    <definedName name="_gen1000">#REF!</definedName>
    <definedName name="_Gfu20">#REF!</definedName>
    <definedName name="_Gfu30">#REF!</definedName>
    <definedName name="_GID1">#REF!</definedName>
    <definedName name="_GiM06">#REF!</definedName>
    <definedName name="_gip1">#REF!</definedName>
    <definedName name="_gip15">'[29]BAG-III'!$J$294</definedName>
    <definedName name="_gip20">'[29]BAG-III'!$J$293</definedName>
    <definedName name="_gip25">'[29]BAG-III'!$J$292</definedName>
    <definedName name="_gip3">#REF!</definedName>
    <definedName name="_gip32">'[29]BAG-III'!$J$291</definedName>
    <definedName name="_gip34">#REF!</definedName>
    <definedName name="_gip4">#REF!</definedName>
    <definedName name="_gip40">'[29]BAG-III'!$J$290</definedName>
    <definedName name="_GIP4004">"'file://SERVER3/har-data/STRUCTURE PRICE OF BQ KOMPAS GRAMEDIA.xls'#$analisa.$#REF!$#REF!"</definedName>
    <definedName name="_gip50">'[29]BAG-III'!$J$289</definedName>
    <definedName name="_GIP5004">"'file://SERVER3/har-data/STRUCTURE PRICE OF BQ KOMPAS GRAMEDIA.xls'#$analisa.$#REF!$#REF!"</definedName>
    <definedName name="_GIP6504">"'file://SERVER3/har-data/STRUCTURE PRICE OF BQ KOMPAS GRAMEDIA.xls'#$analisa.$#REF!$#REF!"</definedName>
    <definedName name="_GIP804">"'file://SERVER3/har-data/STRUCTURE PRICE OF BQ KOMPAS GRAMEDIA.xls'#$analisa.$#REF!$#REF!"</definedName>
    <definedName name="_giv1">#REF!</definedName>
    <definedName name="_GIV2">#N/A</definedName>
    <definedName name="_gk2" hidden="1">#REF!</definedName>
    <definedName name="_GNB1">#REF!</definedName>
    <definedName name="_GOTO_D19__WXEU">#REF!</definedName>
    <definedName name="_GOTO_D2__WCS12">#REF!</definedName>
    <definedName name="_GOTO_D80__WCS1">#REF!</definedName>
    <definedName name="_GOTO_M84__R_3_">#REF!</definedName>
    <definedName name="_GOTO_N1_">#REF!</definedName>
    <definedName name="_GOTO_Q23__R_5_">#REF!</definedName>
    <definedName name="_gra6060">[34]harsat!$H$27</definedName>
    <definedName name="_grc1">#REF!</definedName>
    <definedName name="_Grc4">#REF!</definedName>
    <definedName name="_grv20">'[35]Harga Satuan Bahan'!$E$93</definedName>
    <definedName name="_grv30">'[21]Harga Satuan Bahan'!#REF!</definedName>
    <definedName name="_gti50">#REF!</definedName>
    <definedName name="_gti60">#REF!</definedName>
    <definedName name="_gvd1">#REF!</definedName>
    <definedName name="_gvd10">#REF!</definedName>
    <definedName name="_gvd100">#REF!</definedName>
    <definedName name="_gvd15">#REF!</definedName>
    <definedName name="_gvd150">#REF!</definedName>
    <definedName name="_gvd2">#REF!</definedName>
    <definedName name="_gvd20">#REF!</definedName>
    <definedName name="_gvd25">#REF!</definedName>
    <definedName name="_gvd3">#REF!</definedName>
    <definedName name="_gvd32">#REF!</definedName>
    <definedName name="_gvd4">#REF!</definedName>
    <definedName name="_gvd40">#REF!</definedName>
    <definedName name="_gvd5">#REF!</definedName>
    <definedName name="_gvd50">#REF!</definedName>
    <definedName name="_gvd6">#REF!</definedName>
    <definedName name="_gvd65">#REF!</definedName>
    <definedName name="_gvd8">#REF!</definedName>
    <definedName name="_gvd80">#REF!</definedName>
    <definedName name="_gyp9">#REF!</definedName>
    <definedName name="_H">#REF!</definedName>
    <definedName name="_HAL1" localSheetId="7">#REF!</definedName>
    <definedName name="_HAL1">#REF!</definedName>
    <definedName name="_HAL2" localSheetId="7">#REF!</definedName>
    <definedName name="_HAL2">#REF!</definedName>
    <definedName name="_HAL3" localSheetId="7">#REF!</definedName>
    <definedName name="_HAL3">#REF!</definedName>
    <definedName name="_HAL4" localSheetId="7">#REF!</definedName>
    <definedName name="_HAL4">#REF!</definedName>
    <definedName name="_HAL5" localSheetId="7">#REF!</definedName>
    <definedName name="_HAL5">#REF!</definedName>
    <definedName name="_HAL6" localSheetId="7">#REF!</definedName>
    <definedName name="_HAL6">#REF!</definedName>
    <definedName name="_HAL7" localSheetId="7">#REF!</definedName>
    <definedName name="_HAL7">#REF!</definedName>
    <definedName name="_HAL8" localSheetId="7">#REF!</definedName>
    <definedName name="_HAL8">#REF!</definedName>
    <definedName name="_hdw1">#REF!</definedName>
    <definedName name="_HOME__FS">#REF!</definedName>
    <definedName name="_HOME__WGZY__R_">#REF!</definedName>
    <definedName name="_hsm01">#REF!</definedName>
    <definedName name="_hsm02">#REF!</definedName>
    <definedName name="_hsm06">#REF!</definedName>
    <definedName name="_hsm07">#REF!</definedName>
    <definedName name="_hsm16">#REF!</definedName>
    <definedName name="_hsm44">#REF!</definedName>
    <definedName name="_I">#REF!</definedName>
    <definedName name="_Ibr1">#REF!</definedName>
    <definedName name="_INF1">#REF!</definedName>
    <definedName name="_INF2">#REF!</definedName>
    <definedName name="_INF3">#REF!</definedName>
    <definedName name="_INF4">#REF!</definedName>
    <definedName name="_int1">#REF!</definedName>
    <definedName name="_int2">#REF!</definedName>
    <definedName name="_IPR1">#REF!</definedName>
    <definedName name="_IPR21">#REF!</definedName>
    <definedName name="_J">#REF!</definedName>
    <definedName name="_ja11">#REF!</definedName>
    <definedName name="_ja12">#REF!</definedName>
    <definedName name="_ja13">#REF!</definedName>
    <definedName name="_ja14">#REF!</definedName>
    <definedName name="_JUM1" localSheetId="7">'[33]Analisa pemkot'!#REF!</definedName>
    <definedName name="_jum1">#REF!</definedName>
    <definedName name="_jum10">#REF!</definedName>
    <definedName name="_JUM11">[36]STR!#REF!</definedName>
    <definedName name="_jum2">#REF!</definedName>
    <definedName name="_jum3">#REF!</definedName>
    <definedName name="_jum4">#REF!</definedName>
    <definedName name="_jum5">#REF!</definedName>
    <definedName name="_jum6">#REF!</definedName>
    <definedName name="_jum7">#REF!</definedName>
    <definedName name="_jum8">#REF!</definedName>
    <definedName name="_jum9">#REF!</definedName>
    <definedName name="_K">#REF!</definedName>
    <definedName name="_K1">#N/A</definedName>
    <definedName name="_K3">#N/A</definedName>
    <definedName name="_kap11000">#REF!</definedName>
    <definedName name="_kap2200">#REF!</definedName>
    <definedName name="_kap3000">#REF!</definedName>
    <definedName name="_kap4500">#REF!</definedName>
    <definedName name="_kap5500">#REF!</definedName>
    <definedName name="_kap6500">#REF!</definedName>
    <definedName name="_kap9000">#REF!</definedName>
    <definedName name="_kc3">'[35]Harga Satuan Bahan'!$E$125</definedName>
    <definedName name="_kc5">'[35]Harga Satuan Bahan'!$E$126</definedName>
    <definedName name="_kco7">#REF!</definedName>
    <definedName name="_ke1">#REF!</definedName>
    <definedName name="_ke2">#REF!</definedName>
    <definedName name="_KE20">#REF!</definedName>
    <definedName name="_ke3">#REF!</definedName>
    <definedName name="_KE30">#REF!</definedName>
    <definedName name="_ke4">#REF!</definedName>
    <definedName name="_ker1020">#REF!</definedName>
    <definedName name="_ker1030">#REF!</definedName>
    <definedName name="_ker2020">[34]harsat!$H$16</definedName>
    <definedName name="_ker2025">#REF!</definedName>
    <definedName name="_ker2530">[34]harsat!$H$17</definedName>
    <definedName name="_ker30">#REF!</definedName>
    <definedName name="_ker3030">[34]harsat!$H$18</definedName>
    <definedName name="_ker3333">[34]harsat!$H$19</definedName>
    <definedName name="_KEY001" hidden="1">#REF!</definedName>
    <definedName name="_KEY002" hidden="1">#REF!</definedName>
    <definedName name="_KEY01" hidden="1">#REF!</definedName>
    <definedName name="_KEY02" hidden="1">#REF!</definedName>
    <definedName name="_Key1" hidden="1">#REF!</definedName>
    <definedName name="_Key2" hidden="1">#REF!</definedName>
    <definedName name="_kg2">#REF!</definedName>
    <definedName name="_kht20">#REF!</definedName>
    <definedName name="_kht40">#REF!</definedName>
    <definedName name="_kht50">#REF!</definedName>
    <definedName name="_kl2">#REF!</definedName>
    <definedName name="_kl3">#REF!</definedName>
    <definedName name="_KL78906">#REF!</definedName>
    <definedName name="_KM1">[3]CH!$C$9</definedName>
    <definedName name="_KM2">[7]CH!$C$11</definedName>
    <definedName name="_ko2">#REF!</definedName>
    <definedName name="_kof1">#REF!</definedName>
    <definedName name="_KR1">#REF!</definedName>
    <definedName name="_kr15">#REF!</definedName>
    <definedName name="_KR22">#REF!</definedName>
    <definedName name="_KR6">#REF!</definedName>
    <definedName name="_KR7">#REF!</definedName>
    <definedName name="_KR8">#REF!</definedName>
    <definedName name="_KR9">#REF!</definedName>
    <definedName name="_krm2020">#REF!</definedName>
    <definedName name="_krm2025">#REF!</definedName>
    <definedName name="_krm3030">#REF!</definedName>
    <definedName name="_krm4040">#REF!</definedName>
    <definedName name="_Krp12">#REF!</definedName>
    <definedName name="_Krp33">#REF!</definedName>
    <definedName name="_Krw12">#REF!</definedName>
    <definedName name="_Krw22">#REF!</definedName>
    <definedName name="_Krw33">#REF!</definedName>
    <definedName name="_ky3">#REF!</definedName>
    <definedName name="_L">#REF!</definedName>
    <definedName name="_L100000">#REF!</definedName>
    <definedName name="_L1000000">#REF!</definedName>
    <definedName name="_L69000">#REF!</definedName>
    <definedName name="_L70000">#REF!</definedName>
    <definedName name="_L90000">#REF!</definedName>
    <definedName name="_L99999">#REF!</definedName>
    <definedName name="_L999999">#REF!</definedName>
    <definedName name="_Lad1">#REF!</definedName>
    <definedName name="_Lad2">#REF!</definedName>
    <definedName name="_Lad3">#REF!</definedName>
    <definedName name="_lad400">#REF!</definedName>
    <definedName name="_lad600">#REF!</definedName>
    <definedName name="_lad800">#REF!</definedName>
    <definedName name="_lb1">#REF!</definedName>
    <definedName name="_lb2">#REF!</definedName>
    <definedName name="_LBP1">#REF!</definedName>
    <definedName name="_LBP2">#REF!</definedName>
    <definedName name="_LCM2">#REF!</definedName>
    <definedName name="_LCM3">#REF!</definedName>
    <definedName name="_ld100">#REF!</definedName>
    <definedName name="_ld120">#REF!</definedName>
    <definedName name="_ld50">#REF!</definedName>
    <definedName name="_ld60">#REF!</definedName>
    <definedName name="_ld80">#REF!</definedName>
    <definedName name="_ldp60">#REF!</definedName>
    <definedName name="_lh50">#REF!</definedName>
    <definedName name="_LL01">#REF!</definedName>
    <definedName name="_LL02">#REF!</definedName>
    <definedName name="_LL03">#REF!</definedName>
    <definedName name="_LL04">#REF!</definedName>
    <definedName name="_LL05">#REF!</definedName>
    <definedName name="_LL06">#REF!</definedName>
    <definedName name="_LL07">#REF!</definedName>
    <definedName name="_LL08">#REF!</definedName>
    <definedName name="_LL09">#REF!</definedName>
    <definedName name="_LLL01" localSheetId="5">'[37]Harga Alat'!#REF!</definedName>
    <definedName name="_LLL01" localSheetId="7">'[37]Harga Alat'!#REF!</definedName>
    <definedName name="_LLL01">#REF!</definedName>
    <definedName name="_LLL02" localSheetId="5">'[37]Harga Alat'!#REF!</definedName>
    <definedName name="_LLL02" localSheetId="7">'[37]Harga Alat'!#REF!</definedName>
    <definedName name="_LLL02">#REF!</definedName>
    <definedName name="_LLL03" localSheetId="5">'[37]Harga Alat'!#REF!</definedName>
    <definedName name="_LLL03" localSheetId="7">'[37]Harga Alat'!#REF!</definedName>
    <definedName name="_LLL03">#REF!</definedName>
    <definedName name="_LLL04" localSheetId="5">'[37]Harga Alat'!#REF!</definedName>
    <definedName name="_LLL04" localSheetId="7">'[37]Harga Alat'!#REF!</definedName>
    <definedName name="_LLL04">#REF!</definedName>
    <definedName name="_LLL05" localSheetId="5">'[37]Harga Alat'!#REF!</definedName>
    <definedName name="_LLL05" localSheetId="7">'[37]Harga Alat'!#REF!</definedName>
    <definedName name="_LLL05">#REF!</definedName>
    <definedName name="_LLL06" localSheetId="5">'[37]Harga Alat'!#REF!</definedName>
    <definedName name="_LLL06" localSheetId="7">'[37]Harga Alat'!#REF!</definedName>
    <definedName name="_LLL06">#REF!</definedName>
    <definedName name="_LLL07" localSheetId="5">'[37]Harga Alat'!#REF!</definedName>
    <definedName name="_LLL07" localSheetId="7">'[37]Harga Alat'!#REF!</definedName>
    <definedName name="_LLL07">#REF!</definedName>
    <definedName name="_LLL08" localSheetId="5">'[37]Harga Alat'!#REF!</definedName>
    <definedName name="_LLL08" localSheetId="7">'[37]Harga Alat'!#REF!</definedName>
    <definedName name="_LLL08">#REF!</definedName>
    <definedName name="_LLL09" localSheetId="5">'[37]Harga Alat'!#REF!</definedName>
    <definedName name="_LLL09" localSheetId="7">'[37]Harga Alat'!#REF!</definedName>
    <definedName name="_LLL09">#REF!</definedName>
    <definedName name="_LLL10" localSheetId="5">'[37]Harga Alat'!#REF!</definedName>
    <definedName name="_LLL10" localSheetId="7">'[37]Harga Alat'!#REF!</definedName>
    <definedName name="_LLL10">#REF!</definedName>
    <definedName name="_LLL11" localSheetId="7">'[37]Harga Alat'!#REF!</definedName>
    <definedName name="_LLL11">#REF!</definedName>
    <definedName name="_lmb1">#REF!</definedName>
    <definedName name="_lp100">#REF!</definedName>
    <definedName name="_lp300">#REF!</definedName>
    <definedName name="_lp36">#REF!</definedName>
    <definedName name="_lp500">#REF!</definedName>
    <definedName name="_lp60">#REF!</definedName>
    <definedName name="_Lpk02">#REF!</definedName>
    <definedName name="_Lpk10">#REF!</definedName>
    <definedName name="_lpl11">#REF!</definedName>
    <definedName name="_ls100">#REF!</definedName>
    <definedName name="_ls50">#REF!</definedName>
    <definedName name="_ls60">#REF!</definedName>
    <definedName name="_ls80">#REF!</definedName>
    <definedName name="_lt1">#REF!</definedName>
    <definedName name="_lt2">#REF!</definedName>
    <definedName name="_lt3">#REF!</definedName>
    <definedName name="_lt4">#REF!</definedName>
    <definedName name="_lt5">#REF!</definedName>
    <definedName name="_lt6">#REF!</definedName>
    <definedName name="_lt7">#REF!</definedName>
    <definedName name="_lt8">#REF!</definedName>
    <definedName name="_M">#REF!</definedName>
    <definedName name="_M_1">#REF!</definedName>
    <definedName name="_M_1_1">#REF!</definedName>
    <definedName name="_M_1_2">#REF!</definedName>
    <definedName name="_M_1_4">#REF!</definedName>
    <definedName name="_M_1_4_5">#REF!</definedName>
    <definedName name="_M_1_5">#REF!</definedName>
    <definedName name="_M_1_6">#REF!</definedName>
    <definedName name="_M_1_6_5">#REF!</definedName>
    <definedName name="_M_1_7">#REF!</definedName>
    <definedName name="_M_1_7_5">#REF!</definedName>
    <definedName name="_M_10">#REF!</definedName>
    <definedName name="_M_11">#REF!</definedName>
    <definedName name="_M_12">#REF!</definedName>
    <definedName name="_M_13">#REF!</definedName>
    <definedName name="_M_2">#REF!</definedName>
    <definedName name="_M_2_1">#REF!</definedName>
    <definedName name="_M_2_1_6">#REF!</definedName>
    <definedName name="_M_2_2">#REF!</definedName>
    <definedName name="_M_2_4">#REF!</definedName>
    <definedName name="_M_2_4_5">#REF!</definedName>
    <definedName name="_M_2_5">#REF!</definedName>
    <definedName name="_M_2_6">#REF!</definedName>
    <definedName name="_M_2_6_5">#REF!</definedName>
    <definedName name="_M_2_7">#REF!</definedName>
    <definedName name="_M_2_7_5">#REF!</definedName>
    <definedName name="_M_3">#REF!</definedName>
    <definedName name="_M_3_4">#REF!</definedName>
    <definedName name="_M_3_4_5">#REF!</definedName>
    <definedName name="_M_3_5">#REF!</definedName>
    <definedName name="_M_3_6">#REF!</definedName>
    <definedName name="_M_3_6_5">#REF!</definedName>
    <definedName name="_M_3_7">#REF!</definedName>
    <definedName name="_M_3_7_5">#REF!</definedName>
    <definedName name="_M_4">#REF!</definedName>
    <definedName name="_M_4_1">#REF!</definedName>
    <definedName name="_M_4_1_5">#REF!</definedName>
    <definedName name="_M_4_10">#REF!</definedName>
    <definedName name="_M_4_11">#REF!</definedName>
    <definedName name="_M_4_12">#REF!</definedName>
    <definedName name="_M_4_13">#REF!</definedName>
    <definedName name="_M_4_2">#REF!</definedName>
    <definedName name="_M_4_4">#REF!</definedName>
    <definedName name="_M_4_4_5">#REF!</definedName>
    <definedName name="_M_4_5">#REF!</definedName>
    <definedName name="_M_4_6">#REF!</definedName>
    <definedName name="_M_4_6_5">#REF!</definedName>
    <definedName name="_M_4_7">#REF!</definedName>
    <definedName name="_M_4_7_5">#REF!</definedName>
    <definedName name="_M_5">#REF!</definedName>
    <definedName name="_M_5_2">#REF!</definedName>
    <definedName name="_M_5_4">#REF!</definedName>
    <definedName name="_M_5_4_5">#REF!</definedName>
    <definedName name="_M_5_5">#REF!</definedName>
    <definedName name="_M_5_6">#REF!</definedName>
    <definedName name="_M_5_6_5">#REF!</definedName>
    <definedName name="_M_5_7">#REF!</definedName>
    <definedName name="_M_5_7_5">#REF!</definedName>
    <definedName name="_M_6">#REF!</definedName>
    <definedName name="_M_6_1">#REF!</definedName>
    <definedName name="_M_6_1_5">#REF!</definedName>
    <definedName name="_M_6_4">#REF!</definedName>
    <definedName name="_M_6_4_5">#REF!</definedName>
    <definedName name="_M_6_5">#REF!</definedName>
    <definedName name="_M_6_6">#REF!</definedName>
    <definedName name="_M_6_6_5">#REF!</definedName>
    <definedName name="_M_6_7">#REF!</definedName>
    <definedName name="_M_6_7_5">#REF!</definedName>
    <definedName name="_M_7">#REF!</definedName>
    <definedName name="_M_7_5">#REF!</definedName>
    <definedName name="_M_9">#REF!</definedName>
    <definedName name="_M6" hidden="1">{#N/A,#N/A,FALSE,"Chi tiÆt"}</definedName>
    <definedName name="_MAC12">#REF!</definedName>
    <definedName name="_MAC46">#REF!</definedName>
    <definedName name="_mat2">#REF!</definedName>
    <definedName name="_MatInverse_In" hidden="1">#REF!</definedName>
    <definedName name="_MatInverse_Out" hidden="1">#REF!</definedName>
    <definedName name="_MatMult_A" hidden="1">#REF!</definedName>
    <definedName name="_MatMult_AxB" hidden="1">#REF!</definedName>
    <definedName name="_MatMult_B" hidden="1">#REF!</definedName>
    <definedName name="_MB01">#REF!</definedName>
    <definedName name="_MB02">#REF!</definedName>
    <definedName name="_MB06">#REF!</definedName>
    <definedName name="_MB07">#REF!</definedName>
    <definedName name="_MB10">#REF!</definedName>
    <definedName name="_MB11">#REF!</definedName>
    <definedName name="_MB12">#REF!</definedName>
    <definedName name="_MB13">#REF!</definedName>
    <definedName name="_MB14">#REF!</definedName>
    <definedName name="_MB15">#REF!</definedName>
    <definedName name="_MB16">#REF!</definedName>
    <definedName name="_MB18">#REF!</definedName>
    <definedName name="_MB19">#REF!</definedName>
    <definedName name="_MB20">#REF!</definedName>
    <definedName name="_MB21">#REF!</definedName>
    <definedName name="_MB22">#REF!</definedName>
    <definedName name="_MB24">#REF!</definedName>
    <definedName name="_MB28">#REF!</definedName>
    <definedName name="_MB35">#REF!</definedName>
    <definedName name="_MB44">#REF!</definedName>
    <definedName name="_MB867">#REF!</definedName>
    <definedName name="_mc1">[38]dasboard!#REF!</definedName>
    <definedName name="_mc2">#REF!</definedName>
    <definedName name="_MCB16">#REF!</definedName>
    <definedName name="_MCB6">#REF!</definedName>
    <definedName name="_MDE01">#REF!</definedName>
    <definedName name="_MDE02">#REF!</definedName>
    <definedName name="_MDE03">#REF!</definedName>
    <definedName name="_MDE04">#REF!</definedName>
    <definedName name="_MDE05">#REF!</definedName>
    <definedName name="_MDE06">#REF!</definedName>
    <definedName name="_MDE07">#REF!</definedName>
    <definedName name="_MDE08">#REF!</definedName>
    <definedName name="_MDE09">#REF!</definedName>
    <definedName name="_MDE10">#REF!</definedName>
    <definedName name="_MDE11">#REF!</definedName>
    <definedName name="_MDE12">#REF!</definedName>
    <definedName name="_MDE13">#REF!</definedName>
    <definedName name="_MDE14">#REF!</definedName>
    <definedName name="_MDE15">#REF!</definedName>
    <definedName name="_MDE16">#REF!</definedName>
    <definedName name="_MDE17">#REF!</definedName>
    <definedName name="_MDE18">#REF!</definedName>
    <definedName name="_MDE19">#REF!</definedName>
    <definedName name="_MDE20">#REF!</definedName>
    <definedName name="_MDE21">#REF!</definedName>
    <definedName name="_MDE22">#REF!</definedName>
    <definedName name="_MDE23">#REF!</definedName>
    <definedName name="_MDE24">#REF!</definedName>
    <definedName name="_MDE25">#REF!</definedName>
    <definedName name="_MDE26">#REF!</definedName>
    <definedName name="_MDE27">#REF!</definedName>
    <definedName name="_MDE28">#REF!</definedName>
    <definedName name="_MDE29">#REF!</definedName>
    <definedName name="_MDE30">#REF!</definedName>
    <definedName name="_MDE31">#REF!</definedName>
    <definedName name="_MDE32">#REF!</definedName>
    <definedName name="_MDE33">#REF!</definedName>
    <definedName name="_MDE34">#REF!</definedName>
    <definedName name="_MDE35">#REF!</definedName>
    <definedName name="_MDE36">#REF!</definedName>
    <definedName name="_MDE37">#REF!</definedName>
    <definedName name="_MDE38">#REF!</definedName>
    <definedName name="_MDE39">#REF!</definedName>
    <definedName name="_MDE40">#REF!</definedName>
    <definedName name="_MDE41">#REF!</definedName>
    <definedName name="_MDE42">#REF!</definedName>
    <definedName name="_MDE43">#REF!</definedName>
    <definedName name="_MDE44">#REF!</definedName>
    <definedName name="_MDE45">#REF!</definedName>
    <definedName name="_MDE46">#REF!</definedName>
    <definedName name="_MDE47">#REF!</definedName>
    <definedName name="_MDE48">#REF!</definedName>
    <definedName name="_MDE49">#REF!</definedName>
    <definedName name="_MDE50">#REF!</definedName>
    <definedName name="_MDE51">#REF!</definedName>
    <definedName name="_MDE52">#REF!</definedName>
    <definedName name="_MDE53">#REF!</definedName>
    <definedName name="_MDE54">#REF!</definedName>
    <definedName name="_MDE55">#REF!</definedName>
    <definedName name="_MDE56">#REF!</definedName>
    <definedName name="_MDE57">#REF!</definedName>
    <definedName name="_MDE58">#REF!</definedName>
    <definedName name="_MDE59">#REF!</definedName>
    <definedName name="_MDE60">#REF!</definedName>
    <definedName name="_MDE61">#REF!</definedName>
    <definedName name="_MDE62">#REF!</definedName>
    <definedName name="_MDE63">#REF!</definedName>
    <definedName name="_MDE64">#REF!</definedName>
    <definedName name="_MDE65">#REF!</definedName>
    <definedName name="_MDE66">#REF!</definedName>
    <definedName name="_MDE67">#REF!</definedName>
    <definedName name="_MDE68">#REF!</definedName>
    <definedName name="_ME01">#REF!</definedName>
    <definedName name="_ME02">#REF!</definedName>
    <definedName name="_ME03">#REF!</definedName>
    <definedName name="_ME04">#REF!</definedName>
    <definedName name="_ME05">#REF!</definedName>
    <definedName name="_ME06">#REF!</definedName>
    <definedName name="_ME07">#REF!</definedName>
    <definedName name="_ME08">#REF!</definedName>
    <definedName name="_ME09">#REF!</definedName>
    <definedName name="_me1">#REF!</definedName>
    <definedName name="_ME10">#REF!</definedName>
    <definedName name="_ME11">#REF!</definedName>
    <definedName name="_ME12">#REF!</definedName>
    <definedName name="_ME13">#REF!</definedName>
    <definedName name="_ME14">#REF!</definedName>
    <definedName name="_ME15">#REF!</definedName>
    <definedName name="_ME16">#REF!</definedName>
    <definedName name="_ME17">#REF!</definedName>
    <definedName name="_ME18">#REF!</definedName>
    <definedName name="_ME19">#REF!</definedName>
    <definedName name="_ME2">#REF!</definedName>
    <definedName name="_ME20">#REF!</definedName>
    <definedName name="_ME21">#REF!</definedName>
    <definedName name="_ME22">#REF!</definedName>
    <definedName name="_ME23">#REF!</definedName>
    <definedName name="_ME24">#REF!</definedName>
    <definedName name="_ME25">#REF!</definedName>
    <definedName name="_ME26">#REF!</definedName>
    <definedName name="_ME27">#REF!</definedName>
    <definedName name="_ME28">#REF!</definedName>
    <definedName name="_ME29">#REF!</definedName>
    <definedName name="_ME3">#REF!</definedName>
    <definedName name="_ME30">#REF!</definedName>
    <definedName name="_ME31">#REF!</definedName>
    <definedName name="_ME32">#REF!</definedName>
    <definedName name="_ME33">#REF!</definedName>
    <definedName name="_ME34">#REF!</definedName>
    <definedName name="_ME35">#REF!</definedName>
    <definedName name="_ME36">#REF!</definedName>
    <definedName name="_ME37">#REF!</definedName>
    <definedName name="_ME38">#REF!</definedName>
    <definedName name="_ME39">#REF!</definedName>
    <definedName name="_ME40">#REF!</definedName>
    <definedName name="_ME41">#REF!</definedName>
    <definedName name="_ME42">#REF!</definedName>
    <definedName name="_ME43">#REF!</definedName>
    <definedName name="_ME44">#REF!</definedName>
    <definedName name="_ME45">#REF!</definedName>
    <definedName name="_ME46">#REF!</definedName>
    <definedName name="_ME47">#REF!</definedName>
    <definedName name="_ME48">#REF!</definedName>
    <definedName name="_ME49">#REF!</definedName>
    <definedName name="_ME50">#REF!</definedName>
    <definedName name="_ME51">#REF!</definedName>
    <definedName name="_ME52">#REF!</definedName>
    <definedName name="_ME53">#REF!</definedName>
    <definedName name="_ME54">#REF!</definedName>
    <definedName name="_ME55">#REF!</definedName>
    <definedName name="_ME56">#REF!</definedName>
    <definedName name="_ME57">#REF!</definedName>
    <definedName name="_ME58">#REF!</definedName>
    <definedName name="_ME59">#REF!</definedName>
    <definedName name="_ME60">#REF!</definedName>
    <definedName name="_ME61">#REF!</definedName>
    <definedName name="_ME62">#REF!</definedName>
    <definedName name="_ME63">#REF!</definedName>
    <definedName name="_ME64">#REF!</definedName>
    <definedName name="_ME65">#REF!</definedName>
    <definedName name="_ME66">#REF!</definedName>
    <definedName name="_ME67">#REF!</definedName>
    <definedName name="_ME68">#REF!</definedName>
    <definedName name="_MEN1">#REF!</definedName>
    <definedName name="_MENUBRANCH_印">#REF!</definedName>
    <definedName name="_MENUBRANCH_表">#REF!</definedName>
    <definedName name="_MET1">#REF!</definedName>
    <definedName name="_MET2">#REF!</definedName>
    <definedName name="_mg8">#REF!</definedName>
    <definedName name="_mix300">#REF!</definedName>
    <definedName name="_MJ1">#REF!</definedName>
    <definedName name="_MJ2">#REF!</definedName>
    <definedName name="_Mm01">#REF!</definedName>
    <definedName name="_MM02">#REF!</definedName>
    <definedName name="_MM03">#REF!</definedName>
    <definedName name="_MM04">#REF!</definedName>
    <definedName name="_MM05">#REF!</definedName>
    <definedName name="_MM06">#REF!</definedName>
    <definedName name="_MM07">#REF!</definedName>
    <definedName name="_MM08">#REF!</definedName>
    <definedName name="_MM1">#REF!</definedName>
    <definedName name="_MM10">#REF!</definedName>
    <definedName name="_MM11">#REF!</definedName>
    <definedName name="_MM12">#REF!</definedName>
    <definedName name="_MM13">#REF!</definedName>
    <definedName name="_MM14">#REF!</definedName>
    <definedName name="_MM15">#REF!</definedName>
    <definedName name="_MM16">#REF!</definedName>
    <definedName name="_MM18">#REF!</definedName>
    <definedName name="_MM19">#REF!</definedName>
    <definedName name="_MM20">#REF!</definedName>
    <definedName name="_MM21">#REF!</definedName>
    <definedName name="_MM22">#REF!</definedName>
    <definedName name="_MM24">#REF!</definedName>
    <definedName name="_MM28">#REF!</definedName>
    <definedName name="_MM35">#REF!</definedName>
    <definedName name="_MM37">#REF!</definedName>
    <definedName name="_MM38">#REF!</definedName>
    <definedName name="_MM39">#REF!</definedName>
    <definedName name="_MM44">#REF!</definedName>
    <definedName name="_MM46">#REF!</definedName>
    <definedName name="_MMM01" localSheetId="7">'[37]Harga Alat'!#REF!</definedName>
    <definedName name="_MMM01">#REF!</definedName>
    <definedName name="_MMM02" localSheetId="7">'[37]Harga Alat'!#REF!</definedName>
    <definedName name="_MMM02">#REF!</definedName>
    <definedName name="_MMM03" localSheetId="7">'[37]Harga Alat'!#REF!</definedName>
    <definedName name="_MMM03">#REF!</definedName>
    <definedName name="_MMM04">#REF!</definedName>
    <definedName name="_MMM05">#REF!</definedName>
    <definedName name="_MMM06">#REF!</definedName>
    <definedName name="_MMM07">#REF!</definedName>
    <definedName name="_MMM08">#REF!</definedName>
    <definedName name="_MMM09">#REF!</definedName>
    <definedName name="_MMM10">#REF!</definedName>
    <definedName name="_MMM11">#REF!</definedName>
    <definedName name="_MMM12">#REF!</definedName>
    <definedName name="_MMM13" localSheetId="5">'[37]Harga Alat'!#REF!</definedName>
    <definedName name="_MMM13" localSheetId="7">'[37]Harga Alat'!#REF!</definedName>
    <definedName name="_MMM13">#REF!</definedName>
    <definedName name="_MMM14" localSheetId="7">'[37]Harga Alat'!#REF!</definedName>
    <definedName name="_MMM14">#REF!</definedName>
    <definedName name="_MMM15" localSheetId="7">'[37]Harga Alat'!#REF!</definedName>
    <definedName name="_MMM15">#REF!</definedName>
    <definedName name="_MMM16" localSheetId="7">'[37]Harga Alat'!#REF!</definedName>
    <definedName name="_MMM16">#REF!</definedName>
    <definedName name="_MMM17" localSheetId="7">'[37]Harga Alat'!#REF!</definedName>
    <definedName name="_MMM17">#REF!</definedName>
    <definedName name="_MMM18">#REF!</definedName>
    <definedName name="_MMM19">#REF!</definedName>
    <definedName name="_MMM20">#REF!</definedName>
    <definedName name="_MMM21">#REF!</definedName>
    <definedName name="_MMM22">#REF!</definedName>
    <definedName name="_MMM23">#REF!</definedName>
    <definedName name="_MMM24">#REF!</definedName>
    <definedName name="_MMM25">#REF!</definedName>
    <definedName name="_MMM26">#REF!</definedName>
    <definedName name="_MMM27">#REF!</definedName>
    <definedName name="_MMM28">#REF!</definedName>
    <definedName name="_MMM29">#REF!</definedName>
    <definedName name="_MMM30">#REF!</definedName>
    <definedName name="_MMM31">#REF!</definedName>
    <definedName name="_MMM32">#REF!</definedName>
    <definedName name="_MMM33">#REF!</definedName>
    <definedName name="_MMM34">#REF!</definedName>
    <definedName name="_MMM35">#REF!</definedName>
    <definedName name="_MMM36">#REF!</definedName>
    <definedName name="_MMM37">#REF!</definedName>
    <definedName name="_MMM38">#REF!</definedName>
    <definedName name="_MMM39" localSheetId="5">'[37]Harga Alat'!#REF!</definedName>
    <definedName name="_MMM39" localSheetId="7">'[37]Harga Alat'!#REF!</definedName>
    <definedName name="_MMM39">#REF!</definedName>
    <definedName name="_MMM40" localSheetId="7">'[37]Harga Alat'!#REF!</definedName>
    <definedName name="_MMM40">#REF!</definedName>
    <definedName name="_MMM41" localSheetId="7">'[37]Harga Alat'!#REF!</definedName>
    <definedName name="_MMM41">#REF!</definedName>
    <definedName name="_MMM411" localSheetId="7">'[37]Harga Alat'!#REF!</definedName>
    <definedName name="_MMM411">#REF!</definedName>
    <definedName name="_MMM42" localSheetId="7">'[37]Harga Alat'!#REF!</definedName>
    <definedName name="_MMM42">#REF!</definedName>
    <definedName name="_MMM43">#REF!</definedName>
    <definedName name="_MMM44">#REF!</definedName>
    <definedName name="_MMM45">#REF!</definedName>
    <definedName name="_MMM46" localSheetId="5">'[37]Harga Alat'!#REF!</definedName>
    <definedName name="_MMM46" localSheetId="7">'[37]Harga Alat'!#REF!</definedName>
    <definedName name="_MMM46">#REF!</definedName>
    <definedName name="_MMM47" localSheetId="7">'[37]Harga Alat'!#REF!</definedName>
    <definedName name="_MMM47">#REF!</definedName>
    <definedName name="_MMM48" localSheetId="7">'[37]Harga Alat'!#REF!</definedName>
    <definedName name="_MMM48">#REF!</definedName>
    <definedName name="_MMM49" localSheetId="7">'[37]Harga Alat'!#REF!</definedName>
    <definedName name="_MMM49">#REF!</definedName>
    <definedName name="_MMM50" localSheetId="7">'[37]Harga Alat'!#REF!</definedName>
    <definedName name="_MMM50">#REF!</definedName>
    <definedName name="_MMM51">#REF!</definedName>
    <definedName name="_MMM52">#REF!</definedName>
    <definedName name="_MMM53">#REF!</definedName>
    <definedName name="_MMM54" localSheetId="5">'[37]Harga Alat'!#REF!</definedName>
    <definedName name="_MMM54" localSheetId="7">'[37]Harga Alat'!#REF!</definedName>
    <definedName name="_MMM54">#REF!</definedName>
    <definedName name="_MMM57">#REF!</definedName>
    <definedName name="_MMM58">#REF!</definedName>
    <definedName name="_MMM59">#REF!</definedName>
    <definedName name="_MMM60">#REF!</definedName>
    <definedName name="_MMM61">#REF!</definedName>
    <definedName name="_MMM62">#REF!</definedName>
    <definedName name="_MMM63">#REF!</definedName>
    <definedName name="_MMM64">#REF!</definedName>
    <definedName name="_MMM65">#REF!</definedName>
    <definedName name="_MMM66">#REF!</definedName>
    <definedName name="_MOB1">#REF!</definedName>
    <definedName name="_MOB2">#REF!</definedName>
    <definedName name="_mp1">#REF!</definedName>
    <definedName name="_mp3">#REF!</definedName>
    <definedName name="_Mpk12">#REF!</definedName>
    <definedName name="_Mpk9">#REF!</definedName>
    <definedName name="_mpn20100">#REF!</definedName>
    <definedName name="_mpn2015">#REF!</definedName>
    <definedName name="_mpn20150">#REF!</definedName>
    <definedName name="_mpn2020">#REF!</definedName>
    <definedName name="_mpn2025">#REF!</definedName>
    <definedName name="_mpn2032">#REF!</definedName>
    <definedName name="_mpn2040">#REF!</definedName>
    <definedName name="_mpn2050">#REF!</definedName>
    <definedName name="_mpn2065">#REF!</definedName>
    <definedName name="_mpn2080">#REF!</definedName>
    <definedName name="_MS1">#REF!</definedName>
    <definedName name="_MS2">#REF!</definedName>
    <definedName name="_mu1">#REF!</definedName>
    <definedName name="_mu2">#REF!</definedName>
    <definedName name="_MU200">#N/A</definedName>
    <definedName name="_mu250">#REF!</definedName>
    <definedName name="_MU300">#N/A</definedName>
    <definedName name="_MU301">#N/A</definedName>
    <definedName name="_MU380">#N/A</definedName>
    <definedName name="_MU400">#N/A</definedName>
    <definedName name="_MU408">#N/A</definedName>
    <definedName name="_MU440">#N/A</definedName>
    <definedName name="_MU450">#N/A</definedName>
    <definedName name="_MU830">#N/A</definedName>
    <definedName name="_mul12">#REF!</definedName>
    <definedName name="_mul9">#REF!</definedName>
    <definedName name="_mup2">[39]Electrikal!#REF!</definedName>
    <definedName name="_mvd1">#REF!</definedName>
    <definedName name="_mvd2">#REF!</definedName>
    <definedName name="_mvd3">#REF!</definedName>
    <definedName name="_mvd4">#REF!</definedName>
    <definedName name="_N">#REF!</definedName>
    <definedName name="_NCL100">#REF!</definedName>
    <definedName name="_NCL200">#REF!</definedName>
    <definedName name="_NCL250">#REF!</definedName>
    <definedName name="_new5">#N/A</definedName>
    <definedName name="_nin190">#REF!</definedName>
    <definedName name="_nya10">#REF!</definedName>
    <definedName name="_nya120">#REF!</definedName>
    <definedName name="_nya150">#REF!</definedName>
    <definedName name="_nya16">#REF!</definedName>
    <definedName name="_nya185">#REF!</definedName>
    <definedName name="_nya240">#REF!</definedName>
    <definedName name="_nya25">#REF!</definedName>
    <definedName name="_nya300">#REF!</definedName>
    <definedName name="_nya35">#REF!</definedName>
    <definedName name="_nya4">#REF!</definedName>
    <definedName name="_nya400">#REF!</definedName>
    <definedName name="_nya50">#REF!</definedName>
    <definedName name="_nya6">#REF!</definedName>
    <definedName name="_nya70">#REF!</definedName>
    <definedName name="_nya95">#REF!</definedName>
    <definedName name="_nyf410">#REF!</definedName>
    <definedName name="_nyf416">#REF!</definedName>
    <definedName name="_nyf425">#REF!</definedName>
    <definedName name="_nyf435">#REF!</definedName>
    <definedName name="_nyf450">#REF!</definedName>
    <definedName name="_nyf46">#REF!</definedName>
    <definedName name="_nyf470">#REF!</definedName>
    <definedName name="_nyf495">#REF!</definedName>
    <definedName name="_nym210">#REF!</definedName>
    <definedName name="_nym216">#REF!</definedName>
    <definedName name="_nym225">#REF!</definedName>
    <definedName name="_nym235">#REF!</definedName>
    <definedName name="_nym24">#REF!</definedName>
    <definedName name="_nym26">#REF!</definedName>
    <definedName name="_nym310">#REF!</definedName>
    <definedName name="_nym316">#REF!</definedName>
    <definedName name="_nym325">#REF!</definedName>
    <definedName name="_nym34">#REF!</definedName>
    <definedName name="_nym36">#REF!</definedName>
    <definedName name="_nym410">#REF!</definedName>
    <definedName name="_nym416">#REF!</definedName>
    <definedName name="_nym425">#REF!</definedName>
    <definedName name="_nym44">#REF!</definedName>
    <definedName name="_nym46">#REF!</definedName>
    <definedName name="_nyy110">#REF!</definedName>
    <definedName name="_nyy1120">#REF!</definedName>
    <definedName name="_nyy1150">#REF!</definedName>
    <definedName name="_nyy116">#REF!</definedName>
    <definedName name="_nyy1185">#REF!</definedName>
    <definedName name="_nyy1240">#REF!</definedName>
    <definedName name="_nyy125">#REF!</definedName>
    <definedName name="_nyy1300">#REF!</definedName>
    <definedName name="_nyy135">#REF!</definedName>
    <definedName name="_nyy14">#REF!</definedName>
    <definedName name="_nyy1400">#REF!</definedName>
    <definedName name="_nyy150">#REF!</definedName>
    <definedName name="_nyy1500">#REF!</definedName>
    <definedName name="_nyy16">#REF!</definedName>
    <definedName name="_nyy1630">#REF!</definedName>
    <definedName name="_nyy170">#REF!</definedName>
    <definedName name="_nyy195">#REF!</definedName>
    <definedName name="_nyy210">#REF!</definedName>
    <definedName name="_nyy2120">#REF!</definedName>
    <definedName name="_nyy2150">#REF!</definedName>
    <definedName name="_nyy216">#REF!</definedName>
    <definedName name="_nyy2185">#REF!</definedName>
    <definedName name="_nyy225">#REF!</definedName>
    <definedName name="_nyy235">#REF!</definedName>
    <definedName name="_nyy24">#REF!</definedName>
    <definedName name="_nyy2416">#REF!</definedName>
    <definedName name="_nyy244">#REF!</definedName>
    <definedName name="_nyy246">#REF!</definedName>
    <definedName name="_nyy250">#REF!</definedName>
    <definedName name="_nyy26">#REF!</definedName>
    <definedName name="_nyy270">#REF!</definedName>
    <definedName name="_nyy295">#REF!</definedName>
    <definedName name="_nyy310">#REF!</definedName>
    <definedName name="_nyy3120">#REF!</definedName>
    <definedName name="_nyy3150">#REF!</definedName>
    <definedName name="_nyy316">#REF!</definedName>
    <definedName name="_nyy3185">#REF!</definedName>
    <definedName name="_nyy3240">#REF!</definedName>
    <definedName name="_nyy325">#REF!</definedName>
    <definedName name="_nyy335">#REF!</definedName>
    <definedName name="_nyy34">#REF!</definedName>
    <definedName name="_nyy350">#REF!</definedName>
    <definedName name="_nyy36">#REF!</definedName>
    <definedName name="_nyy370">#REF!</definedName>
    <definedName name="_nyy395">#REF!</definedName>
    <definedName name="_nyy410">#REF!</definedName>
    <definedName name="_nyy41010">#REF!</definedName>
    <definedName name="_nyy4120">#REF!</definedName>
    <definedName name="_nyy412050">#REF!</definedName>
    <definedName name="_nyy412070">#REF!</definedName>
    <definedName name="_nyy4150">#REF!</definedName>
    <definedName name="_nyy415070">#REF!</definedName>
    <definedName name="_nyy416">#REF!</definedName>
    <definedName name="_nyy41616">#REF!</definedName>
    <definedName name="_nyy4185">#REF!</definedName>
    <definedName name="_nyy4240">#REF!</definedName>
    <definedName name="_nyy425">#REF!</definedName>
    <definedName name="_nyy42525">#REF!</definedName>
    <definedName name="_nyy4300">#REF!</definedName>
    <definedName name="_nyy435">#REF!</definedName>
    <definedName name="_nyy43535">#REF!</definedName>
    <definedName name="_nyy44">#REF!</definedName>
    <definedName name="_nyy444">#REF!</definedName>
    <definedName name="_nyy450">#REF!</definedName>
    <definedName name="_nyy45050">#REF!</definedName>
    <definedName name="_nyy46">#REF!</definedName>
    <definedName name="_nyy466">#REF!</definedName>
    <definedName name="_nyy470">#REF!</definedName>
    <definedName name="_nyy47050">#REF!</definedName>
    <definedName name="_nyy47070">#REF!</definedName>
    <definedName name="_nyy495">#REF!</definedName>
    <definedName name="_nyy49570">#REF!</definedName>
    <definedName name="_O">#REF!</definedName>
    <definedName name="_Opa1">#REF!</definedName>
    <definedName name="_Opa2">#REF!</definedName>
    <definedName name="_Order1" hidden="1">255</definedName>
    <definedName name="_Order2" hidden="1">255</definedName>
    <definedName name="_P">#REF!</definedName>
    <definedName name="_PA1">#REF!</definedName>
    <definedName name="_PA10">#REF!</definedName>
    <definedName name="_pa11">'[22]Daftar Harga Upah dan Bahan'!$F$190</definedName>
    <definedName name="_pa12">#REF!</definedName>
    <definedName name="_pa13">'[22]Daftar Harga Upah dan Bahan'!$F$192</definedName>
    <definedName name="_PA2">#REF!</definedName>
    <definedName name="_PA3">#REF!</definedName>
    <definedName name="_PA4">#REF!</definedName>
    <definedName name="_PA5">#REF!</definedName>
    <definedName name="_PA6">#REF!</definedName>
    <definedName name="_PA7">#REF!</definedName>
    <definedName name="_PA8">#REF!</definedName>
    <definedName name="_PA9">#REF!</definedName>
    <definedName name="_pab100">#REF!</definedName>
    <definedName name="_pab101">#REF!</definedName>
    <definedName name="_pab125">#REF!</definedName>
    <definedName name="_pab126">#REF!</definedName>
    <definedName name="_pab15">#REF!</definedName>
    <definedName name="_pab150">#REF!</definedName>
    <definedName name="_pab2">#REF!</definedName>
    <definedName name="_pab20">#REF!</definedName>
    <definedName name="_pab25">#REF!</definedName>
    <definedName name="_pab32">#REF!</definedName>
    <definedName name="_pab4">#REF!</definedName>
    <definedName name="_pab40">#REF!</definedName>
    <definedName name="_pab50">#REF!</definedName>
    <definedName name="_pab6">#REF!</definedName>
    <definedName name="_pab65">#REF!</definedName>
    <definedName name="_pab80">#REF!</definedName>
    <definedName name="_PAC012">#REF!</definedName>
    <definedName name="_pah150">#REF!</definedName>
    <definedName name="_pak100">#REF!</definedName>
    <definedName name="_pak150">#REF!</definedName>
    <definedName name="_pak50">#REF!</definedName>
    <definedName name="_pak80">#REF!</definedName>
    <definedName name="_pal2828">#REF!</definedName>
    <definedName name="_pam120">#REF!</definedName>
    <definedName name="_pan1">#REF!</definedName>
    <definedName name="_pan2">#REF!</definedName>
    <definedName name="_Parse_Out" hidden="1">#REF!</definedName>
    <definedName name="_pav8">#REF!</definedName>
    <definedName name="_paw10">'[29]BAG-III'!$J$309</definedName>
    <definedName name="_paw25">'[29]BAG-III'!$J$313</definedName>
    <definedName name="_paw40">'[29]BAG-III'!$J$312</definedName>
    <definedName name="_paw50">'[29]BAG-III'!$J$311</definedName>
    <definedName name="_paw65">'[29]BAG-III'!$J$310</definedName>
    <definedName name="_PB1">#REF!</definedName>
    <definedName name="_PB2">#REF!</definedName>
    <definedName name="_PB3">#REF!</definedName>
    <definedName name="_pb34">#REF!</definedName>
    <definedName name="_pb4">#REF!</definedName>
    <definedName name="_pbc66">#REF!</definedName>
    <definedName name="_pbc81">#REF!</definedName>
    <definedName name="_pbf3">#REF!</definedName>
    <definedName name="_pbf4">#REF!</definedName>
    <definedName name="_PBK175">#REF!</definedName>
    <definedName name="_PBK225">#REF!</definedName>
    <definedName name="_pbs100">#REF!</definedName>
    <definedName name="_pbs101">#REF!</definedName>
    <definedName name="_pbs15">#REF!</definedName>
    <definedName name="_pbs150">#REF!</definedName>
    <definedName name="_pbs151">#REF!</definedName>
    <definedName name="_pbs16">#REF!</definedName>
    <definedName name="_pbs40">#REF!</definedName>
    <definedName name="_pbs41">#REF!</definedName>
    <definedName name="_pbs50">#REF!</definedName>
    <definedName name="_pbs51">#REF!</definedName>
    <definedName name="_pbs65">#REF!</definedName>
    <definedName name="_pbs80">#REF!</definedName>
    <definedName name="_pc1">#REF!</definedName>
    <definedName name="_pc10">#REF!</definedName>
    <definedName name="_pc12">#REF!</definedName>
    <definedName name="_pc2">#REF!</definedName>
    <definedName name="_pc3">#REF!</definedName>
    <definedName name="_pc4">#REF!</definedName>
    <definedName name="_PC450">#REF!</definedName>
    <definedName name="_pc5">#REF!</definedName>
    <definedName name="_pc50">#REF!</definedName>
    <definedName name="_pc6">#REF!</definedName>
    <definedName name="_PC600">#REF!</definedName>
    <definedName name="_pc8">#REF!</definedName>
    <definedName name="_pc80">#REF!</definedName>
    <definedName name="_PCD10">#REF!</definedName>
    <definedName name="_PCD3">#REF!</definedName>
    <definedName name="_PCD6">#REF!</definedName>
    <definedName name="_PCD8">#REF!</definedName>
    <definedName name="_pcf10">#REF!</definedName>
    <definedName name="_pcf12">#REF!</definedName>
    <definedName name="_pcf3">#REF!</definedName>
    <definedName name="_pcf4">#REF!</definedName>
    <definedName name="_pcf5">#REF!</definedName>
    <definedName name="_pcf6">#REF!</definedName>
    <definedName name="_pcf8">#REF!</definedName>
    <definedName name="_pcf80">#REF!</definedName>
    <definedName name="_PCI25">#REF!</definedName>
    <definedName name="_pd1">#REF!</definedName>
    <definedName name="_pd2">#REF!</definedName>
    <definedName name="_pd3">#REF!</definedName>
    <definedName name="_pdf3">#REF!</definedName>
    <definedName name="_pek1">[28]upah!$D$14</definedName>
    <definedName name="_pek2">[28]upah!$D$15</definedName>
    <definedName name="_pek3">[28]upah!$D$16</definedName>
    <definedName name="_per1">'[40]Har-mat'!#REF!</definedName>
    <definedName name="_pf18">#REF!</definedName>
    <definedName name="_ph100">#REF!</definedName>
    <definedName name="_ph150">#REF!</definedName>
    <definedName name="_phf100">#REF!</definedName>
    <definedName name="_phf150">#REF!</definedName>
    <definedName name="_PJ2">#REF!</definedName>
    <definedName name="_PJ3">#REF!</definedName>
    <definedName name="_PJA1">#REF!</definedName>
    <definedName name="_PJA2">#REF!</definedName>
    <definedName name="_PJA3">#REF!</definedName>
    <definedName name="_PJA4">#REF!</definedName>
    <definedName name="_PJA6">#REF!</definedName>
    <definedName name="_pk13">'[21]Harga Satuan Bahan'!$E$120</definedName>
    <definedName name="_pk47">'[21]Harga Satuan Bahan'!$E$121</definedName>
    <definedName name="_pk8">'[21]Harga Satuan Bahan'!$E$122</definedName>
    <definedName name="_PL1">#REF!</definedName>
    <definedName name="_PL2">#REF!</definedName>
    <definedName name="_PL3">#REF!</definedName>
    <definedName name="_pl4">'[41]Kolom UT'!#REF!</definedName>
    <definedName name="_pl6">'[41]Kolom UT'!#REF!</definedName>
    <definedName name="_pl8">'[41]Kolom UT'!#REF!</definedName>
    <definedName name="_ply4">#REF!</definedName>
    <definedName name="_ply6">#REF!</definedName>
    <definedName name="_ply9">#REF!</definedName>
    <definedName name="_pn20100">#REF!</definedName>
    <definedName name="_pn2015">#REF!</definedName>
    <definedName name="_pn20150">#REF!</definedName>
    <definedName name="_pn2020">#REF!</definedName>
    <definedName name="_pn2025">#REF!</definedName>
    <definedName name="_pn2032">#REF!</definedName>
    <definedName name="_pn2040">#REF!</definedName>
    <definedName name="_pn2050">#REF!</definedName>
    <definedName name="_pn2065">#REF!</definedName>
    <definedName name="_pn2080">#REF!</definedName>
    <definedName name="_po1000">#REF!</definedName>
    <definedName name="_por4040">#REF!</definedName>
    <definedName name="_ppn1">#REF!</definedName>
    <definedName name="_PPRA3_N69_AGPQ">#REF!</definedName>
    <definedName name="_PPRA72_N138_AG">#REF!</definedName>
    <definedName name="_PPRAE77_AP139_">#REF!</definedName>
    <definedName name="_PPRAJ1_AT45_AG">#REF!</definedName>
    <definedName name="_PPRAR77_AZ139_">#REF!</definedName>
    <definedName name="_PPRBB77_BJ139_">#REF!</definedName>
    <definedName name="_PPRBL77_BS139_">#REF!</definedName>
    <definedName name="_PPRL77_U139_AG">#REF!</definedName>
    <definedName name="_PPRT77_AA139_A">#REF!</definedName>
    <definedName name="_PPRZ1_AH49_AGP">#REF!</definedName>
    <definedName name="_ppy1710">#REF!</definedName>
    <definedName name="_PRC019">#REF!</definedName>
    <definedName name="_PS1">#REF!</definedName>
    <definedName name="_PS2">#REF!</definedName>
    <definedName name="_PSC052">#REF!</definedName>
    <definedName name="_PSC084">#REF!</definedName>
    <definedName name="_pv100">#REF!</definedName>
    <definedName name="_pv101">#REF!</definedName>
    <definedName name="_pv40">#REF!</definedName>
    <definedName name="_pv41">#REF!</definedName>
    <definedName name="_pv50">#REF!</definedName>
    <definedName name="_pv55">#REF!</definedName>
    <definedName name="_pv80">#REF!</definedName>
    <definedName name="_pv85">#REF!</definedName>
    <definedName name="_PVC05">#REF!</definedName>
    <definedName name="_pvc1">#REF!</definedName>
    <definedName name="_pvc100">#REF!</definedName>
    <definedName name="_pvc12">#REF!</definedName>
    <definedName name="_pvc150">#REF!</definedName>
    <definedName name="_PVC153">#REF!</definedName>
    <definedName name="_pvc2">#REF!</definedName>
    <definedName name="_pvc20">#REF!</definedName>
    <definedName name="_pvc200">#REF!</definedName>
    <definedName name="_pvc25">#REF!</definedName>
    <definedName name="_pvc3">#REF!</definedName>
    <definedName name="_pvc32">#REF!</definedName>
    <definedName name="_PVC34">#REF!</definedName>
    <definedName name="_pvc4">#REF!</definedName>
    <definedName name="_pvc40">#REF!</definedName>
    <definedName name="_pvc44">#REF!</definedName>
    <definedName name="_pvc50">#REF!</definedName>
    <definedName name="_pvc6">#N/A</definedName>
    <definedName name="_pvc65">#REF!</definedName>
    <definedName name="_pvc80">#REF!</definedName>
    <definedName name="_pvc804">"'file://SERVER3/har-data/STRUCTURE PRICE OF BQ KOMPAS GRAMEDIA.xls'#$analisa.$#REF!$#REF!"</definedName>
    <definedName name="_pvc805">"'file://SERVER3/har-data/STRUCTURE PRICE OF BQ KOMPAS GRAMEDIA.xls'#$analisa.$#REF!$#REF!"</definedName>
    <definedName name="_pvf100">#REF!</definedName>
    <definedName name="_pvf105">#REF!</definedName>
    <definedName name="_pvf80">#REF!</definedName>
    <definedName name="_pvf85">#REF!</definedName>
    <definedName name="_Q">#REF!</definedName>
    <definedName name="_Q_1">#REF!</definedName>
    <definedName name="_Q_1_1">#REF!</definedName>
    <definedName name="_Q_1_2_6">#REF!</definedName>
    <definedName name="_Q_1_4">#REF!</definedName>
    <definedName name="_Q_1_4_5">#REF!</definedName>
    <definedName name="_Q_1_5">#REF!</definedName>
    <definedName name="_Q_1_6">#REF!</definedName>
    <definedName name="_Q_1_6_5">#REF!</definedName>
    <definedName name="_Q_1_7">#REF!</definedName>
    <definedName name="_Q_1_7_5">#REF!</definedName>
    <definedName name="_Q_10">#REF!</definedName>
    <definedName name="_Q_11">#REF!</definedName>
    <definedName name="_Q_12">#REF!</definedName>
    <definedName name="_Q_13">#REF!</definedName>
    <definedName name="_Q_14">#REF!</definedName>
    <definedName name="_Q_14_15">#REF!</definedName>
    <definedName name="_Q_14_15_1">#REF!</definedName>
    <definedName name="_Q_14_15_16">#REF!</definedName>
    <definedName name="_Q_14_15_7">#REF!</definedName>
    <definedName name="_Q_14_16">#REF!</definedName>
    <definedName name="_Q_14_8">#REF!</definedName>
    <definedName name="_Q_14_9">#REF!</definedName>
    <definedName name="_Q_15">#REF!</definedName>
    <definedName name="_Q_15_1">#REF!</definedName>
    <definedName name="_Q_15_16">#REF!</definedName>
    <definedName name="_Q_15_7">#REF!</definedName>
    <definedName name="_Q_16">#REF!</definedName>
    <definedName name="_Q_16_1">#REF!</definedName>
    <definedName name="_Q_2">#REF!</definedName>
    <definedName name="_Q_2_1">#REF!</definedName>
    <definedName name="_Q_2_1_1">#REF!</definedName>
    <definedName name="_Q_2_1_6">#REF!</definedName>
    <definedName name="_Q_2_10">#REF!</definedName>
    <definedName name="_Q_2_11">#REF!</definedName>
    <definedName name="_Q_2_12">#REF!</definedName>
    <definedName name="_Q_2_13">#REF!</definedName>
    <definedName name="_Q_2_2">#REF!</definedName>
    <definedName name="_Q_2_7">#REF!</definedName>
    <definedName name="_Q_2_7_5">#REF!</definedName>
    <definedName name="_Q_2_9">#REF!</definedName>
    <definedName name="_Q_22">#REF!</definedName>
    <definedName name="_Q_3">#REF!</definedName>
    <definedName name="_Q_3_4">#REF!</definedName>
    <definedName name="_Q_3_4_5">#REF!</definedName>
    <definedName name="_Q_3_5">#REF!</definedName>
    <definedName name="_Q_3_6">#REF!</definedName>
    <definedName name="_Q_3_6_5">#REF!</definedName>
    <definedName name="_Q_3_7">#REF!</definedName>
    <definedName name="_Q_3_7_5">#REF!</definedName>
    <definedName name="_Q_4">#REF!</definedName>
    <definedName name="_Q_4_1">#REF!</definedName>
    <definedName name="_Q_4_1_5">#REF!</definedName>
    <definedName name="_Q_4_1_6">#REF!</definedName>
    <definedName name="_Q_4_10">#REF!</definedName>
    <definedName name="_Q_4_11">#REF!</definedName>
    <definedName name="_Q_4_12">#REF!</definedName>
    <definedName name="_Q_4_13">#REF!</definedName>
    <definedName name="_Q_4_2_6">#REF!</definedName>
    <definedName name="_Q_4_3">#REF!</definedName>
    <definedName name="_Q_4_3_10">#REF!</definedName>
    <definedName name="_Q_4_3_11">#REF!</definedName>
    <definedName name="_Q_4_3_12">#REF!</definedName>
    <definedName name="_Q_4_3_13">#REF!</definedName>
    <definedName name="_Q_4_3_5">#REF!</definedName>
    <definedName name="_Q_4_3_6">#REF!</definedName>
    <definedName name="_Q_4_3_7">#REF!</definedName>
    <definedName name="_Q_4_3_7_5">#REF!</definedName>
    <definedName name="_Q_4_3_9">#REF!</definedName>
    <definedName name="_Q_4_5">#REF!</definedName>
    <definedName name="_Q_4_6">#REF!</definedName>
    <definedName name="_Q_4_6_1">#REF!</definedName>
    <definedName name="_Q_4_6_1_5">#REF!</definedName>
    <definedName name="_Q_4_6_10">#REF!</definedName>
    <definedName name="_Q_4_6_11">#REF!</definedName>
    <definedName name="_Q_4_6_12">#REF!</definedName>
    <definedName name="_Q_4_6_13">#REF!</definedName>
    <definedName name="_Q_4_6_5">#REF!</definedName>
    <definedName name="_Q_4_6_6">#REF!</definedName>
    <definedName name="_Q_4_6_7">#REF!</definedName>
    <definedName name="_Q_4_6_9">#REF!</definedName>
    <definedName name="_Q_4_7">#REF!</definedName>
    <definedName name="_Q_4_7_5">#REF!</definedName>
    <definedName name="_Q_4_8">#REF!</definedName>
    <definedName name="_Q_4_9">#REF!</definedName>
    <definedName name="_Q_5">#REF!</definedName>
    <definedName name="_Q_5_15">#REF!</definedName>
    <definedName name="_Q_5_15_1">#REF!</definedName>
    <definedName name="_Q_5_15_16">#REF!</definedName>
    <definedName name="_Q_5_15_7">#REF!</definedName>
    <definedName name="_Q_5_16">#REF!</definedName>
    <definedName name="_Q_5_2">#REF!</definedName>
    <definedName name="_Q_5_2_6">#REF!</definedName>
    <definedName name="_Q_5_4">#REF!</definedName>
    <definedName name="_Q_5_4_5">#REF!</definedName>
    <definedName name="_Q_5_5">#REF!</definedName>
    <definedName name="_Q_5_6">#REF!</definedName>
    <definedName name="_Q_5_6_5">#REF!</definedName>
    <definedName name="_Q_5_7">#REF!</definedName>
    <definedName name="_Q_5_7_5">#REF!</definedName>
    <definedName name="_Q_5_8">#REF!</definedName>
    <definedName name="_Q_5_9">#REF!</definedName>
    <definedName name="_Q_6">#REF!</definedName>
    <definedName name="_Q_6_1">#REF!</definedName>
    <definedName name="_Q_6_1_5">#REF!</definedName>
    <definedName name="_Q_6_15">#REF!</definedName>
    <definedName name="_Q_6_15_1">#REF!</definedName>
    <definedName name="_Q_6_15_16">#REF!</definedName>
    <definedName name="_Q_6_15_7">#REF!</definedName>
    <definedName name="_Q_6_16">#REF!</definedName>
    <definedName name="_Q_6_2">#REF!</definedName>
    <definedName name="_Q_6_4">#REF!</definedName>
    <definedName name="_Q_6_4_5">#REF!</definedName>
    <definedName name="_Q_6_5">#REF!</definedName>
    <definedName name="_Q_6_6">#REF!</definedName>
    <definedName name="_Q_6_6_5">#REF!</definedName>
    <definedName name="_Q_6_7">#REF!</definedName>
    <definedName name="_Q_6_8">#REF!</definedName>
    <definedName name="_Q_6_9">#REF!</definedName>
    <definedName name="_Q_7">#REF!</definedName>
    <definedName name="_Q_7_1">#REF!</definedName>
    <definedName name="_Q_7_10">#REF!</definedName>
    <definedName name="_Q_7_11">#REF!</definedName>
    <definedName name="_Q_7_12">#REF!</definedName>
    <definedName name="_Q_7_13">#REF!</definedName>
    <definedName name="_Q_7_15">#REF!</definedName>
    <definedName name="_Q_7_15_1">#REF!</definedName>
    <definedName name="_Q_7_15_16">#REF!</definedName>
    <definedName name="_Q_7_15_7">#REF!</definedName>
    <definedName name="_Q_7_16">#REF!</definedName>
    <definedName name="_Q_7_8">#REF!</definedName>
    <definedName name="_Q_7_9">#REF!</definedName>
    <definedName name="_Q_9">#REF!</definedName>
    <definedName name="_Q2" hidden="1">{"'Overflow Tank '!$A$1:$Q$58"}</definedName>
    <definedName name="_Qe2">#REF!</definedName>
    <definedName name="_qmd15">#REF!</definedName>
    <definedName name="_qmd20">#REF!</definedName>
    <definedName name="_QS1">#REF!</definedName>
    <definedName name="_QS10">#REF!</definedName>
    <definedName name="_QS11">#REF!</definedName>
    <definedName name="_QS12">#REF!</definedName>
    <definedName name="_QS13">#REF!</definedName>
    <definedName name="_QS14">#REF!</definedName>
    <definedName name="_QS15">#REF!</definedName>
    <definedName name="_QS16">#REF!</definedName>
    <definedName name="_QS17">#REF!</definedName>
    <definedName name="_QS18">#REF!</definedName>
    <definedName name="_QS19">#REF!</definedName>
    <definedName name="_QS2">#REF!</definedName>
    <definedName name="_QS20">#REF!</definedName>
    <definedName name="_QS21">#REF!</definedName>
    <definedName name="_QS3">#REF!</definedName>
    <definedName name="_QS4">#REF!</definedName>
    <definedName name="_QS5">#REF!</definedName>
    <definedName name="_QS6">#REF!</definedName>
    <definedName name="_QS7">#REF!</definedName>
    <definedName name="_QS8">#REF!</definedName>
    <definedName name="_QS9">#REF!</definedName>
    <definedName name="_qt74">#REF!</definedName>
    <definedName name="_R">#REF!</definedName>
    <definedName name="_RAB1">#REF!</definedName>
    <definedName name="_RAB2">#REF!</definedName>
    <definedName name="_RAB3">#REF!</definedName>
    <definedName name="_RAB4">#REF!</definedName>
    <definedName name="_RAB5">#REF!</definedName>
    <definedName name="_rd1">#REF!</definedName>
    <definedName name="_rd2">#REF!</definedName>
    <definedName name="_rd3">#REF!</definedName>
    <definedName name="_rd4">#REF!</definedName>
    <definedName name="_rd6">#REF!</definedName>
    <definedName name="_rd8">#REF!</definedName>
    <definedName name="_rdd100">#REF!</definedName>
    <definedName name="_rdd150">#REF!</definedName>
    <definedName name="_Regression_Int" hidden="1">1</definedName>
    <definedName name="_Regression_X" hidden="1">#REF!</definedName>
    <definedName name="_rek1">#REF!</definedName>
    <definedName name="_REK2">[42]RAB!#REF!</definedName>
    <definedName name="_rk100">#REF!</definedName>
    <definedName name="_rk150">#REF!</definedName>
    <definedName name="_rk200">#REF!</definedName>
    <definedName name="_rk300">#REF!</definedName>
    <definedName name="_rk400">#REF!</definedName>
    <definedName name="_rk500">#REF!</definedName>
    <definedName name="_rk600">#REF!</definedName>
    <definedName name="_rkl1000">#REF!</definedName>
    <definedName name="_rkl1200">#REF!</definedName>
    <definedName name="_rkl200">#REF!</definedName>
    <definedName name="_rkl300">#REF!</definedName>
    <definedName name="_rkl400">#REF!</definedName>
    <definedName name="_rkl500">#REF!</definedName>
    <definedName name="_rkl600">#REF!</definedName>
    <definedName name="_rkl700">#REF!</definedName>
    <definedName name="_rkl800">#REF!</definedName>
    <definedName name="_RM100">#REF!</definedName>
    <definedName name="_RM175">#REF!</definedName>
    <definedName name="_RM225">#REF!</definedName>
    <definedName name="_RM300">#REF!</definedName>
    <definedName name="_RM350">#REF!</definedName>
    <definedName name="_RM400">#REF!</definedName>
    <definedName name="_Rmo136">[39]Electrikal!#REF!</definedName>
    <definedName name="_Rmo236">[39]Electrikal!#REF!</definedName>
    <definedName name="_RNCTOTVB">[36]STR!#REF!</definedName>
    <definedName name="_rst20">'[21]Harga Satuan Bahan'!#REF!</definedName>
    <definedName name="_rst30">'[21]Harga Satuan Bahan'!#REF!</definedName>
    <definedName name="_S" hidden="1">#REF!</definedName>
    <definedName name="_S_1">#REF!</definedName>
    <definedName name="_S_1_1">#REF!</definedName>
    <definedName name="_S_1_10">#REF!</definedName>
    <definedName name="_S_1_11">#REF!</definedName>
    <definedName name="_S_1_12">#REF!</definedName>
    <definedName name="_S_1_13">#REF!</definedName>
    <definedName name="_S_1_3">#REF!</definedName>
    <definedName name="_S_1_3_10">#REF!</definedName>
    <definedName name="_S_1_3_11">#REF!</definedName>
    <definedName name="_S_1_3_12">#REF!</definedName>
    <definedName name="_S_1_3_13">#REF!</definedName>
    <definedName name="_S_1_3_5">#REF!</definedName>
    <definedName name="_S_1_3_6">#REF!</definedName>
    <definedName name="_S_1_3_7">#REF!</definedName>
    <definedName name="_S_1_3_7_5">#REF!</definedName>
    <definedName name="_S_1_3_9">#REF!</definedName>
    <definedName name="_S_1_4">#REF!</definedName>
    <definedName name="_S_1_4_5">#REF!</definedName>
    <definedName name="_S_1_5">#REF!</definedName>
    <definedName name="_S_1_6">#REF!</definedName>
    <definedName name="_S_1_6_1">#REF!</definedName>
    <definedName name="_S_1_6_1_5">#REF!</definedName>
    <definedName name="_S_1_6_10">#REF!</definedName>
    <definedName name="_S_1_6_11">#REF!</definedName>
    <definedName name="_S_1_6_12">#REF!</definedName>
    <definedName name="_S_1_6_13">#REF!</definedName>
    <definedName name="_S_1_6_5">#REF!</definedName>
    <definedName name="_S_1_6_6">#REF!</definedName>
    <definedName name="_S_1_6_7">#REF!</definedName>
    <definedName name="_S_1_6_7_5">#REF!</definedName>
    <definedName name="_S_1_6_9">#REF!</definedName>
    <definedName name="_S_1_7">#REF!</definedName>
    <definedName name="_S_1_7_5">#REF!</definedName>
    <definedName name="_S_1_9">#REF!</definedName>
    <definedName name="_S_10">#REF!</definedName>
    <definedName name="_S_10_2">#REF!</definedName>
    <definedName name="_S_10_3">#REF!</definedName>
    <definedName name="_S_11">#REF!</definedName>
    <definedName name="_S_11_2">#REF!</definedName>
    <definedName name="_S_11_3">#REF!</definedName>
    <definedName name="_S_12">#REF!</definedName>
    <definedName name="_S_12_2">#REF!</definedName>
    <definedName name="_S_12_3">#REF!</definedName>
    <definedName name="_S_13">#REF!</definedName>
    <definedName name="_S_14">#REF!</definedName>
    <definedName name="_S_14_15">#REF!</definedName>
    <definedName name="_S_14_15_1">#REF!</definedName>
    <definedName name="_S_14_15_16">#REF!</definedName>
    <definedName name="_S_14_15_7">#REF!</definedName>
    <definedName name="_S_14_16">#REF!</definedName>
    <definedName name="_S_14_8">#REF!</definedName>
    <definedName name="_S_14_9">#REF!</definedName>
    <definedName name="_S_15">#REF!</definedName>
    <definedName name="_S_15_1">#REF!</definedName>
    <definedName name="_S_15_16">#REF!</definedName>
    <definedName name="_S_15_7">#REF!</definedName>
    <definedName name="_S_16">#REF!</definedName>
    <definedName name="_S_16_1">#REF!</definedName>
    <definedName name="_S_2">#REF!</definedName>
    <definedName name="_S_2_1">#REF!</definedName>
    <definedName name="_S_2_1_1">#REF!</definedName>
    <definedName name="_S_2_1_6">#REF!</definedName>
    <definedName name="_S_2_10">#REF!</definedName>
    <definedName name="_S_2_11">#REF!</definedName>
    <definedName name="_S_2_12">#REF!</definedName>
    <definedName name="_S_2_13">#REF!</definedName>
    <definedName name="_S_2_2">#REF!</definedName>
    <definedName name="_S_2_2_6">#REF!</definedName>
    <definedName name="_S_2_3">#REF!</definedName>
    <definedName name="_S_2_7">#REF!</definedName>
    <definedName name="_S_2_7_5">#REF!</definedName>
    <definedName name="_S_2_9">#REF!</definedName>
    <definedName name="_S_3">#REF!</definedName>
    <definedName name="_S_3_1">#REF!</definedName>
    <definedName name="_S_3_1_10">#REF!</definedName>
    <definedName name="_S_3_1_11">#REF!</definedName>
    <definedName name="_S_3_1_12">#REF!</definedName>
    <definedName name="_S_3_1_13">#REF!</definedName>
    <definedName name="_S_3_1_5">#REF!</definedName>
    <definedName name="_S_3_1_6">#REF!</definedName>
    <definedName name="_S_3_1_7">#REF!</definedName>
    <definedName name="_S_3_1_7_5">#REF!</definedName>
    <definedName name="_S_3_1_9">#REF!</definedName>
    <definedName name="_S_3_10">#REF!</definedName>
    <definedName name="_S_3_11">#REF!</definedName>
    <definedName name="_S_3_12">#REF!</definedName>
    <definedName name="_S_3_13">#REF!</definedName>
    <definedName name="_S_3_2">#REF!</definedName>
    <definedName name="_S_3_3">#REF!</definedName>
    <definedName name="_S_3_3_10">#REF!</definedName>
    <definedName name="_S_3_3_11">#REF!</definedName>
    <definedName name="_S_3_3_12">#REF!</definedName>
    <definedName name="_S_3_3_13">#REF!</definedName>
    <definedName name="_S_3_3_5">#REF!</definedName>
    <definedName name="_S_3_3_6">#REF!</definedName>
    <definedName name="_S_3_3_7">#REF!</definedName>
    <definedName name="_S_3_3_7_5">#REF!</definedName>
    <definedName name="_S_3_3_9">#REF!</definedName>
    <definedName name="_S_3_4">#REF!</definedName>
    <definedName name="_S_3_4_5">#REF!</definedName>
    <definedName name="_S_3_5">#REF!</definedName>
    <definedName name="_S_3_6">#REF!</definedName>
    <definedName name="_S_3_6_1">#REF!</definedName>
    <definedName name="_S_3_6_1_5">#REF!</definedName>
    <definedName name="_S_3_6_10">#REF!</definedName>
    <definedName name="_S_3_6_11">#REF!</definedName>
    <definedName name="_S_3_6_12">#REF!</definedName>
    <definedName name="_S_3_6_13">#REF!</definedName>
    <definedName name="_S_3_6_5">#REF!</definedName>
    <definedName name="_S_3_6_6">#REF!</definedName>
    <definedName name="_S_3_6_7">#REF!</definedName>
    <definedName name="_S_3_6_7_5">#REF!</definedName>
    <definedName name="_S_3_6_9">#REF!</definedName>
    <definedName name="_S_3_7">#REF!</definedName>
    <definedName name="_S_3_7_5">#REF!</definedName>
    <definedName name="_S_3_9">#REF!</definedName>
    <definedName name="_S_4">#REF!</definedName>
    <definedName name="_S_4_1">#REF!</definedName>
    <definedName name="_S_4_1_5">#REF!</definedName>
    <definedName name="_S_4_1_6">#REF!</definedName>
    <definedName name="_S_4_10">#REF!</definedName>
    <definedName name="_S_4_11">#REF!</definedName>
    <definedName name="_S_4_12">#REF!</definedName>
    <definedName name="_S_4_13">#REF!</definedName>
    <definedName name="_S_4_5">#REF!</definedName>
    <definedName name="_S_4_6">#REF!</definedName>
    <definedName name="_S_4_7">#REF!</definedName>
    <definedName name="_S_4_7_5">#REF!</definedName>
    <definedName name="_S_4_8">#REF!</definedName>
    <definedName name="_S_4_9">#REF!</definedName>
    <definedName name="_S_5">#REF!</definedName>
    <definedName name="_S_5_10">#REF!</definedName>
    <definedName name="_S_5_11">#REF!</definedName>
    <definedName name="_S_5_12">#REF!</definedName>
    <definedName name="_S_5_13">#REF!</definedName>
    <definedName name="_S_5_2">#REF!</definedName>
    <definedName name="_S_5_3">#REF!</definedName>
    <definedName name="_S_5_3_10">#REF!</definedName>
    <definedName name="_S_5_3_11">#REF!</definedName>
    <definedName name="_S_5_3_12">#REF!</definedName>
    <definedName name="_S_5_3_13">#REF!</definedName>
    <definedName name="_S_5_3_5">#REF!</definedName>
    <definedName name="_S_5_3_6">#REF!</definedName>
    <definedName name="_S_5_3_7">#REF!</definedName>
    <definedName name="_S_5_3_7_5">#REF!</definedName>
    <definedName name="_S_5_3_9">#REF!</definedName>
    <definedName name="_S_5_4">#REF!</definedName>
    <definedName name="_S_5_4_5">#REF!</definedName>
    <definedName name="_S_5_5">#REF!</definedName>
    <definedName name="_S_5_6">#REF!</definedName>
    <definedName name="_S_5_6_1">#REF!</definedName>
    <definedName name="_S_5_6_1_5">#REF!</definedName>
    <definedName name="_S_5_6_10">#REF!</definedName>
    <definedName name="_S_5_6_11">#REF!</definedName>
    <definedName name="_S_5_6_12">#REF!</definedName>
    <definedName name="_S_5_6_13">#REF!</definedName>
    <definedName name="_S_5_6_5">#REF!</definedName>
    <definedName name="_S_5_6_6">#REF!</definedName>
    <definedName name="_S_5_6_7">#REF!</definedName>
    <definedName name="_S_5_6_7_5">#REF!</definedName>
    <definedName name="_S_5_6_9">#REF!</definedName>
    <definedName name="_S_5_7">#REF!</definedName>
    <definedName name="_S_5_7_5">#REF!</definedName>
    <definedName name="_S_5_9">#REF!</definedName>
    <definedName name="_S_6">#REF!</definedName>
    <definedName name="_S_6_1">#REF!</definedName>
    <definedName name="_S_6_1_5">#REF!</definedName>
    <definedName name="_S_6_10">#REF!</definedName>
    <definedName name="_S_6_11">#REF!</definedName>
    <definedName name="_S_6_12">#REF!</definedName>
    <definedName name="_S_6_13">#REF!</definedName>
    <definedName name="_S_6_2">#REF!</definedName>
    <definedName name="_S_6_4">#REF!</definedName>
    <definedName name="_S_6_4_5">#REF!</definedName>
    <definedName name="_S_6_5">#REF!</definedName>
    <definedName name="_S_6_6">#REF!</definedName>
    <definedName name="_S_6_6_5">#REF!</definedName>
    <definedName name="_S_6_7">#REF!</definedName>
    <definedName name="_S_6_7_5">#REF!</definedName>
    <definedName name="_S_6_9">#REF!</definedName>
    <definedName name="_S_7">#REF!</definedName>
    <definedName name="_S_7_1">#REF!</definedName>
    <definedName name="_S_7_10">#REF!</definedName>
    <definedName name="_S_7_11">#REF!</definedName>
    <definedName name="_S_7_12">#REF!</definedName>
    <definedName name="_S_7_13">#REF!</definedName>
    <definedName name="_S_7_2">#REF!</definedName>
    <definedName name="_S_7_3">#REF!</definedName>
    <definedName name="_S_8">#REF!</definedName>
    <definedName name="_S_9">#REF!</definedName>
    <definedName name="_sad1010">#REF!</definedName>
    <definedName name="_sad1212">#REF!</definedName>
    <definedName name="_sad1414">#REF!</definedName>
    <definedName name="_sad1717">#REF!</definedName>
    <definedName name="_sad266">#REF!</definedName>
    <definedName name="_sad88">#REF!</definedName>
    <definedName name="_sc1">#REF!</definedName>
    <definedName name="_SC2">#REF!</definedName>
    <definedName name="_sc3">#REF!</definedName>
    <definedName name="_SFL1">#REF!</definedName>
    <definedName name="_SFL2">#REF!</definedName>
    <definedName name="_SFL3">#REF!</definedName>
    <definedName name="_SFM1">#REF!</definedName>
    <definedName name="_SFM2">#REF!</definedName>
    <definedName name="_SFM3">#REF!</definedName>
    <definedName name="_SFM4">#REF!</definedName>
    <definedName name="_SFM5">#REF!</definedName>
    <definedName name="_SFM6">#REF!</definedName>
    <definedName name="_SFM7">#REF!</definedName>
    <definedName name="_SFQ1">#REF!</definedName>
    <definedName name="_SFQ2">#REF!</definedName>
    <definedName name="_SFQ3">#REF!</definedName>
    <definedName name="_SFQ4">#REF!</definedName>
    <definedName name="_sfv150">#REF!</definedName>
    <definedName name="_sh1040">#REF!</definedName>
    <definedName name="_SHT2">#REF!</definedName>
    <definedName name="_SHT3">#REF!</definedName>
    <definedName name="_SL18">#REF!</definedName>
    <definedName name="_SL23">#REF!</definedName>
    <definedName name="_SL36">#REF!</definedName>
    <definedName name="_SM175">#REF!</definedName>
    <definedName name="_sn1020">#REF!</definedName>
    <definedName name="_SN3">#REF!</definedName>
    <definedName name="_Sort" hidden="1">#REF!</definedName>
    <definedName name="_Spl12">#REF!</definedName>
    <definedName name="_Spl23">#REF!</definedName>
    <definedName name="_Spl57">#REF!</definedName>
    <definedName name="_srt2">#REF!</definedName>
    <definedName name="_st1">#REF!</definedName>
    <definedName name="_st2">#REF!</definedName>
    <definedName name="_st3">#REF!</definedName>
    <definedName name="_std100">#REF!</definedName>
    <definedName name="_std150">#REF!</definedName>
    <definedName name="_std2">#REF!</definedName>
    <definedName name="_std3">#REF!</definedName>
    <definedName name="_std4">#REF!</definedName>
    <definedName name="_std50">#REF!</definedName>
    <definedName name="_std65">#REF!</definedName>
    <definedName name="_str01">#REF!</definedName>
    <definedName name="_str02">#REF!</definedName>
    <definedName name="_str03">#REF!</definedName>
    <definedName name="_str04">#REF!</definedName>
    <definedName name="_str05">#REF!</definedName>
    <definedName name="_str06">#REF!</definedName>
    <definedName name="_str07">#REF!</definedName>
    <definedName name="_str08">#REF!</definedName>
    <definedName name="_str09">#REF!</definedName>
    <definedName name="_str1">'[40]Har-mat'!#REF!</definedName>
    <definedName name="_str10">#REF!</definedName>
    <definedName name="_str100">#REF!</definedName>
    <definedName name="_str11">#REF!</definedName>
    <definedName name="_str12">#REF!</definedName>
    <definedName name="_str13">#REF!</definedName>
    <definedName name="_str14">#REF!</definedName>
    <definedName name="_str15">#REF!</definedName>
    <definedName name="_str16">#REF!</definedName>
    <definedName name="_str17">#REF!</definedName>
    <definedName name="_str18">#REF!</definedName>
    <definedName name="_str19">#REF!</definedName>
    <definedName name="_STR2" hidden="1">{#N/A,#N/A,FALSE,"REK-S-TPL";#N/A,#N/A,FALSE,"REK-TPML";#N/A,#N/A,FALSE,"RAB-TEMPEL"}</definedName>
    <definedName name="_str20">#REF!</definedName>
    <definedName name="_str201">#REF!</definedName>
    <definedName name="_str21">#REF!</definedName>
    <definedName name="_str22">#REF!</definedName>
    <definedName name="_str23">#REF!</definedName>
    <definedName name="_str24">#REF!</definedName>
    <definedName name="_str25">#REF!</definedName>
    <definedName name="_str26">#REF!</definedName>
    <definedName name="_str27">#REF!</definedName>
    <definedName name="_str28">#REF!</definedName>
    <definedName name="_str29">#REF!</definedName>
    <definedName name="_str30">#REF!</definedName>
    <definedName name="_str31">#REF!</definedName>
    <definedName name="_str32">#REF!</definedName>
    <definedName name="_str33">#REF!</definedName>
    <definedName name="_str34">#REF!</definedName>
    <definedName name="_str35">#REF!</definedName>
    <definedName name="_str36">#REF!</definedName>
    <definedName name="_str37">#REF!</definedName>
    <definedName name="_str38">#REF!</definedName>
    <definedName name="_str39">#REF!</definedName>
    <definedName name="_str40">#REF!</definedName>
    <definedName name="_str41">#REF!</definedName>
    <definedName name="_str42">#REF!</definedName>
    <definedName name="_str43">#REF!</definedName>
    <definedName name="_str44">#REF!</definedName>
    <definedName name="_str45">#REF!</definedName>
    <definedName name="_str46">#REF!</definedName>
    <definedName name="_str47">#REF!</definedName>
    <definedName name="_str48">#REF!</definedName>
    <definedName name="_str49">#REF!</definedName>
    <definedName name="_str50">#REF!</definedName>
    <definedName name="_str51">#REF!</definedName>
    <definedName name="_str52">#REF!</definedName>
    <definedName name="_str53">#REF!</definedName>
    <definedName name="_str54">#REF!</definedName>
    <definedName name="_str55">#REF!</definedName>
    <definedName name="_str56">#REF!</definedName>
    <definedName name="_str561">#REF!</definedName>
    <definedName name="_str57">#REF!</definedName>
    <definedName name="_str58">#REF!</definedName>
    <definedName name="_str59">#REF!</definedName>
    <definedName name="_str60">#REF!</definedName>
    <definedName name="_str61">#REF!</definedName>
    <definedName name="_str62">#REF!</definedName>
    <definedName name="_str63">#REF!</definedName>
    <definedName name="_str64">#REF!</definedName>
    <definedName name="_str65">#REF!</definedName>
    <definedName name="_str66">#REF!</definedName>
    <definedName name="_str67">#REF!</definedName>
    <definedName name="_str68">#REF!</definedName>
    <definedName name="_str69">#REF!</definedName>
    <definedName name="_str70">#REF!</definedName>
    <definedName name="_str71">#REF!</definedName>
    <definedName name="_str72">#REF!</definedName>
    <definedName name="_str73">#REF!</definedName>
    <definedName name="_str74">#REF!</definedName>
    <definedName name="_str75">#REF!</definedName>
    <definedName name="_str76">#REF!</definedName>
    <definedName name="_str77">#REF!</definedName>
    <definedName name="_str78">#REF!</definedName>
    <definedName name="_str79">#REF!</definedName>
    <definedName name="_str80">#REF!</definedName>
    <definedName name="_str81">#REF!</definedName>
    <definedName name="_str811">#REF!</definedName>
    <definedName name="_str812">#REF!</definedName>
    <definedName name="_str813">#REF!</definedName>
    <definedName name="_str82">#REF!</definedName>
    <definedName name="_str83">#REF!</definedName>
    <definedName name="_str84">#REF!</definedName>
    <definedName name="_str85">#REF!</definedName>
    <definedName name="_str86">#REF!</definedName>
    <definedName name="_str87">#REF!</definedName>
    <definedName name="_str88">#REF!</definedName>
    <definedName name="_str89">#REF!</definedName>
    <definedName name="_str90">#REF!</definedName>
    <definedName name="_str91">#REF!</definedName>
    <definedName name="_str92">#REF!</definedName>
    <definedName name="_str93">#REF!</definedName>
    <definedName name="_str94">#REF!</definedName>
    <definedName name="_str95">#REF!</definedName>
    <definedName name="_str96">#REF!</definedName>
    <definedName name="_str97">#REF!</definedName>
    <definedName name="_str98">#REF!</definedName>
    <definedName name="_SUB1">#REF!</definedName>
    <definedName name="_SUB2">#REF!</definedName>
    <definedName name="_SUB3">#REF!</definedName>
    <definedName name="_SUB4">#REF!</definedName>
    <definedName name="_SUB5">#REF!</definedName>
    <definedName name="_SUB6">#REF!</definedName>
    <definedName name="_SUB7">#REF!</definedName>
    <definedName name="_SUM1">#REF!</definedName>
    <definedName name="_SUM2">#REF!</definedName>
    <definedName name="_SUM3">#REF!</definedName>
    <definedName name="_T">#REF!</definedName>
    <definedName name="_TA01">#REF!</definedName>
    <definedName name="_TA67">#REF!</definedName>
    <definedName name="_TA78">#REF!</definedName>
    <definedName name="_TA89">#REF!</definedName>
    <definedName name="_TA90">#REF!</definedName>
    <definedName name="_Table1_In1" hidden="1">#REF!</definedName>
    <definedName name="_Table1_Out" hidden="1">#REF!</definedName>
    <definedName name="_Table2_In1" hidden="1">#REF!</definedName>
    <definedName name="_Table2_Out" hidden="1">#REF!</definedName>
    <definedName name="_tb100">#REF!</definedName>
    <definedName name="_tb12">#REF!</definedName>
    <definedName name="_tb9">#REF!</definedName>
    <definedName name="_Tbb1">#REF!</definedName>
    <definedName name="_Tbb2">#REF!</definedName>
    <definedName name="_Tbs1">#REF!</definedName>
    <definedName name="_Tbs2">#REF!</definedName>
    <definedName name="_Tbt1">#REF!</definedName>
    <definedName name="_Tbt2">#REF!</definedName>
    <definedName name="_TCa1">#REF!</definedName>
    <definedName name="_Tca2">#REF!</definedName>
    <definedName name="_Te1">#REF!</definedName>
    <definedName name="_tg20">'[21]Harga Satuan Bahan'!#REF!</definedName>
    <definedName name="_tg30">'[21]Harga Satuan Bahan'!#REF!</definedName>
    <definedName name="_tgl2">[9]Ch!$A$16</definedName>
    <definedName name="_th100">'[18]dongia (2)'!#REF!</definedName>
    <definedName name="_TH160">'[18]dongia (2)'!#REF!</definedName>
    <definedName name="_ti100">#REF!</definedName>
    <definedName name="_ti120">#REF!</definedName>
    <definedName name="_ti50">#REF!</definedName>
    <definedName name="_ti60">#REF!</definedName>
    <definedName name="_ti80">#REF!</definedName>
    <definedName name="_tk04">#REF!</definedName>
    <definedName name="_Tky1">#REF!</definedName>
    <definedName name="_Tky2">#REF!</definedName>
    <definedName name="_TL1">#REF!</definedName>
    <definedName name="_TL2">#REF!</definedName>
    <definedName name="_tl20">#REF!</definedName>
    <definedName name="_TL3">#REF!</definedName>
    <definedName name="_TLA120">#REF!</definedName>
    <definedName name="_TLA35">#REF!</definedName>
    <definedName name="_TLA50">#REF!</definedName>
    <definedName name="_TLA70">#REF!</definedName>
    <definedName name="_TLA95">#REF!</definedName>
    <definedName name="_tlc20">#REF!</definedName>
    <definedName name="_tok2">#REF!</definedName>
    <definedName name="_TOP2">#REF!</definedName>
    <definedName name="_Tpk03">#REF!</definedName>
    <definedName name="_Tpk04">#REF!</definedName>
    <definedName name="_Tpk06">#REF!</definedName>
    <definedName name="_TR1">#REF!</definedName>
    <definedName name="_TR250">'[18]dongia (2)'!#REF!</definedName>
    <definedName name="_tr375">[18]giathanh1!#REF!</definedName>
    <definedName name="_Ts1">#REF!</definedName>
    <definedName name="_tsI3">#N/A</definedName>
    <definedName name="_TSR3">[43]ANALISA!$J$1586</definedName>
    <definedName name="_tsv25">#REF!</definedName>
    <definedName name="_tv14">#REF!</definedName>
    <definedName name="_Twd04">#REF!</definedName>
    <definedName name="_U">#REF!</definedName>
    <definedName name="_UA1">'[22]Daftar Harga Upah dan Bahan'!$F$14</definedName>
    <definedName name="_ua15">'[22]Daftar Harga Upah dan Bahan'!$F$31</definedName>
    <definedName name="_UA2">'[22]Daftar Harga Upah dan Bahan'!$F$15</definedName>
    <definedName name="_UA3">'[22]Daftar Harga Upah dan Bahan'!$F$18</definedName>
    <definedName name="_UA4">'[22]Daftar Harga Upah dan Bahan'!$F$19</definedName>
    <definedName name="_UA5">'[22]Daftar Harga Upah dan Bahan'!$F$20</definedName>
    <definedName name="_UA6">'[22]Daftar Harga Upah dan Bahan'!$F$21</definedName>
    <definedName name="_UA7">'[22]Daftar Harga Upah dan Bahan'!$F$22</definedName>
    <definedName name="_UA8">'[22]Daftar Harga Upah dan Bahan'!$F$24</definedName>
    <definedName name="_UK225" localSheetId="7">'[33]Analisa pemkot'!#REF!</definedName>
    <definedName name="_UK225">'[33]Analisa pemkot'!#REF!</definedName>
    <definedName name="_UK350" localSheetId="7">'[33]Analisa pemkot'!#REF!</definedName>
    <definedName name="_UK350">'[33]Analisa pemkot'!#REF!</definedName>
    <definedName name="_uls60">#REF!</definedName>
    <definedName name="_up05">#N/A</definedName>
    <definedName name="_up10">"'file://SERVER3/har-data/STRUCTURE PRICE OF BQ KOMPAS GRAMEDIA.xls'#$analisa.$#REF!$#REF!"</definedName>
    <definedName name="_UP15">#N/A</definedName>
    <definedName name="_UP20">#N/A</definedName>
    <definedName name="_upn20100">#REF!</definedName>
    <definedName name="_upn2015">#REF!</definedName>
    <definedName name="_upn20150">#REF!</definedName>
    <definedName name="_upn2020">#REF!</definedName>
    <definedName name="_upn2025">#REF!</definedName>
    <definedName name="_upn2032">#REF!</definedName>
    <definedName name="_upn2040">#REF!</definedName>
    <definedName name="_upn2050">#REF!</definedName>
    <definedName name="_upn2065">#REF!</definedName>
    <definedName name="_upn2080">#REF!</definedName>
    <definedName name="_ups10">#REF!</definedName>
    <definedName name="_usd2">#REF!</definedName>
    <definedName name="_utd1">#REF!</definedName>
    <definedName name="_utd2">#REF!</definedName>
    <definedName name="_utd3">#REF!</definedName>
    <definedName name="_UUU01">#REF!</definedName>
    <definedName name="_UUU02">#REF!</definedName>
    <definedName name="_UUU03">#REF!</definedName>
    <definedName name="_V">#REF!</definedName>
    <definedName name="_vcd2">#REF!</definedName>
    <definedName name="_vcd3">#REF!</definedName>
    <definedName name="_vcd4">#REF!</definedName>
    <definedName name="_vd106">#REF!</definedName>
    <definedName name="_vd148">#REF!</definedName>
    <definedName name="_vd1810">#REF!</definedName>
    <definedName name="_vd2012">#REF!</definedName>
    <definedName name="_vd2014">#REF!</definedName>
    <definedName name="_vd2212">#REF!</definedName>
    <definedName name="_vd2612">#REF!</definedName>
    <definedName name="_vd44">#REF!</definedName>
    <definedName name="_vd66">#REF!</definedName>
    <definedName name="_vd86">#REF!</definedName>
    <definedName name="_VER1">#REF!</definedName>
    <definedName name="_VL100">#REF!</definedName>
    <definedName name="_VL200">#REF!</definedName>
    <definedName name="_VL250">#REF!</definedName>
    <definedName name="_vnt100">#REF!</definedName>
    <definedName name="_vnt40">#REF!</definedName>
    <definedName name="_vnt50">#REF!</definedName>
    <definedName name="_vnt80">#REF!</definedName>
    <definedName name="_W">#REF!</definedName>
    <definedName name="_W_1">#REF!</definedName>
    <definedName name="_W_1_1">#REF!</definedName>
    <definedName name="_W_15">#REF!</definedName>
    <definedName name="_W_15_1">#REF!</definedName>
    <definedName name="_W_15_16">#REF!</definedName>
    <definedName name="_W_15_7">#REF!</definedName>
    <definedName name="_W_16">#REF!</definedName>
    <definedName name="_W_16_1">#REF!</definedName>
    <definedName name="_W_2">#REF!</definedName>
    <definedName name="_W_2_10">#REF!</definedName>
    <definedName name="_W_2_11">#REF!</definedName>
    <definedName name="_W_2_12">#REF!</definedName>
    <definedName name="_W_2_13">#REF!</definedName>
    <definedName name="_W_2_9">#REF!</definedName>
    <definedName name="_W_3">#REF!</definedName>
    <definedName name="_W_4">#REF!</definedName>
    <definedName name="_W_4_6">#REF!</definedName>
    <definedName name="_W_5">#REF!</definedName>
    <definedName name="_W_6">#REF!</definedName>
    <definedName name="_W_7">#REF!</definedName>
    <definedName name="_W_9">#REF!</definedName>
    <definedName name="_wal01">#REF!</definedName>
    <definedName name="_wal02">#REF!</definedName>
    <definedName name="_wal03">#REF!</definedName>
    <definedName name="_wal04">#REF!</definedName>
    <definedName name="_wal05">#REF!</definedName>
    <definedName name="_wal06">#REF!</definedName>
    <definedName name="_wal07">#REF!</definedName>
    <definedName name="_wal08">#REF!</definedName>
    <definedName name="_wal09">#REF!</definedName>
    <definedName name="_wal10">#REF!</definedName>
    <definedName name="_wal100">#REF!</definedName>
    <definedName name="_wal101">#REF!</definedName>
    <definedName name="_wal102">#REF!</definedName>
    <definedName name="_wal103">#REF!</definedName>
    <definedName name="_wal104">#REF!</definedName>
    <definedName name="_wal105">#REF!</definedName>
    <definedName name="_wal106">#REF!</definedName>
    <definedName name="_wal11">#REF!</definedName>
    <definedName name="_wal111">#REF!</definedName>
    <definedName name="_wal12">#REF!</definedName>
    <definedName name="_wal13">#REF!</definedName>
    <definedName name="_wal14">#REF!</definedName>
    <definedName name="_wal15">#REF!</definedName>
    <definedName name="_wal16">#REF!</definedName>
    <definedName name="_wal17">#REF!</definedName>
    <definedName name="_wal18">#REF!</definedName>
    <definedName name="_wal19">#REF!</definedName>
    <definedName name="_wal20">#REF!</definedName>
    <definedName name="_wal21">#REF!</definedName>
    <definedName name="_wal22">#REF!</definedName>
    <definedName name="_wal23">#REF!</definedName>
    <definedName name="_wal24">#REF!</definedName>
    <definedName name="_wal25">#REF!</definedName>
    <definedName name="_wal26">#REF!</definedName>
    <definedName name="_wal27">#REF!</definedName>
    <definedName name="_wal28">#REF!</definedName>
    <definedName name="_wal29">#REF!</definedName>
    <definedName name="_wal30">#REF!</definedName>
    <definedName name="_wal31">#REF!</definedName>
    <definedName name="_wal32">#REF!</definedName>
    <definedName name="_wal33">#REF!</definedName>
    <definedName name="_wal34">#REF!</definedName>
    <definedName name="_wal35">#REF!</definedName>
    <definedName name="_wal36">#REF!</definedName>
    <definedName name="_wal37">#REF!</definedName>
    <definedName name="_wal38">#REF!</definedName>
    <definedName name="_wal39">#REF!</definedName>
    <definedName name="_wal40">#REF!</definedName>
    <definedName name="_wal41">#REF!</definedName>
    <definedName name="_wal42">#REF!</definedName>
    <definedName name="_wal43">#REF!</definedName>
    <definedName name="_wal44">#REF!</definedName>
    <definedName name="_wal45">#REF!</definedName>
    <definedName name="_wal46">#REF!</definedName>
    <definedName name="_wal47">#REF!</definedName>
    <definedName name="_wal48">#REF!</definedName>
    <definedName name="_wal49">#REF!</definedName>
    <definedName name="_wal50">#REF!</definedName>
    <definedName name="_wal51">#REF!</definedName>
    <definedName name="_wal52">#REF!</definedName>
    <definedName name="_wal53">#REF!</definedName>
    <definedName name="_wal54">#REF!</definedName>
    <definedName name="_wal55">#REF!</definedName>
    <definedName name="_wal56">#REF!</definedName>
    <definedName name="_wal57">#REF!</definedName>
    <definedName name="_wal58">#REF!</definedName>
    <definedName name="_wal59">#REF!</definedName>
    <definedName name="_wal60">#REF!</definedName>
    <definedName name="_wal601">#REF!</definedName>
    <definedName name="_wal602">#REF!</definedName>
    <definedName name="_wal61">#REF!</definedName>
    <definedName name="_wal62">#REF!</definedName>
    <definedName name="_wal63">#REF!</definedName>
    <definedName name="_wal64">#REF!</definedName>
    <definedName name="_wal65">#REF!</definedName>
    <definedName name="_wal66">#REF!</definedName>
    <definedName name="_wal67">#REF!</definedName>
    <definedName name="_wal68">#REF!</definedName>
    <definedName name="_wal69">#REF!</definedName>
    <definedName name="_wal70">#REF!</definedName>
    <definedName name="_wal71">#REF!</definedName>
    <definedName name="_wal72">#REF!</definedName>
    <definedName name="_wal73">#REF!</definedName>
    <definedName name="_wal74">#REF!</definedName>
    <definedName name="_wal75">#REF!</definedName>
    <definedName name="_wal76">#REF!</definedName>
    <definedName name="_wal77">#REF!</definedName>
    <definedName name="_wal78">#REF!</definedName>
    <definedName name="_wal79">#REF!</definedName>
    <definedName name="_wal80">#REF!</definedName>
    <definedName name="_wal81">#REF!</definedName>
    <definedName name="_wal82">#REF!</definedName>
    <definedName name="_wal83">#REF!</definedName>
    <definedName name="_wal84">#REF!</definedName>
    <definedName name="_wal85">#REF!</definedName>
    <definedName name="_wal86">#REF!</definedName>
    <definedName name="_wal87">#REF!</definedName>
    <definedName name="_wal88">#REF!</definedName>
    <definedName name="_wal89">#REF!</definedName>
    <definedName name="_wal90">#REF!</definedName>
    <definedName name="_wal91">#REF!</definedName>
    <definedName name="_wal92">#REF!</definedName>
    <definedName name="_wal93">#REF!</definedName>
    <definedName name="_wal94">#REF!</definedName>
    <definedName name="_wal95">#REF!</definedName>
    <definedName name="_wal96">#REF!</definedName>
    <definedName name="_wal97">#REF!</definedName>
    <definedName name="_wal98">#REF!</definedName>
    <definedName name="_wal99">#REF!</definedName>
    <definedName name="_WC1">#REF!</definedName>
    <definedName name="_WC2">#REF!</definedName>
    <definedName name="_WC3">#REF!</definedName>
    <definedName name="_we3">#REF!</definedName>
    <definedName name="_WF32">[27]Material!#REF!</definedName>
    <definedName name="_WF42">[27]Material!#REF!</definedName>
    <definedName name="_WGDPN1NL4_R200">#REF!</definedName>
    <definedName name="_WIR__D__WPRQ">#REF!</definedName>
    <definedName name="_WM420">#REF!</definedName>
    <definedName name="_wpc1015">#REF!</definedName>
    <definedName name="_WTC__HOME__">#REF!</definedName>
    <definedName name="_WXLU3_D19_H22_">#REF!</definedName>
    <definedName name="_x_6">#REF!</definedName>
    <definedName name="_XAF9">#REF!</definedName>
    <definedName name="_XAG2">#REF!</definedName>
    <definedName name="_XAG43">#REF!</definedName>
    <definedName name="_XAG50">#REF!</definedName>
    <definedName name="_XAG67">#REF!</definedName>
    <definedName name="_XAW2">#REF!</definedName>
    <definedName name="_XAW3">#REF!</definedName>
    <definedName name="_XAW4">#REF!</definedName>
    <definedName name="_XK010">#REF!</definedName>
    <definedName name="_XK011">#REF!</definedName>
    <definedName name="_XK012">#REF!</definedName>
    <definedName name="_XK013">#REF!</definedName>
    <definedName name="_XK014">#REF!</definedName>
    <definedName name="_XK016">#REF!</definedName>
    <definedName name="_XK017">#REF!</definedName>
    <definedName name="_XK018">#REF!</definedName>
    <definedName name="_XK020">#REF!</definedName>
    <definedName name="_XK023">#REF!</definedName>
    <definedName name="_XK024">#REF!</definedName>
    <definedName name="_XK025">#REF!</definedName>
    <definedName name="_XK026">#REF!</definedName>
    <definedName name="_XK030">#REF!</definedName>
    <definedName name="_XK035">#REF!</definedName>
    <definedName name="_XK040">#REF!</definedName>
    <definedName name="_XK110">#REF!</definedName>
    <definedName name="_XK111">#REF!</definedName>
    <definedName name="_XK112">#REF!</definedName>
    <definedName name="_XK113">#REF!</definedName>
    <definedName name="_XK114">#REF!</definedName>
    <definedName name="_XK115">#REF!</definedName>
    <definedName name="_XK116">#REF!</definedName>
    <definedName name="_XK117">#REF!</definedName>
    <definedName name="_XK118">#REF!</definedName>
    <definedName name="_xk12">#REF!</definedName>
    <definedName name="_XK121">#REF!</definedName>
    <definedName name="_XK122">#REF!</definedName>
    <definedName name="_XK123">#REF!</definedName>
    <definedName name="_XK124">#REF!</definedName>
    <definedName name="_XK125">#REF!</definedName>
    <definedName name="_xk126">#REF!</definedName>
    <definedName name="_XK131">#REF!</definedName>
    <definedName name="_XK132">#REF!</definedName>
    <definedName name="_XK139">#REF!</definedName>
    <definedName name="_XK140">#REF!</definedName>
    <definedName name="_XK158">#REF!</definedName>
    <definedName name="_XK175">#REF!</definedName>
    <definedName name="_XK210">#REF!</definedName>
    <definedName name="_XK211">#REF!</definedName>
    <definedName name="_XK220">#REF!</definedName>
    <definedName name="_XK221">#REF!</definedName>
    <definedName name="_XK224">#REF!</definedName>
    <definedName name="_XK225">#REF!</definedName>
    <definedName name="_XK230">#REF!</definedName>
    <definedName name="_XK231">#REF!</definedName>
    <definedName name="_XK232">#REF!</definedName>
    <definedName name="_XK233">#REF!</definedName>
    <definedName name="_XK310">#REF!</definedName>
    <definedName name="_XK311">#REF!</definedName>
    <definedName name="_XK320">#REF!</definedName>
    <definedName name="_XK321">#REF!</definedName>
    <definedName name="_xk324">#REF!</definedName>
    <definedName name="_XK341">#REF!</definedName>
    <definedName name="_XK342">#REF!</definedName>
    <definedName name="_XK410">#REF!</definedName>
    <definedName name="_XK411">#REF!</definedName>
    <definedName name="_XK421">#REF!</definedName>
    <definedName name="_XK422">#REF!</definedName>
    <definedName name="_XK424">#REF!</definedName>
    <definedName name="_XK510">#REF!</definedName>
    <definedName name="_XK511">#REF!</definedName>
    <definedName name="_XK512">#REF!</definedName>
    <definedName name="_XK513">#REF!</definedName>
    <definedName name="_XK514">#REF!</definedName>
    <definedName name="_XK515">#REF!</definedName>
    <definedName name="_XK516">#REF!</definedName>
    <definedName name="_XK520">#REF!</definedName>
    <definedName name="_XK521">#REF!</definedName>
    <definedName name="_XK522">#REF!</definedName>
    <definedName name="_XK523">#REF!</definedName>
    <definedName name="_XK612">#REF!</definedName>
    <definedName name="_XK615">#REF!</definedName>
    <definedName name="_XK618">#REF!</definedName>
    <definedName name="_XK636">#REF!</definedName>
    <definedName name="_XK638">#REF!</definedName>
    <definedName name="_xk639">#REF!</definedName>
    <definedName name="_XK705">#REF!</definedName>
    <definedName name="_XK710">#REF!</definedName>
    <definedName name="_XK715">#REF!</definedName>
    <definedName name="_XK719">#REF!</definedName>
    <definedName name="_XK720">#REF!</definedName>
    <definedName name="_XK722">#REF!</definedName>
    <definedName name="_XK725">#REF!</definedName>
    <definedName name="_XK726">#REF!</definedName>
    <definedName name="_xk730">#REF!</definedName>
    <definedName name="_XK810">#REF!</definedName>
    <definedName name="_XK815">#REF!</definedName>
    <definedName name="_XK855">#REF!</definedName>
    <definedName name="_XK865">#REF!</definedName>
    <definedName name="_Y">#REF!</definedName>
    <definedName name="_Z">#REF!</definedName>
    <definedName name="A" hidden="1">#REF!</definedName>
    <definedName name="A.">#REF!</definedName>
    <definedName name="A.01">#REF!</definedName>
    <definedName name="A.02">#REF!</definedName>
    <definedName name="A.03">#REF!</definedName>
    <definedName name="A.04">#REF!</definedName>
    <definedName name="A.05">#REF!</definedName>
    <definedName name="A.06">#REF!</definedName>
    <definedName name="A.07">#REF!</definedName>
    <definedName name="A.08">#REF!</definedName>
    <definedName name="A.09">#REF!</definedName>
    <definedName name="A.1">#REF!</definedName>
    <definedName name="A.1_30">#REF!</definedName>
    <definedName name="A.10">#REF!</definedName>
    <definedName name="A.101">#REF!</definedName>
    <definedName name="A.101.1">#REF!</definedName>
    <definedName name="A.101.10">#REF!</definedName>
    <definedName name="A.101.10B">#REF!</definedName>
    <definedName name="A.101.10E">#REF!</definedName>
    <definedName name="A.101.11">#REF!</definedName>
    <definedName name="A.101.11B">#REF!</definedName>
    <definedName name="A.101.11E">#REF!</definedName>
    <definedName name="A.101.12">#REF!</definedName>
    <definedName name="A.101.12B">#REF!</definedName>
    <definedName name="A.101.12E">#REF!</definedName>
    <definedName name="A.101.13">#REF!</definedName>
    <definedName name="A.101.13B">#REF!</definedName>
    <definedName name="A.101.13E">#REF!</definedName>
    <definedName name="A.101.14">#REF!</definedName>
    <definedName name="A.101.14B">#REF!</definedName>
    <definedName name="A.101.14E">#REF!</definedName>
    <definedName name="A.101.15">#REF!</definedName>
    <definedName name="A.101.15B">#REF!</definedName>
    <definedName name="A.101.15E">#REF!</definedName>
    <definedName name="A.101.16">#REF!</definedName>
    <definedName name="A.101.16B">#REF!</definedName>
    <definedName name="A.101.16E">#REF!</definedName>
    <definedName name="A.101.17">#REF!</definedName>
    <definedName name="A.101.17B">#REF!</definedName>
    <definedName name="A.101.17E">#REF!</definedName>
    <definedName name="A.101.18">#REF!</definedName>
    <definedName name="A.101.18B">#REF!</definedName>
    <definedName name="A.101.18E">#REF!</definedName>
    <definedName name="A.101.19">#REF!</definedName>
    <definedName name="A.101.19B">#REF!</definedName>
    <definedName name="A.101.19E">#REF!</definedName>
    <definedName name="A.101.1B">#REF!</definedName>
    <definedName name="A.101.1E">#REF!</definedName>
    <definedName name="A.101.2">#REF!</definedName>
    <definedName name="A.101.20">#REF!</definedName>
    <definedName name="A.101.20B">#REF!</definedName>
    <definedName name="A.101.20E">#REF!</definedName>
    <definedName name="A.101.21">#REF!</definedName>
    <definedName name="A.101.21B">#REF!</definedName>
    <definedName name="A.101.21E">#REF!</definedName>
    <definedName name="A.101.22">#REF!</definedName>
    <definedName name="A.101.22B">#REF!</definedName>
    <definedName name="A.101.22E">#REF!</definedName>
    <definedName name="A.101.23">#REF!</definedName>
    <definedName name="A.101.23B">#REF!</definedName>
    <definedName name="A.101.23E">#REF!</definedName>
    <definedName name="A.101.24">#REF!</definedName>
    <definedName name="A.101.24B">#REF!</definedName>
    <definedName name="A.101.24E">#REF!</definedName>
    <definedName name="A.101.2B">#REF!</definedName>
    <definedName name="A.101.2E">#REF!</definedName>
    <definedName name="A.101.3">#REF!</definedName>
    <definedName name="A.101.3B">#REF!</definedName>
    <definedName name="A.101.3E">#REF!</definedName>
    <definedName name="A.101.4">#REF!</definedName>
    <definedName name="A.101.4B">#REF!</definedName>
    <definedName name="A.101.4E">#REF!</definedName>
    <definedName name="A.101.5">#REF!</definedName>
    <definedName name="A.101.5B">#REF!</definedName>
    <definedName name="A.101.5E">#REF!</definedName>
    <definedName name="A.101.6">#REF!</definedName>
    <definedName name="A.101.6B">#REF!</definedName>
    <definedName name="A.101.6E">#REF!</definedName>
    <definedName name="A.101.7">#REF!</definedName>
    <definedName name="A.101.7B">#REF!</definedName>
    <definedName name="A.101.7E">#REF!</definedName>
    <definedName name="A.101.8">#REF!</definedName>
    <definedName name="A.101.8B">#REF!</definedName>
    <definedName name="A.101.8E">#REF!</definedName>
    <definedName name="A.101.9">#REF!</definedName>
    <definedName name="A.101.9B">#REF!</definedName>
    <definedName name="A.101.9E">#REF!</definedName>
    <definedName name="A.101.B">#REF!</definedName>
    <definedName name="A.102">#REF!</definedName>
    <definedName name="A.102.1">#REF!</definedName>
    <definedName name="A.102.10">#REF!</definedName>
    <definedName name="A.102.10B">#REF!</definedName>
    <definedName name="A.102.10E">#REF!</definedName>
    <definedName name="A.102.11">#REF!</definedName>
    <definedName name="A.102.11B">#REF!</definedName>
    <definedName name="A.102.11E">#REF!</definedName>
    <definedName name="A.102.12">#REF!</definedName>
    <definedName name="A.102.12B">#REF!</definedName>
    <definedName name="A.102.12E">#REF!</definedName>
    <definedName name="A.102.13">#REF!</definedName>
    <definedName name="A.102.13B">#REF!</definedName>
    <definedName name="A.102.13E">#REF!</definedName>
    <definedName name="A.102.14">#REF!</definedName>
    <definedName name="A.102.14B">#REF!</definedName>
    <definedName name="A.102.14E">#REF!</definedName>
    <definedName name="A.102.1B">#REF!</definedName>
    <definedName name="A.102.1E">#REF!</definedName>
    <definedName name="A.102.2">#REF!</definedName>
    <definedName name="A.102.2B">#REF!</definedName>
    <definedName name="A.102.2E">#REF!</definedName>
    <definedName name="A.102.3">#REF!</definedName>
    <definedName name="A.102.3B">#REF!</definedName>
    <definedName name="A.102.3E">#REF!</definedName>
    <definedName name="A.102.4">#REF!</definedName>
    <definedName name="A.102.4B">#REF!</definedName>
    <definedName name="A.102.4E">#REF!</definedName>
    <definedName name="A.102.5">#REF!</definedName>
    <definedName name="A.102.5B">#REF!</definedName>
    <definedName name="A.102.5E">#REF!</definedName>
    <definedName name="A.102.6">#REF!</definedName>
    <definedName name="A.102.6B">#REF!</definedName>
    <definedName name="A.102.6E">#REF!</definedName>
    <definedName name="A.102.7">#REF!</definedName>
    <definedName name="A.102.7B">#REF!</definedName>
    <definedName name="A.102.7E">#REF!</definedName>
    <definedName name="A.102.8">#REF!</definedName>
    <definedName name="A.102.8B">#REF!</definedName>
    <definedName name="A.102.8E">#REF!</definedName>
    <definedName name="A.102.9">#REF!</definedName>
    <definedName name="A.102.9B">#REF!</definedName>
    <definedName name="A.102.9E">#REF!</definedName>
    <definedName name="A.102.B">#REF!</definedName>
    <definedName name="A.103">#REF!</definedName>
    <definedName name="A.103.1">#REF!</definedName>
    <definedName name="A.103.10">#REF!</definedName>
    <definedName name="A.103.10B">#REF!</definedName>
    <definedName name="A.103.10E">#REF!</definedName>
    <definedName name="A.103.10G">#REF!</definedName>
    <definedName name="A.103.11">#REF!</definedName>
    <definedName name="A.103.11B">#REF!</definedName>
    <definedName name="A.103.11E">#REF!</definedName>
    <definedName name="A.103.12">#REF!</definedName>
    <definedName name="A.103.12B">#REF!</definedName>
    <definedName name="A.103.12E">#REF!</definedName>
    <definedName name="A.103.13">#REF!</definedName>
    <definedName name="A.103.13B">#REF!</definedName>
    <definedName name="A.103.13E">#REF!</definedName>
    <definedName name="A.103.14">#REF!</definedName>
    <definedName name="A.103.14B">#REF!</definedName>
    <definedName name="A.103.14E">#REF!</definedName>
    <definedName name="A.103.15">#REF!</definedName>
    <definedName name="A.103.15B">#REF!</definedName>
    <definedName name="A.103.15E">#REF!</definedName>
    <definedName name="A.103.16">#REF!</definedName>
    <definedName name="A.103.16B">#REF!</definedName>
    <definedName name="A.103.16E">#REF!</definedName>
    <definedName name="A.103.17">#REF!</definedName>
    <definedName name="A.103.17B">#REF!</definedName>
    <definedName name="A.103.17E">#REF!</definedName>
    <definedName name="A.103.18">#REF!</definedName>
    <definedName name="A.103.18B">#REF!</definedName>
    <definedName name="A.103.18E">#REF!</definedName>
    <definedName name="A.103.19">#REF!</definedName>
    <definedName name="A.103.19B">#REF!</definedName>
    <definedName name="A.103.19E">#REF!</definedName>
    <definedName name="A.103.1B">#REF!</definedName>
    <definedName name="A.103.1E">#REF!</definedName>
    <definedName name="A.103.2">#REF!</definedName>
    <definedName name="A.103.20">#REF!</definedName>
    <definedName name="A.103.20B">#REF!</definedName>
    <definedName name="A.103.20E">#REF!</definedName>
    <definedName name="A.103.21">#REF!</definedName>
    <definedName name="A.103.21B">#REF!</definedName>
    <definedName name="A.103.21E">#REF!</definedName>
    <definedName name="A.103.2B">#REF!</definedName>
    <definedName name="A.103.2E">#REF!</definedName>
    <definedName name="A.103.3">#REF!</definedName>
    <definedName name="A.103.3B">#REF!</definedName>
    <definedName name="A.103.3E">#REF!</definedName>
    <definedName name="A.103.4">#REF!</definedName>
    <definedName name="A.103.4B">#REF!</definedName>
    <definedName name="A.103.4E">#REF!</definedName>
    <definedName name="A.103.5">#REF!</definedName>
    <definedName name="A.103.5B">#REF!</definedName>
    <definedName name="A.103.5E">#REF!</definedName>
    <definedName name="A.103.6">#REF!</definedName>
    <definedName name="A.103.6B">#REF!</definedName>
    <definedName name="A.103.6E">#REF!</definedName>
    <definedName name="A.103.7">#REF!</definedName>
    <definedName name="A.103.7B">#REF!</definedName>
    <definedName name="A.103.7E">#REF!</definedName>
    <definedName name="A.103.8">#REF!</definedName>
    <definedName name="A.103.8B">#REF!</definedName>
    <definedName name="A.103.8E">#REF!</definedName>
    <definedName name="A.103.9">#REF!</definedName>
    <definedName name="A.103.9B">#REF!</definedName>
    <definedName name="A.103.9E">#REF!</definedName>
    <definedName name="A.103.B">#REF!</definedName>
    <definedName name="A.104">#REF!</definedName>
    <definedName name="A.104.1">#REF!</definedName>
    <definedName name="A.104.10">#REF!</definedName>
    <definedName name="A.104.10B">#REF!</definedName>
    <definedName name="A.104.10E">#REF!</definedName>
    <definedName name="A.104.11">#REF!</definedName>
    <definedName name="A.104.11B">#REF!</definedName>
    <definedName name="A.104.11E">#REF!</definedName>
    <definedName name="A.104.12">#REF!</definedName>
    <definedName name="A.104.12B">#REF!</definedName>
    <definedName name="A.104.12E">#REF!</definedName>
    <definedName name="A.104.1B">#REF!</definedName>
    <definedName name="A.104.1E">#REF!</definedName>
    <definedName name="A.104.2">#REF!</definedName>
    <definedName name="A.104.2B">#REF!</definedName>
    <definedName name="A.104.2E">#REF!</definedName>
    <definedName name="A.104.3">#REF!</definedName>
    <definedName name="A.104.3B">#REF!</definedName>
    <definedName name="A.104.3E">#REF!</definedName>
    <definedName name="A.104.4">#REF!</definedName>
    <definedName name="A.104.4B">#REF!</definedName>
    <definedName name="A.104.4E">#REF!</definedName>
    <definedName name="A.104.5">#REF!</definedName>
    <definedName name="A.104.5B">#REF!</definedName>
    <definedName name="A.104.5E">#REF!</definedName>
    <definedName name="A.104.6">#REF!</definedName>
    <definedName name="A.104.6B">#REF!</definedName>
    <definedName name="A.104.6E">#REF!</definedName>
    <definedName name="A.104.7">#REF!</definedName>
    <definedName name="A.104.7B">#REF!</definedName>
    <definedName name="A.104.7E">#REF!</definedName>
    <definedName name="A.104.8">#REF!</definedName>
    <definedName name="A.104.8B">#REF!</definedName>
    <definedName name="A.104.8E">#REF!</definedName>
    <definedName name="A.104.9">#REF!</definedName>
    <definedName name="A.104.9B">#REF!</definedName>
    <definedName name="A.104.9E">#REF!</definedName>
    <definedName name="A.104.B">#REF!</definedName>
    <definedName name="A.105">#REF!</definedName>
    <definedName name="A.105.1">#REF!</definedName>
    <definedName name="A.105.10">#REF!</definedName>
    <definedName name="A.105.10B">#REF!</definedName>
    <definedName name="A.105.10E">#REF!</definedName>
    <definedName name="A.105.11">#REF!</definedName>
    <definedName name="A.105.11B">#REF!</definedName>
    <definedName name="A.105.11E">#REF!</definedName>
    <definedName name="A.105.12">#REF!</definedName>
    <definedName name="A.105.12B">#REF!</definedName>
    <definedName name="A.105.12E">#REF!</definedName>
    <definedName name="A.105.13">#REF!</definedName>
    <definedName name="A.105.13B">#REF!</definedName>
    <definedName name="A.105.13E">#REF!</definedName>
    <definedName name="A.105.14">#REF!</definedName>
    <definedName name="A.105.14B">#REF!</definedName>
    <definedName name="A.105.14E">#REF!</definedName>
    <definedName name="A.105.15">#REF!</definedName>
    <definedName name="A.105.15B">#REF!</definedName>
    <definedName name="A.105.15E">#REF!</definedName>
    <definedName name="A.105.16">#REF!</definedName>
    <definedName name="A.105.16B">#REF!</definedName>
    <definedName name="A.105.16E">#REF!</definedName>
    <definedName name="A.105.17">#REF!</definedName>
    <definedName name="A.105.17B">#REF!</definedName>
    <definedName name="A.105.17E">#REF!</definedName>
    <definedName name="A.105.18">#REF!</definedName>
    <definedName name="A.105.18B">#REF!</definedName>
    <definedName name="A.105.18E">#REF!</definedName>
    <definedName name="A.105.19">#REF!</definedName>
    <definedName name="A.105.19B">#REF!</definedName>
    <definedName name="A.105.19E">#REF!</definedName>
    <definedName name="A.105.1B">#REF!</definedName>
    <definedName name="A.105.1E">#REF!</definedName>
    <definedName name="A.105.2">#REF!</definedName>
    <definedName name="A.105.20">#REF!</definedName>
    <definedName name="A.105.20B">#REF!</definedName>
    <definedName name="A.105.20E">#REF!</definedName>
    <definedName name="A.105.21">#REF!</definedName>
    <definedName name="A.105.21B">#REF!</definedName>
    <definedName name="A.105.21E">#REF!</definedName>
    <definedName name="A.105.22">#REF!</definedName>
    <definedName name="A.105.22B">#REF!</definedName>
    <definedName name="A.105.22E">#REF!</definedName>
    <definedName name="A.105.23">#REF!</definedName>
    <definedName name="A.105.23B">#REF!</definedName>
    <definedName name="A.105.23E">#REF!</definedName>
    <definedName name="A.105.2B">#REF!</definedName>
    <definedName name="A.105.2E">#REF!</definedName>
    <definedName name="A.105.3">#REF!</definedName>
    <definedName name="A.105.3B">#REF!</definedName>
    <definedName name="A.105.3E">#REF!</definedName>
    <definedName name="A.105.4">#REF!</definedName>
    <definedName name="A.105.4B">#REF!</definedName>
    <definedName name="A.105.4E">#REF!</definedName>
    <definedName name="A.105.5">#REF!</definedName>
    <definedName name="A.105.5B">#REF!</definedName>
    <definedName name="A.105.5E">#REF!</definedName>
    <definedName name="A.105.6">#REF!</definedName>
    <definedName name="A.105.6B">#REF!</definedName>
    <definedName name="A.105.6E">#REF!</definedName>
    <definedName name="A.105.7">#REF!</definedName>
    <definedName name="A.105.7B">#REF!</definedName>
    <definedName name="A.105.7E">#REF!</definedName>
    <definedName name="A.105.8">#REF!</definedName>
    <definedName name="A.105.8B">#REF!</definedName>
    <definedName name="A.105.8E">#REF!</definedName>
    <definedName name="A.105.9">#REF!</definedName>
    <definedName name="A.105.9B">#REF!</definedName>
    <definedName name="A.105.9E">#REF!</definedName>
    <definedName name="A.105.B">#REF!</definedName>
    <definedName name="A.106">#REF!</definedName>
    <definedName name="A.106.1">#REF!</definedName>
    <definedName name="A.106.10">#REF!</definedName>
    <definedName name="A.106.10B">#REF!</definedName>
    <definedName name="A.106.10E">#REF!</definedName>
    <definedName name="A.106.11">#REF!</definedName>
    <definedName name="A.106.11B">#REF!</definedName>
    <definedName name="A.106.11E">#REF!</definedName>
    <definedName name="A.106.12">#REF!</definedName>
    <definedName name="A.106.12B">#REF!</definedName>
    <definedName name="A.106.12E">#REF!</definedName>
    <definedName name="A.106.13">#REF!</definedName>
    <definedName name="A.106.13B">#REF!</definedName>
    <definedName name="A.106.13E">#REF!</definedName>
    <definedName name="A.106.14">#REF!</definedName>
    <definedName name="A.106.14B">#REF!</definedName>
    <definedName name="A.106.14E">#REF!</definedName>
    <definedName name="A.106.15">#REF!</definedName>
    <definedName name="A.106.15B">#REF!</definedName>
    <definedName name="A.106.15E">#REF!</definedName>
    <definedName name="A.106.16">#REF!</definedName>
    <definedName name="A.106.16B">#REF!</definedName>
    <definedName name="A.106.16E">#REF!</definedName>
    <definedName name="A.106.17">#REF!</definedName>
    <definedName name="A.106.17B">#REF!</definedName>
    <definedName name="A.106.17E">#REF!</definedName>
    <definedName name="A.106.18">#REF!</definedName>
    <definedName name="A.106.18B">#REF!</definedName>
    <definedName name="A.106.18E">#REF!</definedName>
    <definedName name="A.106.19">#REF!</definedName>
    <definedName name="A.106.19B">#REF!</definedName>
    <definedName name="A.106.19E">#REF!</definedName>
    <definedName name="A.106.1B">#REF!</definedName>
    <definedName name="A.106.1E">#REF!</definedName>
    <definedName name="A.106.2">#REF!</definedName>
    <definedName name="A.106.20">#REF!</definedName>
    <definedName name="A.106.20B">#REF!</definedName>
    <definedName name="A.106.20E">#REF!</definedName>
    <definedName name="A.106.21">#REF!</definedName>
    <definedName name="A.106.21B">#REF!</definedName>
    <definedName name="A.106.21E">#REF!</definedName>
    <definedName name="A.106.22">#REF!</definedName>
    <definedName name="A.106.22B">#REF!</definedName>
    <definedName name="A.106.22E">#REF!</definedName>
    <definedName name="A.106.23">#REF!</definedName>
    <definedName name="A.106.23B">#REF!</definedName>
    <definedName name="A.106.23E">#REF!</definedName>
    <definedName name="A.106.24">#REF!</definedName>
    <definedName name="A.106.24B">#REF!</definedName>
    <definedName name="A.106.24E">#REF!</definedName>
    <definedName name="A.106.25">#REF!</definedName>
    <definedName name="A.106.25B">#REF!</definedName>
    <definedName name="A.106.25E">#REF!</definedName>
    <definedName name="A.106.26">#REF!</definedName>
    <definedName name="A.106.26B">#REF!</definedName>
    <definedName name="A.106.26E">#REF!</definedName>
    <definedName name="A.106.27">#REF!</definedName>
    <definedName name="A.106.27B">#REF!</definedName>
    <definedName name="A.106.27E">#REF!</definedName>
    <definedName name="A.106.28">#REF!</definedName>
    <definedName name="A.106.28B">#REF!</definedName>
    <definedName name="A.106.28E">#REF!</definedName>
    <definedName name="A.106.29">#REF!</definedName>
    <definedName name="A.106.29B">#REF!</definedName>
    <definedName name="A.106.29E">#REF!</definedName>
    <definedName name="A.106.2B">#REF!</definedName>
    <definedName name="A.106.2E">#REF!</definedName>
    <definedName name="A.106.3">#REF!</definedName>
    <definedName name="A.106.30">#REF!</definedName>
    <definedName name="A.106.30B">#REF!</definedName>
    <definedName name="A.106.30E">#REF!</definedName>
    <definedName name="A.106.31">#REF!</definedName>
    <definedName name="A.106.31B">#REF!</definedName>
    <definedName name="A.106.31E">#REF!</definedName>
    <definedName name="A.106.32">#REF!</definedName>
    <definedName name="A.106.32B">#REF!</definedName>
    <definedName name="A.106.32E">#REF!</definedName>
    <definedName name="A.106.33">#REF!</definedName>
    <definedName name="A.106.33B">#REF!</definedName>
    <definedName name="A.106.33E">#REF!</definedName>
    <definedName name="A.106.34">#REF!</definedName>
    <definedName name="A.106.34B">#REF!</definedName>
    <definedName name="A.106.34E">#REF!</definedName>
    <definedName name="A.106.35">#REF!</definedName>
    <definedName name="A.106.35B">#REF!</definedName>
    <definedName name="A.106.35E">#REF!</definedName>
    <definedName name="A.106.36">#REF!</definedName>
    <definedName name="A.106.36B">#REF!</definedName>
    <definedName name="A.106.36E">#REF!</definedName>
    <definedName name="A.106.37">#REF!</definedName>
    <definedName name="A.106.37B">#REF!</definedName>
    <definedName name="A.106.37E">#REF!</definedName>
    <definedName name="A.106.38">#REF!</definedName>
    <definedName name="A.106.38B">#REF!</definedName>
    <definedName name="A.106.38E">#REF!</definedName>
    <definedName name="A.106.3B">#REF!</definedName>
    <definedName name="A.106.3E">#REF!</definedName>
    <definedName name="A.106.4">#REF!</definedName>
    <definedName name="A.106.4B">#REF!</definedName>
    <definedName name="A.106.4E">#REF!</definedName>
    <definedName name="A.106.5">#REF!</definedName>
    <definedName name="A.106.5B">#REF!</definedName>
    <definedName name="A.106.5E">#REF!</definedName>
    <definedName name="A.106.6">#REF!</definedName>
    <definedName name="A.106.6B">#REF!</definedName>
    <definedName name="A.106.6E">#REF!</definedName>
    <definedName name="A.106.7">#REF!</definedName>
    <definedName name="A.106.7B">#REF!</definedName>
    <definedName name="A.106.7E">#REF!</definedName>
    <definedName name="A.106.8">#REF!</definedName>
    <definedName name="A.106.8B">#REF!</definedName>
    <definedName name="A.106.8E">#REF!</definedName>
    <definedName name="A.106.9">#REF!</definedName>
    <definedName name="A.106.9B">#REF!</definedName>
    <definedName name="A.106.9E">#REF!</definedName>
    <definedName name="A.106.B">#REF!</definedName>
    <definedName name="A.107">#REF!</definedName>
    <definedName name="A.107.1">#REF!</definedName>
    <definedName name="A.107.10E">#REF!</definedName>
    <definedName name="A.107.11">#REF!</definedName>
    <definedName name="A.107.11B">#REF!</definedName>
    <definedName name="A.107.11E">#REF!</definedName>
    <definedName name="A.107.12">#REF!</definedName>
    <definedName name="A.107.12B">#REF!</definedName>
    <definedName name="A.107.12E">#REF!</definedName>
    <definedName name="A.107.13">#REF!</definedName>
    <definedName name="A.107.13B">#REF!</definedName>
    <definedName name="A.107.13E">#REF!</definedName>
    <definedName name="A.107.14">#REF!</definedName>
    <definedName name="A.107.14B">#REF!</definedName>
    <definedName name="A.107.14E">#REF!</definedName>
    <definedName name="A.107.15">#REF!</definedName>
    <definedName name="A.107.15B">#REF!</definedName>
    <definedName name="A.107.15E">#REF!</definedName>
    <definedName name="A.107.16">#REF!</definedName>
    <definedName name="A.107.16B">#REF!</definedName>
    <definedName name="A.107.16E">#REF!</definedName>
    <definedName name="A.107.17">#REF!</definedName>
    <definedName name="A.107.17B">#REF!</definedName>
    <definedName name="A.107.17E">#REF!</definedName>
    <definedName name="A.107.18">#REF!</definedName>
    <definedName name="A.107.18B">#REF!</definedName>
    <definedName name="A.107.18E">#REF!</definedName>
    <definedName name="A.107.19">#REF!</definedName>
    <definedName name="A.107.19B">#REF!</definedName>
    <definedName name="A.107.19E">#REF!</definedName>
    <definedName name="A.107.1B">#REF!</definedName>
    <definedName name="A.107.1E">#REF!</definedName>
    <definedName name="A.107.2">#REF!</definedName>
    <definedName name="A.107.20">#REF!</definedName>
    <definedName name="A.107.20B">#REF!</definedName>
    <definedName name="A.107.20E">#REF!</definedName>
    <definedName name="A.107.21">#REF!</definedName>
    <definedName name="A.107.21B">#REF!</definedName>
    <definedName name="A.107.21E">#REF!</definedName>
    <definedName name="A.107.22">#REF!</definedName>
    <definedName name="A.107.22B">#REF!</definedName>
    <definedName name="A.107.22E">#REF!</definedName>
    <definedName name="A.107.23">#REF!</definedName>
    <definedName name="A.107.23B">#REF!</definedName>
    <definedName name="A.107.23E">#REF!</definedName>
    <definedName name="A.107.24">#REF!</definedName>
    <definedName name="A.107.24B">#REF!</definedName>
    <definedName name="A.107.24E">#REF!</definedName>
    <definedName name="A.107.25">#REF!</definedName>
    <definedName name="A.107.25B">#REF!</definedName>
    <definedName name="A.107.25E">#REF!</definedName>
    <definedName name="A.107.26">#REF!</definedName>
    <definedName name="A.107.26B">#REF!</definedName>
    <definedName name="A.107.26E">#REF!</definedName>
    <definedName name="A.107.27">#REF!</definedName>
    <definedName name="A.107.27B">#REF!</definedName>
    <definedName name="A.107.27E">#REF!</definedName>
    <definedName name="A.107.28">#REF!</definedName>
    <definedName name="A.107.28B">#REF!</definedName>
    <definedName name="A.107.28E">#REF!</definedName>
    <definedName name="A.107.29B">#REF!</definedName>
    <definedName name="A.107.2B">#REF!</definedName>
    <definedName name="A.107.2E">#REF!</definedName>
    <definedName name="A.107.3">#REF!</definedName>
    <definedName name="A.107.3B">#REF!</definedName>
    <definedName name="A.107.3E">#REF!</definedName>
    <definedName name="A.107.4">#REF!</definedName>
    <definedName name="A.107.4B">#REF!</definedName>
    <definedName name="A.107.4E">#REF!</definedName>
    <definedName name="A.107.5">#REF!</definedName>
    <definedName name="A.107.5B">#REF!</definedName>
    <definedName name="A.107.5E">#REF!</definedName>
    <definedName name="A.107.6">#REF!</definedName>
    <definedName name="A.107.6B">#REF!</definedName>
    <definedName name="A.107.6E">#REF!</definedName>
    <definedName name="A.107.7">#REF!</definedName>
    <definedName name="A.107.7B">#REF!</definedName>
    <definedName name="A.107.7E">#REF!</definedName>
    <definedName name="A.107.8">#REF!</definedName>
    <definedName name="A.107.8B">#REF!</definedName>
    <definedName name="A.107.8E">#REF!</definedName>
    <definedName name="A.107.9">#REF!</definedName>
    <definedName name="A.107.9B">#REF!</definedName>
    <definedName name="A.107.9E">#REF!</definedName>
    <definedName name="A.107.B">#REF!</definedName>
    <definedName name="A.108">#REF!</definedName>
    <definedName name="A.108.1">#REF!</definedName>
    <definedName name="A.108.10">#REF!</definedName>
    <definedName name="A.108.10B">#REF!</definedName>
    <definedName name="A.108.10E">#REF!</definedName>
    <definedName name="A.108.11">#REF!</definedName>
    <definedName name="A.108.11B">#REF!</definedName>
    <definedName name="A.108.11E">#REF!</definedName>
    <definedName name="A.108.12">#REF!</definedName>
    <definedName name="A.108.12B">#REF!</definedName>
    <definedName name="A.108.12E">#REF!</definedName>
    <definedName name="A.108.13">#REF!</definedName>
    <definedName name="A.108.13B">#REF!</definedName>
    <definedName name="A.108.13E">#REF!</definedName>
    <definedName name="A.108.14">#REF!</definedName>
    <definedName name="A.108.14B">#REF!</definedName>
    <definedName name="A.108.14E">#REF!</definedName>
    <definedName name="A.108.15">#REF!</definedName>
    <definedName name="A.108.15B">#REF!</definedName>
    <definedName name="A.108.15E">#REF!</definedName>
    <definedName name="A.108.16">#REF!</definedName>
    <definedName name="A.108.16B">#REF!</definedName>
    <definedName name="A.108.16E">#REF!</definedName>
    <definedName name="A.108.17">#REF!</definedName>
    <definedName name="A.108.17B">#REF!</definedName>
    <definedName name="A.108.17E">#REF!</definedName>
    <definedName name="A.108.1B">#REF!</definedName>
    <definedName name="A.108.1E">#REF!</definedName>
    <definedName name="A.108.2">#REF!</definedName>
    <definedName name="A.108.2B">#REF!</definedName>
    <definedName name="A.108.2E">#REF!</definedName>
    <definedName name="A.108.3">#REF!</definedName>
    <definedName name="A.108.3B">#REF!</definedName>
    <definedName name="A.108.3E">#REF!</definedName>
    <definedName name="A.108.4">#REF!</definedName>
    <definedName name="A.108.4B">#REF!</definedName>
    <definedName name="A.108.4E">#REF!</definedName>
    <definedName name="A.108.5">#REF!</definedName>
    <definedName name="A.108.5B">#REF!</definedName>
    <definedName name="A.108.5E">#REF!</definedName>
    <definedName name="A.108.6">#REF!</definedName>
    <definedName name="A.108.6B">#REF!</definedName>
    <definedName name="A.108.6E">#REF!</definedName>
    <definedName name="A.108.7">#REF!</definedName>
    <definedName name="A.108.7B">#REF!</definedName>
    <definedName name="A.108.7E">#REF!</definedName>
    <definedName name="A.108.8">#REF!</definedName>
    <definedName name="A.108.8B">#REF!</definedName>
    <definedName name="A.108.8E">#REF!</definedName>
    <definedName name="A.108.9">#REF!</definedName>
    <definedName name="A.108.9B">#REF!</definedName>
    <definedName name="A.108.9E">#REF!</definedName>
    <definedName name="A.108.B">#REF!</definedName>
    <definedName name="A.109">#REF!</definedName>
    <definedName name="A.109.1">#REF!</definedName>
    <definedName name="A.109.10">#REF!</definedName>
    <definedName name="A.109.10B">#REF!</definedName>
    <definedName name="A.109.10E">#REF!</definedName>
    <definedName name="A.109.11">#REF!</definedName>
    <definedName name="A.109.11B">#REF!</definedName>
    <definedName name="A.109.11E">#REF!</definedName>
    <definedName name="A.109.12">#REF!</definedName>
    <definedName name="A.109.12B">#REF!</definedName>
    <definedName name="A.109.12E">#REF!</definedName>
    <definedName name="A.109.1B">#REF!</definedName>
    <definedName name="A.109.1E">#REF!</definedName>
    <definedName name="A.109.2">#REF!</definedName>
    <definedName name="A.109.2B">#REF!</definedName>
    <definedName name="A.109.2E">#REF!</definedName>
    <definedName name="A.109.3">#REF!</definedName>
    <definedName name="A.109.3B">#REF!</definedName>
    <definedName name="A.109.3E">#REF!</definedName>
    <definedName name="A.109.4">#REF!</definedName>
    <definedName name="A.109.4B">#REF!</definedName>
    <definedName name="A.109.4E">#REF!</definedName>
    <definedName name="A.109.5">#REF!</definedName>
    <definedName name="A.109.5B">#REF!</definedName>
    <definedName name="A.109.5E">#REF!</definedName>
    <definedName name="A.109.6">#REF!</definedName>
    <definedName name="A.109.6B">#REF!</definedName>
    <definedName name="A.109.6E">#REF!</definedName>
    <definedName name="A.109.7">#REF!</definedName>
    <definedName name="A.109.7B">#REF!</definedName>
    <definedName name="A.109.7E">#REF!</definedName>
    <definedName name="A.109.8">#REF!</definedName>
    <definedName name="A.109.8B">#REF!</definedName>
    <definedName name="A.109.8E">#REF!</definedName>
    <definedName name="A.109.9">#REF!</definedName>
    <definedName name="A.109.9B">#REF!</definedName>
    <definedName name="A.109.9E">#REF!</definedName>
    <definedName name="A.109.B">#REF!</definedName>
    <definedName name="A.11">#REF!</definedName>
    <definedName name="A.110">#REF!</definedName>
    <definedName name="A.110.1">#REF!</definedName>
    <definedName name="A.110.10">#REF!</definedName>
    <definedName name="A.110.10B">#REF!</definedName>
    <definedName name="A.110.10E">#REF!</definedName>
    <definedName name="A.110.11">#REF!</definedName>
    <definedName name="A.110.11B">#REF!</definedName>
    <definedName name="A.110.11E">#REF!</definedName>
    <definedName name="A.110.12">#REF!</definedName>
    <definedName name="A.110.12B">#REF!</definedName>
    <definedName name="A.110.12E">#REF!</definedName>
    <definedName name="A.110.13">#REF!</definedName>
    <definedName name="A.110.13B">#REF!</definedName>
    <definedName name="A.110.13E">#REF!</definedName>
    <definedName name="A.110.14">#REF!</definedName>
    <definedName name="A.110.14B">#REF!</definedName>
    <definedName name="A.110.14E">#REF!</definedName>
    <definedName name="A.110.15">#REF!</definedName>
    <definedName name="A.110.15B">#REF!</definedName>
    <definedName name="A.110.15E">#REF!</definedName>
    <definedName name="A.110.16">#REF!</definedName>
    <definedName name="A.110.16B">#REF!</definedName>
    <definedName name="A.110.16E">#REF!</definedName>
    <definedName name="A.110.17">#REF!</definedName>
    <definedName name="A.110.17B">#REF!</definedName>
    <definedName name="A.110.17E">#REF!</definedName>
    <definedName name="A.110.18">#REF!</definedName>
    <definedName name="A.110.18B">#REF!</definedName>
    <definedName name="A.110.18E">#REF!</definedName>
    <definedName name="A.110.1B">#REF!</definedName>
    <definedName name="A.110.1E">#REF!</definedName>
    <definedName name="A.110.2">#REF!</definedName>
    <definedName name="A.110.2B">#REF!</definedName>
    <definedName name="A.110.2E">#REF!</definedName>
    <definedName name="A.110.3">#REF!</definedName>
    <definedName name="A.110.3B">#REF!</definedName>
    <definedName name="A.110.3E">#REF!</definedName>
    <definedName name="A.110.4">#REF!</definedName>
    <definedName name="A.110.4B">#REF!</definedName>
    <definedName name="A.110.4E">#REF!</definedName>
    <definedName name="A.110.5">#REF!</definedName>
    <definedName name="A.110.5B">#REF!</definedName>
    <definedName name="A.110.5E">#REF!</definedName>
    <definedName name="A.110.6">#REF!</definedName>
    <definedName name="A.110.6B">#REF!</definedName>
    <definedName name="A.110.6E">#REF!</definedName>
    <definedName name="A.110.7">#REF!</definedName>
    <definedName name="A.110.7B">#REF!</definedName>
    <definedName name="A.110.7E">#REF!</definedName>
    <definedName name="A.110.8">#REF!</definedName>
    <definedName name="A.110.8B">#REF!</definedName>
    <definedName name="A.110.8E">#REF!</definedName>
    <definedName name="A.110.9">#REF!</definedName>
    <definedName name="A.110.9B">#REF!</definedName>
    <definedName name="A.110.9E">#REF!</definedName>
    <definedName name="A.110.B">#REF!</definedName>
    <definedName name="A.111">#REF!</definedName>
    <definedName name="A.111.1">#REF!</definedName>
    <definedName name="A.111.10">#REF!</definedName>
    <definedName name="A.111.10B">#REF!</definedName>
    <definedName name="A.111.10E">#REF!</definedName>
    <definedName name="A.111.11">#REF!</definedName>
    <definedName name="A.111.11B">#REF!</definedName>
    <definedName name="A.111.11E">#REF!</definedName>
    <definedName name="A.111.12">#REF!</definedName>
    <definedName name="A.111.12B">#REF!</definedName>
    <definedName name="A.111.12E">#REF!</definedName>
    <definedName name="A.111.13">#REF!</definedName>
    <definedName name="A.111.13B">#REF!</definedName>
    <definedName name="A.111.13E">#REF!</definedName>
    <definedName name="A.111.14">#REF!</definedName>
    <definedName name="A.111.14B">#REF!</definedName>
    <definedName name="A.111.14E">#REF!</definedName>
    <definedName name="A.111.15">#REF!</definedName>
    <definedName name="A.111.15B">#REF!</definedName>
    <definedName name="A.111.15E">#REF!</definedName>
    <definedName name="A.111.16">#REF!</definedName>
    <definedName name="A.111.16B">#REF!</definedName>
    <definedName name="A.111.16E">#REF!</definedName>
    <definedName name="A.111.17">#REF!</definedName>
    <definedName name="A.111.17B">#REF!</definedName>
    <definedName name="A.111.17E">#REF!</definedName>
    <definedName name="A.111.18">#REF!</definedName>
    <definedName name="A.111.18B">#REF!</definedName>
    <definedName name="A.111.18E">#REF!</definedName>
    <definedName name="A.111.19">#REF!</definedName>
    <definedName name="A.111.19B">#REF!</definedName>
    <definedName name="A.111.19E">#REF!</definedName>
    <definedName name="A.111.1B">#REF!</definedName>
    <definedName name="A.111.1E">#REF!</definedName>
    <definedName name="A.111.2">#REF!</definedName>
    <definedName name="A.111.20">#REF!</definedName>
    <definedName name="A.111.20B">#REF!</definedName>
    <definedName name="A.111.20E">#REF!</definedName>
    <definedName name="A.111.21">#REF!</definedName>
    <definedName name="A.111.21B">#REF!</definedName>
    <definedName name="A.111.21E">#REF!</definedName>
    <definedName name="A.111.22">#REF!</definedName>
    <definedName name="A.111.22B">#REF!</definedName>
    <definedName name="A.111.22E">#REF!</definedName>
    <definedName name="A.111.23">#REF!</definedName>
    <definedName name="A.111.23B">#REF!</definedName>
    <definedName name="A.111.23E">#REF!</definedName>
    <definedName name="A.111.24">#REF!</definedName>
    <definedName name="A.111.24B">#REF!</definedName>
    <definedName name="A.111.24E">#REF!</definedName>
    <definedName name="A.111.25">#REF!</definedName>
    <definedName name="A.111.25B">#REF!</definedName>
    <definedName name="A.111.25E">#REF!</definedName>
    <definedName name="A.111.26">#REF!</definedName>
    <definedName name="A.111.26B">#REF!</definedName>
    <definedName name="A.111.26E">#REF!</definedName>
    <definedName name="A.111.27">#REF!</definedName>
    <definedName name="A.111.27B">#REF!</definedName>
    <definedName name="A.111.27E">#REF!</definedName>
    <definedName name="A.111.28">#REF!</definedName>
    <definedName name="A.111.28B">#REF!</definedName>
    <definedName name="A.111.28E">#REF!</definedName>
    <definedName name="A.111.29">#REF!</definedName>
    <definedName name="A.111.29B">#REF!</definedName>
    <definedName name="A.111.29E">#REF!</definedName>
    <definedName name="A.111.2B">#REF!</definedName>
    <definedName name="A.111.2E">#REF!</definedName>
    <definedName name="A.111.3">#REF!</definedName>
    <definedName name="A.111.30">#REF!</definedName>
    <definedName name="A.111.30B">#REF!</definedName>
    <definedName name="A.111.30E">#REF!</definedName>
    <definedName name="A.111.31">#REF!</definedName>
    <definedName name="A.111.31B">#REF!</definedName>
    <definedName name="A.111.31E">#REF!</definedName>
    <definedName name="A.111.32">#REF!</definedName>
    <definedName name="A.111.32B">#REF!</definedName>
    <definedName name="A.111.32E">#REF!</definedName>
    <definedName name="A.111.33">#REF!</definedName>
    <definedName name="A.111.33B">#REF!</definedName>
    <definedName name="A.111.33E">#REF!</definedName>
    <definedName name="A.111.34">#REF!</definedName>
    <definedName name="A.111.34B">#REF!</definedName>
    <definedName name="A.111.34E">#REF!</definedName>
    <definedName name="A.111.35">#REF!</definedName>
    <definedName name="A.111.35B">#REF!</definedName>
    <definedName name="A.111.35E">#REF!</definedName>
    <definedName name="A.111.36">#REF!</definedName>
    <definedName name="A.111.36B">#REF!</definedName>
    <definedName name="A.111.36E">#REF!</definedName>
    <definedName name="A.111.39B">#REF!</definedName>
    <definedName name="A.111.3B">#REF!</definedName>
    <definedName name="A.111.3E">#REF!</definedName>
    <definedName name="A.111.4">#REF!</definedName>
    <definedName name="A.111.4B">#REF!</definedName>
    <definedName name="A.111.4E">#REF!</definedName>
    <definedName name="A.111.5">#REF!</definedName>
    <definedName name="A.111.5B">#REF!</definedName>
    <definedName name="A.111.5E">#REF!</definedName>
    <definedName name="A.111.6">#REF!</definedName>
    <definedName name="A.111.6B">#REF!</definedName>
    <definedName name="A.111.6E">#REF!</definedName>
    <definedName name="A.111.7">#REF!</definedName>
    <definedName name="A.111.7B">#REF!</definedName>
    <definedName name="A.111.7E">#REF!</definedName>
    <definedName name="A.111.8">#REF!</definedName>
    <definedName name="A.111.8B">#REF!</definedName>
    <definedName name="A.111.8E">#REF!</definedName>
    <definedName name="A.111.9">#REF!</definedName>
    <definedName name="A.111.9B">#REF!</definedName>
    <definedName name="A.111.9E">#REF!</definedName>
    <definedName name="A.111.B">#REF!</definedName>
    <definedName name="A.112">#REF!</definedName>
    <definedName name="A.112.1">#REF!</definedName>
    <definedName name="A.112.10">#REF!</definedName>
    <definedName name="A.112.10B">#REF!</definedName>
    <definedName name="A.112.10E">#REF!</definedName>
    <definedName name="A.112.11">#REF!</definedName>
    <definedName name="A.112.11B">#REF!</definedName>
    <definedName name="A.112.11E">#REF!</definedName>
    <definedName name="A.112.12">#REF!</definedName>
    <definedName name="A.112.12a">#REF!</definedName>
    <definedName name="A.112.12aa">#REF!</definedName>
    <definedName name="A.112.12B">#REF!</definedName>
    <definedName name="A.112.12E">#REF!</definedName>
    <definedName name="A.112.13">#REF!</definedName>
    <definedName name="A.112.13a">#REF!</definedName>
    <definedName name="A.112.13aa">#REF!</definedName>
    <definedName name="A.112.13B">#REF!</definedName>
    <definedName name="A.112.13E">#REF!</definedName>
    <definedName name="A.112.14">#REF!</definedName>
    <definedName name="A.112.14a">#REF!</definedName>
    <definedName name="A.112.14aa">#REF!</definedName>
    <definedName name="A.112.14B">#REF!</definedName>
    <definedName name="A.112.14E">#REF!</definedName>
    <definedName name="A.112.15">#REF!</definedName>
    <definedName name="A.112.15B">#REF!</definedName>
    <definedName name="A.112.15E">#REF!</definedName>
    <definedName name="A.112.1B">#REF!</definedName>
    <definedName name="A.112.1E">#REF!</definedName>
    <definedName name="A.112.2">#REF!</definedName>
    <definedName name="A.112.2B">#REF!</definedName>
    <definedName name="A.112.2E">#REF!</definedName>
    <definedName name="A.112.3">#REF!</definedName>
    <definedName name="A.112.3B">#REF!</definedName>
    <definedName name="A.112.3E">#REF!</definedName>
    <definedName name="A.112.4">#REF!</definedName>
    <definedName name="A.112.4B">#REF!</definedName>
    <definedName name="A.112.4E">#REF!</definedName>
    <definedName name="A.112.5">#REF!</definedName>
    <definedName name="A.112.5B">#REF!</definedName>
    <definedName name="A.112.5E">#REF!</definedName>
    <definedName name="A.112.6">#REF!</definedName>
    <definedName name="A.112.6B">#REF!</definedName>
    <definedName name="A.112.6E">#REF!</definedName>
    <definedName name="A.112.7">#REF!</definedName>
    <definedName name="A.112.7B">#REF!</definedName>
    <definedName name="A.112.7E">#REF!</definedName>
    <definedName name="A.112.8">#REF!</definedName>
    <definedName name="A.112.8B">#REF!</definedName>
    <definedName name="A.112.8E">#REF!</definedName>
    <definedName name="A.112.9">#REF!</definedName>
    <definedName name="A.112.9B">#REF!</definedName>
    <definedName name="A.112.9E">#REF!</definedName>
    <definedName name="A.112.B">#REF!</definedName>
    <definedName name="A.113">#REF!</definedName>
    <definedName name="A.113.1">#REF!</definedName>
    <definedName name="A.113.10">#REF!</definedName>
    <definedName name="A.113.10B">#REF!</definedName>
    <definedName name="A.113.10E">#REF!</definedName>
    <definedName name="A.113.11">#REF!</definedName>
    <definedName name="A.113.11B">#REF!</definedName>
    <definedName name="A.113.11E">#REF!</definedName>
    <definedName name="A.113.12">#REF!</definedName>
    <definedName name="A.113.12B">#REF!</definedName>
    <definedName name="A.113.12E">#REF!</definedName>
    <definedName name="A.113.13">#REF!</definedName>
    <definedName name="A.113.13B">#REF!</definedName>
    <definedName name="A.113.13E">#REF!</definedName>
    <definedName name="A.113.14">#REF!</definedName>
    <definedName name="A.113.14B">#REF!</definedName>
    <definedName name="A.113.14E">#REF!</definedName>
    <definedName name="A.113.15">#REF!</definedName>
    <definedName name="A.113.15B">#REF!</definedName>
    <definedName name="A.113.15E">#REF!</definedName>
    <definedName name="A.113.16">#REF!</definedName>
    <definedName name="A.113.16B">#REF!</definedName>
    <definedName name="A.113.16E">#REF!</definedName>
    <definedName name="A.113.17">#REF!</definedName>
    <definedName name="A.113.17B">#REF!</definedName>
    <definedName name="A.113.17E">#REF!</definedName>
    <definedName name="A.113.18">#REF!</definedName>
    <definedName name="A.113.18B">#REF!</definedName>
    <definedName name="A.113.18E">#REF!</definedName>
    <definedName name="A.113.19">#REF!</definedName>
    <definedName name="A.113.19B">#REF!</definedName>
    <definedName name="A.113.19E">#REF!</definedName>
    <definedName name="A.113.1B">#REF!</definedName>
    <definedName name="A.113.1E">#REF!</definedName>
    <definedName name="A.113.2">#REF!</definedName>
    <definedName name="A.113.20">#REF!</definedName>
    <definedName name="A.113.20B">#REF!</definedName>
    <definedName name="A.113.20E">#REF!</definedName>
    <definedName name="A.113.21">#REF!</definedName>
    <definedName name="A.113.21B">#REF!</definedName>
    <definedName name="A.113.21E">#REF!</definedName>
    <definedName name="A.113.22">#REF!</definedName>
    <definedName name="A.113.22B">#REF!</definedName>
    <definedName name="A.113.22E">#REF!</definedName>
    <definedName name="A.113.23">#REF!</definedName>
    <definedName name="A.113.23B">#REF!</definedName>
    <definedName name="A.113.23E">#REF!</definedName>
    <definedName name="A.113.24">#REF!</definedName>
    <definedName name="A.113.24B">#REF!</definedName>
    <definedName name="A.113.24E">#REF!</definedName>
    <definedName name="A.113.25">#REF!</definedName>
    <definedName name="A.113.25B">#REF!</definedName>
    <definedName name="A.113.25E">#REF!</definedName>
    <definedName name="A.113.26">#REF!</definedName>
    <definedName name="A.113.26B">#REF!</definedName>
    <definedName name="A.113.26E">#REF!</definedName>
    <definedName name="A.113.27">#REF!</definedName>
    <definedName name="A.113.27B">#REF!</definedName>
    <definedName name="A.113.27E">#REF!</definedName>
    <definedName name="A.113.28">#REF!</definedName>
    <definedName name="A.113.28B">#REF!</definedName>
    <definedName name="A.113.28E">#REF!</definedName>
    <definedName name="A.113.29">#REF!</definedName>
    <definedName name="A.113.29B">#REF!</definedName>
    <definedName name="A.113.29E">#REF!</definedName>
    <definedName name="A.113.2B">#REF!</definedName>
    <definedName name="A.113.2E">#REF!</definedName>
    <definedName name="A.113.3">#REF!</definedName>
    <definedName name="A.113.30">#REF!</definedName>
    <definedName name="A.113.30B">#REF!</definedName>
    <definedName name="A.113.30E">#REF!</definedName>
    <definedName name="A.113.3B">#REF!</definedName>
    <definedName name="A.113.3E">#REF!</definedName>
    <definedName name="A.113.4">#REF!</definedName>
    <definedName name="A.113.4B">#REF!</definedName>
    <definedName name="A.113.4E">#REF!</definedName>
    <definedName name="A.113.5">#REF!</definedName>
    <definedName name="A.113.5B">#REF!</definedName>
    <definedName name="A.113.5E">#REF!</definedName>
    <definedName name="A.113.6">#REF!</definedName>
    <definedName name="A.113.6B">#REF!</definedName>
    <definedName name="A.113.6E">#REF!</definedName>
    <definedName name="A.113.7">#REF!</definedName>
    <definedName name="A.113.7B">#REF!</definedName>
    <definedName name="A.113.7E">#REF!</definedName>
    <definedName name="A.113.8">#REF!</definedName>
    <definedName name="A.113.8B">#REF!</definedName>
    <definedName name="A.113.8E">#REF!</definedName>
    <definedName name="A.113.9">#REF!</definedName>
    <definedName name="A.113.9B">#REF!</definedName>
    <definedName name="A.113.9E">#REF!</definedName>
    <definedName name="A.113.B">#REF!</definedName>
    <definedName name="A.114">#REF!</definedName>
    <definedName name="A.114.1">#REF!</definedName>
    <definedName name="A.114.10">#REF!</definedName>
    <definedName name="A.114.10a">#REF!</definedName>
    <definedName name="A.114.10aB">#REF!</definedName>
    <definedName name="A.114.10aE">#REF!</definedName>
    <definedName name="A.114.10B">#REF!</definedName>
    <definedName name="A.114.10E">#REF!</definedName>
    <definedName name="A.114.11">#REF!</definedName>
    <definedName name="A.114.11a">#REF!</definedName>
    <definedName name="A.114.11aB">#REF!</definedName>
    <definedName name="A.114.11aE">#REF!</definedName>
    <definedName name="A.114.11B">#REF!</definedName>
    <definedName name="A.114.11E">#REF!</definedName>
    <definedName name="A.114.12">#REF!</definedName>
    <definedName name="A.114.12a">#REF!</definedName>
    <definedName name="A.114.12aB">#REF!</definedName>
    <definedName name="A.114.12aE">#REF!</definedName>
    <definedName name="A.114.12B">#REF!</definedName>
    <definedName name="A.114.12E">#REF!</definedName>
    <definedName name="A.114.13">#REF!</definedName>
    <definedName name="A.114.13a">#REF!</definedName>
    <definedName name="A.114.13aB">#REF!</definedName>
    <definedName name="A.114.13aE">#REF!</definedName>
    <definedName name="A.114.13B">#REF!</definedName>
    <definedName name="A.114.13E">#REF!</definedName>
    <definedName name="A.114.14">#REF!</definedName>
    <definedName name="A.114.14a">#REF!</definedName>
    <definedName name="A.114.14aB">#REF!</definedName>
    <definedName name="A.114.14aE">#REF!</definedName>
    <definedName name="A.114.14B">#REF!</definedName>
    <definedName name="A.114.14E">#REF!</definedName>
    <definedName name="A.114.1B">#REF!</definedName>
    <definedName name="A.114.1E">#REF!</definedName>
    <definedName name="A.114.2">#REF!</definedName>
    <definedName name="A.114.2B">#REF!</definedName>
    <definedName name="A.114.2E">#REF!</definedName>
    <definedName name="A.114.3">#REF!</definedName>
    <definedName name="A.114.3B">#REF!</definedName>
    <definedName name="A.114.3E">#REF!</definedName>
    <definedName name="A.114.4">#REF!</definedName>
    <definedName name="A.114.4B">#REF!</definedName>
    <definedName name="A.114.4E">#REF!</definedName>
    <definedName name="A.114.5">#REF!</definedName>
    <definedName name="A.114.5B">#REF!</definedName>
    <definedName name="A.114.5E">#REF!</definedName>
    <definedName name="A.114.6">#REF!</definedName>
    <definedName name="A.114.6B">#REF!</definedName>
    <definedName name="A.114.6E">#REF!</definedName>
    <definedName name="A.114.7">#REF!</definedName>
    <definedName name="A.114.7B">#REF!</definedName>
    <definedName name="A.114.7E">#REF!</definedName>
    <definedName name="A.114.8">#REF!</definedName>
    <definedName name="A.114.8a">#REF!</definedName>
    <definedName name="A.114.8aB">#REF!</definedName>
    <definedName name="A.114.8aE">#REF!</definedName>
    <definedName name="A.114.8B">#REF!</definedName>
    <definedName name="A.114.8E">#REF!</definedName>
    <definedName name="A.114.9">#REF!</definedName>
    <definedName name="A.114.9a">#REF!</definedName>
    <definedName name="A.114.9aB">#REF!</definedName>
    <definedName name="A.114.9aE">#REF!</definedName>
    <definedName name="A.114.9B">#REF!</definedName>
    <definedName name="A.114.9E">#REF!</definedName>
    <definedName name="A.114.B">#REF!</definedName>
    <definedName name="A.12">#REF!</definedName>
    <definedName name="A.13">#REF!</definedName>
    <definedName name="A.14">#REF!</definedName>
    <definedName name="A.15">#REF!</definedName>
    <definedName name="A.16">#REF!</definedName>
    <definedName name="A.17">#REF!</definedName>
    <definedName name="A.18">#REF!</definedName>
    <definedName name="A.18a">#REF!</definedName>
    <definedName name="A.18b">#REF!</definedName>
    <definedName name="A.2">#REF!</definedName>
    <definedName name="A.2_30">#REF!</definedName>
    <definedName name="A.3">#REF!</definedName>
    <definedName name="A.3_30">#REF!</definedName>
    <definedName name="A.364">#REF!</definedName>
    <definedName name="A.4">#REF!</definedName>
    <definedName name="A.4_30">#REF!</definedName>
    <definedName name="A.5">#REF!</definedName>
    <definedName name="A.5a">#REF!</definedName>
    <definedName name="A.6">#REF!</definedName>
    <definedName name="A.6.2">#REF!</definedName>
    <definedName name="A.6.4">#REF!</definedName>
    <definedName name="A.6.5">#REF!</definedName>
    <definedName name="A.6.5a">#REF!</definedName>
    <definedName name="A.6.6">#REF!</definedName>
    <definedName name="A.6.7">#REF!</definedName>
    <definedName name="A.6_1">#REF!</definedName>
    <definedName name="A.7">#REF!</definedName>
    <definedName name="A.I.1">#REF!</definedName>
    <definedName name="A.I.2">#REF!</definedName>
    <definedName name="A.II.1">#REF!</definedName>
    <definedName name="A.II.3">#REF!</definedName>
    <definedName name="A.II.5">#REF!</definedName>
    <definedName name="A.II.6">#REF!</definedName>
    <definedName name="A.II.7">#REF!</definedName>
    <definedName name="A.II.9">#REF!</definedName>
    <definedName name="A.III.1">#REF!</definedName>
    <definedName name="A.III.2">#REF!</definedName>
    <definedName name="A.III.3">#REF!</definedName>
    <definedName name="A.III.5">#REF!</definedName>
    <definedName name="A.III.6">#REF!</definedName>
    <definedName name="A.IX.1">#REF!</definedName>
    <definedName name="A.IX.3">#REF!</definedName>
    <definedName name="A.IX.4">#REF!</definedName>
    <definedName name="A.IX.5">#REF!</definedName>
    <definedName name="A.V.3">#REF!</definedName>
    <definedName name="A.VI.8">#REF!</definedName>
    <definedName name="A.VII.10">#REF!</definedName>
    <definedName name="A.VII.11">#REF!</definedName>
    <definedName name="A.VII.12">#REF!</definedName>
    <definedName name="A.VII.13">#REF!</definedName>
    <definedName name="A.VII.2">#REF!</definedName>
    <definedName name="A.VII.3">#REF!</definedName>
    <definedName name="A.VII.4">#REF!</definedName>
    <definedName name="A.VII.5">#REF!</definedName>
    <definedName name="A.VII.6">#REF!</definedName>
    <definedName name="A.VII.7">#REF!</definedName>
    <definedName name="A.VII.8">#REF!</definedName>
    <definedName name="A.VII.9">#REF!</definedName>
    <definedName name="A.XI.1">#REF!</definedName>
    <definedName name="A.XI.2">#REF!</definedName>
    <definedName name="A.XI.3">#REF!</definedName>
    <definedName name="A.XI.4">#REF!</definedName>
    <definedName name="A.XII.1">#REF!</definedName>
    <definedName name="A.XII.2">#REF!</definedName>
    <definedName name="A.XII.3">#REF!</definedName>
    <definedName name="A.XIII.1">#REF!</definedName>
    <definedName name="A.XIII.10">#REF!</definedName>
    <definedName name="A.XIII.11">#REF!</definedName>
    <definedName name="A.XIII.12">#REF!</definedName>
    <definedName name="A.XIII.13">#REF!</definedName>
    <definedName name="A.XIII.2">#REF!</definedName>
    <definedName name="A.XIII.3">#REF!</definedName>
    <definedName name="A.XIII.9">#REF!</definedName>
    <definedName name="A_008">#REF!</definedName>
    <definedName name="A_061r">#REF!</definedName>
    <definedName name="A_097r">#REF!</definedName>
    <definedName name="A_1">#REF!</definedName>
    <definedName name="A_1_1">#REF!</definedName>
    <definedName name="A_1_1_1">#REF!</definedName>
    <definedName name="A_1_1_2">#REF!</definedName>
    <definedName name="A_1_1_2_1">#REF!</definedName>
    <definedName name="A_1_1_2_1_6">#REF!</definedName>
    <definedName name="A_1_1_2_5">#REF!</definedName>
    <definedName name="A_1_1_2_6">#REF!</definedName>
    <definedName name="A_1_1_2_7">#REF!</definedName>
    <definedName name="A_1_1_2_7_5">#REF!</definedName>
    <definedName name="A_1_1_4">#REF!</definedName>
    <definedName name="A_1_1_4_5">#REF!</definedName>
    <definedName name="A_1_1_5">#REF!</definedName>
    <definedName name="A_1_1_6">#REF!</definedName>
    <definedName name="A_1_1_6_5">#REF!</definedName>
    <definedName name="A_1_1_7">#REF!</definedName>
    <definedName name="A_1_1_7_5">#REF!</definedName>
    <definedName name="A_1_3">#REF!</definedName>
    <definedName name="A_1_3_10">#REF!</definedName>
    <definedName name="A_1_3_11">#REF!</definedName>
    <definedName name="A_1_3_12">#REF!</definedName>
    <definedName name="A_1_3_13">#REF!</definedName>
    <definedName name="A_1_3_4">#REF!</definedName>
    <definedName name="A_1_3_4_5">#REF!</definedName>
    <definedName name="A_1_3_5">#REF!</definedName>
    <definedName name="A_1_3_6">#REF!</definedName>
    <definedName name="A_1_3_6_5">#REF!</definedName>
    <definedName name="A_1_3_7">#REF!</definedName>
    <definedName name="A_1_3_7_5">#REF!</definedName>
    <definedName name="A_1_3_9">#REF!</definedName>
    <definedName name="A_1_4">#REF!</definedName>
    <definedName name="A_1_4_2">#REF!</definedName>
    <definedName name="A_1_4_2_6">#REF!</definedName>
    <definedName name="A_1_4_4">#REF!</definedName>
    <definedName name="A_1_4_4_5">#REF!</definedName>
    <definedName name="A_1_4_5">#REF!</definedName>
    <definedName name="A_1_4_6">#REF!</definedName>
    <definedName name="A_1_4_6_5">#REF!</definedName>
    <definedName name="A_1_4_7">#REF!</definedName>
    <definedName name="A_1_4_7_5">#REF!</definedName>
    <definedName name="A_1_5">#REF!</definedName>
    <definedName name="A_1_5_2">#REF!</definedName>
    <definedName name="A_1_5_2_6">#REF!</definedName>
    <definedName name="A_1_5_4">#REF!</definedName>
    <definedName name="A_1_5_4_5">#REF!</definedName>
    <definedName name="A_1_5_5">#REF!</definedName>
    <definedName name="A_1_5_6">#REF!</definedName>
    <definedName name="A_1_5_6_5">#REF!</definedName>
    <definedName name="A_1_5_7">#REF!</definedName>
    <definedName name="A_1_5_7_5">#REF!</definedName>
    <definedName name="A_1_6">#REF!</definedName>
    <definedName name="A_1_6_10">#REF!</definedName>
    <definedName name="A_1_6_11">#REF!</definedName>
    <definedName name="A_1_6_12">#REF!</definedName>
    <definedName name="A_1_6_13">#REF!</definedName>
    <definedName name="A_1_6_4">#REF!</definedName>
    <definedName name="A_1_6_4_5">#REF!</definedName>
    <definedName name="A_1_6_5">#REF!</definedName>
    <definedName name="A_1_6_6">#REF!</definedName>
    <definedName name="A_1_6_6_5">#REF!</definedName>
    <definedName name="A_1_6_7">#REF!</definedName>
    <definedName name="A_1_6_7_5">#REF!</definedName>
    <definedName name="A_1_6_9">#REF!</definedName>
    <definedName name="A_10">#REF!</definedName>
    <definedName name="a_100">#REF!</definedName>
    <definedName name="A_11">#REF!</definedName>
    <definedName name="A_12">#REF!</definedName>
    <definedName name="A_13">#REF!</definedName>
    <definedName name="A_14">#REF!</definedName>
    <definedName name="A_14_15">#REF!</definedName>
    <definedName name="A_14_15_1">#REF!</definedName>
    <definedName name="A_14_15_16">#REF!</definedName>
    <definedName name="A_14_15_7">#REF!</definedName>
    <definedName name="A_14_16">#REF!</definedName>
    <definedName name="A_14_8">#REF!</definedName>
    <definedName name="A_14_9">#REF!</definedName>
    <definedName name="A_15">#REF!</definedName>
    <definedName name="A_15_1">#REF!</definedName>
    <definedName name="A_15_16">#REF!</definedName>
    <definedName name="A_15_7">#REF!</definedName>
    <definedName name="A_16">#REF!</definedName>
    <definedName name="A_17">#REF!</definedName>
    <definedName name="A_2">#REF!</definedName>
    <definedName name="A_2_1">#REF!</definedName>
    <definedName name="A_2_1_1">#REF!</definedName>
    <definedName name="A_2_1_1_1">#REF!</definedName>
    <definedName name="A_2_1_1_1_6">#REF!</definedName>
    <definedName name="A_2_1_1_5">#REF!</definedName>
    <definedName name="A_2_1_1_6">#REF!</definedName>
    <definedName name="A_2_1_1_7">#REF!</definedName>
    <definedName name="A_2_1_1_7_5">#REF!</definedName>
    <definedName name="A_2_1_10">#REF!</definedName>
    <definedName name="A_2_1_11">#REF!</definedName>
    <definedName name="A_2_1_12">#REF!</definedName>
    <definedName name="A_2_1_13">#REF!</definedName>
    <definedName name="A_2_1_2">#REF!</definedName>
    <definedName name="A_2_1_2_6">#REF!</definedName>
    <definedName name="A_2_1_3">#REF!</definedName>
    <definedName name="A_2_1_3_10">#REF!</definedName>
    <definedName name="A_2_1_3_11">#REF!</definedName>
    <definedName name="A_2_1_3_12">#REF!</definedName>
    <definedName name="A_2_1_3_13">#REF!</definedName>
    <definedName name="A_2_1_3_5">#REF!</definedName>
    <definedName name="A_2_1_3_6">#REF!</definedName>
    <definedName name="A_2_1_3_7">#REF!</definedName>
    <definedName name="A_2_1_3_7_5">#REF!</definedName>
    <definedName name="A_2_1_3_9">#REF!</definedName>
    <definedName name="A_2_1_4">#REF!</definedName>
    <definedName name="A_2_1_4_5">#REF!</definedName>
    <definedName name="A_2_1_5">#REF!</definedName>
    <definedName name="A_2_1_6">#REF!</definedName>
    <definedName name="A_2_1_6_1">#REF!</definedName>
    <definedName name="A_2_1_6_1_5">#REF!</definedName>
    <definedName name="A_2_1_6_10">#REF!</definedName>
    <definedName name="A_2_1_6_11">#REF!</definedName>
    <definedName name="A_2_1_6_12">#REF!</definedName>
    <definedName name="A_2_1_6_13">#REF!</definedName>
    <definedName name="A_2_1_6_5">#REF!</definedName>
    <definedName name="A_2_1_6_6">#REF!</definedName>
    <definedName name="A_2_1_6_7">#REF!</definedName>
    <definedName name="A_2_1_6_7_5">#REF!</definedName>
    <definedName name="A_2_1_6_9">#REF!</definedName>
    <definedName name="A_2_1_7">#REF!</definedName>
    <definedName name="A_2_1_7_5">#REF!</definedName>
    <definedName name="A_2_1_9">#REF!</definedName>
    <definedName name="A_2_2">#REF!</definedName>
    <definedName name="A_2_2_1">#REF!</definedName>
    <definedName name="A_2_2_1_6">#REF!</definedName>
    <definedName name="A_2_2_5">#REF!</definedName>
    <definedName name="A_2_2_6">#REF!</definedName>
    <definedName name="A_2_2_7">#REF!</definedName>
    <definedName name="A_2_2_7_5">#REF!</definedName>
    <definedName name="A_2_3">#REF!</definedName>
    <definedName name="A_2_3_1">#REF!</definedName>
    <definedName name="A_2_3_10">#REF!</definedName>
    <definedName name="A_2_3_11">#REF!</definedName>
    <definedName name="A_2_3_12">#REF!</definedName>
    <definedName name="A_2_3_13">#REF!</definedName>
    <definedName name="A_2_3_2">#REF!</definedName>
    <definedName name="A_2_3_4">#REF!</definedName>
    <definedName name="A_2_3_4_5">#REF!</definedName>
    <definedName name="A_2_3_6">#REF!</definedName>
    <definedName name="A_2_3_6_5">#REF!</definedName>
    <definedName name="A_2_3_7">#REF!</definedName>
    <definedName name="A_2_3_7_5">#REF!</definedName>
    <definedName name="A_2_3_9">#REF!</definedName>
    <definedName name="A_2_4">#REF!</definedName>
    <definedName name="A_2_4_1">#REF!</definedName>
    <definedName name="A_2_4_1_5">#REF!</definedName>
    <definedName name="A_2_4_1_6">#REF!</definedName>
    <definedName name="A_2_4_2">#REF!</definedName>
    <definedName name="A_2_4_2_6">#REF!</definedName>
    <definedName name="A_2_4_4">#REF!</definedName>
    <definedName name="A_2_4_4_5">#REF!</definedName>
    <definedName name="A_2_4_5">#REF!</definedName>
    <definedName name="A_2_4_6">#REF!</definedName>
    <definedName name="A_2_4_6_5">#REF!</definedName>
    <definedName name="A_2_4_7">#REF!</definedName>
    <definedName name="A_2_4_7_5">#REF!</definedName>
    <definedName name="A_2_5">#REF!</definedName>
    <definedName name="A_2_5_2">#REF!</definedName>
    <definedName name="A_2_5_2_6">#REF!</definedName>
    <definedName name="A_2_5_4">#REF!</definedName>
    <definedName name="A_2_5_4_5">#REF!</definedName>
    <definedName name="A_2_5_5">#REF!</definedName>
    <definedName name="A_2_5_6">#REF!</definedName>
    <definedName name="A_2_5_6_5">#REF!</definedName>
    <definedName name="A_2_5_7">#REF!</definedName>
    <definedName name="A_2_5_7_5">#REF!</definedName>
    <definedName name="A_2_6_1">#REF!</definedName>
    <definedName name="A_2_6_1_5">#REF!</definedName>
    <definedName name="A_2_6_10">#REF!</definedName>
    <definedName name="A_2_6_11">#REF!</definedName>
    <definedName name="A_2_6_12">#REF!</definedName>
    <definedName name="A_2_6_13">#REF!</definedName>
    <definedName name="A_2_6_4">#REF!</definedName>
    <definedName name="A_2_6_4_5">#REF!</definedName>
    <definedName name="A_2_6_6">#REF!</definedName>
    <definedName name="A_2_6_6_5">#REF!</definedName>
    <definedName name="A_2_6_9">#REF!</definedName>
    <definedName name="A_22">#REF!</definedName>
    <definedName name="A_3">#REF!</definedName>
    <definedName name="A_3_1">#REF!</definedName>
    <definedName name="A_3_10">#REF!</definedName>
    <definedName name="A_3_11">#REF!</definedName>
    <definedName name="A_3_12">#REF!</definedName>
    <definedName name="A_3_13">#REF!</definedName>
    <definedName name="A_3_2">#REF!</definedName>
    <definedName name="A_3_2_6">#REF!</definedName>
    <definedName name="A_3_4">#REF!</definedName>
    <definedName name="A_3_4_5">#REF!</definedName>
    <definedName name="A_3_5">#REF!</definedName>
    <definedName name="A_3_6">#REF!</definedName>
    <definedName name="A_3_6_5">#REF!</definedName>
    <definedName name="A_3_7">#REF!</definedName>
    <definedName name="A_3_7_5">#REF!</definedName>
    <definedName name="A_3_9">#REF!</definedName>
    <definedName name="A_4">#REF!</definedName>
    <definedName name="A_4_1">#REF!</definedName>
    <definedName name="A_4_1_5">#REF!</definedName>
    <definedName name="A_4_1_6">#REF!</definedName>
    <definedName name="A_4_10">#REF!</definedName>
    <definedName name="A_4_11">#REF!</definedName>
    <definedName name="A_4_12">#REF!</definedName>
    <definedName name="A_4_13">#REF!</definedName>
    <definedName name="A_4_2">#REF!</definedName>
    <definedName name="A_4_2_6">#REF!</definedName>
    <definedName name="A_4_3">#REF!</definedName>
    <definedName name="A_4_3_10">#REF!</definedName>
    <definedName name="A_4_3_11">#REF!</definedName>
    <definedName name="A_4_3_12">#REF!</definedName>
    <definedName name="A_4_3_13">#REF!</definedName>
    <definedName name="A_4_3_5">#REF!</definedName>
    <definedName name="A_4_3_6">#REF!</definedName>
    <definedName name="A_4_3_7">#REF!</definedName>
    <definedName name="A_4_3_7_5">#REF!</definedName>
    <definedName name="A_4_3_9">#REF!</definedName>
    <definedName name="A_4_4">#REF!</definedName>
    <definedName name="A_4_4_5">#REF!</definedName>
    <definedName name="A_4_5">#REF!</definedName>
    <definedName name="A_4_6">#REF!</definedName>
    <definedName name="A_4_6_1">#REF!</definedName>
    <definedName name="A_4_6_1_5">#REF!</definedName>
    <definedName name="A_4_6_10">#REF!</definedName>
    <definedName name="A_4_6_11">#REF!</definedName>
    <definedName name="A_4_6_12">#REF!</definedName>
    <definedName name="A_4_6_13">#REF!</definedName>
    <definedName name="A_4_6_5">#REF!</definedName>
    <definedName name="A_4_6_6">#REF!</definedName>
    <definedName name="A_4_6_7">#REF!</definedName>
    <definedName name="A_4_6_7_5">#REF!</definedName>
    <definedName name="A_4_6_9">#REF!</definedName>
    <definedName name="A_4_7">#REF!</definedName>
    <definedName name="A_4_7_5">#REF!</definedName>
    <definedName name="A_4_8">#REF!</definedName>
    <definedName name="A_4_9">#REF!</definedName>
    <definedName name="A_5">#REF!</definedName>
    <definedName name="A_5_15">#REF!</definedName>
    <definedName name="A_5_15_1">#REF!</definedName>
    <definedName name="A_5_15_16">#REF!</definedName>
    <definedName name="A_5_15_7">#REF!</definedName>
    <definedName name="A_5_16">#REF!</definedName>
    <definedName name="A_5_2">#REF!</definedName>
    <definedName name="A_5_2_6">#REF!</definedName>
    <definedName name="A_5_4">#REF!</definedName>
    <definedName name="A_5_4_5">#REF!</definedName>
    <definedName name="A_5_5">#REF!</definedName>
    <definedName name="A_5_6">#REF!</definedName>
    <definedName name="A_5_6_5">#REF!</definedName>
    <definedName name="A_5_7">#REF!</definedName>
    <definedName name="A_5_7_5">#REF!</definedName>
    <definedName name="A_5_8">#REF!</definedName>
    <definedName name="A_5_9">#REF!</definedName>
    <definedName name="A_6">#REF!</definedName>
    <definedName name="A_6_1">#REF!</definedName>
    <definedName name="A_6_1_5">#REF!</definedName>
    <definedName name="A_6_10">#REF!</definedName>
    <definedName name="A_6_11">#REF!</definedName>
    <definedName name="A_6_12">#REF!</definedName>
    <definedName name="A_6_13">#REF!</definedName>
    <definedName name="A_6_15">#REF!</definedName>
    <definedName name="A_6_15_1">#REF!</definedName>
    <definedName name="A_6_15_16">#REF!</definedName>
    <definedName name="A_6_15_7">#REF!</definedName>
    <definedName name="A_6_16">#REF!</definedName>
    <definedName name="A_6_2">#REF!</definedName>
    <definedName name="A_6_2_6">#REF!</definedName>
    <definedName name="A_6_4">#REF!</definedName>
    <definedName name="A_6_4_5">#REF!</definedName>
    <definedName name="A_6_5">#REF!</definedName>
    <definedName name="A_6_6">#REF!</definedName>
    <definedName name="A_6_6_5">#REF!</definedName>
    <definedName name="A_6_7">#REF!</definedName>
    <definedName name="A_6_7_5">#REF!</definedName>
    <definedName name="A_6_8">#REF!</definedName>
    <definedName name="A_6_9">#REF!</definedName>
    <definedName name="A_7">#REF!</definedName>
    <definedName name="A_7_1">#REF!</definedName>
    <definedName name="A_7_1_5">#REF!</definedName>
    <definedName name="A_7_10">#REF!</definedName>
    <definedName name="A_7_11">#REF!</definedName>
    <definedName name="A_7_12">#REF!</definedName>
    <definedName name="A_7_13">#REF!</definedName>
    <definedName name="A_7_15">#REF!</definedName>
    <definedName name="A_7_15_1">#REF!</definedName>
    <definedName name="A_7_15_16">#REF!</definedName>
    <definedName name="A_7_15_7">#REF!</definedName>
    <definedName name="A_7_16">#REF!</definedName>
    <definedName name="A_7_5">#REF!</definedName>
    <definedName name="A_7_6">#REF!</definedName>
    <definedName name="A_7_7">#REF!</definedName>
    <definedName name="A_7_7_5">#REF!</definedName>
    <definedName name="A_7_8">#REF!</definedName>
    <definedName name="A_7_9">#REF!</definedName>
    <definedName name="A_8">#REF!</definedName>
    <definedName name="A_9">#REF!</definedName>
    <definedName name="A_BESI24">#REF!</definedName>
    <definedName name="A_BTC">#REF!</definedName>
    <definedName name="A_COMPRESSOR">#REF!</definedName>
    <definedName name="A_FINISHER">#REF!</definedName>
    <definedName name="a_grup_tenaga_bahan_alat">#REF!</definedName>
    <definedName name="A_Mech">#REF!</definedName>
    <definedName name="A_MENU">#REF!</definedName>
    <definedName name="A_SPRAYER">#REF!</definedName>
    <definedName name="a0">#REF!</definedName>
    <definedName name="a1..2349">#REF!</definedName>
    <definedName name="A1_">#REF!</definedName>
    <definedName name="A10_">#REF!</definedName>
    <definedName name="A10000000000000">#REF!</definedName>
    <definedName name="a10sw30besi">#REF!</definedName>
    <definedName name="a10sw35besi">#REF!</definedName>
    <definedName name="a10sw40besi">#REF!</definedName>
    <definedName name="A11_">#REF!</definedName>
    <definedName name="a11sw30besi">#REF!</definedName>
    <definedName name="a11sw35besi">#REF!</definedName>
    <definedName name="a11sw40besi">#REF!</definedName>
    <definedName name="A12_">#REF!</definedName>
    <definedName name="A120_">#REF!</definedName>
    <definedName name="A12P6">#REF!</definedName>
    <definedName name="a12sw30besi">#REF!</definedName>
    <definedName name="a12sw35besi">#REF!</definedName>
    <definedName name="a12sw40besi">#REF!</definedName>
    <definedName name="A13_">#REF!</definedName>
    <definedName name="a13sw30besi">#REF!</definedName>
    <definedName name="a13sw35besi">#REF!</definedName>
    <definedName name="a13sw40besi">#REF!</definedName>
    <definedName name="a14sw30besi">#REF!</definedName>
    <definedName name="a14sw35besi">#REF!</definedName>
    <definedName name="a14sw40besi">#REF!</definedName>
    <definedName name="a15sw30besi">#REF!</definedName>
    <definedName name="a15sw35besi">#REF!</definedName>
    <definedName name="a15sw40besi">#REF!</definedName>
    <definedName name="a16sw30besi">#REF!</definedName>
    <definedName name="a16sw35besi">#REF!</definedName>
    <definedName name="a16sw40besi">#REF!</definedName>
    <definedName name="a17sw30besi">#REF!</definedName>
    <definedName name="a17sw35besi">#REF!</definedName>
    <definedName name="a17sw40besi">#REF!</definedName>
    <definedName name="a18sw30besi">#REF!</definedName>
    <definedName name="a18sw35besi">#REF!</definedName>
    <definedName name="a18sw40besi">#REF!</definedName>
    <definedName name="a19sw30besi">#REF!</definedName>
    <definedName name="a19sw35besi">#REF!</definedName>
    <definedName name="a19sw40besi">#REF!</definedName>
    <definedName name="A2_">#REF!</definedName>
    <definedName name="a20sw30besi">#REF!</definedName>
    <definedName name="a20sw35besi">#REF!</definedName>
    <definedName name="a20sw40besi">#REF!</definedName>
    <definedName name="a21sw30besi">#REF!</definedName>
    <definedName name="a21sw35besi">#REF!</definedName>
    <definedName name="a21sw40besi">#REF!</definedName>
    <definedName name="a22sw30besi">#REF!</definedName>
    <definedName name="a22sw35besi">#REF!</definedName>
    <definedName name="a22sw40besi">#REF!</definedName>
    <definedName name="a23sw30besi">#REF!</definedName>
    <definedName name="a23sw35besi">#REF!</definedName>
    <definedName name="a23sw40besi">#REF!</definedName>
    <definedName name="a24sw30besi">#REF!</definedName>
    <definedName name="a24sw35besi">#REF!</definedName>
    <definedName name="a24sw40besi">#REF!</definedName>
    <definedName name="a25sw30besi">#REF!</definedName>
    <definedName name="a25sw35besi">#REF!</definedName>
    <definedName name="a25sw40besi">#REF!</definedName>
    <definedName name="a26sw30besi">#REF!</definedName>
    <definedName name="a26sw35besi">#REF!</definedName>
    <definedName name="a26sw40besi">#REF!</definedName>
    <definedName name="a27sw30besi">#REF!</definedName>
    <definedName name="a27sw35besi">#REF!</definedName>
    <definedName name="a27sw40besi">#REF!</definedName>
    <definedName name="a28sw30besi">#REF!</definedName>
    <definedName name="a28sw35besi">#REF!</definedName>
    <definedName name="a28sw40besi">#REF!</definedName>
    <definedName name="a29sw30besi">#REF!</definedName>
    <definedName name="a29sw35besi">#REF!</definedName>
    <definedName name="a29sw40besi">#REF!</definedName>
    <definedName name="A3_">#REF!</definedName>
    <definedName name="a30sw30besi">#REF!</definedName>
    <definedName name="a30sw35besi">#REF!</definedName>
    <definedName name="a30sw40besi">#REF!</definedName>
    <definedName name="a31sw30besi">#REF!</definedName>
    <definedName name="a31sw35besi">#REF!</definedName>
    <definedName name="a31sw40besi">#REF!</definedName>
    <definedName name="a32sw30besi">#REF!</definedName>
    <definedName name="a32sw35besi">#REF!</definedName>
    <definedName name="a32sw40besi">#REF!</definedName>
    <definedName name="A35_">#REF!</definedName>
    <definedName name="A4_">#REF!</definedName>
    <definedName name="A460.">#REF!</definedName>
    <definedName name="A5_">#REF!</definedName>
    <definedName name="A50_">#REF!</definedName>
    <definedName name="A6_">#REF!</definedName>
    <definedName name="a6cb1beton">#REF!</definedName>
    <definedName name="a6cb3beton">#REF!</definedName>
    <definedName name="a6lisbeton">#REF!</definedName>
    <definedName name="a6pbbeton">#REF!</definedName>
    <definedName name="a6platbeton">#REF!</definedName>
    <definedName name="a6sw30besi">#REF!</definedName>
    <definedName name="a6sw30beton">#REF!</definedName>
    <definedName name="a6sw35besi">#REF!</definedName>
    <definedName name="a6sw35beton">#REF!</definedName>
    <definedName name="a6sw40besi">#REF!</definedName>
    <definedName name="a6sw40beton">#REF!</definedName>
    <definedName name="a6sw45besia7sw45besia8sw45besi">#REF!</definedName>
    <definedName name="a6sw45beton">#REF!</definedName>
    <definedName name="A7_">#REF!</definedName>
    <definedName name="A70_">#REF!</definedName>
    <definedName name="a7sw30besi">#REF!</definedName>
    <definedName name="a7sw35besi">#REF!</definedName>
    <definedName name="a7sw40besi">#REF!</definedName>
    <definedName name="A8_">#REF!</definedName>
    <definedName name="a8sw30besi">#REF!</definedName>
    <definedName name="a8sw35besi">#REF!</definedName>
    <definedName name="a8sw40besi">#REF!</definedName>
    <definedName name="A9_">#REF!</definedName>
    <definedName name="A901.">#REF!</definedName>
    <definedName name="A95_">#REF!</definedName>
    <definedName name="a9sw30besi">#REF!</definedName>
    <definedName name="a9sw35besi">#REF!</definedName>
    <definedName name="a9sw40besi">#REF!</definedName>
    <definedName name="aa" hidden="1">#REF!</definedName>
    <definedName name="AA_01">#REF!</definedName>
    <definedName name="AA_02">#REF!</definedName>
    <definedName name="AA_03">#REF!</definedName>
    <definedName name="AA_04">#REF!</definedName>
    <definedName name="AA_05">#REF!</definedName>
    <definedName name="AA_05A">#REF!</definedName>
    <definedName name="AA_06">#REF!</definedName>
    <definedName name="AA_07">#REF!</definedName>
    <definedName name="AA_08">#REF!</definedName>
    <definedName name="AA_09">#REF!</definedName>
    <definedName name="AA_10">#REF!</definedName>
    <definedName name="AA_11">#REF!</definedName>
    <definedName name="AA_12">#REF!</definedName>
    <definedName name="AA_12A">#REF!</definedName>
    <definedName name="AA_12B">#REF!</definedName>
    <definedName name="AA_14">#REF!</definedName>
    <definedName name="AA_15">#REF!</definedName>
    <definedName name="AA_16">#REF!</definedName>
    <definedName name="AA_17">#REF!</definedName>
    <definedName name="AA_18">#REF!</definedName>
    <definedName name="AA_18A">#REF!</definedName>
    <definedName name="AA_19">#REF!</definedName>
    <definedName name="AA_19A">#REF!</definedName>
    <definedName name="AA_19B">#REF!</definedName>
    <definedName name="AA_19C">#REF!</definedName>
    <definedName name="AA_19D">#REF!</definedName>
    <definedName name="AA_20">#REF!</definedName>
    <definedName name="AA_21">#REF!</definedName>
    <definedName name="AAA" hidden="1">#REF!</definedName>
    <definedName name="aaa_2">#REF!</definedName>
    <definedName name="aaa_2_6">#REF!</definedName>
    <definedName name="aaa_4">#REF!</definedName>
    <definedName name="aaa_4_5">#REF!</definedName>
    <definedName name="aaa_5">#REF!</definedName>
    <definedName name="aaa_6">#REF!</definedName>
    <definedName name="aaa_6_5">#REF!</definedName>
    <definedName name="aaa_7">#REF!</definedName>
    <definedName name="aaa_7_5">#REF!</definedName>
    <definedName name="aaaaa" hidden="1">#REF!</definedName>
    <definedName name="AAAAAAA">#REF!</definedName>
    <definedName name="AAAAAAAAAAA_11111111111111111">#REF!</definedName>
    <definedName name="AAAAAAAAAAAAAAAAAAAAAAAAAAAA">#REF!</definedName>
    <definedName name="aaaaaccccc">#REF!</definedName>
    <definedName name="AAC">[0]!_210_S_3_6_1_1:[0]!_2127detib250_6_1</definedName>
    <definedName name="AAD3_14">NA()</definedName>
    <definedName name="AADR1">#N/A</definedName>
    <definedName name="aAN">#REF!</definedName>
    <definedName name="aanstamp.">#REF!</definedName>
    <definedName name="Aanstm">#REF!</definedName>
    <definedName name="aax">#REF!</definedName>
    <definedName name="aax_1">#REF!</definedName>
    <definedName name="aax_10">#REF!</definedName>
    <definedName name="aax_11">#REF!</definedName>
    <definedName name="aax_12">#REF!</definedName>
    <definedName name="aax_13">#REF!</definedName>
    <definedName name="aax_2">#REF!</definedName>
    <definedName name="aax_2_1">#REF!</definedName>
    <definedName name="aax_2_5">#REF!</definedName>
    <definedName name="aax_3">#REF!</definedName>
    <definedName name="aax_3_2">#REF!</definedName>
    <definedName name="aax_3_4">#REF!</definedName>
    <definedName name="aax_3_4_5">#REF!</definedName>
    <definedName name="aax_3_5">#REF!</definedName>
    <definedName name="aax_3_6">#REF!</definedName>
    <definedName name="aax_3_6_5">#REF!</definedName>
    <definedName name="aax_3_7">#REF!</definedName>
    <definedName name="aax_3_7_5">#REF!</definedName>
    <definedName name="aax_4">#REF!</definedName>
    <definedName name="aax_4_1">#REF!</definedName>
    <definedName name="aax_4_1_5">#REF!</definedName>
    <definedName name="aax_4_10">#REF!</definedName>
    <definedName name="aax_4_11">#REF!</definedName>
    <definedName name="aax_4_12">#REF!</definedName>
    <definedName name="aax_4_13">#REF!</definedName>
    <definedName name="aax_4_2">#REF!</definedName>
    <definedName name="aax_4_4">#REF!</definedName>
    <definedName name="aax_4_4_5">#REF!</definedName>
    <definedName name="aax_4_5">#REF!</definedName>
    <definedName name="aax_4_6">#REF!</definedName>
    <definedName name="aax_4_6_5">#REF!</definedName>
    <definedName name="aax_4_7">#REF!</definedName>
    <definedName name="aax_4_7_5">#REF!</definedName>
    <definedName name="aax_5">#REF!</definedName>
    <definedName name="aax_5_2">#REF!</definedName>
    <definedName name="aax_5_4">#REF!</definedName>
    <definedName name="aax_5_4_5">#REF!</definedName>
    <definedName name="aax_5_5">#REF!</definedName>
    <definedName name="aax_5_6">#REF!</definedName>
    <definedName name="aax_5_6_5">#REF!</definedName>
    <definedName name="aax_5_7">#REF!</definedName>
    <definedName name="aax_5_7_5">#REF!</definedName>
    <definedName name="aax_6">#REF!</definedName>
    <definedName name="aax_6_1">#REF!</definedName>
    <definedName name="aax_6_1_5">#REF!</definedName>
    <definedName name="aax_6_2">#REF!</definedName>
    <definedName name="aax_6_4">#REF!</definedName>
    <definedName name="aax_6_4_5">#REF!</definedName>
    <definedName name="aax_6_5">#REF!</definedName>
    <definedName name="aax_6_6">#REF!</definedName>
    <definedName name="aax_6_6_5">#REF!</definedName>
    <definedName name="aax_6_7">#REF!</definedName>
    <definedName name="aax_6_7_5">#REF!</definedName>
    <definedName name="aax_7">#REF!</definedName>
    <definedName name="aax_7_1">#REF!</definedName>
    <definedName name="aax_7_1_5">#REF!</definedName>
    <definedName name="aax_7_10">#REF!</definedName>
    <definedName name="aax_7_11">#REF!</definedName>
    <definedName name="aax_7_12">#REF!</definedName>
    <definedName name="aax_7_13">#REF!</definedName>
    <definedName name="aax_7_5">#REF!</definedName>
    <definedName name="aax_9">#REF!</definedName>
    <definedName name="ab">#REF!</definedName>
    <definedName name="ab_1">#REF!</definedName>
    <definedName name="ab_10">#REF!</definedName>
    <definedName name="ab_11">#REF!</definedName>
    <definedName name="ab_12">#REF!</definedName>
    <definedName name="ab_13">#REF!</definedName>
    <definedName name="ab_2">#REF!</definedName>
    <definedName name="ab_2_1">#REF!</definedName>
    <definedName name="ab_2_1_6">#REF!</definedName>
    <definedName name="ab_2_5">#REF!</definedName>
    <definedName name="ab_2_6">#REF!</definedName>
    <definedName name="ab_2_7">#REF!</definedName>
    <definedName name="ab_2_7_5">#REF!</definedName>
    <definedName name="ab_3">#REF!</definedName>
    <definedName name="ab_3_10">#REF!</definedName>
    <definedName name="ab_3_11">#REF!</definedName>
    <definedName name="ab_3_12">#REF!</definedName>
    <definedName name="ab_3_13">#REF!</definedName>
    <definedName name="ab_3_5">#REF!</definedName>
    <definedName name="ab_3_6">#REF!</definedName>
    <definedName name="ab_3_7">#REF!</definedName>
    <definedName name="ab_3_7_5">#REF!</definedName>
    <definedName name="ab_3_9">#REF!</definedName>
    <definedName name="ab_4">#REF!</definedName>
    <definedName name="ab_4_5">#REF!</definedName>
    <definedName name="ab_5">#REF!</definedName>
    <definedName name="ab_6">#REF!</definedName>
    <definedName name="ab_6_1">#REF!</definedName>
    <definedName name="ab_6_1_5">#REF!</definedName>
    <definedName name="ab_6_10">#REF!</definedName>
    <definedName name="ab_6_11">#REF!</definedName>
    <definedName name="ab_6_12">#REF!</definedName>
    <definedName name="ab_6_13">#REF!</definedName>
    <definedName name="ab_6_5">#REF!</definedName>
    <definedName name="ab_6_6">#REF!</definedName>
    <definedName name="ab_6_7">#REF!</definedName>
    <definedName name="ab_6_7_5">#REF!</definedName>
    <definedName name="ab_6_9">#REF!</definedName>
    <definedName name="ab_7">#REF!</definedName>
    <definedName name="ab_7_5">#REF!</definedName>
    <definedName name="ab_9">#REF!</definedName>
    <definedName name="abaja">'[44]bhn-upah'!$H$25</definedName>
    <definedName name="abantu">'[45]Sat~Bahu'!$C$76</definedName>
    <definedName name="ABC">#REF!</definedName>
    <definedName name="ABCDEFGH">'[2]lam-moi'!#REF!</definedName>
    <definedName name="abcdefghij">STOP2:STOP2E</definedName>
    <definedName name="abch100">#REF!</definedName>
    <definedName name="abch100_1">#REF!</definedName>
    <definedName name="abch100_1_5">#REF!</definedName>
    <definedName name="abch100_10">#REF!</definedName>
    <definedName name="abch100_11">#REF!</definedName>
    <definedName name="abch100_12">#REF!</definedName>
    <definedName name="abch100_13">#REF!</definedName>
    <definedName name="abch100_2">#REF!</definedName>
    <definedName name="abch100_2_1">#REF!</definedName>
    <definedName name="abch100_2_1_1">#REF!</definedName>
    <definedName name="abch100_2_1_1_6">#REF!</definedName>
    <definedName name="abch100_2_1_5">#REF!</definedName>
    <definedName name="abch100_2_1_6">#REF!</definedName>
    <definedName name="abch100_2_1_7">#REF!</definedName>
    <definedName name="abch100_2_1_7_5">#REF!</definedName>
    <definedName name="abch100_2_5">#REF!</definedName>
    <definedName name="abch100_2_6">#REF!</definedName>
    <definedName name="abch100_2_7">#REF!</definedName>
    <definedName name="abch100_2_7_5">#REF!</definedName>
    <definedName name="abch100_3">#REF!</definedName>
    <definedName name="abch100_3_1">#REF!</definedName>
    <definedName name="abch100_3_10">#REF!</definedName>
    <definedName name="abch100_3_11">#REF!</definedName>
    <definedName name="abch100_3_12">#REF!</definedName>
    <definedName name="abch100_3_13">#REF!</definedName>
    <definedName name="abch100_3_2">#REF!</definedName>
    <definedName name="abch100_3_4">#REF!</definedName>
    <definedName name="abch100_3_4_5">#REF!</definedName>
    <definedName name="abch100_3_5">#REF!</definedName>
    <definedName name="abch100_3_6">#REF!</definedName>
    <definedName name="abch100_3_6_5">#REF!</definedName>
    <definedName name="abch100_3_7">#REF!</definedName>
    <definedName name="abch100_3_7_5">#REF!</definedName>
    <definedName name="abch100_3_9">#REF!</definedName>
    <definedName name="abch100_4">#REF!</definedName>
    <definedName name="abch100_4_1">#REF!</definedName>
    <definedName name="abch100_4_1_5">#REF!</definedName>
    <definedName name="abch100_4_10">#REF!</definedName>
    <definedName name="abch100_4_11">#REF!</definedName>
    <definedName name="abch100_4_12">#REF!</definedName>
    <definedName name="abch100_4_13">#REF!</definedName>
    <definedName name="abch100_4_2">#REF!</definedName>
    <definedName name="abch100_4_2_6">#REF!</definedName>
    <definedName name="abch100_4_4">#REF!</definedName>
    <definedName name="abch100_4_4_5">#REF!</definedName>
    <definedName name="abch100_4_5">#REF!</definedName>
    <definedName name="abch100_4_6">#REF!</definedName>
    <definedName name="abch100_4_6_5">#REF!</definedName>
    <definedName name="abch100_4_7">#REF!</definedName>
    <definedName name="abch100_4_7_5">#REF!</definedName>
    <definedName name="abch100_5">#REF!</definedName>
    <definedName name="abch100_5_2">#REF!</definedName>
    <definedName name="abch100_5_2_6">#REF!</definedName>
    <definedName name="abch100_5_4">#REF!</definedName>
    <definedName name="abch100_5_4_5">#REF!</definedName>
    <definedName name="abch100_5_5">#REF!</definedName>
    <definedName name="abch100_5_6">#REF!</definedName>
    <definedName name="abch100_5_6_5">#REF!</definedName>
    <definedName name="abch100_5_7">#REF!</definedName>
    <definedName name="abch100_5_7_5">#REF!</definedName>
    <definedName name="abch100_6">#REF!</definedName>
    <definedName name="abch100_6_1">#REF!</definedName>
    <definedName name="abch100_6_1_5">#REF!</definedName>
    <definedName name="abch100_6_10">#REF!</definedName>
    <definedName name="abch100_6_11">#REF!</definedName>
    <definedName name="abch100_6_12">#REF!</definedName>
    <definedName name="abch100_6_13">#REF!</definedName>
    <definedName name="abch100_6_4">#REF!</definedName>
    <definedName name="abch100_6_4_5">#REF!</definedName>
    <definedName name="abch100_6_5">#REF!</definedName>
    <definedName name="abch100_6_6">#REF!</definedName>
    <definedName name="abch100_6_6_5">#REF!</definedName>
    <definedName name="abch100_6_7">#REF!</definedName>
    <definedName name="abch100_6_7_5">#REF!</definedName>
    <definedName name="abch100_6_9">#REF!</definedName>
    <definedName name="abch100_7">#REF!</definedName>
    <definedName name="abch100_7_5">#REF!</definedName>
    <definedName name="abch100_9">#REF!</definedName>
    <definedName name="ABCOR">#REF!</definedName>
    <definedName name="abe">[46]Cover!#REF!</definedName>
    <definedName name="aber100">#REF!</definedName>
    <definedName name="aber100_1">#REF!</definedName>
    <definedName name="aber100_1_5">#REF!</definedName>
    <definedName name="aber100_10">#REF!</definedName>
    <definedName name="aber100_11">#REF!</definedName>
    <definedName name="aber100_12">#REF!</definedName>
    <definedName name="aber100_13">#REF!</definedName>
    <definedName name="aber100_2">#REF!</definedName>
    <definedName name="aber100_2_1">#REF!</definedName>
    <definedName name="aber100_2_1_1">#REF!</definedName>
    <definedName name="aber100_2_1_1_6">#REF!</definedName>
    <definedName name="aber100_2_1_5">#REF!</definedName>
    <definedName name="aber100_2_1_6">#REF!</definedName>
    <definedName name="aber100_2_1_7">#REF!</definedName>
    <definedName name="aber100_2_1_7_5">#REF!</definedName>
    <definedName name="aber100_2_5">#REF!</definedName>
    <definedName name="aber100_2_6">#REF!</definedName>
    <definedName name="aber100_3">#REF!</definedName>
    <definedName name="aber100_3_1">#REF!</definedName>
    <definedName name="aber100_3_10">#REF!</definedName>
    <definedName name="aber100_3_11">#REF!</definedName>
    <definedName name="aber100_3_12">#REF!</definedName>
    <definedName name="aber100_3_13">#REF!</definedName>
    <definedName name="aber100_3_2">#REF!</definedName>
    <definedName name="aber100_3_4">#REF!</definedName>
    <definedName name="aber100_3_4_5">#REF!</definedName>
    <definedName name="aber100_3_5">#REF!</definedName>
    <definedName name="aber100_3_6">#REF!</definedName>
    <definedName name="aber100_3_6_5">#REF!</definedName>
    <definedName name="aber100_3_7">#REF!</definedName>
    <definedName name="aber100_3_7_5">#REF!</definedName>
    <definedName name="aber100_3_9">#REF!</definedName>
    <definedName name="aber100_4">#REF!</definedName>
    <definedName name="aber100_4_1">#REF!</definedName>
    <definedName name="aber100_4_1_5">#REF!</definedName>
    <definedName name="aber100_4_10">#REF!</definedName>
    <definedName name="aber100_4_11">#REF!</definedName>
    <definedName name="aber100_4_12">#REF!</definedName>
    <definedName name="aber100_4_13">#REF!</definedName>
    <definedName name="aber100_4_2">#REF!</definedName>
    <definedName name="aber100_4_2_6">#REF!</definedName>
    <definedName name="aber100_4_4">#REF!</definedName>
    <definedName name="aber100_4_4_5">#REF!</definedName>
    <definedName name="aber100_4_5">#REF!</definedName>
    <definedName name="aber100_4_6">#REF!</definedName>
    <definedName name="aber100_4_6_5">#REF!</definedName>
    <definedName name="aber100_4_7">#REF!</definedName>
    <definedName name="aber100_4_7_5">#REF!</definedName>
    <definedName name="aber100_5">#REF!</definedName>
    <definedName name="aber100_5_2">#REF!</definedName>
    <definedName name="aber100_5_2_6">#REF!</definedName>
    <definedName name="aber100_5_4">#REF!</definedName>
    <definedName name="aber100_5_4_5">#REF!</definedName>
    <definedName name="aber100_5_5">#REF!</definedName>
    <definedName name="aber100_5_6">#REF!</definedName>
    <definedName name="aber100_5_6_5">#REF!</definedName>
    <definedName name="aber100_5_7">#REF!</definedName>
    <definedName name="aber100_5_7_5">#REF!</definedName>
    <definedName name="aber100_6">#REF!</definedName>
    <definedName name="aber100_6_1">#REF!</definedName>
    <definedName name="aber100_6_1_5">#REF!</definedName>
    <definedName name="aber100_6_10">#REF!</definedName>
    <definedName name="aber100_6_11">#REF!</definedName>
    <definedName name="aber100_6_12">#REF!</definedName>
    <definedName name="aber100_6_13">#REF!</definedName>
    <definedName name="aber100_6_4">#REF!</definedName>
    <definedName name="aber100_6_4_5">#REF!</definedName>
    <definedName name="aber100_6_5">#REF!</definedName>
    <definedName name="aber100_6_6">#REF!</definedName>
    <definedName name="aber100_6_6_5">#REF!</definedName>
    <definedName name="aber100_6_7">#REF!</definedName>
    <definedName name="aber100_6_7_5">#REF!</definedName>
    <definedName name="aber100_6_9">#REF!</definedName>
    <definedName name="aber100_7">#REF!</definedName>
    <definedName name="aber100_7_5">#REF!</definedName>
    <definedName name="aber100_9">#REF!</definedName>
    <definedName name="aber15">#REF!</definedName>
    <definedName name="aber15_1">#REF!</definedName>
    <definedName name="aber15_1_5">#REF!</definedName>
    <definedName name="aber15_10">#REF!</definedName>
    <definedName name="aber15_11">#REF!</definedName>
    <definedName name="aber15_12">#REF!</definedName>
    <definedName name="aber15_13">#REF!</definedName>
    <definedName name="aber15_2">#REF!</definedName>
    <definedName name="aber15_2_1">#REF!</definedName>
    <definedName name="aber15_2_1_1">#REF!</definedName>
    <definedName name="aber15_2_1_1_6">#REF!</definedName>
    <definedName name="aber15_2_1_5">#REF!</definedName>
    <definedName name="aber15_2_1_6">#REF!</definedName>
    <definedName name="aber15_2_1_7">#REF!</definedName>
    <definedName name="aber15_2_1_7_5">#REF!</definedName>
    <definedName name="aber15_2_5">#REF!</definedName>
    <definedName name="aber15_2_6">#REF!</definedName>
    <definedName name="aber15_2_7">#REF!</definedName>
    <definedName name="aber15_2_7_5">#REF!</definedName>
    <definedName name="aber15_3">#REF!</definedName>
    <definedName name="aber15_3_1">#REF!</definedName>
    <definedName name="aber15_3_10">#REF!</definedName>
    <definedName name="aber15_3_11">#REF!</definedName>
    <definedName name="aber15_3_12">#REF!</definedName>
    <definedName name="aber15_3_13">#REF!</definedName>
    <definedName name="aber15_3_2">#REF!</definedName>
    <definedName name="aber15_3_4">#REF!</definedName>
    <definedName name="aber15_3_4_5">#REF!</definedName>
    <definedName name="aber15_3_5">#REF!</definedName>
    <definedName name="aber15_3_6">#REF!</definedName>
    <definedName name="aber15_3_6_5">#REF!</definedName>
    <definedName name="aber15_3_7">#REF!</definedName>
    <definedName name="aber15_3_7_5">#REF!</definedName>
    <definedName name="aber15_3_9">#REF!</definedName>
    <definedName name="aber15_4">#REF!</definedName>
    <definedName name="aber15_4_1">#REF!</definedName>
    <definedName name="aber15_4_1_5">#REF!</definedName>
    <definedName name="aber15_4_10">#REF!</definedName>
    <definedName name="aber15_4_11">#REF!</definedName>
    <definedName name="aber15_4_12">#REF!</definedName>
    <definedName name="aber15_4_13">#REF!</definedName>
    <definedName name="aber15_4_2">#REF!</definedName>
    <definedName name="aber15_4_2_6">#REF!</definedName>
    <definedName name="aber15_4_4">#REF!</definedName>
    <definedName name="aber15_4_4_5">#REF!</definedName>
    <definedName name="aber15_4_5">#REF!</definedName>
    <definedName name="aber15_4_6">#REF!</definedName>
    <definedName name="aber15_4_6_5">#REF!</definedName>
    <definedName name="aber15_4_7">#REF!</definedName>
    <definedName name="aber15_4_7_5">#REF!</definedName>
    <definedName name="aber15_5">#REF!</definedName>
    <definedName name="aber15_5_2">#REF!</definedName>
    <definedName name="aber15_5_2_6">#REF!</definedName>
    <definedName name="aber15_5_4">#REF!</definedName>
    <definedName name="aber15_5_4_5">#REF!</definedName>
    <definedName name="aber15_5_5">#REF!</definedName>
    <definedName name="aber15_5_6">#REF!</definedName>
    <definedName name="aber15_5_6_5">#REF!</definedName>
    <definedName name="aber15_5_7">#REF!</definedName>
    <definedName name="aber15_5_7_5">#REF!</definedName>
    <definedName name="aber15_6">#REF!</definedName>
    <definedName name="aber15_6_1">#REF!</definedName>
    <definedName name="aber15_6_1_5">#REF!</definedName>
    <definedName name="aber15_6_10">#REF!</definedName>
    <definedName name="aber15_6_11">#REF!</definedName>
    <definedName name="aber15_6_12">#REF!</definedName>
    <definedName name="aber15_6_13">#REF!</definedName>
    <definedName name="aber15_6_4">#REF!</definedName>
    <definedName name="aber15_6_4_5">#REF!</definedName>
    <definedName name="aber15_6_5">#REF!</definedName>
    <definedName name="aber15_6_6">#REF!</definedName>
    <definedName name="aber15_6_6_5">#REF!</definedName>
    <definedName name="aber15_6_7">#REF!</definedName>
    <definedName name="aber15_6_7_5">#REF!</definedName>
    <definedName name="aber15_6_9">#REF!</definedName>
    <definedName name="aber15_7">#REF!</definedName>
    <definedName name="aber15_7_5">#REF!</definedName>
    <definedName name="aber15_9">#REF!</definedName>
    <definedName name="Aber150">#REF!</definedName>
    <definedName name="Aber150_1">#REF!</definedName>
    <definedName name="Aber150_1_5">#REF!</definedName>
    <definedName name="Aber150_10">#REF!</definedName>
    <definedName name="Aber150_11">#REF!</definedName>
    <definedName name="Aber150_12">#REF!</definedName>
    <definedName name="Aber150_13">#REF!</definedName>
    <definedName name="Aber150_2">#REF!</definedName>
    <definedName name="Aber150_2_1">#REF!</definedName>
    <definedName name="Aber150_2_1_1">#REF!</definedName>
    <definedName name="Aber150_2_1_1_6">#REF!</definedName>
    <definedName name="Aber150_2_1_5">#REF!</definedName>
    <definedName name="Aber150_2_1_6">#REF!</definedName>
    <definedName name="Aber150_2_1_7">#REF!</definedName>
    <definedName name="Aber150_2_1_7_5">#REF!</definedName>
    <definedName name="Aber150_2_5">#REF!</definedName>
    <definedName name="Aber150_2_6">#REF!</definedName>
    <definedName name="Aber150_2_7">#REF!</definedName>
    <definedName name="Aber150_2_7_5">#REF!</definedName>
    <definedName name="Aber150_3">#REF!</definedName>
    <definedName name="Aber150_3_1">#REF!</definedName>
    <definedName name="Aber150_3_10">#REF!</definedName>
    <definedName name="Aber150_3_11">#REF!</definedName>
    <definedName name="Aber150_3_12">#REF!</definedName>
    <definedName name="Aber150_3_13">#REF!</definedName>
    <definedName name="Aber150_3_2">#REF!</definedName>
    <definedName name="Aber150_3_4">#REF!</definedName>
    <definedName name="Aber150_3_4_5">#REF!</definedName>
    <definedName name="Aber150_3_5">#REF!</definedName>
    <definedName name="Aber150_3_6">#REF!</definedName>
    <definedName name="Aber150_3_6_5">#REF!</definedName>
    <definedName name="Aber150_3_7">#REF!</definedName>
    <definedName name="Aber150_3_7_5">#REF!</definedName>
    <definedName name="Aber150_3_9">#REF!</definedName>
    <definedName name="Aber150_4">#REF!</definedName>
    <definedName name="Aber150_4_1">#REF!</definedName>
    <definedName name="Aber150_4_1_5">#REF!</definedName>
    <definedName name="Aber150_4_10">#REF!</definedName>
    <definedName name="Aber150_4_11">#REF!</definedName>
    <definedName name="Aber150_4_12">#REF!</definedName>
    <definedName name="Aber150_4_13">#REF!</definedName>
    <definedName name="Aber150_4_2">#REF!</definedName>
    <definedName name="Aber150_4_2_6">#REF!</definedName>
    <definedName name="Aber150_4_4">#REF!</definedName>
    <definedName name="Aber150_4_4_5">#REF!</definedName>
    <definedName name="Aber150_4_5">#REF!</definedName>
    <definedName name="Aber150_4_6">#REF!</definedName>
    <definedName name="Aber150_4_6_5">#REF!</definedName>
    <definedName name="Aber150_4_7">#REF!</definedName>
    <definedName name="Aber150_4_7_5">#REF!</definedName>
    <definedName name="Aber150_5">#REF!</definedName>
    <definedName name="Aber150_5_2">#REF!</definedName>
    <definedName name="Aber150_5_2_6">#REF!</definedName>
    <definedName name="Aber150_5_4">#REF!</definedName>
    <definedName name="Aber150_5_4_5">#REF!</definedName>
    <definedName name="Aber150_5_5">#REF!</definedName>
    <definedName name="Aber150_5_6">#REF!</definedName>
    <definedName name="Aber150_5_6_5">#REF!</definedName>
    <definedName name="Aber150_5_7">#REF!</definedName>
    <definedName name="Aber150_5_7_5">#REF!</definedName>
    <definedName name="Aber150_6">#REF!</definedName>
    <definedName name="Aber150_6_1">#REF!</definedName>
    <definedName name="Aber150_6_1_5">#REF!</definedName>
    <definedName name="Aber150_6_10">#REF!</definedName>
    <definedName name="Aber150_6_11">#REF!</definedName>
    <definedName name="Aber150_6_12">#REF!</definedName>
    <definedName name="Aber150_6_13">#REF!</definedName>
    <definedName name="Aber150_6_4">#REF!</definedName>
    <definedName name="Aber150_6_4_5">#REF!</definedName>
    <definedName name="Aber150_6_5">#REF!</definedName>
    <definedName name="Aber150_6_6">#REF!</definedName>
    <definedName name="Aber150_6_6_5">#REF!</definedName>
    <definedName name="Aber150_6_7">#REF!</definedName>
    <definedName name="Aber150_6_7_5">#REF!</definedName>
    <definedName name="Aber150_6_9">#REF!</definedName>
    <definedName name="Aber150_7">#REF!</definedName>
    <definedName name="Aber150_7_5">#REF!</definedName>
    <definedName name="Aber150_9">#REF!</definedName>
    <definedName name="aber2">#REF!</definedName>
    <definedName name="aber2_1">#REF!</definedName>
    <definedName name="aber2_1_5">#REF!</definedName>
    <definedName name="aber2_10">#REF!</definedName>
    <definedName name="aber2_11">#REF!</definedName>
    <definedName name="aber2_12">#REF!</definedName>
    <definedName name="aber2_13">#REF!</definedName>
    <definedName name="aber2_2">#REF!</definedName>
    <definedName name="aber2_2_1">#REF!</definedName>
    <definedName name="aber2_2_1_1">#REF!</definedName>
    <definedName name="aber2_2_1_1_6">#REF!</definedName>
    <definedName name="aber2_2_1_5">#REF!</definedName>
    <definedName name="aber2_2_1_6">#REF!</definedName>
    <definedName name="aber2_2_1_7">#REF!</definedName>
    <definedName name="aber2_2_1_7_5">#REF!</definedName>
    <definedName name="aber2_2_5">#REF!</definedName>
    <definedName name="aber2_2_6">#REF!</definedName>
    <definedName name="aber2_3">#REF!</definedName>
    <definedName name="aber2_3_1">#REF!</definedName>
    <definedName name="aber2_3_10">#REF!</definedName>
    <definedName name="aber2_3_11">#REF!</definedName>
    <definedName name="aber2_3_12">#REF!</definedName>
    <definedName name="aber2_3_13">#REF!</definedName>
    <definedName name="aber2_3_2">#REF!</definedName>
    <definedName name="aber2_3_4">#REF!</definedName>
    <definedName name="aber2_3_4_5">#REF!</definedName>
    <definedName name="aber2_3_5">#REF!</definedName>
    <definedName name="aber2_3_6">#REF!</definedName>
    <definedName name="aber2_3_6_5">#REF!</definedName>
    <definedName name="aber2_3_7">#REF!</definedName>
    <definedName name="aber2_3_7_5">#REF!</definedName>
    <definedName name="aber2_3_9">#REF!</definedName>
    <definedName name="aber2_4">#REF!</definedName>
    <definedName name="aber2_4_1">#REF!</definedName>
    <definedName name="aber2_4_1_5">#REF!</definedName>
    <definedName name="aber2_4_10">#REF!</definedName>
    <definedName name="aber2_4_11">#REF!</definedName>
    <definedName name="aber2_4_12">#REF!</definedName>
    <definedName name="aber2_4_13">#REF!</definedName>
    <definedName name="aber2_4_2">#REF!</definedName>
    <definedName name="aber2_4_2_6">#REF!</definedName>
    <definedName name="aber2_4_4">#REF!</definedName>
    <definedName name="aber2_4_4_5">#REF!</definedName>
    <definedName name="aber2_4_5">#REF!</definedName>
    <definedName name="aber2_4_6">#REF!</definedName>
    <definedName name="aber2_4_6_5">#REF!</definedName>
    <definedName name="aber2_4_7">#REF!</definedName>
    <definedName name="aber2_4_7_5">#REF!</definedName>
    <definedName name="aber2_5">#REF!</definedName>
    <definedName name="aber2_5_2">#REF!</definedName>
    <definedName name="aber2_5_2_6">#REF!</definedName>
    <definedName name="aber2_5_4">#REF!</definedName>
    <definedName name="aber2_5_4_5">#REF!</definedName>
    <definedName name="aber2_5_5">#REF!</definedName>
    <definedName name="aber2_5_6">#REF!</definedName>
    <definedName name="aber2_5_6_5">#REF!</definedName>
    <definedName name="aber2_5_7">#REF!</definedName>
    <definedName name="aber2_5_7_5">#REF!</definedName>
    <definedName name="aber2_6">#REF!</definedName>
    <definedName name="aber2_6_1">#REF!</definedName>
    <definedName name="aber2_6_1_5">#REF!</definedName>
    <definedName name="aber2_6_10">#REF!</definedName>
    <definedName name="aber2_6_11">#REF!</definedName>
    <definedName name="aber2_6_12">#REF!</definedName>
    <definedName name="aber2_6_13">#REF!</definedName>
    <definedName name="aber2_6_4">#REF!</definedName>
    <definedName name="aber2_6_4_5">#REF!</definedName>
    <definedName name="aber2_6_5">#REF!</definedName>
    <definedName name="aber2_6_6">#REF!</definedName>
    <definedName name="aber2_6_6_5">#REF!</definedName>
    <definedName name="aber2_6_7">#REF!</definedName>
    <definedName name="aber2_6_7_5">#REF!</definedName>
    <definedName name="aber2_6_9">#REF!</definedName>
    <definedName name="aber2_7">#REF!</definedName>
    <definedName name="aber2_7_5">#REF!</definedName>
    <definedName name="aber2_9">#REF!</definedName>
    <definedName name="aber20">#REF!</definedName>
    <definedName name="aber20_1">#REF!</definedName>
    <definedName name="aber20_1_5">#REF!</definedName>
    <definedName name="aber20_10">#REF!</definedName>
    <definedName name="aber20_11">#REF!</definedName>
    <definedName name="aber20_12">#REF!</definedName>
    <definedName name="aber20_13">#REF!</definedName>
    <definedName name="aber20_2">#REF!</definedName>
    <definedName name="aber20_2_1">#REF!</definedName>
    <definedName name="aber20_2_1_1">#REF!</definedName>
    <definedName name="aber20_2_1_1_6">#REF!</definedName>
    <definedName name="aber20_2_1_5">#REF!</definedName>
    <definedName name="aber20_2_1_6">#REF!</definedName>
    <definedName name="aber20_2_1_7">#REF!</definedName>
    <definedName name="aber20_2_1_7_5">#REF!</definedName>
    <definedName name="aber20_2_5">#REF!</definedName>
    <definedName name="aber20_2_6">#REF!</definedName>
    <definedName name="aber20_2_7">#REF!</definedName>
    <definedName name="aber20_2_7_5">#REF!</definedName>
    <definedName name="aber20_3">#REF!</definedName>
    <definedName name="aber20_3_1">#REF!</definedName>
    <definedName name="aber20_3_10">#REF!</definedName>
    <definedName name="aber20_3_11">#REF!</definedName>
    <definedName name="aber20_3_12">#REF!</definedName>
    <definedName name="aber20_3_13">#REF!</definedName>
    <definedName name="aber20_3_2">#REF!</definedName>
    <definedName name="aber20_3_4">#REF!</definedName>
    <definedName name="aber20_3_4_5">#REF!</definedName>
    <definedName name="aber20_3_5">#REF!</definedName>
    <definedName name="aber20_3_6">#REF!</definedName>
    <definedName name="aber20_3_6_5">#REF!</definedName>
    <definedName name="aber20_3_7">#REF!</definedName>
    <definedName name="aber20_3_7_5">#REF!</definedName>
    <definedName name="aber20_3_9">#REF!</definedName>
    <definedName name="aber20_4">#REF!</definedName>
    <definedName name="aber20_4_1">#REF!</definedName>
    <definedName name="aber20_4_1_5">#REF!</definedName>
    <definedName name="aber20_4_10">#REF!</definedName>
    <definedName name="aber20_4_11">#REF!</definedName>
    <definedName name="aber20_4_12">#REF!</definedName>
    <definedName name="aber20_4_13">#REF!</definedName>
    <definedName name="aber20_4_2">#REF!</definedName>
    <definedName name="aber20_4_2_6">#REF!</definedName>
    <definedName name="aber20_4_4">#REF!</definedName>
    <definedName name="aber20_4_4_5">#REF!</definedName>
    <definedName name="aber20_4_5">#REF!</definedName>
    <definedName name="aber20_4_6">#REF!</definedName>
    <definedName name="aber20_4_6_5">#REF!</definedName>
    <definedName name="aber20_4_7">#REF!</definedName>
    <definedName name="aber20_4_7_5">#REF!</definedName>
    <definedName name="aber20_5">#REF!</definedName>
    <definedName name="aber20_5_2">#REF!</definedName>
    <definedName name="aber20_5_2_6">#REF!</definedName>
    <definedName name="aber20_5_4">#REF!</definedName>
    <definedName name="aber20_5_4_5">#REF!</definedName>
    <definedName name="aber20_5_5">#REF!</definedName>
    <definedName name="aber20_5_6">#REF!</definedName>
    <definedName name="aber20_5_6_5">#REF!</definedName>
    <definedName name="aber20_5_7">#REF!</definedName>
    <definedName name="aber20_5_7_5">#REF!</definedName>
    <definedName name="aber20_6">#REF!</definedName>
    <definedName name="aber20_6_1">#REF!</definedName>
    <definedName name="aber20_6_1_5">#REF!</definedName>
    <definedName name="aber20_6_10">#REF!</definedName>
    <definedName name="aber20_6_11">#REF!</definedName>
    <definedName name="aber20_6_12">#REF!</definedName>
    <definedName name="aber20_6_13">#REF!</definedName>
    <definedName name="aber20_6_4">#REF!</definedName>
    <definedName name="aber20_6_4_5">#REF!</definedName>
    <definedName name="aber20_6_5">#REF!</definedName>
    <definedName name="aber20_6_6">#REF!</definedName>
    <definedName name="aber20_6_6_5">#REF!</definedName>
    <definedName name="aber20_6_7">#REF!</definedName>
    <definedName name="aber20_6_7_5">#REF!</definedName>
    <definedName name="aber20_6_9">#REF!</definedName>
    <definedName name="aber20_7">#REF!</definedName>
    <definedName name="aber20_7_5">#REF!</definedName>
    <definedName name="aber20_9">#REF!</definedName>
    <definedName name="aber25">#REF!</definedName>
    <definedName name="aber25_1">#REF!</definedName>
    <definedName name="aber25_1_5">#REF!</definedName>
    <definedName name="aber25_10">#REF!</definedName>
    <definedName name="aber25_11">#REF!</definedName>
    <definedName name="aber25_12">#REF!</definedName>
    <definedName name="aber25_13">#REF!</definedName>
    <definedName name="aber25_2">#REF!</definedName>
    <definedName name="aber25_2_1">#REF!</definedName>
    <definedName name="aber25_2_1_1">#REF!</definedName>
    <definedName name="aber25_2_1_1_6">#REF!</definedName>
    <definedName name="aber25_2_1_5">#REF!</definedName>
    <definedName name="aber25_2_1_6">#REF!</definedName>
    <definedName name="aber25_2_1_7">#REF!</definedName>
    <definedName name="aber25_2_1_7_5">#REF!</definedName>
    <definedName name="aber25_2_5">#REF!</definedName>
    <definedName name="aber25_2_6">#REF!</definedName>
    <definedName name="aber25_2_7">#REF!</definedName>
    <definedName name="aber25_2_7_5">#REF!</definedName>
    <definedName name="aber25_3">#REF!</definedName>
    <definedName name="aber25_3_1">#REF!</definedName>
    <definedName name="aber25_3_10">#REF!</definedName>
    <definedName name="aber25_3_11">#REF!</definedName>
    <definedName name="aber25_3_12">#REF!</definedName>
    <definedName name="aber25_3_13">#REF!</definedName>
    <definedName name="aber25_3_2">#REF!</definedName>
    <definedName name="aber25_3_4">#REF!</definedName>
    <definedName name="aber25_3_4_5">#REF!</definedName>
    <definedName name="aber25_3_5">#REF!</definedName>
    <definedName name="aber25_3_6">#REF!</definedName>
    <definedName name="aber25_3_6_5">#REF!</definedName>
    <definedName name="aber25_3_7">#REF!</definedName>
    <definedName name="aber25_3_7_5">#REF!</definedName>
    <definedName name="aber25_3_9">#REF!</definedName>
    <definedName name="aber25_4">#REF!</definedName>
    <definedName name="aber25_4_1">#REF!</definedName>
    <definedName name="aber25_4_1_5">#REF!</definedName>
    <definedName name="aber25_4_10">#REF!</definedName>
    <definedName name="aber25_4_11">#REF!</definedName>
    <definedName name="aber25_4_12">#REF!</definedName>
    <definedName name="aber25_4_13">#REF!</definedName>
    <definedName name="aber25_4_2">#REF!</definedName>
    <definedName name="aber25_4_2_6">#REF!</definedName>
    <definedName name="aber25_4_4">#REF!</definedName>
    <definedName name="aber25_4_4_5">#REF!</definedName>
    <definedName name="aber25_4_5">#REF!</definedName>
    <definedName name="aber25_4_6">#REF!</definedName>
    <definedName name="aber25_4_6_5">#REF!</definedName>
    <definedName name="aber25_4_7">#REF!</definedName>
    <definedName name="aber25_4_7_5">#REF!</definedName>
    <definedName name="aber25_5">#REF!</definedName>
    <definedName name="aber25_5_2">#REF!</definedName>
    <definedName name="aber25_5_2_6">#REF!</definedName>
    <definedName name="aber25_5_4">#REF!</definedName>
    <definedName name="aber25_5_4_5">#REF!</definedName>
    <definedName name="aber25_5_5">#REF!</definedName>
    <definedName name="aber25_5_6">#REF!</definedName>
    <definedName name="aber25_5_6_5">#REF!</definedName>
    <definedName name="aber25_5_7">#REF!</definedName>
    <definedName name="aber25_5_7_5">#REF!</definedName>
    <definedName name="aber25_6">#REF!</definedName>
    <definedName name="aber25_6_1">#REF!</definedName>
    <definedName name="aber25_6_1_5">#REF!</definedName>
    <definedName name="aber25_6_10">#REF!</definedName>
    <definedName name="aber25_6_11">#REF!</definedName>
    <definedName name="aber25_6_12">#REF!</definedName>
    <definedName name="aber25_6_13">#REF!</definedName>
    <definedName name="aber25_6_4">#REF!</definedName>
    <definedName name="aber25_6_4_5">#REF!</definedName>
    <definedName name="aber25_6_5">#REF!</definedName>
    <definedName name="aber25_6_6">#REF!</definedName>
    <definedName name="aber25_6_6_5">#REF!</definedName>
    <definedName name="aber25_6_7">#REF!</definedName>
    <definedName name="aber25_6_7_5">#REF!</definedName>
    <definedName name="aber25_6_9">#REF!</definedName>
    <definedName name="aber25_7">#REF!</definedName>
    <definedName name="aber25_7_5">#REF!</definedName>
    <definedName name="aber25_9">#REF!</definedName>
    <definedName name="aber32">#REF!</definedName>
    <definedName name="aber32_1">#REF!</definedName>
    <definedName name="aber32_1_5">#REF!</definedName>
    <definedName name="aber32_10">#REF!</definedName>
    <definedName name="aber32_11">#REF!</definedName>
    <definedName name="aber32_12">#REF!</definedName>
    <definedName name="aber32_13">#REF!</definedName>
    <definedName name="aber32_2">#REF!</definedName>
    <definedName name="aber32_2_1">#REF!</definedName>
    <definedName name="aber32_2_1_1">#REF!</definedName>
    <definedName name="aber32_2_1_1_6">#REF!</definedName>
    <definedName name="aber32_2_1_5">#REF!</definedName>
    <definedName name="aber32_2_1_6">#REF!</definedName>
    <definedName name="aber32_2_1_7">#REF!</definedName>
    <definedName name="aber32_2_1_7_5">#REF!</definedName>
    <definedName name="aber32_2_5">#REF!</definedName>
    <definedName name="aber32_2_6">#REF!</definedName>
    <definedName name="aber32_2_7">#REF!</definedName>
    <definedName name="aber32_2_7_5">#REF!</definedName>
    <definedName name="aber32_3">#REF!</definedName>
    <definedName name="aber32_3_1">#REF!</definedName>
    <definedName name="aber32_3_10">#REF!</definedName>
    <definedName name="aber32_3_11">#REF!</definedName>
    <definedName name="aber32_3_12">#REF!</definedName>
    <definedName name="aber32_3_13">#REF!</definedName>
    <definedName name="aber32_3_2">#REF!</definedName>
    <definedName name="aber32_3_4">#REF!</definedName>
    <definedName name="aber32_3_4_5">#REF!</definedName>
    <definedName name="aber32_3_5">#REF!</definedName>
    <definedName name="aber32_3_6">#REF!</definedName>
    <definedName name="aber32_3_6_5">#REF!</definedName>
    <definedName name="aber32_3_7">#REF!</definedName>
    <definedName name="aber32_3_7_5">#REF!</definedName>
    <definedName name="aber32_3_9">#REF!</definedName>
    <definedName name="aber32_4">#REF!</definedName>
    <definedName name="aber32_4_1">#REF!</definedName>
    <definedName name="aber32_4_1_5">#REF!</definedName>
    <definedName name="aber32_4_10">#REF!</definedName>
    <definedName name="aber32_4_11">#REF!</definedName>
    <definedName name="aber32_4_12">#REF!</definedName>
    <definedName name="aber32_4_13">#REF!</definedName>
    <definedName name="aber32_4_2">#REF!</definedName>
    <definedName name="aber32_4_2_6">#REF!</definedName>
    <definedName name="aber32_4_4">#REF!</definedName>
    <definedName name="aber32_4_4_5">#REF!</definedName>
    <definedName name="aber32_4_5">#REF!</definedName>
    <definedName name="aber32_4_6">#REF!</definedName>
    <definedName name="aber32_4_6_5">#REF!</definedName>
    <definedName name="aber32_4_7">#REF!</definedName>
    <definedName name="aber32_4_7_5">#REF!</definedName>
    <definedName name="aber32_5">#REF!</definedName>
    <definedName name="aber32_5_2">#REF!</definedName>
    <definedName name="aber32_5_2_6">#REF!</definedName>
    <definedName name="aber32_5_4">#REF!</definedName>
    <definedName name="aber32_5_4_5">#REF!</definedName>
    <definedName name="aber32_5_5">#REF!</definedName>
    <definedName name="aber32_5_6">#REF!</definedName>
    <definedName name="aber32_5_6_5">#REF!</definedName>
    <definedName name="aber32_5_7">#REF!</definedName>
    <definedName name="aber32_5_7_5">#REF!</definedName>
    <definedName name="aber32_6">#REF!</definedName>
    <definedName name="aber32_6_1">#REF!</definedName>
    <definedName name="aber32_6_1_5">#REF!</definedName>
    <definedName name="aber32_6_10">#REF!</definedName>
    <definedName name="aber32_6_11">#REF!</definedName>
    <definedName name="aber32_6_12">#REF!</definedName>
    <definedName name="aber32_6_13">#REF!</definedName>
    <definedName name="aber32_6_4">#REF!</definedName>
    <definedName name="aber32_6_4_5">#REF!</definedName>
    <definedName name="aber32_6_5">#REF!</definedName>
    <definedName name="aber32_6_6">#REF!</definedName>
    <definedName name="aber32_6_6_5">#REF!</definedName>
    <definedName name="aber32_6_7">#REF!</definedName>
    <definedName name="aber32_6_7_5">#REF!</definedName>
    <definedName name="aber32_6_9">#REF!</definedName>
    <definedName name="aber32_7">#REF!</definedName>
    <definedName name="aber32_7_5">#REF!</definedName>
    <definedName name="aber32_9">#REF!</definedName>
    <definedName name="aber4">#REF!</definedName>
    <definedName name="aber4_1">#REF!</definedName>
    <definedName name="aber4_1_5">#REF!</definedName>
    <definedName name="aber4_10">#REF!</definedName>
    <definedName name="aber4_11">#REF!</definedName>
    <definedName name="aber4_12">#REF!</definedName>
    <definedName name="aber4_13">#REF!</definedName>
    <definedName name="aber4_2">#REF!</definedName>
    <definedName name="aber4_2_1">#REF!</definedName>
    <definedName name="aber4_2_1_1">#REF!</definedName>
    <definedName name="aber4_2_1_1_6">#REF!</definedName>
    <definedName name="aber4_2_1_5">#REF!</definedName>
    <definedName name="aber4_2_1_6">#REF!</definedName>
    <definedName name="aber4_2_1_7">#REF!</definedName>
    <definedName name="aber4_2_1_7_5">#REF!</definedName>
    <definedName name="aber4_2_5">#REF!</definedName>
    <definedName name="aber4_2_6">#REF!</definedName>
    <definedName name="aber4_3">#REF!</definedName>
    <definedName name="aber4_3_1">#REF!</definedName>
    <definedName name="aber4_3_10">#REF!</definedName>
    <definedName name="aber4_3_11">#REF!</definedName>
    <definedName name="aber4_3_12">#REF!</definedName>
    <definedName name="aber4_3_13">#REF!</definedName>
    <definedName name="aber4_3_2">#REF!</definedName>
    <definedName name="aber4_3_4">#REF!</definedName>
    <definedName name="aber4_3_4_5">#REF!</definedName>
    <definedName name="aber4_3_5">#REF!</definedName>
    <definedName name="aber4_3_6">#REF!</definedName>
    <definedName name="aber4_3_6_5">#REF!</definedName>
    <definedName name="aber4_3_7">#REF!</definedName>
    <definedName name="aber4_3_7_5">#REF!</definedName>
    <definedName name="aber4_3_9">#REF!</definedName>
    <definedName name="aber4_4">#REF!</definedName>
    <definedName name="aber4_4_1">#REF!</definedName>
    <definedName name="aber4_4_1_5">#REF!</definedName>
    <definedName name="aber4_4_10">#REF!</definedName>
    <definedName name="aber4_4_11">#REF!</definedName>
    <definedName name="aber4_4_12">#REF!</definedName>
    <definedName name="aber4_4_13">#REF!</definedName>
    <definedName name="aber4_4_2">#REF!</definedName>
    <definedName name="aber4_4_2_6">#REF!</definedName>
    <definedName name="aber4_4_4">#REF!</definedName>
    <definedName name="aber4_4_4_5">#REF!</definedName>
    <definedName name="aber4_4_5">#REF!</definedName>
    <definedName name="aber4_4_6">#REF!</definedName>
    <definedName name="aber4_4_6_5">#REF!</definedName>
    <definedName name="aber4_4_7">#REF!</definedName>
    <definedName name="aber4_4_7_5">#REF!</definedName>
    <definedName name="aber4_5">#REF!</definedName>
    <definedName name="aber4_5_2">#REF!</definedName>
    <definedName name="aber4_5_2_6">#REF!</definedName>
    <definedName name="aber4_5_4">#REF!</definedName>
    <definedName name="aber4_5_4_5">#REF!</definedName>
    <definedName name="aber4_5_5">#REF!</definedName>
    <definedName name="aber4_5_6">#REF!</definedName>
    <definedName name="aber4_5_6_5">#REF!</definedName>
    <definedName name="aber4_5_7">#REF!</definedName>
    <definedName name="aber4_5_7_5">#REF!</definedName>
    <definedName name="aber4_6">#REF!</definedName>
    <definedName name="aber4_6_1">#REF!</definedName>
    <definedName name="aber4_6_1_5">#REF!</definedName>
    <definedName name="aber4_6_10">#REF!</definedName>
    <definedName name="aber4_6_11">#REF!</definedName>
    <definedName name="aber4_6_12">#REF!</definedName>
    <definedName name="aber4_6_13">#REF!</definedName>
    <definedName name="aber4_6_4">#REF!</definedName>
    <definedName name="aber4_6_4_5">#REF!</definedName>
    <definedName name="aber4_6_5">#REF!</definedName>
    <definedName name="aber4_6_6">#REF!</definedName>
    <definedName name="aber4_6_6_5">#REF!</definedName>
    <definedName name="aber4_6_7">#REF!</definedName>
    <definedName name="aber4_6_7_5">#REF!</definedName>
    <definedName name="aber4_6_9">#REF!</definedName>
    <definedName name="aber4_7">#REF!</definedName>
    <definedName name="aber4_7_5">#REF!</definedName>
    <definedName name="aber4_9">#REF!</definedName>
    <definedName name="aber40">#REF!</definedName>
    <definedName name="aber40_1">#REF!</definedName>
    <definedName name="aber40_1_5">#REF!</definedName>
    <definedName name="aber40_10">#REF!</definedName>
    <definedName name="aber40_11">#REF!</definedName>
    <definedName name="aber40_12">#REF!</definedName>
    <definedName name="aber40_13">#REF!</definedName>
    <definedName name="aber40_2">#REF!</definedName>
    <definedName name="aber40_2_1">#REF!</definedName>
    <definedName name="aber40_2_1_1">#REF!</definedName>
    <definedName name="aber40_2_1_1_6">#REF!</definedName>
    <definedName name="aber40_2_1_5">#REF!</definedName>
    <definedName name="aber40_2_1_6">#REF!</definedName>
    <definedName name="aber40_2_1_7">#REF!</definedName>
    <definedName name="aber40_2_1_7_5">#REF!</definedName>
    <definedName name="aber40_2_5">#REF!</definedName>
    <definedName name="aber40_2_6">#REF!</definedName>
    <definedName name="aber40_2_7">#REF!</definedName>
    <definedName name="aber40_2_7_5">#REF!</definedName>
    <definedName name="aber40_3">#REF!</definedName>
    <definedName name="aber40_3_1">#REF!</definedName>
    <definedName name="aber40_3_10">#REF!</definedName>
    <definedName name="aber40_3_11">#REF!</definedName>
    <definedName name="aber40_3_12">#REF!</definedName>
    <definedName name="aber40_3_13">#REF!</definedName>
    <definedName name="aber40_3_2">#REF!</definedName>
    <definedName name="aber40_3_4">#REF!</definedName>
    <definedName name="aber40_3_4_5">#REF!</definedName>
    <definedName name="aber40_3_5">#REF!</definedName>
    <definedName name="aber40_3_6">#REF!</definedName>
    <definedName name="aber40_3_6_5">#REF!</definedName>
    <definedName name="aber40_3_7">#REF!</definedName>
    <definedName name="aber40_3_7_5">#REF!</definedName>
    <definedName name="aber40_3_9">#REF!</definedName>
    <definedName name="aber40_4">#REF!</definedName>
    <definedName name="aber40_4_1">#REF!</definedName>
    <definedName name="aber40_4_1_5">#REF!</definedName>
    <definedName name="aber40_4_10">#REF!</definedName>
    <definedName name="aber40_4_11">#REF!</definedName>
    <definedName name="aber40_4_12">#REF!</definedName>
    <definedName name="aber40_4_13">#REF!</definedName>
    <definedName name="aber40_4_2">#REF!</definedName>
    <definedName name="aber40_4_2_6">#REF!</definedName>
    <definedName name="aber40_4_4">#REF!</definedName>
    <definedName name="aber40_4_4_5">#REF!</definedName>
    <definedName name="aber40_4_5">#REF!</definedName>
    <definedName name="aber40_4_6">#REF!</definedName>
    <definedName name="aber40_4_6_5">#REF!</definedName>
    <definedName name="aber40_4_7">#REF!</definedName>
    <definedName name="aber40_4_7_5">#REF!</definedName>
    <definedName name="aber40_5">#REF!</definedName>
    <definedName name="aber40_5_2">#REF!</definedName>
    <definedName name="aber40_5_2_6">#REF!</definedName>
    <definedName name="aber40_5_4">#REF!</definedName>
    <definedName name="aber40_5_4_5">#REF!</definedName>
    <definedName name="aber40_5_5">#REF!</definedName>
    <definedName name="aber40_5_6">#REF!</definedName>
    <definedName name="aber40_5_6_5">#REF!</definedName>
    <definedName name="aber40_5_7">#REF!</definedName>
    <definedName name="aber40_5_7_5">#REF!</definedName>
    <definedName name="aber40_6">#REF!</definedName>
    <definedName name="aber40_6_1">#REF!</definedName>
    <definedName name="aber40_6_1_5">#REF!</definedName>
    <definedName name="aber40_6_10">#REF!</definedName>
    <definedName name="aber40_6_11">#REF!</definedName>
    <definedName name="aber40_6_12">#REF!</definedName>
    <definedName name="aber40_6_13">#REF!</definedName>
    <definedName name="aber40_6_4">#REF!</definedName>
    <definedName name="aber40_6_4_5">#REF!</definedName>
    <definedName name="aber40_6_5">#REF!</definedName>
    <definedName name="aber40_6_6">#REF!</definedName>
    <definedName name="aber40_6_6_5">#REF!</definedName>
    <definedName name="aber40_6_7">#REF!</definedName>
    <definedName name="aber40_6_7_5">#REF!</definedName>
    <definedName name="aber40_6_9">#REF!</definedName>
    <definedName name="aber40_7">#REF!</definedName>
    <definedName name="aber40_7_5">#REF!</definedName>
    <definedName name="aber40_9">#REF!</definedName>
    <definedName name="aber50">#REF!</definedName>
    <definedName name="aber50_1">#REF!</definedName>
    <definedName name="aber50_1_5">#REF!</definedName>
    <definedName name="aber50_10">#REF!</definedName>
    <definedName name="aber50_11">#REF!</definedName>
    <definedName name="aber50_12">#REF!</definedName>
    <definedName name="aber50_13">#REF!</definedName>
    <definedName name="aber50_2">#REF!</definedName>
    <definedName name="aber50_2_1">#REF!</definedName>
    <definedName name="aber50_2_1_1">#REF!</definedName>
    <definedName name="aber50_2_1_1_6">#REF!</definedName>
    <definedName name="aber50_2_1_5">#REF!</definedName>
    <definedName name="aber50_2_1_6">#REF!</definedName>
    <definedName name="aber50_2_1_7">#REF!</definedName>
    <definedName name="aber50_2_1_7_5">#REF!</definedName>
    <definedName name="aber50_2_5">#REF!</definedName>
    <definedName name="aber50_2_6">#REF!</definedName>
    <definedName name="aber50_3">#REF!</definedName>
    <definedName name="aber50_3_1">#REF!</definedName>
    <definedName name="aber50_3_10">#REF!</definedName>
    <definedName name="aber50_3_11">#REF!</definedName>
    <definedName name="aber50_3_12">#REF!</definedName>
    <definedName name="aber50_3_13">#REF!</definedName>
    <definedName name="aber50_3_2">#REF!</definedName>
    <definedName name="aber50_3_4">#REF!</definedName>
    <definedName name="aber50_3_4_5">#REF!</definedName>
    <definedName name="aber50_3_5">#REF!</definedName>
    <definedName name="aber50_3_6">#REF!</definedName>
    <definedName name="aber50_3_6_5">#REF!</definedName>
    <definedName name="aber50_3_7">#REF!</definedName>
    <definedName name="aber50_3_7_5">#REF!</definedName>
    <definedName name="aber50_3_9">#REF!</definedName>
    <definedName name="aber50_4">#REF!</definedName>
    <definedName name="aber50_4_1">#REF!</definedName>
    <definedName name="aber50_4_1_5">#REF!</definedName>
    <definedName name="aber50_4_10">#REF!</definedName>
    <definedName name="aber50_4_11">#REF!</definedName>
    <definedName name="aber50_4_12">#REF!</definedName>
    <definedName name="aber50_4_13">#REF!</definedName>
    <definedName name="aber50_4_2">#REF!</definedName>
    <definedName name="aber50_4_2_6">#REF!</definedName>
    <definedName name="aber50_4_4">#REF!</definedName>
    <definedName name="aber50_4_4_5">#REF!</definedName>
    <definedName name="aber50_4_5">#REF!</definedName>
    <definedName name="aber50_4_6">#REF!</definedName>
    <definedName name="aber50_4_6_5">#REF!</definedName>
    <definedName name="aber50_4_7">#REF!</definedName>
    <definedName name="aber50_4_7_5">#REF!</definedName>
    <definedName name="aber50_5">#REF!</definedName>
    <definedName name="aber50_5_2">#REF!</definedName>
    <definedName name="aber50_5_2_6">#REF!</definedName>
    <definedName name="aber50_5_4">#REF!</definedName>
    <definedName name="aber50_5_4_5">#REF!</definedName>
    <definedName name="aber50_5_5">#REF!</definedName>
    <definedName name="aber50_5_6">#REF!</definedName>
    <definedName name="aber50_5_6_5">#REF!</definedName>
    <definedName name="aber50_5_7">#REF!</definedName>
    <definedName name="aber50_5_7_5">#REF!</definedName>
    <definedName name="aber50_6">#REF!</definedName>
    <definedName name="aber50_6_1">#REF!</definedName>
    <definedName name="aber50_6_1_5">#REF!</definedName>
    <definedName name="aber50_6_10">#REF!</definedName>
    <definedName name="aber50_6_11">#REF!</definedName>
    <definedName name="aber50_6_12">#REF!</definedName>
    <definedName name="aber50_6_13">#REF!</definedName>
    <definedName name="aber50_6_4">#REF!</definedName>
    <definedName name="aber50_6_4_5">#REF!</definedName>
    <definedName name="aber50_6_5">#REF!</definedName>
    <definedName name="aber50_6_6">#REF!</definedName>
    <definedName name="aber50_6_6_5">#REF!</definedName>
    <definedName name="aber50_6_7">#REF!</definedName>
    <definedName name="aber50_6_7_5">#REF!</definedName>
    <definedName name="aber50_6_9">#REF!</definedName>
    <definedName name="aber50_7">#REF!</definedName>
    <definedName name="aber50_7_5">#REF!</definedName>
    <definedName name="aber50_9">#REF!</definedName>
    <definedName name="Aber6">#REF!</definedName>
    <definedName name="Aber6_1">#REF!</definedName>
    <definedName name="Aber6_1_5">#REF!</definedName>
    <definedName name="Aber6_10">#REF!</definedName>
    <definedName name="Aber6_11">#REF!</definedName>
    <definedName name="Aber6_12">#REF!</definedName>
    <definedName name="Aber6_13">#REF!</definedName>
    <definedName name="Aber6_2">#REF!</definedName>
    <definedName name="Aber6_2_1">#REF!</definedName>
    <definedName name="Aber6_2_1_1">#REF!</definedName>
    <definedName name="Aber6_2_1_1_6">#REF!</definedName>
    <definedName name="Aber6_2_1_5">#REF!</definedName>
    <definedName name="Aber6_2_1_6">#REF!</definedName>
    <definedName name="Aber6_2_1_7">#REF!</definedName>
    <definedName name="Aber6_2_1_7_5">#REF!</definedName>
    <definedName name="Aber6_2_5">#REF!</definedName>
    <definedName name="Aber6_2_6">#REF!</definedName>
    <definedName name="Aber6_2_7">#REF!</definedName>
    <definedName name="Aber6_2_7_5">#REF!</definedName>
    <definedName name="Aber6_3">#REF!</definedName>
    <definedName name="Aber6_3_1">#REF!</definedName>
    <definedName name="Aber6_3_10">#REF!</definedName>
    <definedName name="Aber6_3_11">#REF!</definedName>
    <definedName name="Aber6_3_12">#REF!</definedName>
    <definedName name="Aber6_3_13">#REF!</definedName>
    <definedName name="Aber6_3_2">#REF!</definedName>
    <definedName name="Aber6_3_4">#REF!</definedName>
    <definedName name="Aber6_3_4_5">#REF!</definedName>
    <definedName name="Aber6_3_5">#REF!</definedName>
    <definedName name="Aber6_3_6">#REF!</definedName>
    <definedName name="Aber6_3_6_5">#REF!</definedName>
    <definedName name="Aber6_3_7">#REF!</definedName>
    <definedName name="Aber6_3_7_5">#REF!</definedName>
    <definedName name="Aber6_3_9">#REF!</definedName>
    <definedName name="Aber6_4">#REF!</definedName>
    <definedName name="Aber6_4_1">#REF!</definedName>
    <definedName name="Aber6_4_1_5">#REF!</definedName>
    <definedName name="Aber6_4_10">#REF!</definedName>
    <definedName name="Aber6_4_11">#REF!</definedName>
    <definedName name="Aber6_4_12">#REF!</definedName>
    <definedName name="Aber6_4_13">#REF!</definedName>
    <definedName name="Aber6_4_2">#REF!</definedName>
    <definedName name="Aber6_4_2_6">#REF!</definedName>
    <definedName name="Aber6_4_4">#REF!</definedName>
    <definedName name="Aber6_4_4_5">#REF!</definedName>
    <definedName name="Aber6_4_5">#REF!</definedName>
    <definedName name="Aber6_4_6">#REF!</definedName>
    <definedName name="Aber6_4_6_5">#REF!</definedName>
    <definedName name="Aber6_4_7">#REF!</definedName>
    <definedName name="Aber6_4_7_5">#REF!</definedName>
    <definedName name="Aber6_5">#REF!</definedName>
    <definedName name="Aber6_5_2">#REF!</definedName>
    <definedName name="Aber6_5_2_6">#REF!</definedName>
    <definedName name="Aber6_5_4">#REF!</definedName>
    <definedName name="Aber6_5_4_5">#REF!</definedName>
    <definedName name="Aber6_5_5">#REF!</definedName>
    <definedName name="Aber6_5_6">#REF!</definedName>
    <definedName name="Aber6_5_6_5">#REF!</definedName>
    <definedName name="Aber6_5_7">#REF!</definedName>
    <definedName name="Aber6_5_7_5">#REF!</definedName>
    <definedName name="Aber6_6">#REF!</definedName>
    <definedName name="Aber6_6_1">#REF!</definedName>
    <definedName name="Aber6_6_1_5">#REF!</definedName>
    <definedName name="Aber6_6_10">#REF!</definedName>
    <definedName name="Aber6_6_11">#REF!</definedName>
    <definedName name="Aber6_6_12">#REF!</definedName>
    <definedName name="Aber6_6_13">#REF!</definedName>
    <definedName name="Aber6_6_4">#REF!</definedName>
    <definedName name="Aber6_6_4_5">#REF!</definedName>
    <definedName name="Aber6_6_5">#REF!</definedName>
    <definedName name="Aber6_6_6">#REF!</definedName>
    <definedName name="Aber6_6_6_5">#REF!</definedName>
    <definedName name="Aber6_6_7">#REF!</definedName>
    <definedName name="Aber6_6_7_5">#REF!</definedName>
    <definedName name="Aber6_6_9">#REF!</definedName>
    <definedName name="Aber6_7">#REF!</definedName>
    <definedName name="Aber6_7_5">#REF!</definedName>
    <definedName name="Aber6_9">#REF!</definedName>
    <definedName name="aber80">#REF!</definedName>
    <definedName name="aber80_1">#REF!</definedName>
    <definedName name="aber80_1_5">#REF!</definedName>
    <definedName name="aber80_10">#REF!</definedName>
    <definedName name="aber80_11">#REF!</definedName>
    <definedName name="aber80_12">#REF!</definedName>
    <definedName name="aber80_13">#REF!</definedName>
    <definedName name="aber80_2">#REF!</definedName>
    <definedName name="aber80_2_1">#REF!</definedName>
    <definedName name="aber80_2_1_1">#REF!</definedName>
    <definedName name="aber80_2_1_1_6">#REF!</definedName>
    <definedName name="aber80_2_1_5">#REF!</definedName>
    <definedName name="aber80_2_1_6">#REF!</definedName>
    <definedName name="aber80_2_1_7">#REF!</definedName>
    <definedName name="aber80_2_1_7_5">#REF!</definedName>
    <definedName name="aber80_2_5">#REF!</definedName>
    <definedName name="aber80_2_6">#REF!</definedName>
    <definedName name="aber80_2_7">#REF!</definedName>
    <definedName name="aber80_2_7_5">#REF!</definedName>
    <definedName name="aber80_3">#REF!</definedName>
    <definedName name="aber80_3_1">#REF!</definedName>
    <definedName name="aber80_3_10">#REF!</definedName>
    <definedName name="aber80_3_11">#REF!</definedName>
    <definedName name="aber80_3_12">#REF!</definedName>
    <definedName name="aber80_3_13">#REF!</definedName>
    <definedName name="aber80_3_2">#REF!</definedName>
    <definedName name="aber80_3_4">#REF!</definedName>
    <definedName name="aber80_3_4_5">#REF!</definedName>
    <definedName name="aber80_3_5">#REF!</definedName>
    <definedName name="aber80_3_6">#REF!</definedName>
    <definedName name="aber80_3_6_5">#REF!</definedName>
    <definedName name="aber80_3_7">#REF!</definedName>
    <definedName name="aber80_3_7_5">#REF!</definedName>
    <definedName name="aber80_3_9">#REF!</definedName>
    <definedName name="aber80_4">#REF!</definedName>
    <definedName name="aber80_4_1">#REF!</definedName>
    <definedName name="aber80_4_1_5">#REF!</definedName>
    <definedName name="aber80_4_10">#REF!</definedName>
    <definedName name="aber80_4_11">#REF!</definedName>
    <definedName name="aber80_4_12">#REF!</definedName>
    <definedName name="aber80_4_13">#REF!</definedName>
    <definedName name="aber80_4_2">#REF!</definedName>
    <definedName name="aber80_4_2_6">#REF!</definedName>
    <definedName name="aber80_4_4">#REF!</definedName>
    <definedName name="aber80_4_4_5">#REF!</definedName>
    <definedName name="aber80_4_5">#REF!</definedName>
    <definedName name="aber80_4_6">#REF!</definedName>
    <definedName name="aber80_4_6_5">#REF!</definedName>
    <definedName name="aber80_4_7">#REF!</definedName>
    <definedName name="aber80_4_7_5">#REF!</definedName>
    <definedName name="aber80_5">#REF!</definedName>
    <definedName name="aber80_5_2">#REF!</definedName>
    <definedName name="aber80_5_2_6">#REF!</definedName>
    <definedName name="aber80_5_4">#REF!</definedName>
    <definedName name="aber80_5_4_5">#REF!</definedName>
    <definedName name="aber80_5_5">#REF!</definedName>
    <definedName name="aber80_5_6">#REF!</definedName>
    <definedName name="aber80_5_6_5">#REF!</definedName>
    <definedName name="aber80_5_7">#REF!</definedName>
    <definedName name="aber80_5_7_5">#REF!</definedName>
    <definedName name="aber80_6">#REF!</definedName>
    <definedName name="aber80_6_1">#REF!</definedName>
    <definedName name="aber80_6_1_5">#REF!</definedName>
    <definedName name="aber80_6_10">#REF!</definedName>
    <definedName name="aber80_6_11">#REF!</definedName>
    <definedName name="aber80_6_12">#REF!</definedName>
    <definedName name="aber80_6_13">#REF!</definedName>
    <definedName name="aber80_6_4">#REF!</definedName>
    <definedName name="aber80_6_4_5">#REF!</definedName>
    <definedName name="aber80_6_5">#REF!</definedName>
    <definedName name="aber80_6_6">#REF!</definedName>
    <definedName name="aber80_6_6_5">#REF!</definedName>
    <definedName name="aber80_6_7">#REF!</definedName>
    <definedName name="aber80_6_7_5">#REF!</definedName>
    <definedName name="aber80_6_9">#REF!</definedName>
    <definedName name="aber80_7">#REF!</definedName>
    <definedName name="aber80_7_5">#REF!</definedName>
    <definedName name="aber80_9">#REF!</definedName>
    <definedName name="aberf100">#REF!</definedName>
    <definedName name="aberf100_1">#REF!</definedName>
    <definedName name="aberf100_1_5">#REF!</definedName>
    <definedName name="aberf100_10">#REF!</definedName>
    <definedName name="aberf100_11">#REF!</definedName>
    <definedName name="aberf100_12">#REF!</definedName>
    <definedName name="aberf100_13">#REF!</definedName>
    <definedName name="aberf100_2">#REF!</definedName>
    <definedName name="aberf100_2_1">#REF!</definedName>
    <definedName name="aberf100_2_1_1">#REF!</definedName>
    <definedName name="aberf100_2_1_1_6">#REF!</definedName>
    <definedName name="aberf100_2_1_5">#REF!</definedName>
    <definedName name="aberf100_2_1_7">#REF!</definedName>
    <definedName name="aberf100_2_1_7_5">#REF!</definedName>
    <definedName name="aberf100_2_5">#REF!</definedName>
    <definedName name="aberf100_2_6">#REF!</definedName>
    <definedName name="aberf100_3">#REF!</definedName>
    <definedName name="aberf100_3_1">#REF!</definedName>
    <definedName name="aberf100_3_10">#REF!</definedName>
    <definedName name="aberf100_3_11">#REF!</definedName>
    <definedName name="aberf100_3_12">#REF!</definedName>
    <definedName name="aberf100_3_13">#REF!</definedName>
    <definedName name="aberf100_3_2">#REF!</definedName>
    <definedName name="aberf100_3_4">#REF!</definedName>
    <definedName name="aberf100_3_4_5">#REF!</definedName>
    <definedName name="aberf100_3_5">#REF!</definedName>
    <definedName name="aberf100_3_6">#REF!</definedName>
    <definedName name="aberf100_3_6_5">#REF!</definedName>
    <definedName name="aberf100_3_7">#REF!</definedName>
    <definedName name="aberf100_3_7_5">#REF!</definedName>
    <definedName name="aberf100_3_9">#REF!</definedName>
    <definedName name="aberf100_4">#REF!</definedName>
    <definedName name="aberf100_4_1">#REF!</definedName>
    <definedName name="aberf100_4_1_5">#REF!</definedName>
    <definedName name="aberf100_4_10">#REF!</definedName>
    <definedName name="aberf100_4_11">#REF!</definedName>
    <definedName name="aberf100_4_12">#REF!</definedName>
    <definedName name="aberf100_4_13">#REF!</definedName>
    <definedName name="aberf100_4_2">#REF!</definedName>
    <definedName name="aberf100_4_2_6">#REF!</definedName>
    <definedName name="aberf100_4_4">#REF!</definedName>
    <definedName name="aberf100_4_4_5">#REF!</definedName>
    <definedName name="aberf100_4_5">#REF!</definedName>
    <definedName name="aberf100_4_6">#REF!</definedName>
    <definedName name="aberf100_4_6_5">#REF!</definedName>
    <definedName name="aberf100_4_7">#REF!</definedName>
    <definedName name="aberf100_4_7_5">#REF!</definedName>
    <definedName name="aberf100_5">#REF!</definedName>
    <definedName name="aberf100_5_2">#REF!</definedName>
    <definedName name="aberf100_5_2_6">#REF!</definedName>
    <definedName name="aberf100_5_4">#REF!</definedName>
    <definedName name="aberf100_5_4_5">#REF!</definedName>
    <definedName name="aberf100_5_5">#REF!</definedName>
    <definedName name="aberf100_5_6">#REF!</definedName>
    <definedName name="aberf100_5_6_5">#REF!</definedName>
    <definedName name="aberf100_5_7">#REF!</definedName>
    <definedName name="aberf100_5_7_5">#REF!</definedName>
    <definedName name="aberf100_6">#REF!</definedName>
    <definedName name="aberf100_6_1">#REF!</definedName>
    <definedName name="aberf100_6_1_5">#REF!</definedName>
    <definedName name="aberf100_6_10">#REF!</definedName>
    <definedName name="aberf100_6_11">#REF!</definedName>
    <definedName name="aberf100_6_12">#REF!</definedName>
    <definedName name="aberf100_6_13">#REF!</definedName>
    <definedName name="aberf100_6_4">#REF!</definedName>
    <definedName name="aberf100_6_4_5">#REF!</definedName>
    <definedName name="aberf100_6_5">#REF!</definedName>
    <definedName name="aberf100_6_6">#REF!</definedName>
    <definedName name="aberf100_6_6_5">#REF!</definedName>
    <definedName name="aberf100_6_7">#REF!</definedName>
    <definedName name="aberf100_6_7_5">#REF!</definedName>
    <definedName name="aberf100_6_9">#REF!</definedName>
    <definedName name="aberf100_7">#REF!</definedName>
    <definedName name="aberf100_7_5">#REF!</definedName>
    <definedName name="aberf100_9">#REF!</definedName>
    <definedName name="aberf150">#REF!</definedName>
    <definedName name="aberf150_1">#REF!</definedName>
    <definedName name="aberf150_1_5">#REF!</definedName>
    <definedName name="aberf150_10">#REF!</definedName>
    <definedName name="aberf150_11">#REF!</definedName>
    <definedName name="aberf150_12">#REF!</definedName>
    <definedName name="aberf150_13">#REF!</definedName>
    <definedName name="aberf150_2">#REF!</definedName>
    <definedName name="aberf150_2_1">#REF!</definedName>
    <definedName name="aberf150_2_1_1">#REF!</definedName>
    <definedName name="aberf150_2_1_1_6">#REF!</definedName>
    <definedName name="aberf150_2_1_5">#REF!</definedName>
    <definedName name="aberf150_2_1_6">#REF!</definedName>
    <definedName name="aberf150_2_1_7">#REF!</definedName>
    <definedName name="aberf150_2_1_7_5">#REF!</definedName>
    <definedName name="aberf150_2_5">#REF!</definedName>
    <definedName name="aberf150_2_6">#REF!</definedName>
    <definedName name="aberf150_2_7">#REF!</definedName>
    <definedName name="aberf150_2_7_5">#REF!</definedName>
    <definedName name="aberf150_3">#REF!</definedName>
    <definedName name="aberf150_3_1">#REF!</definedName>
    <definedName name="aberf150_3_10">#REF!</definedName>
    <definedName name="aberf150_3_11">#REF!</definedName>
    <definedName name="aberf150_3_12">#REF!</definedName>
    <definedName name="aberf150_3_13">#REF!</definedName>
    <definedName name="aberf150_3_2">#REF!</definedName>
    <definedName name="aberf150_3_4">#REF!</definedName>
    <definedName name="aberf150_3_4_5">#REF!</definedName>
    <definedName name="aberf150_3_5">#REF!</definedName>
    <definedName name="aberf150_3_6">#REF!</definedName>
    <definedName name="aberf150_3_6_5">#REF!</definedName>
    <definedName name="aberf150_3_7">#REF!</definedName>
    <definedName name="aberf150_3_7_5">#REF!</definedName>
    <definedName name="aberf150_3_9">#REF!</definedName>
    <definedName name="aberf150_4">#REF!</definedName>
    <definedName name="aberf150_4_1">#REF!</definedName>
    <definedName name="aberf150_4_1_5">#REF!</definedName>
    <definedName name="aberf150_4_10">#REF!</definedName>
    <definedName name="aberf150_4_11">#REF!</definedName>
    <definedName name="aberf150_4_12">#REF!</definedName>
    <definedName name="aberf150_4_13">#REF!</definedName>
    <definedName name="aberf150_4_2">#REF!</definedName>
    <definedName name="aberf150_4_2_6">#REF!</definedName>
    <definedName name="aberf150_4_4">#REF!</definedName>
    <definedName name="aberf150_4_4_5">#REF!</definedName>
    <definedName name="aberf150_4_5">#REF!</definedName>
    <definedName name="aberf150_4_6">#REF!</definedName>
    <definedName name="aberf150_4_6_5">#REF!</definedName>
    <definedName name="aberf150_4_7">#REF!</definedName>
    <definedName name="aberf150_4_7_5">#REF!</definedName>
    <definedName name="aberf150_5">#REF!</definedName>
    <definedName name="aberf150_5_2">#REF!</definedName>
    <definedName name="aberf150_5_2_6">#REF!</definedName>
    <definedName name="aberf150_5_4">#REF!</definedName>
    <definedName name="aberf150_5_4_5">#REF!</definedName>
    <definedName name="aberf150_5_5">#REF!</definedName>
    <definedName name="aberf150_5_6">#REF!</definedName>
    <definedName name="aberf150_5_6_5">#REF!</definedName>
    <definedName name="aberf150_5_7">#REF!</definedName>
    <definedName name="aberf150_5_7_5">#REF!</definedName>
    <definedName name="aberf150_6">#REF!</definedName>
    <definedName name="aberf150_6_1">#REF!</definedName>
    <definedName name="aberf150_6_1_5">#REF!</definedName>
    <definedName name="aberf150_6_10">#REF!</definedName>
    <definedName name="aberf150_6_11">#REF!</definedName>
    <definedName name="aberf150_6_12">#REF!</definedName>
    <definedName name="aberf150_6_13">#REF!</definedName>
    <definedName name="aberf150_6_4">#REF!</definedName>
    <definedName name="aberf150_6_4_5">#REF!</definedName>
    <definedName name="aberf150_6_5">#REF!</definedName>
    <definedName name="aberf150_6_6">#REF!</definedName>
    <definedName name="aberf150_6_6_5">#REF!</definedName>
    <definedName name="aberf150_6_7">#REF!</definedName>
    <definedName name="aberf150_6_7_5">#REF!</definedName>
    <definedName name="aberf150_6_9">#REF!</definedName>
    <definedName name="aberf150_7">#REF!</definedName>
    <definedName name="aberf150_7_5">#REF!</definedName>
    <definedName name="aberf150_9">#REF!</definedName>
    <definedName name="aberf4">#REF!</definedName>
    <definedName name="aberf4_1">#REF!</definedName>
    <definedName name="aberf4_1_5">#REF!</definedName>
    <definedName name="aberf4_10">#REF!</definedName>
    <definedName name="aberf4_11">#REF!</definedName>
    <definedName name="aberf4_12">#REF!</definedName>
    <definedName name="aberf4_13">#REF!</definedName>
    <definedName name="aberf4_2">#REF!</definedName>
    <definedName name="aberf4_2_1">#REF!</definedName>
    <definedName name="aberf4_2_1_1">#REF!</definedName>
    <definedName name="aberf4_2_1_1_6">#REF!</definedName>
    <definedName name="aberf4_2_1_5">#REF!</definedName>
    <definedName name="aberf4_2_1_7">#REF!</definedName>
    <definedName name="aberf4_2_1_7_5">#REF!</definedName>
    <definedName name="aberf4_2_5">#REF!</definedName>
    <definedName name="aberf4_2_6">#REF!</definedName>
    <definedName name="aberf4_3">#REF!</definedName>
    <definedName name="aberf4_3_1">#REF!</definedName>
    <definedName name="aberf4_3_10">#REF!</definedName>
    <definedName name="aberf4_3_11">#REF!</definedName>
    <definedName name="aberf4_3_12">#REF!</definedName>
    <definedName name="aberf4_3_13">#REF!</definedName>
    <definedName name="aberf4_3_2">#REF!</definedName>
    <definedName name="aberf4_3_4">#REF!</definedName>
    <definedName name="aberf4_3_4_5">#REF!</definedName>
    <definedName name="aberf4_3_5">#REF!</definedName>
    <definedName name="aberf4_3_6">#REF!</definedName>
    <definedName name="aberf4_3_6_5">#REF!</definedName>
    <definedName name="aberf4_3_7">#REF!</definedName>
    <definedName name="aberf4_3_7_5">#REF!</definedName>
    <definedName name="aberf4_3_9">#REF!</definedName>
    <definedName name="aberf4_4">#REF!</definedName>
    <definedName name="aberf4_4_1">#REF!</definedName>
    <definedName name="aberf4_4_1_5">#REF!</definedName>
    <definedName name="aberf4_4_10">#REF!</definedName>
    <definedName name="aberf4_4_11">#REF!</definedName>
    <definedName name="aberf4_4_12">#REF!</definedName>
    <definedName name="aberf4_4_13">#REF!</definedName>
    <definedName name="aberf4_4_2">#REF!</definedName>
    <definedName name="aberf4_4_2_6">#REF!</definedName>
    <definedName name="aberf4_4_4">#REF!</definedName>
    <definedName name="aberf4_4_4_5">#REF!</definedName>
    <definedName name="aberf4_4_5">#REF!</definedName>
    <definedName name="aberf4_4_6">#REF!</definedName>
    <definedName name="aberf4_4_6_5">#REF!</definedName>
    <definedName name="aberf4_4_7">#REF!</definedName>
    <definedName name="aberf4_4_7_5">#REF!</definedName>
    <definedName name="aberf4_5">#REF!</definedName>
    <definedName name="aberf4_5_2">#REF!</definedName>
    <definedName name="aberf4_5_2_6">#REF!</definedName>
    <definedName name="aberf4_5_4">#REF!</definedName>
    <definedName name="aberf4_5_4_5">#REF!</definedName>
    <definedName name="aberf4_5_5">#REF!</definedName>
    <definedName name="aberf4_5_6">#REF!</definedName>
    <definedName name="aberf4_5_6_5">#REF!</definedName>
    <definedName name="aberf4_5_7">#REF!</definedName>
    <definedName name="aberf4_5_7_5">#REF!</definedName>
    <definedName name="aberf4_6">#REF!</definedName>
    <definedName name="aberf4_6_1">#REF!</definedName>
    <definedName name="aberf4_6_1_5">#REF!</definedName>
    <definedName name="aberf4_6_10">#REF!</definedName>
    <definedName name="aberf4_6_11">#REF!</definedName>
    <definedName name="aberf4_6_12">#REF!</definedName>
    <definedName name="aberf4_6_13">#REF!</definedName>
    <definedName name="aberf4_6_4">#REF!</definedName>
    <definedName name="aberf4_6_4_5">#REF!</definedName>
    <definedName name="aberf4_6_5">#REF!</definedName>
    <definedName name="aberf4_6_6">#REF!</definedName>
    <definedName name="aberf4_6_6_5">#REF!</definedName>
    <definedName name="aberf4_6_7">#REF!</definedName>
    <definedName name="aberf4_6_7_5">#REF!</definedName>
    <definedName name="aberf4_6_9">#REF!</definedName>
    <definedName name="aberf4_7">#REF!</definedName>
    <definedName name="aberf4_7_5">#REF!</definedName>
    <definedName name="aberf4_9">#REF!</definedName>
    <definedName name="aberf6">#REF!</definedName>
    <definedName name="aberf6_1">#REF!</definedName>
    <definedName name="aberf6_1_5">#REF!</definedName>
    <definedName name="aberf6_10">#REF!</definedName>
    <definedName name="aberf6_11">#REF!</definedName>
    <definedName name="aberf6_12">#REF!</definedName>
    <definedName name="aberf6_13">#REF!</definedName>
    <definedName name="aberf6_2">#REF!</definedName>
    <definedName name="aberf6_2_1">#REF!</definedName>
    <definedName name="aberf6_2_1_1">#REF!</definedName>
    <definedName name="aberf6_2_1_1_6">#REF!</definedName>
    <definedName name="aberf6_2_1_5">#REF!</definedName>
    <definedName name="aberf6_2_1_6">#REF!</definedName>
    <definedName name="aberf6_2_1_7">#REF!</definedName>
    <definedName name="aberf6_2_1_7_5">#REF!</definedName>
    <definedName name="aberf6_2_5">#REF!</definedName>
    <definedName name="aberf6_2_6">#REF!</definedName>
    <definedName name="aberf6_2_7">#REF!</definedName>
    <definedName name="aberf6_2_7_5">#REF!</definedName>
    <definedName name="aberf6_3">#REF!</definedName>
    <definedName name="aberf6_3_1">#REF!</definedName>
    <definedName name="aberf6_3_10">#REF!</definedName>
    <definedName name="aberf6_3_11">#REF!</definedName>
    <definedName name="aberf6_3_12">#REF!</definedName>
    <definedName name="aberf6_3_13">#REF!</definedName>
    <definedName name="aberf6_3_2">#REF!</definedName>
    <definedName name="aberf6_3_4">#REF!</definedName>
    <definedName name="aberf6_3_4_5">#REF!</definedName>
    <definedName name="aberf6_3_5">#REF!</definedName>
    <definedName name="aberf6_3_6">#REF!</definedName>
    <definedName name="aberf6_3_6_5">#REF!</definedName>
    <definedName name="aberf6_3_7">#REF!</definedName>
    <definedName name="aberf6_3_7_5">#REF!</definedName>
    <definedName name="aberf6_3_9">#REF!</definedName>
    <definedName name="aberf6_4">#REF!</definedName>
    <definedName name="aberf6_4_1">#REF!</definedName>
    <definedName name="aberf6_4_1_5">#REF!</definedName>
    <definedName name="aberf6_4_10">#REF!</definedName>
    <definedName name="aberf6_4_11">#REF!</definedName>
    <definedName name="aberf6_4_12">#REF!</definedName>
    <definedName name="aberf6_4_13">#REF!</definedName>
    <definedName name="aberf6_4_2">#REF!</definedName>
    <definedName name="aberf6_4_2_6">#REF!</definedName>
    <definedName name="aberf6_4_4">#REF!</definedName>
    <definedName name="aberf6_4_4_5">#REF!</definedName>
    <definedName name="aberf6_4_5">#REF!</definedName>
    <definedName name="aberf6_4_6">#REF!</definedName>
    <definedName name="aberf6_4_6_5">#REF!</definedName>
    <definedName name="aberf6_4_7">#REF!</definedName>
    <definedName name="aberf6_4_7_5">#REF!</definedName>
    <definedName name="aberf6_5">#REF!</definedName>
    <definedName name="aberf6_5_2">#REF!</definedName>
    <definedName name="aberf6_5_2_6">#REF!</definedName>
    <definedName name="aberf6_5_4">#REF!</definedName>
    <definedName name="aberf6_5_4_5">#REF!</definedName>
    <definedName name="aberf6_5_5">#REF!</definedName>
    <definedName name="aberf6_5_6">#REF!</definedName>
    <definedName name="aberf6_5_6_5">#REF!</definedName>
    <definedName name="aberf6_5_7">#REF!</definedName>
    <definedName name="aberf6_5_7_5">#REF!</definedName>
    <definedName name="aberf6_6">#REF!</definedName>
    <definedName name="aberf6_6_1">#REF!</definedName>
    <definedName name="aberf6_6_1_5">#REF!</definedName>
    <definedName name="aberf6_6_10">#REF!</definedName>
    <definedName name="aberf6_6_11">#REF!</definedName>
    <definedName name="aberf6_6_12">#REF!</definedName>
    <definedName name="aberf6_6_13">#REF!</definedName>
    <definedName name="aberf6_6_4">#REF!</definedName>
    <definedName name="aberf6_6_4_5">#REF!</definedName>
    <definedName name="aberf6_6_5">#REF!</definedName>
    <definedName name="aberf6_6_6">#REF!</definedName>
    <definedName name="aberf6_6_6_5">#REF!</definedName>
    <definedName name="aberf6_6_7">#REF!</definedName>
    <definedName name="aberf6_6_7_5">#REF!</definedName>
    <definedName name="aberf6_6_9">#REF!</definedName>
    <definedName name="aberf6_7">#REF!</definedName>
    <definedName name="aberf6_7_5">#REF!</definedName>
    <definedName name="aberf6_9">#REF!</definedName>
    <definedName name="aberf80">#REF!</definedName>
    <definedName name="aberf80_1">#REF!</definedName>
    <definedName name="aberf80_1_5">#REF!</definedName>
    <definedName name="aberf80_10">#REF!</definedName>
    <definedName name="aberf80_11">#REF!</definedName>
    <definedName name="aberf80_12">#REF!</definedName>
    <definedName name="aberf80_13">#REF!</definedName>
    <definedName name="aberf80_2">#REF!</definedName>
    <definedName name="aberf80_2_1">#REF!</definedName>
    <definedName name="aberf80_2_1_1">#REF!</definedName>
    <definedName name="aberf80_2_1_1_6">#REF!</definedName>
    <definedName name="aberf80_2_1_5">#REF!</definedName>
    <definedName name="aberf80_2_1_6">#REF!</definedName>
    <definedName name="aberf80_2_1_7">#REF!</definedName>
    <definedName name="aberf80_2_1_7_5">#REF!</definedName>
    <definedName name="aberf80_2_5">#REF!</definedName>
    <definedName name="aberf80_2_6">#REF!</definedName>
    <definedName name="aberf80_2_7">#REF!</definedName>
    <definedName name="aberf80_2_7_5">#REF!</definedName>
    <definedName name="aberf80_3">#REF!</definedName>
    <definedName name="aberf80_3_1">#REF!</definedName>
    <definedName name="aberf80_3_10">#REF!</definedName>
    <definedName name="aberf80_3_11">#REF!</definedName>
    <definedName name="aberf80_3_12">#REF!</definedName>
    <definedName name="aberf80_3_13">#REF!</definedName>
    <definedName name="aberf80_3_2">#REF!</definedName>
    <definedName name="aberf80_3_4">#REF!</definedName>
    <definedName name="aberf80_3_4_5">#REF!</definedName>
    <definedName name="aberf80_3_5">#REF!</definedName>
    <definedName name="aberf80_3_6">#REF!</definedName>
    <definedName name="aberf80_3_6_5">#REF!</definedName>
    <definedName name="aberf80_3_7">#REF!</definedName>
    <definedName name="aberf80_3_7_5">#REF!</definedName>
    <definedName name="aberf80_3_9">#REF!</definedName>
    <definedName name="aberf80_4">#REF!</definedName>
    <definedName name="aberf80_4_1">#REF!</definedName>
    <definedName name="aberf80_4_1_5">#REF!</definedName>
    <definedName name="aberf80_4_10">#REF!</definedName>
    <definedName name="aberf80_4_11">#REF!</definedName>
    <definedName name="aberf80_4_12">#REF!</definedName>
    <definedName name="aberf80_4_13">#REF!</definedName>
    <definedName name="aberf80_4_2">#REF!</definedName>
    <definedName name="aberf80_4_2_6">#REF!</definedName>
    <definedName name="aberf80_4_4">#REF!</definedName>
    <definedName name="aberf80_4_4_5">#REF!</definedName>
    <definedName name="aberf80_4_5">#REF!</definedName>
    <definedName name="aberf80_4_6">#REF!</definedName>
    <definedName name="aberf80_4_6_5">#REF!</definedName>
    <definedName name="aberf80_4_7">#REF!</definedName>
    <definedName name="aberf80_4_7_5">#REF!</definedName>
    <definedName name="aberf80_5">#REF!</definedName>
    <definedName name="aberf80_5_2">#REF!</definedName>
    <definedName name="aberf80_5_2_6">#REF!</definedName>
    <definedName name="aberf80_5_4">#REF!</definedName>
    <definedName name="aberf80_5_4_5">#REF!</definedName>
    <definedName name="aberf80_5_5">#REF!</definedName>
    <definedName name="aberf80_5_6">#REF!</definedName>
    <definedName name="aberf80_5_6_5">#REF!</definedName>
    <definedName name="aberf80_5_7">#REF!</definedName>
    <definedName name="aberf80_5_7_5">#REF!</definedName>
    <definedName name="aberf80_6">#REF!</definedName>
    <definedName name="aberf80_6_1">#REF!</definedName>
    <definedName name="aberf80_6_1_5">#REF!</definedName>
    <definedName name="aberf80_6_10">#REF!</definedName>
    <definedName name="aberf80_6_11">#REF!</definedName>
    <definedName name="aberf80_6_12">#REF!</definedName>
    <definedName name="aberf80_6_13">#REF!</definedName>
    <definedName name="aberf80_6_4">#REF!</definedName>
    <definedName name="aberf80_6_4_5">#REF!</definedName>
    <definedName name="aberf80_6_5">#REF!</definedName>
    <definedName name="aberf80_6_6">#REF!</definedName>
    <definedName name="aberf80_6_6_5">#REF!</definedName>
    <definedName name="aberf80_6_7">#REF!</definedName>
    <definedName name="aberf80_6_7_5">#REF!</definedName>
    <definedName name="aberf80_6_9">#REF!</definedName>
    <definedName name="aberf80_7">#REF!</definedName>
    <definedName name="aberf80_7_5">#REF!</definedName>
    <definedName name="aberf80_9">#REF!</definedName>
    <definedName name="ABESI">#REF!</definedName>
    <definedName name="abfj100">#REF!</definedName>
    <definedName name="abfj100_1">#REF!</definedName>
    <definedName name="abfj100_1_5">#REF!</definedName>
    <definedName name="abfj100_10">#REF!</definedName>
    <definedName name="abfj100_11">#REF!</definedName>
    <definedName name="abfj100_12">#REF!</definedName>
    <definedName name="abfj100_13">#REF!</definedName>
    <definedName name="abfj100_2">#REF!</definedName>
    <definedName name="abfj100_2_1">#REF!</definedName>
    <definedName name="abfj100_2_1_1">#REF!</definedName>
    <definedName name="abfj100_2_1_1_6">#REF!</definedName>
    <definedName name="abfj100_2_1_5">#REF!</definedName>
    <definedName name="abfj100_2_1_6">#REF!</definedName>
    <definedName name="abfj100_2_1_7">#REF!</definedName>
    <definedName name="abfj100_2_1_7_5">#REF!</definedName>
    <definedName name="abfj100_2_5">#REF!</definedName>
    <definedName name="abfj100_2_6">#REF!</definedName>
    <definedName name="abfj100_2_7">#REF!</definedName>
    <definedName name="abfj100_2_7_5">#REF!</definedName>
    <definedName name="abfj100_3">#REF!</definedName>
    <definedName name="abfj100_3_1">#REF!</definedName>
    <definedName name="abfj100_3_10">#REF!</definedName>
    <definedName name="abfj100_3_11">#REF!</definedName>
    <definedName name="abfj100_3_12">#REF!</definedName>
    <definedName name="abfj100_3_13">#REF!</definedName>
    <definedName name="abfj100_3_2">#REF!</definedName>
    <definedName name="abfj100_3_4">#REF!</definedName>
    <definedName name="abfj100_3_4_5">#REF!</definedName>
    <definedName name="abfj100_3_5">#REF!</definedName>
    <definedName name="abfj100_3_6">#REF!</definedName>
    <definedName name="abfj100_3_6_5">#REF!</definedName>
    <definedName name="abfj100_3_7">#REF!</definedName>
    <definedName name="abfj100_3_7_5">#REF!</definedName>
    <definedName name="abfj100_3_9">#REF!</definedName>
    <definedName name="abfj100_4">#REF!</definedName>
    <definedName name="abfj100_4_1">#REF!</definedName>
    <definedName name="abfj100_4_1_5">#REF!</definedName>
    <definedName name="abfj100_4_10">#REF!</definedName>
    <definedName name="abfj100_4_11">#REF!</definedName>
    <definedName name="abfj100_4_12">#REF!</definedName>
    <definedName name="abfj100_4_13">#REF!</definedName>
    <definedName name="abfj100_4_2">#REF!</definedName>
    <definedName name="abfj100_4_2_6">#REF!</definedName>
    <definedName name="abfj100_4_4">#REF!</definedName>
    <definedName name="abfj100_4_4_5">#REF!</definedName>
    <definedName name="abfj100_4_5">#REF!</definedName>
    <definedName name="abfj100_4_6">#REF!</definedName>
    <definedName name="abfj100_4_6_5">#REF!</definedName>
    <definedName name="abfj100_4_7">#REF!</definedName>
    <definedName name="abfj100_4_7_5">#REF!</definedName>
    <definedName name="abfj100_5">#REF!</definedName>
    <definedName name="abfj100_5_2">#REF!</definedName>
    <definedName name="abfj100_5_2_6">#REF!</definedName>
    <definedName name="abfj100_5_4">#REF!</definedName>
    <definedName name="abfj100_5_4_5">#REF!</definedName>
    <definedName name="abfj100_5_5">#REF!</definedName>
    <definedName name="abfj100_5_6">#REF!</definedName>
    <definedName name="abfj100_5_6_5">#REF!</definedName>
    <definedName name="abfj100_5_7">#REF!</definedName>
    <definedName name="abfj100_5_7_5">#REF!</definedName>
    <definedName name="abfj100_6">#REF!</definedName>
    <definedName name="abfj100_6_1">#REF!</definedName>
    <definedName name="abfj100_6_1_5">#REF!</definedName>
    <definedName name="abfj100_6_10">#REF!</definedName>
    <definedName name="abfj100_6_11">#REF!</definedName>
    <definedName name="abfj100_6_12">#REF!</definedName>
    <definedName name="abfj100_6_13">#REF!</definedName>
    <definedName name="abfj100_6_4">#REF!</definedName>
    <definedName name="abfj100_6_4_5">#REF!</definedName>
    <definedName name="abfj100_6_5">#REF!</definedName>
    <definedName name="abfj100_6_6">#REF!</definedName>
    <definedName name="abfj100_6_6_5">#REF!</definedName>
    <definedName name="abfj100_6_7">#REF!</definedName>
    <definedName name="abfj100_6_7_5">#REF!</definedName>
    <definedName name="abfj100_6_9">#REF!</definedName>
    <definedName name="abfj100_7">#REF!</definedName>
    <definedName name="abfj100_7_5">#REF!</definedName>
    <definedName name="abfj100_9">#REF!</definedName>
    <definedName name="abfj150">#REF!</definedName>
    <definedName name="abfj150_1">#REF!</definedName>
    <definedName name="abfj150_1_5">#REF!</definedName>
    <definedName name="abfj150_10">#REF!</definedName>
    <definedName name="abfj150_11">#REF!</definedName>
    <definedName name="abfj150_12">#REF!</definedName>
    <definedName name="abfj150_13">#REF!</definedName>
    <definedName name="abfj150_2">#REF!</definedName>
    <definedName name="abfj150_2_1">#REF!</definedName>
    <definedName name="abfj150_2_1_1">#REF!</definedName>
    <definedName name="abfj150_2_1_1_6">#REF!</definedName>
    <definedName name="abfj150_2_1_5">#REF!</definedName>
    <definedName name="abfj150_2_1_6">#REF!</definedName>
    <definedName name="abfj150_2_1_7">#REF!</definedName>
    <definedName name="abfj150_2_1_7_5">#REF!</definedName>
    <definedName name="abfj150_2_5">#REF!</definedName>
    <definedName name="abfj150_2_6">#REF!</definedName>
    <definedName name="abfj150_2_7">#REF!</definedName>
    <definedName name="abfj150_2_7_5">#REF!</definedName>
    <definedName name="abfj150_3">#REF!</definedName>
    <definedName name="abfj150_3_1">#REF!</definedName>
    <definedName name="abfj150_3_10">#REF!</definedName>
    <definedName name="abfj150_3_11">#REF!</definedName>
    <definedName name="abfj150_3_12">#REF!</definedName>
    <definedName name="abfj150_3_13">#REF!</definedName>
    <definedName name="abfj150_3_2">#REF!</definedName>
    <definedName name="abfj150_3_4">#REF!</definedName>
    <definedName name="abfj150_3_4_5">#REF!</definedName>
    <definedName name="abfj150_3_5">#REF!</definedName>
    <definedName name="abfj150_3_6">#REF!</definedName>
    <definedName name="abfj150_3_6_5">#REF!</definedName>
    <definedName name="abfj150_3_7">#REF!</definedName>
    <definedName name="abfj150_3_7_5">#REF!</definedName>
    <definedName name="abfj150_3_9">#REF!</definedName>
    <definedName name="abfj150_4">#REF!</definedName>
    <definedName name="abfj150_4_1">#REF!</definedName>
    <definedName name="abfj150_4_1_5">#REF!</definedName>
    <definedName name="abfj150_4_10">#REF!</definedName>
    <definedName name="abfj150_4_11">#REF!</definedName>
    <definedName name="abfj150_4_12">#REF!</definedName>
    <definedName name="abfj150_4_13">#REF!</definedName>
    <definedName name="abfj150_4_2">#REF!</definedName>
    <definedName name="abfj150_4_2_6">#REF!</definedName>
    <definedName name="abfj150_4_4">#REF!</definedName>
    <definedName name="abfj150_4_4_5">#REF!</definedName>
    <definedName name="abfj150_4_5">#REF!</definedName>
    <definedName name="abfj150_4_6">#REF!</definedName>
    <definedName name="abfj150_4_6_5">#REF!</definedName>
    <definedName name="abfj150_4_7">#REF!</definedName>
    <definedName name="abfj150_4_7_5">#REF!</definedName>
    <definedName name="abfj150_5">#REF!</definedName>
    <definedName name="abfj150_5_2">#REF!</definedName>
    <definedName name="abfj150_5_2_6">#REF!</definedName>
    <definedName name="abfj150_5_4">#REF!</definedName>
    <definedName name="abfj150_5_4_5">#REF!</definedName>
    <definedName name="abfj150_5_5">#REF!</definedName>
    <definedName name="abfj150_5_6">#REF!</definedName>
    <definedName name="abfj150_5_6_5">#REF!</definedName>
    <definedName name="abfj150_5_7">#REF!</definedName>
    <definedName name="abfj150_5_7_5">#REF!</definedName>
    <definedName name="abfj150_6">#REF!</definedName>
    <definedName name="abfj150_6_1">#REF!</definedName>
    <definedName name="abfj150_6_1_5">#REF!</definedName>
    <definedName name="abfj150_6_10">#REF!</definedName>
    <definedName name="abfj150_6_11">#REF!</definedName>
    <definedName name="abfj150_6_12">#REF!</definedName>
    <definedName name="abfj150_6_13">#REF!</definedName>
    <definedName name="abfj150_6_4">#REF!</definedName>
    <definedName name="abfj150_6_4_5">#REF!</definedName>
    <definedName name="abfj150_6_5">#REF!</definedName>
    <definedName name="abfj150_6_6">#REF!</definedName>
    <definedName name="abfj150_6_6_5">#REF!</definedName>
    <definedName name="abfj150_6_7">#REF!</definedName>
    <definedName name="abfj150_6_7_5">#REF!</definedName>
    <definedName name="abfj150_6_9">#REF!</definedName>
    <definedName name="abfj150_7">#REF!</definedName>
    <definedName name="abfj150_7_5">#REF!</definedName>
    <definedName name="abfj150_9">#REF!</definedName>
    <definedName name="abfj40">#REF!</definedName>
    <definedName name="abfj40_1">#REF!</definedName>
    <definedName name="abfj40_1_5">#REF!</definedName>
    <definedName name="abfj40_10">#REF!</definedName>
    <definedName name="abfj40_11">#REF!</definedName>
    <definedName name="abfj40_12">#REF!</definedName>
    <definedName name="abfj40_13">#REF!</definedName>
    <definedName name="abfj40_2">#REF!</definedName>
    <definedName name="abfj40_2_1">#REF!</definedName>
    <definedName name="abfj40_2_1_1">#REF!</definedName>
    <definedName name="abfj40_2_1_1_6">#REF!</definedName>
    <definedName name="abfj40_2_1_5">#REF!</definedName>
    <definedName name="abfj40_2_1_6">#REF!</definedName>
    <definedName name="abfj40_2_1_7">#REF!</definedName>
    <definedName name="abfj40_2_1_7_5">#REF!</definedName>
    <definedName name="abfj40_2_5">#REF!</definedName>
    <definedName name="abfj40_2_6">#REF!</definedName>
    <definedName name="abfj40_2_7">#REF!</definedName>
    <definedName name="abfj40_2_7_5">#REF!</definedName>
    <definedName name="abfj40_3">#REF!</definedName>
    <definedName name="abfj40_3_1">#REF!</definedName>
    <definedName name="abfj40_3_10">#REF!</definedName>
    <definedName name="abfj40_3_11">#REF!</definedName>
    <definedName name="abfj40_3_12">#REF!</definedName>
    <definedName name="abfj40_3_13">#REF!</definedName>
    <definedName name="abfj40_3_2">#REF!</definedName>
    <definedName name="abfj40_3_4">#REF!</definedName>
    <definedName name="abfj40_3_4_5">#REF!</definedName>
    <definedName name="abfj40_3_5">#REF!</definedName>
    <definedName name="abfj40_3_6">#REF!</definedName>
    <definedName name="abfj40_3_6_5">#REF!</definedName>
    <definedName name="abfj40_3_7">#REF!</definedName>
    <definedName name="abfj40_3_7_5">#REF!</definedName>
    <definedName name="abfj40_3_9">#REF!</definedName>
    <definedName name="abfj40_4">#REF!</definedName>
    <definedName name="abfj40_4_1">#REF!</definedName>
    <definedName name="abfj40_4_1_5">#REF!</definedName>
    <definedName name="abfj40_4_10">#REF!</definedName>
    <definedName name="abfj40_4_11">#REF!</definedName>
    <definedName name="abfj40_4_12">#REF!</definedName>
    <definedName name="abfj40_4_13">#REF!</definedName>
    <definedName name="abfj40_4_2">#REF!</definedName>
    <definedName name="abfj40_4_2_6">#REF!</definedName>
    <definedName name="abfj40_4_4">#REF!</definedName>
    <definedName name="abfj40_4_4_5">#REF!</definedName>
    <definedName name="abfj40_4_5">#REF!</definedName>
    <definedName name="abfj40_4_6">#REF!</definedName>
    <definedName name="abfj40_4_6_5">#REF!</definedName>
    <definedName name="abfj40_4_7">#REF!</definedName>
    <definedName name="abfj40_4_7_5">#REF!</definedName>
    <definedName name="abfj40_5">#REF!</definedName>
    <definedName name="abfj40_5_2">#REF!</definedName>
    <definedName name="abfj40_5_2_6">#REF!</definedName>
    <definedName name="abfj40_5_4">#REF!</definedName>
    <definedName name="abfj40_5_4_5">#REF!</definedName>
    <definedName name="abfj40_5_5">#REF!</definedName>
    <definedName name="abfj40_5_6">#REF!</definedName>
    <definedName name="abfj40_5_6_5">#REF!</definedName>
    <definedName name="abfj40_5_7">#REF!</definedName>
    <definedName name="abfj40_5_7_5">#REF!</definedName>
    <definedName name="abfj40_6">#REF!</definedName>
    <definedName name="abfj40_6_1">#REF!</definedName>
    <definedName name="abfj40_6_1_5">#REF!</definedName>
    <definedName name="abfj40_6_10">#REF!</definedName>
    <definedName name="abfj40_6_11">#REF!</definedName>
    <definedName name="abfj40_6_12">#REF!</definedName>
    <definedName name="abfj40_6_13">#REF!</definedName>
    <definedName name="abfj40_6_4">#REF!</definedName>
    <definedName name="abfj40_6_4_5">#REF!</definedName>
    <definedName name="abfj40_6_5">#REF!</definedName>
    <definedName name="abfj40_6_6">#REF!</definedName>
    <definedName name="abfj40_6_6_5">#REF!</definedName>
    <definedName name="abfj40_6_7">#REF!</definedName>
    <definedName name="abfj40_6_7_5">#REF!</definedName>
    <definedName name="abfj40_6_9">#REF!</definedName>
    <definedName name="abfj40_7">#REF!</definedName>
    <definedName name="abfj40_7_5">#REF!</definedName>
    <definedName name="abfj40_9">#REF!</definedName>
    <definedName name="abfj50">#REF!</definedName>
    <definedName name="abfj50_1">#REF!</definedName>
    <definedName name="abfj50_1_5">#REF!</definedName>
    <definedName name="abfj50_10">#REF!</definedName>
    <definedName name="abfj50_11">#REF!</definedName>
    <definedName name="abfj50_12">#REF!</definedName>
    <definedName name="abfj50_13">#REF!</definedName>
    <definedName name="abfj50_2">#REF!</definedName>
    <definedName name="abfj50_2_1">#REF!</definedName>
    <definedName name="abfj50_2_1_1">#REF!</definedName>
    <definedName name="abfj50_2_1_1_6">#REF!</definedName>
    <definedName name="abfj50_2_1_5">#REF!</definedName>
    <definedName name="abfj50_2_1_6">#REF!</definedName>
    <definedName name="abfj50_2_1_7">#REF!</definedName>
    <definedName name="abfj50_2_1_7_5">#REF!</definedName>
    <definedName name="abfj50_2_5">#REF!</definedName>
    <definedName name="abfj50_2_6">#REF!</definedName>
    <definedName name="abfj50_2_7">#REF!</definedName>
    <definedName name="abfj50_2_7_5">#REF!</definedName>
    <definedName name="abfj50_3">#REF!</definedName>
    <definedName name="abfj50_3_1">#REF!</definedName>
    <definedName name="abfj50_3_10">#REF!</definedName>
    <definedName name="abfj50_3_11">#REF!</definedName>
    <definedName name="abfj50_3_12">#REF!</definedName>
    <definedName name="abfj50_3_13">#REF!</definedName>
    <definedName name="abfj50_3_2">#REF!</definedName>
    <definedName name="abfj50_3_4">#REF!</definedName>
    <definedName name="abfj50_3_4_5">#REF!</definedName>
    <definedName name="abfj50_3_5">#REF!</definedName>
    <definedName name="abfj50_3_6">#REF!</definedName>
    <definedName name="abfj50_3_6_5">#REF!</definedName>
    <definedName name="abfj50_3_7">#REF!</definedName>
    <definedName name="abfj50_3_7_5">#REF!</definedName>
    <definedName name="abfj50_3_9">#REF!</definedName>
    <definedName name="abfj50_4">#REF!</definedName>
    <definedName name="abfj50_4_1">#REF!</definedName>
    <definedName name="abfj50_4_1_5">#REF!</definedName>
    <definedName name="abfj50_4_10">#REF!</definedName>
    <definedName name="abfj50_4_11">#REF!</definedName>
    <definedName name="abfj50_4_12">#REF!</definedName>
    <definedName name="abfj50_4_13">#REF!</definedName>
    <definedName name="abfj50_4_2">#REF!</definedName>
    <definedName name="abfj50_4_2_6">#REF!</definedName>
    <definedName name="abfj50_4_4">#REF!</definedName>
    <definedName name="abfj50_4_4_5">#REF!</definedName>
    <definedName name="abfj50_4_5">#REF!</definedName>
    <definedName name="abfj50_4_6">#REF!</definedName>
    <definedName name="abfj50_4_6_5">#REF!</definedName>
    <definedName name="abfj50_4_7">#REF!</definedName>
    <definedName name="abfj50_4_7_5">#REF!</definedName>
    <definedName name="abfj50_5">#REF!</definedName>
    <definedName name="abfj50_5_2">#REF!</definedName>
    <definedName name="abfj50_5_2_6">#REF!</definedName>
    <definedName name="abfj50_5_4">#REF!</definedName>
    <definedName name="abfj50_5_4_5">#REF!</definedName>
    <definedName name="abfj50_5_5">#REF!</definedName>
    <definedName name="abfj50_5_6">#REF!</definedName>
    <definedName name="abfj50_5_6_5">#REF!</definedName>
    <definedName name="abfj50_5_7">#REF!</definedName>
    <definedName name="abfj50_5_7_5">#REF!</definedName>
    <definedName name="abfj50_6">#REF!</definedName>
    <definedName name="abfj50_6_1">#REF!</definedName>
    <definedName name="abfj50_6_1_5">#REF!</definedName>
    <definedName name="abfj50_6_10">#REF!</definedName>
    <definedName name="abfj50_6_11">#REF!</definedName>
    <definedName name="abfj50_6_12">#REF!</definedName>
    <definedName name="abfj50_6_13">#REF!</definedName>
    <definedName name="abfj50_6_4">#REF!</definedName>
    <definedName name="abfj50_6_4_5">#REF!</definedName>
    <definedName name="abfj50_6_5">#REF!</definedName>
    <definedName name="abfj50_6_6">#REF!</definedName>
    <definedName name="abfj50_6_6_5">#REF!</definedName>
    <definedName name="abfj50_6_7">#REF!</definedName>
    <definedName name="abfj50_6_7_5">#REF!</definedName>
    <definedName name="abfj50_6_9">#REF!</definedName>
    <definedName name="abfj50_7">#REF!</definedName>
    <definedName name="abfj50_7_5">#REF!</definedName>
    <definedName name="abfj50_9">#REF!</definedName>
    <definedName name="abfl40">#REF!</definedName>
    <definedName name="abfl40_1">#REF!</definedName>
    <definedName name="abfl40_1_5">#REF!</definedName>
    <definedName name="abfl40_10">#REF!</definedName>
    <definedName name="abfl40_11">#REF!</definedName>
    <definedName name="abfl40_12">#REF!</definedName>
    <definedName name="abfl40_13">#REF!</definedName>
    <definedName name="abfl40_2">#REF!</definedName>
    <definedName name="abfl40_2_1">#REF!</definedName>
    <definedName name="abfl40_2_1_1">#REF!</definedName>
    <definedName name="abfl40_2_1_1_6">#REF!</definedName>
    <definedName name="abfl40_2_1_5">#REF!</definedName>
    <definedName name="abfl40_2_1_6">#REF!</definedName>
    <definedName name="abfl40_2_1_7">#REF!</definedName>
    <definedName name="abfl40_2_1_7_5">#REF!</definedName>
    <definedName name="abfl40_2_5">#REF!</definedName>
    <definedName name="abfl40_2_6">#REF!</definedName>
    <definedName name="abfl40_2_7">#REF!</definedName>
    <definedName name="abfl40_2_7_5">#REF!</definedName>
    <definedName name="abfl40_3">#REF!</definedName>
    <definedName name="abfl40_3_1">#REF!</definedName>
    <definedName name="abfl40_3_10">#REF!</definedName>
    <definedName name="abfl40_3_11">#REF!</definedName>
    <definedName name="abfl40_3_12">#REF!</definedName>
    <definedName name="abfl40_3_13">#REF!</definedName>
    <definedName name="abfl40_3_2">#REF!</definedName>
    <definedName name="abfl40_3_4">#REF!</definedName>
    <definedName name="abfl40_3_4_5">#REF!</definedName>
    <definedName name="abfl40_3_5">#REF!</definedName>
    <definedName name="abfl40_3_6">#REF!</definedName>
    <definedName name="abfl40_3_6_5">#REF!</definedName>
    <definedName name="abfl40_3_7">#REF!</definedName>
    <definedName name="abfl40_3_7_5">#REF!</definedName>
    <definedName name="abfl40_3_9">#REF!</definedName>
    <definedName name="abfl40_4">#REF!</definedName>
    <definedName name="abfl40_4_1">#REF!</definedName>
    <definedName name="abfl40_4_1_5">#REF!</definedName>
    <definedName name="abfl40_4_10">#REF!</definedName>
    <definedName name="abfl40_4_11">#REF!</definedName>
    <definedName name="abfl40_4_12">#REF!</definedName>
    <definedName name="abfl40_4_13">#REF!</definedName>
    <definedName name="abfl40_4_2">#REF!</definedName>
    <definedName name="abfl40_4_2_6">#REF!</definedName>
    <definedName name="abfl40_4_4">#REF!</definedName>
    <definedName name="abfl40_4_4_5">#REF!</definedName>
    <definedName name="abfl40_4_5">#REF!</definedName>
    <definedName name="abfl40_4_6">#REF!</definedName>
    <definedName name="abfl40_4_6_5">#REF!</definedName>
    <definedName name="abfl40_4_7">#REF!</definedName>
    <definedName name="abfl40_4_7_5">#REF!</definedName>
    <definedName name="abfl40_5">#REF!</definedName>
    <definedName name="abfl40_5_2">#REF!</definedName>
    <definedName name="abfl40_5_2_6">#REF!</definedName>
    <definedName name="abfl40_5_4">#REF!</definedName>
    <definedName name="abfl40_5_4_5">#REF!</definedName>
    <definedName name="abfl40_5_5">#REF!</definedName>
    <definedName name="abfl40_5_6">#REF!</definedName>
    <definedName name="abfl40_5_6_5">#REF!</definedName>
    <definedName name="abfl40_5_7">#REF!</definedName>
    <definedName name="abfl40_5_7_5">#REF!</definedName>
    <definedName name="abfl40_6">#REF!</definedName>
    <definedName name="abfl40_6_1">#REF!</definedName>
    <definedName name="abfl40_6_1_5">#REF!</definedName>
    <definedName name="abfl40_6_10">#REF!</definedName>
    <definedName name="abfl40_6_11">#REF!</definedName>
    <definedName name="abfl40_6_12">#REF!</definedName>
    <definedName name="abfl40_6_13">#REF!</definedName>
    <definedName name="abfl40_6_4">#REF!</definedName>
    <definedName name="abfl40_6_4_5">#REF!</definedName>
    <definedName name="abfl40_6_5">#REF!</definedName>
    <definedName name="abfl40_6_6">#REF!</definedName>
    <definedName name="abfl40_6_6_5">#REF!</definedName>
    <definedName name="abfl40_6_7">#REF!</definedName>
    <definedName name="abfl40_6_7_5">#REF!</definedName>
    <definedName name="abfl40_6_9">#REF!</definedName>
    <definedName name="abfl40_7">#REF!</definedName>
    <definedName name="abfl40_7_5">#REF!</definedName>
    <definedName name="abfl40_9">#REF!</definedName>
    <definedName name="abft100">#REF!</definedName>
    <definedName name="abft100_1">#REF!</definedName>
    <definedName name="abft100_1_5">#REF!</definedName>
    <definedName name="abft100_10">#REF!</definedName>
    <definedName name="abft100_11">#REF!</definedName>
    <definedName name="abft100_12">#REF!</definedName>
    <definedName name="abft100_13">#REF!</definedName>
    <definedName name="abft100_2">#REF!</definedName>
    <definedName name="abft100_2_1">#REF!</definedName>
    <definedName name="abft100_2_1_1">#REF!</definedName>
    <definedName name="abft100_2_1_1_6">#REF!</definedName>
    <definedName name="abft100_2_1_5">#REF!</definedName>
    <definedName name="abft100_2_1_6">#REF!</definedName>
    <definedName name="abft100_2_1_7">#REF!</definedName>
    <definedName name="abft100_2_1_7_5">#REF!</definedName>
    <definedName name="abft100_2_5">#REF!</definedName>
    <definedName name="abft100_2_6">#REF!</definedName>
    <definedName name="abft100_2_7">#REF!</definedName>
    <definedName name="abft100_2_7_5">#REF!</definedName>
    <definedName name="abft100_3">#REF!</definedName>
    <definedName name="abft100_3_1">#REF!</definedName>
    <definedName name="abft100_3_10">#REF!</definedName>
    <definedName name="abft100_3_11">#REF!</definedName>
    <definedName name="abft100_3_12">#REF!</definedName>
    <definedName name="abft100_3_13">#REF!</definedName>
    <definedName name="abft100_3_2">#REF!</definedName>
    <definedName name="abft100_3_4">#REF!</definedName>
    <definedName name="abft100_3_4_5">#REF!</definedName>
    <definedName name="abft100_3_5">#REF!</definedName>
    <definedName name="abft100_3_6">#REF!</definedName>
    <definedName name="abft100_3_6_5">#REF!</definedName>
    <definedName name="abft100_3_7">#REF!</definedName>
    <definedName name="abft100_3_7_5">#REF!</definedName>
    <definedName name="abft100_3_9">#REF!</definedName>
    <definedName name="abft100_4">#REF!</definedName>
    <definedName name="abft100_4_1">#REF!</definedName>
    <definedName name="abft100_4_1_5">#REF!</definedName>
    <definedName name="abft100_4_10">#REF!</definedName>
    <definedName name="abft100_4_11">#REF!</definedName>
    <definedName name="abft100_4_12">#REF!</definedName>
    <definedName name="abft100_4_13">#REF!</definedName>
    <definedName name="abft100_4_2">#REF!</definedName>
    <definedName name="abft100_4_2_6">#REF!</definedName>
    <definedName name="abft100_4_4">#REF!</definedName>
    <definedName name="abft100_4_4_5">#REF!</definedName>
    <definedName name="abft100_4_5">#REF!</definedName>
    <definedName name="abft100_4_6">#REF!</definedName>
    <definedName name="abft100_4_6_5">#REF!</definedName>
    <definedName name="abft100_4_7">#REF!</definedName>
    <definedName name="abft100_4_7_5">#REF!</definedName>
    <definedName name="abft100_5">#REF!</definedName>
    <definedName name="abft100_5_2">#REF!</definedName>
    <definedName name="abft100_5_2_6">#REF!</definedName>
    <definedName name="abft100_5_4">#REF!</definedName>
    <definedName name="abft100_5_4_5">#REF!</definedName>
    <definedName name="abft100_5_5">#REF!</definedName>
    <definedName name="abft100_5_6">#REF!</definedName>
    <definedName name="abft100_5_6_5">#REF!</definedName>
    <definedName name="abft100_5_7">#REF!</definedName>
    <definedName name="abft100_5_7_5">#REF!</definedName>
    <definedName name="abft100_6">#REF!</definedName>
    <definedName name="abft100_6_1">#REF!</definedName>
    <definedName name="abft100_6_1_5">#REF!</definedName>
    <definedName name="abft100_6_10">#REF!</definedName>
    <definedName name="abft100_6_11">#REF!</definedName>
    <definedName name="abft100_6_12">#REF!</definedName>
    <definedName name="abft100_6_13">#REF!</definedName>
    <definedName name="abft100_6_4">#REF!</definedName>
    <definedName name="abft100_6_4_5">#REF!</definedName>
    <definedName name="abft100_6_5">#REF!</definedName>
    <definedName name="abft100_6_6">#REF!</definedName>
    <definedName name="abft100_6_6_5">#REF!</definedName>
    <definedName name="abft100_6_7">#REF!</definedName>
    <definedName name="abft100_6_7_5">#REF!</definedName>
    <definedName name="abft100_6_9">#REF!</definedName>
    <definedName name="abft100_7">#REF!</definedName>
    <definedName name="abft100_7_5">#REF!</definedName>
    <definedName name="abft100_9">#REF!</definedName>
    <definedName name="abft150">#REF!</definedName>
    <definedName name="abft150_1">#REF!</definedName>
    <definedName name="abft150_1_5">#REF!</definedName>
    <definedName name="abft150_10">#REF!</definedName>
    <definedName name="abft150_11">#REF!</definedName>
    <definedName name="abft150_12">#REF!</definedName>
    <definedName name="abft150_13">#REF!</definedName>
    <definedName name="abft150_2">#REF!</definedName>
    <definedName name="abft150_2_1">#REF!</definedName>
    <definedName name="abft150_2_1_1">#REF!</definedName>
    <definedName name="abft150_2_1_1_6">#REF!</definedName>
    <definedName name="abft150_2_1_5">#REF!</definedName>
    <definedName name="abft150_2_1_6">#REF!</definedName>
    <definedName name="abft150_2_1_7">#REF!</definedName>
    <definedName name="abft150_2_1_7_5">#REF!</definedName>
    <definedName name="abft150_2_5">#REF!</definedName>
    <definedName name="abft150_2_6">#REF!</definedName>
    <definedName name="abft150_2_7">#REF!</definedName>
    <definedName name="abft150_2_7_5">#REF!</definedName>
    <definedName name="abft150_3">#REF!</definedName>
    <definedName name="abft150_3_1">#REF!</definedName>
    <definedName name="abft150_3_10">#REF!</definedName>
    <definedName name="abft150_3_11">#REF!</definedName>
    <definedName name="abft150_3_12">#REF!</definedName>
    <definedName name="abft150_3_13">#REF!</definedName>
    <definedName name="abft150_3_2">#REF!</definedName>
    <definedName name="abft150_3_4">#REF!</definedName>
    <definedName name="abft150_3_4_5">#REF!</definedName>
    <definedName name="abft150_3_5">#REF!</definedName>
    <definedName name="abft150_3_6">#REF!</definedName>
    <definedName name="abft150_3_6_5">#REF!</definedName>
    <definedName name="abft150_3_7">#REF!</definedName>
    <definedName name="abft150_3_7_5">#REF!</definedName>
    <definedName name="abft150_3_9">#REF!</definedName>
    <definedName name="abft150_4">#REF!</definedName>
    <definedName name="abft150_4_1">#REF!</definedName>
    <definedName name="abft150_4_1_5">#REF!</definedName>
    <definedName name="abft150_4_10">#REF!</definedName>
    <definedName name="abft150_4_11">#REF!</definedName>
    <definedName name="abft150_4_12">#REF!</definedName>
    <definedName name="abft150_4_13">#REF!</definedName>
    <definedName name="abft150_4_2">#REF!</definedName>
    <definedName name="abft150_4_2_6">#REF!</definedName>
    <definedName name="abft150_4_4">#REF!</definedName>
    <definedName name="abft150_4_4_5">#REF!</definedName>
    <definedName name="abft150_4_5">#REF!</definedName>
    <definedName name="abft150_4_6">#REF!</definedName>
    <definedName name="abft150_4_6_5">#REF!</definedName>
    <definedName name="abft150_4_7">#REF!</definedName>
    <definedName name="abft150_4_7_5">#REF!</definedName>
    <definedName name="abft150_5">#REF!</definedName>
    <definedName name="abft150_5_2">#REF!</definedName>
    <definedName name="abft150_5_2_6">#REF!</definedName>
    <definedName name="abft150_5_4">#REF!</definedName>
    <definedName name="abft150_5_4_5">#REF!</definedName>
    <definedName name="abft150_5_5">#REF!</definedName>
    <definedName name="abft150_5_6">#REF!</definedName>
    <definedName name="abft150_5_6_5">#REF!</definedName>
    <definedName name="abft150_5_7">#REF!</definedName>
    <definedName name="abft150_5_7_5">#REF!</definedName>
    <definedName name="abft150_6">#REF!</definedName>
    <definedName name="abft150_6_1">#REF!</definedName>
    <definedName name="abft150_6_1_5">#REF!</definedName>
    <definedName name="abft150_6_10">#REF!</definedName>
    <definedName name="abft150_6_11">#REF!</definedName>
    <definedName name="abft150_6_12">#REF!</definedName>
    <definedName name="abft150_6_13">#REF!</definedName>
    <definedName name="abft150_6_4">#REF!</definedName>
    <definedName name="abft150_6_4_5">#REF!</definedName>
    <definedName name="abft150_6_5">#REF!</definedName>
    <definedName name="abft150_6_6">#REF!</definedName>
    <definedName name="abft150_6_6_5">#REF!</definedName>
    <definedName name="abft150_6_7">#REF!</definedName>
    <definedName name="abft150_6_7_5">#REF!</definedName>
    <definedName name="abft150_6_9">#REF!</definedName>
    <definedName name="abft150_7">#REF!</definedName>
    <definedName name="abft150_7_5">#REF!</definedName>
    <definedName name="abft150_9">#REF!</definedName>
    <definedName name="abft50">#REF!</definedName>
    <definedName name="abft50_1">#REF!</definedName>
    <definedName name="abft50_1_5">#REF!</definedName>
    <definedName name="abft50_10">#REF!</definedName>
    <definedName name="abft50_11">#REF!</definedName>
    <definedName name="abft50_12">#REF!</definedName>
    <definedName name="abft50_13">#REF!</definedName>
    <definedName name="abft50_2">#REF!</definedName>
    <definedName name="abft50_2_1">#REF!</definedName>
    <definedName name="abft50_2_1_1">#REF!</definedName>
    <definedName name="abft50_2_1_1_6">#REF!</definedName>
    <definedName name="abft50_2_1_5">#REF!</definedName>
    <definedName name="abft50_2_1_6">#REF!</definedName>
    <definedName name="abft50_2_1_7">#REF!</definedName>
    <definedName name="abft50_2_1_7_5">#REF!</definedName>
    <definedName name="abft50_2_5">#REF!</definedName>
    <definedName name="abft50_2_6">#REF!</definedName>
    <definedName name="abft50_2_7">#REF!</definedName>
    <definedName name="abft50_2_7_5">#REF!</definedName>
    <definedName name="abft50_3">#REF!</definedName>
    <definedName name="abft50_3_1">#REF!</definedName>
    <definedName name="abft50_3_10">#REF!</definedName>
    <definedName name="abft50_3_11">#REF!</definedName>
    <definedName name="abft50_3_12">#REF!</definedName>
    <definedName name="abft50_3_13">#REF!</definedName>
    <definedName name="abft50_3_2">#REF!</definedName>
    <definedName name="abft50_3_4">#REF!</definedName>
    <definedName name="abft50_3_4_5">#REF!</definedName>
    <definedName name="abft50_3_5">#REF!</definedName>
    <definedName name="abft50_3_6">#REF!</definedName>
    <definedName name="abft50_3_6_5">#REF!</definedName>
    <definedName name="abft50_3_7">#REF!</definedName>
    <definedName name="abft50_3_7_5">#REF!</definedName>
    <definedName name="abft50_3_9">#REF!</definedName>
    <definedName name="abft50_4">#REF!</definedName>
    <definedName name="abft50_4_1">#REF!</definedName>
    <definedName name="abft50_4_1_5">#REF!</definedName>
    <definedName name="abft50_4_10">#REF!</definedName>
    <definedName name="abft50_4_11">#REF!</definedName>
    <definedName name="abft50_4_12">#REF!</definedName>
    <definedName name="abft50_4_13">#REF!</definedName>
    <definedName name="abft50_4_2">#REF!</definedName>
    <definedName name="abft50_4_2_6">#REF!</definedName>
    <definedName name="abft50_4_4">#REF!</definedName>
    <definedName name="abft50_4_4_5">#REF!</definedName>
    <definedName name="abft50_4_5">#REF!</definedName>
    <definedName name="abft50_4_6">#REF!</definedName>
    <definedName name="abft50_4_6_5">#REF!</definedName>
    <definedName name="abft50_4_7">#REF!</definedName>
    <definedName name="abft50_4_7_5">#REF!</definedName>
    <definedName name="abft50_5">#REF!</definedName>
    <definedName name="abft50_5_2">#REF!</definedName>
    <definedName name="abft50_5_2_6">#REF!</definedName>
    <definedName name="abft50_5_4">#REF!</definedName>
    <definedName name="abft50_5_4_5">#REF!</definedName>
    <definedName name="abft50_5_5">#REF!</definedName>
    <definedName name="abft50_5_6">#REF!</definedName>
    <definedName name="abft50_5_6_5">#REF!</definedName>
    <definedName name="abft50_5_7">#REF!</definedName>
    <definedName name="abft50_5_7_5">#REF!</definedName>
    <definedName name="abft50_6">#REF!</definedName>
    <definedName name="abft50_6_1">#REF!</definedName>
    <definedName name="abft50_6_1_5">#REF!</definedName>
    <definedName name="abft50_6_10">#REF!</definedName>
    <definedName name="abft50_6_11">#REF!</definedName>
    <definedName name="abft50_6_12">#REF!</definedName>
    <definedName name="abft50_6_13">#REF!</definedName>
    <definedName name="abft50_6_4">#REF!</definedName>
    <definedName name="abft50_6_4_5">#REF!</definedName>
    <definedName name="abft50_6_5">#REF!</definedName>
    <definedName name="abft50_6_6">#REF!</definedName>
    <definedName name="abft50_6_6_5">#REF!</definedName>
    <definedName name="abft50_6_7">#REF!</definedName>
    <definedName name="abft50_6_7_5">#REF!</definedName>
    <definedName name="abft50_6_9">#REF!</definedName>
    <definedName name="abft50_7">#REF!</definedName>
    <definedName name="abft50_7_5">#REF!</definedName>
    <definedName name="abft50_9">#REF!</definedName>
    <definedName name="abfv100">#REF!</definedName>
    <definedName name="abfv100_1">#REF!</definedName>
    <definedName name="abfv100_1_5">#REF!</definedName>
    <definedName name="abfv100_10">#REF!</definedName>
    <definedName name="abfv100_11">#REF!</definedName>
    <definedName name="abfv100_12">#REF!</definedName>
    <definedName name="abfv100_13">#REF!</definedName>
    <definedName name="abfv100_2">#REF!</definedName>
    <definedName name="abfv100_2_1">#REF!</definedName>
    <definedName name="abfv100_2_1_1">#REF!</definedName>
    <definedName name="abfv100_2_1_1_6">#REF!</definedName>
    <definedName name="abfv100_2_1_5">#REF!</definedName>
    <definedName name="abfv100_2_1_6">#REF!</definedName>
    <definedName name="abfv100_2_1_7">#REF!</definedName>
    <definedName name="abfv100_2_1_7_5">#REF!</definedName>
    <definedName name="abfv100_2_5">#REF!</definedName>
    <definedName name="abfv100_2_6">#REF!</definedName>
    <definedName name="abfv100_2_7">#REF!</definedName>
    <definedName name="abfv100_2_7_5">#REF!</definedName>
    <definedName name="abfv100_3">#REF!</definedName>
    <definedName name="abfv100_3_1">#REF!</definedName>
    <definedName name="abfv100_3_10">#REF!</definedName>
    <definedName name="abfv100_3_11">#REF!</definedName>
    <definedName name="abfv100_3_12">#REF!</definedName>
    <definedName name="abfv100_3_13">#REF!</definedName>
    <definedName name="abfv100_3_2">#REF!</definedName>
    <definedName name="abfv100_3_4">#REF!</definedName>
    <definedName name="abfv100_3_4_5">#REF!</definedName>
    <definedName name="abfv100_3_5">#REF!</definedName>
    <definedName name="abfv100_3_6">#REF!</definedName>
    <definedName name="abfv100_3_6_5">#REF!</definedName>
    <definedName name="abfv100_3_7">#REF!</definedName>
    <definedName name="abfv100_3_7_5">#REF!</definedName>
    <definedName name="abfv100_3_9">#REF!</definedName>
    <definedName name="abfv100_4">#REF!</definedName>
    <definedName name="abfv100_4_1">#REF!</definedName>
    <definedName name="abfv100_4_1_5">#REF!</definedName>
    <definedName name="abfv100_4_10">#REF!</definedName>
    <definedName name="abfv100_4_11">#REF!</definedName>
    <definedName name="abfv100_4_12">#REF!</definedName>
    <definedName name="abfv100_4_13">#REF!</definedName>
    <definedName name="abfv100_4_2">#REF!</definedName>
    <definedName name="abfv100_4_2_6">#REF!</definedName>
    <definedName name="abfv100_4_4">#REF!</definedName>
    <definedName name="abfv100_4_4_5">#REF!</definedName>
    <definedName name="abfv100_4_5">#REF!</definedName>
    <definedName name="abfv100_4_6">#REF!</definedName>
    <definedName name="abfv100_4_6_5">#REF!</definedName>
    <definedName name="abfv100_4_7">#REF!</definedName>
    <definedName name="abfv100_4_7_5">#REF!</definedName>
    <definedName name="abfv100_5">#REF!</definedName>
    <definedName name="abfv100_5_2">#REF!</definedName>
    <definedName name="abfv100_5_2_6">#REF!</definedName>
    <definedName name="abfv100_5_4">#REF!</definedName>
    <definedName name="abfv100_5_4_5">#REF!</definedName>
    <definedName name="abfv100_5_5">#REF!</definedName>
    <definedName name="abfv100_5_6">#REF!</definedName>
    <definedName name="abfv100_5_6_5">#REF!</definedName>
    <definedName name="abfv100_5_7">#REF!</definedName>
    <definedName name="abfv100_5_7_5">#REF!</definedName>
    <definedName name="abfv100_6">#REF!</definedName>
    <definedName name="abfv100_6_1">#REF!</definedName>
    <definedName name="abfv100_6_1_5">#REF!</definedName>
    <definedName name="abfv100_6_10">#REF!</definedName>
    <definedName name="abfv100_6_11">#REF!</definedName>
    <definedName name="abfv100_6_12">#REF!</definedName>
    <definedName name="abfv100_6_13">#REF!</definedName>
    <definedName name="abfv100_6_4">#REF!</definedName>
    <definedName name="abfv100_6_4_5">#REF!</definedName>
    <definedName name="abfv100_6_5">#REF!</definedName>
    <definedName name="abfv100_6_6">#REF!</definedName>
    <definedName name="abfv100_6_6_5">#REF!</definedName>
    <definedName name="abfv100_6_7">#REF!</definedName>
    <definedName name="abfv100_6_7_5">#REF!</definedName>
    <definedName name="abfv100_6_9">#REF!</definedName>
    <definedName name="abfv100_7">#REF!</definedName>
    <definedName name="abfv100_7_5">#REF!</definedName>
    <definedName name="abfv100_9">#REF!</definedName>
    <definedName name="abfv150">#REF!</definedName>
    <definedName name="abfv150_1">#REF!</definedName>
    <definedName name="abfv150_1_5">#REF!</definedName>
    <definedName name="abfv150_10">#REF!</definedName>
    <definedName name="abfv150_11">#REF!</definedName>
    <definedName name="abfv150_12">#REF!</definedName>
    <definedName name="abfv150_13">#REF!</definedName>
    <definedName name="abfv150_2">#REF!</definedName>
    <definedName name="abfv150_2_1">#REF!</definedName>
    <definedName name="abfv150_2_1_1">#REF!</definedName>
    <definedName name="abfv150_2_1_1_6">#REF!</definedName>
    <definedName name="abfv150_2_1_5">#REF!</definedName>
    <definedName name="abfv150_2_1_6">#REF!</definedName>
    <definedName name="abfv150_2_1_7">#REF!</definedName>
    <definedName name="abfv150_2_1_7_5">#REF!</definedName>
    <definedName name="abfv150_2_5">#REF!</definedName>
    <definedName name="abfv150_2_6">#REF!</definedName>
    <definedName name="abfv150_2_7">#REF!</definedName>
    <definedName name="abfv150_2_7_5">#REF!</definedName>
    <definedName name="abfv150_3">#REF!</definedName>
    <definedName name="abfv150_3_1">#REF!</definedName>
    <definedName name="abfv150_3_10">#REF!</definedName>
    <definedName name="abfv150_3_11">#REF!</definedName>
    <definedName name="abfv150_3_12">#REF!</definedName>
    <definedName name="abfv150_3_13">#REF!</definedName>
    <definedName name="abfv150_3_2">#REF!</definedName>
    <definedName name="abfv150_3_4">#REF!</definedName>
    <definedName name="abfv150_3_4_5">#REF!</definedName>
    <definedName name="abfv150_3_5">#REF!</definedName>
    <definedName name="abfv150_3_6">#REF!</definedName>
    <definedName name="abfv150_3_6_5">#REF!</definedName>
    <definedName name="abfv150_3_7">#REF!</definedName>
    <definedName name="abfv150_3_7_5">#REF!</definedName>
    <definedName name="abfv150_3_9">#REF!</definedName>
    <definedName name="abfv150_4">#REF!</definedName>
    <definedName name="abfv150_4_1">#REF!</definedName>
    <definedName name="abfv150_4_1_5">#REF!</definedName>
    <definedName name="abfv150_4_10">#REF!</definedName>
    <definedName name="abfv150_4_11">#REF!</definedName>
    <definedName name="abfv150_4_12">#REF!</definedName>
    <definedName name="abfv150_4_13">#REF!</definedName>
    <definedName name="abfv150_4_2">#REF!</definedName>
    <definedName name="abfv150_4_2_6">#REF!</definedName>
    <definedName name="abfv150_4_4">#REF!</definedName>
    <definedName name="abfv150_4_4_5">#REF!</definedName>
    <definedName name="abfv150_4_5">#REF!</definedName>
    <definedName name="abfv150_4_6">#REF!</definedName>
    <definedName name="abfv150_4_6_5">#REF!</definedName>
    <definedName name="abfv150_4_7">#REF!</definedName>
    <definedName name="abfv150_4_7_5">#REF!</definedName>
    <definedName name="abfv150_5">#REF!</definedName>
    <definedName name="abfv150_5_2">#REF!</definedName>
    <definedName name="abfv150_5_2_6">#REF!</definedName>
    <definedName name="abfv150_5_4">#REF!</definedName>
    <definedName name="abfv150_5_4_5">#REF!</definedName>
    <definedName name="abfv150_5_5">#REF!</definedName>
    <definedName name="abfv150_5_6">#REF!</definedName>
    <definedName name="abfv150_5_6_5">#REF!</definedName>
    <definedName name="abfv150_5_7">#REF!</definedName>
    <definedName name="abfv150_5_7_5">#REF!</definedName>
    <definedName name="abfv150_6">#REF!</definedName>
    <definedName name="abfv150_6_1">#REF!</definedName>
    <definedName name="abfv150_6_1_5">#REF!</definedName>
    <definedName name="abfv150_6_10">#REF!</definedName>
    <definedName name="abfv150_6_11">#REF!</definedName>
    <definedName name="abfv150_6_12">#REF!</definedName>
    <definedName name="abfv150_6_13">#REF!</definedName>
    <definedName name="abfv150_6_4">#REF!</definedName>
    <definedName name="abfv150_6_4_5">#REF!</definedName>
    <definedName name="abfv150_6_5">#REF!</definedName>
    <definedName name="abfv150_6_6">#REF!</definedName>
    <definedName name="abfv150_6_6_5">#REF!</definedName>
    <definedName name="abfv150_6_7">#REF!</definedName>
    <definedName name="abfv150_6_7_5">#REF!</definedName>
    <definedName name="abfv150_6_9">#REF!</definedName>
    <definedName name="abfv150_7">#REF!</definedName>
    <definedName name="abfv150_7_5">#REF!</definedName>
    <definedName name="abfv150_9">#REF!</definedName>
    <definedName name="abfv50">#REF!</definedName>
    <definedName name="abfv50_1">#REF!</definedName>
    <definedName name="abfv50_1_5">#REF!</definedName>
    <definedName name="abfv50_10">#REF!</definedName>
    <definedName name="abfv50_11">#REF!</definedName>
    <definedName name="abfv50_12">#REF!</definedName>
    <definedName name="abfv50_13">#REF!</definedName>
    <definedName name="abfv50_2">#REF!</definedName>
    <definedName name="abfv50_2_1">#REF!</definedName>
    <definedName name="abfv50_2_1_1">#REF!</definedName>
    <definedName name="abfv50_2_1_1_6">#REF!</definedName>
    <definedName name="abfv50_2_1_5">#REF!</definedName>
    <definedName name="abfv50_2_1_6">#REF!</definedName>
    <definedName name="abfv50_2_1_7">#REF!</definedName>
    <definedName name="abfv50_2_1_7_5">#REF!</definedName>
    <definedName name="abfv50_2_5">#REF!</definedName>
    <definedName name="abfv50_2_6">#REF!</definedName>
    <definedName name="abfv50_2_7">#REF!</definedName>
    <definedName name="abfv50_2_7_5">#REF!</definedName>
    <definedName name="abfv50_3">#REF!</definedName>
    <definedName name="abfv50_3_1">#REF!</definedName>
    <definedName name="abfv50_3_10">#REF!</definedName>
    <definedName name="abfv50_3_11">#REF!</definedName>
    <definedName name="abfv50_3_12">#REF!</definedName>
    <definedName name="abfv50_3_13">#REF!</definedName>
    <definedName name="abfv50_3_2">#REF!</definedName>
    <definedName name="abfv50_3_4">#REF!</definedName>
    <definedName name="abfv50_3_4_5">#REF!</definedName>
    <definedName name="abfv50_3_5">#REF!</definedName>
    <definedName name="abfv50_3_6">#REF!</definedName>
    <definedName name="abfv50_3_6_5">#REF!</definedName>
    <definedName name="abfv50_3_7">#REF!</definedName>
    <definedName name="abfv50_3_7_5">#REF!</definedName>
    <definedName name="abfv50_3_9">#REF!</definedName>
    <definedName name="abfv50_4">#REF!</definedName>
    <definedName name="abfv50_4_1">#REF!</definedName>
    <definedName name="abfv50_4_1_5">#REF!</definedName>
    <definedName name="abfv50_4_10">#REF!</definedName>
    <definedName name="abfv50_4_11">#REF!</definedName>
    <definedName name="abfv50_4_12">#REF!</definedName>
    <definedName name="abfv50_4_13">#REF!</definedName>
    <definedName name="abfv50_4_2">#REF!</definedName>
    <definedName name="abfv50_4_2_6">#REF!</definedName>
    <definedName name="abfv50_4_4">#REF!</definedName>
    <definedName name="abfv50_4_4_5">#REF!</definedName>
    <definedName name="abfv50_4_5">#REF!</definedName>
    <definedName name="abfv50_4_6">#REF!</definedName>
    <definedName name="abfv50_4_6_5">#REF!</definedName>
    <definedName name="abfv50_4_7">#REF!</definedName>
    <definedName name="abfv50_4_7_5">#REF!</definedName>
    <definedName name="abfv50_5">#REF!</definedName>
    <definedName name="abfv50_5_2">#REF!</definedName>
    <definedName name="abfv50_5_2_6">#REF!</definedName>
    <definedName name="abfv50_5_4">#REF!</definedName>
    <definedName name="abfv50_5_4_5">#REF!</definedName>
    <definedName name="abfv50_5_5">#REF!</definedName>
    <definedName name="abfv50_5_6">#REF!</definedName>
    <definedName name="abfv50_5_6_5">#REF!</definedName>
    <definedName name="abfv50_5_7">#REF!</definedName>
    <definedName name="abfv50_5_7_5">#REF!</definedName>
    <definedName name="abfv50_6">#REF!</definedName>
    <definedName name="abfv50_6_1">#REF!</definedName>
    <definedName name="abfv50_6_1_5">#REF!</definedName>
    <definedName name="abfv50_6_10">#REF!</definedName>
    <definedName name="abfv50_6_11">#REF!</definedName>
    <definedName name="abfv50_6_12">#REF!</definedName>
    <definedName name="abfv50_6_13">#REF!</definedName>
    <definedName name="abfv50_6_4">#REF!</definedName>
    <definedName name="abfv50_6_4_5">#REF!</definedName>
    <definedName name="abfv50_6_5">#REF!</definedName>
    <definedName name="abfv50_6_6">#REF!</definedName>
    <definedName name="abfv50_6_6_5">#REF!</definedName>
    <definedName name="abfv50_6_7">#REF!</definedName>
    <definedName name="abfv50_6_7_5">#REF!</definedName>
    <definedName name="abfv50_6_9">#REF!</definedName>
    <definedName name="abfv50_7">#REF!</definedName>
    <definedName name="abfv50_7_5">#REF!</definedName>
    <definedName name="abfv50_9">#REF!</definedName>
    <definedName name="abfv80">#REF!</definedName>
    <definedName name="abfv80_1">#REF!</definedName>
    <definedName name="abfv80_1_5">#REF!</definedName>
    <definedName name="abfv80_10">#REF!</definedName>
    <definedName name="abfv80_11">#REF!</definedName>
    <definedName name="abfv80_12">#REF!</definedName>
    <definedName name="abfv80_13">#REF!</definedName>
    <definedName name="abfv80_2">#REF!</definedName>
    <definedName name="abfv80_2_1">#REF!</definedName>
    <definedName name="abfv80_2_1_1">#REF!</definedName>
    <definedName name="abfv80_2_1_1_6">#REF!</definedName>
    <definedName name="abfv80_2_1_5">#REF!</definedName>
    <definedName name="abfv80_2_1_6">#REF!</definedName>
    <definedName name="abfv80_2_1_7">#REF!</definedName>
    <definedName name="abfv80_2_1_7_5">#REF!</definedName>
    <definedName name="abfv80_2_5">#REF!</definedName>
    <definedName name="abfv80_2_6">#REF!</definedName>
    <definedName name="abfv80_2_7">#REF!</definedName>
    <definedName name="abfv80_2_7_5">#REF!</definedName>
    <definedName name="abfv80_3">#REF!</definedName>
    <definedName name="abfv80_3_1">#REF!</definedName>
    <definedName name="abfv80_3_10">#REF!</definedName>
    <definedName name="abfv80_3_11">#REF!</definedName>
    <definedName name="abfv80_3_12">#REF!</definedName>
    <definedName name="abfv80_3_13">#REF!</definedName>
    <definedName name="abfv80_3_2">#REF!</definedName>
    <definedName name="abfv80_3_4">#REF!</definedName>
    <definedName name="abfv80_3_4_5">#REF!</definedName>
    <definedName name="abfv80_3_5">#REF!</definedName>
    <definedName name="abfv80_3_6">#REF!</definedName>
    <definedName name="abfv80_3_6_5">#REF!</definedName>
    <definedName name="abfv80_3_7">#REF!</definedName>
    <definedName name="abfv80_3_7_5">#REF!</definedName>
    <definedName name="abfv80_3_9">#REF!</definedName>
    <definedName name="abfv80_4">#REF!</definedName>
    <definedName name="abfv80_4_1">#REF!</definedName>
    <definedName name="abfv80_4_1_5">#REF!</definedName>
    <definedName name="abfv80_4_10">#REF!</definedName>
    <definedName name="abfv80_4_11">#REF!</definedName>
    <definedName name="abfv80_4_12">#REF!</definedName>
    <definedName name="abfv80_4_13">#REF!</definedName>
    <definedName name="abfv80_4_2">#REF!</definedName>
    <definedName name="abfv80_4_2_6">#REF!</definedName>
    <definedName name="abfv80_4_4">#REF!</definedName>
    <definedName name="abfv80_4_4_5">#REF!</definedName>
    <definedName name="abfv80_4_5">#REF!</definedName>
    <definedName name="abfv80_4_6">#REF!</definedName>
    <definedName name="abfv80_4_6_5">#REF!</definedName>
    <definedName name="abfv80_4_7">#REF!</definedName>
    <definedName name="abfv80_4_7_5">#REF!</definedName>
    <definedName name="abfv80_5">#REF!</definedName>
    <definedName name="abfv80_5_2">#REF!</definedName>
    <definedName name="abfv80_5_2_6">#REF!</definedName>
    <definedName name="abfv80_5_4">#REF!</definedName>
    <definedName name="abfv80_5_4_5">#REF!</definedName>
    <definedName name="abfv80_5_5">#REF!</definedName>
    <definedName name="abfv80_5_6">#REF!</definedName>
    <definedName name="abfv80_5_6_5">#REF!</definedName>
    <definedName name="abfv80_5_7">#REF!</definedName>
    <definedName name="abfv80_5_7_5">#REF!</definedName>
    <definedName name="abfv80_6">#REF!</definedName>
    <definedName name="abfv80_6_1">#REF!</definedName>
    <definedName name="abfv80_6_1_5">#REF!</definedName>
    <definedName name="abfv80_6_10">#REF!</definedName>
    <definedName name="abfv80_6_11">#REF!</definedName>
    <definedName name="abfv80_6_12">#REF!</definedName>
    <definedName name="abfv80_6_13">#REF!</definedName>
    <definedName name="abfv80_6_4">#REF!</definedName>
    <definedName name="abfv80_6_4_5">#REF!</definedName>
    <definedName name="abfv80_6_5">#REF!</definedName>
    <definedName name="abfv80_6_6">#REF!</definedName>
    <definedName name="abfv80_6_6_5">#REF!</definedName>
    <definedName name="abfv80_6_7">#REF!</definedName>
    <definedName name="abfv80_6_7_5">#REF!</definedName>
    <definedName name="abfv80_6_9">#REF!</definedName>
    <definedName name="abfv80_7">#REF!</definedName>
    <definedName name="abfv80_7_5">#REF!</definedName>
    <definedName name="abfv80_9">#REF!</definedName>
    <definedName name="abgv100">#REF!</definedName>
    <definedName name="abgv100_1">#REF!</definedName>
    <definedName name="abgv100_1_5">#REF!</definedName>
    <definedName name="abgv100_10">#REF!</definedName>
    <definedName name="abgv100_11">#REF!</definedName>
    <definedName name="abgv100_12">#REF!</definedName>
    <definedName name="abgv100_13">#REF!</definedName>
    <definedName name="abgv100_2">#REF!</definedName>
    <definedName name="abgv100_2_1">#REF!</definedName>
    <definedName name="abgv100_2_1_1">#REF!</definedName>
    <definedName name="abgv100_2_1_1_6">#REF!</definedName>
    <definedName name="abgv100_2_1_5">#REF!</definedName>
    <definedName name="abgv100_2_1_6">#REF!</definedName>
    <definedName name="abgv100_2_1_7">#REF!</definedName>
    <definedName name="abgv100_2_1_7_5">#REF!</definedName>
    <definedName name="abgv100_2_5">#REF!</definedName>
    <definedName name="abgv100_2_6">#REF!</definedName>
    <definedName name="abgv100_2_7">#REF!</definedName>
    <definedName name="abgv100_2_7_5">#REF!</definedName>
    <definedName name="abgv100_3">#REF!</definedName>
    <definedName name="abgv100_3_1">#REF!</definedName>
    <definedName name="abgv100_3_10">#REF!</definedName>
    <definedName name="abgv100_3_11">#REF!</definedName>
    <definedName name="abgv100_3_12">#REF!</definedName>
    <definedName name="abgv100_3_13">#REF!</definedName>
    <definedName name="abgv100_3_2">#REF!</definedName>
    <definedName name="abgv100_3_4">#REF!</definedName>
    <definedName name="abgv100_3_4_5">#REF!</definedName>
    <definedName name="abgv100_3_5">#REF!</definedName>
    <definedName name="abgv100_3_6">#REF!</definedName>
    <definedName name="abgv100_3_6_5">#REF!</definedName>
    <definedName name="abgv100_3_7">#REF!</definedName>
    <definedName name="abgv100_3_7_5">#REF!</definedName>
    <definedName name="abgv100_3_9">#REF!</definedName>
    <definedName name="abgv100_4">#REF!</definedName>
    <definedName name="abgv100_4_1">#REF!</definedName>
    <definedName name="abgv100_4_1_5">#REF!</definedName>
    <definedName name="abgv100_4_10">#REF!</definedName>
    <definedName name="abgv100_4_11">#REF!</definedName>
    <definedName name="abgv100_4_12">#REF!</definedName>
    <definedName name="abgv100_4_13">#REF!</definedName>
    <definedName name="abgv100_4_2">#REF!</definedName>
    <definedName name="abgv100_4_2_6">#REF!</definedName>
    <definedName name="abgv100_4_4">#REF!</definedName>
    <definedName name="abgv100_4_4_5">#REF!</definedName>
    <definedName name="abgv100_4_5">#REF!</definedName>
    <definedName name="abgv100_4_6">#REF!</definedName>
    <definedName name="abgv100_4_6_5">#REF!</definedName>
    <definedName name="abgv100_4_7">#REF!</definedName>
    <definedName name="abgv100_4_7_5">#REF!</definedName>
    <definedName name="abgv100_5">#REF!</definedName>
    <definedName name="abgv100_5_2">#REF!</definedName>
    <definedName name="abgv100_5_2_6">#REF!</definedName>
    <definedName name="abgv100_5_4">#REF!</definedName>
    <definedName name="abgv100_5_4_5">#REF!</definedName>
    <definedName name="abgv100_5_5">#REF!</definedName>
    <definedName name="abgv100_5_6">#REF!</definedName>
    <definedName name="abgv100_5_6_5">#REF!</definedName>
    <definedName name="abgv100_5_7">#REF!</definedName>
    <definedName name="abgv100_5_7_5">#REF!</definedName>
    <definedName name="abgv100_6">#REF!</definedName>
    <definedName name="abgv100_6_1">#REF!</definedName>
    <definedName name="abgv100_6_1_5">#REF!</definedName>
    <definedName name="abgv100_6_10">#REF!</definedName>
    <definedName name="abgv100_6_11">#REF!</definedName>
    <definedName name="abgv100_6_12">#REF!</definedName>
    <definedName name="abgv100_6_13">#REF!</definedName>
    <definedName name="abgv100_6_4">#REF!</definedName>
    <definedName name="abgv100_6_4_5">#REF!</definedName>
    <definedName name="abgv100_6_5">#REF!</definedName>
    <definedName name="abgv100_6_6">#REF!</definedName>
    <definedName name="abgv100_6_6_5">#REF!</definedName>
    <definedName name="abgv100_6_7">#REF!</definedName>
    <definedName name="abgv100_6_7_5">#REF!</definedName>
    <definedName name="abgv100_6_9">#REF!</definedName>
    <definedName name="abgv100_7">#REF!</definedName>
    <definedName name="abgv100_7_5">#REF!</definedName>
    <definedName name="abgv100_9">#REF!</definedName>
    <definedName name="abgv150">#REF!</definedName>
    <definedName name="abgv150_1">#REF!</definedName>
    <definedName name="abgv150_1_5">#REF!</definedName>
    <definedName name="abgv150_10">#REF!</definedName>
    <definedName name="abgv150_11">#REF!</definedName>
    <definedName name="abgv150_12">#REF!</definedName>
    <definedName name="abgv150_13">#REF!</definedName>
    <definedName name="abgv150_2">#REF!</definedName>
    <definedName name="abgv150_2_1">#REF!</definedName>
    <definedName name="abgv150_2_1_1">#REF!</definedName>
    <definedName name="abgv150_2_1_1_6">#REF!</definedName>
    <definedName name="abgv150_2_1_5">#REF!</definedName>
    <definedName name="abgv150_2_1_6">#REF!</definedName>
    <definedName name="abgv150_2_1_7">#REF!</definedName>
    <definedName name="abgv150_2_1_7_5">#REF!</definedName>
    <definedName name="abgv150_2_5">#REF!</definedName>
    <definedName name="abgv150_2_6">#REF!</definedName>
    <definedName name="abgv150_2_7">#REF!</definedName>
    <definedName name="abgv150_2_7_5">#REF!</definedName>
    <definedName name="abgv150_3">#REF!</definedName>
    <definedName name="abgv150_3_1">#REF!</definedName>
    <definedName name="abgv150_3_10">#REF!</definedName>
    <definedName name="abgv150_3_11">#REF!</definedName>
    <definedName name="abgv150_3_12">#REF!</definedName>
    <definedName name="abgv150_3_13">#REF!</definedName>
    <definedName name="abgv150_3_2">#REF!</definedName>
    <definedName name="abgv150_3_4">#REF!</definedName>
    <definedName name="abgv150_3_4_5">#REF!</definedName>
    <definedName name="abgv150_3_5">#REF!</definedName>
    <definedName name="abgv150_3_6">#REF!</definedName>
    <definedName name="abgv150_3_6_5">#REF!</definedName>
    <definedName name="abgv150_3_7">#REF!</definedName>
    <definedName name="abgv150_3_7_5">#REF!</definedName>
    <definedName name="abgv150_3_9">#REF!</definedName>
    <definedName name="abgv150_4">#REF!</definedName>
    <definedName name="abgv150_4_1">#REF!</definedName>
    <definedName name="abgv150_4_1_5">#REF!</definedName>
    <definedName name="abgv150_4_10">#REF!</definedName>
    <definedName name="abgv150_4_11">#REF!</definedName>
    <definedName name="abgv150_4_12">#REF!</definedName>
    <definedName name="abgv150_4_13">#REF!</definedName>
    <definedName name="abgv150_4_2">#REF!</definedName>
    <definedName name="abgv150_4_2_6">#REF!</definedName>
    <definedName name="abgv150_4_4">#REF!</definedName>
    <definedName name="abgv150_4_4_5">#REF!</definedName>
    <definedName name="abgv150_4_5">#REF!</definedName>
    <definedName name="abgv150_4_6">#REF!</definedName>
    <definedName name="abgv150_4_6_5">#REF!</definedName>
    <definedName name="abgv150_4_7">#REF!</definedName>
    <definedName name="abgv150_4_7_5">#REF!</definedName>
    <definedName name="abgv150_5">#REF!</definedName>
    <definedName name="abgv150_5_2">#REF!</definedName>
    <definedName name="abgv150_5_2_6">#REF!</definedName>
    <definedName name="abgv150_5_4">#REF!</definedName>
    <definedName name="abgv150_5_4_5">#REF!</definedName>
    <definedName name="abgv150_5_5">#REF!</definedName>
    <definedName name="abgv150_5_6">#REF!</definedName>
    <definedName name="abgv150_5_6_5">#REF!</definedName>
    <definedName name="abgv150_5_7">#REF!</definedName>
    <definedName name="abgv150_5_7_5">#REF!</definedName>
    <definedName name="abgv150_6">#REF!</definedName>
    <definedName name="abgv150_6_1">#REF!</definedName>
    <definedName name="abgv150_6_1_5">#REF!</definedName>
    <definedName name="abgv150_6_10">#REF!</definedName>
    <definedName name="abgv150_6_11">#REF!</definedName>
    <definedName name="abgv150_6_12">#REF!</definedName>
    <definedName name="abgv150_6_13">#REF!</definedName>
    <definedName name="abgv150_6_4">#REF!</definedName>
    <definedName name="abgv150_6_4_5">#REF!</definedName>
    <definedName name="abgv150_6_5">#REF!</definedName>
    <definedName name="abgv150_6_6">#REF!</definedName>
    <definedName name="abgv150_6_6_5">#REF!</definedName>
    <definedName name="abgv150_6_7">#REF!</definedName>
    <definedName name="abgv150_6_7_5">#REF!</definedName>
    <definedName name="abgv150_6_9">#REF!</definedName>
    <definedName name="abgv150_7">#REF!</definedName>
    <definedName name="abgv150_7_5">#REF!</definedName>
    <definedName name="abgv150_9">#REF!</definedName>
    <definedName name="abgv20">#REF!</definedName>
    <definedName name="abgv20_1">#REF!</definedName>
    <definedName name="abgv20_1_5">#REF!</definedName>
    <definedName name="abgv20_10">#REF!</definedName>
    <definedName name="abgv20_11">#REF!</definedName>
    <definedName name="abgv20_12">#REF!</definedName>
    <definedName name="abgv20_13">#REF!</definedName>
    <definedName name="abgv20_2">#REF!</definedName>
    <definedName name="abgv20_2_1">#REF!</definedName>
    <definedName name="abgv20_2_1_1">#REF!</definedName>
    <definedName name="abgv20_2_1_1_6">#REF!</definedName>
    <definedName name="abgv20_2_1_5">#REF!</definedName>
    <definedName name="abgv20_2_1_6">#REF!</definedName>
    <definedName name="abgv20_2_1_7">#REF!</definedName>
    <definedName name="abgv20_2_1_7_5">#REF!</definedName>
    <definedName name="abgv20_2_5">#REF!</definedName>
    <definedName name="abgv20_2_6">#REF!</definedName>
    <definedName name="abgv20_2_7">#REF!</definedName>
    <definedName name="abgv20_2_7_5">#REF!</definedName>
    <definedName name="abgv20_3">#REF!</definedName>
    <definedName name="abgv20_3_1">#REF!</definedName>
    <definedName name="abgv20_3_10">#REF!</definedName>
    <definedName name="abgv20_3_11">#REF!</definedName>
    <definedName name="abgv20_3_12">#REF!</definedName>
    <definedName name="abgv20_3_13">#REF!</definedName>
    <definedName name="abgv20_3_2">#REF!</definedName>
    <definedName name="abgv20_3_4">#REF!</definedName>
    <definedName name="abgv20_3_4_5">#REF!</definedName>
    <definedName name="abgv20_3_5">#REF!</definedName>
    <definedName name="abgv20_3_6">#REF!</definedName>
    <definedName name="abgv20_3_6_5">#REF!</definedName>
    <definedName name="abgv20_3_7">#REF!</definedName>
    <definedName name="abgv20_3_7_5">#REF!</definedName>
    <definedName name="abgv20_3_9">#REF!</definedName>
    <definedName name="abgv20_4">#REF!</definedName>
    <definedName name="abgv20_4_1">#REF!</definedName>
    <definedName name="abgv20_4_1_5">#REF!</definedName>
    <definedName name="abgv20_4_10">#REF!</definedName>
    <definedName name="abgv20_4_11">#REF!</definedName>
    <definedName name="abgv20_4_12">#REF!</definedName>
    <definedName name="abgv20_4_13">#REF!</definedName>
    <definedName name="abgv20_4_2">#REF!</definedName>
    <definedName name="abgv20_4_2_6">#REF!</definedName>
    <definedName name="abgv20_4_4">#REF!</definedName>
    <definedName name="abgv20_4_4_5">#REF!</definedName>
    <definedName name="abgv20_4_5">#REF!</definedName>
    <definedName name="abgv20_4_6">#REF!</definedName>
    <definedName name="abgv20_4_6_5">#REF!</definedName>
    <definedName name="abgv20_4_7">#REF!</definedName>
    <definedName name="abgv20_4_7_5">#REF!</definedName>
    <definedName name="abgv20_5">#REF!</definedName>
    <definedName name="abgv20_5_2">#REF!</definedName>
    <definedName name="abgv20_5_2_6">#REF!</definedName>
    <definedName name="abgv20_5_4">#REF!</definedName>
    <definedName name="abgv20_5_4_5">#REF!</definedName>
    <definedName name="abgv20_5_5">#REF!</definedName>
    <definedName name="abgv20_5_6">#REF!</definedName>
    <definedName name="abgv20_5_6_5">#REF!</definedName>
    <definedName name="abgv20_5_7">#REF!</definedName>
    <definedName name="abgv20_5_7_5">#REF!</definedName>
    <definedName name="abgv20_6">#REF!</definedName>
    <definedName name="abgv20_6_1">#REF!</definedName>
    <definedName name="abgv20_6_1_5">#REF!</definedName>
    <definedName name="abgv20_6_10">#REF!</definedName>
    <definedName name="abgv20_6_11">#REF!</definedName>
    <definedName name="abgv20_6_12">#REF!</definedName>
    <definedName name="abgv20_6_13">#REF!</definedName>
    <definedName name="abgv20_6_4">#REF!</definedName>
    <definedName name="abgv20_6_4_5">#REF!</definedName>
    <definedName name="abgv20_6_5">#REF!</definedName>
    <definedName name="abgv20_6_6">#REF!</definedName>
    <definedName name="abgv20_6_6_5">#REF!</definedName>
    <definedName name="abgv20_6_7">#REF!</definedName>
    <definedName name="abgv20_6_7_5">#REF!</definedName>
    <definedName name="abgv20_6_9">#REF!</definedName>
    <definedName name="abgv20_7">#REF!</definedName>
    <definedName name="abgv20_7_5">#REF!</definedName>
    <definedName name="abgv20_9">#REF!</definedName>
    <definedName name="abgv32">#REF!</definedName>
    <definedName name="abgv32_1">#REF!</definedName>
    <definedName name="abgv32_1_5">#REF!</definedName>
    <definedName name="abgv32_10">#REF!</definedName>
    <definedName name="abgv32_11">#REF!</definedName>
    <definedName name="abgv32_12">#REF!</definedName>
    <definedName name="abgv32_13">#REF!</definedName>
    <definedName name="abgv32_2">#REF!</definedName>
    <definedName name="abgv32_2_1">#REF!</definedName>
    <definedName name="abgv32_2_1_1">#REF!</definedName>
    <definedName name="abgv32_2_1_1_6">#REF!</definedName>
    <definedName name="abgv32_2_1_5">#REF!</definedName>
    <definedName name="abgv32_2_1_6">#REF!</definedName>
    <definedName name="abgv32_2_1_7">#REF!</definedName>
    <definedName name="abgv32_2_1_7_5">#REF!</definedName>
    <definedName name="abgv32_2_5">#REF!</definedName>
    <definedName name="abgv32_2_6">#REF!</definedName>
    <definedName name="abgv32_2_7">#REF!</definedName>
    <definedName name="abgv32_2_7_5">#REF!</definedName>
    <definedName name="abgv32_3">#REF!</definedName>
    <definedName name="abgv32_3_1">#REF!</definedName>
    <definedName name="abgv32_3_10">#REF!</definedName>
    <definedName name="abgv32_3_11">#REF!</definedName>
    <definedName name="abgv32_3_12">#REF!</definedName>
    <definedName name="abgv32_3_13">#REF!</definedName>
    <definedName name="abgv32_3_2">#REF!</definedName>
    <definedName name="abgv32_3_4">#REF!</definedName>
    <definedName name="abgv32_3_4_5">#REF!</definedName>
    <definedName name="abgv32_3_5">#REF!</definedName>
    <definedName name="abgv32_3_6">#REF!</definedName>
    <definedName name="abgv32_3_6_5">#REF!</definedName>
    <definedName name="abgv32_3_7">#REF!</definedName>
    <definedName name="abgv32_3_7_5">#REF!</definedName>
    <definedName name="abgv32_3_9">#REF!</definedName>
    <definedName name="abgv32_4">#REF!</definedName>
    <definedName name="abgv32_4_1">#REF!</definedName>
    <definedName name="abgv32_4_1_5">#REF!</definedName>
    <definedName name="abgv32_4_10">#REF!</definedName>
    <definedName name="abgv32_4_11">#REF!</definedName>
    <definedName name="abgv32_4_12">#REF!</definedName>
    <definedName name="abgv32_4_13">#REF!</definedName>
    <definedName name="abgv32_4_2">#REF!</definedName>
    <definedName name="abgv32_4_2_6">#REF!</definedName>
    <definedName name="abgv32_4_4">#REF!</definedName>
    <definedName name="abgv32_4_4_5">#REF!</definedName>
    <definedName name="abgv32_4_5">#REF!</definedName>
    <definedName name="abgv32_4_6">#REF!</definedName>
    <definedName name="abgv32_4_6_5">#REF!</definedName>
    <definedName name="abgv32_4_7">#REF!</definedName>
    <definedName name="abgv32_4_7_5">#REF!</definedName>
    <definedName name="abgv32_5">#REF!</definedName>
    <definedName name="abgv32_5_2">#REF!</definedName>
    <definedName name="abgv32_5_2_6">#REF!</definedName>
    <definedName name="abgv32_5_4">#REF!</definedName>
    <definedName name="abgv32_5_4_5">#REF!</definedName>
    <definedName name="abgv32_5_5">#REF!</definedName>
    <definedName name="abgv32_5_6">#REF!</definedName>
    <definedName name="abgv32_5_6_5">#REF!</definedName>
    <definedName name="abgv32_5_7">#REF!</definedName>
    <definedName name="abgv32_5_7_5">#REF!</definedName>
    <definedName name="abgv32_6">#REF!</definedName>
    <definedName name="abgv32_6_1">#REF!</definedName>
    <definedName name="abgv32_6_1_5">#REF!</definedName>
    <definedName name="abgv32_6_10">#REF!</definedName>
    <definedName name="abgv32_6_11">#REF!</definedName>
    <definedName name="abgv32_6_12">#REF!</definedName>
    <definedName name="abgv32_6_13">#REF!</definedName>
    <definedName name="abgv32_6_4">#REF!</definedName>
    <definedName name="abgv32_6_4_5">#REF!</definedName>
    <definedName name="abgv32_6_5">#REF!</definedName>
    <definedName name="abgv32_6_6">#REF!</definedName>
    <definedName name="abgv32_6_6_5">#REF!</definedName>
    <definedName name="abgv32_6_7">#REF!</definedName>
    <definedName name="abgv32_6_7_5">#REF!</definedName>
    <definedName name="abgv32_6_9">#REF!</definedName>
    <definedName name="abgv32_7">#REF!</definedName>
    <definedName name="abgv32_7_5">#REF!</definedName>
    <definedName name="abgv32_9">#REF!</definedName>
    <definedName name="abgv40">#REF!</definedName>
    <definedName name="abgv40_1">#REF!</definedName>
    <definedName name="abgv40_1_5">#REF!</definedName>
    <definedName name="abgv40_10">#REF!</definedName>
    <definedName name="abgv40_11">#REF!</definedName>
    <definedName name="abgv40_12">#REF!</definedName>
    <definedName name="abgv40_13">#REF!</definedName>
    <definedName name="abgv40_2">#REF!</definedName>
    <definedName name="abgv40_2_1">#REF!</definedName>
    <definedName name="abgv40_2_1_1">#REF!</definedName>
    <definedName name="abgv40_2_1_1_6">#REF!</definedName>
    <definedName name="abgv40_2_1_5">#REF!</definedName>
    <definedName name="abgv40_2_1_6">#REF!</definedName>
    <definedName name="abgv40_2_1_7">#REF!</definedName>
    <definedName name="abgv40_2_1_7_5">#REF!</definedName>
    <definedName name="abgv40_2_5">#REF!</definedName>
    <definedName name="abgv40_2_6">#REF!</definedName>
    <definedName name="abgv40_2_7">#REF!</definedName>
    <definedName name="abgv40_2_7_5">#REF!</definedName>
    <definedName name="abgv40_3">#REF!</definedName>
    <definedName name="abgv40_3_1">#REF!</definedName>
    <definedName name="abgv40_3_10">#REF!</definedName>
    <definedName name="abgv40_3_11">#REF!</definedName>
    <definedName name="abgv40_3_12">#REF!</definedName>
    <definedName name="abgv40_3_13">#REF!</definedName>
    <definedName name="abgv40_3_2">#REF!</definedName>
    <definedName name="abgv40_3_4">#REF!</definedName>
    <definedName name="abgv40_3_4_5">#REF!</definedName>
    <definedName name="abgv40_3_5">#REF!</definedName>
    <definedName name="abgv40_3_6">#REF!</definedName>
    <definedName name="abgv40_3_6_5">#REF!</definedName>
    <definedName name="abgv40_3_7">#REF!</definedName>
    <definedName name="abgv40_3_7_5">#REF!</definedName>
    <definedName name="abgv40_3_9">#REF!</definedName>
    <definedName name="abgv40_4">#REF!</definedName>
    <definedName name="abgv40_4_1">#REF!</definedName>
    <definedName name="abgv40_4_1_5">#REF!</definedName>
    <definedName name="abgv40_4_10">#REF!</definedName>
    <definedName name="abgv40_4_11">#REF!</definedName>
    <definedName name="abgv40_4_12">#REF!</definedName>
    <definedName name="abgv40_4_13">#REF!</definedName>
    <definedName name="abgv40_4_2">#REF!</definedName>
    <definedName name="abgv40_4_2_6">#REF!</definedName>
    <definedName name="abgv40_4_4">#REF!</definedName>
    <definedName name="abgv40_4_4_5">#REF!</definedName>
    <definedName name="abgv40_4_5">#REF!</definedName>
    <definedName name="abgv40_4_6">#REF!</definedName>
    <definedName name="abgv40_4_6_5">#REF!</definedName>
    <definedName name="abgv40_4_7">#REF!</definedName>
    <definedName name="abgv40_4_7_5">#REF!</definedName>
    <definedName name="abgv40_5">#REF!</definedName>
    <definedName name="abgv40_5_2">#REF!</definedName>
    <definedName name="abgv40_5_2_6">#REF!</definedName>
    <definedName name="abgv40_5_4">#REF!</definedName>
    <definedName name="abgv40_5_4_5">#REF!</definedName>
    <definedName name="abgv40_5_5">#REF!</definedName>
    <definedName name="abgv40_5_6">#REF!</definedName>
    <definedName name="abgv40_5_6_5">#REF!</definedName>
    <definedName name="abgv40_5_7">#REF!</definedName>
    <definedName name="abgv40_5_7_5">#REF!</definedName>
    <definedName name="abgv40_6">#REF!</definedName>
    <definedName name="abgv40_6_1">#REF!</definedName>
    <definedName name="abgv40_6_1_5">#REF!</definedName>
    <definedName name="abgv40_6_10">#REF!</definedName>
    <definedName name="abgv40_6_11">#REF!</definedName>
    <definedName name="abgv40_6_12">#REF!</definedName>
    <definedName name="abgv40_6_13">#REF!</definedName>
    <definedName name="abgv40_6_4">#REF!</definedName>
    <definedName name="abgv40_6_4_5">#REF!</definedName>
    <definedName name="abgv40_6_5">#REF!</definedName>
    <definedName name="abgv40_6_6">#REF!</definedName>
    <definedName name="abgv40_6_6_5">#REF!</definedName>
    <definedName name="abgv40_6_7">#REF!</definedName>
    <definedName name="abgv40_6_7_5">#REF!</definedName>
    <definedName name="abgv40_6_9">#REF!</definedName>
    <definedName name="abgv40_7">#REF!</definedName>
    <definedName name="abgv40_7_5">#REF!</definedName>
    <definedName name="abgv40_9">#REF!</definedName>
    <definedName name="abgv50">#REF!</definedName>
    <definedName name="abgv50_1">#REF!</definedName>
    <definedName name="abgv50_1_5">#REF!</definedName>
    <definedName name="abgv50_10">#REF!</definedName>
    <definedName name="abgv50_11">#REF!</definedName>
    <definedName name="abgv50_12">#REF!</definedName>
    <definedName name="abgv50_13">#REF!</definedName>
    <definedName name="abgv50_2">#REF!</definedName>
    <definedName name="abgv50_2_1">#REF!</definedName>
    <definedName name="abgv50_2_1_1">#REF!</definedName>
    <definedName name="abgv50_2_1_1_6">#REF!</definedName>
    <definedName name="abgv50_2_1_5">#REF!</definedName>
    <definedName name="abgv50_2_1_6">#REF!</definedName>
    <definedName name="abgv50_2_1_7">#REF!</definedName>
    <definedName name="abgv50_2_1_7_5">#REF!</definedName>
    <definedName name="abgv50_2_5">#REF!</definedName>
    <definedName name="abgv50_2_6">#REF!</definedName>
    <definedName name="abgv50_2_7">#REF!</definedName>
    <definedName name="abgv50_2_7_5">#REF!</definedName>
    <definedName name="abgv50_3">#REF!</definedName>
    <definedName name="abgv50_3_1">#REF!</definedName>
    <definedName name="abgv50_3_10">#REF!</definedName>
    <definedName name="abgv50_3_11">#REF!</definedName>
    <definedName name="abgv50_3_12">#REF!</definedName>
    <definedName name="abgv50_3_13">#REF!</definedName>
    <definedName name="abgv50_3_2">#REF!</definedName>
    <definedName name="abgv50_3_4">#REF!</definedName>
    <definedName name="abgv50_3_4_5">#REF!</definedName>
    <definedName name="abgv50_3_5">#REF!</definedName>
    <definedName name="abgv50_3_6">#REF!</definedName>
    <definedName name="abgv50_3_6_5">#REF!</definedName>
    <definedName name="abgv50_3_7">#REF!</definedName>
    <definedName name="abgv50_3_7_5">#REF!</definedName>
    <definedName name="abgv50_3_9">#REF!</definedName>
    <definedName name="abgv50_4">#REF!</definedName>
    <definedName name="abgv50_4_1">#REF!</definedName>
    <definedName name="abgv50_4_1_5">#REF!</definedName>
    <definedName name="abgv50_4_10">#REF!</definedName>
    <definedName name="abgv50_4_11">#REF!</definedName>
    <definedName name="abgv50_4_12">#REF!</definedName>
    <definedName name="abgv50_4_13">#REF!</definedName>
    <definedName name="abgv50_4_2">#REF!</definedName>
    <definedName name="abgv50_4_2_6">#REF!</definedName>
    <definedName name="abgv50_4_4">#REF!</definedName>
    <definedName name="abgv50_4_4_5">#REF!</definedName>
    <definedName name="abgv50_4_5">#REF!</definedName>
    <definedName name="abgv50_4_6">#REF!</definedName>
    <definedName name="abgv50_4_6_5">#REF!</definedName>
    <definedName name="abgv50_4_7">#REF!</definedName>
    <definedName name="abgv50_4_7_5">#REF!</definedName>
    <definedName name="abgv50_5">#REF!</definedName>
    <definedName name="abgv50_5_2">#REF!</definedName>
    <definedName name="abgv50_5_2_6">#REF!</definedName>
    <definedName name="abgv50_5_4">#REF!</definedName>
    <definedName name="abgv50_5_4_5">#REF!</definedName>
    <definedName name="abgv50_5_5">#REF!</definedName>
    <definedName name="abgv50_5_6">#REF!</definedName>
    <definedName name="abgv50_5_6_5">#REF!</definedName>
    <definedName name="abgv50_5_7">#REF!</definedName>
    <definedName name="abgv50_5_7_5">#REF!</definedName>
    <definedName name="abgv50_6">#REF!</definedName>
    <definedName name="abgv50_6_1">#REF!</definedName>
    <definedName name="abgv50_6_1_5">#REF!</definedName>
    <definedName name="abgv50_6_10">#REF!</definedName>
    <definedName name="abgv50_6_11">#REF!</definedName>
    <definedName name="abgv50_6_12">#REF!</definedName>
    <definedName name="abgv50_6_13">#REF!</definedName>
    <definedName name="abgv50_6_4">#REF!</definedName>
    <definedName name="abgv50_6_4_5">#REF!</definedName>
    <definedName name="abgv50_6_5">#REF!</definedName>
    <definedName name="abgv50_6_6">#REF!</definedName>
    <definedName name="abgv50_6_6_5">#REF!</definedName>
    <definedName name="abgv50_6_7">#REF!</definedName>
    <definedName name="abgv50_6_7_5">#REF!</definedName>
    <definedName name="abgv50_6_9">#REF!</definedName>
    <definedName name="abgv50_7">#REF!</definedName>
    <definedName name="abgv50_7_5">#REF!</definedName>
    <definedName name="abgv50_9">#REF!</definedName>
    <definedName name="abka15">#REF!</definedName>
    <definedName name="abka15_1">#REF!</definedName>
    <definedName name="abka15_1_5">#REF!</definedName>
    <definedName name="abka15_10">#REF!</definedName>
    <definedName name="abka15_11">#REF!</definedName>
    <definedName name="abka15_12">#REF!</definedName>
    <definedName name="abka15_13">#REF!</definedName>
    <definedName name="abka15_2">#REF!</definedName>
    <definedName name="abka15_2_1">#REF!</definedName>
    <definedName name="abka15_2_1_1">#REF!</definedName>
    <definedName name="abka15_2_1_1_6">#REF!</definedName>
    <definedName name="abka15_2_1_5">#REF!</definedName>
    <definedName name="abka15_2_1_6">#REF!</definedName>
    <definedName name="abka15_2_1_7">#REF!</definedName>
    <definedName name="abka15_2_1_7_5">#REF!</definedName>
    <definedName name="abka15_2_5">#REF!</definedName>
    <definedName name="abka15_2_6">#REF!</definedName>
    <definedName name="abka15_2_7">#REF!</definedName>
    <definedName name="abka15_2_7_5">#REF!</definedName>
    <definedName name="abka15_3">#REF!</definedName>
    <definedName name="abka15_3_1">#REF!</definedName>
    <definedName name="abka15_3_10">#REF!</definedName>
    <definedName name="abka15_3_11">#REF!</definedName>
    <definedName name="abka15_3_12">#REF!</definedName>
    <definedName name="abka15_3_13">#REF!</definedName>
    <definedName name="abka15_3_2">#REF!</definedName>
    <definedName name="abka15_3_4">#REF!</definedName>
    <definedName name="abka15_3_4_5">#REF!</definedName>
    <definedName name="abka15_3_5">#REF!</definedName>
    <definedName name="abka15_3_6">#REF!</definedName>
    <definedName name="abka15_3_6_5">#REF!</definedName>
    <definedName name="abka15_3_7">#REF!</definedName>
    <definedName name="abka15_3_7_5">#REF!</definedName>
    <definedName name="abka15_3_9">#REF!</definedName>
    <definedName name="abka15_4">#REF!</definedName>
    <definedName name="abka15_4_1">#REF!</definedName>
    <definedName name="abka15_4_1_5">#REF!</definedName>
    <definedName name="abka15_4_10">#REF!</definedName>
    <definedName name="abka15_4_11">#REF!</definedName>
    <definedName name="abka15_4_12">#REF!</definedName>
    <definedName name="abka15_4_13">#REF!</definedName>
    <definedName name="abka15_4_2">#REF!</definedName>
    <definedName name="abka15_4_2_6">#REF!</definedName>
    <definedName name="abka15_4_4">#REF!</definedName>
    <definedName name="abka15_4_4_5">#REF!</definedName>
    <definedName name="abka15_4_5">#REF!</definedName>
    <definedName name="abka15_4_6">#REF!</definedName>
    <definedName name="abka15_4_6_5">#REF!</definedName>
    <definedName name="abka15_4_7">#REF!</definedName>
    <definedName name="abka15_4_7_5">#REF!</definedName>
    <definedName name="abka15_5">#REF!</definedName>
    <definedName name="abka15_5_2">#REF!</definedName>
    <definedName name="abka15_5_2_6">#REF!</definedName>
    <definedName name="abka15_5_4">#REF!</definedName>
    <definedName name="abka15_5_4_5">#REF!</definedName>
    <definedName name="abka15_5_5">#REF!</definedName>
    <definedName name="abka15_5_6">#REF!</definedName>
    <definedName name="abka15_5_6_5">#REF!</definedName>
    <definedName name="abka15_5_7">#REF!</definedName>
    <definedName name="abka15_5_7_5">#REF!</definedName>
    <definedName name="abka15_6">#REF!</definedName>
    <definedName name="abka15_6_1">#REF!</definedName>
    <definedName name="abka15_6_1_5">#REF!</definedName>
    <definedName name="abka15_6_10">#REF!</definedName>
    <definedName name="abka15_6_11">#REF!</definedName>
    <definedName name="abka15_6_12">#REF!</definedName>
    <definedName name="abka15_6_13">#REF!</definedName>
    <definedName name="abka15_6_4">#REF!</definedName>
    <definedName name="abka15_6_4_5">#REF!</definedName>
    <definedName name="abka15_6_5">#REF!</definedName>
    <definedName name="abka15_6_6">#REF!</definedName>
    <definedName name="abka15_6_6_5">#REF!</definedName>
    <definedName name="abka15_6_7">#REF!</definedName>
    <definedName name="abka15_6_7_5">#REF!</definedName>
    <definedName name="abka15_6_9">#REF!</definedName>
    <definedName name="abka15_7">#REF!</definedName>
    <definedName name="abka15_7_5">#REF!</definedName>
    <definedName name="abka15_9">#REF!</definedName>
    <definedName name="abmobilsasi">[47]divI!$G$52</definedName>
    <definedName name="abpg">#REF!</definedName>
    <definedName name="abpg_1">#REF!</definedName>
    <definedName name="abpg_1_5">#REF!</definedName>
    <definedName name="abpg_10">#REF!</definedName>
    <definedName name="abpg_11">#REF!</definedName>
    <definedName name="abpg_12">#REF!</definedName>
    <definedName name="abpg_13">#REF!</definedName>
    <definedName name="abpg_2">#REF!</definedName>
    <definedName name="abpg_2_1">#REF!</definedName>
    <definedName name="abpg_2_1_1">#REF!</definedName>
    <definedName name="abpg_2_1_1_6">#REF!</definedName>
    <definedName name="abpg_2_1_5">#REF!</definedName>
    <definedName name="abpg_2_1_6">#REF!</definedName>
    <definedName name="abpg_2_1_7">#REF!</definedName>
    <definedName name="abpg_2_1_7_5">#REF!</definedName>
    <definedName name="abpg_2_5">#REF!</definedName>
    <definedName name="abpg_2_6">#REF!</definedName>
    <definedName name="abpg_2_7">#REF!</definedName>
    <definedName name="abpg_2_7_5">#REF!</definedName>
    <definedName name="abpg_3">#REF!</definedName>
    <definedName name="abpg_3_1">#REF!</definedName>
    <definedName name="abpg_3_10">#REF!</definedName>
    <definedName name="abpg_3_11">#REF!</definedName>
    <definedName name="abpg_3_12">#REF!</definedName>
    <definedName name="abpg_3_13">#REF!</definedName>
    <definedName name="abpg_3_2">#REF!</definedName>
    <definedName name="abpg_3_4">#REF!</definedName>
    <definedName name="abpg_3_4_5">#REF!</definedName>
    <definedName name="abpg_3_5">#REF!</definedName>
    <definedName name="abpg_3_6">#REF!</definedName>
    <definedName name="abpg_3_6_5">#REF!</definedName>
    <definedName name="abpg_3_7">#REF!</definedName>
    <definedName name="abpg_3_7_5">#REF!</definedName>
    <definedName name="abpg_3_9">#REF!</definedName>
    <definedName name="abpg_4">#REF!</definedName>
    <definedName name="abpg_4_1">#REF!</definedName>
    <definedName name="abpg_4_1_5">#REF!</definedName>
    <definedName name="abpg_4_10">#REF!</definedName>
    <definedName name="abpg_4_11">#REF!</definedName>
    <definedName name="abpg_4_12">#REF!</definedName>
    <definedName name="abpg_4_13">#REF!</definedName>
    <definedName name="abpg_4_2">#REF!</definedName>
    <definedName name="abpg_4_2_6">#REF!</definedName>
    <definedName name="abpg_4_4">#REF!</definedName>
    <definedName name="abpg_4_4_5">#REF!</definedName>
    <definedName name="abpg_4_5">#REF!</definedName>
    <definedName name="abpg_4_6">#REF!</definedName>
    <definedName name="abpg_4_6_5">#REF!</definedName>
    <definedName name="abpg_4_7">#REF!</definedName>
    <definedName name="abpg_4_7_5">#REF!</definedName>
    <definedName name="abpg_5">#REF!</definedName>
    <definedName name="abpg_5_2">#REF!</definedName>
    <definedName name="abpg_5_2_6">#REF!</definedName>
    <definedName name="abpg_5_4">#REF!</definedName>
    <definedName name="abpg_5_4_5">#REF!</definedName>
    <definedName name="abpg_5_5">#REF!</definedName>
    <definedName name="abpg_5_6">#REF!</definedName>
    <definedName name="abpg_5_6_5">#REF!</definedName>
    <definedName name="abpg_5_7">#REF!</definedName>
    <definedName name="abpg_5_7_5">#REF!</definedName>
    <definedName name="abpg_6">#REF!</definedName>
    <definedName name="abpg_6_1">#REF!</definedName>
    <definedName name="abpg_6_1_5">#REF!</definedName>
    <definedName name="abpg_6_10">#REF!</definedName>
    <definedName name="abpg_6_11">#REF!</definedName>
    <definedName name="abpg_6_12">#REF!</definedName>
    <definedName name="abpg_6_13">#REF!</definedName>
    <definedName name="abpg_6_4">#REF!</definedName>
    <definedName name="abpg_6_4_5">#REF!</definedName>
    <definedName name="abpg_6_5">#REF!</definedName>
    <definedName name="abpg_6_6">#REF!</definedName>
    <definedName name="abpg_6_6_5">#REF!</definedName>
    <definedName name="abpg_6_7">#REF!</definedName>
    <definedName name="abpg_6_7_5">#REF!</definedName>
    <definedName name="abpg_6_9">#REF!</definedName>
    <definedName name="abpg_7">#REF!</definedName>
    <definedName name="abpg_7_5">#REF!</definedName>
    <definedName name="abpg_9">#REF!</definedName>
    <definedName name="ABS">#REF!</definedName>
    <definedName name="abs100_1">#REF!</definedName>
    <definedName name="abs100_1_5">#REF!</definedName>
    <definedName name="abs100_10">#REF!</definedName>
    <definedName name="abs100_11">#REF!</definedName>
    <definedName name="abs100_12">#REF!</definedName>
    <definedName name="abs100_13">#REF!</definedName>
    <definedName name="abs100_2">#REF!</definedName>
    <definedName name="abs100_2_1">#REF!</definedName>
    <definedName name="abs100_2_1_1">#REF!</definedName>
    <definedName name="abs100_2_1_1_6">#REF!</definedName>
    <definedName name="abs100_2_1_5">#REF!</definedName>
    <definedName name="abs100_2_1_6">#REF!</definedName>
    <definedName name="abs100_2_1_7">#REF!</definedName>
    <definedName name="abs100_2_1_7_5">#REF!</definedName>
    <definedName name="abs100_2_5">#REF!</definedName>
    <definedName name="abs100_2_6">#REF!</definedName>
    <definedName name="abs100_2_7">#REF!</definedName>
    <definedName name="abs100_2_7_5">#REF!</definedName>
    <definedName name="abs100_3">#REF!</definedName>
    <definedName name="abs100_3_1">#REF!</definedName>
    <definedName name="abs100_3_10">#REF!</definedName>
    <definedName name="abs100_3_11">#REF!</definedName>
    <definedName name="abs100_3_12">#REF!</definedName>
    <definedName name="abs100_3_13">#REF!</definedName>
    <definedName name="abs100_3_2">#REF!</definedName>
    <definedName name="abs100_3_4">#REF!</definedName>
    <definedName name="abs100_3_4_5">#REF!</definedName>
    <definedName name="abs100_3_5">#REF!</definedName>
    <definedName name="abs100_3_6">#REF!</definedName>
    <definedName name="abs100_3_6_5">#REF!</definedName>
    <definedName name="abs100_3_7">#REF!</definedName>
    <definedName name="abs100_3_7_5">#REF!</definedName>
    <definedName name="abs100_3_9">#REF!</definedName>
    <definedName name="abs100_4">#REF!</definedName>
    <definedName name="abs100_4_1">#REF!</definedName>
    <definedName name="abs100_4_1_5">#REF!</definedName>
    <definedName name="abs100_4_10">#REF!</definedName>
    <definedName name="abs100_4_11">#REF!</definedName>
    <definedName name="abs100_4_12">#REF!</definedName>
    <definedName name="abs100_4_13">#REF!</definedName>
    <definedName name="abs100_4_2">#REF!</definedName>
    <definedName name="abs100_4_2_6">#REF!</definedName>
    <definedName name="abs100_4_4">#REF!</definedName>
    <definedName name="abs100_4_4_5">#REF!</definedName>
    <definedName name="abs100_4_5">#REF!</definedName>
    <definedName name="abs100_4_6">#REF!</definedName>
    <definedName name="abs100_4_6_5">#REF!</definedName>
    <definedName name="abs100_4_7">#REF!</definedName>
    <definedName name="abs100_4_7_5">#REF!</definedName>
    <definedName name="abs100_5">#REF!</definedName>
    <definedName name="abs100_5_2">#REF!</definedName>
    <definedName name="abs100_5_2_6">#REF!</definedName>
    <definedName name="abs100_5_4">#REF!</definedName>
    <definedName name="abs100_5_4_5">#REF!</definedName>
    <definedName name="abs100_5_5">#REF!</definedName>
    <definedName name="abs100_5_6">#REF!</definedName>
    <definedName name="abs100_5_6_5">#REF!</definedName>
    <definedName name="abs100_5_7">#REF!</definedName>
    <definedName name="abs100_5_7_5">#REF!</definedName>
    <definedName name="abs100_6">#REF!</definedName>
    <definedName name="abs100_6_1">#REF!</definedName>
    <definedName name="abs100_6_1_5">#REF!</definedName>
    <definedName name="abs100_6_10">#REF!</definedName>
    <definedName name="abs100_6_11">#REF!</definedName>
    <definedName name="abs100_6_12">#REF!</definedName>
    <definedName name="abs100_6_13">#REF!</definedName>
    <definedName name="abs100_6_4">#REF!</definedName>
    <definedName name="abs100_6_4_5">#REF!</definedName>
    <definedName name="abs100_6_5">#REF!</definedName>
    <definedName name="abs100_6_6">#REF!</definedName>
    <definedName name="abs100_6_6_5">#REF!</definedName>
    <definedName name="abs100_6_7">#REF!</definedName>
    <definedName name="abs100_6_7_5">#REF!</definedName>
    <definedName name="abs100_6_9">#REF!</definedName>
    <definedName name="abs100_7">#REF!</definedName>
    <definedName name="abs100_7_5">#REF!</definedName>
    <definedName name="abs100_9">#REF!</definedName>
    <definedName name="abwl">#REF!</definedName>
    <definedName name="abwl_1">#REF!</definedName>
    <definedName name="abwl_1_5">#REF!</definedName>
    <definedName name="abwl_10">#REF!</definedName>
    <definedName name="abwl_11">#REF!</definedName>
    <definedName name="abwl_12">#REF!</definedName>
    <definedName name="abwl_13">#REF!</definedName>
    <definedName name="abwl_2">#REF!</definedName>
    <definedName name="abwl_2_1">#REF!</definedName>
    <definedName name="abwl_2_1_1">#REF!</definedName>
    <definedName name="abwl_2_1_1_6">#REF!</definedName>
    <definedName name="abwl_2_1_5">#REF!</definedName>
    <definedName name="abwl_2_1_6">#REF!</definedName>
    <definedName name="abwl_2_1_7">#REF!</definedName>
    <definedName name="abwl_2_1_7_5">#REF!</definedName>
    <definedName name="abwl_2_5">#REF!</definedName>
    <definedName name="abwl_2_6">#REF!</definedName>
    <definedName name="abwl_2_7">#REF!</definedName>
    <definedName name="abwl_2_7_5">#REF!</definedName>
    <definedName name="abwl_3">#REF!</definedName>
    <definedName name="abwl_3_1">#REF!</definedName>
    <definedName name="abwl_3_10">#REF!</definedName>
    <definedName name="abwl_3_11">#REF!</definedName>
    <definedName name="abwl_3_12">#REF!</definedName>
    <definedName name="abwl_3_13">#REF!</definedName>
    <definedName name="abwl_3_2">#REF!</definedName>
    <definedName name="abwl_3_4">#REF!</definedName>
    <definedName name="abwl_3_4_5">#REF!</definedName>
    <definedName name="abwl_3_5">#REF!</definedName>
    <definedName name="abwl_3_6">#REF!</definedName>
    <definedName name="abwl_3_6_5">#REF!</definedName>
    <definedName name="abwl_3_7">#REF!</definedName>
    <definedName name="abwl_3_7_5">#REF!</definedName>
    <definedName name="abwl_3_9">#REF!</definedName>
    <definedName name="abwl_4">#REF!</definedName>
    <definedName name="abwl_4_1">#REF!</definedName>
    <definedName name="abwl_4_1_5">#REF!</definedName>
    <definedName name="abwl_4_10">#REF!</definedName>
    <definedName name="abwl_4_11">#REF!</definedName>
    <definedName name="abwl_4_12">#REF!</definedName>
    <definedName name="abwl_4_13">#REF!</definedName>
    <definedName name="abwl_4_2">#REF!</definedName>
    <definedName name="abwl_4_2_6">#REF!</definedName>
    <definedName name="abwl_4_4">#REF!</definedName>
    <definedName name="abwl_4_4_5">#REF!</definedName>
    <definedName name="abwl_4_5">#REF!</definedName>
    <definedName name="abwl_4_6">#REF!</definedName>
    <definedName name="abwl_4_6_5">#REF!</definedName>
    <definedName name="abwl_4_7">#REF!</definedName>
    <definedName name="abwl_4_7_5">#REF!</definedName>
    <definedName name="abwl_5">#REF!</definedName>
    <definedName name="abwl_5_2">#REF!</definedName>
    <definedName name="abwl_5_2_6">#REF!</definedName>
    <definedName name="abwl_5_4">#REF!</definedName>
    <definedName name="abwl_5_4_5">#REF!</definedName>
    <definedName name="abwl_5_5">#REF!</definedName>
    <definedName name="abwl_5_6">#REF!</definedName>
    <definedName name="abwl_5_6_5">#REF!</definedName>
    <definedName name="abwl_5_7">#REF!</definedName>
    <definedName name="abwl_5_7_5">#REF!</definedName>
    <definedName name="abwl_6">#REF!</definedName>
    <definedName name="abwl_6_1">#REF!</definedName>
    <definedName name="abwl_6_1_5">#REF!</definedName>
    <definedName name="abwl_6_10">#REF!</definedName>
    <definedName name="abwl_6_11">#REF!</definedName>
    <definedName name="abwl_6_12">#REF!</definedName>
    <definedName name="abwl_6_13">#REF!</definedName>
    <definedName name="abwl_6_4">#REF!</definedName>
    <definedName name="abwl_6_4_5">#REF!</definedName>
    <definedName name="abwl_6_5">#REF!</definedName>
    <definedName name="abwl_6_6">#REF!</definedName>
    <definedName name="abwl_6_6_5">#REF!</definedName>
    <definedName name="abwl_6_7">#REF!</definedName>
    <definedName name="abwl_6_7_5">#REF!</definedName>
    <definedName name="abwl_6_9">#REF!</definedName>
    <definedName name="abwl_7">#REF!</definedName>
    <definedName name="abwl_7_5">#REF!</definedName>
    <definedName name="abwl_9">#REF!</definedName>
    <definedName name="ABX">#REF!</definedName>
    <definedName name="ABX_1">#REF!</definedName>
    <definedName name="ABX_10">#REF!</definedName>
    <definedName name="ABX_11">#REF!</definedName>
    <definedName name="ABX_12">#REF!</definedName>
    <definedName name="ABX_13">#REF!</definedName>
    <definedName name="ABX_2">#REF!</definedName>
    <definedName name="ABX_2_1">#REF!</definedName>
    <definedName name="ABX_2_5">#REF!</definedName>
    <definedName name="ABX_3">#REF!</definedName>
    <definedName name="ABX_3_2">#REF!</definedName>
    <definedName name="ABX_3_4">#REF!</definedName>
    <definedName name="ABX_3_4_5">#REF!</definedName>
    <definedName name="ABX_3_5">#REF!</definedName>
    <definedName name="ABX_3_6">#REF!</definedName>
    <definedName name="ABX_3_6_5">#REF!</definedName>
    <definedName name="ABX_3_7">#REF!</definedName>
    <definedName name="ABX_3_7_5">#REF!</definedName>
    <definedName name="ABX_4">#REF!</definedName>
    <definedName name="ABX_4_1">#REF!</definedName>
    <definedName name="ABX_4_1_5">#REF!</definedName>
    <definedName name="ABX_4_10">#REF!</definedName>
    <definedName name="ABX_4_11">#REF!</definedName>
    <definedName name="ABX_4_12">#REF!</definedName>
    <definedName name="ABX_4_13">#REF!</definedName>
    <definedName name="ABX_4_2">#REF!</definedName>
    <definedName name="ABX_4_4">#REF!</definedName>
    <definedName name="ABX_4_4_5">#REF!</definedName>
    <definedName name="ABX_4_5">#REF!</definedName>
    <definedName name="ABX_4_6">#REF!</definedName>
    <definedName name="ABX_4_6_5">#REF!</definedName>
    <definedName name="ABX_4_7">#REF!</definedName>
    <definedName name="ABX_4_7_5">#REF!</definedName>
    <definedName name="ABX_5">#REF!</definedName>
    <definedName name="ABX_5_2">#REF!</definedName>
    <definedName name="ABX_5_4">#REF!</definedName>
    <definedName name="ABX_5_4_5">#REF!</definedName>
    <definedName name="ABX_5_5">#REF!</definedName>
    <definedName name="ABX_5_6">#REF!</definedName>
    <definedName name="ABX_5_6_5">#REF!</definedName>
    <definedName name="ABX_5_7">#REF!</definedName>
    <definedName name="ABX_5_7_5">#REF!</definedName>
    <definedName name="ABX_6">#REF!</definedName>
    <definedName name="ABX_6_1">#REF!</definedName>
    <definedName name="ABX_6_1_5">#REF!</definedName>
    <definedName name="ABX_6_2">#REF!</definedName>
    <definedName name="ABX_6_4">#REF!</definedName>
    <definedName name="ABX_6_4_5">#REF!</definedName>
    <definedName name="ABX_6_5">#REF!</definedName>
    <definedName name="ABX_6_6">#REF!</definedName>
    <definedName name="ABX_6_6_5">#REF!</definedName>
    <definedName name="ABX_6_7">#REF!</definedName>
    <definedName name="ABX_6_7_5">#REF!</definedName>
    <definedName name="ABX_7">#REF!</definedName>
    <definedName name="ABX_7_1">#REF!</definedName>
    <definedName name="ABX_7_1_5">#REF!</definedName>
    <definedName name="ABX_7_10">#REF!</definedName>
    <definedName name="ABX_7_11">#REF!</definedName>
    <definedName name="ABX_7_12">#REF!</definedName>
    <definedName name="ABX_7_13">#REF!</definedName>
    <definedName name="ABX_7_5">#REF!</definedName>
    <definedName name="ABX_9">#REF!</definedName>
    <definedName name="AC">#REF!</definedName>
    <definedName name="AC_1">#REF!</definedName>
    <definedName name="AC_2">#REF!</definedName>
    <definedName name="AC_3">#REF!</definedName>
    <definedName name="AC_4cm">#REF!</definedName>
    <definedName name="AC_DG">#REF!</definedName>
    <definedName name="AC_EG">#REF!</definedName>
    <definedName name="AC_FAG">#REF!</definedName>
    <definedName name="AC_FD">#REF!</definedName>
    <definedName name="AC_FLEXIBLE">#REF!</definedName>
    <definedName name="ac_m1">#REF!</definedName>
    <definedName name="AC_MVD">#REF!</definedName>
    <definedName name="AC_PVC">#REF!</definedName>
    <definedName name="AC_RAG">#REF!</definedName>
    <definedName name="AC_SAD">#REF!</definedName>
    <definedName name="AC_VBALANCE">#REF!</definedName>
    <definedName name="AC_VCHECK">#REF!</definedName>
    <definedName name="AC_VFLEXIBLE">#REF!</definedName>
    <definedName name="AC_VGATE">#REF!</definedName>
    <definedName name="AC_VSTRAINER">#REF!</definedName>
    <definedName name="AC_VTHREE_Y">#REF!</definedName>
    <definedName name="AC120_">#REF!</definedName>
    <definedName name="AC35_">#REF!</definedName>
    <definedName name="AC50_">#REF!</definedName>
    <definedName name="AC70_">#REF!</definedName>
    <definedName name="AC95_">#REF!</definedName>
    <definedName name="ACBase">#REF!</definedName>
    <definedName name="ACBd">#REF!</definedName>
    <definedName name="ACBd_6cm">#REF!</definedName>
    <definedName name="Acces">#REF!</definedName>
    <definedName name="Access">#REF!</definedName>
    <definedName name="ACCPNL">#REF!</definedName>
    <definedName name="acdb" hidden="1">#REF!</definedName>
    <definedName name="ACDS" hidden="1">#REF!</definedName>
    <definedName name="acetiline">'[48]HARGA SATUAN'!#REF!</definedName>
    <definedName name="aci">#REF!</definedName>
    <definedName name="aciam">[24]Analisa!#REF!</definedName>
    <definedName name="ACIAN">#REF!</definedName>
    <definedName name="Acian_Pplhn">#REF!</definedName>
    <definedName name="Acian_Semen">#REF!</definedName>
    <definedName name="Acian12">#REF!</definedName>
    <definedName name="AcianMil">#REF!</definedName>
    <definedName name="Acianmill">#REF!</definedName>
    <definedName name="AcianPepalihan">#REF!</definedName>
    <definedName name="Acianpepalihan12">#REF!</definedName>
    <definedName name="Acianpepalmill">#REF!</definedName>
    <definedName name="AcianSemen">#REF!</definedName>
    <definedName name="ACNJ">#N/A</definedName>
    <definedName name="ActualTimeExpended">#REF!</definedName>
    <definedName name="acuan">#REF!</definedName>
    <definedName name="ACWC_5cm">#REF!</definedName>
    <definedName name="ACWM">#REF!</definedName>
    <definedName name="ACX">#REF!</definedName>
    <definedName name="ACX_1">#REF!</definedName>
    <definedName name="ACX_10">#REF!</definedName>
    <definedName name="ACX_11">#REF!</definedName>
    <definedName name="ACX_12">#REF!</definedName>
    <definedName name="ACX_13">#REF!</definedName>
    <definedName name="ACX_2">#REF!</definedName>
    <definedName name="ACX_2_1">#REF!</definedName>
    <definedName name="ACX_2_5">#REF!</definedName>
    <definedName name="ACX_3">#REF!</definedName>
    <definedName name="ACX_3_2">#REF!</definedName>
    <definedName name="ACX_3_4">#REF!</definedName>
    <definedName name="ACX_3_4_5">#REF!</definedName>
    <definedName name="ACX_3_5">#REF!</definedName>
    <definedName name="ACX_3_6">#REF!</definedName>
    <definedName name="ACX_3_6_5">#REF!</definedName>
    <definedName name="ACX_3_7">#REF!</definedName>
    <definedName name="ACX_3_7_5">#REF!</definedName>
    <definedName name="ACX_4">#REF!</definedName>
    <definedName name="ACX_4_1">#REF!</definedName>
    <definedName name="ACX_4_1_5">#REF!</definedName>
    <definedName name="ACX_4_10">#REF!</definedName>
    <definedName name="ACX_4_11">#REF!</definedName>
    <definedName name="ACX_4_12">#REF!</definedName>
    <definedName name="ACX_4_13">#REF!</definedName>
    <definedName name="ACX_4_2">#REF!</definedName>
    <definedName name="ACX_4_4">#REF!</definedName>
    <definedName name="ACX_4_4_5">#REF!</definedName>
    <definedName name="ACX_4_5">#REF!</definedName>
    <definedName name="ACX_4_6">#REF!</definedName>
    <definedName name="ACX_4_6_5">#REF!</definedName>
    <definedName name="ACX_4_7">#REF!</definedName>
    <definedName name="ACX_4_7_5">#REF!</definedName>
    <definedName name="ACX_5">#REF!</definedName>
    <definedName name="ACX_5_2">#REF!</definedName>
    <definedName name="ACX_5_4">#REF!</definedName>
    <definedName name="ACX_5_4_5">#REF!</definedName>
    <definedName name="ACX_5_5">#REF!</definedName>
    <definedName name="ACX_5_6">#REF!</definedName>
    <definedName name="ACX_5_6_5">#REF!</definedName>
    <definedName name="ACX_5_7">#REF!</definedName>
    <definedName name="ACX_5_7_5">#REF!</definedName>
    <definedName name="ACX_6">#REF!</definedName>
    <definedName name="ACX_6_1">#REF!</definedName>
    <definedName name="ACX_6_1_5">#REF!</definedName>
    <definedName name="ACX_6_2">#REF!</definedName>
    <definedName name="ACX_6_4">#REF!</definedName>
    <definedName name="ACX_6_4_5">#REF!</definedName>
    <definedName name="ACX_6_5">#REF!</definedName>
    <definedName name="ACX_6_6">#REF!</definedName>
    <definedName name="ACX_6_6_5">#REF!</definedName>
    <definedName name="ACX_6_7">#REF!</definedName>
    <definedName name="ACX_6_7_5">#REF!</definedName>
    <definedName name="ACX_7">#REF!</definedName>
    <definedName name="ACX_7_1">#REF!</definedName>
    <definedName name="ACX_7_1_5">#REF!</definedName>
    <definedName name="ACX_7_10">#REF!</definedName>
    <definedName name="ACX_7_11">#REF!</definedName>
    <definedName name="ACX_7_12">#REF!</definedName>
    <definedName name="ACX_7_13">#REF!</definedName>
    <definedName name="ACX_7_5">#REF!</definedName>
    <definedName name="ACX_9">#REF!</definedName>
    <definedName name="acy">#REF!</definedName>
    <definedName name="ad">#REF!</definedName>
    <definedName name="AD_69">#REF!</definedName>
    <definedName name="ADAC">#N/A</definedName>
    <definedName name="ADAS">#REF!</definedName>
    <definedName name="ADD">#N/A</definedName>
    <definedName name="ADD1_14">NA()</definedName>
    <definedName name="ADD2_14">NA()</definedName>
    <definedName name="ADD3_14">NA()</definedName>
    <definedName name="add3new">#N/A</definedName>
    <definedName name="addakwah">#REF!</definedName>
    <definedName name="adde">#REF!:#REF!</definedName>
    <definedName name="addfill">#REF!</definedName>
    <definedName name="ADDITIVE">#REF!</definedName>
    <definedName name="AddPage">#REF!</definedName>
    <definedName name="ADDR">#N/A</definedName>
    <definedName name="ADDR_14">NA()</definedName>
    <definedName name="ADDR1">#REF!:#REF!</definedName>
    <definedName name="Address">#REF!</definedName>
    <definedName name="AddSheet">#REF!</definedName>
    <definedName name="adeh" hidden="1">#REF!</definedName>
    <definedName name="adeh1" hidden="1">#REF!</definedName>
    <definedName name="adeh3">#REF!</definedName>
    <definedName name="adehhh" hidden="1">#REF!</definedName>
    <definedName name="ADENDUM">#REF!</definedName>
    <definedName name="adf">#REF!</definedName>
    <definedName name="adfa">'[49]Lamp-4 Sat-Das'!$J$20</definedName>
    <definedName name="adgtg">'[49]Lamp-4 Sat-Das'!$J$23</definedName>
    <definedName name="adh" hidden="1">{"'Sheet1'!$A$1"}</definedName>
    <definedName name="adhie">#REF!</definedName>
    <definedName name="Aditif">#REF!</definedName>
    <definedName name="ADITIVE" localSheetId="7">[33]H_Dasar!#REF!</definedName>
    <definedName name="ADITIVE">[33]H_Dasar!#REF!</definedName>
    <definedName name="aditya">FST:(FSB)</definedName>
    <definedName name="ADM">#REF!</definedName>
    <definedName name="administrasi">#REF!</definedName>
    <definedName name="adnan">[0]!_210_S_3_6_1_1:[0]!_2127detib250_6_1</definedName>
    <definedName name="ADS">#REF!</definedName>
    <definedName name="ADSADSA">#REF!</definedName>
    <definedName name="adukan">#REF!</definedName>
    <definedName name="ADX">#REF!</definedName>
    <definedName name="ADX_1">#REF!</definedName>
    <definedName name="ADX_10">#REF!</definedName>
    <definedName name="ADX_11">#REF!</definedName>
    <definedName name="ADX_12">#REF!</definedName>
    <definedName name="ADX_13">#REF!</definedName>
    <definedName name="ADX_2">#REF!</definedName>
    <definedName name="ADX_2_1">#REF!</definedName>
    <definedName name="ADX_2_5">#REF!</definedName>
    <definedName name="ADX_3">#REF!</definedName>
    <definedName name="ADX_3_2">#REF!</definedName>
    <definedName name="ADX_3_4">#REF!</definedName>
    <definedName name="ADX_3_4_5">#REF!</definedName>
    <definedName name="ADX_3_5">#REF!</definedName>
    <definedName name="ADX_3_6">#REF!</definedName>
    <definedName name="ADX_3_6_5">#REF!</definedName>
    <definedName name="ADX_3_7">#REF!</definedName>
    <definedName name="ADX_3_7_5">#REF!</definedName>
    <definedName name="ADX_4">#REF!</definedName>
    <definedName name="ADX_4_1">#REF!</definedName>
    <definedName name="ADX_4_1_5">#REF!</definedName>
    <definedName name="ADX_4_10">#REF!</definedName>
    <definedName name="ADX_4_11">#REF!</definedName>
    <definedName name="ADX_4_12">#REF!</definedName>
    <definedName name="ADX_4_13">#REF!</definedName>
    <definedName name="ADX_4_2">#REF!</definedName>
    <definedName name="ADX_4_4">#REF!</definedName>
    <definedName name="ADX_4_4_5">#REF!</definedName>
    <definedName name="ADX_4_5">#REF!</definedName>
    <definedName name="ADX_4_6">#REF!</definedName>
    <definedName name="ADX_4_6_5">#REF!</definedName>
    <definedName name="ADX_4_7">#REF!</definedName>
    <definedName name="ADX_4_7_5">#REF!</definedName>
    <definedName name="ADX_5">#REF!</definedName>
    <definedName name="ADX_5_2">#REF!</definedName>
    <definedName name="ADX_5_4">#REF!</definedName>
    <definedName name="ADX_5_4_5">#REF!</definedName>
    <definedName name="ADX_5_5">#REF!</definedName>
    <definedName name="ADX_5_6">#REF!</definedName>
    <definedName name="ADX_5_6_5">#REF!</definedName>
    <definedName name="ADX_5_7">#REF!</definedName>
    <definedName name="ADX_5_7_5">#REF!</definedName>
    <definedName name="ADX_6">#REF!</definedName>
    <definedName name="ADX_6_1">#REF!</definedName>
    <definedName name="ADX_6_1_5">#REF!</definedName>
    <definedName name="ADX_6_2">#REF!</definedName>
    <definedName name="ADX_6_4">#REF!</definedName>
    <definedName name="ADX_6_4_5">#REF!</definedName>
    <definedName name="ADX_6_5">#REF!</definedName>
    <definedName name="ADX_6_6">#REF!</definedName>
    <definedName name="ADX_6_6_5">#REF!</definedName>
    <definedName name="ADX_6_7">#REF!</definedName>
    <definedName name="ADX_6_7_5">#REF!</definedName>
    <definedName name="ADX_7">#REF!</definedName>
    <definedName name="ADX_7_1">#REF!</definedName>
    <definedName name="ADX_7_1_5">#REF!</definedName>
    <definedName name="ADX_7_10">#REF!</definedName>
    <definedName name="ADX_7_11">#REF!</definedName>
    <definedName name="ADX_7_12">#REF!</definedName>
    <definedName name="ADX_7_13">#REF!</definedName>
    <definedName name="ADX_7_5">#REF!</definedName>
    <definedName name="ADX_9">#REF!</definedName>
    <definedName name="AE">#REF!</definedName>
    <definedName name="AERA">'[50]SAT-DAS'!$J$64</definedName>
    <definedName name="AERAWE">'[50]SAT-DAS'!$J$61</definedName>
    <definedName name="AERAWRA">'[50]SAT-DAS'!$J$17</definedName>
    <definedName name="aesgdsag">#REF!</definedName>
    <definedName name="aewtawert">[51]DHSD!$G$44</definedName>
    <definedName name="aewtrawet">[52]DHSD!$G$24</definedName>
    <definedName name="aexcavator">[19]alat!$J$18</definedName>
    <definedName name="AF">#REF!</definedName>
    <definedName name="afa" hidden="1">{"'Sheet1'!$A$1"}</definedName>
    <definedName name="AFASFASFASD">#REF!</definedName>
    <definedName name="AFDASD">#REF!</definedName>
    <definedName name="aff">#REF!</definedName>
    <definedName name="afinis">#REF!</definedName>
    <definedName name="afu" hidden="1">{#N/A,#N/A,FALSE,"REK-S-TPL";#N/A,#N/A,FALSE,"REK-TPML";#N/A,#N/A,FALSE,"RAB-TEMPEL"}</definedName>
    <definedName name="ag" hidden="1">#REF!</definedName>
    <definedName name="ag142X42">[18]chitimc!#REF!</definedName>
    <definedName name="ag267N59">[18]chitimc!#REF!</definedName>
    <definedName name="AgA">#REF!</definedName>
    <definedName name="agads">#REF!</definedName>
    <definedName name="agaga">[52]DHSD!$G$29</definedName>
    <definedName name="AGAL">#REF!</definedName>
    <definedName name="AGG">#REF!</definedName>
    <definedName name="Agg_Klas_A">#REF!</definedName>
    <definedName name="Agg_Klas_B">#REF!</definedName>
    <definedName name="Aggregat_Halus">#REF!</definedName>
    <definedName name="Aggregat_Halus_Kelas_A">#REF!</definedName>
    <definedName name="Aggregat_Halus_Kelas_B">#REF!</definedName>
    <definedName name="Aggregat_Kasar">#REF!</definedName>
    <definedName name="Aggregat_Kasar_Kelas_A">#REF!</definedName>
    <definedName name="Aggregat_Kasar_Kelas_B">#REF!</definedName>
    <definedName name="aggrekunci">[53]bahan!$G$16</definedName>
    <definedName name="aggretutup">[53]bahan!$G$15</definedName>
    <definedName name="aghls">#REF!</definedName>
    <definedName name="agksbc">#REF!</definedName>
    <definedName name="agkslk">#REF!</definedName>
    <definedName name="Agr_KlasA">#REF!</definedName>
    <definedName name="Agr_KlasB">#REF!</definedName>
    <definedName name="Agr_KlasC">#REF!</definedName>
    <definedName name="Agre_KLas_A">#REF!</definedName>
    <definedName name="AGREGAT">#REF!</definedName>
    <definedName name="Agregat_kelas_A">#REF!</definedName>
    <definedName name="Agregat_kelas_B">#REF!</definedName>
    <definedName name="Agregat_Klas_B">#REF!</definedName>
    <definedName name="AGREGAT1">#REF!</definedName>
    <definedName name="AGREGATA">#REF!</definedName>
    <definedName name="AGREGATB">#REF!</definedName>
    <definedName name="AGREGATC">#REF!</definedName>
    <definedName name="agrrg">'[54]SAT-DAS'!$J$30</definedName>
    <definedName name="agrt.a" hidden="1">#REF!</definedName>
    <definedName name="agus">#REF!</definedName>
    <definedName name="AH">#REF!</definedName>
    <definedName name="ahrd100">#REF!</definedName>
    <definedName name="ahrd100_1">#REF!</definedName>
    <definedName name="ahrd100_1_5">#REF!</definedName>
    <definedName name="ahrd100_10">#REF!</definedName>
    <definedName name="ahrd100_11">#REF!</definedName>
    <definedName name="ahrd100_12">#REF!</definedName>
    <definedName name="ahrd100_13">#REF!</definedName>
    <definedName name="ahrd100_2">#REF!</definedName>
    <definedName name="ahrd100_2_1">#REF!</definedName>
    <definedName name="ahrd100_2_1_1">#REF!</definedName>
    <definedName name="ahrd100_2_1_1_6">#REF!</definedName>
    <definedName name="ahrd100_2_1_5">#REF!</definedName>
    <definedName name="ahrd100_2_1_6">#REF!</definedName>
    <definedName name="ahrd100_2_1_7">#REF!</definedName>
    <definedName name="ahrd100_2_1_7_5">#REF!</definedName>
    <definedName name="ahrd100_2_5">#REF!</definedName>
    <definedName name="ahrd100_2_6">#REF!</definedName>
    <definedName name="ahrd100_2_7">#REF!</definedName>
    <definedName name="ahrd100_2_7_5">#REF!</definedName>
    <definedName name="ahrd100_3">#REF!</definedName>
    <definedName name="ahrd100_3_1">#REF!</definedName>
    <definedName name="ahrd100_3_10">#REF!</definedName>
    <definedName name="ahrd100_3_11">#REF!</definedName>
    <definedName name="ahrd100_3_12">#REF!</definedName>
    <definedName name="ahrd100_3_13">#REF!</definedName>
    <definedName name="ahrd100_3_2">#REF!</definedName>
    <definedName name="ahrd100_3_4">#REF!</definedName>
    <definedName name="ahrd100_3_4_5">#REF!</definedName>
    <definedName name="ahrd100_3_5">#REF!</definedName>
    <definedName name="ahrd100_3_6">#REF!</definedName>
    <definedName name="ahrd100_3_6_5">#REF!</definedName>
    <definedName name="ahrd100_3_7">#REF!</definedName>
    <definedName name="ahrd100_3_7_5">#REF!</definedName>
    <definedName name="ahrd100_3_9">#REF!</definedName>
    <definedName name="ahrd100_4">#REF!</definedName>
    <definedName name="ahrd100_4_1">#REF!</definedName>
    <definedName name="ahrd100_4_1_5">#REF!</definedName>
    <definedName name="ahrd100_4_10">#REF!</definedName>
    <definedName name="ahrd100_4_11">#REF!</definedName>
    <definedName name="ahrd100_4_12">#REF!</definedName>
    <definedName name="ahrd100_4_13">#REF!</definedName>
    <definedName name="ahrd100_4_2">#REF!</definedName>
    <definedName name="ahrd100_4_2_6">#REF!</definedName>
    <definedName name="ahrd100_4_4">#REF!</definedName>
    <definedName name="ahrd100_4_4_5">#REF!</definedName>
    <definedName name="ahrd100_4_5">#REF!</definedName>
    <definedName name="ahrd100_4_6">#REF!</definedName>
    <definedName name="ahrd100_4_6_5">#REF!</definedName>
    <definedName name="ahrd100_4_7">#REF!</definedName>
    <definedName name="ahrd100_4_7_5">#REF!</definedName>
    <definedName name="ahrd100_5">#REF!</definedName>
    <definedName name="ahrd100_5_2">#REF!</definedName>
    <definedName name="ahrd100_5_2_6">#REF!</definedName>
    <definedName name="ahrd100_5_4">#REF!</definedName>
    <definedName name="ahrd100_5_4_5">#REF!</definedName>
    <definedName name="ahrd100_5_5">#REF!</definedName>
    <definedName name="ahrd100_5_6">#REF!</definedName>
    <definedName name="ahrd100_5_6_5">#REF!</definedName>
    <definedName name="ahrd100_5_7">#REF!</definedName>
    <definedName name="ahrd100_5_7_5">#REF!</definedName>
    <definedName name="ahrd100_6">#REF!</definedName>
    <definedName name="ahrd100_6_1">#REF!</definedName>
    <definedName name="ahrd100_6_1_5">#REF!</definedName>
    <definedName name="ahrd100_6_10">#REF!</definedName>
    <definedName name="ahrd100_6_11">#REF!</definedName>
    <definedName name="ahrd100_6_12">#REF!</definedName>
    <definedName name="ahrd100_6_13">#REF!</definedName>
    <definedName name="ahrd100_6_4">#REF!</definedName>
    <definedName name="ahrd100_6_4_5">#REF!</definedName>
    <definedName name="ahrd100_6_5">#REF!</definedName>
    <definedName name="ahrd100_6_6">#REF!</definedName>
    <definedName name="ahrd100_6_6_5">#REF!</definedName>
    <definedName name="ahrd100_6_7">#REF!</definedName>
    <definedName name="ahrd100_6_7_5">#REF!</definedName>
    <definedName name="ahrd100_6_9">#REF!</definedName>
    <definedName name="ahrd100_7">#REF!</definedName>
    <definedName name="ahrd100_7_5">#REF!</definedName>
    <definedName name="ahrd100_9">#REF!</definedName>
    <definedName name="ahrd150">#REF!</definedName>
    <definedName name="ahrd150_1">#REF!</definedName>
    <definedName name="ahrd150_1_5">#REF!</definedName>
    <definedName name="ahrd150_10">#REF!</definedName>
    <definedName name="ahrd150_11">#REF!</definedName>
    <definedName name="ahrd150_12">#REF!</definedName>
    <definedName name="ahrd150_13">#REF!</definedName>
    <definedName name="ahrd150_2">#REF!</definedName>
    <definedName name="ahrd150_2_1">#REF!</definedName>
    <definedName name="ahrd150_2_1_1">#REF!</definedName>
    <definedName name="ahrd150_2_1_1_6">#REF!</definedName>
    <definedName name="ahrd150_2_1_5">#REF!</definedName>
    <definedName name="ahrd150_2_1_6">#REF!</definedName>
    <definedName name="ahrd150_2_1_7">#REF!</definedName>
    <definedName name="ahrd150_2_1_7_5">#REF!</definedName>
    <definedName name="ahrd150_2_5">#REF!</definedName>
    <definedName name="ahrd150_2_6">#REF!</definedName>
    <definedName name="ahrd150_2_7">#REF!</definedName>
    <definedName name="ahrd150_2_7_5">#REF!</definedName>
    <definedName name="ahrd150_3">#REF!</definedName>
    <definedName name="ahrd150_3_1">#REF!</definedName>
    <definedName name="ahrd150_3_10">#REF!</definedName>
    <definedName name="ahrd150_3_11">#REF!</definedName>
    <definedName name="ahrd150_3_12">#REF!</definedName>
    <definedName name="ahrd150_3_13">#REF!</definedName>
    <definedName name="ahrd150_3_2">#REF!</definedName>
    <definedName name="ahrd150_3_4">#REF!</definedName>
    <definedName name="ahrd150_3_4_5">#REF!</definedName>
    <definedName name="ahrd150_3_5">#REF!</definedName>
    <definedName name="ahrd150_3_6">#REF!</definedName>
    <definedName name="ahrd150_3_6_5">#REF!</definedName>
    <definedName name="ahrd150_3_7">#REF!</definedName>
    <definedName name="ahrd150_3_7_5">#REF!</definedName>
    <definedName name="ahrd150_3_9">#REF!</definedName>
    <definedName name="ahrd150_4">#REF!</definedName>
    <definedName name="ahrd150_4_1">#REF!</definedName>
    <definedName name="ahrd150_4_1_5">#REF!</definedName>
    <definedName name="ahrd150_4_10">#REF!</definedName>
    <definedName name="ahrd150_4_11">#REF!</definedName>
    <definedName name="ahrd150_4_12">#REF!</definedName>
    <definedName name="ahrd150_4_13">#REF!</definedName>
    <definedName name="ahrd150_4_2">#REF!</definedName>
    <definedName name="ahrd150_4_2_6">#REF!</definedName>
    <definedName name="ahrd150_4_4">#REF!</definedName>
    <definedName name="ahrd150_4_4_5">#REF!</definedName>
    <definedName name="ahrd150_4_5">#REF!</definedName>
    <definedName name="ahrd150_4_6">#REF!</definedName>
    <definedName name="ahrd150_4_6_5">#REF!</definedName>
    <definedName name="ahrd150_4_7">#REF!</definedName>
    <definedName name="ahrd150_4_7_5">#REF!</definedName>
    <definedName name="ahrd150_5">#REF!</definedName>
    <definedName name="ahrd150_5_2">#REF!</definedName>
    <definedName name="ahrd150_5_2_6">#REF!</definedName>
    <definedName name="ahrd150_5_4">#REF!</definedName>
    <definedName name="ahrd150_5_4_5">#REF!</definedName>
    <definedName name="ahrd150_5_5">#REF!</definedName>
    <definedName name="ahrd150_5_6">#REF!</definedName>
    <definedName name="ahrd150_5_6_5">#REF!</definedName>
    <definedName name="ahrd150_5_7">#REF!</definedName>
    <definedName name="ahrd150_5_7_5">#REF!</definedName>
    <definedName name="ahrd150_6">#REF!</definedName>
    <definedName name="ahrd150_6_1">#REF!</definedName>
    <definedName name="ahrd150_6_1_5">#REF!</definedName>
    <definedName name="ahrd150_6_10">#REF!</definedName>
    <definedName name="ahrd150_6_11">#REF!</definedName>
    <definedName name="ahrd150_6_12">#REF!</definedName>
    <definedName name="ahrd150_6_13">#REF!</definedName>
    <definedName name="ahrd150_6_4">#REF!</definedName>
    <definedName name="ahrd150_6_4_5">#REF!</definedName>
    <definedName name="ahrd150_6_5">#REF!</definedName>
    <definedName name="ahrd150_6_6">#REF!</definedName>
    <definedName name="ahrd150_6_6_5">#REF!</definedName>
    <definedName name="ahrd150_6_7">#REF!</definedName>
    <definedName name="ahrd150_6_7_5">#REF!</definedName>
    <definedName name="ahrd150_6_9">#REF!</definedName>
    <definedName name="ahrd150_7">#REF!</definedName>
    <definedName name="ahrd150_7_5">#REF!</definedName>
    <definedName name="ahrd150_9">#REF!</definedName>
    <definedName name="ahs">#REF!</definedName>
    <definedName name="AHS.Rev1">#REF!</definedName>
    <definedName name="ahs_9">#REF!</definedName>
    <definedName name="AHSP">#REF!</definedName>
    <definedName name="ahu100_1">#REF!</definedName>
    <definedName name="ahu100_1_5">#REF!</definedName>
    <definedName name="ahu100_10">#REF!</definedName>
    <definedName name="ahu100_11">#REF!</definedName>
    <definedName name="ahu100_12">#REF!</definedName>
    <definedName name="ahu100_13">#REF!</definedName>
    <definedName name="ahu100_2">#REF!</definedName>
    <definedName name="ahu100_2_1">#REF!</definedName>
    <definedName name="ahu100_2_1_1">#REF!</definedName>
    <definedName name="ahu100_2_1_1_6">#REF!</definedName>
    <definedName name="ahu100_2_1_5">#REF!</definedName>
    <definedName name="ahu100_2_1_6">#REF!</definedName>
    <definedName name="ahu100_2_1_7">#REF!</definedName>
    <definedName name="ahu100_2_1_7_5">#REF!</definedName>
    <definedName name="ahu100_2_5">#REF!</definedName>
    <definedName name="ahu100_2_6">#REF!</definedName>
    <definedName name="ahu100_2_7">#REF!</definedName>
    <definedName name="ahu100_2_7_5">#REF!</definedName>
    <definedName name="ahu100_3">#REF!</definedName>
    <definedName name="ahu100_3_1">#REF!</definedName>
    <definedName name="ahu100_3_10">#REF!</definedName>
    <definedName name="ahu100_3_11">#REF!</definedName>
    <definedName name="ahu100_3_12">#REF!</definedName>
    <definedName name="ahu100_3_13">#REF!</definedName>
    <definedName name="ahu100_3_2">#REF!</definedName>
    <definedName name="ahu100_3_4">#REF!</definedName>
    <definedName name="ahu100_3_4_5">#REF!</definedName>
    <definedName name="ahu100_3_5">#REF!</definedName>
    <definedName name="ahu100_3_6">#REF!</definedName>
    <definedName name="ahu100_3_6_5">#REF!</definedName>
    <definedName name="ahu100_3_7">#REF!</definedName>
    <definedName name="ahu100_3_7_5">#REF!</definedName>
    <definedName name="ahu100_3_9">#REF!</definedName>
    <definedName name="ahu100_4">#REF!</definedName>
    <definedName name="ahu100_4_1">#REF!</definedName>
    <definedName name="ahu100_4_1_5">#REF!</definedName>
    <definedName name="ahu100_4_10">#REF!</definedName>
    <definedName name="ahu100_4_11">#REF!</definedName>
    <definedName name="ahu100_4_12">#REF!</definedName>
    <definedName name="ahu100_4_13">#REF!</definedName>
    <definedName name="ahu100_4_2">#REF!</definedName>
    <definedName name="ahu100_4_2_6">#REF!</definedName>
    <definedName name="ahu100_4_4">#REF!</definedName>
    <definedName name="ahu100_4_4_5">#REF!</definedName>
    <definedName name="ahu100_4_5">#REF!</definedName>
    <definedName name="ahu100_4_6">#REF!</definedName>
    <definedName name="ahu100_4_6_5">#REF!</definedName>
    <definedName name="ahu100_4_7">#REF!</definedName>
    <definedName name="ahu100_4_7_5">#REF!</definedName>
    <definedName name="ahu100_5">#REF!</definedName>
    <definedName name="ahu100_5_2">#REF!</definedName>
    <definedName name="ahu100_5_2_6">#REF!</definedName>
    <definedName name="ahu100_5_4">#REF!</definedName>
    <definedName name="ahu100_5_4_5">#REF!</definedName>
    <definedName name="ahu100_5_5">#REF!</definedName>
    <definedName name="ahu100_5_6">#REF!</definedName>
    <definedName name="ahu100_5_6_5">#REF!</definedName>
    <definedName name="ahu100_5_7">#REF!</definedName>
    <definedName name="ahu100_5_7_5">#REF!</definedName>
    <definedName name="ahu100_6">#REF!</definedName>
    <definedName name="ahu100_6_1">#REF!</definedName>
    <definedName name="ahu100_6_1_5">#REF!</definedName>
    <definedName name="ahu100_6_10">#REF!</definedName>
    <definedName name="ahu100_6_11">#REF!</definedName>
    <definedName name="ahu100_6_12">#REF!</definedName>
    <definedName name="ahu100_6_13">#REF!</definedName>
    <definedName name="ahu100_6_4">#REF!</definedName>
    <definedName name="ahu100_6_4_5">#REF!</definedName>
    <definedName name="ahu100_6_5">#REF!</definedName>
    <definedName name="ahu100_6_6">#REF!</definedName>
    <definedName name="ahu100_6_6_5">#REF!</definedName>
    <definedName name="ahu100_6_7">#REF!</definedName>
    <definedName name="ahu100_6_7_5">#REF!</definedName>
    <definedName name="ahu100_6_9">#REF!</definedName>
    <definedName name="ahu100_7">#REF!</definedName>
    <definedName name="ahu100_7_5">#REF!</definedName>
    <definedName name="ahu100_9">#REF!</definedName>
    <definedName name="ahu150_1">#REF!</definedName>
    <definedName name="ahu150_1_5">#REF!</definedName>
    <definedName name="ahu150_10">#REF!</definedName>
    <definedName name="ahu150_11">#REF!</definedName>
    <definedName name="ahu150_12">#REF!</definedName>
    <definedName name="ahu150_13">#REF!</definedName>
    <definedName name="ahu150_2">#REF!</definedName>
    <definedName name="ahu150_2_1">#REF!</definedName>
    <definedName name="ahu150_2_1_1">#REF!</definedName>
    <definedName name="ahu150_2_1_1_6">#REF!</definedName>
    <definedName name="ahu150_2_1_5">#REF!</definedName>
    <definedName name="ahu150_2_1_6">#REF!</definedName>
    <definedName name="ahu150_2_1_7">#REF!</definedName>
    <definedName name="ahu150_2_1_7_5">#REF!</definedName>
    <definedName name="ahu150_2_5">#REF!</definedName>
    <definedName name="ahu150_2_6">#REF!</definedName>
    <definedName name="ahu150_2_7">#REF!</definedName>
    <definedName name="ahu150_2_7_5">#REF!</definedName>
    <definedName name="ahu150_3">#REF!</definedName>
    <definedName name="ahu150_3_1">#REF!</definedName>
    <definedName name="ahu150_3_10">#REF!</definedName>
    <definedName name="ahu150_3_11">#REF!</definedName>
    <definedName name="ahu150_3_12">#REF!</definedName>
    <definedName name="ahu150_3_13">#REF!</definedName>
    <definedName name="ahu150_3_2">#REF!</definedName>
    <definedName name="ahu150_3_4">#REF!</definedName>
    <definedName name="ahu150_3_4_5">#REF!</definedName>
    <definedName name="ahu150_3_5">#REF!</definedName>
    <definedName name="ahu150_3_6">#REF!</definedName>
    <definedName name="ahu150_3_6_5">#REF!</definedName>
    <definedName name="ahu150_3_7">#REF!</definedName>
    <definedName name="ahu150_3_7_5">#REF!</definedName>
    <definedName name="ahu150_3_9">#REF!</definedName>
    <definedName name="ahu150_4">#REF!</definedName>
    <definedName name="ahu150_4_1">#REF!</definedName>
    <definedName name="ahu150_4_1_5">#REF!</definedName>
    <definedName name="ahu150_4_10">#REF!</definedName>
    <definedName name="ahu150_4_11">#REF!</definedName>
    <definedName name="ahu150_4_12">#REF!</definedName>
    <definedName name="ahu150_4_13">#REF!</definedName>
    <definedName name="ahu150_4_2">#REF!</definedName>
    <definedName name="ahu150_4_2_6">#REF!</definedName>
    <definedName name="ahu150_4_4">#REF!</definedName>
    <definedName name="ahu150_4_4_5">#REF!</definedName>
    <definedName name="ahu150_4_5">#REF!</definedName>
    <definedName name="ahu150_4_6">#REF!</definedName>
    <definedName name="ahu150_4_6_5">#REF!</definedName>
    <definedName name="ahu150_4_7">#REF!</definedName>
    <definedName name="ahu150_4_7_5">#REF!</definedName>
    <definedName name="ahu150_5">#REF!</definedName>
    <definedName name="ahu150_5_2">#REF!</definedName>
    <definedName name="ahu150_5_2_6">#REF!</definedName>
    <definedName name="ahu150_5_4">#REF!</definedName>
    <definedName name="ahu150_5_4_5">#REF!</definedName>
    <definedName name="ahu150_5_5">#REF!</definedName>
    <definedName name="ahu150_5_6">#REF!</definedName>
    <definedName name="ahu150_5_6_5">#REF!</definedName>
    <definedName name="ahu150_5_7">#REF!</definedName>
    <definedName name="ahu150_5_7_5">#REF!</definedName>
    <definedName name="ahu150_6">#REF!</definedName>
    <definedName name="ahu150_6_1">#REF!</definedName>
    <definedName name="ahu150_6_1_5">#REF!</definedName>
    <definedName name="ahu150_6_10">#REF!</definedName>
    <definedName name="ahu150_6_11">#REF!</definedName>
    <definedName name="ahu150_6_12">#REF!</definedName>
    <definedName name="ahu150_6_13">#REF!</definedName>
    <definedName name="ahu150_6_4">#REF!</definedName>
    <definedName name="ahu150_6_4_5">#REF!</definedName>
    <definedName name="ahu150_6_5">#REF!</definedName>
    <definedName name="ahu150_6_6">#REF!</definedName>
    <definedName name="ahu150_6_6_5">#REF!</definedName>
    <definedName name="ahu150_6_7">#REF!</definedName>
    <definedName name="ahu150_6_7_5">#REF!</definedName>
    <definedName name="ahu150_6_9">#REF!</definedName>
    <definedName name="ahu150_7">#REF!</definedName>
    <definedName name="ahu150_7_5">#REF!</definedName>
    <definedName name="ahu150_9">#REF!</definedName>
    <definedName name="ahuf100">#REF!</definedName>
    <definedName name="ahuf100_1">#REF!</definedName>
    <definedName name="ahuf100_1_5">#REF!</definedName>
    <definedName name="ahuf100_10">#REF!</definedName>
    <definedName name="ahuf100_11">#REF!</definedName>
    <definedName name="ahuf100_12">#REF!</definedName>
    <definedName name="ahuf100_13">#REF!</definedName>
    <definedName name="ahuf100_2">#REF!</definedName>
    <definedName name="ahuf100_2_1">#REF!</definedName>
    <definedName name="ahuf100_2_1_1">#REF!</definedName>
    <definedName name="ahuf100_2_1_1_6">#REF!</definedName>
    <definedName name="ahuf100_2_1_5">#REF!</definedName>
    <definedName name="ahuf100_2_1_6">#REF!</definedName>
    <definedName name="ahuf100_2_1_7">#REF!</definedName>
    <definedName name="ahuf100_2_1_7_5">#REF!</definedName>
    <definedName name="ahuf100_2_5">#REF!</definedName>
    <definedName name="ahuf100_2_6">#REF!</definedName>
    <definedName name="ahuf100_2_7">#REF!</definedName>
    <definedName name="ahuf100_2_7_5">#REF!</definedName>
    <definedName name="ahuf100_3">#REF!</definedName>
    <definedName name="ahuf100_3_1">#REF!</definedName>
    <definedName name="ahuf100_3_10">#REF!</definedName>
    <definedName name="ahuf100_3_11">#REF!</definedName>
    <definedName name="ahuf100_3_12">#REF!</definedName>
    <definedName name="ahuf100_3_13">#REF!</definedName>
    <definedName name="ahuf100_3_2">#REF!</definedName>
    <definedName name="ahuf100_3_4">#REF!</definedName>
    <definedName name="ahuf100_3_4_5">#REF!</definedName>
    <definedName name="ahuf100_3_5">#REF!</definedName>
    <definedName name="ahuf100_3_6">#REF!</definedName>
    <definedName name="ahuf100_3_6_5">#REF!</definedName>
    <definedName name="ahuf100_3_7">#REF!</definedName>
    <definedName name="ahuf100_3_7_5">#REF!</definedName>
    <definedName name="ahuf100_3_9">#REF!</definedName>
    <definedName name="ahuf100_4">#REF!</definedName>
    <definedName name="ahuf100_4_1">#REF!</definedName>
    <definedName name="ahuf100_4_1_5">#REF!</definedName>
    <definedName name="ahuf100_4_10">#REF!</definedName>
    <definedName name="ahuf100_4_11">#REF!</definedName>
    <definedName name="ahuf100_4_12">#REF!</definedName>
    <definedName name="ahuf100_4_13">#REF!</definedName>
    <definedName name="ahuf100_4_2">#REF!</definedName>
    <definedName name="ahuf100_4_2_6">#REF!</definedName>
    <definedName name="ahuf100_4_4">#REF!</definedName>
    <definedName name="ahuf100_4_4_5">#REF!</definedName>
    <definedName name="ahuf100_4_5">#REF!</definedName>
    <definedName name="ahuf100_4_6">#REF!</definedName>
    <definedName name="ahuf100_4_6_5">#REF!</definedName>
    <definedName name="ahuf100_4_7">#REF!</definedName>
    <definedName name="ahuf100_4_7_5">#REF!</definedName>
    <definedName name="ahuf100_5">#REF!</definedName>
    <definedName name="ahuf100_5_2">#REF!</definedName>
    <definedName name="ahuf100_5_2_6">#REF!</definedName>
    <definedName name="ahuf100_5_4">#REF!</definedName>
    <definedName name="ahuf100_5_4_5">#REF!</definedName>
    <definedName name="ahuf100_5_5">#REF!</definedName>
    <definedName name="ahuf100_5_6">#REF!</definedName>
    <definedName name="ahuf100_5_6_5">#REF!</definedName>
    <definedName name="ahuf100_5_7">#REF!</definedName>
    <definedName name="ahuf100_5_7_5">#REF!</definedName>
    <definedName name="ahuf100_6">#REF!</definedName>
    <definedName name="ahuf100_6_1">#REF!</definedName>
    <definedName name="ahuf100_6_1_5">#REF!</definedName>
    <definedName name="ahuf100_6_10">#REF!</definedName>
    <definedName name="ahuf100_6_11">#REF!</definedName>
    <definedName name="ahuf100_6_12">#REF!</definedName>
    <definedName name="ahuf100_6_13">#REF!</definedName>
    <definedName name="ahuf100_6_4">#REF!</definedName>
    <definedName name="ahuf100_6_4_5">#REF!</definedName>
    <definedName name="ahuf100_6_5">#REF!</definedName>
    <definedName name="ahuf100_6_6">#REF!</definedName>
    <definedName name="ahuf100_6_6_5">#REF!</definedName>
    <definedName name="ahuf100_6_7">#REF!</definedName>
    <definedName name="ahuf100_6_7_5">#REF!</definedName>
    <definedName name="ahuf100_6_9">#REF!</definedName>
    <definedName name="ahuf100_7">#REF!</definedName>
    <definedName name="ahuf100_7_5">#REF!</definedName>
    <definedName name="ahuf100_9">#REF!</definedName>
    <definedName name="ahuf150">#REF!</definedName>
    <definedName name="ahuf150_1">#REF!</definedName>
    <definedName name="ahuf150_1_5">#REF!</definedName>
    <definedName name="ahuf150_10">#REF!</definedName>
    <definedName name="ahuf150_11">#REF!</definedName>
    <definedName name="ahuf150_12">#REF!</definedName>
    <definedName name="ahuf150_13">#REF!</definedName>
    <definedName name="ahuf150_2">#REF!</definedName>
    <definedName name="ahuf150_2_1">#REF!</definedName>
    <definedName name="ahuf150_2_1_1">#REF!</definedName>
    <definedName name="ahuf150_2_1_1_6">#REF!</definedName>
    <definedName name="ahuf150_2_1_5">#REF!</definedName>
    <definedName name="ahuf150_2_1_6">#REF!</definedName>
    <definedName name="ahuf150_2_1_7">#REF!</definedName>
    <definedName name="ahuf150_2_1_7_5">#REF!</definedName>
    <definedName name="ahuf150_2_5">#REF!</definedName>
    <definedName name="ahuf150_2_6">#REF!</definedName>
    <definedName name="ahuf150_2_7">#REF!</definedName>
    <definedName name="ahuf150_2_7_5">#REF!</definedName>
    <definedName name="ahuf150_3">#REF!</definedName>
    <definedName name="ahuf150_3_1">#REF!</definedName>
    <definedName name="ahuf150_3_10">#REF!</definedName>
    <definedName name="ahuf150_3_11">#REF!</definedName>
    <definedName name="ahuf150_3_12">#REF!</definedName>
    <definedName name="ahuf150_3_13">#REF!</definedName>
    <definedName name="ahuf150_3_2">#REF!</definedName>
    <definedName name="ahuf150_3_4">#REF!</definedName>
    <definedName name="ahuf150_3_4_5">#REF!</definedName>
    <definedName name="ahuf150_3_5">#REF!</definedName>
    <definedName name="ahuf150_3_6">#REF!</definedName>
    <definedName name="ahuf150_3_6_5">#REF!</definedName>
    <definedName name="ahuf150_3_7">#REF!</definedName>
    <definedName name="ahuf150_3_7_5">#REF!</definedName>
    <definedName name="ahuf150_3_9">#REF!</definedName>
    <definedName name="ahuf150_4">#REF!</definedName>
    <definedName name="ahuf150_4_1">#REF!</definedName>
    <definedName name="ahuf150_4_1_5">#REF!</definedName>
    <definedName name="ahuf150_4_10">#REF!</definedName>
    <definedName name="ahuf150_4_11">#REF!</definedName>
    <definedName name="ahuf150_4_12">#REF!</definedName>
    <definedName name="ahuf150_4_13">#REF!</definedName>
    <definedName name="ahuf150_4_2">#REF!</definedName>
    <definedName name="ahuf150_4_2_6">#REF!</definedName>
    <definedName name="ahuf150_4_4">#REF!</definedName>
    <definedName name="ahuf150_4_4_5">#REF!</definedName>
    <definedName name="ahuf150_4_5">#REF!</definedName>
    <definedName name="ahuf150_4_6">#REF!</definedName>
    <definedName name="ahuf150_4_6_5">#REF!</definedName>
    <definedName name="ahuf150_4_7">#REF!</definedName>
    <definedName name="ahuf150_4_7_5">#REF!</definedName>
    <definedName name="ahuf150_5">#REF!</definedName>
    <definedName name="ahuf150_5_2">#REF!</definedName>
    <definedName name="ahuf150_5_2_6">#REF!</definedName>
    <definedName name="ahuf150_5_4">#REF!</definedName>
    <definedName name="ahuf150_5_4_5">#REF!</definedName>
    <definedName name="ahuf150_5_5">#REF!</definedName>
    <definedName name="ahuf150_5_6">#REF!</definedName>
    <definedName name="ahuf150_5_6_5">#REF!</definedName>
    <definedName name="ahuf150_5_7">#REF!</definedName>
    <definedName name="ahuf150_5_7_5">#REF!</definedName>
    <definedName name="ahuf150_6">#REF!</definedName>
    <definedName name="ahuf150_6_1">#REF!</definedName>
    <definedName name="ahuf150_6_1_5">#REF!</definedName>
    <definedName name="ahuf150_6_10">#REF!</definedName>
    <definedName name="ahuf150_6_11">#REF!</definedName>
    <definedName name="ahuf150_6_12">#REF!</definedName>
    <definedName name="ahuf150_6_13">#REF!</definedName>
    <definedName name="ahuf150_6_4">#REF!</definedName>
    <definedName name="ahuf150_6_4_5">#REF!</definedName>
    <definedName name="ahuf150_6_5">#REF!</definedName>
    <definedName name="ahuf150_6_6">#REF!</definedName>
    <definedName name="ahuf150_6_6_5">#REF!</definedName>
    <definedName name="ahuf150_6_7">#REF!</definedName>
    <definedName name="ahuf150_6_7_5">#REF!</definedName>
    <definedName name="ahuf150_6_9">#REF!</definedName>
    <definedName name="ahuf150_7">#REF!</definedName>
    <definedName name="ahuf150_7_5">#REF!</definedName>
    <definedName name="ahuf150_9">#REF!</definedName>
    <definedName name="ahuf150ahuf150">#REF!</definedName>
    <definedName name="ahuf150ahuf150_1">#REF!</definedName>
    <definedName name="ahuf150ahuf150_1_5">#REF!</definedName>
    <definedName name="ahuf150ahuf150_10">#REF!</definedName>
    <definedName name="ahuf150ahuf150_11">#REF!</definedName>
    <definedName name="ahuf150ahuf150_12">#REF!</definedName>
    <definedName name="ahuf150ahuf150_13">#REF!</definedName>
    <definedName name="ahuf150ahuf150_2">#REF!</definedName>
    <definedName name="ahuf150ahuf150_2_1">#REF!</definedName>
    <definedName name="ahuf150ahuf150_2_1_1">#REF!</definedName>
    <definedName name="ahuf150ahuf150_2_1_1_6">#REF!</definedName>
    <definedName name="ahuf150ahuf150_2_1_5">#REF!</definedName>
    <definedName name="ahuf150ahuf150_2_1_6">#REF!</definedName>
    <definedName name="ahuf150ahuf150_2_1_7">#REF!</definedName>
    <definedName name="ahuf150ahuf150_2_1_7_5">#REF!</definedName>
    <definedName name="ahuf150ahuf150_2_5">#REF!</definedName>
    <definedName name="ahuf150ahuf150_2_6">#REF!</definedName>
    <definedName name="ahuf150ahuf150_2_7">#REF!</definedName>
    <definedName name="ahuf150ahuf150_2_7_5">#REF!</definedName>
    <definedName name="ahuf150ahuf150_3">#REF!</definedName>
    <definedName name="ahuf150ahuf150_3_1">#REF!</definedName>
    <definedName name="ahuf150ahuf150_3_10">#REF!</definedName>
    <definedName name="ahuf150ahuf150_3_11">#REF!</definedName>
    <definedName name="ahuf150ahuf150_3_12">#REF!</definedName>
    <definedName name="ahuf150ahuf150_3_13">#REF!</definedName>
    <definedName name="ahuf150ahuf150_3_2">#REF!</definedName>
    <definedName name="ahuf150ahuf150_3_4">#REF!</definedName>
    <definedName name="ahuf150ahuf150_3_4_5">#REF!</definedName>
    <definedName name="ahuf150ahuf150_3_5">#REF!</definedName>
    <definedName name="ahuf150ahuf150_3_6">#REF!</definedName>
    <definedName name="ahuf150ahuf150_3_6_5">#REF!</definedName>
    <definedName name="ahuf150ahuf150_3_7">#REF!</definedName>
    <definedName name="ahuf150ahuf150_3_7_5">#REF!</definedName>
    <definedName name="ahuf150ahuf150_3_9">#REF!</definedName>
    <definedName name="ahuf150ahuf150_4">#REF!</definedName>
    <definedName name="ahuf150ahuf150_4_1">#REF!</definedName>
    <definedName name="ahuf150ahuf150_4_1_5">#REF!</definedName>
    <definedName name="ahuf150ahuf150_4_10">#REF!</definedName>
    <definedName name="ahuf150ahuf150_4_11">#REF!</definedName>
    <definedName name="ahuf150ahuf150_4_12">#REF!</definedName>
    <definedName name="ahuf150ahuf150_4_13">#REF!</definedName>
    <definedName name="ahuf150ahuf150_4_2">#REF!</definedName>
    <definedName name="ahuf150ahuf150_4_2_6">#REF!</definedName>
    <definedName name="ahuf150ahuf150_4_4">#REF!</definedName>
    <definedName name="ahuf150ahuf150_4_4_5">#REF!</definedName>
    <definedName name="ahuf150ahuf150_4_5">#REF!</definedName>
    <definedName name="ahuf150ahuf150_4_6">#REF!</definedName>
    <definedName name="ahuf150ahuf150_4_6_5">#REF!</definedName>
    <definedName name="ahuf150ahuf150_4_7">#REF!</definedName>
    <definedName name="ahuf150ahuf150_4_7_5">#REF!</definedName>
    <definedName name="ahuf150ahuf150_5">#REF!</definedName>
    <definedName name="ahuf150ahuf150_5_2">#REF!</definedName>
    <definedName name="ahuf150ahuf150_5_2_6">#REF!</definedName>
    <definedName name="ahuf150ahuf150_5_4">#REF!</definedName>
    <definedName name="ahuf150ahuf150_5_4_5">#REF!</definedName>
    <definedName name="ahuf150ahuf150_5_5">#REF!</definedName>
    <definedName name="ahuf150ahuf150_5_6">#REF!</definedName>
    <definedName name="ahuf150ahuf150_5_6_5">#REF!</definedName>
    <definedName name="ahuf150ahuf150_5_7">#REF!</definedName>
    <definedName name="ahuf150ahuf150_5_7_5">#REF!</definedName>
    <definedName name="ahuf150ahuf150_6">#REF!</definedName>
    <definedName name="ahuf150ahuf150_6_1">#REF!</definedName>
    <definedName name="ahuf150ahuf150_6_1_5">#REF!</definedName>
    <definedName name="ahuf150ahuf150_6_10">#REF!</definedName>
    <definedName name="ahuf150ahuf150_6_11">#REF!</definedName>
    <definedName name="ahuf150ahuf150_6_12">#REF!</definedName>
    <definedName name="ahuf150ahuf150_6_13">#REF!</definedName>
    <definedName name="ahuf150ahuf150_6_4">#REF!</definedName>
    <definedName name="ahuf150ahuf150_6_4_5">#REF!</definedName>
    <definedName name="ahuf150ahuf150_6_5">#REF!</definedName>
    <definedName name="ahuf150ahuf150_6_6">#REF!</definedName>
    <definedName name="ahuf150ahuf150_6_6_5">#REF!</definedName>
    <definedName name="ahuf150ahuf150_6_7">#REF!</definedName>
    <definedName name="ahuf150ahuf150_6_7_5">#REF!</definedName>
    <definedName name="ahuf150ahuf150_6_9">#REF!</definedName>
    <definedName name="ahuf150ahuf150_7">#REF!</definedName>
    <definedName name="ahuf150ahuf150_7_5">#REF!</definedName>
    <definedName name="ahuf150ahuf150_9">#REF!</definedName>
    <definedName name="AI">#REF!</definedName>
    <definedName name="aibon">#REF!</definedName>
    <definedName name="AII">#REF!</definedName>
    <definedName name="AIII">#REF!</definedName>
    <definedName name="aim">#REF!</definedName>
    <definedName name="aiphone">#REF!</definedName>
    <definedName name="AIR_BEKAS">#REF!</definedName>
    <definedName name="AIR_BERSIH">#REF!</definedName>
    <definedName name="Air_compressor">#REF!</definedName>
    <definedName name="AIR_HUJAN">#REF!</definedName>
    <definedName name="Air_keras">#REF!</definedName>
    <definedName name="AIR_KOTOR">#REF!</definedName>
    <definedName name="AIR_PANAS">#REF!</definedName>
    <definedName name="airbersih">#REF!</definedName>
    <definedName name="AIRCOMPRESOR611">#REF!</definedName>
    <definedName name="aiu">#REF!</definedName>
    <definedName name="AIV">#REF!</definedName>
    <definedName name="AIX">#REF!</definedName>
    <definedName name="AJ">#REF!</definedName>
    <definedName name="aji">#REF!</definedName>
    <definedName name="ajs">#REF!</definedName>
    <definedName name="ajunk" hidden="1">#REF!</definedName>
    <definedName name="AK">#REF!</definedName>
    <definedName name="AKBASE">[55]HSD!$H$29</definedName>
    <definedName name="akco100">#REF!</definedName>
    <definedName name="akco100_1">#REF!</definedName>
    <definedName name="akco100_1_5">#REF!</definedName>
    <definedName name="akco100_10">#REF!</definedName>
    <definedName name="akco100_11">#REF!</definedName>
    <definedName name="akco100_12">#REF!</definedName>
    <definedName name="akco100_13">#REF!</definedName>
    <definedName name="akco100_2">#REF!</definedName>
    <definedName name="akco100_2_1">#REF!</definedName>
    <definedName name="akco100_2_1_1">#REF!</definedName>
    <definedName name="akco100_2_1_1_6">#REF!</definedName>
    <definedName name="akco100_2_1_5">#REF!</definedName>
    <definedName name="akco100_2_1_6">#REF!</definedName>
    <definedName name="akco100_2_1_7">#REF!</definedName>
    <definedName name="akco100_2_1_7_5">#REF!</definedName>
    <definedName name="akco100_2_5">#REF!</definedName>
    <definedName name="akco100_2_6">#REF!</definedName>
    <definedName name="akco100_2_7">#REF!</definedName>
    <definedName name="akco100_2_7_5">#REF!</definedName>
    <definedName name="akco100_3">#REF!</definedName>
    <definedName name="akco100_3_1">#REF!</definedName>
    <definedName name="akco100_3_10">#REF!</definedName>
    <definedName name="akco100_3_11">#REF!</definedName>
    <definedName name="akco100_3_12">#REF!</definedName>
    <definedName name="akco100_3_13">#REF!</definedName>
    <definedName name="akco100_3_2">#REF!</definedName>
    <definedName name="akco100_3_4">#REF!</definedName>
    <definedName name="akco100_3_4_5">#REF!</definedName>
    <definedName name="akco100_3_5">#REF!</definedName>
    <definedName name="akco100_3_6">#REF!</definedName>
    <definedName name="akco100_3_6_5">#REF!</definedName>
    <definedName name="akco100_3_7">#REF!</definedName>
    <definedName name="akco100_3_7_5">#REF!</definedName>
    <definedName name="akco100_3_9">#REF!</definedName>
    <definedName name="akco100_4">#REF!</definedName>
    <definedName name="akco100_4_1">#REF!</definedName>
    <definedName name="akco100_4_1_5">#REF!</definedName>
    <definedName name="akco100_4_10">#REF!</definedName>
    <definedName name="akco100_4_11">#REF!</definedName>
    <definedName name="akco100_4_12">#REF!</definedName>
    <definedName name="akco100_4_13">#REF!</definedName>
    <definedName name="akco100_4_2">#REF!</definedName>
    <definedName name="akco100_4_2_6">#REF!</definedName>
    <definedName name="akco100_4_4">#REF!</definedName>
    <definedName name="akco100_4_4_5">#REF!</definedName>
    <definedName name="akco100_4_5">#REF!</definedName>
    <definedName name="akco100_4_6">#REF!</definedName>
    <definedName name="akco100_4_6_5">#REF!</definedName>
    <definedName name="akco100_4_7">#REF!</definedName>
    <definedName name="akco100_4_7_5">#REF!</definedName>
    <definedName name="akco100_5">#REF!</definedName>
    <definedName name="akco100_5_2">#REF!</definedName>
    <definedName name="akco100_5_2_6">#REF!</definedName>
    <definedName name="akco100_5_4">#REF!</definedName>
    <definedName name="akco100_5_4_5">#REF!</definedName>
    <definedName name="akco100_5_5">#REF!</definedName>
    <definedName name="akco100_5_6">#REF!</definedName>
    <definedName name="akco100_5_6_5">#REF!</definedName>
    <definedName name="akco100_5_7">#REF!</definedName>
    <definedName name="akco100_5_7_5">#REF!</definedName>
    <definedName name="akco100_6">#REF!</definedName>
    <definedName name="akco100_6_1">#REF!</definedName>
    <definedName name="akco100_6_1_5">#REF!</definedName>
    <definedName name="akco100_6_10">#REF!</definedName>
    <definedName name="akco100_6_11">#REF!</definedName>
    <definedName name="akco100_6_12">#REF!</definedName>
    <definedName name="akco100_6_13">#REF!</definedName>
    <definedName name="akco100_6_4">#REF!</definedName>
    <definedName name="akco100_6_4_5">#REF!</definedName>
    <definedName name="akco100_6_5">#REF!</definedName>
    <definedName name="akco100_6_6">#REF!</definedName>
    <definedName name="akco100_6_6_5">#REF!</definedName>
    <definedName name="akco100_6_7">#REF!</definedName>
    <definedName name="akco100_6_7_5">#REF!</definedName>
    <definedName name="akco100_6_9">#REF!</definedName>
    <definedName name="akco100_7">#REF!</definedName>
    <definedName name="akco100_7_5">#REF!</definedName>
    <definedName name="akco100_9">#REF!</definedName>
    <definedName name="akco101">#REF!</definedName>
    <definedName name="akco150">#REF!</definedName>
    <definedName name="akco150_1">#REF!</definedName>
    <definedName name="akco150_1_5">#REF!</definedName>
    <definedName name="akco150_10">#REF!</definedName>
    <definedName name="akco150_11">#REF!</definedName>
    <definedName name="akco150_12">#REF!</definedName>
    <definedName name="akco150_13">#REF!</definedName>
    <definedName name="akco150_2">#REF!</definedName>
    <definedName name="akco150_2_1">#REF!</definedName>
    <definedName name="akco150_2_1_1">#REF!</definedName>
    <definedName name="akco150_2_1_1_6">#REF!</definedName>
    <definedName name="akco150_2_1_5">#REF!</definedName>
    <definedName name="akco150_2_1_6">#REF!</definedName>
    <definedName name="akco150_2_1_7">#REF!</definedName>
    <definedName name="akco150_2_1_7_5">#REF!</definedName>
    <definedName name="akco150_2_5">#REF!</definedName>
    <definedName name="akco150_2_6">#REF!</definedName>
    <definedName name="akco150_2_7">#REF!</definedName>
    <definedName name="akco150_2_7_5">#REF!</definedName>
    <definedName name="akco150_3">#REF!</definedName>
    <definedName name="akco150_3_1">#REF!</definedName>
    <definedName name="akco150_3_10">#REF!</definedName>
    <definedName name="akco150_3_11">#REF!</definedName>
    <definedName name="akco150_3_12">#REF!</definedName>
    <definedName name="akco150_3_13">#REF!</definedName>
    <definedName name="akco150_3_2">#REF!</definedName>
    <definedName name="akco150_3_4">#REF!</definedName>
    <definedName name="akco150_3_4_5">#REF!</definedName>
    <definedName name="akco150_3_5">#REF!</definedName>
    <definedName name="akco150_3_6">#REF!</definedName>
    <definedName name="akco150_3_6_5">#REF!</definedName>
    <definedName name="akco150_3_7">#REF!</definedName>
    <definedName name="akco150_3_7_5">#REF!</definedName>
    <definedName name="akco150_3_9">#REF!</definedName>
    <definedName name="akco150_4">#REF!</definedName>
    <definedName name="akco150_4_1">#REF!</definedName>
    <definedName name="akco150_4_1_5">#REF!</definedName>
    <definedName name="akco150_4_10">#REF!</definedName>
    <definedName name="akco150_4_11">#REF!</definedName>
    <definedName name="akco150_4_12">#REF!</definedName>
    <definedName name="akco150_4_13">#REF!</definedName>
    <definedName name="akco150_4_2">#REF!</definedName>
    <definedName name="akco150_4_2_6">#REF!</definedName>
    <definedName name="akco150_4_4">#REF!</definedName>
    <definedName name="akco150_4_4_5">#REF!</definedName>
    <definedName name="akco150_4_5">#REF!</definedName>
    <definedName name="akco150_4_6">#REF!</definedName>
    <definedName name="akco150_4_6_5">#REF!</definedName>
    <definedName name="akco150_4_7">#REF!</definedName>
    <definedName name="akco150_4_7_5">#REF!</definedName>
    <definedName name="akco150_5">#REF!</definedName>
    <definedName name="akco150_5_2">#REF!</definedName>
    <definedName name="akco150_5_2_6">#REF!</definedName>
    <definedName name="akco150_5_4">#REF!</definedName>
    <definedName name="akco150_5_4_5">#REF!</definedName>
    <definedName name="akco150_5_5">#REF!</definedName>
    <definedName name="akco150_5_6">#REF!</definedName>
    <definedName name="akco150_5_6_5">#REF!</definedName>
    <definedName name="akco150_5_7">#REF!</definedName>
    <definedName name="akco150_5_7_5">#REF!</definedName>
    <definedName name="akco150_6">#REF!</definedName>
    <definedName name="akco150_6_1">#REF!</definedName>
    <definedName name="akco150_6_1_5">#REF!</definedName>
    <definedName name="akco150_6_10">#REF!</definedName>
    <definedName name="akco150_6_11">#REF!</definedName>
    <definedName name="akco150_6_12">#REF!</definedName>
    <definedName name="akco150_6_13">#REF!</definedName>
    <definedName name="akco150_6_4">#REF!</definedName>
    <definedName name="akco150_6_4_5">#REF!</definedName>
    <definedName name="akco150_6_5">#REF!</definedName>
    <definedName name="akco150_6_6">#REF!</definedName>
    <definedName name="akco150_6_6_5">#REF!</definedName>
    <definedName name="akco150_6_7">#REF!</definedName>
    <definedName name="akco150_6_7_5">#REF!</definedName>
    <definedName name="akco150_6_9">#REF!</definedName>
    <definedName name="akco150_7">#REF!</definedName>
    <definedName name="akco150_7_5">#REF!</definedName>
    <definedName name="akco150_9">#REF!</definedName>
    <definedName name="akco80">#REF!</definedName>
    <definedName name="akco80_1">#REF!</definedName>
    <definedName name="akco80_1_5">#REF!</definedName>
    <definedName name="akco80_10">#REF!</definedName>
    <definedName name="akco80_11">#REF!</definedName>
    <definedName name="akco80_12">#REF!</definedName>
    <definedName name="akco80_13">#REF!</definedName>
    <definedName name="akco80_2">#REF!</definedName>
    <definedName name="akco80_2_1">#REF!</definedName>
    <definedName name="akco80_2_1_1">#REF!</definedName>
    <definedName name="akco80_2_1_1_6">#REF!</definedName>
    <definedName name="akco80_2_1_5">#REF!</definedName>
    <definedName name="akco80_2_1_6">#REF!</definedName>
    <definedName name="akco80_2_1_7">#REF!</definedName>
    <definedName name="akco80_2_1_7_5">#REF!</definedName>
    <definedName name="akco80_2_5">#REF!</definedName>
    <definedName name="akco80_2_6">#REF!</definedName>
    <definedName name="akco80_2_7">#REF!</definedName>
    <definedName name="akco80_2_7_5">#REF!</definedName>
    <definedName name="akco80_3">#REF!</definedName>
    <definedName name="akco80_3_1">#REF!</definedName>
    <definedName name="akco80_3_10">#REF!</definedName>
    <definedName name="akco80_3_11">#REF!</definedName>
    <definedName name="akco80_3_12">#REF!</definedName>
    <definedName name="akco80_3_13">#REF!</definedName>
    <definedName name="akco80_3_2">#REF!</definedName>
    <definedName name="akco80_3_4">#REF!</definedName>
    <definedName name="akco80_3_4_5">#REF!</definedName>
    <definedName name="akco80_3_5">#REF!</definedName>
    <definedName name="akco80_3_6">#REF!</definedName>
    <definedName name="akco80_3_6_5">#REF!</definedName>
    <definedName name="akco80_3_7">#REF!</definedName>
    <definedName name="akco80_3_7_5">#REF!</definedName>
    <definedName name="akco80_3_9">#REF!</definedName>
    <definedName name="akco80_4">#REF!</definedName>
    <definedName name="akco80_4_1">#REF!</definedName>
    <definedName name="akco80_4_1_5">#REF!</definedName>
    <definedName name="akco80_4_10">#REF!</definedName>
    <definedName name="akco80_4_11">#REF!</definedName>
    <definedName name="akco80_4_12">#REF!</definedName>
    <definedName name="akco80_4_13">#REF!</definedName>
    <definedName name="akco80_4_2">#REF!</definedName>
    <definedName name="akco80_4_2_6">#REF!</definedName>
    <definedName name="akco80_4_4">#REF!</definedName>
    <definedName name="akco80_4_4_5">#REF!</definedName>
    <definedName name="akco80_4_5">#REF!</definedName>
    <definedName name="akco80_4_6">#REF!</definedName>
    <definedName name="akco80_4_6_5">#REF!</definedName>
    <definedName name="akco80_4_7">#REF!</definedName>
    <definedName name="akco80_4_7_5">#REF!</definedName>
    <definedName name="akco80_5">#REF!</definedName>
    <definedName name="akco80_5_2">#REF!</definedName>
    <definedName name="akco80_5_2_6">#REF!</definedName>
    <definedName name="akco80_5_4">#REF!</definedName>
    <definedName name="akco80_5_4_5">#REF!</definedName>
    <definedName name="akco80_5_5">#REF!</definedName>
    <definedName name="akco80_5_6">#REF!</definedName>
    <definedName name="akco80_5_6_5">#REF!</definedName>
    <definedName name="akco80_5_7">#REF!</definedName>
    <definedName name="akco80_5_7_5">#REF!</definedName>
    <definedName name="akco80_6">#REF!</definedName>
    <definedName name="akco80_6_1">#REF!</definedName>
    <definedName name="akco80_6_1_5">#REF!</definedName>
    <definedName name="akco80_6_10">#REF!</definedName>
    <definedName name="akco80_6_11">#REF!</definedName>
    <definedName name="akco80_6_12">#REF!</definedName>
    <definedName name="akco80_6_13">#REF!</definedName>
    <definedName name="akco80_6_4">#REF!</definedName>
    <definedName name="akco80_6_4_5">#REF!</definedName>
    <definedName name="akco80_6_5">#REF!</definedName>
    <definedName name="akco80_6_6">#REF!</definedName>
    <definedName name="akco80_6_6_5">#REF!</definedName>
    <definedName name="akco80_6_7">#REF!</definedName>
    <definedName name="akco80_6_7_5">#REF!</definedName>
    <definedName name="akco80_6_9">#REF!</definedName>
    <definedName name="akco80_7">#REF!</definedName>
    <definedName name="akco80_7_5">#REF!</definedName>
    <definedName name="akco80_9">#REF!</definedName>
    <definedName name="akfd50">#REF!</definedName>
    <definedName name="akfd50_1">#REF!</definedName>
    <definedName name="akfd50_1_5">#REF!</definedName>
    <definedName name="akfd50_10">#REF!</definedName>
    <definedName name="akfd50_11">#REF!</definedName>
    <definedName name="akfd50_12">#REF!</definedName>
    <definedName name="akfd50_13">#REF!</definedName>
    <definedName name="akfd50_2">#REF!</definedName>
    <definedName name="akfd50_2_1">#REF!</definedName>
    <definedName name="akfd50_2_1_1">#REF!</definedName>
    <definedName name="akfd50_2_1_1_6">#REF!</definedName>
    <definedName name="akfd50_2_1_5">#REF!</definedName>
    <definedName name="akfd50_2_1_6">#REF!</definedName>
    <definedName name="akfd50_2_1_7">#REF!</definedName>
    <definedName name="akfd50_2_1_7_5">#REF!</definedName>
    <definedName name="akfd50_2_5">#REF!</definedName>
    <definedName name="akfd50_2_6">#REF!</definedName>
    <definedName name="akfd50_2_7">#REF!</definedName>
    <definedName name="akfd50_2_7_5">#REF!</definedName>
    <definedName name="akfd50_3">#REF!</definedName>
    <definedName name="akfd50_3_1">#REF!</definedName>
    <definedName name="akfd50_3_10">#REF!</definedName>
    <definedName name="akfd50_3_11">#REF!</definedName>
    <definedName name="akfd50_3_12">#REF!</definedName>
    <definedName name="akfd50_3_13">#REF!</definedName>
    <definedName name="akfd50_3_2">#REF!</definedName>
    <definedName name="akfd50_3_4">#REF!</definedName>
    <definedName name="akfd50_3_4_5">#REF!</definedName>
    <definedName name="akfd50_3_5">#REF!</definedName>
    <definedName name="akfd50_3_6">#REF!</definedName>
    <definedName name="akfd50_3_6_5">#REF!</definedName>
    <definedName name="akfd50_3_7">#REF!</definedName>
    <definedName name="akfd50_3_7_5">#REF!</definedName>
    <definedName name="akfd50_3_9">#REF!</definedName>
    <definedName name="akfd50_4">#REF!</definedName>
    <definedName name="akfd50_4_1">#REF!</definedName>
    <definedName name="akfd50_4_1_5">#REF!</definedName>
    <definedName name="akfd50_4_10">#REF!</definedName>
    <definedName name="akfd50_4_11">#REF!</definedName>
    <definedName name="akfd50_4_12">#REF!</definedName>
    <definedName name="akfd50_4_13">#REF!</definedName>
    <definedName name="akfd50_4_2">#REF!</definedName>
    <definedName name="akfd50_4_2_6">#REF!</definedName>
    <definedName name="akfd50_4_4">#REF!</definedName>
    <definedName name="akfd50_4_4_5">#REF!</definedName>
    <definedName name="akfd50_4_5">#REF!</definedName>
    <definedName name="akfd50_4_6">#REF!</definedName>
    <definedName name="akfd50_4_6_5">#REF!</definedName>
    <definedName name="akfd50_4_7">#REF!</definedName>
    <definedName name="akfd50_4_7_5">#REF!</definedName>
    <definedName name="akfd50_5">#REF!</definedName>
    <definedName name="akfd50_5_2">#REF!</definedName>
    <definedName name="akfd50_5_2_6">#REF!</definedName>
    <definedName name="akfd50_5_4">#REF!</definedName>
    <definedName name="akfd50_5_4_5">#REF!</definedName>
    <definedName name="akfd50_5_5">#REF!</definedName>
    <definedName name="akfd50_5_6">#REF!</definedName>
    <definedName name="akfd50_5_6_5">#REF!</definedName>
    <definedName name="akfd50_5_7">#REF!</definedName>
    <definedName name="akfd50_5_7_5">#REF!</definedName>
    <definedName name="akfd50_6">#REF!</definedName>
    <definedName name="akfd50_6_1">#REF!</definedName>
    <definedName name="akfd50_6_1_5">#REF!</definedName>
    <definedName name="akfd50_6_10">#REF!</definedName>
    <definedName name="akfd50_6_11">#REF!</definedName>
    <definedName name="akfd50_6_12">#REF!</definedName>
    <definedName name="akfd50_6_13">#REF!</definedName>
    <definedName name="akfd50_6_4">#REF!</definedName>
    <definedName name="akfd50_6_4_5">#REF!</definedName>
    <definedName name="akfd50_6_5">#REF!</definedName>
    <definedName name="akfd50_6_6">#REF!</definedName>
    <definedName name="akfd50_6_6_5">#REF!</definedName>
    <definedName name="akfd50_6_7">#REF!</definedName>
    <definedName name="akfd50_6_7_5">#REF!</definedName>
    <definedName name="akfd50_6_9">#REF!</definedName>
    <definedName name="akfd50_7">#REF!</definedName>
    <definedName name="akfd50_7_5">#REF!</definedName>
    <definedName name="akfd50_9">#REF!</definedName>
    <definedName name="akfj100">#REF!</definedName>
    <definedName name="akfj100_1">#REF!</definedName>
    <definedName name="akfj100_1_5">#REF!</definedName>
    <definedName name="akfj100_10">#REF!</definedName>
    <definedName name="akfj100_11">#REF!</definedName>
    <definedName name="akfj100_12">#REF!</definedName>
    <definedName name="akfj100_13">#REF!</definedName>
    <definedName name="akfj100_2">#REF!</definedName>
    <definedName name="akfj100_2_1">#REF!</definedName>
    <definedName name="akfj100_2_1_1">#REF!</definedName>
    <definedName name="akfj100_2_1_1_6">#REF!</definedName>
    <definedName name="akfj100_2_1_5">#REF!</definedName>
    <definedName name="akfj100_2_1_6">#REF!</definedName>
    <definedName name="akfj100_2_1_7">#REF!</definedName>
    <definedName name="akfj100_2_1_7_5">#REF!</definedName>
    <definedName name="akfj100_2_5">#REF!</definedName>
    <definedName name="akfj100_2_6">#REF!</definedName>
    <definedName name="akfj100_2_7">#REF!</definedName>
    <definedName name="akfj100_2_7_5">#REF!</definedName>
    <definedName name="akfj100_3">#REF!</definedName>
    <definedName name="akfj100_3_1">#REF!</definedName>
    <definedName name="akfj100_3_10">#REF!</definedName>
    <definedName name="akfj100_3_11">#REF!</definedName>
    <definedName name="akfj100_3_12">#REF!</definedName>
    <definedName name="akfj100_3_13">#REF!</definedName>
    <definedName name="akfj100_3_2">#REF!</definedName>
    <definedName name="akfj100_3_4">#REF!</definedName>
    <definedName name="akfj100_3_4_5">#REF!</definedName>
    <definedName name="akfj100_3_5">#REF!</definedName>
    <definedName name="akfj100_3_6">#REF!</definedName>
    <definedName name="akfj100_3_6_5">#REF!</definedName>
    <definedName name="akfj100_3_7">#REF!</definedName>
    <definedName name="akfj100_3_7_5">#REF!</definedName>
    <definedName name="akfj100_3_9">#REF!</definedName>
    <definedName name="akfj100_4">#REF!</definedName>
    <definedName name="akfj100_4_1">#REF!</definedName>
    <definedName name="akfj100_4_1_5">#REF!</definedName>
    <definedName name="akfj100_4_10">#REF!</definedName>
    <definedName name="akfj100_4_11">#REF!</definedName>
    <definedName name="akfj100_4_12">#REF!</definedName>
    <definedName name="akfj100_4_13">#REF!</definedName>
    <definedName name="akfj100_4_2">#REF!</definedName>
    <definedName name="akfj100_4_2_6">#REF!</definedName>
    <definedName name="akfj100_4_4">#REF!</definedName>
    <definedName name="akfj100_4_4_5">#REF!</definedName>
    <definedName name="akfj100_4_5">#REF!</definedName>
    <definedName name="akfj100_4_6">#REF!</definedName>
    <definedName name="akfj100_4_6_5">#REF!</definedName>
    <definedName name="akfj100_4_7">#REF!</definedName>
    <definedName name="akfj100_4_7_5">#REF!</definedName>
    <definedName name="akfj100_5">#REF!</definedName>
    <definedName name="akfj100_5_2">#REF!</definedName>
    <definedName name="akfj100_5_2_6">#REF!</definedName>
    <definedName name="akfj100_5_4">#REF!</definedName>
    <definedName name="akfj100_5_4_5">#REF!</definedName>
    <definedName name="akfj100_5_5">#REF!</definedName>
    <definedName name="akfj100_5_6">#REF!</definedName>
    <definedName name="akfj100_5_6_5">#REF!</definedName>
    <definedName name="akfj100_5_7">#REF!</definedName>
    <definedName name="akfj100_5_7_5">#REF!</definedName>
    <definedName name="akfj100_6">#REF!</definedName>
    <definedName name="akfj100_6_1">#REF!</definedName>
    <definedName name="akfj100_6_1_5">#REF!</definedName>
    <definedName name="akfj100_6_10">#REF!</definedName>
    <definedName name="akfj100_6_11">#REF!</definedName>
    <definedName name="akfj100_6_12">#REF!</definedName>
    <definedName name="akfj100_6_13">#REF!</definedName>
    <definedName name="akfj100_6_4">#REF!</definedName>
    <definedName name="akfj100_6_4_5">#REF!</definedName>
    <definedName name="akfj100_6_5">#REF!</definedName>
    <definedName name="akfj100_6_6">#REF!</definedName>
    <definedName name="akfj100_6_6_5">#REF!</definedName>
    <definedName name="akfj100_6_7">#REF!</definedName>
    <definedName name="akfj100_6_7_5">#REF!</definedName>
    <definedName name="akfj100_6_9">#REF!</definedName>
    <definedName name="akfj100_7">#REF!</definedName>
    <definedName name="akfj100_7_5">#REF!</definedName>
    <definedName name="akfj100_9">#REF!</definedName>
    <definedName name="akgv100">#REF!</definedName>
    <definedName name="akgv100_1">#REF!</definedName>
    <definedName name="akgv100_1_5">#REF!</definedName>
    <definedName name="akgv100_10">#REF!</definedName>
    <definedName name="akgv100_11">#REF!</definedName>
    <definedName name="akgv100_12">#REF!</definedName>
    <definedName name="akgv100_13">#REF!</definedName>
    <definedName name="akgv100_2">#REF!</definedName>
    <definedName name="akgv100_2_1">#REF!</definedName>
    <definedName name="akgv100_2_1_1">#REF!</definedName>
    <definedName name="akgv100_2_1_1_6">#REF!</definedName>
    <definedName name="akgv100_2_1_5">#REF!</definedName>
    <definedName name="akgv100_2_1_6">#REF!</definedName>
    <definedName name="akgv100_2_1_7">#REF!</definedName>
    <definedName name="akgv100_2_1_7_5">#REF!</definedName>
    <definedName name="akgv100_2_5">#REF!</definedName>
    <definedName name="akgv100_2_6">#REF!</definedName>
    <definedName name="akgv100_2_7">#REF!</definedName>
    <definedName name="akgv100_2_7_5">#REF!</definedName>
    <definedName name="akgv100_3">#REF!</definedName>
    <definedName name="akgv100_3_1">#REF!</definedName>
    <definedName name="akgv100_3_10">#REF!</definedName>
    <definedName name="akgv100_3_11">#REF!</definedName>
    <definedName name="akgv100_3_12">#REF!</definedName>
    <definedName name="akgv100_3_13">#REF!</definedName>
    <definedName name="akgv100_3_2">#REF!</definedName>
    <definedName name="akgv100_3_4">#REF!</definedName>
    <definedName name="akgv100_3_4_5">#REF!</definedName>
    <definedName name="akgv100_3_5">#REF!</definedName>
    <definedName name="akgv100_3_6">#REF!</definedName>
    <definedName name="akgv100_3_6_5">#REF!</definedName>
    <definedName name="akgv100_3_7">#REF!</definedName>
    <definedName name="akgv100_3_7_5">#REF!</definedName>
    <definedName name="akgv100_3_9">#REF!</definedName>
    <definedName name="akgv100_4">#REF!</definedName>
    <definedName name="akgv100_4_1">#REF!</definedName>
    <definedName name="akgv100_4_1_5">#REF!</definedName>
    <definedName name="akgv100_4_10">#REF!</definedName>
    <definedName name="akgv100_4_11">#REF!</definedName>
    <definedName name="akgv100_4_12">#REF!</definedName>
    <definedName name="akgv100_4_13">#REF!</definedName>
    <definedName name="akgv100_4_2">#REF!</definedName>
    <definedName name="akgv100_4_2_6">#REF!</definedName>
    <definedName name="akgv100_4_4">#REF!</definedName>
    <definedName name="akgv100_4_4_5">#REF!</definedName>
    <definedName name="akgv100_4_5">#REF!</definedName>
    <definedName name="akgv100_4_6">#REF!</definedName>
    <definedName name="akgv100_4_6_5">#REF!</definedName>
    <definedName name="akgv100_4_7">#REF!</definedName>
    <definedName name="akgv100_4_7_5">#REF!</definedName>
    <definedName name="akgv100_5">#REF!</definedName>
    <definedName name="akgv100_5_2">#REF!</definedName>
    <definedName name="akgv100_5_2_6">#REF!</definedName>
    <definedName name="akgv100_5_4">#REF!</definedName>
    <definedName name="akgv100_5_4_5">#REF!</definedName>
    <definedName name="akgv100_5_5">#REF!</definedName>
    <definedName name="akgv100_5_6">#REF!</definedName>
    <definedName name="akgv100_5_6_5">#REF!</definedName>
    <definedName name="akgv100_5_7">#REF!</definedName>
    <definedName name="akgv100_5_7_5">#REF!</definedName>
    <definedName name="akgv100_6">#REF!</definedName>
    <definedName name="akgv100_6_1">#REF!</definedName>
    <definedName name="akgv100_6_1_5">#REF!</definedName>
    <definedName name="akgv100_6_10">#REF!</definedName>
    <definedName name="akgv100_6_11">#REF!</definedName>
    <definedName name="akgv100_6_12">#REF!</definedName>
    <definedName name="akgv100_6_13">#REF!</definedName>
    <definedName name="akgv100_6_4">#REF!</definedName>
    <definedName name="akgv100_6_4_5">#REF!</definedName>
    <definedName name="akgv100_6_5">#REF!</definedName>
    <definedName name="akgv100_6_6">#REF!</definedName>
    <definedName name="akgv100_6_6_5">#REF!</definedName>
    <definedName name="akgv100_6_7">#REF!</definedName>
    <definedName name="akgv100_6_7_5">#REF!</definedName>
    <definedName name="akgv100_6_9">#REF!</definedName>
    <definedName name="akgv100_7">#REF!</definedName>
    <definedName name="akgv100_7_5">#REF!</definedName>
    <definedName name="akgv100_9">#REF!</definedName>
    <definedName name="akgv80">#REF!</definedName>
    <definedName name="akgv80_1">#REF!</definedName>
    <definedName name="akgv80_1_5">#REF!</definedName>
    <definedName name="akgv80_10">#REF!</definedName>
    <definedName name="akgv80_11">#REF!</definedName>
    <definedName name="akgv80_12">#REF!</definedName>
    <definedName name="akgv80_13">#REF!</definedName>
    <definedName name="akgv80_2">#REF!</definedName>
    <definedName name="akgv80_2_1">#REF!</definedName>
    <definedName name="akgv80_2_1_1">#REF!</definedName>
    <definedName name="akgv80_2_1_1_6">#REF!</definedName>
    <definedName name="akgv80_2_1_5">#REF!</definedName>
    <definedName name="akgv80_2_1_6">#REF!</definedName>
    <definedName name="akgv80_2_1_7">#REF!</definedName>
    <definedName name="akgv80_2_1_7_5">#REF!</definedName>
    <definedName name="akgv80_2_5">#REF!</definedName>
    <definedName name="akgv80_2_6">#REF!</definedName>
    <definedName name="akgv80_2_7">#REF!</definedName>
    <definedName name="akgv80_2_7_5">#REF!</definedName>
    <definedName name="akgv80_3">#REF!</definedName>
    <definedName name="akgv80_3_1">#REF!</definedName>
    <definedName name="akgv80_3_10">#REF!</definedName>
    <definedName name="akgv80_3_11">#REF!</definedName>
    <definedName name="akgv80_3_12">#REF!</definedName>
    <definedName name="akgv80_3_13">#REF!</definedName>
    <definedName name="akgv80_3_2">#REF!</definedName>
    <definedName name="akgv80_3_4">#REF!</definedName>
    <definedName name="akgv80_3_4_5">#REF!</definedName>
    <definedName name="akgv80_3_5">#REF!</definedName>
    <definedName name="akgv80_3_6">#REF!</definedName>
    <definedName name="akgv80_3_6_5">#REF!</definedName>
    <definedName name="akgv80_3_7">#REF!</definedName>
    <definedName name="akgv80_3_7_5">#REF!</definedName>
    <definedName name="akgv80_3_9">#REF!</definedName>
    <definedName name="akgv80_4">#REF!</definedName>
    <definedName name="akgv80_4_1">#REF!</definedName>
    <definedName name="akgv80_4_1_5">#REF!</definedName>
    <definedName name="akgv80_4_10">#REF!</definedName>
    <definedName name="akgv80_4_11">#REF!</definedName>
    <definedName name="akgv80_4_12">#REF!</definedName>
    <definedName name="akgv80_4_13">#REF!</definedName>
    <definedName name="akgv80_4_2">#REF!</definedName>
    <definedName name="akgv80_4_2_6">#REF!</definedName>
    <definedName name="akgv80_4_4">#REF!</definedName>
    <definedName name="akgv80_4_4_5">#REF!</definedName>
    <definedName name="akgv80_4_5">#REF!</definedName>
    <definedName name="akgv80_4_6">#REF!</definedName>
    <definedName name="akgv80_4_6_5">#REF!</definedName>
    <definedName name="akgv80_4_7">#REF!</definedName>
    <definedName name="akgv80_4_7_5">#REF!</definedName>
    <definedName name="akgv80_5">#REF!</definedName>
    <definedName name="akgv80_5_2">#REF!</definedName>
    <definedName name="akgv80_5_2_6">#REF!</definedName>
    <definedName name="akgv80_5_4">#REF!</definedName>
    <definedName name="akgv80_5_4_5">#REF!</definedName>
    <definedName name="akgv80_5_5">#REF!</definedName>
    <definedName name="akgv80_5_6">#REF!</definedName>
    <definedName name="akgv80_5_6_5">#REF!</definedName>
    <definedName name="akgv80_5_7">#REF!</definedName>
    <definedName name="akgv80_5_7_5">#REF!</definedName>
    <definedName name="akgv80_6">#REF!</definedName>
    <definedName name="akgv80_6_1">#REF!</definedName>
    <definedName name="akgv80_6_1_5">#REF!</definedName>
    <definedName name="akgv80_6_10">#REF!</definedName>
    <definedName name="akgv80_6_11">#REF!</definedName>
    <definedName name="akgv80_6_12">#REF!</definedName>
    <definedName name="akgv80_6_13">#REF!</definedName>
    <definedName name="akgv80_6_4">#REF!</definedName>
    <definedName name="akgv80_6_4_5">#REF!</definedName>
    <definedName name="akgv80_6_5">#REF!</definedName>
    <definedName name="akgv80_6_6">#REF!</definedName>
    <definedName name="akgv80_6_6_5">#REF!</definedName>
    <definedName name="akgv80_6_7">#REF!</definedName>
    <definedName name="akgv80_6_7_5">#REF!</definedName>
    <definedName name="akgv80_6_9">#REF!</definedName>
    <definedName name="akgv80_7">#REF!</definedName>
    <definedName name="akgv80_7_5">#REF!</definedName>
    <definedName name="akgv80_9">#REF!</definedName>
    <definedName name="ako">#REF!</definedName>
    <definedName name="ako100_1">#REF!</definedName>
    <definedName name="ako100_1_5">#REF!</definedName>
    <definedName name="ako100_10">#REF!</definedName>
    <definedName name="ako100_11">#REF!</definedName>
    <definedName name="ako100_12">#REF!</definedName>
    <definedName name="ako100_13">#REF!</definedName>
    <definedName name="ako100_2">#REF!</definedName>
    <definedName name="ako100_2_1">#REF!</definedName>
    <definedName name="ako100_2_1_1">#REF!</definedName>
    <definedName name="ako100_2_1_1_6">#REF!</definedName>
    <definedName name="ako100_2_1_5">#REF!</definedName>
    <definedName name="ako100_2_1_6">#REF!</definedName>
    <definedName name="ako100_2_1_7">#REF!</definedName>
    <definedName name="ako100_2_1_7_5">#REF!</definedName>
    <definedName name="ako100_2_5">#REF!</definedName>
    <definedName name="ako100_2_6">#REF!</definedName>
    <definedName name="ako100_2_7">#REF!</definedName>
    <definedName name="ako100_2_7_5">#REF!</definedName>
    <definedName name="ako100_3">#REF!</definedName>
    <definedName name="ako100_3_1">#REF!</definedName>
    <definedName name="ako100_3_10">#REF!</definedName>
    <definedName name="ako100_3_11">#REF!</definedName>
    <definedName name="ako100_3_12">#REF!</definedName>
    <definedName name="ako100_3_13">#REF!</definedName>
    <definedName name="ako100_3_2">#REF!</definedName>
    <definedName name="ako100_3_4">#REF!</definedName>
    <definedName name="ako100_3_4_5">#REF!</definedName>
    <definedName name="ako100_3_5">#REF!</definedName>
    <definedName name="ako100_3_6">#REF!</definedName>
    <definedName name="ako100_3_6_5">#REF!</definedName>
    <definedName name="ako100_3_7">#REF!</definedName>
    <definedName name="ako100_3_7_5">#REF!</definedName>
    <definedName name="ako100_3_9">#REF!</definedName>
    <definedName name="ako100_4">#REF!</definedName>
    <definedName name="ako100_4_1">#REF!</definedName>
    <definedName name="ako100_4_1_5">#REF!</definedName>
    <definedName name="ako100_4_10">#REF!</definedName>
    <definedName name="ako100_4_11">#REF!</definedName>
    <definedName name="ako100_4_12">#REF!</definedName>
    <definedName name="ako100_4_13">#REF!</definedName>
    <definedName name="ako100_4_2">#REF!</definedName>
    <definedName name="ako100_4_2_6">#REF!</definedName>
    <definedName name="ako100_4_4">#REF!</definedName>
    <definedName name="ako100_4_4_5">#REF!</definedName>
    <definedName name="ako100_4_5">#REF!</definedName>
    <definedName name="ako100_4_6">#REF!</definedName>
    <definedName name="ako100_4_6_5">#REF!</definedName>
    <definedName name="ako100_4_7">#REF!</definedName>
    <definedName name="ako100_4_7_5">#REF!</definedName>
    <definedName name="ako100_5">#REF!</definedName>
    <definedName name="ako100_5_2">#REF!</definedName>
    <definedName name="ako100_5_2_6">#REF!</definedName>
    <definedName name="ako100_5_4">#REF!</definedName>
    <definedName name="ako100_5_4_5">#REF!</definedName>
    <definedName name="ako100_5_5">#REF!</definedName>
    <definedName name="ako100_5_6">#REF!</definedName>
    <definedName name="ako100_5_6_5">#REF!</definedName>
    <definedName name="ako100_5_7">#REF!</definedName>
    <definedName name="ako100_5_7_5">#REF!</definedName>
    <definedName name="ako100_6">#REF!</definedName>
    <definedName name="ako100_6_1">#REF!</definedName>
    <definedName name="ako100_6_1_5">#REF!</definedName>
    <definedName name="ako100_6_10">#REF!</definedName>
    <definedName name="ako100_6_11">#REF!</definedName>
    <definedName name="ako100_6_12">#REF!</definedName>
    <definedName name="ako100_6_13">#REF!</definedName>
    <definedName name="ako100_6_4">#REF!</definedName>
    <definedName name="ako100_6_4_5">#REF!</definedName>
    <definedName name="ako100_6_5">#REF!</definedName>
    <definedName name="ako100_6_6">#REF!</definedName>
    <definedName name="ako100_6_6_5">#REF!</definedName>
    <definedName name="ako100_6_7">#REF!</definedName>
    <definedName name="ako100_6_7_5">#REF!</definedName>
    <definedName name="ako100_6_9">#REF!</definedName>
    <definedName name="ako100_7">#REF!</definedName>
    <definedName name="ako100_7_5">#REF!</definedName>
    <definedName name="ako100_9">#REF!</definedName>
    <definedName name="ako150_1">#REF!</definedName>
    <definedName name="ako150_1_5">#REF!</definedName>
    <definedName name="ako150_10">#REF!</definedName>
    <definedName name="ako150_11">#REF!</definedName>
    <definedName name="ako150_12">#REF!</definedName>
    <definedName name="ako150_13">#REF!</definedName>
    <definedName name="ako150_2">#REF!</definedName>
    <definedName name="ako150_2_1">#REF!</definedName>
    <definedName name="ako150_2_1_1">#REF!</definedName>
    <definedName name="ako150_2_1_1_6">#REF!</definedName>
    <definedName name="ako150_2_1_5">#REF!</definedName>
    <definedName name="ako150_2_1_6">#REF!</definedName>
    <definedName name="ako150_2_1_7">#REF!</definedName>
    <definedName name="ako150_2_1_7_5">#REF!</definedName>
    <definedName name="ako150_2_5">#REF!</definedName>
    <definedName name="ako150_2_6">#REF!</definedName>
    <definedName name="ako150_2_7">#REF!</definedName>
    <definedName name="ako150_2_7_5">#REF!</definedName>
    <definedName name="ako150_3">#REF!</definedName>
    <definedName name="ako150_3_1">#REF!</definedName>
    <definedName name="ako150_3_10">#REF!</definedName>
    <definedName name="ako150_3_11">#REF!</definedName>
    <definedName name="ako150_3_12">#REF!</definedName>
    <definedName name="ako150_3_13">#REF!</definedName>
    <definedName name="ako150_3_2">#REF!</definedName>
    <definedName name="ako150_3_4">#REF!</definedName>
    <definedName name="ako150_3_4_5">#REF!</definedName>
    <definedName name="ako150_3_5">#REF!</definedName>
    <definedName name="ako150_3_6">#REF!</definedName>
    <definedName name="ako150_3_6_5">#REF!</definedName>
    <definedName name="ako150_3_7">#REF!</definedName>
    <definedName name="ako150_3_7_5">#REF!</definedName>
    <definedName name="ako150_3_9">#REF!</definedName>
    <definedName name="ako150_4">#REF!</definedName>
    <definedName name="ako150_4_1">#REF!</definedName>
    <definedName name="ako150_4_1_5">#REF!</definedName>
    <definedName name="ako150_4_10">#REF!</definedName>
    <definedName name="ako150_4_11">#REF!</definedName>
    <definedName name="ako150_4_12">#REF!</definedName>
    <definedName name="ako150_4_13">#REF!</definedName>
    <definedName name="ako150_4_2">#REF!</definedName>
    <definedName name="ako150_4_2_6">#REF!</definedName>
    <definedName name="ako150_4_4">#REF!</definedName>
    <definedName name="ako150_4_4_5">#REF!</definedName>
    <definedName name="ako150_4_5">#REF!</definedName>
    <definedName name="ako150_4_6">#REF!</definedName>
    <definedName name="ako150_4_6_5">#REF!</definedName>
    <definedName name="ako150_4_7">#REF!</definedName>
    <definedName name="ako150_4_7_5">#REF!</definedName>
    <definedName name="ako150_5">#REF!</definedName>
    <definedName name="ako150_5_2">#REF!</definedName>
    <definedName name="ako150_5_2_6">#REF!</definedName>
    <definedName name="ako150_5_4">#REF!</definedName>
    <definedName name="ako150_5_4_5">#REF!</definedName>
    <definedName name="ako150_5_5">#REF!</definedName>
    <definedName name="ako150_5_6">#REF!</definedName>
    <definedName name="ako150_5_6_5">#REF!</definedName>
    <definedName name="ako150_5_7">#REF!</definedName>
    <definedName name="ako150_5_7_5">#REF!</definedName>
    <definedName name="ako150_6">#REF!</definedName>
    <definedName name="ako150_6_1">#REF!</definedName>
    <definedName name="ako150_6_1_5">#REF!</definedName>
    <definedName name="ako150_6_10">#REF!</definedName>
    <definedName name="ako150_6_11">#REF!</definedName>
    <definedName name="ako150_6_12">#REF!</definedName>
    <definedName name="ako150_6_13">#REF!</definedName>
    <definedName name="ako150_6_4">#REF!</definedName>
    <definedName name="ako150_6_4_5">#REF!</definedName>
    <definedName name="ako150_6_5">#REF!</definedName>
    <definedName name="ako150_6_6">#REF!</definedName>
    <definedName name="ako150_6_6_5">#REF!</definedName>
    <definedName name="ako150_6_7">#REF!</definedName>
    <definedName name="ako150_6_7_5">#REF!</definedName>
    <definedName name="ako150_6_9">#REF!</definedName>
    <definedName name="ako150_7">#REF!</definedName>
    <definedName name="ako150_7_5">#REF!</definedName>
    <definedName name="ako150_9">#REF!</definedName>
    <definedName name="ako50_1">#REF!</definedName>
    <definedName name="ako50_1_5">#REF!</definedName>
    <definedName name="ako50_10">#REF!</definedName>
    <definedName name="ako50_11">#REF!</definedName>
    <definedName name="ako50_12">#REF!</definedName>
    <definedName name="ako50_13">#REF!</definedName>
    <definedName name="ako50_2">#REF!</definedName>
    <definedName name="ako50_2_1">#REF!</definedName>
    <definedName name="ako50_2_1_1">#REF!</definedName>
    <definedName name="ako50_2_1_1_6">#REF!</definedName>
    <definedName name="ako50_2_1_5">#REF!</definedName>
    <definedName name="ako50_2_1_6">#REF!</definedName>
    <definedName name="ako50_2_1_7">#REF!</definedName>
    <definedName name="ako50_2_1_7_5">#REF!</definedName>
    <definedName name="ako50_2_5">#REF!</definedName>
    <definedName name="ako50_2_6">#REF!</definedName>
    <definedName name="ako50_2_7">#REF!</definedName>
    <definedName name="ako50_2_7_5">#REF!</definedName>
    <definedName name="ako50_3">#REF!</definedName>
    <definedName name="ako50_3_1">#REF!</definedName>
    <definedName name="ako50_3_10">#REF!</definedName>
    <definedName name="ako50_3_11">#REF!</definedName>
    <definedName name="ako50_3_12">#REF!</definedName>
    <definedName name="ako50_3_13">#REF!</definedName>
    <definedName name="ako50_3_2">#REF!</definedName>
    <definedName name="ako50_3_4">#REF!</definedName>
    <definedName name="ako50_3_4_5">#REF!</definedName>
    <definedName name="ako50_3_5">#REF!</definedName>
    <definedName name="ako50_3_6">#REF!</definedName>
    <definedName name="ako50_3_6_5">#REF!</definedName>
    <definedName name="ako50_3_7">#REF!</definedName>
    <definedName name="ako50_3_7_5">#REF!</definedName>
    <definedName name="ako50_3_9">#REF!</definedName>
    <definedName name="ako50_4">#REF!</definedName>
    <definedName name="ako50_4_1">#REF!</definedName>
    <definedName name="ako50_4_1_5">#REF!</definedName>
    <definedName name="ako50_4_10">#REF!</definedName>
    <definedName name="ako50_4_11">#REF!</definedName>
    <definedName name="ako50_4_12">#REF!</definedName>
    <definedName name="ako50_4_13">#REF!</definedName>
    <definedName name="ako50_4_2">#REF!</definedName>
    <definedName name="ako50_4_2_6">#REF!</definedName>
    <definedName name="ako50_4_4">#REF!</definedName>
    <definedName name="ako50_4_4_5">#REF!</definedName>
    <definedName name="ako50_4_5">#REF!</definedName>
    <definedName name="ako50_4_6">#REF!</definedName>
    <definedName name="ako50_4_6_5">#REF!</definedName>
    <definedName name="ako50_4_7">#REF!</definedName>
    <definedName name="ako50_4_7_5">#REF!</definedName>
    <definedName name="ako50_5">#REF!</definedName>
    <definedName name="ako50_5_2">#REF!</definedName>
    <definedName name="ako50_5_2_6">#REF!</definedName>
    <definedName name="ako50_5_4">#REF!</definedName>
    <definedName name="ako50_5_4_5">#REF!</definedName>
    <definedName name="ako50_5_5">#REF!</definedName>
    <definedName name="ako50_5_6">#REF!</definedName>
    <definedName name="ako50_5_6_5">#REF!</definedName>
    <definedName name="ako50_5_7">#REF!</definedName>
    <definedName name="ako50_5_7_5">#REF!</definedName>
    <definedName name="ako50_6">#REF!</definedName>
    <definedName name="ako50_6_1">#REF!</definedName>
    <definedName name="ako50_6_1_5">#REF!</definedName>
    <definedName name="ako50_6_10">#REF!</definedName>
    <definedName name="ako50_6_11">#REF!</definedName>
    <definedName name="ako50_6_12">#REF!</definedName>
    <definedName name="ako50_6_13">#REF!</definedName>
    <definedName name="ako50_6_4">#REF!</definedName>
    <definedName name="ako50_6_4_5">#REF!</definedName>
    <definedName name="ako50_6_5">#REF!</definedName>
    <definedName name="ako50_6_6">#REF!</definedName>
    <definedName name="ako50_6_6_5">#REF!</definedName>
    <definedName name="ako50_6_7">#REF!</definedName>
    <definedName name="ako50_6_7_5">#REF!</definedName>
    <definedName name="ako50_6_9">#REF!</definedName>
    <definedName name="ako50_7">#REF!</definedName>
    <definedName name="ako50_7_5">#REF!</definedName>
    <definedName name="ako50_9">#REF!</definedName>
    <definedName name="ako80_1">#REF!</definedName>
    <definedName name="ako80_1_5">#REF!</definedName>
    <definedName name="ako80_10">#REF!</definedName>
    <definedName name="ako80_11">#REF!</definedName>
    <definedName name="ako80_12">#REF!</definedName>
    <definedName name="ako80_13">#REF!</definedName>
    <definedName name="ako80_2">#REF!</definedName>
    <definedName name="ako80_2_1">#REF!</definedName>
    <definedName name="ako80_2_1_1">#REF!</definedName>
    <definedName name="ako80_2_1_1_6">#REF!</definedName>
    <definedName name="ako80_2_1_5">#REF!</definedName>
    <definedName name="ako80_2_1_6">#REF!</definedName>
    <definedName name="ako80_2_1_7">#REF!</definedName>
    <definedName name="ako80_2_1_7_5">#REF!</definedName>
    <definedName name="ako80_2_5">#REF!</definedName>
    <definedName name="ako80_2_6">#REF!</definedName>
    <definedName name="ako80_2_7">#REF!</definedName>
    <definedName name="ako80_2_7_5">#REF!</definedName>
    <definedName name="ako80_3">#REF!</definedName>
    <definedName name="ako80_3_1">#REF!</definedName>
    <definedName name="ako80_3_10">#REF!</definedName>
    <definedName name="ako80_3_11">#REF!</definedName>
    <definedName name="ako80_3_12">#REF!</definedName>
    <definedName name="ako80_3_13">#REF!</definedName>
    <definedName name="ako80_3_2">#REF!</definedName>
    <definedName name="ako80_3_4">#REF!</definedName>
    <definedName name="ako80_3_4_5">#REF!</definedName>
    <definedName name="ako80_3_5">#REF!</definedName>
    <definedName name="ako80_3_6">#REF!</definedName>
    <definedName name="ako80_3_6_5">#REF!</definedName>
    <definedName name="ako80_3_7">#REF!</definedName>
    <definedName name="ako80_3_7_5">#REF!</definedName>
    <definedName name="ako80_3_9">#REF!</definedName>
    <definedName name="ako80_4">#REF!</definedName>
    <definedName name="ako80_4_1">#REF!</definedName>
    <definedName name="ako80_4_1_5">#REF!</definedName>
    <definedName name="ako80_4_10">#REF!</definedName>
    <definedName name="ako80_4_11">#REF!</definedName>
    <definedName name="ako80_4_12">#REF!</definedName>
    <definedName name="ako80_4_13">#REF!</definedName>
    <definedName name="ako80_4_2">#REF!</definedName>
    <definedName name="ako80_4_2_6">#REF!</definedName>
    <definedName name="ako80_4_4">#REF!</definedName>
    <definedName name="ako80_4_4_5">#REF!</definedName>
    <definedName name="ako80_4_5">#REF!</definedName>
    <definedName name="ako80_4_6">#REF!</definedName>
    <definedName name="ako80_4_6_5">#REF!</definedName>
    <definedName name="ako80_4_7">#REF!</definedName>
    <definedName name="ako80_4_7_5">#REF!</definedName>
    <definedName name="ako80_5">#REF!</definedName>
    <definedName name="ako80_5_2">#REF!</definedName>
    <definedName name="ako80_5_2_6">#REF!</definedName>
    <definedName name="ako80_5_4">#REF!</definedName>
    <definedName name="ako80_5_4_5">#REF!</definedName>
    <definedName name="ako80_5_5">#REF!</definedName>
    <definedName name="ako80_5_6">#REF!</definedName>
    <definedName name="ako80_5_6_5">#REF!</definedName>
    <definedName name="ako80_5_7">#REF!</definedName>
    <definedName name="ako80_5_7_5">#REF!</definedName>
    <definedName name="ako80_6">#REF!</definedName>
    <definedName name="ako80_6_1">#REF!</definedName>
    <definedName name="ako80_6_1_5">#REF!</definedName>
    <definedName name="ako80_6_10">#REF!</definedName>
    <definedName name="ako80_6_11">#REF!</definedName>
    <definedName name="ako80_6_12">#REF!</definedName>
    <definedName name="ako80_6_13">#REF!</definedName>
    <definedName name="ako80_6_4">#REF!</definedName>
    <definedName name="ako80_6_4_5">#REF!</definedName>
    <definedName name="ako80_6_5">#REF!</definedName>
    <definedName name="ako80_6_6">#REF!</definedName>
    <definedName name="ako80_6_6_5">#REF!</definedName>
    <definedName name="ako80_6_7">#REF!</definedName>
    <definedName name="ako80_6_7_5">#REF!</definedName>
    <definedName name="ako80_6_9">#REF!</definedName>
    <definedName name="ako80_7">#REF!</definedName>
    <definedName name="ako80_7_5">#REF!</definedName>
    <definedName name="ako80_9">#REF!</definedName>
    <definedName name="akof100">#REF!</definedName>
    <definedName name="akof100_1">#REF!</definedName>
    <definedName name="akof100_1_5">#REF!</definedName>
    <definedName name="akof100_10">#REF!</definedName>
    <definedName name="akof100_11">#REF!</definedName>
    <definedName name="akof100_12">#REF!</definedName>
    <definedName name="akof100_13">#REF!</definedName>
    <definedName name="akof100_2">#REF!</definedName>
    <definedName name="akof100_2_1">#REF!</definedName>
    <definedName name="akof100_2_1_1">#REF!</definedName>
    <definedName name="akof100_2_1_1_6">#REF!</definedName>
    <definedName name="akof100_2_1_5">#REF!</definedName>
    <definedName name="akof100_2_1_6">#REF!</definedName>
    <definedName name="akof100_2_1_7">#REF!</definedName>
    <definedName name="akof100_2_1_7_5">#REF!</definedName>
    <definedName name="akof100_2_5">#REF!</definedName>
    <definedName name="akof100_2_6">#REF!</definedName>
    <definedName name="akof100_2_7">#REF!</definedName>
    <definedName name="akof100_2_7_5">#REF!</definedName>
    <definedName name="akof100_3">#REF!</definedName>
    <definedName name="akof100_3_1">#REF!</definedName>
    <definedName name="akof100_3_10">#REF!</definedName>
    <definedName name="akof100_3_11">#REF!</definedName>
    <definedName name="akof100_3_12">#REF!</definedName>
    <definedName name="akof100_3_13">#REF!</definedName>
    <definedName name="akof100_3_2">#REF!</definedName>
    <definedName name="akof100_3_4">#REF!</definedName>
    <definedName name="akof100_3_4_5">#REF!</definedName>
    <definedName name="akof100_3_5">#REF!</definedName>
    <definedName name="akof100_3_6">#REF!</definedName>
    <definedName name="akof100_3_6_5">#REF!</definedName>
    <definedName name="akof100_3_7">#REF!</definedName>
    <definedName name="akof100_3_7_5">#REF!</definedName>
    <definedName name="akof100_3_9">#REF!</definedName>
    <definedName name="akof100_4">#REF!</definedName>
    <definedName name="akof100_4_1">#REF!</definedName>
    <definedName name="akof100_4_1_5">#REF!</definedName>
    <definedName name="akof100_4_10">#REF!</definedName>
    <definedName name="akof100_4_11">#REF!</definedName>
    <definedName name="akof100_4_12">#REF!</definedName>
    <definedName name="akof100_4_13">#REF!</definedName>
    <definedName name="akof100_4_2">#REF!</definedName>
    <definedName name="akof100_4_2_6">#REF!</definedName>
    <definedName name="akof100_4_4">#REF!</definedName>
    <definedName name="akof100_4_4_5">#REF!</definedName>
    <definedName name="akof100_4_5">#REF!</definedName>
    <definedName name="akof100_4_6">#REF!</definedName>
    <definedName name="akof100_4_6_5">#REF!</definedName>
    <definedName name="akof100_4_7">#REF!</definedName>
    <definedName name="akof100_4_7_5">#REF!</definedName>
    <definedName name="akof100_5">#REF!</definedName>
    <definedName name="akof100_5_2">#REF!</definedName>
    <definedName name="akof100_5_2_6">#REF!</definedName>
    <definedName name="akof100_5_4">#REF!</definedName>
    <definedName name="akof100_5_4_5">#REF!</definedName>
    <definedName name="akof100_5_5">#REF!</definedName>
    <definedName name="akof100_5_6">#REF!</definedName>
    <definedName name="akof100_5_6_5">#REF!</definedName>
    <definedName name="akof100_5_7">#REF!</definedName>
    <definedName name="akof100_5_7_5">#REF!</definedName>
    <definedName name="akof100_6">#REF!</definedName>
    <definedName name="akof100_6_1">#REF!</definedName>
    <definedName name="akof100_6_1_5">#REF!</definedName>
    <definedName name="akof100_6_10">#REF!</definedName>
    <definedName name="akof100_6_11">#REF!</definedName>
    <definedName name="akof100_6_12">#REF!</definedName>
    <definedName name="akof100_6_13">#REF!</definedName>
    <definedName name="akof100_6_4">#REF!</definedName>
    <definedName name="akof100_6_4_5">#REF!</definedName>
    <definedName name="akof100_6_5">#REF!</definedName>
    <definedName name="akof100_6_6">#REF!</definedName>
    <definedName name="akof100_6_6_5">#REF!</definedName>
    <definedName name="akof100_6_7">#REF!</definedName>
    <definedName name="akof100_6_7_5">#REF!</definedName>
    <definedName name="akof100_6_9">#REF!</definedName>
    <definedName name="akof100_7">#REF!</definedName>
    <definedName name="akof100_7_5">#REF!</definedName>
    <definedName name="akof100_9">#REF!</definedName>
    <definedName name="akof150">#REF!</definedName>
    <definedName name="akof150_1">#REF!</definedName>
    <definedName name="akof150_1_5">#REF!</definedName>
    <definedName name="akof150_10">#REF!</definedName>
    <definedName name="akof150_11">#REF!</definedName>
    <definedName name="akof150_12">#REF!</definedName>
    <definedName name="akof150_13">#REF!</definedName>
    <definedName name="akof150_2">#REF!</definedName>
    <definedName name="akof150_2_1">#REF!</definedName>
    <definedName name="akof150_2_1_1">#REF!</definedName>
    <definedName name="akof150_2_1_1_6">#REF!</definedName>
    <definedName name="akof150_2_1_5">#REF!</definedName>
    <definedName name="akof150_2_1_6">#REF!</definedName>
    <definedName name="akof150_2_1_7">#REF!</definedName>
    <definedName name="akof150_2_1_7_5">#REF!</definedName>
    <definedName name="akof150_2_5">#REF!</definedName>
    <definedName name="akof150_2_6">#REF!</definedName>
    <definedName name="akof150_2_7">#REF!</definedName>
    <definedName name="akof150_2_7_5">#REF!</definedName>
    <definedName name="akof150_3">#REF!</definedName>
    <definedName name="akof150_3_1">#REF!</definedName>
    <definedName name="akof150_3_10">#REF!</definedName>
    <definedName name="akof150_3_11">#REF!</definedName>
    <definedName name="akof150_3_12">#REF!</definedName>
    <definedName name="akof150_3_13">#REF!</definedName>
    <definedName name="akof150_3_2">#REF!</definedName>
    <definedName name="akof150_3_4">#REF!</definedName>
    <definedName name="akof150_3_4_5">#REF!</definedName>
    <definedName name="akof150_3_5">#REF!</definedName>
    <definedName name="akof150_3_6">#REF!</definedName>
    <definedName name="akof150_3_6_5">#REF!</definedName>
    <definedName name="akof150_3_7">#REF!</definedName>
    <definedName name="akof150_3_7_5">#REF!</definedName>
    <definedName name="akof150_3_9">#REF!</definedName>
    <definedName name="akof150_4">#REF!</definedName>
    <definedName name="akof150_4_1">#REF!</definedName>
    <definedName name="akof150_4_1_5">#REF!</definedName>
    <definedName name="akof150_4_10">#REF!</definedName>
    <definedName name="akof150_4_11">#REF!</definedName>
    <definedName name="akof150_4_12">#REF!</definedName>
    <definedName name="akof150_4_13">#REF!</definedName>
    <definedName name="akof150_4_2">#REF!</definedName>
    <definedName name="akof150_4_2_6">#REF!</definedName>
    <definedName name="akof150_4_4">#REF!</definedName>
    <definedName name="akof150_4_4_5">#REF!</definedName>
    <definedName name="akof150_4_5">#REF!</definedName>
    <definedName name="akof150_4_6">#REF!</definedName>
    <definedName name="akof150_4_6_5">#REF!</definedName>
    <definedName name="akof150_4_7">#REF!</definedName>
    <definedName name="akof150_4_7_5">#REF!</definedName>
    <definedName name="akof150_5">#REF!</definedName>
    <definedName name="akof150_5_2">#REF!</definedName>
    <definedName name="akof150_5_2_6">#REF!</definedName>
    <definedName name="akof150_5_4">#REF!</definedName>
    <definedName name="akof150_5_4_5">#REF!</definedName>
    <definedName name="akof150_5_5">#REF!</definedName>
    <definedName name="akof150_5_6">#REF!</definedName>
    <definedName name="akof150_5_6_5">#REF!</definedName>
    <definedName name="akof150_5_7">#REF!</definedName>
    <definedName name="akof150_5_7_5">#REF!</definedName>
    <definedName name="akof150_6">#REF!</definedName>
    <definedName name="akof150_6_1">#REF!</definedName>
    <definedName name="akof150_6_1_5">#REF!</definedName>
    <definedName name="akof150_6_10">#REF!</definedName>
    <definedName name="akof150_6_11">#REF!</definedName>
    <definedName name="akof150_6_12">#REF!</definedName>
    <definedName name="akof150_6_13">#REF!</definedName>
    <definedName name="akof150_6_4">#REF!</definedName>
    <definedName name="akof150_6_4_5">#REF!</definedName>
    <definedName name="akof150_6_5">#REF!</definedName>
    <definedName name="akof150_6_6">#REF!</definedName>
    <definedName name="akof150_6_6_5">#REF!</definedName>
    <definedName name="akof150_6_7">#REF!</definedName>
    <definedName name="akof150_6_7_5">#REF!</definedName>
    <definedName name="akof150_6_9">#REF!</definedName>
    <definedName name="akof150_7">#REF!</definedName>
    <definedName name="akof150_7_5">#REF!</definedName>
    <definedName name="akof150_9">#REF!</definedName>
    <definedName name="akof4">#REF!</definedName>
    <definedName name="akof4_1">#REF!</definedName>
    <definedName name="akof4_1_5">#REF!</definedName>
    <definedName name="akof4_10">#REF!</definedName>
    <definedName name="akof4_11">#REF!</definedName>
    <definedName name="akof4_12">#REF!</definedName>
    <definedName name="akof4_13">#REF!</definedName>
    <definedName name="akof4_2">#REF!</definedName>
    <definedName name="akof4_2_1">#REF!</definedName>
    <definedName name="akof4_2_1_1">#REF!</definedName>
    <definedName name="akof4_2_1_1_6">#REF!</definedName>
    <definedName name="akof4_2_1_5">#REF!</definedName>
    <definedName name="akof4_2_1_6">#REF!</definedName>
    <definedName name="akof4_2_1_7">#REF!</definedName>
    <definedName name="akof4_2_1_7_5">#REF!</definedName>
    <definedName name="akof4_2_5">#REF!</definedName>
    <definedName name="akof4_2_6">#REF!</definedName>
    <definedName name="akof4_2_7">#REF!</definedName>
    <definedName name="akof4_2_7_5">#REF!</definedName>
    <definedName name="akof4_3">#REF!</definedName>
    <definedName name="akof4_3_1">#REF!</definedName>
    <definedName name="akof4_3_10">#REF!</definedName>
    <definedName name="akof4_3_11">#REF!</definedName>
    <definedName name="akof4_3_12">#REF!</definedName>
    <definedName name="akof4_3_13">#REF!</definedName>
    <definedName name="akof4_3_2">#REF!</definedName>
    <definedName name="akof4_3_4">#REF!</definedName>
    <definedName name="akof4_3_4_5">#REF!</definedName>
    <definedName name="akof4_3_5">#REF!</definedName>
    <definedName name="akof4_3_6">#REF!</definedName>
    <definedName name="akof4_3_6_5">#REF!</definedName>
    <definedName name="akof4_3_7">#REF!</definedName>
    <definedName name="akof4_3_7_5">#REF!</definedName>
    <definedName name="akof4_3_9">#REF!</definedName>
    <definedName name="akof4_4">#REF!</definedName>
    <definedName name="akof4_4_1">#REF!</definedName>
    <definedName name="akof4_4_1_5">#REF!</definedName>
    <definedName name="akof4_4_10">#REF!</definedName>
    <definedName name="akof4_4_11">#REF!</definedName>
    <definedName name="akof4_4_12">#REF!</definedName>
    <definedName name="akof4_4_13">#REF!</definedName>
    <definedName name="akof4_4_2">#REF!</definedName>
    <definedName name="akof4_4_2_6">#REF!</definedName>
    <definedName name="akof4_4_4">#REF!</definedName>
    <definedName name="akof4_4_4_5">#REF!</definedName>
    <definedName name="akof4_4_5">#REF!</definedName>
    <definedName name="akof4_4_6">#REF!</definedName>
    <definedName name="akof4_4_6_5">#REF!</definedName>
    <definedName name="akof4_4_7">#REF!</definedName>
    <definedName name="akof4_4_7_5">#REF!</definedName>
    <definedName name="akof4_5">#REF!</definedName>
    <definedName name="akof4_5_2">#REF!</definedName>
    <definedName name="akof4_5_2_6">#REF!</definedName>
    <definedName name="akof4_5_4">#REF!</definedName>
    <definedName name="akof4_5_4_5">#REF!</definedName>
    <definedName name="akof4_5_5">#REF!</definedName>
    <definedName name="akof4_5_6">#REF!</definedName>
    <definedName name="akof4_5_6_5">#REF!</definedName>
    <definedName name="akof4_5_7">#REF!</definedName>
    <definedName name="akof4_5_7_5">#REF!</definedName>
    <definedName name="akof4_6">#REF!</definedName>
    <definedName name="akof4_6_1">#REF!</definedName>
    <definedName name="akof4_6_1_5">#REF!</definedName>
    <definedName name="akof4_6_10">#REF!</definedName>
    <definedName name="akof4_6_11">#REF!</definedName>
    <definedName name="akof4_6_12">#REF!</definedName>
    <definedName name="akof4_6_13">#REF!</definedName>
    <definedName name="akof4_6_4">#REF!</definedName>
    <definedName name="akof4_6_4_5">#REF!</definedName>
    <definedName name="akof4_6_5">#REF!</definedName>
    <definedName name="akof4_6_6">#REF!</definedName>
    <definedName name="akof4_6_6_5">#REF!</definedName>
    <definedName name="akof4_6_7">#REF!</definedName>
    <definedName name="akof4_6_7_5">#REF!</definedName>
    <definedName name="akof4_6_9">#REF!</definedName>
    <definedName name="akof4_7">#REF!</definedName>
    <definedName name="akof4_7_5">#REF!</definedName>
    <definedName name="akof4_9">#REF!</definedName>
    <definedName name="akof6">#REF!</definedName>
    <definedName name="akof6_1">#REF!</definedName>
    <definedName name="akof6_1_5">#REF!</definedName>
    <definedName name="akof6_10">#REF!</definedName>
    <definedName name="akof6_11">#REF!</definedName>
    <definedName name="akof6_12">#REF!</definedName>
    <definedName name="akof6_13">#REF!</definedName>
    <definedName name="akof6_2">#REF!</definedName>
    <definedName name="akof6_2_1">#REF!</definedName>
    <definedName name="akof6_2_1_1">#REF!</definedName>
    <definedName name="akof6_2_1_1_6">#REF!</definedName>
    <definedName name="akof6_2_1_5">#REF!</definedName>
    <definedName name="akof6_2_1_6">#REF!</definedName>
    <definedName name="akof6_2_1_7">#REF!</definedName>
    <definedName name="akof6_2_1_7_5">#REF!</definedName>
    <definedName name="akof6_2_5">#REF!</definedName>
    <definedName name="akof6_2_6">#REF!</definedName>
    <definedName name="akof6_2_7">#REF!</definedName>
    <definedName name="akof6_2_7_5">#REF!</definedName>
    <definedName name="akof6_3">#REF!</definedName>
    <definedName name="akof6_3_1">#REF!</definedName>
    <definedName name="akof6_3_10">#REF!</definedName>
    <definedName name="akof6_3_11">#REF!</definedName>
    <definedName name="akof6_3_12">#REF!</definedName>
    <definedName name="akof6_3_13">#REF!</definedName>
    <definedName name="akof6_3_2">#REF!</definedName>
    <definedName name="akof6_3_4">#REF!</definedName>
    <definedName name="akof6_3_4_5">#REF!</definedName>
    <definedName name="akof6_3_5">#REF!</definedName>
    <definedName name="akof6_3_6">#REF!</definedName>
    <definedName name="akof6_3_6_5">#REF!</definedName>
    <definedName name="akof6_3_7">#REF!</definedName>
    <definedName name="akof6_3_7_5">#REF!</definedName>
    <definedName name="akof6_3_9">#REF!</definedName>
    <definedName name="akof6_4">#REF!</definedName>
    <definedName name="akof6_4_1">#REF!</definedName>
    <definedName name="akof6_4_1_5">#REF!</definedName>
    <definedName name="akof6_4_10">#REF!</definedName>
    <definedName name="akof6_4_11">#REF!</definedName>
    <definedName name="akof6_4_12">#REF!</definedName>
    <definedName name="akof6_4_13">#REF!</definedName>
    <definedName name="akof6_4_2">#REF!</definedName>
    <definedName name="akof6_4_2_6">#REF!</definedName>
    <definedName name="akof6_4_4">#REF!</definedName>
    <definedName name="akof6_4_4_5">#REF!</definedName>
    <definedName name="akof6_4_5">#REF!</definedName>
    <definedName name="akof6_4_6">#REF!</definedName>
    <definedName name="akof6_4_6_5">#REF!</definedName>
    <definedName name="akof6_4_7">#REF!</definedName>
    <definedName name="akof6_4_7_5">#REF!</definedName>
    <definedName name="akof6_5">#REF!</definedName>
    <definedName name="akof6_5_2">#REF!</definedName>
    <definedName name="akof6_5_2_6">#REF!</definedName>
    <definedName name="akof6_5_4">#REF!</definedName>
    <definedName name="akof6_5_4_5">#REF!</definedName>
    <definedName name="akof6_5_5">#REF!</definedName>
    <definedName name="akof6_5_6">#REF!</definedName>
    <definedName name="akof6_5_6_5">#REF!</definedName>
    <definedName name="akof6_5_7">#REF!</definedName>
    <definedName name="akof6_5_7_5">#REF!</definedName>
    <definedName name="akof6_6">#REF!</definedName>
    <definedName name="akof6_6_1">#REF!</definedName>
    <definedName name="akof6_6_1_5">#REF!</definedName>
    <definedName name="akof6_6_10">#REF!</definedName>
    <definedName name="akof6_6_11">#REF!</definedName>
    <definedName name="akof6_6_12">#REF!</definedName>
    <definedName name="akof6_6_13">#REF!</definedName>
    <definedName name="akof6_6_4">#REF!</definedName>
    <definedName name="akof6_6_4_5">#REF!</definedName>
    <definedName name="akof6_6_5">#REF!</definedName>
    <definedName name="akof6_6_6">#REF!</definedName>
    <definedName name="akof6_6_6_5">#REF!</definedName>
    <definedName name="akof6_6_7">#REF!</definedName>
    <definedName name="akof6_6_7_5">#REF!</definedName>
    <definedName name="akof6_6_9">#REF!</definedName>
    <definedName name="akof6_7">#REF!</definedName>
    <definedName name="akof6_7_5">#REF!</definedName>
    <definedName name="akof6_9">#REF!</definedName>
    <definedName name="akof80">#REF!</definedName>
    <definedName name="akof80_1">#REF!</definedName>
    <definedName name="akof80_1_5">#REF!</definedName>
    <definedName name="akof80_10">#REF!</definedName>
    <definedName name="akof80_11">#REF!</definedName>
    <definedName name="akof80_12">#REF!</definedName>
    <definedName name="akof80_13">#REF!</definedName>
    <definedName name="akof80_2">#REF!</definedName>
    <definedName name="akof80_2_1">#REF!</definedName>
    <definedName name="akof80_2_1_1">#REF!</definedName>
    <definedName name="akof80_2_1_1_6">#REF!</definedName>
    <definedName name="akof80_2_1_5">#REF!</definedName>
    <definedName name="akof80_2_1_6">#REF!</definedName>
    <definedName name="akof80_2_1_7">#REF!</definedName>
    <definedName name="akof80_2_1_7_5">#REF!</definedName>
    <definedName name="akof80_2_5">#REF!</definedName>
    <definedName name="akof80_2_6">#REF!</definedName>
    <definedName name="akof80_2_7">#REF!</definedName>
    <definedName name="akof80_2_7_5">#REF!</definedName>
    <definedName name="akof80_3">#REF!</definedName>
    <definedName name="akof80_3_1">#REF!</definedName>
    <definedName name="akof80_3_10">#REF!</definedName>
    <definedName name="akof80_3_11">#REF!</definedName>
    <definedName name="akof80_3_12">#REF!</definedName>
    <definedName name="akof80_3_13">#REF!</definedName>
    <definedName name="akof80_3_2">#REF!</definedName>
    <definedName name="akof80_3_4">#REF!</definedName>
    <definedName name="akof80_3_4_5">#REF!</definedName>
    <definedName name="akof80_3_5">#REF!</definedName>
    <definedName name="akof80_3_6">#REF!</definedName>
    <definedName name="akof80_3_6_5">#REF!</definedName>
    <definedName name="akof80_3_7">#REF!</definedName>
    <definedName name="akof80_3_7_5">#REF!</definedName>
    <definedName name="akof80_3_9">#REF!</definedName>
    <definedName name="akof80_4">#REF!</definedName>
    <definedName name="akof80_4_1">#REF!</definedName>
    <definedName name="akof80_4_1_5">#REF!</definedName>
    <definedName name="akof80_4_10">#REF!</definedName>
    <definedName name="akof80_4_11">#REF!</definedName>
    <definedName name="akof80_4_12">#REF!</definedName>
    <definedName name="akof80_4_13">#REF!</definedName>
    <definedName name="akof80_4_2">#REF!</definedName>
    <definedName name="akof80_4_2_6">#REF!</definedName>
    <definedName name="akof80_4_4">#REF!</definedName>
    <definedName name="akof80_4_4_5">#REF!</definedName>
    <definedName name="akof80_4_5">#REF!</definedName>
    <definedName name="akof80_4_6">#REF!</definedName>
    <definedName name="akof80_4_6_5">#REF!</definedName>
    <definedName name="akof80_4_7">#REF!</definedName>
    <definedName name="akof80_4_7_5">#REF!</definedName>
    <definedName name="akof80_5">#REF!</definedName>
    <definedName name="akof80_5_2">#REF!</definedName>
    <definedName name="akof80_5_2_6">#REF!</definedName>
    <definedName name="akof80_5_4">#REF!</definedName>
    <definedName name="akof80_5_4_5">#REF!</definedName>
    <definedName name="akof80_5_5">#REF!</definedName>
    <definedName name="akof80_5_6">#REF!</definedName>
    <definedName name="akof80_5_6_5">#REF!</definedName>
    <definedName name="akof80_5_7">#REF!</definedName>
    <definedName name="akof80_5_7_5">#REF!</definedName>
    <definedName name="akof80_6">#REF!</definedName>
    <definedName name="akof80_6_1">#REF!</definedName>
    <definedName name="akof80_6_1_5">#REF!</definedName>
    <definedName name="akof80_6_10">#REF!</definedName>
    <definedName name="akof80_6_11">#REF!</definedName>
    <definedName name="akof80_6_12">#REF!</definedName>
    <definedName name="akof80_6_13">#REF!</definedName>
    <definedName name="akof80_6_4">#REF!</definedName>
    <definedName name="akof80_6_4_5">#REF!</definedName>
    <definedName name="akof80_6_5">#REF!</definedName>
    <definedName name="akof80_6_6">#REF!</definedName>
    <definedName name="akof80_6_6_5">#REF!</definedName>
    <definedName name="akof80_6_7">#REF!</definedName>
    <definedName name="akof80_6_7_5">#REF!</definedName>
    <definedName name="akof80_6_9">#REF!</definedName>
    <definedName name="akof80_7">#REF!</definedName>
    <definedName name="akof80_7_5">#REF!</definedName>
    <definedName name="akof80_9">#REF!</definedName>
    <definedName name="akofl80">#REF!</definedName>
    <definedName name="akofl80_1">#REF!</definedName>
    <definedName name="akofl80_1_5">#REF!</definedName>
    <definedName name="akofl80_10">#REF!</definedName>
    <definedName name="akofl80_11">#REF!</definedName>
    <definedName name="akofl80_12">#REF!</definedName>
    <definedName name="akofl80_13">#REF!</definedName>
    <definedName name="akofl80_2">#REF!</definedName>
    <definedName name="akofl80_2_1">#REF!</definedName>
    <definedName name="akofl80_2_1_1">#REF!</definedName>
    <definedName name="akofl80_2_1_1_6">#REF!</definedName>
    <definedName name="akofl80_2_1_5">#REF!</definedName>
    <definedName name="akofl80_2_1_6">#REF!</definedName>
    <definedName name="akofl80_2_1_7">#REF!</definedName>
    <definedName name="akofl80_2_1_7_5">#REF!</definedName>
    <definedName name="akofl80_2_5">#REF!</definedName>
    <definedName name="akofl80_2_6">#REF!</definedName>
    <definedName name="akofl80_2_7">#REF!</definedName>
    <definedName name="akofl80_2_7_5">#REF!</definedName>
    <definedName name="akofl80_3">#REF!</definedName>
    <definedName name="akofl80_3_1">#REF!</definedName>
    <definedName name="akofl80_3_10">#REF!</definedName>
    <definedName name="akofl80_3_11">#REF!</definedName>
    <definedName name="akofl80_3_12">#REF!</definedName>
    <definedName name="akofl80_3_13">#REF!</definedName>
    <definedName name="akofl80_3_2">#REF!</definedName>
    <definedName name="akofl80_3_4">#REF!</definedName>
    <definedName name="akofl80_3_4_5">#REF!</definedName>
    <definedName name="akofl80_3_5">#REF!</definedName>
    <definedName name="akofl80_3_6">#REF!</definedName>
    <definedName name="akofl80_3_6_5">#REF!</definedName>
    <definedName name="akofl80_3_7">#REF!</definedName>
    <definedName name="akofl80_3_7_5">#REF!</definedName>
    <definedName name="akofl80_3_9">#REF!</definedName>
    <definedName name="akofl80_4">#REF!</definedName>
    <definedName name="akofl80_4_1">#REF!</definedName>
    <definedName name="akofl80_4_1_5">#REF!</definedName>
    <definedName name="akofl80_4_10">#REF!</definedName>
    <definedName name="akofl80_4_11">#REF!</definedName>
    <definedName name="akofl80_4_12">#REF!</definedName>
    <definedName name="akofl80_4_13">#REF!</definedName>
    <definedName name="akofl80_4_2">#REF!</definedName>
    <definedName name="akofl80_4_2_6">#REF!</definedName>
    <definedName name="akofl80_4_4">#REF!</definedName>
    <definedName name="akofl80_4_4_5">#REF!</definedName>
    <definedName name="akofl80_4_5">#REF!</definedName>
    <definedName name="akofl80_4_6">#REF!</definedName>
    <definedName name="akofl80_4_6_5">#REF!</definedName>
    <definedName name="akofl80_4_7">#REF!</definedName>
    <definedName name="akofl80_4_7_5">#REF!</definedName>
    <definedName name="akofl80_5">#REF!</definedName>
    <definedName name="akofl80_5_2">#REF!</definedName>
    <definedName name="akofl80_5_2_6">#REF!</definedName>
    <definedName name="akofl80_5_4">#REF!</definedName>
    <definedName name="akofl80_5_4_5">#REF!</definedName>
    <definedName name="akofl80_5_5">#REF!</definedName>
    <definedName name="akofl80_5_6">#REF!</definedName>
    <definedName name="akofl80_5_6_5">#REF!</definedName>
    <definedName name="akofl80_5_7">#REF!</definedName>
    <definedName name="akofl80_5_7_5">#REF!</definedName>
    <definedName name="akofl80_6">#REF!</definedName>
    <definedName name="akofl80_6_1">#REF!</definedName>
    <definedName name="akofl80_6_1_5">#REF!</definedName>
    <definedName name="akofl80_6_10">#REF!</definedName>
    <definedName name="akofl80_6_11">#REF!</definedName>
    <definedName name="akofl80_6_12">#REF!</definedName>
    <definedName name="akofl80_6_13">#REF!</definedName>
    <definedName name="akofl80_6_4">#REF!</definedName>
    <definedName name="akofl80_6_4_5">#REF!</definedName>
    <definedName name="akofl80_6_5">#REF!</definedName>
    <definedName name="akofl80_6_6">#REF!</definedName>
    <definedName name="akofl80_6_6_5">#REF!</definedName>
    <definedName name="akofl80_6_7">#REF!</definedName>
    <definedName name="akofl80_6_7_5">#REF!</definedName>
    <definedName name="akofl80_6_9">#REF!</definedName>
    <definedName name="akofl80_7">#REF!</definedName>
    <definedName name="akofl80_7_5">#REF!</definedName>
    <definedName name="akofl80_9">#REF!</definedName>
    <definedName name="akogv100">#REF!</definedName>
    <definedName name="akogv100_1">#REF!</definedName>
    <definedName name="akogv100_1_5">#REF!</definedName>
    <definedName name="akogv100_10">#REF!</definedName>
    <definedName name="akogv100_11">#REF!</definedName>
    <definedName name="akogv100_12">#REF!</definedName>
    <definedName name="akogv100_13">#REF!</definedName>
    <definedName name="akogv100_2">#REF!</definedName>
    <definedName name="akogv100_2_1">#REF!</definedName>
    <definedName name="akogv100_2_1_1">#REF!</definedName>
    <definedName name="akogv100_2_1_1_6">#REF!</definedName>
    <definedName name="akogv100_2_1_5">#REF!</definedName>
    <definedName name="akogv100_2_1_6">#REF!</definedName>
    <definedName name="akogv100_2_1_7">#REF!</definedName>
    <definedName name="akogv100_2_1_7_5">#REF!</definedName>
    <definedName name="akogv100_2_5">#REF!</definedName>
    <definedName name="akogv100_2_6">#REF!</definedName>
    <definedName name="akogv100_2_7">#REF!</definedName>
    <definedName name="akogv100_2_7_5">#REF!</definedName>
    <definedName name="akogv100_3">#REF!</definedName>
    <definedName name="akogv100_3_1">#REF!</definedName>
    <definedName name="akogv100_3_10">#REF!</definedName>
    <definedName name="akogv100_3_11">#REF!</definedName>
    <definedName name="akogv100_3_12">#REF!</definedName>
    <definedName name="akogv100_3_13">#REF!</definedName>
    <definedName name="akogv100_3_2">#REF!</definedName>
    <definedName name="akogv100_3_4">#REF!</definedName>
    <definedName name="akogv100_3_4_5">#REF!</definedName>
    <definedName name="akogv100_3_5">#REF!</definedName>
    <definedName name="akogv100_3_6">#REF!</definedName>
    <definedName name="akogv100_3_6_5">#REF!</definedName>
    <definedName name="akogv100_3_7">#REF!</definedName>
    <definedName name="akogv100_3_7_5">#REF!</definedName>
    <definedName name="akogv100_3_9">#REF!</definedName>
    <definedName name="akogv100_4">#REF!</definedName>
    <definedName name="akogv100_4_1">#REF!</definedName>
    <definedName name="akogv100_4_1_5">#REF!</definedName>
    <definedName name="akogv100_4_10">#REF!</definedName>
    <definedName name="akogv100_4_11">#REF!</definedName>
    <definedName name="akogv100_4_12">#REF!</definedName>
    <definedName name="akogv100_4_13">#REF!</definedName>
    <definedName name="akogv100_4_2">#REF!</definedName>
    <definedName name="akogv100_4_2_6">#REF!</definedName>
    <definedName name="akogv100_4_4">#REF!</definedName>
    <definedName name="akogv100_4_4_5">#REF!</definedName>
    <definedName name="akogv100_4_5">#REF!</definedName>
    <definedName name="akogv100_4_6">#REF!</definedName>
    <definedName name="akogv100_4_6_5">#REF!</definedName>
    <definedName name="akogv100_4_7">#REF!</definedName>
    <definedName name="akogv100_4_7_5">#REF!</definedName>
    <definedName name="akogv100_5">#REF!</definedName>
    <definedName name="akogv100_5_2">#REF!</definedName>
    <definedName name="akogv100_5_2_6">#REF!</definedName>
    <definedName name="akogv100_5_4">#REF!</definedName>
    <definedName name="akogv100_5_4_5">#REF!</definedName>
    <definedName name="akogv100_5_5">#REF!</definedName>
    <definedName name="akogv100_5_6">#REF!</definedName>
    <definedName name="akogv100_5_6_5">#REF!</definedName>
    <definedName name="akogv100_5_7">#REF!</definedName>
    <definedName name="akogv100_5_7_5">#REF!</definedName>
    <definedName name="akogv100_6">#REF!</definedName>
    <definedName name="akogv100_6_1">#REF!</definedName>
    <definedName name="akogv100_6_1_5">#REF!</definedName>
    <definedName name="akogv100_6_10">#REF!</definedName>
    <definedName name="akogv100_6_11">#REF!</definedName>
    <definedName name="akogv100_6_12">#REF!</definedName>
    <definedName name="akogv100_6_13">#REF!</definedName>
    <definedName name="akogv100_6_4">#REF!</definedName>
    <definedName name="akogv100_6_4_5">#REF!</definedName>
    <definedName name="akogv100_6_5">#REF!</definedName>
    <definedName name="akogv100_6_6">#REF!</definedName>
    <definedName name="akogv100_6_6_5">#REF!</definedName>
    <definedName name="akogv100_6_7">#REF!</definedName>
    <definedName name="akogv100_6_7_5">#REF!</definedName>
    <definedName name="akogv100_6_9">#REF!</definedName>
    <definedName name="akogv100_7">#REF!</definedName>
    <definedName name="akogv100_7_5">#REF!</definedName>
    <definedName name="akogv100_9">#REF!</definedName>
    <definedName name="akogv80">#REF!</definedName>
    <definedName name="akogv80_1">#REF!</definedName>
    <definedName name="akogv80_1_5">#REF!</definedName>
    <definedName name="akogv80_10">#REF!</definedName>
    <definedName name="akogv80_11">#REF!</definedName>
    <definedName name="akogv80_12">#REF!</definedName>
    <definedName name="akogv80_13">#REF!</definedName>
    <definedName name="akogv80_2">#REF!</definedName>
    <definedName name="akogv80_2_1">#REF!</definedName>
    <definedName name="akogv80_2_1_1">#REF!</definedName>
    <definedName name="akogv80_2_1_1_6">#REF!</definedName>
    <definedName name="akogv80_2_1_5">#REF!</definedName>
    <definedName name="akogv80_2_1_6">#REF!</definedName>
    <definedName name="akogv80_2_1_7">#REF!</definedName>
    <definedName name="akogv80_2_1_7_5">#REF!</definedName>
    <definedName name="akogv80_2_5">#REF!</definedName>
    <definedName name="akogv80_2_6">#REF!</definedName>
    <definedName name="akogv80_2_7">#REF!</definedName>
    <definedName name="akogv80_2_7_5">#REF!</definedName>
    <definedName name="akogv80_3">#REF!</definedName>
    <definedName name="akogv80_3_1">#REF!</definedName>
    <definedName name="akogv80_3_10">#REF!</definedName>
    <definedName name="akogv80_3_11">#REF!</definedName>
    <definedName name="akogv80_3_12">#REF!</definedName>
    <definedName name="akogv80_3_13">#REF!</definedName>
    <definedName name="akogv80_3_2">#REF!</definedName>
    <definedName name="akogv80_3_4">#REF!</definedName>
    <definedName name="akogv80_3_4_5">#REF!</definedName>
    <definedName name="akogv80_3_5">#REF!</definedName>
    <definedName name="akogv80_3_6">#REF!</definedName>
    <definedName name="akogv80_3_6_5">#REF!</definedName>
    <definedName name="akogv80_3_7">#REF!</definedName>
    <definedName name="akogv80_3_7_5">#REF!</definedName>
    <definedName name="akogv80_3_9">#REF!</definedName>
    <definedName name="akogv80_4">#REF!</definedName>
    <definedName name="akogv80_4_1">#REF!</definedName>
    <definedName name="akogv80_4_1_5">#REF!</definedName>
    <definedName name="akogv80_4_10">#REF!</definedName>
    <definedName name="akogv80_4_11">#REF!</definedName>
    <definedName name="akogv80_4_12">#REF!</definedName>
    <definedName name="akogv80_4_13">#REF!</definedName>
    <definedName name="akogv80_4_2">#REF!</definedName>
    <definedName name="akogv80_4_2_6">#REF!</definedName>
    <definedName name="akogv80_4_4">#REF!</definedName>
    <definedName name="akogv80_4_4_5">#REF!</definedName>
    <definedName name="akogv80_4_5">#REF!</definedName>
    <definedName name="akogv80_4_6">#REF!</definedName>
    <definedName name="akogv80_4_6_5">#REF!</definedName>
    <definedName name="akogv80_4_7">#REF!</definedName>
    <definedName name="akogv80_4_7_5">#REF!</definedName>
    <definedName name="akogv80_5">#REF!</definedName>
    <definedName name="akogv80_5_2">#REF!</definedName>
    <definedName name="akogv80_5_2_6">#REF!</definedName>
    <definedName name="akogv80_5_4">#REF!</definedName>
    <definedName name="akogv80_5_4_5">#REF!</definedName>
    <definedName name="akogv80_5_5">#REF!</definedName>
    <definedName name="akogv80_5_6">#REF!</definedName>
    <definedName name="akogv80_5_6_5">#REF!</definedName>
    <definedName name="akogv80_5_7">#REF!</definedName>
    <definedName name="akogv80_5_7_5">#REF!</definedName>
    <definedName name="akogv80_6">#REF!</definedName>
    <definedName name="akogv80_6_1">#REF!</definedName>
    <definedName name="akogv80_6_1_5">#REF!</definedName>
    <definedName name="akogv80_6_10">#REF!</definedName>
    <definedName name="akogv80_6_11">#REF!</definedName>
    <definedName name="akogv80_6_12">#REF!</definedName>
    <definedName name="akogv80_6_13">#REF!</definedName>
    <definedName name="akogv80_6_4">#REF!</definedName>
    <definedName name="akogv80_6_4_5">#REF!</definedName>
    <definedName name="akogv80_6_5">#REF!</definedName>
    <definedName name="akogv80_6_6">#REF!</definedName>
    <definedName name="akogv80_6_6_5">#REF!</definedName>
    <definedName name="akogv80_6_7">#REF!</definedName>
    <definedName name="akogv80_6_7_5">#REF!</definedName>
    <definedName name="akogv80_6_9">#REF!</definedName>
    <definedName name="akogv80_7">#REF!</definedName>
    <definedName name="akogv80_7_5">#REF!</definedName>
    <definedName name="akogv80_9">#REF!</definedName>
    <definedName name="Akomodasi_Pelayanan_PLN">#REF!</definedName>
    <definedName name="aku">#REF!</definedName>
    <definedName name="aku100_1">#REF!</definedName>
    <definedName name="aku100_1_5">#REF!</definedName>
    <definedName name="aku100_10">#REF!</definedName>
    <definedName name="aku100_11">#REF!</definedName>
    <definedName name="aku100_12">#REF!</definedName>
    <definedName name="aku100_13">#REF!</definedName>
    <definedName name="aku100_2">#REF!</definedName>
    <definedName name="aku100_2_1">#REF!</definedName>
    <definedName name="aku100_2_1_1">#REF!</definedName>
    <definedName name="aku100_2_1_1_6">#REF!</definedName>
    <definedName name="aku100_2_1_5">#REF!</definedName>
    <definedName name="aku100_2_1_6">#REF!</definedName>
    <definedName name="aku100_2_1_7">#REF!</definedName>
    <definedName name="aku100_2_1_7_5">#REF!</definedName>
    <definedName name="aku100_2_5">#REF!</definedName>
    <definedName name="aku100_2_6">#REF!</definedName>
    <definedName name="aku100_2_7">#REF!</definedName>
    <definedName name="aku100_2_7_5">#REF!</definedName>
    <definedName name="aku100_3">#REF!</definedName>
    <definedName name="aku100_3_1">#REF!</definedName>
    <definedName name="aku100_3_10">#REF!</definedName>
    <definedName name="aku100_3_11">#REF!</definedName>
    <definedName name="aku100_3_12">#REF!</definedName>
    <definedName name="aku100_3_13">#REF!</definedName>
    <definedName name="aku100_3_2">#REF!</definedName>
    <definedName name="aku100_3_4">#REF!</definedName>
    <definedName name="aku100_3_4_5">#REF!</definedName>
    <definedName name="aku100_3_5">#REF!</definedName>
    <definedName name="aku100_3_6">#REF!</definedName>
    <definedName name="aku100_3_6_5">#REF!</definedName>
    <definedName name="aku100_3_7">#REF!</definedName>
    <definedName name="aku100_3_7_5">#REF!</definedName>
    <definedName name="aku100_3_9">#REF!</definedName>
    <definedName name="aku100_4">#REF!</definedName>
    <definedName name="aku100_4_1">#REF!</definedName>
    <definedName name="aku100_4_1_5">#REF!</definedName>
    <definedName name="aku100_4_10">#REF!</definedName>
    <definedName name="aku100_4_11">#REF!</definedName>
    <definedName name="aku100_4_12">#REF!</definedName>
    <definedName name="aku100_4_13">#REF!</definedName>
    <definedName name="aku100_4_2">#REF!</definedName>
    <definedName name="aku100_4_2_6">#REF!</definedName>
    <definedName name="aku100_4_4">#REF!</definedName>
    <definedName name="aku100_4_4_5">#REF!</definedName>
    <definedName name="aku100_4_5">#REF!</definedName>
    <definedName name="aku100_4_6">#REF!</definedName>
    <definedName name="aku100_4_6_5">#REF!</definedName>
    <definedName name="aku100_4_7">#REF!</definedName>
    <definedName name="aku100_4_7_5">#REF!</definedName>
    <definedName name="aku100_5">#REF!</definedName>
    <definedName name="aku100_5_2">#REF!</definedName>
    <definedName name="aku100_5_2_6">#REF!</definedName>
    <definedName name="aku100_5_4">#REF!</definedName>
    <definedName name="aku100_5_4_5">#REF!</definedName>
    <definedName name="aku100_5_5">#REF!</definedName>
    <definedName name="aku100_5_6">#REF!</definedName>
    <definedName name="aku100_5_6_5">#REF!</definedName>
    <definedName name="aku100_5_7">#REF!</definedName>
    <definedName name="aku100_5_7_5">#REF!</definedName>
    <definedName name="aku100_6">#REF!</definedName>
    <definedName name="aku100_6_1">#REF!</definedName>
    <definedName name="aku100_6_1_5">#REF!</definedName>
    <definedName name="aku100_6_10">#REF!</definedName>
    <definedName name="aku100_6_11">#REF!</definedName>
    <definedName name="aku100_6_12">#REF!</definedName>
    <definedName name="aku100_6_13">#REF!</definedName>
    <definedName name="aku100_6_4">#REF!</definedName>
    <definedName name="aku100_6_4_5">#REF!</definedName>
    <definedName name="aku100_6_5">#REF!</definedName>
    <definedName name="aku100_6_6">#REF!</definedName>
    <definedName name="aku100_6_6_5">#REF!</definedName>
    <definedName name="aku100_6_7">#REF!</definedName>
    <definedName name="aku100_6_7_5">#REF!</definedName>
    <definedName name="aku100_6_9">#REF!</definedName>
    <definedName name="aku100_7">#REF!</definedName>
    <definedName name="aku100_7_5">#REF!</definedName>
    <definedName name="aku100_9">#REF!</definedName>
    <definedName name="aku150_1">#REF!</definedName>
    <definedName name="aku150_1_5">#REF!</definedName>
    <definedName name="aku150_10">#REF!</definedName>
    <definedName name="aku150_11">#REF!</definedName>
    <definedName name="aku150_12">#REF!</definedName>
    <definedName name="aku150_13">#REF!</definedName>
    <definedName name="aku150_2">#REF!</definedName>
    <definedName name="aku150_2_1">#REF!</definedName>
    <definedName name="aku150_2_1_1">#REF!</definedName>
    <definedName name="aku150_2_1_1_6">#REF!</definedName>
    <definedName name="aku150_2_1_5">#REF!</definedName>
    <definedName name="aku150_2_1_6">#REF!</definedName>
    <definedName name="aku150_2_1_7">#REF!</definedName>
    <definedName name="aku150_2_1_7_5">#REF!</definedName>
    <definedName name="aku150_2_5">#REF!</definedName>
    <definedName name="aku150_2_6">#REF!</definedName>
    <definedName name="aku150_2_7">#REF!</definedName>
    <definedName name="aku150_2_7_5">#REF!</definedName>
    <definedName name="aku150_3">#REF!</definedName>
    <definedName name="aku150_3_1">#REF!</definedName>
    <definedName name="aku150_3_10">#REF!</definedName>
    <definedName name="aku150_3_11">#REF!</definedName>
    <definedName name="aku150_3_12">#REF!</definedName>
    <definedName name="aku150_3_13">#REF!</definedName>
    <definedName name="aku150_3_2">#REF!</definedName>
    <definedName name="aku150_3_4">#REF!</definedName>
    <definedName name="aku150_3_4_5">#REF!</definedName>
    <definedName name="aku150_3_5">#REF!</definedName>
    <definedName name="aku150_3_6">#REF!</definedName>
    <definedName name="aku150_3_6_5">#REF!</definedName>
    <definedName name="aku150_3_7">#REF!</definedName>
    <definedName name="aku150_3_7_5">#REF!</definedName>
    <definedName name="aku150_3_9">#REF!</definedName>
    <definedName name="aku150_4">#REF!</definedName>
    <definedName name="aku150_4_1">#REF!</definedName>
    <definedName name="aku150_4_1_5">#REF!</definedName>
    <definedName name="aku150_4_10">#REF!</definedName>
    <definedName name="aku150_4_11">#REF!</definedName>
    <definedName name="aku150_4_12">#REF!</definedName>
    <definedName name="aku150_4_13">#REF!</definedName>
    <definedName name="aku150_4_2">#REF!</definedName>
    <definedName name="aku150_4_2_6">#REF!</definedName>
    <definedName name="aku150_4_4">#REF!</definedName>
    <definedName name="aku150_4_4_5">#REF!</definedName>
    <definedName name="aku150_4_5">#REF!</definedName>
    <definedName name="aku150_4_6">#REF!</definedName>
    <definedName name="aku150_4_6_5">#REF!</definedName>
    <definedName name="aku150_4_7">#REF!</definedName>
    <definedName name="aku150_4_7_5">#REF!</definedName>
    <definedName name="aku150_5">#REF!</definedName>
    <definedName name="aku150_5_2">#REF!</definedName>
    <definedName name="aku150_5_2_6">#REF!</definedName>
    <definedName name="aku150_5_4">#REF!</definedName>
    <definedName name="aku150_5_4_5">#REF!</definedName>
    <definedName name="aku150_5_5">#REF!</definedName>
    <definedName name="aku150_5_6">#REF!</definedName>
    <definedName name="aku150_5_6_5">#REF!</definedName>
    <definedName name="aku150_5_7">#REF!</definedName>
    <definedName name="aku150_5_7_5">#REF!</definedName>
    <definedName name="aku150_6">#REF!</definedName>
    <definedName name="aku150_6_1">#REF!</definedName>
    <definedName name="aku150_6_1_5">#REF!</definedName>
    <definedName name="aku150_6_10">#REF!</definedName>
    <definedName name="aku150_6_11">#REF!</definedName>
    <definedName name="aku150_6_12">#REF!</definedName>
    <definedName name="aku150_6_13">#REF!</definedName>
    <definedName name="aku150_6_4">#REF!</definedName>
    <definedName name="aku150_6_4_5">#REF!</definedName>
    <definedName name="aku150_6_5">#REF!</definedName>
    <definedName name="aku150_6_6">#REF!</definedName>
    <definedName name="aku150_6_6_5">#REF!</definedName>
    <definedName name="aku150_6_7">#REF!</definedName>
    <definedName name="aku150_6_7_5">#REF!</definedName>
    <definedName name="aku150_6_9">#REF!</definedName>
    <definedName name="aku150_7">#REF!</definedName>
    <definedName name="aku150_7_5">#REF!</definedName>
    <definedName name="aku150_9">#REF!</definedName>
    <definedName name="Akun">#REF!</definedName>
    <definedName name="al">#REF!</definedName>
    <definedName name="al..foil.singl">#REF!</definedName>
    <definedName name="al.clad">#REF!</definedName>
    <definedName name="al.foil.dbel">#REF!</definedName>
    <definedName name="alaina">#REF!</definedName>
    <definedName name="Alarm_bell">[39]Elektronik!#REF!</definedName>
    <definedName name="ALAT">#REF!</definedName>
    <definedName name="Alat_Asphalt_Distributor">#REF!</definedName>
    <definedName name="Alat_Bantu">#REF!</definedName>
    <definedName name="Alat_bantu_kuda2_baja_IWF">#REF!</definedName>
    <definedName name="Alat_Bantu_Mesin_Bor_listrik">#REF!</definedName>
    <definedName name="Alat_Bantu_Mesin_las_listrik">#REF!</definedName>
    <definedName name="ALAT_COR">#REF!</definedName>
    <definedName name="Alat_Loader">#REF!</definedName>
    <definedName name="Alat_Pancang">#REF!</definedName>
    <definedName name="ALAT_U24">#REF!</definedName>
    <definedName name="ALAT_U39">#REF!</definedName>
    <definedName name="alat1">#REF!</definedName>
    <definedName name="alat2">#REF!</definedName>
    <definedName name="alatalat">#REF!</definedName>
    <definedName name="alatbantu">#REF!</definedName>
    <definedName name="AlatChange">#REF!</definedName>
    <definedName name="alattulis" localSheetId="7">[33]H_Dasar!#REF!</definedName>
    <definedName name="alattulis">[33]H_Dasar!#REF!</definedName>
    <definedName name="ALATUTAMA">#REF!</definedName>
    <definedName name="alb">#REF!</definedName>
    <definedName name="alba">'[35]Harga Satuan Bahan'!$E$51</definedName>
    <definedName name="alba2.20">#REF!</definedName>
    <definedName name="alban">#REF!</definedName>
    <definedName name="albidayah">#REF!</definedName>
    <definedName name="ald_1">#REF!</definedName>
    <definedName name="ald_10">#REF!</definedName>
    <definedName name="ald_11">#REF!</definedName>
    <definedName name="ald_13">#REF!</definedName>
    <definedName name="ald_14">#REF!</definedName>
    <definedName name="ald_16">#REF!</definedName>
    <definedName name="ald_17">#REF!</definedName>
    <definedName name="ald_3">#REF!</definedName>
    <definedName name="ald_4">#REF!</definedName>
    <definedName name="ald_5">#REF!</definedName>
    <definedName name="ald_6">#REF!</definedName>
    <definedName name="ald_7">#REF!</definedName>
    <definedName name="ald_8">#REF!</definedName>
    <definedName name="ald_9">#REF!</definedName>
    <definedName name="ald_pu">#REF!</definedName>
    <definedName name="ald_pu4">#REF!</definedName>
    <definedName name="ald10_1">#REF!</definedName>
    <definedName name="ald10_2">#REF!</definedName>
    <definedName name="ald10_3">#REF!</definedName>
    <definedName name="ald4_1">#REF!</definedName>
    <definedName name="ald4_2">#REF!</definedName>
    <definedName name="ald4_3">#REF!</definedName>
    <definedName name="ald4_4">#REF!</definedName>
    <definedName name="ald4_5">#REF!</definedName>
    <definedName name="ald4_6">#REF!</definedName>
    <definedName name="ald4_7">#REF!</definedName>
    <definedName name="ald7_1">#REF!</definedName>
    <definedName name="ald7_2">#REF!</definedName>
    <definedName name="ald7_3">#REF!</definedName>
    <definedName name="ald7_4">#REF!</definedName>
    <definedName name="ald7_5">#REF!</definedName>
    <definedName name="ald7_6">#REF!</definedName>
    <definedName name="aldpu_1">#REF!</definedName>
    <definedName name="aldpu_2">#REF!</definedName>
    <definedName name="aldpu_3">#REF!</definedName>
    <definedName name="alfajar">#REF!</definedName>
    <definedName name="alfoil">'[44]bhn-upah'!$H$73</definedName>
    <definedName name="alhidayah">#REF!</definedName>
    <definedName name="alhidayah2">#REF!</definedName>
    <definedName name="alikhlas">#REF!</definedName>
    <definedName name="alkali">#REF!</definedName>
    <definedName name="alkalin">#REF!</definedName>
    <definedName name="alkhoer">#REF!</definedName>
    <definedName name="ALL">#REF!</definedName>
    <definedName name="all.1">#REF!</definedName>
    <definedName name="all.2">#REF!</definedName>
    <definedName name="all_s">#REF!</definedName>
    <definedName name="ALM">#REF!</definedName>
    <definedName name="AlmtKaCabang">#REF!</definedName>
    <definedName name="AlmtKapro">#REF!</definedName>
    <definedName name="AlmtOwner">#REF!</definedName>
    <definedName name="AlmtSOE">#REF!</definedName>
    <definedName name="alooo">#N/A</definedName>
    <definedName name="alum">#N/A</definedName>
    <definedName name="AlumFoil">#REF!</definedName>
    <definedName name="ALUMINIUM_FOIL">#REF!</definedName>
    <definedName name="aluminiumfoil">#REF!</definedName>
    <definedName name="Alumunium">#REF!</definedName>
    <definedName name="alumunium_foil">#REF!</definedName>
    <definedName name="ALUT">#REF!</definedName>
    <definedName name="ALVO">[10]Material!#REF!</definedName>
    <definedName name="AM">#REF!</definedName>
    <definedName name="am_30">#REF!</definedName>
    <definedName name="am_grout">#REF!</definedName>
    <definedName name="amd">#REF!</definedName>
    <definedName name="amfm">#REF!</definedName>
    <definedName name="amgrout54">#REF!</definedName>
    <definedName name="AMP">#REF!</definedName>
    <definedName name="AMP_CBL2">#N/A</definedName>
    <definedName name="AMP_CBL3">#N/A</definedName>
    <definedName name="AMPAR23">#REF!</definedName>
    <definedName name="AMPAR57">#REF!</definedName>
    <definedName name="ampel">#REF!</definedName>
    <definedName name="ampelas">#REF!</definedName>
    <definedName name="AMPL">[10]Material!$F$57</definedName>
    <definedName name="AMPLAS">#N/A</definedName>
    <definedName name="amplimatv">#REF!</definedName>
    <definedName name="AN">#REF!</definedName>
    <definedName name="an.01">#REF!</definedName>
    <definedName name="an.02">#REF!</definedName>
    <definedName name="an.03">#REF!</definedName>
    <definedName name="an.03a">#REF!</definedName>
    <definedName name="an.04">#REF!</definedName>
    <definedName name="an.05">#REF!</definedName>
    <definedName name="an.05a">#REF!</definedName>
    <definedName name="an.06">#REF!</definedName>
    <definedName name="an.06a">#REF!</definedName>
    <definedName name="an.07">#REF!</definedName>
    <definedName name="an.08">#REF!</definedName>
    <definedName name="an.09">#REF!</definedName>
    <definedName name="an.10">#REF!</definedName>
    <definedName name="an.11">#REF!</definedName>
    <definedName name="an.12">#REF!</definedName>
    <definedName name="AN.13">#REF!</definedName>
    <definedName name="AN.14">#REF!</definedName>
    <definedName name="AN.30">#REF!</definedName>
    <definedName name="an.prtsi">#REF!</definedName>
    <definedName name="An_AgkBhn_BC">#REF!</definedName>
    <definedName name="An_Agregat">#REF!</definedName>
    <definedName name="An_Alat_Simon1">#REF!</definedName>
    <definedName name="An_Alat_Simon2">#REF!</definedName>
    <definedName name="An_Angk_BBM">#REF!</definedName>
    <definedName name="An_Angk_BPecah">#REF!</definedName>
    <definedName name="An_Aspal">#REF!</definedName>
    <definedName name="An_Bahan">#REF!</definedName>
    <definedName name="An_Bensin">#REF!</definedName>
    <definedName name="An_BKali">#REF!</definedName>
    <definedName name="An_BKali_BC">#REF!</definedName>
    <definedName name="An_BKali_S">#REF!</definedName>
    <definedName name="An_BKarang_BC">#REF!</definedName>
    <definedName name="An_BKarang_S">#REF!</definedName>
    <definedName name="An_BPecah12">#REF!</definedName>
    <definedName name="An_BPecah23">#REF!</definedName>
    <definedName name="AN_CK">#REF!</definedName>
    <definedName name="An_Clay">#REF!</definedName>
    <definedName name="An_Gravel">#REF!</definedName>
    <definedName name="An_Karang_BC">#REF!</definedName>
    <definedName name="An_Karang_S">#REF!</definedName>
    <definedName name="An_Kerosen">#REF!</definedName>
    <definedName name="an_ks">'[56]Bill-2'!#REF!</definedName>
    <definedName name="An_Oli">#REF!</definedName>
    <definedName name="An_Pasir">#REF!</definedName>
    <definedName name="An_Pasir_BC">#REF!</definedName>
    <definedName name="An_Pasir_S">#REF!</definedName>
    <definedName name="An_Sirtu">#REF!</definedName>
    <definedName name="An_Sirtu_BC">#REF!</definedName>
    <definedName name="An_Sirtu_S">#REF!</definedName>
    <definedName name="An_Solar">#REF!</definedName>
    <definedName name="An_TPancang">#REF!</definedName>
    <definedName name="An_TPancang1">#REF!</definedName>
    <definedName name="An_TTimb_BC">#REF!</definedName>
    <definedName name="An_TTimb_S">#REF!</definedName>
    <definedName name="An_Urpil">#REF!</definedName>
    <definedName name="ana">#REF!</definedName>
    <definedName name="ANAACIAN">#REF!</definedName>
    <definedName name="anaarsitektur">#REF!</definedName>
    <definedName name="ANAATAPMETAL">#REF!</definedName>
    <definedName name="ANABATUTELA">#REF!</definedName>
    <definedName name="ANABEKISTINGBALOK">#REF!</definedName>
    <definedName name="ANABEKISTINGKOLOM">#REF!</definedName>
    <definedName name="ANABEKISTINGSLOOF">#REF!</definedName>
    <definedName name="ANABESIBETON">#REF!</definedName>
    <definedName name="ANABETONK175">#REF!</definedName>
    <definedName name="ANABETONRABAT">#REF!</definedName>
    <definedName name="ANABOXSEKRING">#REF!</definedName>
    <definedName name="ANACATKAYU">#REF!</definedName>
    <definedName name="ANACATTEMBOK">#REF!</definedName>
    <definedName name="ANADAUNPINTUJENDELA">#REF!</definedName>
    <definedName name="ANADC">#REF!</definedName>
    <definedName name="ANAFLOORDRAIN">#REF!</definedName>
    <definedName name="ANAGALIANTANAH1METER">#REF!</definedName>
    <definedName name="anaHSPL">#REF!</definedName>
    <definedName name="ANAINSTALASIAIRBERSIH">#REF!</definedName>
    <definedName name="ANAINSTALASIJARINGANLISTRIK">#REF!</definedName>
    <definedName name="ANAINSTALASIJARINGANSTOPKONTAK">#REF!</definedName>
    <definedName name="ANAKERAMIK20X20">#REF!</definedName>
    <definedName name="ANAKERAMIK20X25">#REF!</definedName>
    <definedName name="ANAKERAMIK30X30">#REF!</definedName>
    <definedName name="ANAKLOSETJONGKOK">#REF!</definedName>
    <definedName name="ANAKMC">#REF!</definedName>
    <definedName name="ANAKRANAIR">#REF!</definedName>
    <definedName name="ANAKUSEN">#REF!</definedName>
    <definedName name="anal_klimaks">#REF!</definedName>
    <definedName name="Anal2">#REF!</definedName>
    <definedName name="ANALAMPU15">#REF!</definedName>
    <definedName name="ANALAN">#REF!</definedName>
    <definedName name="ANALAT">#REF!</definedName>
    <definedName name="ANALBAHAN">#REF!</definedName>
    <definedName name="ANALHSA">#REF!</definedName>
    <definedName name="ANALIS" hidden="1">#REF!</definedName>
    <definedName name="ANALIS_RUMPUT">#REF!</definedName>
    <definedName name="Analisa">#REF!</definedName>
    <definedName name="Analisa_A.1">#REF!</definedName>
    <definedName name="Analisa_A.18">#REF!</definedName>
    <definedName name="Analisa_A.18a">#REF!</definedName>
    <definedName name="Analisa_A.2">#REF!</definedName>
    <definedName name="Analisa_A.4">#REF!</definedName>
    <definedName name="Analisa_beton">#REF!</definedName>
    <definedName name="Analisa_EI_612">[57]DivVI!$F$71</definedName>
    <definedName name="Analisa_EI_633">[57]DivVI!$F$141</definedName>
    <definedName name="Analisa_F.22">#REF!</definedName>
    <definedName name="Analisa_F.26">#REF!</definedName>
    <definedName name="Analisa_F.33">#REF!</definedName>
    <definedName name="Analisa_F.33.a">#REF!</definedName>
    <definedName name="Analisa_F.34">#REF!</definedName>
    <definedName name="Analisa_F.36">#REF!</definedName>
    <definedName name="Analisa_F.36a">#REF!</definedName>
    <definedName name="Analisa_F.36b">#REF!</definedName>
    <definedName name="Analisa_F.38">#REF!</definedName>
    <definedName name="Analisa_G._VI.a">#REF!</definedName>
    <definedName name="Analisa_G.14">#REF!</definedName>
    <definedName name="Analisa_G.41a.1">#REF!</definedName>
    <definedName name="Analisa_G.41b">#REF!</definedName>
    <definedName name="Analisa_G.41c">#REF!</definedName>
    <definedName name="Analisa_G.41d">#REF!</definedName>
    <definedName name="Analisa_G.41e">#REF!</definedName>
    <definedName name="Analisa_G.50h">#REF!</definedName>
    <definedName name="Analisa_G.50h1">#REF!</definedName>
    <definedName name="Analisa_G.50q">#REF!</definedName>
    <definedName name="Analisa_G.53">#REF!</definedName>
    <definedName name="Analisa_G.6">#REF!</definedName>
    <definedName name="Analisa_G.67">#REF!</definedName>
    <definedName name="Analisa_G.69">#REF!</definedName>
    <definedName name="Analisa_G.79">#REF!</definedName>
    <definedName name="Analisa_H.10a">#REF!</definedName>
    <definedName name="Analisa_H.10b">#REF!</definedName>
    <definedName name="Analisa_H.11">#REF!</definedName>
    <definedName name="Analisa_H.8a">#REF!</definedName>
    <definedName name="Analisa_H.8b">#REF!</definedName>
    <definedName name="Analisa_Hanung">#REF!</definedName>
    <definedName name="ANALISA_HARGA">#REF!</definedName>
    <definedName name="ANALISA_HARGA_SATUAN">#REF!,#REF!,#REF!</definedName>
    <definedName name="Analisa_K.34">#REF!</definedName>
    <definedName name="Analisa_K10_K23_K28">#REF!</definedName>
    <definedName name="Analisa_K2_K23_K28">#REF!</definedName>
    <definedName name="Analisa_Pek._Paving">#REF!</definedName>
    <definedName name="Analisa1">#REF!</definedName>
    <definedName name="Analisa101A">#REF!</definedName>
    <definedName name="Analisa101B">#REF!</definedName>
    <definedName name="Analisa101C">#REF!</definedName>
    <definedName name="Analisa101D">#REF!</definedName>
    <definedName name="Analisa101E">#REF!</definedName>
    <definedName name="analisa22">'[14]2.1'!#REF!</definedName>
    <definedName name="AnalisaCC">#REF!</definedName>
    <definedName name="AnalisaCCOIntern">#REF!</definedName>
    <definedName name="AnalisaHarsat">#REF!</definedName>
    <definedName name="AnalisaHarsatCCOIntern">#REF!</definedName>
    <definedName name="AnalisaHarsatRealisasiSaatIni">#REF!</definedName>
    <definedName name="AnalisaHarsatRealisasiSdSaatLalu">#REF!</definedName>
    <definedName name="AnalisaRAB">#REF!</definedName>
    <definedName name="AnalisaRealisasiSaatIni">#REF!</definedName>
    <definedName name="AnalisaRealisasiSdSaatLalu">#REF!</definedName>
    <definedName name="analisas">#REF!</definedName>
    <definedName name="ANALISPLANK">#REF!</definedName>
    <definedName name="Analiswa_G.32c">#REF!</definedName>
    <definedName name="Analiswa_G.43">#REF!</definedName>
    <definedName name="ANALOGO">#REF!</definedName>
    <definedName name="ANAMEJAPANTRY">#REF!</definedName>
    <definedName name="anamp">[58]ANALISA!$L$44</definedName>
    <definedName name="ANANOKMETALROOF">#REF!</definedName>
    <definedName name="ANAP1">#REF!</definedName>
    <definedName name="ANAP2">#REF!</definedName>
    <definedName name="ANAP3">#REF!</definedName>
    <definedName name="ANAPASBATUKOSONG">#REF!</definedName>
    <definedName name="ANAPENGUKURANBOWPLANK">#REF!</definedName>
    <definedName name="ANAPERBERSIHAN">#REF!</definedName>
    <definedName name="ANAPJ1">#REF!</definedName>
    <definedName name="ANAPLAFON_RANGKA">#REF!</definedName>
    <definedName name="ANAPLESTER14_15MM">#REF!</definedName>
    <definedName name="ANAPONDASIBATUBELAH">#REF!</definedName>
    <definedName name="ANAPONDASIBATUKOSONG">#REF!</definedName>
    <definedName name="ANAPVC3INCI">#REF!</definedName>
    <definedName name="ANAPVC4INCI">#REF!</definedName>
    <definedName name="ANARANGKABAJARINGAN">#REF!</definedName>
    <definedName name="ANAROSTER20X20">#REF!</definedName>
    <definedName name="ANASAKLARGANDA">#REF!</definedName>
    <definedName name="ANASAKLARTUNGGAL">#REF!</definedName>
    <definedName name="ANASEL">#REF!</definedName>
    <definedName name="ANASTOPKONTAK">#REF!</definedName>
    <definedName name="anastruktur">#REF!</definedName>
    <definedName name="ANATALANGPVCPERSEGI">#REF!</definedName>
    <definedName name="ANAUKURDANPATOK">#REF!</definedName>
    <definedName name="ANAURUANTANAHKEMBALI">#REF!</definedName>
    <definedName name="ANAURUGANPASIR">#REF!</definedName>
    <definedName name="ANAURUGANTANAH">#REF!</definedName>
    <definedName name="ANAYOL">#REF!</definedName>
    <definedName name="Anchor_space">#REF!</definedName>
    <definedName name="Anchor_space_2">#REF!</definedName>
    <definedName name="ancs">#REF!</definedName>
    <definedName name="andesit">#REF!</definedName>
    <definedName name="ANDI1" hidden="1">#REF!</definedName>
    <definedName name="ANDY" hidden="1">#REF!</definedName>
    <definedName name="ANDY2" hidden="1">#REF!</definedName>
    <definedName name="angan">#REF!</definedName>
    <definedName name="anggun" hidden="1">#REF!</definedName>
    <definedName name="ANGKA">#REF!</definedName>
    <definedName name="ANGKA2">#REF!</definedName>
    <definedName name="ANGKER">#N/A</definedName>
    <definedName name="Angker_baut">#REF!</definedName>
    <definedName name="Angker_kusen">#REF!</definedName>
    <definedName name="angkert">#REF!</definedName>
    <definedName name="angkor">#REF!</definedName>
    <definedName name="angkur">"'file://SERVER3/har-data/STRUCTURE PRICE OF BQ KOMPAS GRAMEDIA.xls'#$analisa.$#REF!$#REF!"</definedName>
    <definedName name="ANGKURBAUT19">#REF!</definedName>
    <definedName name="angkut">'[44]bhn-upah'!$H$78</definedName>
    <definedName name="angkut120">#REF!</definedName>
    <definedName name="Angkutan_Pasir">#REF!</definedName>
    <definedName name="Angkutan_Pipa">#REF!</definedName>
    <definedName name="Angkutan_semen">#REF!</definedName>
    <definedName name="angle">#REF!</definedName>
    <definedName name="angsana">#N/A</definedName>
    <definedName name="anh">#REF!</definedName>
    <definedName name="anHsPl">#REF!</definedName>
    <definedName name="ANI">[59]CH!$C$29</definedName>
    <definedName name="anip1">#REF!</definedName>
    <definedName name="anip10">#REF!</definedName>
    <definedName name="anip11">#REF!</definedName>
    <definedName name="anip12">#REF!</definedName>
    <definedName name="anip13">#REF!</definedName>
    <definedName name="anip14">#REF!</definedName>
    <definedName name="anip15">#REF!</definedName>
    <definedName name="anip16">#REF!</definedName>
    <definedName name="anip17">#REF!</definedName>
    <definedName name="anip18">#REF!</definedName>
    <definedName name="anip19">#REF!</definedName>
    <definedName name="anip2">#REF!</definedName>
    <definedName name="anip20">#REF!</definedName>
    <definedName name="anip21">#REF!</definedName>
    <definedName name="anip22">#REF!</definedName>
    <definedName name="anip23">#REF!</definedName>
    <definedName name="anip24">#REF!</definedName>
    <definedName name="anip25">#REF!</definedName>
    <definedName name="anip26">#REF!</definedName>
    <definedName name="anip27">#REF!</definedName>
    <definedName name="anip28">#REF!</definedName>
    <definedName name="anip29">#REF!</definedName>
    <definedName name="anip3">#REF!</definedName>
    <definedName name="anip34">#REF!</definedName>
    <definedName name="anip35">#REF!</definedName>
    <definedName name="anip36">#REF!</definedName>
    <definedName name="anip37">#REF!</definedName>
    <definedName name="anip38">#REF!</definedName>
    <definedName name="anip39">#REF!</definedName>
    <definedName name="anip4">#REF!</definedName>
    <definedName name="anip40">#REF!</definedName>
    <definedName name="anip41">#REF!</definedName>
    <definedName name="anip42">#REF!</definedName>
    <definedName name="anip43">#REF!</definedName>
    <definedName name="anip44">#REF!</definedName>
    <definedName name="anip45">#REF!</definedName>
    <definedName name="anip46">#REF!</definedName>
    <definedName name="anip47">#REF!</definedName>
    <definedName name="anip48">#REF!</definedName>
    <definedName name="anip49">#REF!</definedName>
    <definedName name="anip5">#REF!</definedName>
    <definedName name="anip50">#REF!</definedName>
    <definedName name="anip51">#REF!</definedName>
    <definedName name="anip52">#REF!</definedName>
    <definedName name="anip53">#REF!</definedName>
    <definedName name="anip54">#REF!</definedName>
    <definedName name="anip55">#REF!</definedName>
    <definedName name="anip56">#REF!</definedName>
    <definedName name="anip58">#REF!</definedName>
    <definedName name="anip59">#REF!</definedName>
    <definedName name="anip6">#REF!</definedName>
    <definedName name="anip60">#REF!</definedName>
    <definedName name="anip61">#REF!</definedName>
    <definedName name="anip62">#REF!</definedName>
    <definedName name="anip63">#REF!</definedName>
    <definedName name="anip64">#REF!</definedName>
    <definedName name="anip65">#REF!</definedName>
    <definedName name="anip66">#REF!</definedName>
    <definedName name="anip67">#REF!</definedName>
    <definedName name="anip68">#REF!</definedName>
    <definedName name="anip7">#REF!</definedName>
    <definedName name="anip8">#REF!</definedName>
    <definedName name="anip9">#REF!</definedName>
    <definedName name="ANJING">#REF!</definedName>
    <definedName name="ANJINGGGG">#REF!</definedName>
    <definedName name="ank">[60]DivVII!$G$50</definedName>
    <definedName name="ank420b">#REF!</definedName>
    <definedName name="anK424b">#REF!</definedName>
    <definedName name="anK705A">#REF!</definedName>
    <definedName name="anKA18">#REF!</definedName>
    <definedName name="anker">'[21]Harga Satuan Bahan'!#REF!</definedName>
    <definedName name="Anl._L.11">#REF!</definedName>
    <definedName name="Anl._L.4">#REF!</definedName>
    <definedName name="Anl._L.5">#REF!</definedName>
    <definedName name="Anl._L.9">#REF!</definedName>
    <definedName name="Anl._Sul._Va">#REF!</definedName>
    <definedName name="Anl._Sul._Va1">#REF!</definedName>
    <definedName name="Anl._Sul._Va2">#REF!</definedName>
    <definedName name="Anl._Sul._Vb">#REF!</definedName>
    <definedName name="Anl._Sul._Vb1">#REF!</definedName>
    <definedName name="Anl._Sul._Vb2">#REF!</definedName>
    <definedName name="Anl._Sul._Vc">#REF!</definedName>
    <definedName name="Anl._Sul._Vc1">#REF!</definedName>
    <definedName name="Anl._Sul._Vc2">#REF!</definedName>
    <definedName name="Anl._Sul._Vc3">#REF!</definedName>
    <definedName name="Anl._Sul._Vd">#REF!</definedName>
    <definedName name="Anl._Sul._Vd1">#REF!</definedName>
    <definedName name="Anl._Sul._Ve">#REF!</definedName>
    <definedName name="Anl._Supl._F23">#REF!</definedName>
    <definedName name="Anl._Supl._VII">#REF!</definedName>
    <definedName name="Anl._Supl._VII.a">#REF!</definedName>
    <definedName name="Anl._Supl._VII.b">#REF!</definedName>
    <definedName name="Anl._Supl._VII.c">#REF!</definedName>
    <definedName name="Anl._Supl.III.b">#REF!</definedName>
    <definedName name="Anl._Supl.III.c">#REF!</definedName>
    <definedName name="Anl._Supl.III.e">#REF!</definedName>
    <definedName name="Anl._Supl.III.f">#REF!</definedName>
    <definedName name="anl.art.47">#REF!</definedName>
    <definedName name="anl.art.49">#REF!</definedName>
    <definedName name="anl.art.50">#REF!</definedName>
    <definedName name="anl.art.52">#REF!</definedName>
    <definedName name="anl.art.53">#REF!</definedName>
    <definedName name="anl.art.54">#REF!</definedName>
    <definedName name="anl.atapseng30">#REF!</definedName>
    <definedName name="anl.betoncor136">#REF!</definedName>
    <definedName name="Anl.bongkardinding">#REF!</definedName>
    <definedName name="anl.bongkarlantai">#REF!</definedName>
    <definedName name="anl.catkayu">#REF!</definedName>
    <definedName name="anl.catplafond">#REF!</definedName>
    <definedName name="anl.cattembok">#REF!</definedName>
    <definedName name="Anl.f2">#REF!</definedName>
    <definedName name="Anl.jalusi">#REF!</definedName>
    <definedName name="anl.kacabuka">#REF!</definedName>
    <definedName name="Anl.kacamati">#REF!</definedName>
    <definedName name="Anl.kuda2">#REF!</definedName>
    <definedName name="Anl.kusen">#REF!</definedName>
    <definedName name="anl.lantaikeramik30">#REF!</definedName>
    <definedName name="anl.listplankm2">#REF!</definedName>
    <definedName name="anl.pasbata1.2">#REF!</definedName>
    <definedName name="anl.pasbata1.4">#REF!</definedName>
    <definedName name="Anl.pasirurug">#REF!</definedName>
    <definedName name="Anl.pintupanel">#REF!</definedName>
    <definedName name="anl.plafondtriplek3">#REF!</definedName>
    <definedName name="anl.plester1.2">#REF!</definedName>
    <definedName name="anl.plester1.4">#REF!</definedName>
    <definedName name="anl.pnt.prtsi">[28]upah!$D$17</definedName>
    <definedName name="anl.rabungseng30">#REF!</definedName>
    <definedName name="anl.residu">#REF!</definedName>
    <definedName name="ANL_1">#N/A</definedName>
    <definedName name="ANL_2">#N/A</definedName>
    <definedName name="Anl_321">#REF!</definedName>
    <definedName name="Anl_33">#REF!</definedName>
    <definedName name="Anl_511">#REF!</definedName>
    <definedName name="Anl_512">#REF!</definedName>
    <definedName name="Anl_611">#REF!</definedName>
    <definedName name="Anl_612">#REF!</definedName>
    <definedName name="Anl_633">#REF!</definedName>
    <definedName name="Anl_634">#REF!</definedName>
    <definedName name="anl_gab">#REF!</definedName>
    <definedName name="anl_pnt">[28]upah!$D$27</definedName>
    <definedName name="AnlSirtu">#REF!</definedName>
    <definedName name="Anlurugpasir">#REF!</definedName>
    <definedName name="anna">#REF!</definedName>
    <definedName name="anou">#REF!</definedName>
    <definedName name="anples1530">#REF!</definedName>
    <definedName name="anplnew">#REF!</definedName>
    <definedName name="anpolised33x33">#REF!</definedName>
    <definedName name="ANS_Alrm" hidden="1">{#N/A,#N/A,FALSE,"Chi tiÆt"}</definedName>
    <definedName name="anstone">[58]ANALISA!$L$98</definedName>
    <definedName name="ANT">#REF!</definedName>
    <definedName name="ant.ryp">#REF!</definedName>
    <definedName name="ANTEKAGA">#REF!</definedName>
    <definedName name="ANTEKBURDA">#REF!</definedName>
    <definedName name="ANTEKGAL">#REF!</definedName>
    <definedName name="ANTEKHRS">#REF!</definedName>
    <definedName name="ANTEKPRIME">#REF!</definedName>
    <definedName name="ANTEKTIM">#REF!</definedName>
    <definedName name="anti">#REF!</definedName>
    <definedName name="anti1033">[34]harsat!$H$20</definedName>
    <definedName name="ANTIRAYAP">#REF!</definedName>
    <definedName name="AO">#REF!</definedName>
    <definedName name="AP">#REF!</definedName>
    <definedName name="apa">#REF!</definedName>
    <definedName name="APBD_II">#REF!</definedName>
    <definedName name="apo">#REF!</definedName>
    <definedName name="App">#N/A</definedName>
    <definedName name="app_mat">#REF!</definedName>
    <definedName name="APPENDIX_1">#REF!</definedName>
    <definedName name="APPENDIX_2">#REF!</definedName>
    <definedName name="APPENDIX_2C">#REF!</definedName>
    <definedName name="APPENDIX_6">#REF!</definedName>
    <definedName name="aproval">#N/A</definedName>
    <definedName name="AQ">#REF!</definedName>
    <definedName name="aquarium">#REF!</definedName>
    <definedName name="AR">#REF!</definedName>
    <definedName name="araefa">'[50]SAT-DAS'!$J$26</definedName>
    <definedName name="ARCHITECT">#REF!</definedName>
    <definedName name="arde">#REF!</definedName>
    <definedName name="ARDEKSGEL">#N/A</definedName>
    <definedName name="ARDEKSGENTENG">#N/A</definedName>
    <definedName name="ArdePancang">#REF!</definedName>
    <definedName name="ARDEPENGAMAN">#N/A</definedName>
    <definedName name="area">#REF!</definedName>
    <definedName name="areaaa">#REF!</definedName>
    <definedName name="arets">[51]DHSD!$G$35</definedName>
    <definedName name="ARfae">'[50]SAT-DAS'!$J$25</definedName>
    <definedName name="argyarse">'[50]SAT-DAS'!$J$58</definedName>
    <definedName name="Armature">#REF!</definedName>
    <definedName name="ars">#REF!</definedName>
    <definedName name="arsitek">#REF!</definedName>
    <definedName name="arsiteksmp">#REF!</definedName>
    <definedName name="arsiteksmu">#REF!</definedName>
    <definedName name="arsitektur">#REF!</definedName>
    <definedName name="ARSY">#REF!</definedName>
    <definedName name="artaw">'[49]Lamp-4 Sat-Das'!$J$56</definedName>
    <definedName name="artdinding1">#REF!</definedName>
    <definedName name="ARTDINDING2">#REF!</definedName>
    <definedName name="artdinding3">#REF!</definedName>
    <definedName name="ARTGA">'[50]SAT-DAS'!$J$14</definedName>
    <definedName name="artkusenpintu1">#REF!</definedName>
    <definedName name="ARTKUSENPINTU2">#REF!</definedName>
    <definedName name="artkusenpintu3">#REF!</definedName>
    <definedName name="artlantai1">#REF!</definedName>
    <definedName name="ARTLANTAI2">#REF!</definedName>
    <definedName name="ARTLANTAI3">#REF!</definedName>
    <definedName name="artpengecatan1">#REF!</definedName>
    <definedName name="artpengecatan2">#REF!</definedName>
    <definedName name="artpengecatan3">#REF!</definedName>
    <definedName name="artperlengkapan1">#REF!</definedName>
    <definedName name="artperlengkapan2">#REF!</definedName>
    <definedName name="artperlengkapan3">#REF!</definedName>
    <definedName name="artplafond1">#REF!</definedName>
    <definedName name="artplafond2">#REF!</definedName>
    <definedName name="artplafond3">#REF!</definedName>
    <definedName name="artsanitair1">#REF!</definedName>
    <definedName name="artsanitair2">#REF!</definedName>
    <definedName name="artsanitair3">#REF!</definedName>
    <definedName name="ARYE">'[50]SAT-DAS'!$J$15</definedName>
    <definedName name="as" hidden="1">{#N/A,#N/A,FALSE,"Chi tiÆt"}</definedName>
    <definedName name="as.1000">'[45]Sat~Bahu'!$C$102</definedName>
    <definedName name="as.200">'[45]Sat~Bahu'!$C$103</definedName>
    <definedName name="As_">NA()</definedName>
    <definedName name="asa">#REF!</definedName>
    <definedName name="asa3223rr" hidden="1">#REF!</definedName>
    <definedName name="asad">#REF!</definedName>
    <definedName name="ASAL">#REF!</definedName>
    <definedName name="ASAS">#N/A</definedName>
    <definedName name="asbes">#REF!</definedName>
    <definedName name="asbes.1">#REF!</definedName>
    <definedName name="asbes.2">#REF!</definedName>
    <definedName name="asbes.3">#REF!</definedName>
    <definedName name="asbes.4">#REF!</definedName>
    <definedName name="asbes.5">#REF!</definedName>
    <definedName name="asbes.6">#REF!</definedName>
    <definedName name="Asbes_gelombang">#REF!</definedName>
    <definedName name="asbes1.1">#REF!</definedName>
    <definedName name="asbesbubungan4mm">#REF!</definedName>
    <definedName name="asbesemen">#REF!</definedName>
    <definedName name="asbeseternit">#REF!</definedName>
    <definedName name="asbesg">#REF!</definedName>
    <definedName name="asbesgel">#REF!</definedName>
    <definedName name="asbesgelkecil">#REF!</definedName>
    <definedName name="Asbs4">#REF!</definedName>
    <definedName name="ascem">#REF!</definedName>
    <definedName name="asd" hidden="1">#REF!</definedName>
    <definedName name="ASDA">#REF!</definedName>
    <definedName name="ASDASD">#REF!</definedName>
    <definedName name="ASDASDA">#N/A</definedName>
    <definedName name="ASDASDADASD">#REF!</definedName>
    <definedName name="ASDD">HAJIME:OWARI</definedName>
    <definedName name="asder">#REF!</definedName>
    <definedName name="asdf" hidden="1">{"'Sheet1'!$A$1"}</definedName>
    <definedName name="ASE" hidden="1">{"'Sheet1'!$A$1"}</definedName>
    <definedName name="aseng">#REF!</definedName>
    <definedName name="AsESO">#REF!</definedName>
    <definedName name="ASFGDJKHY">[61]BQ!#REF!</definedName>
    <definedName name="asfsaf">#REF!</definedName>
    <definedName name="asgel4">'[21]Harga Satuan Bahan'!$E$154</definedName>
    <definedName name="asgel5">'[21]Harga Satuan Bahan'!#REF!</definedName>
    <definedName name="asgel6">#REF!</definedName>
    <definedName name="Asp._Sprayer">#REF!</definedName>
    <definedName name="ASPAL">#REF!</definedName>
    <definedName name="ASPAL_D">[33]H_Dasar!#REF!</definedName>
    <definedName name="Aspal_Minor">#REF!</definedName>
    <definedName name="Aspal_Pelaburan">#REF!</definedName>
    <definedName name="Aspalan">#REF!</definedName>
    <definedName name="aspalcurah">[62]bahan!$G$57</definedName>
    <definedName name="aspalf">#REF!</definedName>
    <definedName name="ASPALSPRAYER611">#REF!</definedName>
    <definedName name="aspalt">[62]bahan!$G$18</definedName>
    <definedName name="aspfin">#REF!</definedName>
    <definedName name="ASPHALT">#REF!</definedName>
    <definedName name="Asphalt_Finisher">#REF!</definedName>
    <definedName name="Asphalt_Mixing_Plant">#REF!</definedName>
    <definedName name="asprayer">#REF!</definedName>
    <definedName name="aspspr">#REF!</definedName>
    <definedName name="asrama">#REF!</definedName>
    <definedName name="ass" hidden="1">{#N/A,#N/A,FALSE,"REK";#N/A,#N/A,FALSE,"rab"}</definedName>
    <definedName name="ASSASUL">#REF!</definedName>
    <definedName name="asss">#N/A</definedName>
    <definedName name="AST">#REF!</definedName>
    <definedName name="ASTM">#REF!</definedName>
    <definedName name="astrs">'[50]SAT-DAS'!$J$74</definedName>
    <definedName name="ASU" hidden="1">{#N/A,#N/A,FALSE,"REK-S-TPL";#N/A,#N/A,FALSE,"REK-TPML";#N/A,#N/A,FALSE,"RAB-TEMPEL"}</definedName>
    <definedName name="ASURANSI">#REF!</definedName>
    <definedName name="ASVS">#N/A</definedName>
    <definedName name="asw">#REF!</definedName>
    <definedName name="aswer" hidden="1">#REF!</definedName>
    <definedName name="ataerts">[52]DHSD!$G$46</definedName>
    <definedName name="atap">#REF!</definedName>
    <definedName name="Atap_asbes_gelombang_0_3_mm">#REF!</definedName>
    <definedName name="ATAP_GENTENG_BIASA">#REF!</definedName>
    <definedName name="ATAP_GENTENG_KODOK">#REF!</definedName>
    <definedName name="ATAP_GENTENG_METAL_BERPASIR">#REF!</definedName>
    <definedName name="Atap_Gtng">#REF!</definedName>
    <definedName name="ATAP_PLENTONG">#REF!</definedName>
    <definedName name="atap_seng">#REF!</definedName>
    <definedName name="atap10b130">#REF!</definedName>
    <definedName name="atap10b80">#REF!</definedName>
    <definedName name="AtapAlang">#REF!</definedName>
    <definedName name="Atapbiasa">#REF!</definedName>
    <definedName name="Atapgenteng">#REF!</definedName>
    <definedName name="AtapIjuk">#REF!</definedName>
    <definedName name="Atapjtiwangi">#REF!</definedName>
    <definedName name="atapmetal">#REF!</definedName>
    <definedName name="AtapPlentongBiasa">#REF!</definedName>
    <definedName name="AtapSeng">#REF!</definedName>
    <definedName name="AtapSirap">#REF!</definedName>
    <definedName name="atapzincalume">#REF!</definedName>
    <definedName name="ataset">'[50]SAT-DAS'!$J$58</definedName>
    <definedName name="atatg">[52]DHSD!$G$11</definedName>
    <definedName name="ATB">#REF!</definedName>
    <definedName name="ATBL">#REF!</definedName>
    <definedName name="atbl.1">#REF!</definedName>
    <definedName name="atbl.2">#REF!</definedName>
    <definedName name="atbl.3">#REF!</definedName>
    <definedName name="ateawra">'[50]SAT-DAS'!$J$37</definedName>
    <definedName name="atertsertsr">[52]DHSD!$G$12</definedName>
    <definedName name="atgaertar">[63]DHSD!$G$16</definedName>
    <definedName name="ato" hidden="1">{#N/A,#N/A,FALSE,"REK-S-TPL";#N/A,#N/A,FALSE,"REK-TPML";#N/A,#N/A,FALSE,"RAB-TEMPEL"}</definedName>
    <definedName name="ATP">#REF!</definedName>
    <definedName name="ATRA">'[50]SAT-DAS'!$J$39</definedName>
    <definedName name="atraewrA">'[50]SAT-DAS'!$J$25</definedName>
    <definedName name="atrrt">[52]DHSD!$G$46</definedName>
    <definedName name="ATSAMF">#REF!</definedName>
    <definedName name="atsrt">[51]DHSD!$G$18</definedName>
    <definedName name="atttap">#REF!</definedName>
    <definedName name="AUD">#REF!</definedName>
    <definedName name="Aula">'[64]lab bahasa'!$A$1:$J$51</definedName>
    <definedName name="auro">#N/A</definedName>
    <definedName name="Aus">#REF!</definedName>
    <definedName name="aus_d">#REF!</definedName>
    <definedName name="AV">#REF!</definedName>
    <definedName name="avaur">#REF!</definedName>
    <definedName name="AVI">#REF!</definedName>
    <definedName name="AVII">#REF!</definedName>
    <definedName name="AVIII">#REF!</definedName>
    <definedName name="Avoor_Stenlis_Steel">#REF!</definedName>
    <definedName name="avour.stn">#REF!</definedName>
    <definedName name="aw">#REF!</definedName>
    <definedName name="AWAL">#REF!</definedName>
    <definedName name="awe">#REF!</definedName>
    <definedName name="awerawr">'[50]SAT-DAS'!$J$27</definedName>
    <definedName name="awert" hidden="1">{#N/A,#N/A,FALSE,"REK";#N/A,#N/A,FALSE,"rab"}</definedName>
    <definedName name="AWERYGT" hidden="1">{#N/A,#N/A,FALSE,"REK";#N/A,#N/A,FALSE,"rab"}</definedName>
    <definedName name="awet" hidden="1">{#N/A,#N/A,FALSE,"REK-S-TPL";#N/A,#N/A,FALSE,"REK-TPML";#N/A,#N/A,FALSE,"RAB-TEMPEL"}</definedName>
    <definedName name="awloader">[19]alat!$J$23</definedName>
    <definedName name="awmaspion0.5">#REF!</definedName>
    <definedName name="awmaspion0.75">#REF!</definedName>
    <definedName name="awmaspion1">#REF!</definedName>
    <definedName name="awmaspion1.25">#REF!</definedName>
    <definedName name="awmaspion1.5">#REF!</definedName>
    <definedName name="awmaspion10">#REF!</definedName>
    <definedName name="awmaspion12">#REF!</definedName>
    <definedName name="awmaspion14">#REF!</definedName>
    <definedName name="awmaspion16">#REF!</definedName>
    <definedName name="awmaspion2">#REF!</definedName>
    <definedName name="awmaspion2.5">#REF!</definedName>
    <definedName name="awmaspion3">#REF!</definedName>
    <definedName name="awmaspion4">#REF!</definedName>
    <definedName name="awmaspion5">#REF!</definedName>
    <definedName name="awmaspion6">#REF!</definedName>
    <definedName name="awmaspion8">#REF!</definedName>
    <definedName name="awrucika0.5">#REF!</definedName>
    <definedName name="awrucika0.75">#REF!</definedName>
    <definedName name="awrucika1">#REF!</definedName>
    <definedName name="awrucika1.25">#REF!</definedName>
    <definedName name="awrucika1.5">#REF!</definedName>
    <definedName name="awrucika10">#REF!</definedName>
    <definedName name="awrucika12">#REF!</definedName>
    <definedName name="awrucika2">#REF!</definedName>
    <definedName name="awrucika2.5">#REF!</definedName>
    <definedName name="awrucika3">#REF!</definedName>
    <definedName name="awrucika4">#REF!</definedName>
    <definedName name="awrucika5">#REF!</definedName>
    <definedName name="awrucika6">#REF!</definedName>
    <definedName name="awrucika8">#REF!</definedName>
    <definedName name="AWS">#N/A</definedName>
    <definedName name="awwavin0.5">#REF!</definedName>
    <definedName name="awwavin0.75">#REF!</definedName>
    <definedName name="awwavin1">#REF!</definedName>
    <definedName name="awwavin1.25">#REF!</definedName>
    <definedName name="awwavin1.5">#REF!</definedName>
    <definedName name="awwavin10">#REF!</definedName>
    <definedName name="awwavin12">#REF!</definedName>
    <definedName name="awwavin2">#REF!</definedName>
    <definedName name="awwavin2.5">#REF!</definedName>
    <definedName name="awwavin3">#REF!</definedName>
    <definedName name="awwavin4">#REF!</definedName>
    <definedName name="awwavin5">#REF!</definedName>
    <definedName name="awwavin6">#REF!</definedName>
    <definedName name="awwavin8">#REF!</definedName>
    <definedName name="AX">#REF!</definedName>
    <definedName name="ayak">#REF!</definedName>
    <definedName name="ayin">#REF!</definedName>
    <definedName name="ayom" localSheetId="7">#REF!</definedName>
    <definedName name="ayom">#REF!</definedName>
    <definedName name="ayub">HAJIME:OWARI</definedName>
    <definedName name="azb">#REF!</definedName>
    <definedName name="b">#REF!</definedName>
    <definedName name="B.">#REF!</definedName>
    <definedName name="b..">#REF!</definedName>
    <definedName name="B.1">#REF!</definedName>
    <definedName name="B.1_30">#REF!</definedName>
    <definedName name="B.10">#REF!</definedName>
    <definedName name="B.109.">#REF!,#REF!</definedName>
    <definedName name="B.15">#REF!</definedName>
    <definedName name="B.2">#REF!</definedName>
    <definedName name="B.2_30">#REF!</definedName>
    <definedName name="B.3">#REF!</definedName>
    <definedName name="B.3_30">#REF!</definedName>
    <definedName name="B.30">#REF!</definedName>
    <definedName name="B.31">#REF!</definedName>
    <definedName name="B.32">#REF!</definedName>
    <definedName name="B.33">#REF!</definedName>
    <definedName name="B.34">#REF!</definedName>
    <definedName name="B.35">#REF!</definedName>
    <definedName name="B.36">#REF!</definedName>
    <definedName name="B.38">#REF!</definedName>
    <definedName name="B.39">#REF!</definedName>
    <definedName name="B.4">#REF!</definedName>
    <definedName name="B.4_30">#REF!</definedName>
    <definedName name="B.40">#REF!</definedName>
    <definedName name="B.5">#REF!</definedName>
    <definedName name="B.5_30">#REF!</definedName>
    <definedName name="B.6">#REF!</definedName>
    <definedName name="B.6.1">#REF!</definedName>
    <definedName name="B.6.11">#REF!</definedName>
    <definedName name="B.6.9">#REF!</definedName>
    <definedName name="B.6_30">#REF!</definedName>
    <definedName name="B.Aparatur">#REF!</definedName>
    <definedName name="b.belah">#REF!</definedName>
    <definedName name="b.g.ker">#REF!</definedName>
    <definedName name="B.Jambi">#REF!</definedName>
    <definedName name="B.K.175">#REF!</definedName>
    <definedName name="B.K.225">#REF!</definedName>
    <definedName name="B.K.250">#REF!</definedName>
    <definedName name="B.K.275">#REF!</definedName>
    <definedName name="B.K.300">#REF!</definedName>
    <definedName name="B.K.350">#REF!</definedName>
    <definedName name="B.K.400">#REF!</definedName>
    <definedName name="b.klas1">#REF!</definedName>
    <definedName name="b.klas2">#REF!</definedName>
    <definedName name="b.klas3">#REF!</definedName>
    <definedName name="b.l">#REF!</definedName>
    <definedName name="B.List_Profil_4.5_cm">#REF!</definedName>
    <definedName name="B.Paku__1___3_cm">#REF!</definedName>
    <definedName name="b.plat">#REF!</definedName>
    <definedName name="B.Publik">#REF!</definedName>
    <definedName name="B.RL1.101">#REF!</definedName>
    <definedName name="B.RL1.101B">#REF!</definedName>
    <definedName name="B.RL1.101E">#REF!</definedName>
    <definedName name="B.RL1.102">#REF!</definedName>
    <definedName name="B.RL1.102B">#REF!</definedName>
    <definedName name="B.RL1.102E">#REF!</definedName>
    <definedName name="B.RL1.103">#REF!</definedName>
    <definedName name="B.RL1.103B">#REF!</definedName>
    <definedName name="B.RL1.103E">#REF!</definedName>
    <definedName name="B.RL1.104">#REF!</definedName>
    <definedName name="B.RL1.104B">#REF!</definedName>
    <definedName name="B.RL1.104E">#REF!</definedName>
    <definedName name="B.RL1.105">#REF!</definedName>
    <definedName name="B.RL1.105B">#REF!</definedName>
    <definedName name="B.RL1.105E">#REF!</definedName>
    <definedName name="B.RL1.106">#REF!</definedName>
    <definedName name="B.RL1.106B">#REF!</definedName>
    <definedName name="B.RL1.106E">#REF!</definedName>
    <definedName name="B.SARI">#REF!</definedName>
    <definedName name="b.super.5.10">#REF!</definedName>
    <definedName name="B.TG.101">#REF!</definedName>
    <definedName name="B.TG.101B">#REF!</definedName>
    <definedName name="B.TG.101E">#REF!</definedName>
    <definedName name="B.TG.102">#REF!</definedName>
    <definedName name="B.TG.102B">#REF!</definedName>
    <definedName name="B.TG.102E">#REF!</definedName>
    <definedName name="b__Analisa_G.41__b">#REF!</definedName>
    <definedName name="b_0">#REF!</definedName>
    <definedName name="B_1">#REF!</definedName>
    <definedName name="B_1_1">#REF!</definedName>
    <definedName name="B_1_10">#REF!</definedName>
    <definedName name="B_1_11">#REF!</definedName>
    <definedName name="B_1_12">#REF!</definedName>
    <definedName name="B_1_13">#REF!</definedName>
    <definedName name="B_1_2">#REF!</definedName>
    <definedName name="B_1_2_1">#REF!</definedName>
    <definedName name="B_1_2_1_6">#REF!</definedName>
    <definedName name="B_1_2_5">#REF!</definedName>
    <definedName name="B_1_2_6">#REF!</definedName>
    <definedName name="B_1_2_7">#REF!</definedName>
    <definedName name="B_1_2_7_5">#REF!</definedName>
    <definedName name="B_1_3">#REF!</definedName>
    <definedName name="B_1_3_10">#REF!</definedName>
    <definedName name="B_1_3_11">#REF!</definedName>
    <definedName name="B_1_3_12">#REF!</definedName>
    <definedName name="B_1_3_13">#REF!</definedName>
    <definedName name="B_1_3_4">#REF!</definedName>
    <definedName name="B_1_3_4_5">#REF!</definedName>
    <definedName name="B_1_3_5">#REF!</definedName>
    <definedName name="B_1_3_6">#REF!</definedName>
    <definedName name="B_1_3_6_5">#REF!</definedName>
    <definedName name="B_1_3_7">#REF!</definedName>
    <definedName name="B_1_3_7_5">#REF!</definedName>
    <definedName name="B_1_3_9">#REF!</definedName>
    <definedName name="B_1_4">#REF!</definedName>
    <definedName name="B_1_4_1">#REF!</definedName>
    <definedName name="B_1_4_1_5">#REF!</definedName>
    <definedName name="B_1_4_10">#REF!</definedName>
    <definedName name="B_1_4_11">#REF!</definedName>
    <definedName name="B_1_4_12">#REF!</definedName>
    <definedName name="B_1_4_13">#REF!</definedName>
    <definedName name="B_1_4_2">#REF!</definedName>
    <definedName name="B_1_4_2_6">#REF!</definedName>
    <definedName name="B_1_4_4">#REF!</definedName>
    <definedName name="B_1_4_4_5">#REF!</definedName>
    <definedName name="B_1_4_5">#REF!</definedName>
    <definedName name="B_1_4_6">#REF!</definedName>
    <definedName name="B_1_4_6_5">#REF!</definedName>
    <definedName name="B_1_4_7">#REF!</definedName>
    <definedName name="B_1_4_7_5">#REF!</definedName>
    <definedName name="B_1_5">#REF!</definedName>
    <definedName name="B_1_5_2">#REF!</definedName>
    <definedName name="B_1_5_2_6">#REF!</definedName>
    <definedName name="B_1_5_4">#REF!</definedName>
    <definedName name="B_1_5_4_5">#REF!</definedName>
    <definedName name="B_1_5_5">#REF!</definedName>
    <definedName name="B_1_5_6">#REF!</definedName>
    <definedName name="B_1_5_6_5">#REF!</definedName>
    <definedName name="B_1_5_7">#REF!</definedName>
    <definedName name="B_1_5_7_5">#REF!</definedName>
    <definedName name="B_1_6">#REF!</definedName>
    <definedName name="B_1_6_1">#REF!</definedName>
    <definedName name="B_1_6_1_5">#REF!</definedName>
    <definedName name="B_1_6_10">#REF!</definedName>
    <definedName name="B_1_6_11">#REF!</definedName>
    <definedName name="B_1_6_12">#REF!</definedName>
    <definedName name="B_1_6_13">#REF!</definedName>
    <definedName name="B_1_6_4">#REF!</definedName>
    <definedName name="B_1_6_4_5">#REF!</definedName>
    <definedName name="B_1_6_5">#REF!</definedName>
    <definedName name="B_1_6_6">#REF!</definedName>
    <definedName name="B_1_6_6_5">#REF!</definedName>
    <definedName name="B_1_6_7">#REF!</definedName>
    <definedName name="B_1_6_7_5">#REF!</definedName>
    <definedName name="B_1_6_9">#REF!</definedName>
    <definedName name="B_1_7">#REF!</definedName>
    <definedName name="B_1_7_5">#REF!</definedName>
    <definedName name="B_1_9">#REF!</definedName>
    <definedName name="B_10">#REF!</definedName>
    <definedName name="B_10190">#REF!</definedName>
    <definedName name="B_11">#REF!</definedName>
    <definedName name="B_12">#REF!</definedName>
    <definedName name="B_123K125">#REF!</definedName>
    <definedName name="B_13">#REF!</definedName>
    <definedName name="B_1520">#REF!</definedName>
    <definedName name="B_1530">#REF!</definedName>
    <definedName name="B_1560">#REF!</definedName>
    <definedName name="B_16">#REF!</definedName>
    <definedName name="B_18">#REF!</definedName>
    <definedName name="B_19">#REF!</definedName>
    <definedName name="B_2">#REF!</definedName>
    <definedName name="B_2_1">#REF!</definedName>
    <definedName name="B_2_1_6">#REF!</definedName>
    <definedName name="B_2_5">#REF!</definedName>
    <definedName name="B_2_6">#REF!</definedName>
    <definedName name="B_2_7">#REF!</definedName>
    <definedName name="B_2_7_5">#REF!</definedName>
    <definedName name="B_2040">#REF!</definedName>
    <definedName name="B_2045_AT">#REF!</definedName>
    <definedName name="B_2050">#REF!</definedName>
    <definedName name="B_20501">#REF!</definedName>
    <definedName name="B_2050A">#REF!</definedName>
    <definedName name="B_2070">#REF!</definedName>
    <definedName name="b_240">'[18]THPDMoi  (2)'!#REF!</definedName>
    <definedName name="B_2550">#REF!</definedName>
    <definedName name="B_2550_KT">#REF!</definedName>
    <definedName name="B_2550_MZ">#REF!</definedName>
    <definedName name="B_25501">#REF!</definedName>
    <definedName name="B_2560">#REF!</definedName>
    <definedName name="B_2560_AT">#REF!</definedName>
    <definedName name="B_2560_MZ">#REF!</definedName>
    <definedName name="B_2560_V">#REF!</definedName>
    <definedName name="B_25603">#REF!</definedName>
    <definedName name="B_2560503">#REF!</definedName>
    <definedName name="b_280">'[18]THPDMoi  (2)'!#REF!</definedName>
    <definedName name="B_3">#REF!</definedName>
    <definedName name="B_3_10">#REF!</definedName>
    <definedName name="B_3_11">#REF!</definedName>
    <definedName name="B_3_12">#REF!</definedName>
    <definedName name="B_3_13">#REF!</definedName>
    <definedName name="B_3_4">#REF!</definedName>
    <definedName name="B_3_4_5">#REF!</definedName>
    <definedName name="B_3_5">#REF!</definedName>
    <definedName name="B_3_6">#REF!</definedName>
    <definedName name="B_3_6_5">#REF!</definedName>
    <definedName name="B_3_7">#REF!</definedName>
    <definedName name="B_3_7_5">#REF!</definedName>
    <definedName name="B_3_9">#REF!</definedName>
    <definedName name="B_30100">#REF!</definedName>
    <definedName name="B_30110">#REF!</definedName>
    <definedName name="B_3011070">#REF!</definedName>
    <definedName name="B_30115">#REF!</definedName>
    <definedName name="B_3050">#REF!</definedName>
    <definedName name="B_30501">#REF!</definedName>
    <definedName name="B_3060">#REF!</definedName>
    <definedName name="B_3060_V">#REF!</definedName>
    <definedName name="B_3070">#REF!</definedName>
    <definedName name="B_3070A">#REF!</definedName>
    <definedName name="B_3070J">#REF!</definedName>
    <definedName name="B_3070JA">#REF!</definedName>
    <definedName name="B_3075">#REF!</definedName>
    <definedName name="B_30753">#REF!</definedName>
    <definedName name="B_3080">#REF!</definedName>
    <definedName name="b_320">'[18]THPDMoi  (2)'!#REF!</definedName>
    <definedName name="B_3a">#REF!</definedName>
    <definedName name="B_4">#REF!</definedName>
    <definedName name="B_4_1">#REF!</definedName>
    <definedName name="B_4_1_5">#REF!</definedName>
    <definedName name="B_4_10">#REF!</definedName>
    <definedName name="B_4_11">#REF!</definedName>
    <definedName name="B_4_12">#REF!</definedName>
    <definedName name="B_4_13">#REF!</definedName>
    <definedName name="B_4_2">#REF!</definedName>
    <definedName name="B_4_2_6">#REF!</definedName>
    <definedName name="B_4_4">#REF!</definedName>
    <definedName name="B_4_4_5">#REF!</definedName>
    <definedName name="B_4_5">#REF!</definedName>
    <definedName name="B_4_6">#REF!</definedName>
    <definedName name="B_4_6_5">#REF!</definedName>
    <definedName name="B_4_7">#REF!</definedName>
    <definedName name="B_4_7_5">#REF!</definedName>
    <definedName name="B_40110">#REF!</definedName>
    <definedName name="B_4070">#REF!</definedName>
    <definedName name="B_4070_AT">#REF!</definedName>
    <definedName name="B_4070J">#REF!</definedName>
    <definedName name="B_4070JA">#REF!</definedName>
    <definedName name="B_5">#REF!</definedName>
    <definedName name="B_5_2">#REF!</definedName>
    <definedName name="B_5_2_6">#REF!</definedName>
    <definedName name="B_5_4">#REF!</definedName>
    <definedName name="B_5_4_5">#REF!</definedName>
    <definedName name="B_5_5">#REF!</definedName>
    <definedName name="B_5_6">#REF!</definedName>
    <definedName name="B_5_6_5">#REF!</definedName>
    <definedName name="B_5_7">#REF!</definedName>
    <definedName name="B_5_7_5">#REF!</definedName>
    <definedName name="B_50100">#REF!</definedName>
    <definedName name="B_50110">#REF!</definedName>
    <definedName name="B_5011070">#REF!</definedName>
    <definedName name="B_50115">#REF!</definedName>
    <definedName name="B_50130">#REF!</definedName>
    <definedName name="B_5070">#REF!</definedName>
    <definedName name="B_5080">#REF!</definedName>
    <definedName name="B_6">#REF!</definedName>
    <definedName name="B_6_1">#REF!</definedName>
    <definedName name="B_6_1_5">#REF!</definedName>
    <definedName name="B_6_10">#REF!</definedName>
    <definedName name="B_6_11">#REF!</definedName>
    <definedName name="B_6_12">#REF!</definedName>
    <definedName name="B_6_13">#REF!</definedName>
    <definedName name="B_6_4">#REF!</definedName>
    <definedName name="B_6_4_5">#REF!</definedName>
    <definedName name="B_6_5">#REF!</definedName>
    <definedName name="B_6_6">#REF!</definedName>
    <definedName name="B_6_6_5">#REF!</definedName>
    <definedName name="B_6_7">#REF!</definedName>
    <definedName name="B_6_7_5">#REF!</definedName>
    <definedName name="B_6_9">#REF!</definedName>
    <definedName name="B_7">#REF!</definedName>
    <definedName name="B_7_5">#REF!</definedName>
    <definedName name="B_9">#REF!</definedName>
    <definedName name="b_an">#REF!</definedName>
    <definedName name="b_ap">[65]harsat!#REF!</definedName>
    <definedName name="b_b">#REF!</definedName>
    <definedName name="B_BALOK">#REF!</definedName>
    <definedName name="B_Balok_G1_ltAtap">'[66]Analisa Harga Satuan'!$G$982</definedName>
    <definedName name="B_Balok_G2_ltAtap">'[66]Analisa Harga Satuan'!$G$991</definedName>
    <definedName name="B_Balok_G3_ltAtap">'[66]Analisa Harga Satuan'!$G$1000</definedName>
    <definedName name="B_Balok_G4_ltAtap">'[66]Analisa Harga Satuan'!$G$1009</definedName>
    <definedName name="B_BalokB1ds">#REF!</definedName>
    <definedName name="B_BalokB1lt2">#REF!</definedName>
    <definedName name="B_BAlokB1lt3">#REF!</definedName>
    <definedName name="B_BalokB24ds">#REF!</definedName>
    <definedName name="B_BalokB24lt2">#REF!</definedName>
    <definedName name="B_BalokB2lt3">#REF!</definedName>
    <definedName name="B_BalokB3ds">#REF!</definedName>
    <definedName name="B_BalokB3lt2">#REF!</definedName>
    <definedName name="B_BalokB3lt3">#REF!</definedName>
    <definedName name="B_BalokB5ds">#REF!</definedName>
    <definedName name="B_BalokB5lt2">#REF!</definedName>
    <definedName name="B_BalokB6ds">#REF!</definedName>
    <definedName name="B_Balokb6lt2">#REF!</definedName>
    <definedName name="B_BalokB6lt3">#REF!</definedName>
    <definedName name="B_BalokBorderTU23">#REF!</definedName>
    <definedName name="B_BalokBordesTD23">#REF!</definedName>
    <definedName name="B_BalokBordesTU">#REF!</definedName>
    <definedName name="B_BAlokD5">#REF!</definedName>
    <definedName name="B_BalokG1_lt2">'[67]Analisa Harga Satuan'!$G$780</definedName>
    <definedName name="B_BalokTD34">#REF!</definedName>
    <definedName name="B_BalokTU34">#REF!</definedName>
    <definedName name="B_BorderTD23">#REF!</definedName>
    <definedName name="B_BorderTD34">#REF!</definedName>
    <definedName name="B_BorderTU23">#REF!</definedName>
    <definedName name="B_BorderTU34">#REF!</definedName>
    <definedName name="B_BordesTDR">#REF!</definedName>
    <definedName name="B_BordesTU">#REF!</definedName>
    <definedName name="b_bt">[68]HSATUAN!$H$16</definedName>
    <definedName name="b_cd">#REF!</definedName>
    <definedName name="b_ck">#REF!</definedName>
    <definedName name="b_d">#REF!</definedName>
    <definedName name="b_ddg">#REF!</definedName>
    <definedName name="b_ddg1">#REF!</definedName>
    <definedName name="b_ddg2">#REF!</definedName>
    <definedName name="B_Elect">#REF!</definedName>
    <definedName name="b_k">#REF!</definedName>
    <definedName name="B_K225">#REF!</definedName>
    <definedName name="b_k250">#REF!</definedName>
    <definedName name="B_K275">#REF!</definedName>
    <definedName name="b_k300">#REF!</definedName>
    <definedName name="b_k350">#REF!</definedName>
    <definedName name="b_kali">[65]harsat!$I$16</definedName>
    <definedName name="B_KOLOM">#REF!</definedName>
    <definedName name="B_KolomBalokPraktis">#REF!</definedName>
    <definedName name="B_KolomK1_ds2">'[67]Analisa Harga Satuan'!$G$526</definedName>
    <definedName name="B_Kolomlt2">#REF!</definedName>
    <definedName name="B_KolomLt3">#REF!</definedName>
    <definedName name="B_KolomLT4">#REF!</definedName>
    <definedName name="B_KolomLt5">#REF!</definedName>
    <definedName name="B_KolomStr">#REF!</definedName>
    <definedName name="B_KONPEN">#REF!</definedName>
    <definedName name="B_KONPEN3">#REF!</definedName>
    <definedName name="b_l">#REF!</definedName>
    <definedName name="B_Lantai">#REF!</definedName>
    <definedName name="B_LATEI">#REF!</definedName>
    <definedName name="b_lgr">#REF!</definedName>
    <definedName name="B_LISPLANK">#REF!</definedName>
    <definedName name="b_list">#REF!</definedName>
    <definedName name="b_list1">#REF!</definedName>
    <definedName name="B_Listplank">#REF!</definedName>
    <definedName name="b_ls">#REF!</definedName>
    <definedName name="B_MejaDapur">#REF!</definedName>
    <definedName name="b_p">#REF!</definedName>
    <definedName name="b_p250">#REF!</definedName>
    <definedName name="B_PC125">#REF!</definedName>
    <definedName name="B_PC225">#REF!</definedName>
    <definedName name="b_pcap">#REF!</definedName>
    <definedName name="B_PDS">#REF!</definedName>
    <definedName name="B_PileCapPC1">#REF!</definedName>
    <definedName name="B_PileCapPC2">#REF!</definedName>
    <definedName name="b_pit">#REF!</definedName>
    <definedName name="B_PLAT">#REF!</definedName>
    <definedName name="B_PlatTanggaDrr">#REF!</definedName>
    <definedName name="B_PlatTD23">#REF!</definedName>
    <definedName name="B_PlatTD34">#REF!</definedName>
    <definedName name="B_PLatTU">#REF!</definedName>
    <definedName name="B_platTU23">#REF!</definedName>
    <definedName name="b_r">#REF!</definedName>
    <definedName name="b_rp">#REF!</definedName>
    <definedName name="b_rp1">#REF!</definedName>
    <definedName name="B_S1">'[67]Analisa Harga Satuan'!$G$495</definedName>
    <definedName name="b_sb">#REF!</definedName>
    <definedName name="b_sb1">#REF!</definedName>
    <definedName name="B_sg">#REF!</definedName>
    <definedName name="b_sllof">#REF!</definedName>
    <definedName name="B_SLOOF">#REF!</definedName>
    <definedName name="B_Sloof_TYPE_S1">'[66]Analisa Harga Satuan'!$G$509</definedName>
    <definedName name="B_Sloof2">#REF!</definedName>
    <definedName name="b_slu">#REF!</definedName>
    <definedName name="B_Sopi2">#REF!</definedName>
    <definedName name="b_spt">#REF!</definedName>
    <definedName name="b_t250">#REF!</definedName>
    <definedName name="B_TANGGA">#REF!</definedName>
    <definedName name="B_TANGGA1">#REF!</definedName>
    <definedName name="B_TANGGA4">#REF!</definedName>
    <definedName name="B_TanggaDarurat">'[66]Analisa Harga Satuan'!$G$699</definedName>
    <definedName name="B_TanggaUtama">'[66]Analisa Harga Satuan'!$G$687</definedName>
    <definedName name="b_tg">#REF!</definedName>
    <definedName name="b_tgg">#REF!</definedName>
    <definedName name="b_tgg1">#REF!</definedName>
    <definedName name="B_WALL">#REF!</definedName>
    <definedName name="b0">#REF!</definedName>
    <definedName name="B1_">#REF!</definedName>
    <definedName name="B10_">#REF!</definedName>
    <definedName name="B11_">#REF!</definedName>
    <definedName name="B12_">#REF!</definedName>
    <definedName name="B13_">#REF!</definedName>
    <definedName name="b1535b145">#REF!</definedName>
    <definedName name="B2_">#REF!</definedName>
    <definedName name="b2030b180">#REF!</definedName>
    <definedName name="b2035bs190">#REF!</definedName>
    <definedName name="b2060b180">#REF!</definedName>
    <definedName name="B3_">#REF!</definedName>
    <definedName name="b3020b175">#REF!</definedName>
    <definedName name="b3020bs175">#REF!</definedName>
    <definedName name="b3040b160">#REF!</definedName>
    <definedName name="b3b">#REF!</definedName>
    <definedName name="b3c">#REF!</definedName>
    <definedName name="B4_">#REF!</definedName>
    <definedName name="b4b">#REF!</definedName>
    <definedName name="b4k">#REF!</definedName>
    <definedName name="B5_">#REF!</definedName>
    <definedName name="b5c">#REF!</definedName>
    <definedName name="b5k">#REF!</definedName>
    <definedName name="B6_">#REF!</definedName>
    <definedName name="b6b">#REF!</definedName>
    <definedName name="b6k">#REF!</definedName>
    <definedName name="B7_">#REF!</definedName>
    <definedName name="b7k">#REF!</definedName>
    <definedName name="B8_">#REF!</definedName>
    <definedName name="B9_">#REF!</definedName>
    <definedName name="ba">[69]harsat!$H$39</definedName>
    <definedName name="baa">#REF!</definedName>
    <definedName name="babekb">#REF!</definedName>
    <definedName name="babekp">#REF!</definedName>
    <definedName name="Baby_Roller">#REF!</definedName>
    <definedName name="bac">#REF!</definedName>
    <definedName name="backhoe">#REF!</definedName>
    <definedName name="backup">#REF!</definedName>
    <definedName name="badan_jalan">#REF!</definedName>
    <definedName name="baf">[65]harsat!#REF!</definedName>
    <definedName name="bagan">#REF!</definedName>
    <definedName name="baggrekunci">[70]bahan!$G$16</definedName>
    <definedName name="baggretutup">[70]bahan!$G$15</definedName>
    <definedName name="BAGIAN_1">#REF!</definedName>
    <definedName name="BAGIAN_1_1">#REF!</definedName>
    <definedName name="BAGIAN_1_1_2">#REF!</definedName>
    <definedName name="BAGIAN_1_1_2_5">#REF!</definedName>
    <definedName name="BAGIAN_1_1_2_6">#REF!</definedName>
    <definedName name="BAGIAN_1_1_2_7">#REF!</definedName>
    <definedName name="BAGIAN_1_1_2_7_5">#REF!</definedName>
    <definedName name="BAGIAN_1_2">#REF!</definedName>
    <definedName name="BAGIAN_1_2_2">#REF!</definedName>
    <definedName name="BAGIAN_1_2_2_6">#REF!</definedName>
    <definedName name="BAGIAN_1_3">#REF!</definedName>
    <definedName name="BAGIAN_1_3_5">#REF!</definedName>
    <definedName name="BAGIAN_1_3_6">#REF!</definedName>
    <definedName name="BAGIAN_1_3_7">#REF!</definedName>
    <definedName name="BAGIAN_1_3_7_5">#REF!</definedName>
    <definedName name="BAGIAN_1_4">#REF!</definedName>
    <definedName name="BAGIAN_1_6">#REF!</definedName>
    <definedName name="BAGIAN_1_6_5">#REF!</definedName>
    <definedName name="BAGIAN_1_6_6">#REF!</definedName>
    <definedName name="BAGIAN_1_6_7">#REF!</definedName>
    <definedName name="BAGIAN_1_6_7_5">#REF!</definedName>
    <definedName name="BAGIAN_1_7">#REF!</definedName>
    <definedName name="BAGIAN_1_7_5">#REF!</definedName>
    <definedName name="BAGIAN_1_7_6">#REF!</definedName>
    <definedName name="BAGIAN_1_7_7">#REF!</definedName>
    <definedName name="BAGIAN_1_7_7_5">#REF!</definedName>
    <definedName name="BAGIAN_1_8">#REF!</definedName>
    <definedName name="BAGIAN_1_8_2">#REF!</definedName>
    <definedName name="BAGIAN_1_8_3">#REF!</definedName>
    <definedName name="BAGIAN_1_9">#REF!</definedName>
    <definedName name="BAGIAN_1_9_2">#REF!</definedName>
    <definedName name="BAGIAN_1_9_3">#REF!</definedName>
    <definedName name="BagPro">#REF!</definedName>
    <definedName name="bagpro1">#REF!</definedName>
    <definedName name="BagPro2">#REF!</definedName>
    <definedName name="bahan">#REF!</definedName>
    <definedName name="BAHAN?">#REF!</definedName>
    <definedName name="BAHAN_1">#REF!</definedName>
    <definedName name="BAHAN_1_1">#REF!</definedName>
    <definedName name="BAHAN_1_2">#REF!</definedName>
    <definedName name="BAHAN_1_4">#REF!</definedName>
    <definedName name="BAHAN_1_4_5">#REF!</definedName>
    <definedName name="BAHAN_1_5">#REF!</definedName>
    <definedName name="BAHAN_1_6">#REF!</definedName>
    <definedName name="BAHAN_1_6_5">#REF!</definedName>
    <definedName name="BAHAN_1_7">#REF!</definedName>
    <definedName name="BAHAN_1_7_5">#REF!</definedName>
    <definedName name="BAHAN_10">#REF!</definedName>
    <definedName name="BAHAN_11">#REF!</definedName>
    <definedName name="BAHAN_12">#REF!</definedName>
    <definedName name="BAHAN_13">#REF!</definedName>
    <definedName name="BAHAN_2">#REF!</definedName>
    <definedName name="BAHAN_2_1">#REF!</definedName>
    <definedName name="BAHAN_2_1_6">#REF!</definedName>
    <definedName name="BAHAN_2_2">#REF!</definedName>
    <definedName name="BAHAN_2_4">#REF!</definedName>
    <definedName name="BAHAN_2_4_5">#REF!</definedName>
    <definedName name="BAHAN_2_5">#REF!</definedName>
    <definedName name="BAHAN_2_6">#REF!</definedName>
    <definedName name="BAHAN_2_6_5">#REF!</definedName>
    <definedName name="BAHAN_2_7">#REF!</definedName>
    <definedName name="BAHAN_2_7_5">#REF!</definedName>
    <definedName name="bahan_2014">#REF!</definedName>
    <definedName name="BAHAN_3">#REF!</definedName>
    <definedName name="BAHAN_3_2">#REF!</definedName>
    <definedName name="BAHAN_3_4">#REF!</definedName>
    <definedName name="BAHAN_3_4_5">#REF!</definedName>
    <definedName name="BAHAN_3_5">#REF!</definedName>
    <definedName name="BAHAN_3_6">#REF!</definedName>
    <definedName name="BAHAN_3_6_5">#REF!</definedName>
    <definedName name="BAHAN_3_7">#REF!</definedName>
    <definedName name="BAHAN_3_7_5">#REF!</definedName>
    <definedName name="BAHAN_4">#REF!</definedName>
    <definedName name="BAHAN_4_1">#REF!</definedName>
    <definedName name="BAHAN_4_1_5">#REF!</definedName>
    <definedName name="BAHAN_4_10">#REF!</definedName>
    <definedName name="BAHAN_4_11">#REF!</definedName>
    <definedName name="BAHAN_4_12">#REF!</definedName>
    <definedName name="BAHAN_4_13">#REF!</definedName>
    <definedName name="BAHAN_4_2">#REF!</definedName>
    <definedName name="BAHAN_4_4">#REF!</definedName>
    <definedName name="BAHAN_4_4_5">#REF!</definedName>
    <definedName name="BAHAN_4_5">#REF!</definedName>
    <definedName name="BAHAN_4_6">#REF!</definedName>
    <definedName name="BAHAN_4_6_5">#REF!</definedName>
    <definedName name="BAHAN_4_7">#REF!</definedName>
    <definedName name="BAHAN_4_7_5">#REF!</definedName>
    <definedName name="BAHAN_5">#REF!</definedName>
    <definedName name="BAHAN_5_2">#REF!</definedName>
    <definedName name="BAHAN_5_4">#REF!</definedName>
    <definedName name="BAHAN_5_4_5">#REF!</definedName>
    <definedName name="BAHAN_5_5">#REF!</definedName>
    <definedName name="BAHAN_5_6">#REF!</definedName>
    <definedName name="BAHAN_5_6_5">#REF!</definedName>
    <definedName name="BAHAN_5_7">#REF!</definedName>
    <definedName name="BAHAN_5_7_5">#REF!</definedName>
    <definedName name="BAHAN_6">#REF!</definedName>
    <definedName name="BAHAN_6_1">#REF!</definedName>
    <definedName name="BAHAN_6_1_5">#REF!</definedName>
    <definedName name="BAHAN_6_2">#REF!</definedName>
    <definedName name="BAHAN_6_4">#REF!</definedName>
    <definedName name="BAHAN_6_4_5">#REF!</definedName>
    <definedName name="BAHAN_6_5">#REF!</definedName>
    <definedName name="BAHAN_6_6">#REF!</definedName>
    <definedName name="BAHAN_6_6_5">#REF!</definedName>
    <definedName name="BAHAN_6_7">#REF!</definedName>
    <definedName name="BAHAN_6_7_5">#REF!</definedName>
    <definedName name="BAHAN_7">#REF!</definedName>
    <definedName name="BAHAN_7_1">#REF!</definedName>
    <definedName name="BAHAN_7_1_5">#REF!</definedName>
    <definedName name="BAHAN_7_10">#REF!</definedName>
    <definedName name="BAHAN_7_11">#REF!</definedName>
    <definedName name="BAHAN_7_12">#REF!</definedName>
    <definedName name="BAHAN_7_13">#REF!</definedName>
    <definedName name="BAHAN_7_5">#REF!</definedName>
    <definedName name="bahan_8_6">#REF!</definedName>
    <definedName name="BAHAN_9">#REF!</definedName>
    <definedName name="Bahan_Bantu">#REF!</definedName>
    <definedName name="Bahan_bekisting">#REF!</definedName>
    <definedName name="bahan_Pake">'BAHAN '!$E$6:$G$1024</definedName>
    <definedName name="Bahan_Pemeliharaan_rutin_bahu_jalan">#REF!</definedName>
    <definedName name="Bahan_pemeliharaan_rutin_jembatan">#REF!</definedName>
    <definedName name="Bahan_pemeliharaan_rutin_perkerasan">#REF!</definedName>
    <definedName name="Bahan_pemeliharaan_rutin_perlengkapan_jln">#REF!</definedName>
    <definedName name="Bahan_pemeliharaan_rutin_selokan">#REF!</definedName>
    <definedName name="bahan1">#REF!</definedName>
    <definedName name="bahan2">#REF!</definedName>
    <definedName name="BAHAN521">#REF!</definedName>
    <definedName name="BAHANATAP">#REF!</definedName>
    <definedName name="BahanChange">#REF!</definedName>
    <definedName name="bahandanalat">#REF!</definedName>
    <definedName name="bahane">#REF!</definedName>
    <definedName name="BAHANFINISHING">#REF!</definedName>
    <definedName name="BAHANKAYUDANKACA">#REF!</definedName>
    <definedName name="BAHANLAIN2">#REF!</definedName>
    <definedName name="BAHANLISTRIK">#REF!</definedName>
    <definedName name="BAHANMINYAK">#REF!</definedName>
    <definedName name="BAHANORNAMEN">#REF!</definedName>
    <definedName name="BAHANPAKU">#REF!</definedName>
    <definedName name="BAHANPASANGAN">#REF!</definedName>
    <definedName name="BAHANPENGGANTUNGDANPENGUNCI">#REF!</definedName>
    <definedName name="BAHANPLAFONDDANLANTAI">#REF!</definedName>
    <definedName name="BAHANSANITAIR">#REF!</definedName>
    <definedName name="BAHANURUGAN">#REF!</definedName>
    <definedName name="BAHU">#REF!</definedName>
    <definedName name="BAHU_JL" localSheetId="7">'[33]Analisa pemkot'!#REF!</definedName>
    <definedName name="BAHU_JL">'[33]Analisa pemkot'!#REF!</definedName>
    <definedName name="Baja">#REF!</definedName>
    <definedName name="Baja_C.120.50.20.2_3">#REF!</definedName>
    <definedName name="Baja_Canal_U_50.38.5">#REF!</definedName>
    <definedName name="Baja_Profil">#REF!</definedName>
    <definedName name="Baja_Str_2500">#REF!</definedName>
    <definedName name="Baja_Str_2800">#REF!</definedName>
    <definedName name="Baja_Tulangan">#REF!</definedName>
    <definedName name="Baja_U24">#REF!</definedName>
    <definedName name="Baja_U32">#REF!</definedName>
    <definedName name="bajacnp">#REF!</definedName>
    <definedName name="bajaplat">#REF!</definedName>
    <definedName name="bajasiku">#REF!</definedName>
    <definedName name="bajawf">#REF!</definedName>
    <definedName name="bajiro">#REF!</definedName>
    <definedName name="bak">'[21]Harga Satuan Bahan'!$E$144</definedName>
    <definedName name="bak_1">#REF!</definedName>
    <definedName name="bak_10">#REF!</definedName>
    <definedName name="bak_11">#REF!</definedName>
    <definedName name="bak_12">#REF!</definedName>
    <definedName name="bak_2">#REF!</definedName>
    <definedName name="bak_3">#REF!</definedName>
    <definedName name="bak_4">#REF!</definedName>
    <definedName name="bak_5">#REF!</definedName>
    <definedName name="bak_6">#REF!</definedName>
    <definedName name="bak_7">#REF!</definedName>
    <definedName name="bak_8">#REF!</definedName>
    <definedName name="bak_9">#REF!</definedName>
    <definedName name="Bak_air_fiber_glass_1m">#REF!</definedName>
    <definedName name="BAK_KONTROL_45X45X50">#REF!</definedName>
    <definedName name="bak_m">#REF!</definedName>
    <definedName name="bak_m_p">#REF!</definedName>
    <definedName name="bak_m1">#REF!</definedName>
    <definedName name="Bak_mandi_fiber_glass_50x50x50_lapis_porselin">#REF!</definedName>
    <definedName name="bak_p">#REF!</definedName>
    <definedName name="Bak_Septictank">#REF!</definedName>
    <definedName name="BAK_ZINK">#REF!</definedName>
    <definedName name="BakAdukan">#REF!</definedName>
    <definedName name="BAKAIR">#N/A</definedName>
    <definedName name="bakcp">#REF!</definedName>
    <definedName name="bakcuci">#REF!</definedName>
    <definedName name="BakCuciPiring">#REF!</definedName>
    <definedName name="bakcuciroyal">#REF!</definedName>
    <definedName name="bakcucistanlees">#REF!</definedName>
    <definedName name="bakkm">'[21]Harga Satuan Bahan'!#REF!</definedName>
    <definedName name="bakkontrol">#REF!</definedName>
    <definedName name="BakKontrol3030t35">#REF!</definedName>
    <definedName name="bakKontrol404050">#REF!</definedName>
    <definedName name="bAKKONTROL4545">#REF!</definedName>
    <definedName name="bakmandifiber">#REF!</definedName>
    <definedName name="BakMandiFibre">#REF!</definedName>
    <definedName name="bakrie">[71]harsat!#REF!</definedName>
    <definedName name="baks">[24]Analisa!#REF!</definedName>
    <definedName name="baktraso">#REF!</definedName>
    <definedName name="bal1525b140">#REF!</definedName>
    <definedName name="bal1525b220">#REF!</definedName>
    <definedName name="bal1530b140">#REF!</definedName>
    <definedName name="bal1530b160">#REF!</definedName>
    <definedName name="bal1530b180">#REF!</definedName>
    <definedName name="bal1530b195">#REF!</definedName>
    <definedName name="bal1540b200">#REF!</definedName>
    <definedName name="bal2025b185">#REF!</definedName>
    <definedName name="bal2025b200">#REF!</definedName>
    <definedName name="bal2030b215">#REF!</definedName>
    <definedName name="bal2030b220">#REF!</definedName>
    <definedName name="bal2040b140">#REF!</definedName>
    <definedName name="bal2040b165">#REF!</definedName>
    <definedName name="bal2050b165">#REF!</definedName>
    <definedName name="bal2060b150">#REF!</definedName>
    <definedName name="bal3040b140">#REF!</definedName>
    <definedName name="bal3040b180">#REF!</definedName>
    <definedName name="bal3050b190">#REF!</definedName>
    <definedName name="bal3060b180">#REF!</definedName>
    <definedName name="bal4055b215">#REF!</definedName>
    <definedName name="bal4060b210">#REF!</definedName>
    <definedName name="bal4060b225">#REF!</definedName>
    <definedName name="bal4070b225">#REF!</definedName>
    <definedName name="balk1_36">#REF!</definedName>
    <definedName name="ball">#REF!</definedName>
    <definedName name="balok">#REF!</definedName>
    <definedName name="balok.1">#REF!</definedName>
    <definedName name="balok.2">#REF!</definedName>
    <definedName name="balok.3">#REF!</definedName>
    <definedName name="balok.ges">#REF!</definedName>
    <definedName name="BALOK_100KG">#REF!</definedName>
    <definedName name="BALOK_110KG">#REF!</definedName>
    <definedName name="BALOK_120KG">#REF!</definedName>
    <definedName name="BALOK_130KG">#REF!</definedName>
    <definedName name="BALOK_140KG">#REF!</definedName>
    <definedName name="BALOK_150KG">#REF!</definedName>
    <definedName name="BALOK_160KG">#REF!</definedName>
    <definedName name="BALOK_170KG">#REF!</definedName>
    <definedName name="BALOK_180KG">#REF!</definedName>
    <definedName name="BALOK_190KG">#REF!</definedName>
    <definedName name="BALOK_200KG">#REF!</definedName>
    <definedName name="BALOK_210KG">#REF!</definedName>
    <definedName name="BALOK_220KG">#REF!</definedName>
    <definedName name="BALOK_230KG">#REF!</definedName>
    <definedName name="BALOK_240KG">#REF!</definedName>
    <definedName name="BALOK_250KG">#REF!</definedName>
    <definedName name="BALOK_260KG">#REF!</definedName>
    <definedName name="BALOK_270KG">#REF!</definedName>
    <definedName name="BALOK_280KG">#REF!</definedName>
    <definedName name="BALOK_290KG">#REF!</definedName>
    <definedName name="BALOK_300KG">#REF!</definedName>
    <definedName name="BALOK_310KG">#REF!</definedName>
    <definedName name="BALOK_320KG">#REF!</definedName>
    <definedName name="BALOK_330KG">#REF!</definedName>
    <definedName name="BALOK_340KG">#REF!</definedName>
    <definedName name="BALOK_350KG">#REF!</definedName>
    <definedName name="Balok_borneo">'[72]Daftar Harga'!$G$100</definedName>
    <definedName name="balok_kayu_borneo">#REF!</definedName>
    <definedName name="Balok_Pratekan">#REF!</definedName>
    <definedName name="balok140">#REF!</definedName>
    <definedName name="BALOK1525">#REF!</definedName>
    <definedName name="balok1540">#REF!</definedName>
    <definedName name="balok2030">#REF!</definedName>
    <definedName name="balok2040">#REF!</definedName>
    <definedName name="balok225">#REF!</definedName>
    <definedName name="BALOK3020">#REF!</definedName>
    <definedName name="balok3040">#REF!</definedName>
    <definedName name="balok3050">#REF!</definedName>
    <definedName name="balok3060">#REF!</definedName>
    <definedName name="balok60">#REF!</definedName>
    <definedName name="balok70">#REF!</definedName>
    <definedName name="balokbegesting">#REF!</definedName>
    <definedName name="balokd5">#REF!</definedName>
    <definedName name="BalokFe100">#REF!</definedName>
    <definedName name="BalokFe110">#REF!</definedName>
    <definedName name="BalokFe120">#REF!</definedName>
    <definedName name="BalokFe125">#REF!</definedName>
    <definedName name="BalokFe130">#REF!</definedName>
    <definedName name="BalokFe135">#REF!</definedName>
    <definedName name="BalokFe140">#REF!</definedName>
    <definedName name="BalokFe150">#REF!</definedName>
    <definedName name="BalokFe160">#REF!</definedName>
    <definedName name="BalokFe170">#REF!</definedName>
    <definedName name="BalokFe175">#REF!</definedName>
    <definedName name="BalokFe180">#REF!</definedName>
    <definedName name="BalokFe190">#REF!</definedName>
    <definedName name="BalokFe200">#REF!</definedName>
    <definedName name="BalokFe210">#REF!</definedName>
    <definedName name="BalokFe220">#REF!</definedName>
    <definedName name="BalokFe230">#REF!</definedName>
    <definedName name="BalokFe240">#REF!</definedName>
    <definedName name="BalokFe250">#REF!</definedName>
    <definedName name="BalokFe260">#REF!</definedName>
    <definedName name="BalokFe270">#REF!</definedName>
    <definedName name="BalokFe280">#REF!</definedName>
    <definedName name="BalokFe300">#REF!</definedName>
    <definedName name="BalokFe80">#REF!</definedName>
    <definedName name="BalokFe90">#REF!</definedName>
    <definedName name="BALOKK1SUPIORI">#REF!</definedName>
    <definedName name="balokkam">#REF!</definedName>
    <definedName name="balokkkk">#REF!</definedName>
    <definedName name="balokklas1">#REF!</definedName>
    <definedName name="balokklas2">#REF!</definedName>
    <definedName name="balokklas3">#REF!</definedName>
    <definedName name="balokkuda21313">#REF!</definedName>
    <definedName name="baloklantaiI">#REF!</definedName>
    <definedName name="baloklantaiII">#REF!</definedName>
    <definedName name="BALOKPBK3SUPIORI">#REF!</definedName>
    <definedName name="BALT">[3]BALT!$B$19:$AA$74</definedName>
    <definedName name="Bambu_dia._5_7_cm">'[72]Daftar Harga'!$G$86</definedName>
    <definedName name="BAmer">#N/A</definedName>
    <definedName name="ban">[65]harsat!#REF!</definedName>
    <definedName name="bangciti">'[18]dongia (2)'!#REF!</definedName>
    <definedName name="Bangkubelajar">#REF!</definedName>
    <definedName name="bangunan_7">#REF!</definedName>
    <definedName name="BangunanA">#REF!</definedName>
    <definedName name="Banio">#REF!</definedName>
    <definedName name="Bank">#REF!</definedName>
    <definedName name="BANTU" localSheetId="7">[33]H_Dasar!#REF!</definedName>
    <definedName name="bantu">#REF!</definedName>
    <definedName name="bap">#REF!</definedName>
    <definedName name="BAQ">#REF!</definedName>
    <definedName name="bar">#REF!</definedName>
    <definedName name="bar_bender">#REF!</definedName>
    <definedName name="bar_cutter">#REF!</definedName>
    <definedName name="baru">#REF!</definedName>
    <definedName name="bas">#REF!</definedName>
    <definedName name="basaom">#REF!</definedName>
    <definedName name="basaom_1">#REF!</definedName>
    <definedName name="basaom_10">#REF!</definedName>
    <definedName name="basaom_11">#REF!</definedName>
    <definedName name="basaom_12">#REF!</definedName>
    <definedName name="basaom_13">#REF!</definedName>
    <definedName name="basaom_2">#REF!</definedName>
    <definedName name="basaom_2_1">#REF!</definedName>
    <definedName name="basaom_2_1_6">#REF!</definedName>
    <definedName name="basaom_2_5">#REF!</definedName>
    <definedName name="basaom_2_6">#REF!</definedName>
    <definedName name="basaom_2_7">#REF!</definedName>
    <definedName name="basaom_2_7_5">#REF!</definedName>
    <definedName name="basaom_3">#REF!</definedName>
    <definedName name="basaom_3_10">#REF!</definedName>
    <definedName name="basaom_3_11">#REF!</definedName>
    <definedName name="basaom_3_12">#REF!</definedName>
    <definedName name="basaom_3_13">#REF!</definedName>
    <definedName name="basaom_3_4">#REF!</definedName>
    <definedName name="basaom_3_4_5">#REF!</definedName>
    <definedName name="basaom_3_5">#REF!</definedName>
    <definedName name="basaom_3_6">#REF!</definedName>
    <definedName name="basaom_3_6_5">#REF!</definedName>
    <definedName name="basaom_3_7">#REF!</definedName>
    <definedName name="basaom_3_7_5">#REF!</definedName>
    <definedName name="basaom_3_9">#REF!</definedName>
    <definedName name="basaom_4">#REF!</definedName>
    <definedName name="basaom_4_1">#REF!</definedName>
    <definedName name="basaom_4_1_5">#REF!</definedName>
    <definedName name="basaom_4_10">#REF!</definedName>
    <definedName name="basaom_4_11">#REF!</definedName>
    <definedName name="basaom_4_12">#REF!</definedName>
    <definedName name="basaom_4_13">#REF!</definedName>
    <definedName name="basaom_4_2">#REF!</definedName>
    <definedName name="basaom_4_2_6">#REF!</definedName>
    <definedName name="basaom_4_4">#REF!</definedName>
    <definedName name="basaom_4_4_5">#REF!</definedName>
    <definedName name="basaom_4_5">#REF!</definedName>
    <definedName name="basaom_4_6">#REF!</definedName>
    <definedName name="basaom_4_6_5">#REF!</definedName>
    <definedName name="basaom_4_7">#REF!</definedName>
    <definedName name="basaom_4_7_5">#REF!</definedName>
    <definedName name="basaom_5">#REF!</definedName>
    <definedName name="basaom_5_2">#REF!</definedName>
    <definedName name="basaom_5_2_6">#REF!</definedName>
    <definedName name="basaom_5_4">#REF!</definedName>
    <definedName name="basaom_5_4_5">#REF!</definedName>
    <definedName name="basaom_5_5">#REF!</definedName>
    <definedName name="basaom_5_6">#REF!</definedName>
    <definedName name="basaom_5_6_5">#REF!</definedName>
    <definedName name="basaom_5_7">#REF!</definedName>
    <definedName name="basaom_5_7_5">#REF!</definedName>
    <definedName name="basaom_6">#REF!</definedName>
    <definedName name="basaom_6_1">#REF!</definedName>
    <definedName name="basaom_6_1_5">#REF!</definedName>
    <definedName name="basaom_6_10">#REF!</definedName>
    <definedName name="basaom_6_11">#REF!</definedName>
    <definedName name="basaom_6_12">#REF!</definedName>
    <definedName name="basaom_6_13">#REF!</definedName>
    <definedName name="basaom_6_4">#REF!</definedName>
    <definedName name="basaom_6_4_5">#REF!</definedName>
    <definedName name="basaom_6_5">#REF!</definedName>
    <definedName name="basaom_6_6">#REF!</definedName>
    <definedName name="basaom_6_6_5">#REF!</definedName>
    <definedName name="basaom_6_7">#REF!</definedName>
    <definedName name="basaom_6_7_5">#REF!</definedName>
    <definedName name="basaom_6_9">#REF!</definedName>
    <definedName name="basaom_7">#REF!</definedName>
    <definedName name="basaom_7_5">#REF!</definedName>
    <definedName name="basaom_9">#REF!</definedName>
    <definedName name="basdim">#REF!</definedName>
    <definedName name="basdim_1">#REF!</definedName>
    <definedName name="basdim_10">#REF!</definedName>
    <definedName name="basdim_11">#REF!</definedName>
    <definedName name="basdim_12">#REF!</definedName>
    <definedName name="basdim_13">#REF!</definedName>
    <definedName name="basdim_2">#REF!</definedName>
    <definedName name="basdim_2_1">#REF!</definedName>
    <definedName name="basdim_2_1_6">#REF!</definedName>
    <definedName name="basdim_2_5">#REF!</definedName>
    <definedName name="basdim_2_6">#REF!</definedName>
    <definedName name="basdim_3">#REF!</definedName>
    <definedName name="basdim_3_10">#REF!</definedName>
    <definedName name="basdim_3_11">#REF!</definedName>
    <definedName name="basdim_3_12">#REF!</definedName>
    <definedName name="basdim_3_13">#REF!</definedName>
    <definedName name="basdim_3_4">#REF!</definedName>
    <definedName name="basdim_3_4_5">#REF!</definedName>
    <definedName name="basdim_3_5">#REF!</definedName>
    <definedName name="basdim_3_6">#REF!</definedName>
    <definedName name="basdim_3_6_5">#REF!</definedName>
    <definedName name="basdim_3_7">#REF!</definedName>
    <definedName name="basdim_3_7_5">#REF!</definedName>
    <definedName name="basdim_3_9">#REF!</definedName>
    <definedName name="basdim_4">#REF!</definedName>
    <definedName name="basdim_4_1">#REF!</definedName>
    <definedName name="basdim_4_1_5">#REF!</definedName>
    <definedName name="basdim_4_10">#REF!</definedName>
    <definedName name="basdim_4_11">#REF!</definedName>
    <definedName name="basdim_4_12">#REF!</definedName>
    <definedName name="basdim_4_13">#REF!</definedName>
    <definedName name="basdim_4_2">#REF!</definedName>
    <definedName name="basdim_4_2_6">#REF!</definedName>
    <definedName name="basdim_4_4">#REF!</definedName>
    <definedName name="basdim_4_4_5">#REF!</definedName>
    <definedName name="basdim_4_5">#REF!</definedName>
    <definedName name="basdim_4_6">#REF!</definedName>
    <definedName name="basdim_4_6_5">#REF!</definedName>
    <definedName name="basdim_4_7">#REF!</definedName>
    <definedName name="basdim_4_7_5">#REF!</definedName>
    <definedName name="basdim_5">#REF!</definedName>
    <definedName name="basdim_5_2">#REF!</definedName>
    <definedName name="basdim_5_2_6">#REF!</definedName>
    <definedName name="basdim_5_4">#REF!</definedName>
    <definedName name="basdim_5_4_5">#REF!</definedName>
    <definedName name="basdim_5_5">#REF!</definedName>
    <definedName name="basdim_5_6">#REF!</definedName>
    <definedName name="basdim_5_6_5">#REF!</definedName>
    <definedName name="basdim_5_7">#REF!</definedName>
    <definedName name="basdim_5_7_5">#REF!</definedName>
    <definedName name="basdim_6">#REF!</definedName>
    <definedName name="basdim_6_1">#REF!</definedName>
    <definedName name="basdim_6_1_5">#REF!</definedName>
    <definedName name="basdim_6_10">#REF!</definedName>
    <definedName name="basdim_6_11">#REF!</definedName>
    <definedName name="basdim_6_12">#REF!</definedName>
    <definedName name="basdim_6_13">#REF!</definedName>
    <definedName name="basdim_6_4">#REF!</definedName>
    <definedName name="basdim_6_4_5">#REF!</definedName>
    <definedName name="basdim_6_5">#REF!</definedName>
    <definedName name="basdim_6_6">#REF!</definedName>
    <definedName name="basdim_6_6_5">#REF!</definedName>
    <definedName name="basdim_6_7">#REF!</definedName>
    <definedName name="basdim_6_7_5">#REF!</definedName>
    <definedName name="basdim_6_9">#REF!</definedName>
    <definedName name="basdim_7">#REF!</definedName>
    <definedName name="basdim_7_5">#REF!</definedName>
    <definedName name="basdim_9">#REF!</definedName>
    <definedName name="basdoc">#REF!</definedName>
    <definedName name="basdoc_1">#REF!</definedName>
    <definedName name="basdoc_10">#REF!</definedName>
    <definedName name="basdoc_11">#REF!</definedName>
    <definedName name="basdoc_12">#REF!</definedName>
    <definedName name="basdoc_13">#REF!</definedName>
    <definedName name="basdoc_2">#REF!</definedName>
    <definedName name="basdoc_2_1">#REF!</definedName>
    <definedName name="basdoc_2_1_6">#REF!</definedName>
    <definedName name="basdoc_2_5">#REF!</definedName>
    <definedName name="basdoc_2_6">#REF!</definedName>
    <definedName name="basdoc_2_7">#REF!</definedName>
    <definedName name="basdoc_2_7_5">#REF!</definedName>
    <definedName name="basdoc_3">#REF!</definedName>
    <definedName name="basdoc_3_10">#REF!</definedName>
    <definedName name="basdoc_3_11">#REF!</definedName>
    <definedName name="basdoc_3_12">#REF!</definedName>
    <definedName name="basdoc_3_13">#REF!</definedName>
    <definedName name="basdoc_3_4">#REF!</definedName>
    <definedName name="basdoc_3_4_5">#REF!</definedName>
    <definedName name="basdoc_3_5">#REF!</definedName>
    <definedName name="basdoc_3_6">#REF!</definedName>
    <definedName name="basdoc_3_6_5">#REF!</definedName>
    <definedName name="basdoc_3_7">#REF!</definedName>
    <definedName name="basdoc_3_7_5">#REF!</definedName>
    <definedName name="basdoc_3_9">#REF!</definedName>
    <definedName name="basdoc_4">#REF!</definedName>
    <definedName name="basdoc_4_1">#REF!</definedName>
    <definedName name="basdoc_4_1_5">#REF!</definedName>
    <definedName name="basdoc_4_10">#REF!</definedName>
    <definedName name="basdoc_4_11">#REF!</definedName>
    <definedName name="basdoc_4_12">#REF!</definedName>
    <definedName name="basdoc_4_13">#REF!</definedName>
    <definedName name="basdoc_4_2">#REF!</definedName>
    <definedName name="basdoc_4_2_6">#REF!</definedName>
    <definedName name="basdoc_4_4">#REF!</definedName>
    <definedName name="basdoc_4_4_5">#REF!</definedName>
    <definedName name="basdoc_4_5">#REF!</definedName>
    <definedName name="basdoc_4_6">#REF!</definedName>
    <definedName name="basdoc_4_6_5">#REF!</definedName>
    <definedName name="basdoc_4_7">#REF!</definedName>
    <definedName name="basdoc_4_7_5">#REF!</definedName>
    <definedName name="basdoc_5">#REF!</definedName>
    <definedName name="basdoc_5_2">#REF!</definedName>
    <definedName name="basdoc_5_2_6">#REF!</definedName>
    <definedName name="basdoc_5_4">#REF!</definedName>
    <definedName name="basdoc_5_4_5">#REF!</definedName>
    <definedName name="basdoc_5_5">#REF!</definedName>
    <definedName name="basdoc_5_6">#REF!</definedName>
    <definedName name="basdoc_5_6_5">#REF!</definedName>
    <definedName name="basdoc_5_7">#REF!</definedName>
    <definedName name="basdoc_5_7_5">#REF!</definedName>
    <definedName name="basdoc_6">#REF!</definedName>
    <definedName name="basdoc_6_1">#REF!</definedName>
    <definedName name="basdoc_6_1_5">#REF!</definedName>
    <definedName name="basdoc_6_10">#REF!</definedName>
    <definedName name="basdoc_6_11">#REF!</definedName>
    <definedName name="basdoc_6_12">#REF!</definedName>
    <definedName name="basdoc_6_13">#REF!</definedName>
    <definedName name="basdoc_6_4">#REF!</definedName>
    <definedName name="basdoc_6_4_5">#REF!</definedName>
    <definedName name="basdoc_6_5">#REF!</definedName>
    <definedName name="basdoc_6_6">#REF!</definedName>
    <definedName name="basdoc_6_6_5">#REF!</definedName>
    <definedName name="basdoc_6_7">#REF!</definedName>
    <definedName name="basdoc_6_7_5">#REF!</definedName>
    <definedName name="basdoc_6_9">#REF!</definedName>
    <definedName name="basdoc_7">#REF!</definedName>
    <definedName name="basdoc_7_5">#REF!</definedName>
    <definedName name="basdoc_9">#REF!</definedName>
    <definedName name="base">#REF!</definedName>
    <definedName name="base_plate">#REF!</definedName>
    <definedName name="BaseA">#REF!</definedName>
    <definedName name="BaseB">#REF!</definedName>
    <definedName name="BaseC">#REF!</definedName>
    <definedName name="BASECAMP">[3]CH!$C$23</definedName>
    <definedName name="basement">#REF!</definedName>
    <definedName name="BASEPLATE19MM">#REF!</definedName>
    <definedName name="basfs">#REF!</definedName>
    <definedName name="basfs_1">#REF!</definedName>
    <definedName name="basfs_10">#REF!</definedName>
    <definedName name="basfs_11">#REF!</definedName>
    <definedName name="basfs_12">#REF!</definedName>
    <definedName name="basfs_13">#REF!</definedName>
    <definedName name="basfs_2">#REF!</definedName>
    <definedName name="basfs_2_1">#REF!</definedName>
    <definedName name="basfs_2_1_6">#REF!</definedName>
    <definedName name="basfs_2_5">#REF!</definedName>
    <definedName name="basfs_2_6">#REF!</definedName>
    <definedName name="basfs_2_7">#REF!</definedName>
    <definedName name="basfs_2_7_5">#REF!</definedName>
    <definedName name="basfs_3">#REF!</definedName>
    <definedName name="basfs_3_10">#REF!</definedName>
    <definedName name="basfs_3_11">#REF!</definedName>
    <definedName name="basfs_3_12">#REF!</definedName>
    <definedName name="basfs_3_13">#REF!</definedName>
    <definedName name="basfs_3_4">#REF!</definedName>
    <definedName name="basfs_3_4_5">#REF!</definedName>
    <definedName name="basfs_3_5">#REF!</definedName>
    <definedName name="basfs_3_6">#REF!</definedName>
    <definedName name="basfs_3_6_5">#REF!</definedName>
    <definedName name="basfs_3_7">#REF!</definedName>
    <definedName name="basfs_3_7_5">#REF!</definedName>
    <definedName name="basfs_3_9">#REF!</definedName>
    <definedName name="basfs_4">#REF!</definedName>
    <definedName name="basfs_4_1">#REF!</definedName>
    <definedName name="basfs_4_1_5">#REF!</definedName>
    <definedName name="basfs_4_10">#REF!</definedName>
    <definedName name="basfs_4_11">#REF!</definedName>
    <definedName name="basfs_4_12">#REF!</definedName>
    <definedName name="basfs_4_13">#REF!</definedName>
    <definedName name="basfs_4_2">#REF!</definedName>
    <definedName name="basfs_4_2_6">#REF!</definedName>
    <definedName name="basfs_4_4">#REF!</definedName>
    <definedName name="basfs_4_4_5">#REF!</definedName>
    <definedName name="basfs_4_5">#REF!</definedName>
    <definedName name="basfs_4_6">#REF!</definedName>
    <definedName name="basfs_4_6_5">#REF!</definedName>
    <definedName name="basfs_4_7">#REF!</definedName>
    <definedName name="basfs_4_7_5">#REF!</definedName>
    <definedName name="basfs_5">#REF!</definedName>
    <definedName name="basfs_5_2">#REF!</definedName>
    <definedName name="basfs_5_2_6">#REF!</definedName>
    <definedName name="basfs_5_4">#REF!</definedName>
    <definedName name="basfs_5_4_5">#REF!</definedName>
    <definedName name="basfs_5_5">#REF!</definedName>
    <definedName name="basfs_5_6">#REF!</definedName>
    <definedName name="basfs_5_6_5">#REF!</definedName>
    <definedName name="basfs_5_7">#REF!</definedName>
    <definedName name="basfs_5_7_5">#REF!</definedName>
    <definedName name="basfs_6">#REF!</definedName>
    <definedName name="basfs_6_1">#REF!</definedName>
    <definedName name="basfs_6_1_5">#REF!</definedName>
    <definedName name="basfs_6_10">#REF!</definedName>
    <definedName name="basfs_6_11">#REF!</definedName>
    <definedName name="basfs_6_12">#REF!</definedName>
    <definedName name="basfs_6_13">#REF!</definedName>
    <definedName name="basfs_6_4">#REF!</definedName>
    <definedName name="basfs_6_4_5">#REF!</definedName>
    <definedName name="basfs_6_5">#REF!</definedName>
    <definedName name="basfs_6_6">#REF!</definedName>
    <definedName name="basfs_6_6_5">#REF!</definedName>
    <definedName name="basfs_6_7">#REF!</definedName>
    <definedName name="basfs_6_7_5">#REF!</definedName>
    <definedName name="basfs_6_9">#REF!</definedName>
    <definedName name="basfs_7">#REF!</definedName>
    <definedName name="basfs_7_5">#REF!</definedName>
    <definedName name="basfs_9">#REF!</definedName>
    <definedName name="basi">#REF!</definedName>
    <definedName name="basi_1">#REF!</definedName>
    <definedName name="basi_10">#REF!</definedName>
    <definedName name="basi_11">#REF!</definedName>
    <definedName name="basi_12">#REF!</definedName>
    <definedName name="basi_13">#REF!</definedName>
    <definedName name="basi_2">#REF!</definedName>
    <definedName name="basi_2_1">#REF!</definedName>
    <definedName name="basi_2_1_6">#REF!</definedName>
    <definedName name="basi_2_5">#REF!</definedName>
    <definedName name="basi_2_6">#REF!</definedName>
    <definedName name="basi_2_7">#REF!</definedName>
    <definedName name="basi_2_7_5">#REF!</definedName>
    <definedName name="basi_3">#REF!</definedName>
    <definedName name="basi_3_10">#REF!</definedName>
    <definedName name="basi_3_11">#REF!</definedName>
    <definedName name="basi_3_12">#REF!</definedName>
    <definedName name="basi_3_13">#REF!</definedName>
    <definedName name="basi_3_4">#REF!</definedName>
    <definedName name="basi_3_4_5">#REF!</definedName>
    <definedName name="basi_3_5">#REF!</definedName>
    <definedName name="basi_3_6">#REF!</definedName>
    <definedName name="basi_3_6_5">#REF!</definedName>
    <definedName name="basi_3_7">#REF!</definedName>
    <definedName name="basi_3_7_5">#REF!</definedName>
    <definedName name="basi_3_9">#REF!</definedName>
    <definedName name="basi_4">#REF!</definedName>
    <definedName name="basi_4_1">#REF!</definedName>
    <definedName name="basi_4_1_5">#REF!</definedName>
    <definedName name="basi_4_10">#REF!</definedName>
    <definedName name="basi_4_11">#REF!</definedName>
    <definedName name="basi_4_12">#REF!</definedName>
    <definedName name="basi_4_13">#REF!</definedName>
    <definedName name="basi_4_2">#REF!</definedName>
    <definedName name="basi_4_2_6">#REF!</definedName>
    <definedName name="basi_4_4">#REF!</definedName>
    <definedName name="basi_4_4_5">#REF!</definedName>
    <definedName name="basi_4_5">#REF!</definedName>
    <definedName name="basi_4_6">#REF!</definedName>
    <definedName name="basi_4_6_5">#REF!</definedName>
    <definedName name="basi_4_7">#REF!</definedName>
    <definedName name="basi_4_7_5">#REF!</definedName>
    <definedName name="basi_5">#REF!</definedName>
    <definedName name="basi_5_2">#REF!</definedName>
    <definedName name="basi_5_2_6">#REF!</definedName>
    <definedName name="basi_5_4">#REF!</definedName>
    <definedName name="basi_5_4_5">#REF!</definedName>
    <definedName name="basi_5_5">#REF!</definedName>
    <definedName name="basi_5_6">#REF!</definedName>
    <definedName name="basi_5_6_5">#REF!</definedName>
    <definedName name="basi_5_7">#REF!</definedName>
    <definedName name="basi_5_7_5">#REF!</definedName>
    <definedName name="basi_6">#REF!</definedName>
    <definedName name="basi_6_1">#REF!</definedName>
    <definedName name="basi_6_1_5">#REF!</definedName>
    <definedName name="basi_6_10">#REF!</definedName>
    <definedName name="basi_6_11">#REF!</definedName>
    <definedName name="basi_6_12">#REF!</definedName>
    <definedName name="basi_6_13">#REF!</definedName>
    <definedName name="basi_6_4">#REF!</definedName>
    <definedName name="basi_6_4_5">#REF!</definedName>
    <definedName name="basi_6_5">#REF!</definedName>
    <definedName name="basi_6_6">#REF!</definedName>
    <definedName name="basi_6_6_5">#REF!</definedName>
    <definedName name="basi_6_7">#REF!</definedName>
    <definedName name="basi_6_7_5">#REF!</definedName>
    <definedName name="basi_6_9">#REF!</definedName>
    <definedName name="basi_7">#REF!</definedName>
    <definedName name="basi_7_5">#REF!</definedName>
    <definedName name="basi_9">#REF!</definedName>
    <definedName name="basic">#REF!</definedName>
    <definedName name="BASICHD">#REF!</definedName>
    <definedName name="basitc">#REF!</definedName>
    <definedName name="basitc_1">#REF!</definedName>
    <definedName name="basitc_10">#REF!</definedName>
    <definedName name="basitc_11">#REF!</definedName>
    <definedName name="basitc_12">#REF!</definedName>
    <definedName name="basitc_13">#REF!</definedName>
    <definedName name="basitc_2">#REF!</definedName>
    <definedName name="basitc_2_1">#REF!</definedName>
    <definedName name="basitc_2_1_6">#REF!</definedName>
    <definedName name="basitc_2_5">#REF!</definedName>
    <definedName name="basitc_2_6">#REF!</definedName>
    <definedName name="basitc_2_7">#REF!</definedName>
    <definedName name="basitc_2_7_5">#REF!</definedName>
    <definedName name="basitc_3">#REF!</definedName>
    <definedName name="basitc_3_10">#REF!</definedName>
    <definedName name="basitc_3_11">#REF!</definedName>
    <definedName name="basitc_3_12">#REF!</definedName>
    <definedName name="basitc_3_13">#REF!</definedName>
    <definedName name="basitc_3_4">#REF!</definedName>
    <definedName name="basitc_3_4_5">#REF!</definedName>
    <definedName name="basitc_3_5">#REF!</definedName>
    <definedName name="basitc_3_6">#REF!</definedName>
    <definedName name="basitc_3_6_5">#REF!</definedName>
    <definedName name="basitc_3_7">#REF!</definedName>
    <definedName name="basitc_3_7_5">#REF!</definedName>
    <definedName name="basitc_3_9">#REF!</definedName>
    <definedName name="basitc_4">#REF!</definedName>
    <definedName name="basitc_4_1">#REF!</definedName>
    <definedName name="basitc_4_1_5">#REF!</definedName>
    <definedName name="basitc_4_10">#REF!</definedName>
    <definedName name="basitc_4_11">#REF!</definedName>
    <definedName name="basitc_4_12">#REF!</definedName>
    <definedName name="basitc_4_13">#REF!</definedName>
    <definedName name="basitc_4_2">#REF!</definedName>
    <definedName name="basitc_4_2_6">#REF!</definedName>
    <definedName name="basitc_4_4">#REF!</definedName>
    <definedName name="basitc_4_4_5">#REF!</definedName>
    <definedName name="basitc_4_5">#REF!</definedName>
    <definedName name="basitc_4_6">#REF!</definedName>
    <definedName name="basitc_4_6_5">#REF!</definedName>
    <definedName name="basitc_4_7">#REF!</definedName>
    <definedName name="basitc_4_7_5">#REF!</definedName>
    <definedName name="basitc_5">#REF!</definedName>
    <definedName name="basitc_5_2">#REF!</definedName>
    <definedName name="basitc_5_2_6">#REF!</definedName>
    <definedName name="basitc_5_4">#REF!</definedName>
    <definedName name="basitc_5_4_5">#REF!</definedName>
    <definedName name="basitc_5_5">#REF!</definedName>
    <definedName name="basitc_5_6">#REF!</definedName>
    <definedName name="basitc_5_6_5">#REF!</definedName>
    <definedName name="basitc_5_7">#REF!</definedName>
    <definedName name="basitc_5_7_5">#REF!</definedName>
    <definedName name="basitc_6">#REF!</definedName>
    <definedName name="basitc_6_1">#REF!</definedName>
    <definedName name="basitc_6_1_5">#REF!</definedName>
    <definedName name="basitc_6_10">#REF!</definedName>
    <definedName name="basitc_6_11">#REF!</definedName>
    <definedName name="basitc_6_12">#REF!</definedName>
    <definedName name="basitc_6_13">#REF!</definedName>
    <definedName name="basitc_6_4">#REF!</definedName>
    <definedName name="basitc_6_4_5">#REF!</definedName>
    <definedName name="basitc_6_5">#REF!</definedName>
    <definedName name="basitc_6_6">#REF!</definedName>
    <definedName name="basitc_6_6_5">#REF!</definedName>
    <definedName name="basitc_6_7">#REF!</definedName>
    <definedName name="basitc_6_7_5">#REF!</definedName>
    <definedName name="basitc_6_9">#REF!</definedName>
    <definedName name="basitc_7">#REF!</definedName>
    <definedName name="basitc_7_5">#REF!</definedName>
    <definedName name="basitc_9">#REF!</definedName>
    <definedName name="baspalcurah">[57]bahan!$G$57</definedName>
    <definedName name="baspalt">[57]bahan!$G$18</definedName>
    <definedName name="basrtu">#REF!</definedName>
    <definedName name="basrtu_1">#REF!</definedName>
    <definedName name="basrtu_10">#REF!</definedName>
    <definedName name="basrtu_11">#REF!</definedName>
    <definedName name="basrtu_12">#REF!</definedName>
    <definedName name="basrtu_13">#REF!</definedName>
    <definedName name="basrtu_2">#REF!</definedName>
    <definedName name="basrtu_2_1">#REF!</definedName>
    <definedName name="basrtu_2_1_6">#REF!</definedName>
    <definedName name="basrtu_2_5">#REF!</definedName>
    <definedName name="basrtu_2_6">#REF!</definedName>
    <definedName name="basrtu_2_7">#REF!</definedName>
    <definedName name="basrtu_2_7_5">#REF!</definedName>
    <definedName name="basrtu_3">#REF!</definedName>
    <definedName name="basrtu_3_10">#REF!</definedName>
    <definedName name="basrtu_3_11">#REF!</definedName>
    <definedName name="basrtu_3_12">#REF!</definedName>
    <definedName name="basrtu_3_13">#REF!</definedName>
    <definedName name="basrtu_3_4">#REF!</definedName>
    <definedName name="basrtu_3_4_5">#REF!</definedName>
    <definedName name="basrtu_3_5">#REF!</definedName>
    <definedName name="basrtu_3_6">#REF!</definedName>
    <definedName name="basrtu_3_6_5">#REF!</definedName>
    <definedName name="basrtu_3_7">#REF!</definedName>
    <definedName name="basrtu_3_7_5">#REF!</definedName>
    <definedName name="basrtu_3_9">#REF!</definedName>
    <definedName name="basrtu_4">#REF!</definedName>
    <definedName name="basrtu_4_1">#REF!</definedName>
    <definedName name="basrtu_4_1_5">#REF!</definedName>
    <definedName name="basrtu_4_10">#REF!</definedName>
    <definedName name="basrtu_4_11">#REF!</definedName>
    <definedName name="basrtu_4_12">#REF!</definedName>
    <definedName name="basrtu_4_13">#REF!</definedName>
    <definedName name="basrtu_4_2">#REF!</definedName>
    <definedName name="basrtu_4_2_6">#REF!</definedName>
    <definedName name="basrtu_4_4">#REF!</definedName>
    <definedName name="basrtu_4_4_5">#REF!</definedName>
    <definedName name="basrtu_4_5">#REF!</definedName>
    <definedName name="basrtu_4_6">#REF!</definedName>
    <definedName name="basrtu_4_6_5">#REF!</definedName>
    <definedName name="basrtu_4_7">#REF!</definedName>
    <definedName name="basrtu_4_7_5">#REF!</definedName>
    <definedName name="basrtu_5">#REF!</definedName>
    <definedName name="basrtu_5_2">#REF!</definedName>
    <definedName name="basrtu_5_2_6">#REF!</definedName>
    <definedName name="basrtu_5_4">#REF!</definedName>
    <definedName name="basrtu_5_4_5">#REF!</definedName>
    <definedName name="basrtu_5_5">#REF!</definedName>
    <definedName name="basrtu_5_6">#REF!</definedName>
    <definedName name="basrtu_5_6_5">#REF!</definedName>
    <definedName name="basrtu_5_7">#REF!</definedName>
    <definedName name="basrtu_5_7_5">#REF!</definedName>
    <definedName name="basrtu_6">#REF!</definedName>
    <definedName name="basrtu_6_1">#REF!</definedName>
    <definedName name="basrtu_6_1_5">#REF!</definedName>
    <definedName name="basrtu_6_10">#REF!</definedName>
    <definedName name="basrtu_6_11">#REF!</definedName>
    <definedName name="basrtu_6_12">#REF!</definedName>
    <definedName name="basrtu_6_13">#REF!</definedName>
    <definedName name="basrtu_6_4">#REF!</definedName>
    <definedName name="basrtu_6_4_5">#REF!</definedName>
    <definedName name="basrtu_6_5">#REF!</definedName>
    <definedName name="basrtu_6_6">#REF!</definedName>
    <definedName name="basrtu_6_6_5">#REF!</definedName>
    <definedName name="basrtu_6_7">#REF!</definedName>
    <definedName name="basrtu_6_7_5">#REF!</definedName>
    <definedName name="basrtu_6_9">#REF!</definedName>
    <definedName name="basrtu_7">#REF!</definedName>
    <definedName name="basrtu_7_5">#REF!</definedName>
    <definedName name="basrtu_9">#REF!</definedName>
    <definedName name="bastw">#REF!</definedName>
    <definedName name="bastw_1">#REF!</definedName>
    <definedName name="bastw_10">#REF!</definedName>
    <definedName name="bastw_11">#REF!</definedName>
    <definedName name="bastw_12">#REF!</definedName>
    <definedName name="bastw_13">#REF!</definedName>
    <definedName name="bastw_2">#REF!</definedName>
    <definedName name="bastw_2_1">#REF!</definedName>
    <definedName name="bastw_2_1_6">#REF!</definedName>
    <definedName name="bastw_2_5">#REF!</definedName>
    <definedName name="bastw_2_6">#REF!</definedName>
    <definedName name="bastw_2_7">#REF!</definedName>
    <definedName name="bastw_2_7_5">#REF!</definedName>
    <definedName name="bastw_3">#REF!</definedName>
    <definedName name="bastw_3_10">#REF!</definedName>
    <definedName name="bastw_3_11">#REF!</definedName>
    <definedName name="bastw_3_12">#REF!</definedName>
    <definedName name="bastw_3_13">#REF!</definedName>
    <definedName name="bastw_3_4">#REF!</definedName>
    <definedName name="bastw_3_4_5">#REF!</definedName>
    <definedName name="bastw_3_5">#REF!</definedName>
    <definedName name="bastw_3_6">#REF!</definedName>
    <definedName name="bastw_3_6_5">#REF!</definedName>
    <definedName name="bastw_3_7">#REF!</definedName>
    <definedName name="bastw_3_7_5">#REF!</definedName>
    <definedName name="bastw_3_9">#REF!</definedName>
    <definedName name="bastw_4">#REF!</definedName>
    <definedName name="bastw_4_1">#REF!</definedName>
    <definedName name="bastw_4_1_5">#REF!</definedName>
    <definedName name="bastw_4_10">#REF!</definedName>
    <definedName name="bastw_4_11">#REF!</definedName>
    <definedName name="bastw_4_12">#REF!</definedName>
    <definedName name="bastw_4_13">#REF!</definedName>
    <definedName name="bastw_4_2">#REF!</definedName>
    <definedName name="bastw_4_2_6">#REF!</definedName>
    <definedName name="bastw_4_4">#REF!</definedName>
    <definedName name="bastw_4_4_5">#REF!</definedName>
    <definedName name="bastw_4_5">#REF!</definedName>
    <definedName name="bastw_4_6">#REF!</definedName>
    <definedName name="bastw_4_6_5">#REF!</definedName>
    <definedName name="bastw_4_7">#REF!</definedName>
    <definedName name="bastw_4_7_5">#REF!</definedName>
    <definedName name="bastw_5">#REF!</definedName>
    <definedName name="bastw_5_2">#REF!</definedName>
    <definedName name="bastw_5_2_6">#REF!</definedName>
    <definedName name="bastw_5_4">#REF!</definedName>
    <definedName name="bastw_5_4_5">#REF!</definedName>
    <definedName name="bastw_5_5">#REF!</definedName>
    <definedName name="bastw_5_6">#REF!</definedName>
    <definedName name="bastw_5_6_5">#REF!</definedName>
    <definedName name="bastw_5_7">#REF!</definedName>
    <definedName name="bastw_5_7_5">#REF!</definedName>
    <definedName name="bastw_6">#REF!</definedName>
    <definedName name="bastw_6_1">#REF!</definedName>
    <definedName name="bastw_6_1_5">#REF!</definedName>
    <definedName name="bastw_6_10">#REF!</definedName>
    <definedName name="bastw_6_11">#REF!</definedName>
    <definedName name="bastw_6_12">#REF!</definedName>
    <definedName name="bastw_6_13">#REF!</definedName>
    <definedName name="bastw_6_4">#REF!</definedName>
    <definedName name="bastw_6_4_5">#REF!</definedName>
    <definedName name="bastw_6_5">#REF!</definedName>
    <definedName name="bastw_6_6">#REF!</definedName>
    <definedName name="bastw_6_6_5">#REF!</definedName>
    <definedName name="bastw_6_7">#REF!</definedName>
    <definedName name="bastw_6_7_5">#REF!</definedName>
    <definedName name="bastw_6_9">#REF!</definedName>
    <definedName name="bastw_7">#REF!</definedName>
    <definedName name="bastw_7_5">#REF!</definedName>
    <definedName name="bastw_9">#REF!</definedName>
    <definedName name="bata">#REF!</definedName>
    <definedName name="bata.1">#REF!</definedName>
    <definedName name="bata_cc">#REF!</definedName>
    <definedName name="BATA_CITICON">#REF!</definedName>
    <definedName name="Bata_Merah">#REF!</definedName>
    <definedName name="Bata1">#REF!</definedName>
    <definedName name="bata1_30">#REF!</definedName>
    <definedName name="bata12">#REF!</definedName>
    <definedName name="bata1212">#REF!</definedName>
    <definedName name="bata1214">#REF!</definedName>
    <definedName name="BATA13">#REF!</definedName>
    <definedName name="BATA14">#REF!</definedName>
    <definedName name="bata15">[31]ARTAGDING!#REF!</definedName>
    <definedName name="Bata151bata">#REF!</definedName>
    <definedName name="Bata16">#REF!</definedName>
    <definedName name="Bata161bata">#REF!</definedName>
    <definedName name="Bata2">#REF!</definedName>
    <definedName name="bata2_30">#REF!</definedName>
    <definedName name="bataco">#REF!</definedName>
    <definedName name="batacob">'[21]Harga Satuan Bahan'!#REF!</definedName>
    <definedName name="Batacobesi">#REF!</definedName>
    <definedName name="batacok">'[35]Harga Satuan Bahan'!$E$17</definedName>
    <definedName name="Batacononbesi">#REF!</definedName>
    <definedName name="batahebel">[73]S.BAHAN!$J$46</definedName>
    <definedName name="BataKerawang">#REF!</definedName>
    <definedName name="batako">#REF!</definedName>
    <definedName name="batamerah">#REF!</definedName>
    <definedName name="batamrh">#REF!</definedName>
    <definedName name="BatAp">#REF!</definedName>
    <definedName name="BATAS">#REF!</definedName>
    <definedName name="bathtub">#REF!</definedName>
    <definedName name="BATih">#N/A</definedName>
    <definedName name="BATU" localSheetId="7">[33]H_Dasar!#REF!</definedName>
    <definedName name="Batu">#REF!</definedName>
    <definedName name="batu.jogja">#REF!</definedName>
    <definedName name="batu.p">#REF!</definedName>
    <definedName name="batu.pal">#REF!</definedName>
    <definedName name="batu.x">#REF!</definedName>
    <definedName name="batu_apung">#REF!</definedName>
    <definedName name="Batu_Bata">#REF!</definedName>
    <definedName name="Batu_bata_besar">#REF!</definedName>
    <definedName name="Batu_bata_kecil">#REF!</definedName>
    <definedName name="Batu_belah">#REF!</definedName>
    <definedName name="Batu_Belah___Kali">#REF!</definedName>
    <definedName name="batu_candi">#REF!</definedName>
    <definedName name="Batu_Cor_0__5__1">#REF!</definedName>
    <definedName name="Batu_Cor_1_2">#REF!</definedName>
    <definedName name="Batu_Cor_2_3">#REF!</definedName>
    <definedName name="Batu_Cor_3_5">#REF!</definedName>
    <definedName name="Batu_Cor_5_7">#REF!</definedName>
    <definedName name="Batu_Gunung">#REF!</definedName>
    <definedName name="Batu_kacang">#REF!</definedName>
    <definedName name="Batu_Kali">#REF!</definedName>
    <definedName name="BATU_KALI_1_4_1">#REF!</definedName>
    <definedName name="BATU_KALI_1_4_10">#REF!</definedName>
    <definedName name="BATU_KALI_1_4_12">#REF!</definedName>
    <definedName name="BATU_KALI_1_4_7">#REF!</definedName>
    <definedName name="BATU_KALI_1_4_8">#REF!</definedName>
    <definedName name="BATU_KOSONG">#REF!</definedName>
    <definedName name="Batu_Pecah">#REF!</definedName>
    <definedName name="Batu_pecah_0_5___1">#REF!</definedName>
    <definedName name="Batu_pecah_1_2">#REF!</definedName>
    <definedName name="Batu_pecah_2_3">#REF!</definedName>
    <definedName name="Batu_pecah_3_5">#REF!</definedName>
    <definedName name="Batu_pecah_5_7">#REF!</definedName>
    <definedName name="Batu_split_2_3">'[72]Daftar Harga'!$G$14</definedName>
    <definedName name="Batu_Tempel">#REF!</definedName>
    <definedName name="batu1">[28]upah!$D$17</definedName>
    <definedName name="BATU13">#REF!</definedName>
    <definedName name="batu2">[28]upah!$D$18</definedName>
    <definedName name="batu2030">'[74]Harga Satuan'!$G$38</definedName>
    <definedName name="batu3">[28]upah!$D$19</definedName>
    <definedName name="BATUALAM">#REF!</definedName>
    <definedName name="batuapung">#REF!</definedName>
    <definedName name="batubat">#REF!</definedName>
    <definedName name="Batubata">#REF!</definedName>
    <definedName name="batubel">#REF!</definedName>
    <definedName name="BATUBELAH">#REF!</definedName>
    <definedName name="batubelahgng">#REF!</definedName>
    <definedName name="Batubelahgunung">#REF!</definedName>
    <definedName name="Batubelahkali">#REF!</definedName>
    <definedName name="BATUDASA" localSheetId="7">[33]H_Dasar!#REF!</definedName>
    <definedName name="BATUDASA">[33]H_Dasar!#REF!</definedName>
    <definedName name="BATUDUA" localSheetId="7">[33]H_Dasar!#REF!</definedName>
    <definedName name="BATUDUA">[33]H_Dasar!#REF!</definedName>
    <definedName name="BATUKALI">#N/A</definedName>
    <definedName name="BatuKali14">#REF!</definedName>
    <definedName name="BatuKali16">#REF!</definedName>
    <definedName name="batukosong">#REF!</definedName>
    <definedName name="BATULIMA">[33]H_Dasar!#REF!</definedName>
    <definedName name="BATUPECAH">#REF!</definedName>
    <definedName name="Batupecah2.3">#REF!</definedName>
    <definedName name="batusaring">#REF!</definedName>
    <definedName name="BATUSATU">[33]H_Dasar!#REF!</definedName>
    <definedName name="BATUTELA">#N/A</definedName>
    <definedName name="Batutengah">[33]H_Dasar!#REF!</definedName>
    <definedName name="BATUTIGA">[33]H_Dasar!#REF!</definedName>
    <definedName name="BATUTKNG">#REF!</definedName>
    <definedName name="bau">[75]bau!$J$9</definedName>
    <definedName name="baut">#REF!</definedName>
    <definedName name="baut.p">#REF!</definedName>
    <definedName name="Baut_Angker">#REF!</definedName>
    <definedName name="Baut_dia._1_2">#REF!</definedName>
    <definedName name="Baut_Untuk_Atap_Metal">#REF!</definedName>
    <definedName name="bautasb">#REF!</definedName>
    <definedName name="bautbgl">#REF!</definedName>
    <definedName name="Bautkuda2">#REF!</definedName>
    <definedName name="BAUTMUUR">#N/A</definedName>
    <definedName name="BAUTMUUR1_2_">#N/A</definedName>
    <definedName name="BAX">#REF!</definedName>
    <definedName name="BAX_1">#REF!</definedName>
    <definedName name="BAX_10">#REF!</definedName>
    <definedName name="BAX_11">#REF!</definedName>
    <definedName name="BAX_12">#REF!</definedName>
    <definedName name="BAX_13">#REF!</definedName>
    <definedName name="BAX_2">#REF!</definedName>
    <definedName name="BAX_2_1">#REF!</definedName>
    <definedName name="BAX_2_5">#REF!</definedName>
    <definedName name="BAX_3">#REF!</definedName>
    <definedName name="BAX_3_2">#REF!</definedName>
    <definedName name="BAX_3_4">#REF!</definedName>
    <definedName name="BAX_3_4_5">#REF!</definedName>
    <definedName name="BAX_3_5">#REF!</definedName>
    <definedName name="BAX_3_6">#REF!</definedName>
    <definedName name="BAX_3_6_5">#REF!</definedName>
    <definedName name="BAX_3_7">#REF!</definedName>
    <definedName name="BAX_3_7_5">#REF!</definedName>
    <definedName name="BAX_4">#REF!</definedName>
    <definedName name="BAX_4_1">#REF!</definedName>
    <definedName name="BAX_4_1_5">#REF!</definedName>
    <definedName name="BAX_4_10">#REF!</definedName>
    <definedName name="BAX_4_11">#REF!</definedName>
    <definedName name="BAX_4_12">#REF!</definedName>
    <definedName name="BAX_4_13">#REF!</definedName>
    <definedName name="BAX_4_2">#REF!</definedName>
    <definedName name="BAX_4_4">#REF!</definedName>
    <definedName name="BAX_4_4_5">#REF!</definedName>
    <definedName name="BAX_4_5">#REF!</definedName>
    <definedName name="BAX_4_6">#REF!</definedName>
    <definedName name="BAX_4_6_5">#REF!</definedName>
    <definedName name="BAX_4_7">#REF!</definedName>
    <definedName name="BAX_4_7_5">#REF!</definedName>
    <definedName name="BAX_5">#REF!</definedName>
    <definedName name="BAX_5_2">#REF!</definedName>
    <definedName name="BAX_5_4">#REF!</definedName>
    <definedName name="BAX_5_4_5">#REF!</definedName>
    <definedName name="BAX_5_5">#REF!</definedName>
    <definedName name="BAX_5_6">#REF!</definedName>
    <definedName name="BAX_5_6_5">#REF!</definedName>
    <definedName name="BAX_5_7">#REF!</definedName>
    <definedName name="BAX_5_7_5">#REF!</definedName>
    <definedName name="BAX_6">#REF!</definedName>
    <definedName name="BAX_6_1">#REF!</definedName>
    <definedName name="BAX_6_1_5">#REF!</definedName>
    <definedName name="BAX_6_2">#REF!</definedName>
    <definedName name="BAX_6_4">#REF!</definedName>
    <definedName name="BAX_6_4_5">#REF!</definedName>
    <definedName name="BAX_6_5">#REF!</definedName>
    <definedName name="BAX_6_6">#REF!</definedName>
    <definedName name="BAX_6_6_5">#REF!</definedName>
    <definedName name="BAX_6_7">#REF!</definedName>
    <definedName name="BAX_6_7_5">#REF!</definedName>
    <definedName name="BAX_7">#REF!</definedName>
    <definedName name="BAX_7_1">#REF!</definedName>
    <definedName name="BAX_7_1_5">#REF!</definedName>
    <definedName name="BAX_7_10">#REF!</definedName>
    <definedName name="BAX_7_11">#REF!</definedName>
    <definedName name="BAX_7_12">#REF!</definedName>
    <definedName name="BAX_7_13">#REF!</definedName>
    <definedName name="BAX_7_5">#REF!</definedName>
    <definedName name="BAX_9">#REF!</definedName>
    <definedName name="bb" hidden="1">{#N/A,#N/A,TRUE,"Front";#N/A,#N/A,TRUE,"Simple Letter";#N/A,#N/A,TRUE,"Inside";#N/A,#N/A,TRUE,"Contents";#N/A,#N/A,TRUE,"Basis";#N/A,#N/A,TRUE,"Inclusions";#N/A,#N/A,TRUE,"Exclusions";#N/A,#N/A,TRUE,"Areas";#N/A,#N/A,TRUE,"Summary";#N/A,#N/A,TRUE,"Detail"}</definedName>
    <definedName name="bb.05">'[45]Sat~Bahu'!$C$41</definedName>
    <definedName name="bb.1">'[45]Sat~Bahu'!$C$40</definedName>
    <definedName name="bb.10">'[45]Sat~Bahu'!$C$35</definedName>
    <definedName name="bb.2">'[45]Sat~Bahu'!$C$39</definedName>
    <definedName name="bb.3">'[45]Sat~Bahu'!$C$38</definedName>
    <definedName name="bb.5">'[45]Sat~Bahu'!$C$37</definedName>
    <definedName name="bb.p">#REF!</definedName>
    <definedName name="bb.u">#REF!</definedName>
    <definedName name="bb_0">[65]harsat!$I$9</definedName>
    <definedName name="BB_01">#REF!</definedName>
    <definedName name="BB_02">#REF!</definedName>
    <definedName name="BB_03">#REF!</definedName>
    <definedName name="BB_04">#REF!</definedName>
    <definedName name="BB_05">#REF!</definedName>
    <definedName name="BB_06">#REF!</definedName>
    <definedName name="bbaja">[76]Hargamat!#REF!</definedName>
    <definedName name="bbalok">#REF!</definedName>
    <definedName name="bbalok_6">#REF!</definedName>
    <definedName name="bbalpres">#REF!</definedName>
    <definedName name="bbasbes">#REF!</definedName>
    <definedName name="BBASE">#REF!</definedName>
    <definedName name="bbasgel">'[21]Harga Satuan Bahan'!$E$165</definedName>
    <definedName name="bbata">#REF!</definedName>
    <definedName name="BBB" hidden="1">{#N/A,#N/A,FALSE,"REK";#N/A,#N/A,FALSE,"Bq-ARS"}</definedName>
    <definedName name="bbbb">#N/A</definedName>
    <definedName name="bbbbb">#REF!</definedName>
    <definedName name="BBBBBB">#REF!</definedName>
    <definedName name="bbbbeeeet">#REF!</definedName>
    <definedName name="bbeam">#REF!</definedName>
    <definedName name="bbek">#REF!</definedName>
    <definedName name="bbensin">[77]bahan!$G$32</definedName>
    <definedName name="bbes">#REF!</definedName>
    <definedName name="bbesi">[76]Hargamat!#REF!</definedName>
    <definedName name="bbgsgt">'[21]Harga Satuan Bahan'!#REF!</definedName>
    <definedName name="bblh">[65]harsat!#REF!</definedName>
    <definedName name="BBM">#REF!</definedName>
    <definedName name="bbminyak">#REF!</definedName>
    <definedName name="bbsplt">'[21]Harga Satuan Bahan'!#REF!</definedName>
    <definedName name="BBt">#REF!</definedName>
    <definedName name="bbtn">#REF!</definedName>
    <definedName name="BBX">#REF!</definedName>
    <definedName name="BBX_1">#REF!</definedName>
    <definedName name="BBX_10">#REF!</definedName>
    <definedName name="BBX_11">#REF!</definedName>
    <definedName name="BBX_12">#REF!</definedName>
    <definedName name="BBX_13">#REF!</definedName>
    <definedName name="BBX_2">#REF!</definedName>
    <definedName name="BBX_2_1">#REF!</definedName>
    <definedName name="BBX_2_5">#REF!</definedName>
    <definedName name="BBX_3">#REF!</definedName>
    <definedName name="BBX_3_2">#REF!</definedName>
    <definedName name="BBX_3_4">#REF!</definedName>
    <definedName name="BBX_3_4_5">#REF!</definedName>
    <definedName name="BBX_3_5">#REF!</definedName>
    <definedName name="BBX_3_6">#REF!</definedName>
    <definedName name="BBX_3_6_5">#REF!</definedName>
    <definedName name="BBX_3_7">#REF!</definedName>
    <definedName name="BBX_3_7_5">#REF!</definedName>
    <definedName name="BBX_4">#REF!</definedName>
    <definedName name="BBX_4_1">#REF!</definedName>
    <definedName name="BBX_4_1_5">#REF!</definedName>
    <definedName name="BBX_4_10">#REF!</definedName>
    <definedName name="BBX_4_11">#REF!</definedName>
    <definedName name="BBX_4_12">#REF!</definedName>
    <definedName name="BBX_4_13">#REF!</definedName>
    <definedName name="BBX_4_2">#REF!</definedName>
    <definedName name="BBX_4_4">#REF!</definedName>
    <definedName name="BBX_4_4_5">#REF!</definedName>
    <definedName name="BBX_4_5">#REF!</definedName>
    <definedName name="BBX_4_6">#REF!</definedName>
    <definedName name="BBX_4_6_5">#REF!</definedName>
    <definedName name="BBX_4_7">#REF!</definedName>
    <definedName name="BBX_4_7_5">#REF!</definedName>
    <definedName name="BBX_5">#REF!</definedName>
    <definedName name="BBX_5_2">#REF!</definedName>
    <definedName name="BBX_5_4">#REF!</definedName>
    <definedName name="BBX_5_4_5">#REF!</definedName>
    <definedName name="BBX_5_5">#REF!</definedName>
    <definedName name="BBX_5_6">#REF!</definedName>
    <definedName name="BBX_5_6_5">#REF!</definedName>
    <definedName name="BBX_5_7">#REF!</definedName>
    <definedName name="BBX_5_7_5">#REF!</definedName>
    <definedName name="BBX_6">#REF!</definedName>
    <definedName name="BBX_6_1">#REF!</definedName>
    <definedName name="BBX_6_1_5">#REF!</definedName>
    <definedName name="BBX_6_2">#REF!</definedName>
    <definedName name="BBX_6_4">#REF!</definedName>
    <definedName name="BBX_6_4_5">#REF!</definedName>
    <definedName name="BBX_6_5">#REF!</definedName>
    <definedName name="BBX_6_6">#REF!</definedName>
    <definedName name="BBX_6_6_5">#REF!</definedName>
    <definedName name="BBX_6_7">#REF!</definedName>
    <definedName name="BBX_6_7_5">#REF!</definedName>
    <definedName name="BBX_7">#REF!</definedName>
    <definedName name="BBX_7_1">#REF!</definedName>
    <definedName name="BBX_7_1_5">#REF!</definedName>
    <definedName name="BBX_7_10">#REF!</definedName>
    <definedName name="BBX_7_11">#REF!</definedName>
    <definedName name="BBX_7_12">#REF!</definedName>
    <definedName name="BBX_7_13">#REF!</definedName>
    <definedName name="BBX_7_5">#REF!</definedName>
    <definedName name="BBX_9">#REF!</definedName>
    <definedName name="bc">#REF!</definedName>
    <definedName name="BC_10">'[78]Harga Jasa dan Material'!$D$109</definedName>
    <definedName name="bc_1060">#REF!</definedName>
    <definedName name="BC_120">'[78]Harga Jasa dan Material'!$D$116</definedName>
    <definedName name="BC_150">'[78]Harga Jasa dan Material'!$D$117</definedName>
    <definedName name="BC_16">'[78]Harga Jasa dan Material'!$D$110</definedName>
    <definedName name="BC_25">'[78]Harga Jasa dan Material'!$D$111</definedName>
    <definedName name="BC_35">'[78]Harga Jasa dan Material'!$D$112</definedName>
    <definedName name="BC_4">'[78]Harga Jasa dan Material'!$D$107</definedName>
    <definedName name="BC_50">'[78]Harga Jasa dan Material'!$D$113</definedName>
    <definedName name="BC_6">'[78]Harga Jasa dan Material'!$D$108</definedName>
    <definedName name="BC_70">'[78]Harga Jasa dan Material'!$D$114</definedName>
    <definedName name="BC_95">'[78]Harga Jasa dan Material'!$D$115</definedName>
    <definedName name="bc_ks">#REF!</definedName>
    <definedName name="BC_PR">#REF!</definedName>
    <definedName name="bca4a">'[22]Daftar Harga Upah dan Bahan'!$F$66</definedName>
    <definedName name="bck">[65]harsat!#REF!</definedName>
    <definedName name="bcol">#REF!</definedName>
    <definedName name="bcor">#REF!</definedName>
    <definedName name="BCT">#REF!</definedName>
    <definedName name="bcv100_1">#REF!</definedName>
    <definedName name="bcv100_1_5">#REF!</definedName>
    <definedName name="bcv100_10">#REF!</definedName>
    <definedName name="bcv100_11">#REF!</definedName>
    <definedName name="bcv100_12">#REF!</definedName>
    <definedName name="bcv100_13">#REF!</definedName>
    <definedName name="bcv100_2">#REF!</definedName>
    <definedName name="bcv100_2_1">#REF!</definedName>
    <definedName name="bcv100_2_1_1">#REF!</definedName>
    <definedName name="bcv100_2_1_1_6">#REF!</definedName>
    <definedName name="bcv100_2_1_5">#REF!</definedName>
    <definedName name="bcv100_2_1_6">#REF!</definedName>
    <definedName name="bcv100_2_1_7">#REF!</definedName>
    <definedName name="bcv100_2_1_7_5">#REF!</definedName>
    <definedName name="bcv100_2_5">#REF!</definedName>
    <definedName name="bcv100_2_6">#REF!</definedName>
    <definedName name="bcv100_2_7">#REF!</definedName>
    <definedName name="bcv100_2_7_5">#REF!</definedName>
    <definedName name="bcv100_3">#REF!</definedName>
    <definedName name="bcv100_3_10">#REF!</definedName>
    <definedName name="bcv100_3_11">#REF!</definedName>
    <definedName name="bcv100_3_12">#REF!</definedName>
    <definedName name="bcv100_3_13">#REF!</definedName>
    <definedName name="bcv100_3_4">#REF!</definedName>
    <definedName name="bcv100_3_4_5">#REF!</definedName>
    <definedName name="bcv100_3_5">#REF!</definedName>
    <definedName name="bcv100_3_6">#REF!</definedName>
    <definedName name="bcv100_3_6_5">#REF!</definedName>
    <definedName name="bcv100_3_7">#REF!</definedName>
    <definedName name="bcv100_3_7_5">#REF!</definedName>
    <definedName name="bcv100_3_9">#REF!</definedName>
    <definedName name="bcv100_4">#REF!</definedName>
    <definedName name="bcv100_4_1">#REF!</definedName>
    <definedName name="bcv100_4_1_5">#REF!</definedName>
    <definedName name="bcv100_4_10">#REF!</definedName>
    <definedName name="bcv100_4_11">#REF!</definedName>
    <definedName name="bcv100_4_12">#REF!</definedName>
    <definedName name="bcv100_4_13">#REF!</definedName>
    <definedName name="bcv100_4_2">#REF!</definedName>
    <definedName name="bcv100_4_2_6">#REF!</definedName>
    <definedName name="bcv100_4_4">#REF!</definedName>
    <definedName name="bcv100_4_4_5">#REF!</definedName>
    <definedName name="bcv100_4_5">#REF!</definedName>
    <definedName name="bcv100_4_6">#REF!</definedName>
    <definedName name="bcv100_4_6_5">#REF!</definedName>
    <definedName name="bcv100_4_7">#REF!</definedName>
    <definedName name="bcv100_4_7_5">#REF!</definedName>
    <definedName name="bcv100_5">#REF!</definedName>
    <definedName name="bcv100_5_2">#REF!</definedName>
    <definedName name="bcv100_5_2_6">#REF!</definedName>
    <definedName name="bcv100_5_4">#REF!</definedName>
    <definedName name="bcv100_5_4_5">#REF!</definedName>
    <definedName name="bcv100_5_5">#REF!</definedName>
    <definedName name="bcv100_5_6">#REF!</definedName>
    <definedName name="bcv100_5_6_5">#REF!</definedName>
    <definedName name="bcv100_5_7">#REF!</definedName>
    <definedName name="bcv100_5_7_5">#REF!</definedName>
    <definedName name="bcv100_6">#REF!</definedName>
    <definedName name="bcv100_6_1">#REF!</definedName>
    <definedName name="bcv100_6_1_5">#REF!</definedName>
    <definedName name="bcv100_6_10">#REF!</definedName>
    <definedName name="bcv100_6_11">#REF!</definedName>
    <definedName name="bcv100_6_12">#REF!</definedName>
    <definedName name="bcv100_6_13">#REF!</definedName>
    <definedName name="bcv100_6_4">#REF!</definedName>
    <definedName name="bcv100_6_4_5">#REF!</definedName>
    <definedName name="bcv100_6_5">#REF!</definedName>
    <definedName name="bcv100_6_6">#REF!</definedName>
    <definedName name="bcv100_6_6_5">#REF!</definedName>
    <definedName name="bcv100_6_7">#REF!</definedName>
    <definedName name="bcv100_6_7_5">#REF!</definedName>
    <definedName name="bcv100_6_9">#REF!</definedName>
    <definedName name="bcv100_7">#REF!</definedName>
    <definedName name="bcv100_7_5">#REF!</definedName>
    <definedName name="bcv100_9">#REF!</definedName>
    <definedName name="bcv125_1">#REF!</definedName>
    <definedName name="bcv125_1_5">#REF!</definedName>
    <definedName name="bcv125_10">#REF!</definedName>
    <definedName name="bcv125_11">#REF!</definedName>
    <definedName name="bcv125_12">#REF!</definedName>
    <definedName name="bcv125_13">#REF!</definedName>
    <definedName name="bcv125_2">#REF!</definedName>
    <definedName name="bcv125_2_1">#REF!</definedName>
    <definedName name="bcv125_2_1_1">#REF!</definedName>
    <definedName name="bcv125_2_1_1_6">#REF!</definedName>
    <definedName name="bcv125_2_1_5">#REF!</definedName>
    <definedName name="bcv125_2_1_6">#REF!</definedName>
    <definedName name="bcv125_2_1_7">#REF!</definedName>
    <definedName name="bcv125_2_1_7_5">#REF!</definedName>
    <definedName name="bcv125_2_5">#REF!</definedName>
    <definedName name="bcv125_2_6">#REF!</definedName>
    <definedName name="bcv125_2_7">#REF!</definedName>
    <definedName name="bcv125_2_7_5">#REF!</definedName>
    <definedName name="bcv125_3">#REF!</definedName>
    <definedName name="bcv125_3_10">#REF!</definedName>
    <definedName name="bcv125_3_11">#REF!</definedName>
    <definedName name="bcv125_3_12">#REF!</definedName>
    <definedName name="bcv125_3_13">#REF!</definedName>
    <definedName name="bcv125_3_4">#REF!</definedName>
    <definedName name="bcv125_3_4_5">#REF!</definedName>
    <definedName name="bcv125_3_5">#REF!</definedName>
    <definedName name="bcv125_3_6">#REF!</definedName>
    <definedName name="bcv125_3_6_5">#REF!</definedName>
    <definedName name="bcv125_3_7">#REF!</definedName>
    <definedName name="bcv125_3_7_5">#REF!</definedName>
    <definedName name="bcv125_3_9">#REF!</definedName>
    <definedName name="bcv125_4">#REF!</definedName>
    <definedName name="bcv125_4_1">#REF!</definedName>
    <definedName name="bcv125_4_1_5">#REF!</definedName>
    <definedName name="bcv125_4_10">#REF!</definedName>
    <definedName name="bcv125_4_11">#REF!</definedName>
    <definedName name="bcv125_4_12">#REF!</definedName>
    <definedName name="bcv125_4_13">#REF!</definedName>
    <definedName name="bcv125_4_2">#REF!</definedName>
    <definedName name="bcv125_4_2_6">#REF!</definedName>
    <definedName name="bcv125_4_4">#REF!</definedName>
    <definedName name="bcv125_4_4_5">#REF!</definedName>
    <definedName name="bcv125_4_5">#REF!</definedName>
    <definedName name="bcv125_4_6">#REF!</definedName>
    <definedName name="bcv125_4_6_5">#REF!</definedName>
    <definedName name="bcv125_4_7">#REF!</definedName>
    <definedName name="bcv125_4_7_5">#REF!</definedName>
    <definedName name="bcv125_5">#REF!</definedName>
    <definedName name="bcv125_5_2">#REF!</definedName>
    <definedName name="bcv125_5_2_6">#REF!</definedName>
    <definedName name="bcv125_5_4">#REF!</definedName>
    <definedName name="bcv125_5_4_5">#REF!</definedName>
    <definedName name="bcv125_5_5">#REF!</definedName>
    <definedName name="bcv125_5_6">#REF!</definedName>
    <definedName name="bcv125_5_6_5">#REF!</definedName>
    <definedName name="bcv125_5_7">#REF!</definedName>
    <definedName name="bcv125_5_7_5">#REF!</definedName>
    <definedName name="bcv125_6">#REF!</definedName>
    <definedName name="bcv125_6_1">#REF!</definedName>
    <definedName name="bcv125_6_1_5">#REF!</definedName>
    <definedName name="bcv125_6_10">#REF!</definedName>
    <definedName name="bcv125_6_11">#REF!</definedName>
    <definedName name="bcv125_6_12">#REF!</definedName>
    <definedName name="bcv125_6_13">#REF!</definedName>
    <definedName name="bcv125_6_4">#REF!</definedName>
    <definedName name="bcv125_6_4_5">#REF!</definedName>
    <definedName name="bcv125_6_5">#REF!</definedName>
    <definedName name="bcv125_6_6">#REF!</definedName>
    <definedName name="bcv125_6_6_5">#REF!</definedName>
    <definedName name="bcv125_6_7">#REF!</definedName>
    <definedName name="bcv125_6_7_5">#REF!</definedName>
    <definedName name="bcv125_6_9">#REF!</definedName>
    <definedName name="bcv125_7">#REF!</definedName>
    <definedName name="bcv125_7_5">#REF!</definedName>
    <definedName name="bcv125_9">#REF!</definedName>
    <definedName name="bcv150_1">#REF!</definedName>
    <definedName name="bcv150_1_5">#REF!</definedName>
    <definedName name="bcv150_10">#REF!</definedName>
    <definedName name="bcv150_11">#REF!</definedName>
    <definedName name="bcv150_12">#REF!</definedName>
    <definedName name="bcv150_13">#REF!</definedName>
    <definedName name="bcv150_2">#REF!</definedName>
    <definedName name="bcv150_2_1">#REF!</definedName>
    <definedName name="bcv150_2_1_1">#REF!</definedName>
    <definedName name="bcv150_2_1_1_6">#REF!</definedName>
    <definedName name="bcv150_2_1_5">#REF!</definedName>
    <definedName name="bcv150_2_1_6">#REF!</definedName>
    <definedName name="bcv150_2_1_7">#REF!</definedName>
    <definedName name="bcv150_2_1_7_5">#REF!</definedName>
    <definedName name="bcv150_2_5">#REF!</definedName>
    <definedName name="bcv150_2_6">#REF!</definedName>
    <definedName name="bcv150_2_7">#REF!</definedName>
    <definedName name="bcv150_2_7_5">#REF!</definedName>
    <definedName name="bcv150_3">#REF!</definedName>
    <definedName name="bcv150_3_10">#REF!</definedName>
    <definedName name="bcv150_3_11">#REF!</definedName>
    <definedName name="bcv150_3_12">#REF!</definedName>
    <definedName name="bcv150_3_13">#REF!</definedName>
    <definedName name="bcv150_3_4">#REF!</definedName>
    <definedName name="bcv150_3_4_5">#REF!</definedName>
    <definedName name="bcv150_3_5">#REF!</definedName>
    <definedName name="bcv150_3_6">#REF!</definedName>
    <definedName name="bcv150_3_6_5">#REF!</definedName>
    <definedName name="bcv150_3_7">#REF!</definedName>
    <definedName name="bcv150_3_7_5">#REF!</definedName>
    <definedName name="bcv150_3_9">#REF!</definedName>
    <definedName name="bcv150_4">#REF!</definedName>
    <definedName name="bcv150_4_1">#REF!</definedName>
    <definedName name="bcv150_4_1_5">#REF!</definedName>
    <definedName name="bcv150_4_10">#REF!</definedName>
    <definedName name="bcv150_4_11">#REF!</definedName>
    <definedName name="bcv150_4_12">#REF!</definedName>
    <definedName name="bcv150_4_13">#REF!</definedName>
    <definedName name="bcv150_4_2">#REF!</definedName>
    <definedName name="bcv150_4_2_6">#REF!</definedName>
    <definedName name="bcv150_4_4">#REF!</definedName>
    <definedName name="bcv150_4_4_5">#REF!</definedName>
    <definedName name="bcv150_4_5">#REF!</definedName>
    <definedName name="bcv150_4_6">#REF!</definedName>
    <definedName name="bcv150_4_6_5">#REF!</definedName>
    <definedName name="bcv150_4_7">#REF!</definedName>
    <definedName name="bcv150_4_7_5">#REF!</definedName>
    <definedName name="bcv150_5">#REF!</definedName>
    <definedName name="bcv150_5_2">#REF!</definedName>
    <definedName name="bcv150_5_2_6">#REF!</definedName>
    <definedName name="bcv150_5_4">#REF!</definedName>
    <definedName name="bcv150_5_4_5">#REF!</definedName>
    <definedName name="bcv150_5_5">#REF!</definedName>
    <definedName name="bcv150_5_6">#REF!</definedName>
    <definedName name="bcv150_5_6_5">#REF!</definedName>
    <definedName name="bcv150_5_7">#REF!</definedName>
    <definedName name="bcv150_5_7_5">#REF!</definedName>
    <definedName name="bcv150_6">#REF!</definedName>
    <definedName name="bcv150_6_1">#REF!</definedName>
    <definedName name="bcv150_6_1_5">#REF!</definedName>
    <definedName name="bcv150_6_10">#REF!</definedName>
    <definedName name="bcv150_6_11">#REF!</definedName>
    <definedName name="bcv150_6_12">#REF!</definedName>
    <definedName name="bcv150_6_13">#REF!</definedName>
    <definedName name="bcv150_6_4">#REF!</definedName>
    <definedName name="bcv150_6_4_5">#REF!</definedName>
    <definedName name="bcv150_6_5">#REF!</definedName>
    <definedName name="bcv150_6_6">#REF!</definedName>
    <definedName name="bcv150_6_6_5">#REF!</definedName>
    <definedName name="bcv150_6_7">#REF!</definedName>
    <definedName name="bcv150_6_7_5">#REF!</definedName>
    <definedName name="bcv150_6_9">#REF!</definedName>
    <definedName name="bcv150_7">#REF!</definedName>
    <definedName name="bcv150_7_5">#REF!</definedName>
    <definedName name="bcv150_9">#REF!</definedName>
    <definedName name="BCX">#REF!</definedName>
    <definedName name="BCX_1">#REF!</definedName>
    <definedName name="BCX_10">#REF!</definedName>
    <definedName name="BCX_11">#REF!</definedName>
    <definedName name="BCX_12">#REF!</definedName>
    <definedName name="BCX_13">#REF!</definedName>
    <definedName name="BCX_2">#REF!</definedName>
    <definedName name="BCX_2_1">#REF!</definedName>
    <definedName name="BCX_2_5">#REF!</definedName>
    <definedName name="BCX_3">#REF!</definedName>
    <definedName name="BCX_3_2">#REF!</definedName>
    <definedName name="BCX_3_4">#REF!</definedName>
    <definedName name="BCX_3_4_5">#REF!</definedName>
    <definedName name="BCX_3_5">#REF!</definedName>
    <definedName name="BCX_3_6">#REF!</definedName>
    <definedName name="BCX_3_6_5">#REF!</definedName>
    <definedName name="BCX_3_7">#REF!</definedName>
    <definedName name="BCX_3_7_5">#REF!</definedName>
    <definedName name="BCX_4">#REF!</definedName>
    <definedName name="BCX_4_1">#REF!</definedName>
    <definedName name="BCX_4_1_5">#REF!</definedName>
    <definedName name="BCX_4_10">#REF!</definedName>
    <definedName name="BCX_4_11">#REF!</definedName>
    <definedName name="BCX_4_12">#REF!</definedName>
    <definedName name="BCX_4_13">#REF!</definedName>
    <definedName name="BCX_4_2">#REF!</definedName>
    <definedName name="BCX_4_4">#REF!</definedName>
    <definedName name="BCX_4_4_5">#REF!</definedName>
    <definedName name="BCX_4_5">#REF!</definedName>
    <definedName name="BCX_4_6">#REF!</definedName>
    <definedName name="BCX_4_6_5">#REF!</definedName>
    <definedName name="BCX_4_7">#REF!</definedName>
    <definedName name="BCX_4_7_5">#REF!</definedName>
    <definedName name="BCX_5">#REF!</definedName>
    <definedName name="BCX_5_2">#REF!</definedName>
    <definedName name="BCX_5_4">#REF!</definedName>
    <definedName name="BCX_5_4_5">#REF!</definedName>
    <definedName name="BCX_5_5">#REF!</definedName>
    <definedName name="BCX_5_6">#REF!</definedName>
    <definedName name="BCX_5_6_5">#REF!</definedName>
    <definedName name="BCX_5_7">#REF!</definedName>
    <definedName name="BCX_5_7_5">#REF!</definedName>
    <definedName name="BCX_6">#REF!</definedName>
    <definedName name="BCX_6_1">#REF!</definedName>
    <definedName name="BCX_6_1_5">#REF!</definedName>
    <definedName name="BCX_6_2">#REF!</definedName>
    <definedName name="BCX_6_4">#REF!</definedName>
    <definedName name="BCX_6_4_5">#REF!</definedName>
    <definedName name="BCX_6_5">#REF!</definedName>
    <definedName name="BCX_6_6">#REF!</definedName>
    <definedName name="BCX_6_6_5">#REF!</definedName>
    <definedName name="BCX_6_7">#REF!</definedName>
    <definedName name="BCX_6_7_5">#REF!</definedName>
    <definedName name="BCX_7">#REF!</definedName>
    <definedName name="BCX_7_1">#REF!</definedName>
    <definedName name="BCX_7_1_5">#REF!</definedName>
    <definedName name="BCX_7_10">#REF!</definedName>
    <definedName name="BCX_7_11">#REF!</definedName>
    <definedName name="BCX_7_12">#REF!</definedName>
    <definedName name="BCX_7_13">#REF!</definedName>
    <definedName name="BCX_7_5">#REF!</definedName>
    <definedName name="BCX_9">#REF!</definedName>
    <definedName name="bdg">[79]CH!$A$1</definedName>
    <definedName name="bdh" hidden="1">{"'Sheet1'!$A$1"}</definedName>
    <definedName name="bdht15nc">[18]gtrinh!#REF!</definedName>
    <definedName name="bdht15vl">[18]gtrinh!#REF!</definedName>
    <definedName name="bdht25nc">[18]gtrinh!#REF!</definedName>
    <definedName name="bdht25vl">[18]gtrinh!#REF!</definedName>
    <definedName name="bdht325nc">[18]gtrinh!#REF!</definedName>
    <definedName name="bdht325vl">[18]gtrinh!#REF!</definedName>
    <definedName name="bdia6">#REF!</definedName>
    <definedName name="bdia6_1">#REF!</definedName>
    <definedName name="bdia6_1_5">#REF!</definedName>
    <definedName name="bdia6_10">#REF!</definedName>
    <definedName name="bdia6_11">#REF!</definedName>
    <definedName name="bdia6_12">#REF!</definedName>
    <definedName name="bdia6_13">#REF!</definedName>
    <definedName name="bdia6_2">#REF!</definedName>
    <definedName name="bdia6_2_1">#REF!</definedName>
    <definedName name="bdia6_2_1_1">#REF!</definedName>
    <definedName name="bdia6_2_1_1_6">#REF!</definedName>
    <definedName name="bdia6_2_1_5">#REF!</definedName>
    <definedName name="bdia6_2_1_6">#REF!</definedName>
    <definedName name="bdia6_2_1_7">#REF!</definedName>
    <definedName name="bdia6_2_1_7_5">#REF!</definedName>
    <definedName name="bdia6_2_5">#REF!</definedName>
    <definedName name="bdia6_2_6">#REF!</definedName>
    <definedName name="bdia6_2_7">#REF!</definedName>
    <definedName name="bdia6_2_7_5">#REF!</definedName>
    <definedName name="bdia6_3">#REF!</definedName>
    <definedName name="bdia6_3_1">#REF!</definedName>
    <definedName name="bdia6_3_10">#REF!</definedName>
    <definedName name="bdia6_3_11">#REF!</definedName>
    <definedName name="bdia6_3_12">#REF!</definedName>
    <definedName name="bdia6_3_13">#REF!</definedName>
    <definedName name="bdia6_3_2">#REF!</definedName>
    <definedName name="bdia6_3_4">#REF!</definedName>
    <definedName name="bdia6_3_4_5">#REF!</definedName>
    <definedName name="bdia6_3_5">#REF!</definedName>
    <definedName name="bdia6_3_6">#REF!</definedName>
    <definedName name="bdia6_3_6_5">#REF!</definedName>
    <definedName name="bdia6_3_7">#REF!</definedName>
    <definedName name="bdia6_3_7_5">#REF!</definedName>
    <definedName name="bdia6_3_9">#REF!</definedName>
    <definedName name="bdia6_4">#REF!</definedName>
    <definedName name="bdia6_4_1">#REF!</definedName>
    <definedName name="bdia6_4_1_5">#REF!</definedName>
    <definedName name="bdia6_4_10">#REF!</definedName>
    <definedName name="bdia6_4_11">#REF!</definedName>
    <definedName name="bdia6_4_12">#REF!</definedName>
    <definedName name="bdia6_4_13">#REF!</definedName>
    <definedName name="bdia6_4_2">#REF!</definedName>
    <definedName name="bdia6_4_2_6">#REF!</definedName>
    <definedName name="bdia6_4_4">#REF!</definedName>
    <definedName name="bdia6_4_4_5">#REF!</definedName>
    <definedName name="bdia6_4_5">#REF!</definedName>
    <definedName name="bdia6_4_6">#REF!</definedName>
    <definedName name="bdia6_4_6_5">#REF!</definedName>
    <definedName name="bdia6_4_7">#REF!</definedName>
    <definedName name="bdia6_4_7_5">#REF!</definedName>
    <definedName name="bdia6_5">#REF!</definedName>
    <definedName name="bdia6_5_2">#REF!</definedName>
    <definedName name="bdia6_5_2_6">#REF!</definedName>
    <definedName name="bdia6_5_4">#REF!</definedName>
    <definedName name="bdia6_5_4_5">#REF!</definedName>
    <definedName name="bdia6_5_5">#REF!</definedName>
    <definedName name="bdia6_5_6">#REF!</definedName>
    <definedName name="bdia6_5_6_5">#REF!</definedName>
    <definedName name="bdia6_5_7">#REF!</definedName>
    <definedName name="bdia6_5_7_5">#REF!</definedName>
    <definedName name="bdia6_6">#REF!</definedName>
    <definedName name="bdia6_6_1">#REF!</definedName>
    <definedName name="bdia6_6_1_5">#REF!</definedName>
    <definedName name="bdia6_6_10">#REF!</definedName>
    <definedName name="bdia6_6_11">#REF!</definedName>
    <definedName name="bdia6_6_12">#REF!</definedName>
    <definedName name="bdia6_6_13">#REF!</definedName>
    <definedName name="bdia6_6_4">#REF!</definedName>
    <definedName name="bdia6_6_4_5">#REF!</definedName>
    <definedName name="bdia6_6_5">#REF!</definedName>
    <definedName name="bdia6_6_6">#REF!</definedName>
    <definedName name="bdia6_6_6_5">#REF!</definedName>
    <definedName name="bdia6_6_7">#REF!</definedName>
    <definedName name="bdia6_6_7_5">#REF!</definedName>
    <definedName name="bdia6_6_9">#REF!</definedName>
    <definedName name="bdia6_7">#REF!</definedName>
    <definedName name="bdia6_7_5">#REF!</definedName>
    <definedName name="bdia6_9">#REF!</definedName>
    <definedName name="bdinding">#REF!</definedName>
    <definedName name="bdinding_6">#REF!</definedName>
    <definedName name="BDLS">#REF!</definedName>
    <definedName name="bdnhd">[80]DHSD!$G$40</definedName>
    <definedName name="Bdz">#REF!</definedName>
    <definedName name="be">#REF!</definedName>
    <definedName name="BEARING_PAD">#REF!</definedName>
    <definedName name="BEBE">#REF!</definedName>
    <definedName name="Bebe1">#REF!</definedName>
    <definedName name="bebre">[46]Cover!#REF!</definedName>
    <definedName name="bedjo">#REF!</definedName>
    <definedName name="BEG">[81]hsd!$H$54</definedName>
    <definedName name="Begesting">#REF!</definedName>
    <definedName name="BegestingDinding">#REF!</definedName>
    <definedName name="begisting">#REF!</definedName>
    <definedName name="BEGISTING_BALOK">#REF!</definedName>
    <definedName name="BEGISTING_KOLOM">#REF!</definedName>
    <definedName name="BEGISTING_LANTAI">#REF!</definedName>
    <definedName name="begisting_lengkung">#REF!</definedName>
    <definedName name="BEGISTING_PONDASI">#REF!</definedName>
    <definedName name="BEGISTING_SLOEF">#REF!</definedName>
    <definedName name="begkolombulat">[31]MANHATTAN!#REF!</definedName>
    <definedName name="beinraad">#REF!</definedName>
    <definedName name="bek.ap">'[82]Sat~Bahu'!#REF!</definedName>
    <definedName name="BEK.BALOK">#REF!</definedName>
    <definedName name="BEK.KOLOM">#REF!</definedName>
    <definedName name="BEK.PAPAN">#REF!</definedName>
    <definedName name="BEK.PELAT">#REF!</definedName>
    <definedName name="BEK.TANGGA">#REF!</definedName>
    <definedName name="bek_b">#REF!</definedName>
    <definedName name="bek_btc">#REF!</definedName>
    <definedName name="bek_d">#REF!</definedName>
    <definedName name="bek_f">#REF!</definedName>
    <definedName name="bek_k">#REF!</definedName>
    <definedName name="bek_l">#REF!</definedName>
    <definedName name="bek_lp">#REF!</definedName>
    <definedName name="bek_p">#REF!</definedName>
    <definedName name="bek_pc">#REF!</definedName>
    <definedName name="bek_pl">#REF!</definedName>
    <definedName name="bek_r">#REF!</definedName>
    <definedName name="bek_sd">#REF!</definedName>
    <definedName name="bek_t">#REF!</definedName>
    <definedName name="bek_tp">#REF!</definedName>
    <definedName name="Bek_ulang_Balok">#REF!</definedName>
    <definedName name="Bek_ulang_dinding">#REF!</definedName>
    <definedName name="Bek_ulang_kolom">#REF!</definedName>
    <definedName name="Bek_ulang_lantai">#REF!</definedName>
    <definedName name="Bek_ulang_tangga">#REF!</definedName>
    <definedName name="BEKAS">#REF!</definedName>
    <definedName name="BEKBALOK">#REF!</definedName>
    <definedName name="BEKBATA">#REF!</definedName>
    <definedName name="bekbatako">#N/A</definedName>
    <definedName name="bekddng">'[83]DAF-5'!$I$163</definedName>
    <definedName name="BekestingBalok">#REF!</definedName>
    <definedName name="BekestingDinding">#REF!</definedName>
    <definedName name="BekestingKolom">#REF!</definedName>
    <definedName name="BekestingLantai">#REF!</definedName>
    <definedName name="BekestingPondasi">#REF!</definedName>
    <definedName name="BekestingSloof">#REF!</definedName>
    <definedName name="BekestingTangga">#REF!</definedName>
    <definedName name="bekism">#REF!</definedName>
    <definedName name="bekisp">#REF!</definedName>
    <definedName name="bekist_balok">#REF!</definedName>
    <definedName name="bekist_Kolom">#REF!</definedName>
    <definedName name="bekist_Lantai">#REF!</definedName>
    <definedName name="bekist_Pondasi">#REF!</definedName>
    <definedName name="bekist_Sloof">#REF!</definedName>
    <definedName name="bekist_tangga">#REF!</definedName>
    <definedName name="bekist12">#REF!</definedName>
    <definedName name="bekist9">#REF!</definedName>
    <definedName name="bekistb">#REF!</definedName>
    <definedName name="bekisting" hidden="1">#REF!</definedName>
    <definedName name="Bekisting_kayu">#REF!</definedName>
    <definedName name="Bekisting_Multipleks">'[84]Anal-2'!$G$261</definedName>
    <definedName name="bekistingGS">#REF!</definedName>
    <definedName name="bekistingK1.lt.1">#REF!</definedName>
    <definedName name="bekistingK1.lt.2">#REF!</definedName>
    <definedName name="bekistingK1.lt.dsr">#REF!</definedName>
    <definedName name="bekistingK10.lt.1">#REF!</definedName>
    <definedName name="bekistingK10.lt.2">#REF!</definedName>
    <definedName name="bekistingK10.lt.3">#REF!</definedName>
    <definedName name="bekistingK10.lt.dsr">#REF!</definedName>
    <definedName name="bekistingK2.lt.1">#REF!</definedName>
    <definedName name="bekistingK2.lt.2">#REF!</definedName>
    <definedName name="bekistingK2.lt.3">#REF!</definedName>
    <definedName name="bekistingK2.lt.dsr">#REF!</definedName>
    <definedName name="bekistingK3.lt.1">#REF!</definedName>
    <definedName name="bekistingK3.lt.2">#REF!</definedName>
    <definedName name="bekistingK3.lt.3">#REF!</definedName>
    <definedName name="bekistingK3.lt.dsr">#REF!</definedName>
    <definedName name="bekistingK4.lt.1">#REF!</definedName>
    <definedName name="bekistingK4.lt.2">#REF!</definedName>
    <definedName name="bekistingK4.lt.3">#REF!</definedName>
    <definedName name="bekistingK4.lt.dsr">#REF!</definedName>
    <definedName name="bekistingK5.lt.1">#REF!</definedName>
    <definedName name="bekistingK5.lt.2">#REF!</definedName>
    <definedName name="bekistingK5.lt.3">#REF!</definedName>
    <definedName name="bekistingK5.lt.dsr">#REF!</definedName>
    <definedName name="bekistingK6.lt.1">#REF!</definedName>
    <definedName name="bekistingK6.lt.2">#REF!</definedName>
    <definedName name="bekistingK6.lt.3">#REF!</definedName>
    <definedName name="bekistingK6.lt.dsr">#REF!</definedName>
    <definedName name="bekistingK7.lt.1">#REF!</definedName>
    <definedName name="bekistingK7.lt.2">#REF!</definedName>
    <definedName name="bekistingK7.lt.3">#REF!</definedName>
    <definedName name="bekistingK7.lt.dsr">#REF!</definedName>
    <definedName name="bekistingK8.lt.1">#REF!</definedName>
    <definedName name="bekistingK8.lt.2">#REF!</definedName>
    <definedName name="bekistingK8.lt.3">#REF!</definedName>
    <definedName name="bekistingK8.lt.dsr">#REF!</definedName>
    <definedName name="bekistingK9.lt.1">#REF!</definedName>
    <definedName name="bekistingK9.lt.2">#REF!</definedName>
    <definedName name="bekistingK9.lt.3">#REF!</definedName>
    <definedName name="bekistingK9.lt.dsr">#REF!</definedName>
    <definedName name="bekistingKL">#REF!</definedName>
    <definedName name="bekistingKP">#REF!</definedName>
    <definedName name="bekistingKR1">#REF!</definedName>
    <definedName name="bekistingKTG1">#REF!</definedName>
    <definedName name="bekistingKTG1A">#REF!</definedName>
    <definedName name="bekistingKTG2">#REF!</definedName>
    <definedName name="bekistingP.1">#REF!</definedName>
    <definedName name="bekistingP.2B">#REF!</definedName>
    <definedName name="bekistingP.3A">#REF!</definedName>
    <definedName name="bekistingP.3B">#REF!</definedName>
    <definedName name="bekistingP.4A">#REF!</definedName>
    <definedName name="bekistingP.TG.1">#REF!</definedName>
    <definedName name="bekistingP.TG.2">#REF!</definedName>
    <definedName name="bekistingtangga1">#REF!</definedName>
    <definedName name="bekistingtangga2">#REF!</definedName>
    <definedName name="bekistingtangga3">#REF!</definedName>
    <definedName name="bekistingTB.1">#REF!</definedName>
    <definedName name="bekistingTB.2">#REF!</definedName>
    <definedName name="bekistingTB.3">#REF!</definedName>
    <definedName name="bekistingTB.4">#REF!</definedName>
    <definedName name="bekistingTB.5">#REF!</definedName>
    <definedName name="bekistingTB.6">#REF!</definedName>
    <definedName name="bekistngK1.lt.3">#REF!</definedName>
    <definedName name="bekistp">#REF!</definedName>
    <definedName name="bekkp">#REF!</definedName>
    <definedName name="beklant">'[83]DAF-5'!$I$181</definedName>
    <definedName name="BEKLANTAI">#REF!</definedName>
    <definedName name="beklt">#REF!</definedName>
    <definedName name="bekoki">#N/A</definedName>
    <definedName name="bekolom">#REF!</definedName>
    <definedName name="bekpan">#REF!</definedName>
    <definedName name="bekpctb">#N/A</definedName>
    <definedName name="beksloff">#REF!</definedName>
    <definedName name="beksloof">#REF!</definedName>
    <definedName name="bel">#REF!</definedName>
    <definedName name="belasan">#REF!</definedName>
    <definedName name="BEN">#REF!</definedName>
    <definedName name="Benang">#REF!</definedName>
    <definedName name="Benang_nilon_putih">#REF!</definedName>
    <definedName name="benco" hidden="1">{#N/A,#N/A,FALSE,"REK-S-TPL";#N/A,#N/A,FALSE,"REK-TPML";#N/A,#N/A,FALSE,"RAB-TEMPEL"}</definedName>
    <definedName name="Bend_Ø">#REF!</definedName>
    <definedName name="Bender">#REF!</definedName>
    <definedName name="bendrat">#REF!</definedName>
    <definedName name="bengkirai">#REF!</definedName>
    <definedName name="bengkirai2.3">#REF!</definedName>
    <definedName name="bengkirai3.5">#REF!</definedName>
    <definedName name="bengkirai8.12">#REF!</definedName>
    <definedName name="bengkirai8.15">#REF!</definedName>
    <definedName name="benrat">#REF!</definedName>
    <definedName name="bensin">#REF!</definedName>
    <definedName name="bento" hidden="1">{#N/A,#N/A,FALSE,"REK";#N/A,#N/A,FALSE,"rab"}</definedName>
    <definedName name="bentonite">'[85]Sat Bahan'!$H$40</definedName>
    <definedName name="berat_besi12">0.892</definedName>
    <definedName name="berat_besi8">0.395</definedName>
    <definedName name="berat10">#N/A</definedName>
    <definedName name="berat13">#N/A</definedName>
    <definedName name="berat16">#N/A</definedName>
    <definedName name="berat19">#N/A</definedName>
    <definedName name="berat6">#N/A</definedName>
    <definedName name="berat8">#N/A</definedName>
    <definedName name="beratbesi_12">0.892</definedName>
    <definedName name="beratbesi_8">#REF!</definedName>
    <definedName name="beratbesi12">#REF!</definedName>
    <definedName name="beratbesi8">#REF!</definedName>
    <definedName name="berput">#REF!</definedName>
    <definedName name="bersih">#REF!</definedName>
    <definedName name="bes">#REF!</definedName>
    <definedName name="besi">#REF!</definedName>
    <definedName name="Besi.8">#REF!</definedName>
    <definedName name="besi.polos">#REF!</definedName>
    <definedName name="besi.ulir">#REF!</definedName>
    <definedName name="besi_6">#REF!</definedName>
    <definedName name="BESI_BETON">#N/A</definedName>
    <definedName name="Besi_Beton_Polos">#REF!</definedName>
    <definedName name="besi_l_70">#REF!</definedName>
    <definedName name="Besi_pelat">#REF!</definedName>
    <definedName name="Besi_plat_untuk_pintu_besi">#REF!</definedName>
    <definedName name="Besi_Polos">#REF!</definedName>
    <definedName name="Besi_PolosU24">#REF!</definedName>
    <definedName name="besi_profil">#REF!</definedName>
    <definedName name="Besi_profile___besi_Canal">#REF!</definedName>
    <definedName name="Besi_profile_WF">#REF!</definedName>
    <definedName name="Besi_Siku">#REF!</definedName>
    <definedName name="Besi_Siku_100_x_100_10_mm">#REF!</definedName>
    <definedName name="Besi_siku_50x50x5__P_6M">#REF!</definedName>
    <definedName name="Besi_Ulir">'[84]Anal-2'!$G$216</definedName>
    <definedName name="Besi_UlirU32">#REF!</definedName>
    <definedName name="Besi_UlirU39">#REF!</definedName>
    <definedName name="besi1">#REF!</definedName>
    <definedName name="besi10">#REF!</definedName>
    <definedName name="besi10.sii">#REF!</definedName>
    <definedName name="besi12">#REF!</definedName>
    <definedName name="besi12mm">#REF!</definedName>
    <definedName name="besi12sii">#REF!</definedName>
    <definedName name="besi13">#REF!</definedName>
    <definedName name="besi13u">#REF!</definedName>
    <definedName name="besi16">#REF!</definedName>
    <definedName name="besi16mm">#REF!</definedName>
    <definedName name="besi16sii">#REF!</definedName>
    <definedName name="besi16u">#REF!</definedName>
    <definedName name="besi19">#REF!</definedName>
    <definedName name="Besi19P">#REF!</definedName>
    <definedName name="Besi19U">#REF!</definedName>
    <definedName name="besi24">#REF!</definedName>
    <definedName name="besi29">#REF!</definedName>
    <definedName name="besi39">#REF!</definedName>
    <definedName name="besi40x40gelap">#REF!</definedName>
    <definedName name="besi6">#REF!</definedName>
    <definedName name="besi6.sii">#REF!</definedName>
    <definedName name="besi6mm">#REF!</definedName>
    <definedName name="besi6sii">#REF!</definedName>
    <definedName name="besi8">#REF!</definedName>
    <definedName name="besi8mm">#REF!</definedName>
    <definedName name="besi8sii">#REF!</definedName>
    <definedName name="besibet">#REF!</definedName>
    <definedName name="BesiBeton">#REF!</definedName>
    <definedName name="besibetonulir">#REF!</definedName>
    <definedName name="besibtn">#REF!</definedName>
    <definedName name="besibton">#REF!</definedName>
    <definedName name="besie">#REF!</definedName>
    <definedName name="besiGS">#REF!</definedName>
    <definedName name="besiiii">#REF!</definedName>
    <definedName name="besiinp">'[48]HARGA SATUAN'!#REF!</definedName>
    <definedName name="BesiK1">#REF!</definedName>
    <definedName name="BesiK1.lt.1">#REF!</definedName>
    <definedName name="BesiK1.lt.2">#REF!</definedName>
    <definedName name="BesiK1.lt.3">#REF!</definedName>
    <definedName name="BesiK10">#REF!</definedName>
    <definedName name="BesiK10.lt.1">#REF!</definedName>
    <definedName name="BesiK10.lt.2">#REF!</definedName>
    <definedName name="BesiK10.lt3">#REF!</definedName>
    <definedName name="BesiK2">#REF!</definedName>
    <definedName name="BesiK2.lt.1">#REF!</definedName>
    <definedName name="BesiK2.lt.2">#REF!</definedName>
    <definedName name="besiK2.lt.3">#REF!</definedName>
    <definedName name="BesiK3">#REF!</definedName>
    <definedName name="BesiK3.lt.1">#REF!</definedName>
    <definedName name="BesiK3.lt.2">#REF!</definedName>
    <definedName name="BesiK3.lt.3">#REF!</definedName>
    <definedName name="BesiK4">#REF!</definedName>
    <definedName name="BesiK4.lt.1">#REF!</definedName>
    <definedName name="BesiK4.lt.2">#REF!</definedName>
    <definedName name="BesiK4.lt.3">#REF!</definedName>
    <definedName name="BesiK5">#REF!</definedName>
    <definedName name="BesiK5.lt.1">#REF!</definedName>
    <definedName name="BesiK5.lt.2">#REF!</definedName>
    <definedName name="BesiK5.lt.3">#REF!</definedName>
    <definedName name="BesiK6">#REF!</definedName>
    <definedName name="BesiK6.lt.1">#REF!</definedName>
    <definedName name="besiK6.lt.2">#REF!</definedName>
    <definedName name="BesiK6.lt.3">#REF!</definedName>
    <definedName name="BesiK7">#REF!</definedName>
    <definedName name="BesiK7.lt.1">#REF!</definedName>
    <definedName name="BesiK7.lt.2">#REF!</definedName>
    <definedName name="BesiK7.lt.3">#REF!</definedName>
    <definedName name="BesiK8">#REF!</definedName>
    <definedName name="BesiK8.lt.1">#REF!</definedName>
    <definedName name="BesiK8.lt.2">#REF!</definedName>
    <definedName name="BesiK8.lt.3">#REF!</definedName>
    <definedName name="BesiK9">#REF!</definedName>
    <definedName name="BesiK9.lt.1">#REF!</definedName>
    <definedName name="BesiK9.lt.2">#REF!</definedName>
    <definedName name="BesiK9.lt.3">#REF!</definedName>
    <definedName name="BesiKP">#REF!</definedName>
    <definedName name="BesiKR1">#REF!</definedName>
    <definedName name="BesiKTG1">#REF!</definedName>
    <definedName name="BesiKTG1A">#REF!</definedName>
    <definedName name="BesiKTG2">#REF!</definedName>
    <definedName name="besiP.1">#REF!</definedName>
    <definedName name="besiP.2B">#REF!</definedName>
    <definedName name="besiP.3A">#REF!</definedName>
    <definedName name="besiP.3B">#REF!</definedName>
    <definedName name="besiP.4A">#REF!</definedName>
    <definedName name="besiP.TG.1">#REF!</definedName>
    <definedName name="besiP.TG.2">#REF!</definedName>
    <definedName name="besiplat">'[48]HARGA SATUAN'!#REF!</definedName>
    <definedName name="besipol">#REF!</definedName>
    <definedName name="Besipolos">#REF!</definedName>
    <definedName name="BesiPR.1">#REF!</definedName>
    <definedName name="besiprofil">#REF!</definedName>
    <definedName name="besisiku">'[48]HARGA SATUAN'!#REF!</definedName>
    <definedName name="besistrip">#REF!</definedName>
    <definedName name="Besitangga1">#REF!</definedName>
    <definedName name="Besitangga2">#REF!</definedName>
    <definedName name="Besitangga3">#REF!</definedName>
    <definedName name="BesiTB.1">#REF!</definedName>
    <definedName name="BesiTB.2">#REF!</definedName>
    <definedName name="BesiTB.3">#REF!</definedName>
    <definedName name="BesiTB.4">#REF!</definedName>
    <definedName name="BesiTB.5">#REF!</definedName>
    <definedName name="BesiTB.6">#REF!</definedName>
    <definedName name="BesiU24">#REF!</definedName>
    <definedName name="BesiU39">#REF!</definedName>
    <definedName name="BesiUlir">#REF!</definedName>
    <definedName name="besiwf">#REF!</definedName>
    <definedName name="bet">#REF!</definedName>
    <definedName name="BET_250">[86]HSD!$H$30</definedName>
    <definedName name="beta">#REF!</definedName>
    <definedName name="betagum">#REF!</definedName>
    <definedName name="betgantung">#REF!</definedName>
    <definedName name="Beto_K350_Diaf">#REF!</definedName>
    <definedName name="beton">#REF!</definedName>
    <definedName name="beton.225m">#REF!</definedName>
    <definedName name="beton.k.bo">#REF!</definedName>
    <definedName name="beton.tumbuk">#REF!</definedName>
    <definedName name="BETON_1_3_5_1">#REF!</definedName>
    <definedName name="BETON_1_3_5_10">#REF!</definedName>
    <definedName name="BETON_1_3_5_12">#REF!</definedName>
    <definedName name="BETON_1_3_5_3">#REF!</definedName>
    <definedName name="BETON_1_3_5_8">#REF!</definedName>
    <definedName name="beton_175">#REF!</definedName>
    <definedName name="beton_225">#REF!</definedName>
    <definedName name="beton_300">#REF!</definedName>
    <definedName name="Beton_B0">#REF!</definedName>
    <definedName name="Beton_B0___K_125">#REF!</definedName>
    <definedName name="BETON_BER_1">#REF!</definedName>
    <definedName name="BETON_BER_10">#REF!</definedName>
    <definedName name="BETON_BER_12">#REF!</definedName>
    <definedName name="BETON_BER_7">#REF!</definedName>
    <definedName name="BETON_BER_8">#REF!</definedName>
    <definedName name="BETON_BESI">#REF!</definedName>
    <definedName name="Beton_Bo">#REF!</definedName>
    <definedName name="Beton_K_300">#REF!</definedName>
    <definedName name="Beton_K_350">#REF!</definedName>
    <definedName name="Beton_K125">#REF!</definedName>
    <definedName name="BETON_K175">#REF!</definedName>
    <definedName name="Beton_K175_Siklop">#REF!</definedName>
    <definedName name="BETON_K225">#REF!</definedName>
    <definedName name="Beton_K250">#REF!</definedName>
    <definedName name="BETON_K275">#REF!</definedName>
    <definedName name="Beton_K300">#REF!</definedName>
    <definedName name="Beton_K350">#REF!</definedName>
    <definedName name="Beton_PC125">#REF!</definedName>
    <definedName name="Beton_PC225">#REF!</definedName>
    <definedName name="BETON_RABAT_LANTAI_KERJA">#REF!</definedName>
    <definedName name="Beton_roster">#REF!</definedName>
    <definedName name="BETON_W">#REF!</definedName>
    <definedName name="beton1">#REF!</definedName>
    <definedName name="beton123">#REF!</definedName>
    <definedName name="Beton124">#REF!</definedName>
    <definedName name="beton125">#REF!</definedName>
    <definedName name="Beton135">#REF!</definedName>
    <definedName name="beton175">#REF!</definedName>
    <definedName name="beton175m">#REF!</definedName>
    <definedName name="beton175R">#REF!</definedName>
    <definedName name="beton2">#REF!</definedName>
    <definedName name="Beton225">#REF!</definedName>
    <definedName name="beton225r">#REF!</definedName>
    <definedName name="beton250">#REF!</definedName>
    <definedName name="beton250m">#REF!</definedName>
    <definedName name="beton250nf">#REF!</definedName>
    <definedName name="beton250r">#REF!</definedName>
    <definedName name="beton3">[28]upah!$D$28</definedName>
    <definedName name="Beton300">#REF!</definedName>
    <definedName name="Beton400">#REF!</definedName>
    <definedName name="BetonBO">#REF!</definedName>
    <definedName name="betoncor">#REF!</definedName>
    <definedName name="BetonCorPepalihan">#REF!</definedName>
    <definedName name="betonfc25">'[87]DAF-BAHAN'!$F$33</definedName>
    <definedName name="betonfc35">'[87]DAF-BAHAN'!$F$35</definedName>
    <definedName name="betonfc40">'[87]DAF-BAHAN'!$F$36</definedName>
    <definedName name="betonfc50">'[87]DAF-BAHAN'!$F$38</definedName>
    <definedName name="BetonFe80">#REF!</definedName>
    <definedName name="BETONK_350">[43]ANALISA!$J$958</definedName>
    <definedName name="betonk125">'[87]DAF-BAHAN'!$F$30</definedName>
    <definedName name="BetonK175">#REF!</definedName>
    <definedName name="BetonK225">#REF!</definedName>
    <definedName name="BETONK250">#REF!</definedName>
    <definedName name="BetonK275">#REF!</definedName>
    <definedName name="BetonK275danBegesting">#REF!</definedName>
    <definedName name="betonk300">'[87]DAF-BAHAN'!$F$34</definedName>
    <definedName name="betonlt">#REF!</definedName>
    <definedName name="betonmassa">#REF!</definedName>
    <definedName name="BetonSiklup">#REF!</definedName>
    <definedName name="betonu24">#REF!</definedName>
    <definedName name="beugel">#REF!</definedName>
    <definedName name="Beugel_kalung">#REF!</definedName>
    <definedName name="Beugel_plat">#REF!</definedName>
    <definedName name="BEUGELKALUNG">#N/A</definedName>
    <definedName name="bfrdciedredolfxrdf" hidden="1">#REF!</definedName>
    <definedName name="BG">#REF!</definedName>
    <definedName name="bgbgl">'[21]Harga Satuan Bahan'!#REF!</definedName>
    <definedName name="bgblt">'[21]Harga Satuan Bahan'!$E$161</definedName>
    <definedName name="bgbtnat">#REF!</definedName>
    <definedName name="bgbtwr">#REF!</definedName>
    <definedName name="BGE">#REF!</definedName>
    <definedName name="BGF" hidden="1">{"'Sheet1'!$A$1"}</definedName>
    <definedName name="BGGH">#REF!</definedName>
    <definedName name="bgsgl">'[21]Harga Satuan Bahan'!#REF!</definedName>
    <definedName name="bgsgt">'[21]Harga Satuan Bahan'!#REF!</definedName>
    <definedName name="bgsp">'[35]Harga Satuan Bahan'!$E$162</definedName>
    <definedName name="bh">#REF!</definedName>
    <definedName name="bh.beton110">#REF!</definedName>
    <definedName name="bh.beton118">#REF!</definedName>
    <definedName name="bh.beton132">#REF!</definedName>
    <definedName name="bh.beton30">#REF!</definedName>
    <definedName name="bh.beton46">#REF!</definedName>
    <definedName name="bh.beton75">#REF!</definedName>
    <definedName name="bh.beton77.2">#REF!</definedName>
    <definedName name="bh.bouwplank">#REF!</definedName>
    <definedName name="bh.leanconcrete">#REF!</definedName>
    <definedName name="bh.pasbata">#REF!</definedName>
    <definedName name="bh.pasirurug">#REF!</definedName>
    <definedName name="bh_200">#REF!</definedName>
    <definedName name="bhn">#REF!</definedName>
    <definedName name="BHN13B1">#REF!</definedName>
    <definedName name="BHNKCM">#REF!</definedName>
    <definedName name="BHNPAP">#REF!</definedName>
    <definedName name="bhnq">'[40]Har-mat'!#REF!</definedName>
    <definedName name="BHNRY">#REF!</definedName>
    <definedName name="BHNTAL">#REF!</definedName>
    <definedName name="BHNTB">#REF!</definedName>
    <definedName name="BHNTN">#REF!</definedName>
    <definedName name="BI">#REF!</definedName>
    <definedName name="bialum">#REF!</definedName>
    <definedName name="biaya">#N/A</definedName>
    <definedName name="BIAYA_ALAT">#REF!</definedName>
    <definedName name="BIAYA_KYWN">#REF!</definedName>
    <definedName name="Biaya_mobilisasi">#REF!</definedName>
    <definedName name="BIAYA_PAJAK">#REF!</definedName>
    <definedName name="Biaya_Pembuatan_Open_Storage">#REF!</definedName>
    <definedName name="Biaya_penerangan_listrik">#REF!</definedName>
    <definedName name="BIAYA_UMUM">#REF!</definedName>
    <definedName name="biayaars">#REF!</definedName>
    <definedName name="BiayaBeban">#REF!</definedName>
    <definedName name="BiayapenyambunganME">#REF!</definedName>
    <definedName name="biayapersiapan">#REF!</definedName>
    <definedName name="biayastr">#REF!</definedName>
    <definedName name="biayasubstr">#REF!</definedName>
    <definedName name="biayatanah">#REF!</definedName>
    <definedName name="biayaupstr1">#REF!</definedName>
    <definedName name="biayaupstr2">#REF!</definedName>
    <definedName name="biayaupstr3">#REF!</definedName>
    <definedName name="biayaupstratap">#REF!</definedName>
    <definedName name="biayaupstrdsr">#REF!</definedName>
    <definedName name="biayaupstrornamen">#REF!</definedName>
    <definedName name="Bidder">#REF!</definedName>
    <definedName name="BII">#REF!</definedName>
    <definedName name="BIII">#REF!</definedName>
    <definedName name="bil">#REF!</definedName>
    <definedName name="bilik">#REF!</definedName>
    <definedName name="bill">#REF!</definedName>
    <definedName name="BILL1">#REF!</definedName>
    <definedName name="BILL10">#REF!</definedName>
    <definedName name="BILL2">#REF!</definedName>
    <definedName name="BILL3">#REF!</definedName>
    <definedName name="BILL4">#REF!</definedName>
    <definedName name="BILL5">#REF!</definedName>
    <definedName name="BILL6">#REF!</definedName>
    <definedName name="BILL7">#REF!</definedName>
    <definedName name="BILL8">#REF!</definedName>
    <definedName name="BILL9">#REF!</definedName>
    <definedName name="bina3">#REF!</definedName>
    <definedName name="binda1">#REF!</definedName>
    <definedName name="BINDER">#REF!</definedName>
    <definedName name="bindrat">#N/A</definedName>
    <definedName name="binjai">#REF!</definedName>
    <definedName name="binjai.xls" hidden="1">#REF!</definedName>
    <definedName name="bio">#REF!</definedName>
    <definedName name="BIOM">#REF!</definedName>
    <definedName name="Bis_beton_dia_100_cm_p_50_cm">#REF!</definedName>
    <definedName name="Bis_beton_dia_60_cm_P_100_cm">#REF!</definedName>
    <definedName name="Bis_beton_dia_80_cm_p_50_cm">#REF!</definedName>
    <definedName name="Bitumen.Residual.Utk.Pek.Minoor">#REF!</definedName>
    <definedName name="bitutine">'[87]DAF-BAHAN'!$F$67</definedName>
    <definedName name="BIV">#REF!</definedName>
    <definedName name="BIX">#REF!</definedName>
    <definedName name="BJ">#REF!</definedName>
    <definedName name="BJ_1">#REF!</definedName>
    <definedName name="BJ_10">#REF!</definedName>
    <definedName name="BJ_11">#REF!</definedName>
    <definedName name="BJ_12">#REF!</definedName>
    <definedName name="BJ_13">#REF!</definedName>
    <definedName name="BJ_16">#REF!</definedName>
    <definedName name="BJ_2">#REF!</definedName>
    <definedName name="BJ_2_1">#REF!</definedName>
    <definedName name="BJ_2_1_6">#REF!</definedName>
    <definedName name="BJ_2_5">#REF!</definedName>
    <definedName name="BJ_2_6">#REF!</definedName>
    <definedName name="BJ_2_7">#REF!</definedName>
    <definedName name="BJ_2_7_5">#REF!</definedName>
    <definedName name="BJ_3">#REF!</definedName>
    <definedName name="BJ_3_10">#REF!</definedName>
    <definedName name="BJ_3_11">#REF!</definedName>
    <definedName name="BJ_3_12">#REF!</definedName>
    <definedName name="BJ_3_13">#REF!</definedName>
    <definedName name="BJ_3_2">#REF!</definedName>
    <definedName name="BJ_3_2_6">#REF!</definedName>
    <definedName name="BJ_3_4">#REF!</definedName>
    <definedName name="BJ_3_4_5">#REF!</definedName>
    <definedName name="BJ_3_5">#REF!</definedName>
    <definedName name="BJ_3_6">#REF!</definedName>
    <definedName name="BJ_3_6_5">#REF!</definedName>
    <definedName name="BJ_3_7">#REF!</definedName>
    <definedName name="BJ_3_7_5">#REF!</definedName>
    <definedName name="BJ_3_9">#REF!</definedName>
    <definedName name="BJ_4">#REF!</definedName>
    <definedName name="BJ_4_1">#REF!</definedName>
    <definedName name="BJ_4_1_5">#REF!</definedName>
    <definedName name="BJ_4_10">#REF!</definedName>
    <definedName name="BJ_4_11">#REF!</definedName>
    <definedName name="BJ_4_12">#REF!</definedName>
    <definedName name="BJ_4_13">#REF!</definedName>
    <definedName name="BJ_4_2">#REF!</definedName>
    <definedName name="BJ_4_2_6">#REF!</definedName>
    <definedName name="BJ_4_4">#REF!</definedName>
    <definedName name="BJ_4_4_5">#REF!</definedName>
    <definedName name="BJ_4_5">#REF!</definedName>
    <definedName name="BJ_4_6">#REF!</definedName>
    <definedName name="BJ_4_6_5">#REF!</definedName>
    <definedName name="BJ_4_7">#REF!</definedName>
    <definedName name="BJ_4_7_5">#REF!</definedName>
    <definedName name="BJ_5">#REF!</definedName>
    <definedName name="BJ_5_2">#REF!</definedName>
    <definedName name="BJ_5_2_6">#REF!</definedName>
    <definedName name="BJ_5_4">#REF!</definedName>
    <definedName name="BJ_5_4_5">#REF!</definedName>
    <definedName name="BJ_5_5">#REF!</definedName>
    <definedName name="BJ_5_6">#REF!</definedName>
    <definedName name="BJ_5_6_5">#REF!</definedName>
    <definedName name="BJ_5_7">#REF!</definedName>
    <definedName name="BJ_5_7_5">#REF!</definedName>
    <definedName name="BJ_6">#REF!</definedName>
    <definedName name="BJ_6_1">#REF!</definedName>
    <definedName name="BJ_6_1_5">#REF!</definedName>
    <definedName name="BJ_6_10">#REF!</definedName>
    <definedName name="BJ_6_11">#REF!</definedName>
    <definedName name="BJ_6_12">#REF!</definedName>
    <definedName name="BJ_6_13">#REF!</definedName>
    <definedName name="BJ_6_2">#REF!</definedName>
    <definedName name="BJ_6_2_6">#REF!</definedName>
    <definedName name="BJ_6_4">#REF!</definedName>
    <definedName name="BJ_6_4_5">#REF!</definedName>
    <definedName name="BJ_6_5">#REF!</definedName>
    <definedName name="BJ_6_6">#REF!</definedName>
    <definedName name="BJ_6_6_5">#REF!</definedName>
    <definedName name="BJ_6_7">#REF!</definedName>
    <definedName name="BJ_6_7_5">#REF!</definedName>
    <definedName name="BJ_6_9">#REF!</definedName>
    <definedName name="BJ_7">#REF!</definedName>
    <definedName name="BJ_7_1">#REF!</definedName>
    <definedName name="BJ_7_1_5">#REF!</definedName>
    <definedName name="BJ_7_10">#REF!</definedName>
    <definedName name="BJ_7_11">#REF!</definedName>
    <definedName name="BJ_7_12">#REF!</definedName>
    <definedName name="BJ_7_13">#REF!</definedName>
    <definedName name="BJ_7_5">#REF!</definedName>
    <definedName name="BJ_7_6">#REF!</definedName>
    <definedName name="BJ_7_7">#REF!</definedName>
    <definedName name="BJ_7_7_5">#REF!</definedName>
    <definedName name="BJ_9">#REF!</definedName>
    <definedName name="BJLS">#REF!</definedName>
    <definedName name="BJLS_ISL">#REF!</definedName>
    <definedName name="BJLS_ISL_DLM">#REF!</definedName>
    <definedName name="BJLS_NON_ISL">#REF!</definedName>
    <definedName name="BJLS_PLENUM">#REF!</definedName>
    <definedName name="bjls22_3x6">#REF!</definedName>
    <definedName name="bjls24_3x6">#REF!</definedName>
    <definedName name="bk">"PT. Bumi Karsa"</definedName>
    <definedName name="bk_35">#REF!</definedName>
    <definedName name="bk_404050">[24]Analisa!#REF!</definedName>
    <definedName name="bk_b">#REF!</definedName>
    <definedName name="bk_d">#REF!</definedName>
    <definedName name="bk_es">#REF!</definedName>
    <definedName name="bk_es12">#REF!</definedName>
    <definedName name="bk_es13">#REF!</definedName>
    <definedName name="bk_ess">#REF!</definedName>
    <definedName name="bk_k">#REF!</definedName>
    <definedName name="BK_PLAT">#REF!</definedName>
    <definedName name="bk_t">#REF!</definedName>
    <definedName name="bka">#REF!</definedName>
    <definedName name="bkal">#REF!</definedName>
    <definedName name="bkali">#REF!</definedName>
    <definedName name="BKB">#REF!</definedName>
    <definedName name="BKB_JA">#REF!</definedName>
    <definedName name="bkbat">#REF!</definedName>
    <definedName name="BKBT">#REF!</definedName>
    <definedName name="BKD">#REF!</definedName>
    <definedName name="BKDT">#REF!</definedName>
    <definedName name="bkirai">#REF!</definedName>
    <definedName name="bkirayppn">#REF!</definedName>
    <definedName name="bkjtw">#REF!</definedName>
    <definedName name="BKKB">#REF!</definedName>
    <definedName name="BKKB6">#REF!</definedName>
    <definedName name="BKKP">#REF!</definedName>
    <definedName name="BKKP3">#REF!</definedName>
    <definedName name="bklm">"'file://SERVER3/har-data/STRUCTURE PRICE OF BQ KOMPAS GRAMEDIA.xls'#$analisa.$#REF!$#REF!"</definedName>
    <definedName name="bkmberg">#REF!</definedName>
    <definedName name="bkmbw">#REF!</definedName>
    <definedName name="bkmn">#REF!</definedName>
    <definedName name="bkmorando">#REF!</definedName>
    <definedName name="bkmwberg">#REF!</definedName>
    <definedName name="bkolom">#REF!</definedName>
    <definedName name="bkolom_6">#REF!</definedName>
    <definedName name="BKON_2060">#REF!</definedName>
    <definedName name="BKON_20603">#REF!</definedName>
    <definedName name="bkontrol">#REF!</definedName>
    <definedName name="bkp">#REF!</definedName>
    <definedName name="BKPS">#REF!</definedName>
    <definedName name="BKS.BLK.10001">#REF!</definedName>
    <definedName name="BKS.KLM.10001">#REF!</definedName>
    <definedName name="BKS.PDS.10001">#REF!</definedName>
    <definedName name="bksg">#REF!</definedName>
    <definedName name="BKSL">#REF!</definedName>
    <definedName name="Bkst.bal.kol">[88]ANALISA!$J$291</definedName>
    <definedName name="Bkst.BATACO">[88]ANALISA!$J$280</definedName>
    <definedName name="Bkst.plat">[88]ANALISA!$J$302</definedName>
    <definedName name="BkstMulti12">#REF!</definedName>
    <definedName name="BkstMulti9">#REF!</definedName>
    <definedName name="BkstPpn">#REF!</definedName>
    <definedName name="BKT">#REF!</definedName>
    <definedName name="Bkud2">#REF!</definedName>
    <definedName name="bl">#REF!</definedName>
    <definedName name="BL_1">#REF!</definedName>
    <definedName name="BL_10">#REF!</definedName>
    <definedName name="BL_11">#REF!</definedName>
    <definedName name="BL_13">#REF!</definedName>
    <definedName name="BL_17">#REF!</definedName>
    <definedName name="BL_17A">#REF!</definedName>
    <definedName name="BL_17B">#REF!</definedName>
    <definedName name="BL_2">#REF!</definedName>
    <definedName name="bl_2515">#REF!</definedName>
    <definedName name="BL_3">#REF!</definedName>
    <definedName name="BL_4">#REF!</definedName>
    <definedName name="BL_5">#REF!</definedName>
    <definedName name="BL_6">#REF!</definedName>
    <definedName name="BL_7">#REF!</definedName>
    <definedName name="BL_9">#REF!</definedName>
    <definedName name="BLANK">[36]STR!#REF!</definedName>
    <definedName name="blank1">[89]STR!#REF!</definedName>
    <definedName name="BLISPLANK_10">#REF!</definedName>
    <definedName name="BLISPLANK_8">#REF!</definedName>
    <definedName name="BLK" hidden="1">{#N/A,#N/A,TRUE,"Front";#N/A,#N/A,TRUE,"Simple Letter";#N/A,#N/A,TRUE,"Inside";#N/A,#N/A,TRUE,"Contents";#N/A,#N/A,TRUE,"Basis";#N/A,#N/A,TRUE,"Inclusions";#N/A,#N/A,TRUE,"Exclusions";#N/A,#N/A,TRUE,"Areas";#N/A,#N/A,TRUE,"Summary";#N/A,#N/A,TRUE,"Detail"}</definedName>
    <definedName name="BLK.2.101">#REF!</definedName>
    <definedName name="BLK.2.101B">#REF!</definedName>
    <definedName name="BLK.2.101E">#REF!</definedName>
    <definedName name="BLK.2.102">#REF!</definedName>
    <definedName name="BLK.2.102B">#REF!</definedName>
    <definedName name="BLK.2.102E">#REF!</definedName>
    <definedName name="BLK.2.103">#REF!</definedName>
    <definedName name="BLK.2.103B">#REF!</definedName>
    <definedName name="BLK.2.103E">#REF!</definedName>
    <definedName name="BLK.2.104">#REF!</definedName>
    <definedName name="BLK.2.104B">#REF!</definedName>
    <definedName name="BLK.2.104E">#REF!</definedName>
    <definedName name="BLK.2.105">#REF!</definedName>
    <definedName name="BLK.2.105B">#REF!</definedName>
    <definedName name="BLK.2.105E">#REF!</definedName>
    <definedName name="BLK.2.106">#REF!</definedName>
    <definedName name="BLK.2.106B">#REF!</definedName>
    <definedName name="BLK.2.106E">#REF!</definedName>
    <definedName name="BLK.2.107">#REF!</definedName>
    <definedName name="BLK.2.107B">#REF!</definedName>
    <definedName name="BLK.2.107E">#REF!</definedName>
    <definedName name="BLK.2.108">#REF!</definedName>
    <definedName name="BLK.2.108B">#REF!</definedName>
    <definedName name="BLK.2.108E">#REF!</definedName>
    <definedName name="BLK.2.109">#REF!</definedName>
    <definedName name="BLK.2.109B">#REF!</definedName>
    <definedName name="BLK.2.109E">#REF!</definedName>
    <definedName name="BLK.2.110">#REF!</definedName>
    <definedName name="BLK.2.110B">#REF!</definedName>
    <definedName name="BLK.2.110E">#REF!</definedName>
    <definedName name="BLK.2.111">#REF!</definedName>
    <definedName name="BLK.2.111B">#REF!</definedName>
    <definedName name="BLK.2.111E">#REF!</definedName>
    <definedName name="BLK.2.112">#REF!</definedName>
    <definedName name="BLK.2.112B">#REF!</definedName>
    <definedName name="BLK.2.112E">#REF!</definedName>
    <definedName name="BLK.2.113">#REF!</definedName>
    <definedName name="BLK.2.113B">#REF!</definedName>
    <definedName name="BLK.2.113E">#REF!</definedName>
    <definedName name="BLK.2.114">#REF!</definedName>
    <definedName name="BLK.2.114B">#REF!</definedName>
    <definedName name="BLK.2.114E">#REF!</definedName>
    <definedName name="BLK.2.115">#REF!</definedName>
    <definedName name="BLK.2.115B">#REF!</definedName>
    <definedName name="BLK.2.115E">#REF!</definedName>
    <definedName name="BLK.3.101">#REF!</definedName>
    <definedName name="BLK.3.101B">#REF!</definedName>
    <definedName name="BLK.3.101E">#REF!</definedName>
    <definedName name="BLK.3.102">#REF!</definedName>
    <definedName name="BLK.3.102B">#REF!</definedName>
    <definedName name="BLK.3.102E">#REF!</definedName>
    <definedName name="BLK.3.103">#REF!</definedName>
    <definedName name="BLK.3.103B">#REF!</definedName>
    <definedName name="BLK.3.103E">#REF!</definedName>
    <definedName name="BLK.3.104">#REF!</definedName>
    <definedName name="BLK.3.104B">#REF!</definedName>
    <definedName name="BLK.3.104E">#REF!</definedName>
    <definedName name="BLK.3.105">#REF!</definedName>
    <definedName name="BLK.3.105B">#REF!</definedName>
    <definedName name="BLK.3.105E">#REF!</definedName>
    <definedName name="BLK.3.106">#REF!</definedName>
    <definedName name="BLK.3.106B">#REF!</definedName>
    <definedName name="BLK.3.106E">#REF!</definedName>
    <definedName name="BLK.3.107">#REF!</definedName>
    <definedName name="BLK.3.107B">#REF!</definedName>
    <definedName name="BLK.3.107E">#REF!</definedName>
    <definedName name="BLK.3.108">#REF!</definedName>
    <definedName name="BLK.3.108B">#REF!</definedName>
    <definedName name="BLK.3.108E">#REF!</definedName>
    <definedName name="BLK.3.109">#REF!</definedName>
    <definedName name="BLK.3.109B">#REF!</definedName>
    <definedName name="BLK.3.109E">#REF!</definedName>
    <definedName name="BLK.3.110">#REF!</definedName>
    <definedName name="BLK.3.110B">#REF!</definedName>
    <definedName name="BLK.3.110E">#REF!</definedName>
    <definedName name="BLK.3.111">#REF!</definedName>
    <definedName name="BLK.3.111B">#REF!</definedName>
    <definedName name="BLK.3.111E">#REF!</definedName>
    <definedName name="BLK.3.112">#REF!</definedName>
    <definedName name="BLK.3.112B">#REF!</definedName>
    <definedName name="BLK.3.112E">#REF!</definedName>
    <definedName name="BLK.3.113">#REF!</definedName>
    <definedName name="BLK.3.113B">#REF!</definedName>
    <definedName name="BLK.3.113E">#REF!</definedName>
    <definedName name="BLK.3.114">#REF!</definedName>
    <definedName name="BLK.3.114B">#REF!</definedName>
    <definedName name="BLK.3.114E">#REF!</definedName>
    <definedName name="BLK.4.101">#REF!</definedName>
    <definedName name="BLK.4.101B">#REF!</definedName>
    <definedName name="BLK.4.101E">#REF!</definedName>
    <definedName name="BLK.4.102">#REF!</definedName>
    <definedName name="BLK.4.102B">#REF!</definedName>
    <definedName name="BLK.4.102E">#REF!</definedName>
    <definedName name="BLK.4.103">#REF!</definedName>
    <definedName name="BLK.4.103B">#REF!</definedName>
    <definedName name="BLK.4.103E">#REF!</definedName>
    <definedName name="BLK.4.104">#REF!</definedName>
    <definedName name="BLK.4.104B">#REF!</definedName>
    <definedName name="BLK.4.104E">#REF!</definedName>
    <definedName name="BLK.4.105">#REF!</definedName>
    <definedName name="BLK.4.105B">#REF!</definedName>
    <definedName name="BLK.4.105E">#REF!</definedName>
    <definedName name="BLK.4.106">#REF!</definedName>
    <definedName name="BLK.4.106B">#REF!</definedName>
    <definedName name="BLK.4.106E">#REF!</definedName>
    <definedName name="BLK.4.107">#REF!</definedName>
    <definedName name="BLK.4.107B">#REF!</definedName>
    <definedName name="BLK.4.107E">#REF!</definedName>
    <definedName name="BLK.4.108">#REF!</definedName>
    <definedName name="BLK.4.108B">#REF!</definedName>
    <definedName name="BLK.4.108E">#REF!</definedName>
    <definedName name="BLK.4.109">#REF!</definedName>
    <definedName name="BLK.4.109B">#REF!</definedName>
    <definedName name="BLK.4.109E">#REF!</definedName>
    <definedName name="BLK.4.110">#REF!</definedName>
    <definedName name="BLK.4.110B">#REF!</definedName>
    <definedName name="BLK.4.110E">#REF!</definedName>
    <definedName name="BLK.4.111">#REF!</definedName>
    <definedName name="BLK.4.111B">#REF!</definedName>
    <definedName name="BLK.4.111E">#REF!</definedName>
    <definedName name="BLK.4.112">#REF!</definedName>
    <definedName name="BLK.4.112B">#REF!</definedName>
    <definedName name="BLK.4.112E">#REF!</definedName>
    <definedName name="BLK.4.113">#REF!</definedName>
    <definedName name="BLK.4.113B">#REF!</definedName>
    <definedName name="BLK.4.113E">#REF!</definedName>
    <definedName name="BLK.4.114">#REF!</definedName>
    <definedName name="BLK.4.114B">#REF!</definedName>
    <definedName name="BLK.4.114E">#REF!</definedName>
    <definedName name="blkbjr">#REF!</definedName>
    <definedName name="blkbor">#REF!</definedName>
    <definedName name="BlkBr">#REF!</definedName>
    <definedName name="blkhns">'[21]Harga Satuan Bahan'!#REF!</definedName>
    <definedName name="blkht1">#REF!</definedName>
    <definedName name="blkht2">#REF!</definedName>
    <definedName name="BlkKb">#REF!</definedName>
    <definedName name="BlkKm">#REF!</definedName>
    <definedName name="blkkmp">#REF!</definedName>
    <definedName name="BlkKs">#REF!</definedName>
    <definedName name="blkmranti">#REF!</definedName>
    <definedName name="blkras">'[21]Harga Satuan Bahan'!$E$47</definedName>
    <definedName name="blksam">#REF!</definedName>
    <definedName name="BLKT">'[45]Sat~Bahu'!$C$18</definedName>
    <definedName name="blkulin">#REF!</definedName>
    <definedName name="bln">#REF!</definedName>
    <definedName name="BLOW">#REF!</definedName>
    <definedName name="BLT">'[45]Sat~Bahu'!$C$19</definedName>
    <definedName name="BLTT">'[45]Sat~Bahu'!$C$17</definedName>
    <definedName name="blw">'[45]Sat~Bahu'!$C$113</definedName>
    <definedName name="bm">#REF!</definedName>
    <definedName name="bm.f">#REF!</definedName>
    <definedName name="bm_12">#REF!</definedName>
    <definedName name="bm_14">#REF!</definedName>
    <definedName name="bm_1512">#REF!</definedName>
    <definedName name="bmb">#REF!</definedName>
    <definedName name="BMBV">#REF!</definedName>
    <definedName name="bmcb">#REF!</definedName>
    <definedName name="bmcb_1">#REF!</definedName>
    <definedName name="bmcb_10">#REF!</definedName>
    <definedName name="bmcb_11">#REF!</definedName>
    <definedName name="bmcb_12">#REF!</definedName>
    <definedName name="bmcb_13">#REF!</definedName>
    <definedName name="bmcb_2">#REF!</definedName>
    <definedName name="bmcb_2_1">#REF!</definedName>
    <definedName name="bmcb_2_1_6">#REF!</definedName>
    <definedName name="bmcb_2_5">#REF!</definedName>
    <definedName name="bmcb_2_6">#REF!</definedName>
    <definedName name="bmcb_2_7">#REF!</definedName>
    <definedName name="bmcb_2_7_5">#REF!</definedName>
    <definedName name="bmcb_3">#REF!</definedName>
    <definedName name="bmcb_3_10">#REF!</definedName>
    <definedName name="bmcb_3_11">#REF!</definedName>
    <definedName name="bmcb_3_12">#REF!</definedName>
    <definedName name="bmcb_3_13">#REF!</definedName>
    <definedName name="bmcb_3_4">#REF!</definedName>
    <definedName name="bmcb_3_4_5">#REF!</definedName>
    <definedName name="bmcb_3_5">#REF!</definedName>
    <definedName name="bmcb_3_6">#REF!</definedName>
    <definedName name="bmcb_3_6_5">#REF!</definedName>
    <definedName name="bmcb_3_7">#REF!</definedName>
    <definedName name="bmcb_3_7_5">#REF!</definedName>
    <definedName name="bmcb_3_9">#REF!</definedName>
    <definedName name="bmcb_4">#REF!</definedName>
    <definedName name="bmcb_4_1">#REF!</definedName>
    <definedName name="bmcb_4_1_5">#REF!</definedName>
    <definedName name="bmcb_4_10">#REF!</definedName>
    <definedName name="bmcb_4_11">#REF!</definedName>
    <definedName name="bmcb_4_12">#REF!</definedName>
    <definedName name="bmcb_4_13">#REF!</definedName>
    <definedName name="bmcb_4_2">#REF!</definedName>
    <definedName name="bmcb_4_2_6">#REF!</definedName>
    <definedName name="bmcb_4_4">#REF!</definedName>
    <definedName name="bmcb_4_4_5">#REF!</definedName>
    <definedName name="bmcb_4_5">#REF!</definedName>
    <definedName name="bmcb_4_6">#REF!</definedName>
    <definedName name="bmcb_4_6_5">#REF!</definedName>
    <definedName name="bmcb_4_7">#REF!</definedName>
    <definedName name="bmcb_4_7_5">#REF!</definedName>
    <definedName name="bmcb_5">#REF!</definedName>
    <definedName name="bmcb_5_2">#REF!</definedName>
    <definedName name="bmcb_5_2_6">#REF!</definedName>
    <definedName name="bmcb_5_4">#REF!</definedName>
    <definedName name="bmcb_5_4_5">#REF!</definedName>
    <definedName name="bmcb_5_5">#REF!</definedName>
    <definedName name="bmcb_5_6">#REF!</definedName>
    <definedName name="bmcb_5_6_5">#REF!</definedName>
    <definedName name="bmcb_5_7">#REF!</definedName>
    <definedName name="bmcb_5_7_5">#REF!</definedName>
    <definedName name="bmcb_6">#REF!</definedName>
    <definedName name="bmcb_6_1">#REF!</definedName>
    <definedName name="bmcb_6_1_5">#REF!</definedName>
    <definedName name="bmcb_6_10">#REF!</definedName>
    <definedName name="bmcb_6_11">#REF!</definedName>
    <definedName name="bmcb_6_12">#REF!</definedName>
    <definedName name="bmcb_6_13">#REF!</definedName>
    <definedName name="bmcb_6_4">#REF!</definedName>
    <definedName name="bmcb_6_4_5">#REF!</definedName>
    <definedName name="bmcb_6_5">#REF!</definedName>
    <definedName name="bmcb_6_6">#REF!</definedName>
    <definedName name="bmcb_6_6_5">#REF!</definedName>
    <definedName name="bmcb_6_7">#REF!</definedName>
    <definedName name="bmcb_6_7_5">#REF!</definedName>
    <definedName name="bmcb_6_9">#REF!</definedName>
    <definedName name="bmcb_7">#REF!</definedName>
    <definedName name="bmcb_7_5">#REF!</definedName>
    <definedName name="bmcb_9">#REF!</definedName>
    <definedName name="bmg">#REF!</definedName>
    <definedName name="bmorandowr">#REF!</definedName>
    <definedName name="bms">"'file://SERVER3/har-data/STRUCTURE PRICE OF BQ KOMPAS GRAMEDIA.xls'#$analisa.$#REF!$#REF!"</definedName>
    <definedName name="BN">#REF!</definedName>
    <definedName name="BngkrKudaTdkDipki">#REF!</definedName>
    <definedName name="BngkrPlafonTdkDipaki">#REF!</definedName>
    <definedName name="BnkrRngkAtapTdkDipaki">#REF!</definedName>
    <definedName name="BNV">#REF!</definedName>
    <definedName name="BNY">#REF!</definedName>
    <definedName name="Bo">#N/A</definedName>
    <definedName name="bobok">"'file://SERVER3/har-data/STRUCTURE PRICE OF BQ KOMPAS GRAMEDIA.xls'#$analisa.$#REF!$#REF!"</definedName>
    <definedName name="bobos">#REF!</definedName>
    <definedName name="BOBOT">[36]STR!#REF!</definedName>
    <definedName name="BOIL">#REF!</definedName>
    <definedName name="bojong1">#REF!</definedName>
    <definedName name="bojongsari">#REF!</definedName>
    <definedName name="BOJONGSARI1">#REF!</definedName>
    <definedName name="bojongsari2">#REF!</definedName>
    <definedName name="bok1300600">#REF!</definedName>
    <definedName name="bok14001000">#REF!</definedName>
    <definedName name="bok1400600">#REF!</definedName>
    <definedName name="bok1600800">#REF!</definedName>
    <definedName name="bolie">[77]bahan!$G$34</definedName>
    <definedName name="Bonbon_keramik_setelah_dipasang">#REF!</definedName>
    <definedName name="bondagen">#REF!</definedName>
    <definedName name="BONDING">#REF!</definedName>
    <definedName name="Bondx">#REF!</definedName>
    <definedName name="BONGDIN">#REF!</definedName>
    <definedName name="bongkar">#REF!</definedName>
    <definedName name="BONGKAR_BETON_BERTULANG">#REF!</definedName>
    <definedName name="Bongkar_dan_pasang_Daun_Jendela">#REF!</definedName>
    <definedName name="BONGKAR_TEMBOK_SETENGAH_BATA">#REF!</definedName>
    <definedName name="bongkarbegisting">#REF!</definedName>
    <definedName name="BongkarBeton">#REF!</definedName>
    <definedName name="BongkarDinding">#REF!</definedName>
    <definedName name="bongkarfire">#REF!</definedName>
    <definedName name="BongkarGenteng">#REF!</definedName>
    <definedName name="BongkarKloset">#REF!</definedName>
    <definedName name="BongkarKuda">#REF!</definedName>
    <definedName name="BongkarKuda2">#REF!</definedName>
    <definedName name="BongkarKusen">#REF!</definedName>
    <definedName name="bongkarlampu">#REF!</definedName>
    <definedName name="BongkarLantai">#REF!</definedName>
    <definedName name="BongkarPlafond">#REF!</definedName>
    <definedName name="BongkarRangkaAtap">#REF!</definedName>
    <definedName name="BongkarSeng">#REF!</definedName>
    <definedName name="BongkarTembok">#REF!</definedName>
    <definedName name="BongkarTotal">#REF!</definedName>
    <definedName name="BongpasDaunJ">#REF!</definedName>
    <definedName name="BonkrTembok">#REF!</definedName>
    <definedName name="book">#N/A</definedName>
    <definedName name="book2">#N/A</definedName>
    <definedName name="book3">#N/A</definedName>
    <definedName name="BOOK4">#N/A</definedName>
    <definedName name="boosteram">#REF!</definedName>
    <definedName name="BOQ">#REF!</definedName>
    <definedName name="boq.prtsi">#REF!</definedName>
    <definedName name="boq_EE">#REF!</definedName>
    <definedName name="BOR">#REF!</definedName>
    <definedName name="bor_80">#REF!</definedName>
    <definedName name="border">#REF!</definedName>
    <definedName name="bore">#REF!</definedName>
    <definedName name="BORE_60">#REF!</definedName>
    <definedName name="borneo">#REF!</definedName>
    <definedName name="borneo4.6">#REF!</definedName>
    <definedName name="borneo5.10">#REF!</definedName>
    <definedName name="borneo5.7">#REF!</definedName>
    <definedName name="borneo6.12">#REF!</definedName>
    <definedName name="borneobalok">#REF!</definedName>
    <definedName name="borneopapan">#REF!</definedName>
    <definedName name="borsup">#REF!</definedName>
    <definedName name="BOS">#REF!</definedName>
    <definedName name="BOSS">[3]CH!$C$41</definedName>
    <definedName name="BOSS1">[59]CH!$C$31</definedName>
    <definedName name="Bostinco">#REF!</definedName>
    <definedName name="Boto">[33]H_Dasar!#REF!</definedName>
    <definedName name="bouplank">#REF!</definedName>
    <definedName name="bouw">#REF!</definedName>
    <definedName name="bouwplank">#REF!</definedName>
    <definedName name="bouwplnk">#REF!</definedName>
    <definedName name="BOW">#REF!</definedName>
    <definedName name="BOW_2">#REF!</definedName>
    <definedName name="bowplan">#REF!</definedName>
    <definedName name="bowplank">#REF!</definedName>
    <definedName name="BOWPLANK_1">#REF!</definedName>
    <definedName name="BOWPLANK_10">#REF!</definedName>
    <definedName name="BOWPLANK_12">#REF!</definedName>
    <definedName name="BOWPLANK_7">#REF!</definedName>
    <definedName name="BOWPLANK_8">#REF!</definedName>
    <definedName name="box">#REF!</definedName>
    <definedName name="BOX.40.50">#REF!</definedName>
    <definedName name="BOX.80.120">#REF!</definedName>
    <definedName name="Box_zekering__1_group">#REF!</definedName>
    <definedName name="Box_zekering__2_group">#REF!</definedName>
    <definedName name="Box_zekering__3_group">#REF!</definedName>
    <definedName name="bp">#REF!</definedName>
    <definedName name="BP.5">#REF!</definedName>
    <definedName name="bp_1">#REF!</definedName>
    <definedName name="bp_2">#REF!</definedName>
    <definedName name="bp_3">#REF!</definedName>
    <definedName name="bpile">#REF!</definedName>
    <definedName name="bpile_6">#REF!</definedName>
    <definedName name="bpl2x9">#REF!</definedName>
    <definedName name="bpl2x9nb">#REF!</definedName>
    <definedName name="bpl32nb">#REF!</definedName>
    <definedName name="bpl9nb">#REF!</definedName>
    <definedName name="BPlaf2">#REF!</definedName>
    <definedName name="bplat">#REF!</definedName>
    <definedName name="bplat_6">#REF!</definedName>
    <definedName name="BPLAT_MEJA">#REF!</definedName>
    <definedName name="BPLAT12_3">#REF!</definedName>
    <definedName name="bpond">#REF!</definedName>
    <definedName name="bprinta1">#REF!</definedName>
    <definedName name="bprinta3">#REF!</definedName>
    <definedName name="BQ">#REF!</definedName>
    <definedName name="BQ_1">#REF!</definedName>
    <definedName name="bqdat">#REF!</definedName>
    <definedName name="BQHEADER">#REF!</definedName>
    <definedName name="BQHER">#REF!</definedName>
    <definedName name="BR">#REF!</definedName>
    <definedName name="BR_reng">#REF!</definedName>
    <definedName name="BR75_0.75">#REF!</definedName>
    <definedName name="BR75_1.00">#REF!</definedName>
    <definedName name="BRAKER">#REF!</definedName>
    <definedName name="braven">#REF!</definedName>
    <definedName name="brc">#REF!</definedName>
    <definedName name="BRC_8M">#REF!</definedName>
    <definedName name="brc_m5">#REF!</definedName>
    <definedName name="brc_m6">#REF!</definedName>
    <definedName name="brc_m7">#REF!</definedName>
    <definedName name="BRC_M8">#REF!</definedName>
    <definedName name="BRC_M8S">#REF!</definedName>
    <definedName name="brcm10">"'file://SERVER3/har-data/STRUCTURE PRICE OF BQ KOMPAS GRAMEDIA.xls'#$analisa.$#REF!$#REF!"</definedName>
    <definedName name="brcm6">#REF!</definedName>
    <definedName name="breakdown">#REF!</definedName>
    <definedName name="BRONJ_MATRAS">#REF!</definedName>
    <definedName name="Bronjong">#REF!</definedName>
    <definedName name="brs">#REF!</definedName>
    <definedName name="BS">#REF!</definedName>
    <definedName name="bs.p">#REF!</definedName>
    <definedName name="bs.pt">#REF!</definedName>
    <definedName name="bs.s">#REF!</definedName>
    <definedName name="Bs.Sch40_0.5">'[78]Harga Jasa dan Material'!$D$364</definedName>
    <definedName name="Bs.Sch40_0.75">'[78]Harga Jasa dan Material'!$D$365</definedName>
    <definedName name="Bs.Sch40_1">'[78]Harga Jasa dan Material'!$D$366</definedName>
    <definedName name="Bs.Sch40_1.5">'[78]Harga Jasa dan Material'!$D$367</definedName>
    <definedName name="Bs.Sch40_2">'[78]Harga Jasa dan Material'!$D$368</definedName>
    <definedName name="Bs.Sch40_2.5">'[78]Harga Jasa dan Material'!$D$369</definedName>
    <definedName name="Bs.Sch40_3">'[78]Harga Jasa dan Material'!$D$370</definedName>
    <definedName name="Bs.Sch40_4">'[78]Harga Jasa dan Material'!$D$371</definedName>
    <definedName name="Bs.Sch40_5">'[78]Harga Jasa dan Material'!$D$372</definedName>
    <definedName name="Bs.Sch40_6">'[78]Harga Jasa dan Material'!$D$373</definedName>
    <definedName name="Bs.Sch40_8">'[78]Harga Jasa dan Material'!$D$374</definedName>
    <definedName name="bs.str">#REF!</definedName>
    <definedName name="BS_1">#REF!</definedName>
    <definedName name="BS_10">#REF!</definedName>
    <definedName name="BS_11">#REF!</definedName>
    <definedName name="BS_12">#REF!</definedName>
    <definedName name="BS_13">#REF!</definedName>
    <definedName name="BS_16">#REF!</definedName>
    <definedName name="BS_2">#REF!</definedName>
    <definedName name="BS_2_1">#REF!</definedName>
    <definedName name="BS_2_1_6">#REF!</definedName>
    <definedName name="BS_2_5">#REF!</definedName>
    <definedName name="BS_2_6">#REF!</definedName>
    <definedName name="BS_2_7">#REF!</definedName>
    <definedName name="BS_2_7_5">#REF!</definedName>
    <definedName name="BS_3">#REF!</definedName>
    <definedName name="BS_3_10">#REF!</definedName>
    <definedName name="BS_3_11">#REF!</definedName>
    <definedName name="BS_3_12">#REF!</definedName>
    <definedName name="BS_3_13">#REF!</definedName>
    <definedName name="BS_3_2">#REF!</definedName>
    <definedName name="BS_3_2_6">#REF!</definedName>
    <definedName name="BS_3_4">#REF!</definedName>
    <definedName name="BS_3_4_5">#REF!</definedName>
    <definedName name="BS_3_5">#REF!</definedName>
    <definedName name="BS_3_6">#REF!</definedName>
    <definedName name="BS_3_6_5">#REF!</definedName>
    <definedName name="BS_3_7">#REF!</definedName>
    <definedName name="BS_3_7_5">#REF!</definedName>
    <definedName name="BS_3_9">#REF!</definedName>
    <definedName name="BS_4">#REF!</definedName>
    <definedName name="BS_4_1">#REF!</definedName>
    <definedName name="BS_4_1_5">#REF!</definedName>
    <definedName name="BS_4_10">#REF!</definedName>
    <definedName name="BS_4_11">#REF!</definedName>
    <definedName name="BS_4_12">#REF!</definedName>
    <definedName name="BS_4_13">#REF!</definedName>
    <definedName name="BS_4_2">#REF!</definedName>
    <definedName name="BS_4_2_6">#REF!</definedName>
    <definedName name="BS_4_4">#REF!</definedName>
    <definedName name="BS_4_4_5">#REF!</definedName>
    <definedName name="BS_4_5">#REF!</definedName>
    <definedName name="BS_4_6">#REF!</definedName>
    <definedName name="BS_4_6_5">#REF!</definedName>
    <definedName name="BS_4_7">#REF!</definedName>
    <definedName name="BS_4_7_5">#REF!</definedName>
    <definedName name="BS_5">#REF!</definedName>
    <definedName name="BS_5_2">#REF!</definedName>
    <definedName name="BS_5_2_6">#REF!</definedName>
    <definedName name="BS_5_4">#REF!</definedName>
    <definedName name="BS_5_4_5">#REF!</definedName>
    <definedName name="BS_5_5">#REF!</definedName>
    <definedName name="BS_5_6">#REF!</definedName>
    <definedName name="BS_5_6_5">#REF!</definedName>
    <definedName name="BS_5_7">#REF!</definedName>
    <definedName name="BS_5_7_5">#REF!</definedName>
    <definedName name="BS_6">#REF!</definedName>
    <definedName name="BS_6_1">#REF!</definedName>
    <definedName name="BS_6_1_5">#REF!</definedName>
    <definedName name="BS_6_10">#REF!</definedName>
    <definedName name="BS_6_11">#REF!</definedName>
    <definedName name="BS_6_12">#REF!</definedName>
    <definedName name="BS_6_13">#REF!</definedName>
    <definedName name="BS_6_2">#REF!</definedName>
    <definedName name="BS_6_2_6">#REF!</definedName>
    <definedName name="BS_6_4">#REF!</definedName>
    <definedName name="BS_6_4_5">#REF!</definedName>
    <definedName name="BS_6_5">#REF!</definedName>
    <definedName name="BS_6_6">#REF!</definedName>
    <definedName name="BS_6_6_5">#REF!</definedName>
    <definedName name="BS_6_7">#REF!</definedName>
    <definedName name="BS_6_7_5">#REF!</definedName>
    <definedName name="BS_6_9">#REF!</definedName>
    <definedName name="BS_7">#REF!</definedName>
    <definedName name="BS_7_1">#REF!</definedName>
    <definedName name="BS_7_1_5">#REF!</definedName>
    <definedName name="BS_7_10">#REF!</definedName>
    <definedName name="BS_7_11">#REF!</definedName>
    <definedName name="BS_7_12">#REF!</definedName>
    <definedName name="BS_7_13">#REF!</definedName>
    <definedName name="BS_7_5">#REF!</definedName>
    <definedName name="BS_7_6">#REF!</definedName>
    <definedName name="BS_7_7">#REF!</definedName>
    <definedName name="BS_7_7_5">#REF!</definedName>
    <definedName name="BS_9">#REF!</definedName>
    <definedName name="BS_isolasi">#REF!</definedName>
    <definedName name="bs3w">#REF!</definedName>
    <definedName name="bs40bakrie1">#REF!</definedName>
    <definedName name="bs40bakrie1.25">#REF!</definedName>
    <definedName name="bs40bakrie1.5">#REF!</definedName>
    <definedName name="bs40bakrie2">#REF!</definedName>
    <definedName name="bs40bakrie2.5">#REF!</definedName>
    <definedName name="bs40bakrie3">#REF!</definedName>
    <definedName name="bs40bakrie4">#REF!</definedName>
    <definedName name="bs40bakrie5">#REF!</definedName>
    <definedName name="bs40bakrie6">#REF!</definedName>
    <definedName name="bs40medppi0.5">#REF!</definedName>
    <definedName name="bs40medppi0.75">#REF!</definedName>
    <definedName name="bs40medppi1">#REF!</definedName>
    <definedName name="bs40medppi1.25">#REF!</definedName>
    <definedName name="bs40medppi1.5">#REF!</definedName>
    <definedName name="bs40medppi2">#REF!</definedName>
    <definedName name="bs40medppi2.5">#REF!</definedName>
    <definedName name="bs40medppi3">#REF!</definedName>
    <definedName name="bs40medppi4">#REF!</definedName>
    <definedName name="bs40medppi5">#REF!</definedName>
    <definedName name="bs40medppi6">#REF!</definedName>
    <definedName name="bs40medppi8">#REF!</definedName>
    <definedName name="bs40ppi0.5">#REF!</definedName>
    <definedName name="bs40ppi0.75">#REF!</definedName>
    <definedName name="bs40ppi1">#REF!</definedName>
    <definedName name="bs40ppi1.25">#REF!</definedName>
    <definedName name="bs40ppi1.5">#REF!</definedName>
    <definedName name="bs40ppi2">#REF!</definedName>
    <definedName name="bs40ppi2.5">#REF!</definedName>
    <definedName name="bs40ppi3">#REF!</definedName>
    <definedName name="bs40ppi4">#REF!</definedName>
    <definedName name="bs40ppi5">#REF!</definedName>
    <definedName name="bs40ppi6">#REF!</definedName>
    <definedName name="bs40ppi8">#REF!</definedName>
    <definedName name="bs40ppib0.5">#REF!</definedName>
    <definedName name="bs40ppib0.75">#REF!</definedName>
    <definedName name="bs40ppib1">#REF!</definedName>
    <definedName name="bs40ppib1.25">#REF!</definedName>
    <definedName name="bs40ppib1.5">#REF!</definedName>
    <definedName name="bs40ppib2">#REF!</definedName>
    <definedName name="bs40ppib2.5">#REF!</definedName>
    <definedName name="bs40ppib3">#REF!</definedName>
    <definedName name="bs40ppib4">#REF!</definedName>
    <definedName name="bs40ppib5">#REF!</definedName>
    <definedName name="bs40ppib6">#REF!</definedName>
    <definedName name="bs40ppib8">#REF!</definedName>
    <definedName name="bs40ppiw0.5">#REF!</definedName>
    <definedName name="bs40ppiw0.75">#REF!</definedName>
    <definedName name="bs40ppiw1">#REF!</definedName>
    <definedName name="bs40ppiw1.25">#REF!</definedName>
    <definedName name="bs40ppiw1.5">#REF!</definedName>
    <definedName name="bs40ppiw2">#REF!</definedName>
    <definedName name="bs40ppiw2.5">#REF!</definedName>
    <definedName name="bs40ppiw3">#REF!</definedName>
    <definedName name="bs40ppiw4">#REF!</definedName>
    <definedName name="bs40ppiw5">#REF!</definedName>
    <definedName name="bs40ppiw6">#REF!</definedName>
    <definedName name="bs40ppiw8">#REF!</definedName>
    <definedName name="bs40spindo0.5">#REF!</definedName>
    <definedName name="bs40spindo0.75">#REF!</definedName>
    <definedName name="bs40spindo1">#REF!</definedName>
    <definedName name="bs40spindo1.25">#REF!</definedName>
    <definedName name="bs40spindo1.5">#REF!</definedName>
    <definedName name="bs40spindo2">#REF!</definedName>
    <definedName name="bs40spindo2.5">#REF!</definedName>
    <definedName name="bs40spindo3">#REF!</definedName>
    <definedName name="bs40spindo4">#REF!</definedName>
    <definedName name="bs40spindo5">#REF!</definedName>
    <definedName name="bs40spindo6">#REF!</definedName>
    <definedName name="bs40spindo8">#REF!</definedName>
    <definedName name="BSB">#REF!</definedName>
    <definedName name="bsbetonpolos">#REF!</definedName>
    <definedName name="bsbgl">'[21]Harga Satuan Bahan'!#REF!</definedName>
    <definedName name="bsbtn">'[35]Harga Satuan Bahan'!$E$115</definedName>
    <definedName name="bsbtn10">#REF!</definedName>
    <definedName name="bsbtn12">#REF!</definedName>
    <definedName name="bsbtn13">#REF!</definedName>
    <definedName name="bsbtn16">#REF!</definedName>
    <definedName name="bsbtn19">#REF!</definedName>
    <definedName name="bsbtn22">#REF!</definedName>
    <definedName name="bsc">#REF!</definedName>
    <definedName name="bsemen">[76]Hargamat!#REF!</definedName>
    <definedName name="BSI.PLS.10001">#REF!</definedName>
    <definedName name="BSI.ULIR.10001">#REF!</definedName>
    <definedName name="BSIKAT">#REF!</definedName>
    <definedName name="bsiku">#REF!</definedName>
    <definedName name="bsk">#REF!</definedName>
    <definedName name="BSL.10001.H">#REF!</definedName>
    <definedName name="BSL.1001.H">#REF!</definedName>
    <definedName name="bslab">#REF!</definedName>
    <definedName name="bsmedspindo0.5">#REF!</definedName>
    <definedName name="bsmedspindo0.75">#REF!</definedName>
    <definedName name="bsmedspindo1">#REF!</definedName>
    <definedName name="bsmedspindo1.25">#REF!</definedName>
    <definedName name="bsmedspindo1.5">#REF!</definedName>
    <definedName name="bsmedspindo2">#REF!</definedName>
    <definedName name="bsmedspindo2.5">#REF!</definedName>
    <definedName name="bsmedspindo3">#REF!</definedName>
    <definedName name="bsmedspindo4">#REF!</definedName>
    <definedName name="bsmedspindo5">#REF!</definedName>
    <definedName name="bsmedspindo6">#REF!</definedName>
    <definedName name="bsmedspindo8">#REF!</definedName>
    <definedName name="bsolar">[77]bahan!$G$33</definedName>
    <definedName name="BSP">#REF!</definedName>
    <definedName name="BSP_MEDIUM">#REF!</definedName>
    <definedName name="BSP_SCH40">#REF!</definedName>
    <definedName name="bsplat">#REF!</definedName>
    <definedName name="bssiku">#REF!</definedName>
    <definedName name="BsSikuDN">#REF!</definedName>
    <definedName name="bssk">'[21]Harga Satuan Bahan'!#REF!</definedName>
    <definedName name="BSSP">#REF!</definedName>
    <definedName name="bstair">#REF!</definedName>
    <definedName name="Bstng.Bata">[88]ANALISA!$J$227</definedName>
    <definedName name="BSU" hidden="1">{#N/A,#N/A,FALSE,"REK-S-TPL";#N/A,#N/A,FALSE,"REK-TPML";#N/A,#N/A,FALSE,"RAB-TEMPEL"}</definedName>
    <definedName name="bswf">#REF!</definedName>
    <definedName name="bswf150">#REF!</definedName>
    <definedName name="Bt">#REF!</definedName>
    <definedName name="bt.lemp">#REF!</definedName>
    <definedName name="bt_11">#REF!</definedName>
    <definedName name="bt_3174">#REF!</definedName>
    <definedName name="bt_kali">#REF!</definedName>
    <definedName name="Bt_PlatLantaiDS">#REF!</definedName>
    <definedName name="Bt_Tangga">#REF!</definedName>
    <definedName name="bt05m">[90]BASIC!$D$30</definedName>
    <definedName name="bt11m">[90]BASIC!$D$29</definedName>
    <definedName name="bt12m">[90]BASIC!$D$28</definedName>
    <definedName name="btaco">[83]Sheet1!$H$29</definedName>
    <definedName name="btacotnah">[83]Sheet1!$H$30</definedName>
    <definedName name="BTAL_103">#REF!</definedName>
    <definedName name="btangga">#REF!</definedName>
    <definedName name="BTANGGA_D">#REF!</definedName>
    <definedName name="btb">'[45]Sat~Bahu'!$C$67</definedName>
    <definedName name="btbel">#REF!</definedName>
    <definedName name="btblh">#REF!</definedName>
    <definedName name="btblhkl">#REF!</definedName>
    <definedName name="BtBronjong">#REF!</definedName>
    <definedName name="btc">#REF!</definedName>
    <definedName name="btcopondsi">'[83]DAF-5'!$I$189</definedName>
    <definedName name="btg">#REF!</definedName>
    <definedName name="btgebal">#REF!</definedName>
    <definedName name="btgun">#REF!</definedName>
    <definedName name="BtHitamKrasem">#REF!</definedName>
    <definedName name="bthj">'[21]Harga Satuan Bahan'!#REF!</definedName>
    <definedName name="btkali">'[48]HARGA SATUAN'!$G$18</definedName>
    <definedName name="BtKali11">#REF!</definedName>
    <definedName name="BtKali12">#REF!</definedName>
    <definedName name="BtKali13">#REF!</definedName>
    <definedName name="BtKali15">#REF!</definedName>
    <definedName name="BtKOsong">#REF!</definedName>
    <definedName name="btkr">'[21]Harga Satuan Bahan'!#REF!</definedName>
    <definedName name="btkrw">'[21]Harga Satuan Bahan'!#REF!</definedName>
    <definedName name="btl" hidden="1">#REF!</definedName>
    <definedName name="BTM">#REF!</definedName>
    <definedName name="btmerah">#REF!</definedName>
    <definedName name="BtMerah12">#REF!</definedName>
    <definedName name="BtMerah13">#REF!</definedName>
    <definedName name="BtMerah15">#REF!</definedName>
    <definedName name="BtMerah15Pepalihan">#REF!</definedName>
    <definedName name="btmr">'[21]Harga Satuan Bahan'!#REF!</definedName>
    <definedName name="btmrh">[91]BAHAN!$G$18</definedName>
    <definedName name="btn">#REF!</definedName>
    <definedName name="BTN.K.225.S">#REF!</definedName>
    <definedName name="btn_6">#REF!</definedName>
    <definedName name="btn_8">#REF!</definedName>
    <definedName name="btnblk">"'file://SERVER3/har-data/STRUCTURE PRICE OF BQ KOMPAS GRAMEDIA.xls'#$analisa.$#REF!$#REF!"</definedName>
    <definedName name="BtnCor123">#REF!</definedName>
    <definedName name="btncore">"'file://SERVER3/har-data/STRUCTURE PRICE OF BQ KOMPAS GRAMEDIA.xls'#$analisa.$#REF!$#REF!"</definedName>
    <definedName name="BtnCorpepalihan">#REF!</definedName>
    <definedName name="Btncycloof">#REF!</definedName>
    <definedName name="btncyclope">#REF!</definedName>
    <definedName name="btnddg">"'file://SERVER3/har-data/STRUCTURE PRICE OF BQ KOMPAS GRAMEDIA.xls'#$analisa.$#REF!$#REF!"</definedName>
    <definedName name="BTNK225">#REF!</definedName>
    <definedName name="BTNK300">#REF!</definedName>
    <definedName name="btnkol">#REF!</definedName>
    <definedName name="btnkolom">"'file://SERVER3/har-data/STRUCTURE PRICE OF BQ KOMPAS GRAMEDIA.xls'#$analisa.$#REF!$#REF!"</definedName>
    <definedName name="btnpc">"$#REF!.$I$127"</definedName>
    <definedName name="btnpit">"'file://SERVER3/har-data/STRUCTURE PRICE OF BQ KOMPAS GRAMEDIA.xls'#$analisa.$#REF!$#REF!"</definedName>
    <definedName name="btnrabat">#REF!</definedName>
    <definedName name="btnsloof">"'file://SERVER3/har-data/STRUCTURE PRICE OF BQ KOMPAS GRAMEDIA.xls'#$analisa.$#REF!$#REF!"</definedName>
    <definedName name="btntangga">"'file://SERVER3/har-data/STRUCTURE PRICE OF BQ KOMPAS GRAMEDIA.xls'#$analisa.$#REF!$#REF!"</definedName>
    <definedName name="btntumbuk">#REF!</definedName>
    <definedName name="bton250">#REF!</definedName>
    <definedName name="bton300">#REF!</definedName>
    <definedName name="bton350">#REF!</definedName>
    <definedName name="bton400">[83]Sheet1!$H$22</definedName>
    <definedName name="bton550">[83]Sheet1!$H$23</definedName>
    <definedName name="btonbalok250">'[83]DAF-5'!$I$96</definedName>
    <definedName name="btonbalok300">'[83]DAF-5'!$I$110</definedName>
    <definedName name="btonbalok400">'[83]DAF-5'!$I$124</definedName>
    <definedName name="btonbalok550">'[83]DAF-5'!$I$138</definedName>
    <definedName name="btonddg250">'[83]DAF-5'!$I$103</definedName>
    <definedName name="btonddg300">'[83]DAF-5'!$I$117</definedName>
    <definedName name="btonddg400">'[83]DAF-5'!$I$131</definedName>
    <definedName name="btonddg550">'[83]DAF-5'!$I$145</definedName>
    <definedName name="btonlantkrja">'[83]DAF-5'!$I$61</definedName>
    <definedName name="btp">'[45]Sat~Bahu'!$C$48</definedName>
    <definedName name="btpalu">#REF!</definedName>
    <definedName name="btpb">'[45]Sat~Bahu'!$C$32</definedName>
    <definedName name="BtPch">#REF!</definedName>
    <definedName name="btpec2">#REF!</definedName>
    <definedName name="btpecah">#REF!</definedName>
    <definedName name="btponda">'[21]Harga Satuan Bahan'!$E$15</definedName>
    <definedName name="bttela">#REF!</definedName>
    <definedName name="bttempel">#REF!</definedName>
    <definedName name="bttemplek">#REF!</definedName>
    <definedName name="btth">'[35]Harga Satuan Bahan'!$E$86</definedName>
    <definedName name="Bttph">#REF!</definedName>
    <definedName name="BTUB">#REF!</definedName>
    <definedName name="btukali">[83]Sheet1!$H$12</definedName>
    <definedName name="btul24">#REF!</definedName>
    <definedName name="btul39">#REF!</definedName>
    <definedName name="btv">#REF!</definedName>
    <definedName name="bu">#REF!</definedName>
    <definedName name="BU_24">#REF!</definedName>
    <definedName name="BU_39">#REF!</definedName>
    <definedName name="buang">#N/A</definedName>
    <definedName name="BUANG_T">#REF!</definedName>
    <definedName name="BUANGAN">[3]CH!$C$26</definedName>
    <definedName name="Buangan_air_bak_mandi_dari_kuningan">#REF!</definedName>
    <definedName name="buangtanah">"$#REF!.$I$26"</definedName>
    <definedName name="BuangTanah150m">#REF!</definedName>
    <definedName name="buangtnh">#REF!</definedName>
    <definedName name="BUANGTNHGAL">#REF!</definedName>
    <definedName name="bub">#REF!</definedName>
    <definedName name="Bubungan">#REF!</definedName>
    <definedName name="BUBUNGAN_GENTENG_BIASA">#REF!</definedName>
    <definedName name="BUBUNGAN_GENTENG_KODOK_KARANG_PILANG">#REF!</definedName>
    <definedName name="BUBUNGAN_GENTENG_METAL_BERPASIR">#REF!</definedName>
    <definedName name="Bubungan_lokal">#REF!</definedName>
    <definedName name="BUBUNGAN_PLENTONG">#REF!</definedName>
    <definedName name="Bubungan_press_pejaten">#REF!</definedName>
    <definedName name="Bubungan_seng_gelombang">#REF!</definedName>
    <definedName name="bubungan1">#REF!</definedName>
    <definedName name="bubunganasbeskecil">#REF!</definedName>
    <definedName name="Bubunganbiasa">#REF!</definedName>
    <definedName name="bubunganlokal">#REF!</definedName>
    <definedName name="BubunganPlentBiasa">#REF!</definedName>
    <definedName name="bubungansby.bambe">#REF!</definedName>
    <definedName name="bubunganseng">#REF!</definedName>
    <definedName name="BubunganStelGlb">#REF!</definedName>
    <definedName name="bubungasbes">#REF!</definedName>
    <definedName name="bubungbtn">#REF!</definedName>
    <definedName name="bubungkrplangnglayur">#REF!</definedName>
    <definedName name="budi">#REF!</definedName>
    <definedName name="budibakti">#REF!</definedName>
    <definedName name="BUDIBAKTI1">#REF!</definedName>
    <definedName name="budidaya">#REF!</definedName>
    <definedName name="budiWikamto">#REF!</definedName>
    <definedName name="BUILD1">#REF!</definedName>
    <definedName name="BUILD10">#REF!</definedName>
    <definedName name="BUILD100">#REF!</definedName>
    <definedName name="BUILD101">#REF!</definedName>
    <definedName name="BUILD102">#REF!</definedName>
    <definedName name="BUILD103">#REF!</definedName>
    <definedName name="BUILD104">#REF!</definedName>
    <definedName name="BUILD105">#REF!</definedName>
    <definedName name="BUILD106">#REF!</definedName>
    <definedName name="BUILD107">#REF!</definedName>
    <definedName name="BUILD108">#REF!</definedName>
    <definedName name="BUILD109">#REF!</definedName>
    <definedName name="BUILD11">#REF!</definedName>
    <definedName name="BUILD110">#REF!</definedName>
    <definedName name="BUILD111">#REF!</definedName>
    <definedName name="BUILD112">#REF!</definedName>
    <definedName name="BUILD113">#REF!</definedName>
    <definedName name="BUILD114">#REF!</definedName>
    <definedName name="BUILD115">#REF!</definedName>
    <definedName name="BUILD116">#REF!</definedName>
    <definedName name="BUILD117">#REF!</definedName>
    <definedName name="BUILD118">#REF!</definedName>
    <definedName name="BUILD119">#REF!</definedName>
    <definedName name="BUILD12">#REF!</definedName>
    <definedName name="BUILD120">#REF!</definedName>
    <definedName name="BUILD121">#REF!</definedName>
    <definedName name="BUILD122">#REF!</definedName>
    <definedName name="BUILD123">#REF!</definedName>
    <definedName name="BUILD124">#REF!</definedName>
    <definedName name="BUILD125">#REF!</definedName>
    <definedName name="BUILD126">#REF!</definedName>
    <definedName name="BUILD127">#REF!</definedName>
    <definedName name="BUILD128">#REF!</definedName>
    <definedName name="BUILD129">#REF!</definedName>
    <definedName name="BUILD13">#REF!</definedName>
    <definedName name="BUILD130">#REF!</definedName>
    <definedName name="BUILD131">#REF!</definedName>
    <definedName name="BUILD132">#REF!</definedName>
    <definedName name="BUILD133">#REF!</definedName>
    <definedName name="BUILD134">#REF!</definedName>
    <definedName name="BUILD135">#REF!</definedName>
    <definedName name="BUILD136">#REF!</definedName>
    <definedName name="BUILD137">#REF!</definedName>
    <definedName name="BUILD138">#REF!</definedName>
    <definedName name="BUILD139">#REF!</definedName>
    <definedName name="BUILD14">#REF!</definedName>
    <definedName name="BUILD140">#REF!</definedName>
    <definedName name="BUILD141">#REF!</definedName>
    <definedName name="BUILD142">#REF!</definedName>
    <definedName name="BUILD143">#REF!</definedName>
    <definedName name="BUILD144">#REF!</definedName>
    <definedName name="BUILD145">#REF!</definedName>
    <definedName name="BUILD146">#REF!</definedName>
    <definedName name="BUILD147">#REF!</definedName>
    <definedName name="BUILD148">#REF!</definedName>
    <definedName name="BUILD149">#REF!</definedName>
    <definedName name="BUILD15">#REF!</definedName>
    <definedName name="BUILD150">#REF!</definedName>
    <definedName name="BUILD16">#REF!</definedName>
    <definedName name="BUILD17">#REF!</definedName>
    <definedName name="BUILD18">#REF!</definedName>
    <definedName name="BUILD19">#REF!</definedName>
    <definedName name="BUILD2">#REF!</definedName>
    <definedName name="BUILD20">#REF!</definedName>
    <definedName name="BUILD21">#REF!</definedName>
    <definedName name="BUILD22">#REF!</definedName>
    <definedName name="BUILD23">#REF!</definedName>
    <definedName name="BUILD24">#REF!</definedName>
    <definedName name="BUILD25">#REF!</definedName>
    <definedName name="BUILD26">#REF!</definedName>
    <definedName name="BUILD27">#REF!</definedName>
    <definedName name="BUILD28">#REF!</definedName>
    <definedName name="BUILD29">#REF!</definedName>
    <definedName name="BUILD3">#REF!</definedName>
    <definedName name="BUILD30">#REF!</definedName>
    <definedName name="BUILD31">#REF!</definedName>
    <definedName name="BUILD32">#REF!</definedName>
    <definedName name="BUILD33">#REF!</definedName>
    <definedName name="BUILD34">#REF!</definedName>
    <definedName name="BUILD35">#REF!</definedName>
    <definedName name="BUILD36">#REF!</definedName>
    <definedName name="BUILD37">#REF!</definedName>
    <definedName name="BUILD38">#REF!</definedName>
    <definedName name="BUILD39">#REF!</definedName>
    <definedName name="BUILD4">#REF!</definedName>
    <definedName name="BUILD40">#REF!</definedName>
    <definedName name="BUILD41">#REF!</definedName>
    <definedName name="BUILD42">#REF!</definedName>
    <definedName name="BUILD43">#REF!</definedName>
    <definedName name="BUILD44">#REF!</definedName>
    <definedName name="BUILD45">#REF!</definedName>
    <definedName name="BUILD46">#REF!</definedName>
    <definedName name="BUILD47">#REF!</definedName>
    <definedName name="BUILD48">#REF!</definedName>
    <definedName name="BUILD49">#REF!</definedName>
    <definedName name="BUILD5">#REF!</definedName>
    <definedName name="BUILD50">#REF!</definedName>
    <definedName name="BUILD51">#REF!</definedName>
    <definedName name="BUILD52">#REF!</definedName>
    <definedName name="BUILD53">#REF!</definedName>
    <definedName name="BUILD54">#REF!</definedName>
    <definedName name="BUILD55">#REF!</definedName>
    <definedName name="BUILD56">#REF!</definedName>
    <definedName name="BUILD57">#REF!</definedName>
    <definedName name="BUILD58">#REF!</definedName>
    <definedName name="BUILD59">#REF!</definedName>
    <definedName name="BUILD6">#REF!</definedName>
    <definedName name="BUILD60">#REF!</definedName>
    <definedName name="BUILD61">#REF!</definedName>
    <definedName name="BUILD62">#REF!</definedName>
    <definedName name="BUILD63">#REF!</definedName>
    <definedName name="BUILD64">#REF!</definedName>
    <definedName name="BUILD65">#REF!</definedName>
    <definedName name="BUILD66">#REF!</definedName>
    <definedName name="BUILD67">#REF!</definedName>
    <definedName name="BUILD68">#REF!</definedName>
    <definedName name="BUILD69">#REF!</definedName>
    <definedName name="BUILD7">#REF!</definedName>
    <definedName name="BUILD70">#REF!</definedName>
    <definedName name="BUILD71">#REF!</definedName>
    <definedName name="BUILD72">#REF!</definedName>
    <definedName name="BUILD73">#REF!</definedName>
    <definedName name="BUILD74">#REF!</definedName>
    <definedName name="BUILD75">#REF!</definedName>
    <definedName name="BUILD76">#REF!</definedName>
    <definedName name="BUILD77">#REF!</definedName>
    <definedName name="BUILD78">#REF!</definedName>
    <definedName name="BUILD79">#REF!</definedName>
    <definedName name="BUILD8">#REF!</definedName>
    <definedName name="BUILD80">#REF!</definedName>
    <definedName name="BUILD81">#REF!</definedName>
    <definedName name="BUILD82">#REF!</definedName>
    <definedName name="BUILD83">#REF!</definedName>
    <definedName name="BUILD84">#REF!</definedName>
    <definedName name="BUILD85">#REF!</definedName>
    <definedName name="BUILD86">#REF!</definedName>
    <definedName name="BUILD87">#REF!</definedName>
    <definedName name="BUILD88">#REF!</definedName>
    <definedName name="BUILD89">#REF!</definedName>
    <definedName name="BUILD9">#REF!</definedName>
    <definedName name="BUILD90">#REF!</definedName>
    <definedName name="BUILD91">#REF!</definedName>
    <definedName name="BUILD92">#REF!</definedName>
    <definedName name="BUILD93">#REF!</definedName>
    <definedName name="BUILD94">#REF!</definedName>
    <definedName name="BUILD95">#REF!</definedName>
    <definedName name="BUILD96">#REF!</definedName>
    <definedName name="BUILD97">#REF!</definedName>
    <definedName name="BUILD98">#REF!</definedName>
    <definedName name="BUILD99">#REF!</definedName>
    <definedName name="buildings">#N/A</definedName>
    <definedName name="BuiltIn_Print_Area___0">#REF!</definedName>
    <definedName name="buis">#REF!</definedName>
    <definedName name="buis.80">#REF!</definedName>
    <definedName name="buis.tl">#REF!</definedName>
    <definedName name="Buis_beton__ø_1_m">#REF!</definedName>
    <definedName name="Buis_beton__ø_20">#REF!</definedName>
    <definedName name="Buis_beton__ø_30">#REF!</definedName>
    <definedName name="Buis_beton_1_2_ø_20">#REF!</definedName>
    <definedName name="Buis_beton_1_2_ø_30">#REF!</definedName>
    <definedName name="Buis_Btn0.5dia20">#REF!</definedName>
    <definedName name="Buis05_30cm">#REF!</definedName>
    <definedName name="buis20">'[21]Harga Satuan Bahan'!#REF!</definedName>
    <definedName name="buis30">'[21]Harga Satuan Bahan'!#REF!</definedName>
    <definedName name="buisbetono10">#REF!</definedName>
    <definedName name="buisbetono20">#REF!</definedName>
    <definedName name="buisbetono30">#REF!</definedName>
    <definedName name="buisbetono40">#REF!</definedName>
    <definedName name="buisbetonu20">#REF!</definedName>
    <definedName name="buisbetonu30">#REF!</definedName>
    <definedName name="buiso100">#REF!</definedName>
    <definedName name="buiso20">#REF!</definedName>
    <definedName name="buiso40">#REF!</definedName>
    <definedName name="buiso50">#REF!</definedName>
    <definedName name="buiso80">#REF!</definedName>
    <definedName name="buisu20">#REF!</definedName>
    <definedName name="buisu30">#REF!</definedName>
    <definedName name="buisu60">#REF!</definedName>
    <definedName name="BULAdm">#REF!</definedName>
    <definedName name="bulan">#REF!</definedName>
    <definedName name="Bulanan">[92]Bulanan!$A$1:$AI$437</definedName>
    <definedName name="BulananAK">[92]Bulanan!$A$1:$BF$437</definedName>
    <definedName name="BulananML">[92]Bulanan!$A$1:$CC$437</definedName>
    <definedName name="bulat">#REF!</definedName>
    <definedName name="BULChange">#REF!</definedName>
    <definedName name="Buldozer">#REF!</definedName>
    <definedName name="buletin">#REF!</definedName>
    <definedName name="BULFasProyek">#REF!</definedName>
    <definedName name="BULKendaraan">#REF!</definedName>
    <definedName name="bull">#REF!</definedName>
    <definedName name="BULLDOZER">#REF!</definedName>
    <definedName name="BULPelaksanaan">#REF!</definedName>
    <definedName name="bunga">#REF!</definedName>
    <definedName name="bungasari">#REF!</definedName>
    <definedName name="buniwangi">#REF!</definedName>
    <definedName name="Burda">#REF!</definedName>
    <definedName name="Burtu">#REF!</definedName>
    <definedName name="Bus">#REF!</definedName>
    <definedName name="bus_50">#REF!</definedName>
    <definedName name="busduct">#REF!</definedName>
    <definedName name="Bust">#N/A</definedName>
    <definedName name="bv">#REF!</definedName>
    <definedName name="BV.1aksen">#REF!</definedName>
    <definedName name="BV.5">#REF!</definedName>
    <definedName name="BV.6">#REF!</definedName>
    <definedName name="BV.7">#REF!</definedName>
    <definedName name="BV.aksen">#REF!</definedName>
    <definedName name="bvd0.5">#REF!</definedName>
    <definedName name="bvd1.25">#REF!</definedName>
    <definedName name="bvd1.5">#REF!</definedName>
    <definedName name="bvd2.5">#REF!</definedName>
    <definedName name="BVDB">#N/A</definedName>
    <definedName name="BVI">#REF!</definedName>
    <definedName name="BVII">#REF!</definedName>
    <definedName name="BVIII">#REF!</definedName>
    <definedName name="bvlam">#REF!</definedName>
    <definedName name="BVM">#REF!</definedName>
    <definedName name="bvnbv">#REF!</definedName>
    <definedName name="BVNV">[0]!______________rkl600</definedName>
    <definedName name="bwall">#REF!</definedName>
    <definedName name="bwic_a">#REF!</definedName>
    <definedName name="bwic_b">#REF!</definedName>
    <definedName name="bwic_c">#REF!</definedName>
    <definedName name="C.">#REF!</definedName>
    <definedName name="C....">#REF!</definedName>
    <definedName name="C.1">#REF!</definedName>
    <definedName name="C.1_30">#REF!</definedName>
    <definedName name="C.125.50.20.2.3">#REF!</definedName>
    <definedName name="C.2">#REF!</definedName>
    <definedName name="C.2_30">#REF!</definedName>
    <definedName name="C.2a">#REF!</definedName>
    <definedName name="C.2a_30">#REF!</definedName>
    <definedName name="C.3">#REF!</definedName>
    <definedName name="C.3_30">#REF!</definedName>
    <definedName name="c.5">#REF!</definedName>
    <definedName name="C.6.10">#REF!</definedName>
    <definedName name="C.6.30">#REF!</definedName>
    <definedName name="C.6.34">#REF!</definedName>
    <definedName name="C.6.36">#REF!</definedName>
    <definedName name="C.6.39a">#REF!</definedName>
    <definedName name="C.6.4">#REF!</definedName>
    <definedName name="C.6.40">#REF!</definedName>
    <definedName name="C.6.41">#REF!</definedName>
    <definedName name="C.6.42">#REF!</definedName>
    <definedName name="C.6.43">#REF!</definedName>
    <definedName name="C.6.8">#REF!</definedName>
    <definedName name="c.maxi">#REF!</definedName>
    <definedName name="c.mowi.dlm">#REF!</definedName>
    <definedName name="c.mowi.luar">#REF!</definedName>
    <definedName name="c.vinilex.dlm">#REF!</definedName>
    <definedName name="c.vinilex.sjs">#REF!</definedName>
    <definedName name="C_">#REF!</definedName>
    <definedName name="C_1">#REF!</definedName>
    <definedName name="C_1_1">#REF!</definedName>
    <definedName name="C_1_10">#REF!</definedName>
    <definedName name="C_1_11">#REF!</definedName>
    <definedName name="C_1_12">#REF!</definedName>
    <definedName name="C_1_13">#REF!</definedName>
    <definedName name="C_1_2">#REF!</definedName>
    <definedName name="C_1_2_1">#REF!</definedName>
    <definedName name="C_1_2_1_6">#REF!</definedName>
    <definedName name="C_1_2_5">#REF!</definedName>
    <definedName name="C_1_2_6">#REF!</definedName>
    <definedName name="C_1_2_7">#REF!</definedName>
    <definedName name="C_1_2_7_5">#REF!</definedName>
    <definedName name="C_1_3">#REF!</definedName>
    <definedName name="C_1_3_10">#REF!</definedName>
    <definedName name="C_1_3_11">#REF!</definedName>
    <definedName name="C_1_3_12">#REF!</definedName>
    <definedName name="C_1_3_13">#REF!</definedName>
    <definedName name="C_1_3_4">#REF!</definedName>
    <definedName name="C_1_3_4_5">#REF!</definedName>
    <definedName name="C_1_3_5">#REF!</definedName>
    <definedName name="C_1_3_6">#REF!</definedName>
    <definedName name="C_1_3_6_5">#REF!</definedName>
    <definedName name="C_1_3_7">#REF!</definedName>
    <definedName name="C_1_3_7_5">#REF!</definedName>
    <definedName name="C_1_3_9">#REF!</definedName>
    <definedName name="C_1_4">#REF!</definedName>
    <definedName name="C_1_4_1">#REF!</definedName>
    <definedName name="C_1_4_1_5">#REF!</definedName>
    <definedName name="C_1_4_10">#REF!</definedName>
    <definedName name="C_1_4_11">#REF!</definedName>
    <definedName name="C_1_4_12">#REF!</definedName>
    <definedName name="C_1_4_13">#REF!</definedName>
    <definedName name="C_1_4_2">#REF!</definedName>
    <definedName name="C_1_4_2_6">#REF!</definedName>
    <definedName name="C_1_4_4">#REF!</definedName>
    <definedName name="C_1_4_4_5">#REF!</definedName>
    <definedName name="C_1_4_5">#REF!</definedName>
    <definedName name="C_1_4_6">#REF!</definedName>
    <definedName name="C_1_4_6_5">#REF!</definedName>
    <definedName name="C_1_4_7">#REF!</definedName>
    <definedName name="C_1_4_7_5">#REF!</definedName>
    <definedName name="C_1_5">#REF!</definedName>
    <definedName name="C_1_5_2">#REF!</definedName>
    <definedName name="C_1_5_2_6">#REF!</definedName>
    <definedName name="C_1_5_4">#REF!</definedName>
    <definedName name="C_1_5_4_5">#REF!</definedName>
    <definedName name="C_1_5_5">#REF!</definedName>
    <definedName name="C_1_5_6">#REF!</definedName>
    <definedName name="C_1_5_6_5">#REF!</definedName>
    <definedName name="C_1_5_7">#REF!</definedName>
    <definedName name="C_1_5_7_5">#REF!</definedName>
    <definedName name="C_1_6">#REF!</definedName>
    <definedName name="C_1_6_1">#REF!</definedName>
    <definedName name="C_1_6_1_5">#REF!</definedName>
    <definedName name="C_1_6_10">#REF!</definedName>
    <definedName name="C_1_6_11">#REF!</definedName>
    <definedName name="C_1_6_12">#REF!</definedName>
    <definedName name="C_1_6_13">#REF!</definedName>
    <definedName name="C_1_6_4">#REF!</definedName>
    <definedName name="C_1_6_4_5">#REF!</definedName>
    <definedName name="C_1_6_5">#REF!</definedName>
    <definedName name="C_1_6_6">#REF!</definedName>
    <definedName name="C_1_6_6_5">#REF!</definedName>
    <definedName name="C_1_6_7">#REF!</definedName>
    <definedName name="C_1_6_7_5">#REF!</definedName>
    <definedName name="C_1_6_9">#REF!</definedName>
    <definedName name="C_1_7">#REF!</definedName>
    <definedName name="C_1_7_5">#REF!</definedName>
    <definedName name="C_1_9">#REF!</definedName>
    <definedName name="C_10">#REF!</definedName>
    <definedName name="c_120g">[65]satuan_pek_str!#REF!</definedName>
    <definedName name="C_14">#REF!</definedName>
    <definedName name="C_19">#REF!</definedName>
    <definedName name="C_2">#REF!</definedName>
    <definedName name="C_2_1">#REF!</definedName>
    <definedName name="C_2_10">#REF!</definedName>
    <definedName name="C_2_11">#REF!</definedName>
    <definedName name="C_2_12">#REF!</definedName>
    <definedName name="C_2_13">#REF!</definedName>
    <definedName name="C_2_2">#REF!</definedName>
    <definedName name="C_2_2_1">#REF!</definedName>
    <definedName name="C_2_2_1_6">#REF!</definedName>
    <definedName name="C_2_2_5">#REF!</definedName>
    <definedName name="C_2_2_6">#REF!</definedName>
    <definedName name="C_2_2_7">#REF!</definedName>
    <definedName name="C_2_2_7_5">#REF!</definedName>
    <definedName name="C_2_3">#REF!</definedName>
    <definedName name="C_2_3_10">#REF!</definedName>
    <definedName name="C_2_3_11">#REF!</definedName>
    <definedName name="C_2_3_12">#REF!</definedName>
    <definedName name="C_2_3_13">#REF!</definedName>
    <definedName name="C_2_3_4">#REF!</definedName>
    <definedName name="C_2_3_4_5">#REF!</definedName>
    <definedName name="C_2_3_5">#REF!</definedName>
    <definedName name="C_2_3_6">#REF!</definedName>
    <definedName name="C_2_3_6_5">#REF!</definedName>
    <definedName name="C_2_3_7">#REF!</definedName>
    <definedName name="C_2_3_7_5">#REF!</definedName>
    <definedName name="C_2_3_9">#REF!</definedName>
    <definedName name="C_2_4">#REF!</definedName>
    <definedName name="C_2_4_1">#REF!</definedName>
    <definedName name="C_2_4_1_5">#REF!</definedName>
    <definedName name="C_2_4_10">#REF!</definedName>
    <definedName name="C_2_4_11">#REF!</definedName>
    <definedName name="C_2_4_12">#REF!</definedName>
    <definedName name="C_2_4_13">#REF!</definedName>
    <definedName name="C_2_4_2">#REF!</definedName>
    <definedName name="C_2_4_2_6">#REF!</definedName>
    <definedName name="C_2_4_4">#REF!</definedName>
    <definedName name="C_2_4_4_5">#REF!</definedName>
    <definedName name="C_2_4_5">#REF!</definedName>
    <definedName name="C_2_4_6">#REF!</definedName>
    <definedName name="C_2_4_6_5">#REF!</definedName>
    <definedName name="C_2_4_7">#REF!</definedName>
    <definedName name="C_2_4_7_5">#REF!</definedName>
    <definedName name="C_2_5">#REF!</definedName>
    <definedName name="C_2_5_2">#REF!</definedName>
    <definedName name="C_2_5_2_6">#REF!</definedName>
    <definedName name="C_2_5_4">#REF!</definedName>
    <definedName name="C_2_5_4_5">#REF!</definedName>
    <definedName name="C_2_5_5">#REF!</definedName>
    <definedName name="C_2_5_6">#REF!</definedName>
    <definedName name="C_2_5_6_5">#REF!</definedName>
    <definedName name="C_2_5_7">#REF!</definedName>
    <definedName name="C_2_5_7_5">#REF!</definedName>
    <definedName name="C_2_6">#REF!</definedName>
    <definedName name="C_2_6_1">#REF!</definedName>
    <definedName name="C_2_6_1_5">#REF!</definedName>
    <definedName name="C_2_6_10">#REF!</definedName>
    <definedName name="C_2_6_11">#REF!</definedName>
    <definedName name="C_2_6_12">#REF!</definedName>
    <definedName name="C_2_6_13">#REF!</definedName>
    <definedName name="C_2_6_4">#REF!</definedName>
    <definedName name="C_2_6_4_5">#REF!</definedName>
    <definedName name="C_2_6_5">#REF!</definedName>
    <definedName name="C_2_6_6">#REF!</definedName>
    <definedName name="C_2_6_6_5">#REF!</definedName>
    <definedName name="C_2_6_7">#REF!</definedName>
    <definedName name="C_2_6_7_5">#REF!</definedName>
    <definedName name="C_2_6_9">#REF!</definedName>
    <definedName name="C_2_7">#REF!</definedName>
    <definedName name="C_2_7_5">#REF!</definedName>
    <definedName name="C_2_9">#REF!</definedName>
    <definedName name="C_20">#REF!</definedName>
    <definedName name="C_21">#REF!</definedName>
    <definedName name="C_22">#REF!</definedName>
    <definedName name="C_3">#REF!</definedName>
    <definedName name="C_4">#REF!</definedName>
    <definedName name="c_420j">[24]Analisa!#REF!</definedName>
    <definedName name="c_6">#REF!</definedName>
    <definedName name="c_7330">#REF!</definedName>
    <definedName name="C_9">#REF!</definedName>
    <definedName name="C_A">#REF!</definedName>
    <definedName name="c_aep">#REF!</definedName>
    <definedName name="C_AGREGATE">#REF!</definedName>
    <definedName name="c_bal">#REF!</definedName>
    <definedName name="C_Prelims">#REF!</definedName>
    <definedName name="c_pu">#REF!</definedName>
    <definedName name="c_sg">#REF!</definedName>
    <definedName name="C_STEEL">#REF!</definedName>
    <definedName name="c0r1">[30]S.UPAH!$J$26</definedName>
    <definedName name="ca">"'file://SERVER3/har-data/STRUCTURE PRICE OF BQ KOMPAS GRAMEDIA.xls'#$analisa.$#REF!$#REF!"</definedName>
    <definedName name="ca_r">#REF!</definedName>
    <definedName name="cab">'[45]Sat~Bahu'!#REF!</definedName>
    <definedName name="CABE">#REF!</definedName>
    <definedName name="cabes">#REF!</definedName>
    <definedName name="cabinrak">#REF!</definedName>
    <definedName name="CABLE">#REF!</definedName>
    <definedName name="Cabutsheet">#REF!</definedName>
    <definedName name="cadas">#REF!</definedName>
    <definedName name="cak">#REF!</definedName>
    <definedName name="cakay">#REF!</definedName>
    <definedName name="CAL">#REF!</definedName>
    <definedName name="calc">#REF!</definedName>
    <definedName name="calci">#REF!</definedName>
    <definedName name="Calibration">#REF!</definedName>
    <definedName name="calsium">#REF!</definedName>
    <definedName name="CAME">[10]Material!$F$54</definedName>
    <definedName name="camera">#REF!</definedName>
    <definedName name="CAMP" localSheetId="7">#REF!</definedName>
    <definedName name="CAMP">#REF!</definedName>
    <definedName name="Camp.Aspal.Panas.Utk.Pek.Minor">#REF!</definedName>
    <definedName name="Campuran_aspal_panas">#REF!</definedName>
    <definedName name="campuranpanaslatasir">#REF!</definedName>
    <definedName name="can">"$#REF!.$H$24"</definedName>
    <definedName name="canal_c">#REF!</definedName>
    <definedName name="canal150">#REF!</definedName>
    <definedName name="CANCEL">#REF!</definedName>
    <definedName name="cap.">#REF!</definedName>
    <definedName name="Cap_Sambungan">#REF!</definedName>
    <definedName name="CAPDAT">[18]phuluc1!#REF!</definedName>
    <definedName name="CAPE01">#REF!</definedName>
    <definedName name="CAPE03">#REF!</definedName>
    <definedName name="cape06">#REF!</definedName>
    <definedName name="CAPE09">#REF!</definedName>
    <definedName name="CAPE15">#REF!</definedName>
    <definedName name="CARE">#REF!</definedName>
    <definedName name="carpet">#REF!</definedName>
    <definedName name="carstop">"$#REF!.$I$146"</definedName>
    <definedName name="cas80_1">#REF!</definedName>
    <definedName name="cas80_1_5">#REF!</definedName>
    <definedName name="cas80_10">#REF!</definedName>
    <definedName name="cas80_11">#REF!</definedName>
    <definedName name="cas80_12">#REF!</definedName>
    <definedName name="cas80_13">#REF!</definedName>
    <definedName name="cas80_2">#REF!</definedName>
    <definedName name="cas80_2_1">#REF!</definedName>
    <definedName name="cas80_2_1_1">#REF!</definedName>
    <definedName name="cas80_2_1_1_6">#REF!</definedName>
    <definedName name="cas80_2_1_5">#REF!</definedName>
    <definedName name="cas80_2_1_6">#REF!</definedName>
    <definedName name="cas80_2_1_7">#REF!</definedName>
    <definedName name="cas80_2_1_7_5">#REF!</definedName>
    <definedName name="cas80_2_5">#REF!</definedName>
    <definedName name="cas80_2_6">#REF!</definedName>
    <definedName name="cas80_2_7">#REF!</definedName>
    <definedName name="cas80_2_7_5">#REF!</definedName>
    <definedName name="cas80_3">#REF!</definedName>
    <definedName name="cas80_3_1">#REF!</definedName>
    <definedName name="cas80_3_10">#REF!</definedName>
    <definedName name="cas80_3_11">#REF!</definedName>
    <definedName name="cas80_3_12">#REF!</definedName>
    <definedName name="cas80_3_13">#REF!</definedName>
    <definedName name="cas80_3_2">#REF!</definedName>
    <definedName name="cas80_3_4">#REF!</definedName>
    <definedName name="cas80_3_4_5">#REF!</definedName>
    <definedName name="cas80_3_5">#REF!</definedName>
    <definedName name="cas80_3_6">#REF!</definedName>
    <definedName name="cas80_3_6_5">#REF!</definedName>
    <definedName name="cas80_3_7">#REF!</definedName>
    <definedName name="cas80_3_7_5">#REF!</definedName>
    <definedName name="cas80_3_9">#REF!</definedName>
    <definedName name="cas80_4">#REF!</definedName>
    <definedName name="cas80_4_1">#REF!</definedName>
    <definedName name="cas80_4_1_5">#REF!</definedName>
    <definedName name="cas80_4_10">#REF!</definedName>
    <definedName name="cas80_4_11">#REF!</definedName>
    <definedName name="cas80_4_12">#REF!</definedName>
    <definedName name="cas80_4_13">#REF!</definedName>
    <definedName name="cas80_4_2">#REF!</definedName>
    <definedName name="cas80_4_2_6">#REF!</definedName>
    <definedName name="cas80_4_4">#REF!</definedName>
    <definedName name="cas80_4_4_5">#REF!</definedName>
    <definedName name="cas80_4_5">#REF!</definedName>
    <definedName name="cas80_4_6">#REF!</definedName>
    <definedName name="cas80_4_6_5">#REF!</definedName>
    <definedName name="cas80_4_7">#REF!</definedName>
    <definedName name="cas80_4_7_5">#REF!</definedName>
    <definedName name="cas80_5">#REF!</definedName>
    <definedName name="cas80_5_2">#REF!</definedName>
    <definedName name="cas80_5_2_6">#REF!</definedName>
    <definedName name="cas80_5_4">#REF!</definedName>
    <definedName name="cas80_5_4_5">#REF!</definedName>
    <definedName name="cas80_5_5">#REF!</definedName>
    <definedName name="cas80_5_6">#REF!</definedName>
    <definedName name="cas80_5_6_5">#REF!</definedName>
    <definedName name="cas80_5_7">#REF!</definedName>
    <definedName name="cas80_5_7_5">#REF!</definedName>
    <definedName name="cas80_6">#REF!</definedName>
    <definedName name="cas80_6_1">#REF!</definedName>
    <definedName name="cas80_6_1_5">#REF!</definedName>
    <definedName name="cas80_6_10">#REF!</definedName>
    <definedName name="cas80_6_11">#REF!</definedName>
    <definedName name="cas80_6_12">#REF!</definedName>
    <definedName name="cas80_6_13">#REF!</definedName>
    <definedName name="cas80_6_4">#REF!</definedName>
    <definedName name="cas80_6_4_5">#REF!</definedName>
    <definedName name="cas80_6_5">#REF!</definedName>
    <definedName name="cas80_6_6">#REF!</definedName>
    <definedName name="cas80_6_6_5">#REF!</definedName>
    <definedName name="cas80_6_7">#REF!</definedName>
    <definedName name="cas80_6_7_5">#REF!</definedName>
    <definedName name="cas80_6_9">#REF!</definedName>
    <definedName name="cas80_7">#REF!</definedName>
    <definedName name="cas80_7_5">#REF!</definedName>
    <definedName name="cas80_9">#REF!</definedName>
    <definedName name="casf80">#REF!</definedName>
    <definedName name="casf80_1">#REF!</definedName>
    <definedName name="casf80_1_5">#REF!</definedName>
    <definedName name="casf80_10">#REF!</definedName>
    <definedName name="casf80_11">#REF!</definedName>
    <definedName name="casf80_12">#REF!</definedName>
    <definedName name="casf80_13">#REF!</definedName>
    <definedName name="casf80_2">#REF!</definedName>
    <definedName name="casf80_2_1">#REF!</definedName>
    <definedName name="casf80_2_1_1">#REF!</definedName>
    <definedName name="casf80_2_1_1_6">#REF!</definedName>
    <definedName name="casf80_2_1_5">#REF!</definedName>
    <definedName name="casf80_2_1_6">#REF!</definedName>
    <definedName name="casf80_2_1_7">#REF!</definedName>
    <definedName name="casf80_2_1_7_5">#REF!</definedName>
    <definedName name="casf80_2_5">#REF!</definedName>
    <definedName name="casf80_2_6">#REF!</definedName>
    <definedName name="casf80_3">#REF!</definedName>
    <definedName name="casf80_3_1">#REF!</definedName>
    <definedName name="casf80_3_10">#REF!</definedName>
    <definedName name="casf80_3_11">#REF!</definedName>
    <definedName name="casf80_3_12">#REF!</definedName>
    <definedName name="casf80_3_13">#REF!</definedName>
    <definedName name="casf80_3_2">#REF!</definedName>
    <definedName name="casf80_3_4">#REF!</definedName>
    <definedName name="casf80_3_4_5">#REF!</definedName>
    <definedName name="casf80_3_5">#REF!</definedName>
    <definedName name="casf80_3_6">#REF!</definedName>
    <definedName name="casf80_3_6_5">#REF!</definedName>
    <definedName name="casf80_3_7">#REF!</definedName>
    <definedName name="casf80_3_7_5">#REF!</definedName>
    <definedName name="casf80_3_9">#REF!</definedName>
    <definedName name="casf80_4">#REF!</definedName>
    <definedName name="casf80_4_1">#REF!</definedName>
    <definedName name="casf80_4_1_5">#REF!</definedName>
    <definedName name="casf80_4_10">#REF!</definedName>
    <definedName name="casf80_4_11">#REF!</definedName>
    <definedName name="casf80_4_12">#REF!</definedName>
    <definedName name="casf80_4_13">#REF!</definedName>
    <definedName name="casf80_4_2">#REF!</definedName>
    <definedName name="casf80_4_2_6">#REF!</definedName>
    <definedName name="casf80_4_4">#REF!</definedName>
    <definedName name="casf80_4_4_5">#REF!</definedName>
    <definedName name="casf80_4_5">#REF!</definedName>
    <definedName name="casf80_4_6">#REF!</definedName>
    <definedName name="casf80_4_6_5">#REF!</definedName>
    <definedName name="casf80_4_7">#REF!</definedName>
    <definedName name="casf80_4_7_5">#REF!</definedName>
    <definedName name="casf80_5">#REF!</definedName>
    <definedName name="casf80_5_2">#REF!</definedName>
    <definedName name="casf80_5_2_6">#REF!</definedName>
    <definedName name="casf80_5_4">#REF!</definedName>
    <definedName name="casf80_5_4_5">#REF!</definedName>
    <definedName name="casf80_5_5">#REF!</definedName>
    <definedName name="casf80_5_6">#REF!</definedName>
    <definedName name="casf80_5_6_5">#REF!</definedName>
    <definedName name="casf80_5_7">#REF!</definedName>
    <definedName name="casf80_5_7_5">#REF!</definedName>
    <definedName name="casf80_6">#REF!</definedName>
    <definedName name="casf80_6_1">#REF!</definedName>
    <definedName name="casf80_6_1_5">#REF!</definedName>
    <definedName name="casf80_6_10">#REF!</definedName>
    <definedName name="casf80_6_11">#REF!</definedName>
    <definedName name="casf80_6_12">#REF!</definedName>
    <definedName name="casf80_6_13">#REF!</definedName>
    <definedName name="casf80_6_4">#REF!</definedName>
    <definedName name="casf80_6_4_5">#REF!</definedName>
    <definedName name="casf80_6_5">#REF!</definedName>
    <definedName name="casf80_6_6">#REF!</definedName>
    <definedName name="casf80_6_6_5">#REF!</definedName>
    <definedName name="casf80_6_7">#REF!</definedName>
    <definedName name="casf80_6_7_5">#REF!</definedName>
    <definedName name="casf80_6_9">#REF!</definedName>
    <definedName name="casf80_7">#REF!</definedName>
    <definedName name="casf80_7_5">#REF!</definedName>
    <definedName name="casf80_9">#REF!</definedName>
    <definedName name="CASH" hidden="1">{#N/A,#N/A,FALSE,"SUM_Prop";#N/A,#N/A,FALSE,"PROCESS-eng";#N/A,#N/A,FALSE,"PROCESS-com";#N/A,#N/A,FALSE,"INST-eng";#N/A,#N/A,FALSE,"INST-com"}</definedName>
    <definedName name="CASHFLOW">#REF!</definedName>
    <definedName name="CASSETTE">#REF!</definedName>
    <definedName name="castoper40">#REF!</definedName>
    <definedName name="castoper60">#REF!</definedName>
    <definedName name="CAT">#REF!</definedName>
    <definedName name="cat.b">#REF!</definedName>
    <definedName name="Cat.k">#REF!</definedName>
    <definedName name="cat.t">#REF!</definedName>
    <definedName name="cat.tt">#REF!</definedName>
    <definedName name="CAT.WATERPROOF">#REF!</definedName>
    <definedName name="Cat_Anti_Karat">#REF!</definedName>
    <definedName name="Cat_besi">#REF!</definedName>
    <definedName name="Cat_besi_merk_platon">#REF!</definedName>
    <definedName name="Cat_Besi_Sieve">'[72]Daftar Harga'!$G$45</definedName>
    <definedName name="Cat_Bron">#REF!</definedName>
    <definedName name="cat_d">[34]harsat!$H$123</definedName>
    <definedName name="cat_dasar">#REF!</definedName>
    <definedName name="CAT_DINDING">#REF!</definedName>
    <definedName name="CAT_EPOXY_PROPAN">#REF!</definedName>
    <definedName name="CAT_EXTERIOR_PROPAN">#REF!</definedName>
    <definedName name="CAT_INTERIOR_PROPAN">#REF!</definedName>
    <definedName name="CAT_JBT">'[33]Analisa pemkot'!#REF!</definedName>
    <definedName name="cat_k">[34]harsat!$H$126</definedName>
    <definedName name="Cat_Kayu">#REF!</definedName>
    <definedName name="CAT_KAYU_BARU">#REF!</definedName>
    <definedName name="CAT_KAYU_LAMA">#REF!</definedName>
    <definedName name="Cat_Kayu_Mengkilat">#REF!</definedName>
    <definedName name="Cat_manie_besi__kayu">#REF!</definedName>
    <definedName name="CAT_MARKA">#REF!</definedName>
    <definedName name="Cat_Menie">#REF!</definedName>
    <definedName name="cat_p">[34]harsat!$H$125</definedName>
    <definedName name="cat_pl">#REF!</definedName>
    <definedName name="CAT_PLAFOND">#REF!</definedName>
    <definedName name="cat_skirt">#REF!</definedName>
    <definedName name="Cat_Tembok">#REF!</definedName>
    <definedName name="CAT_TEMBOK_BARU">#REF!</definedName>
    <definedName name="CAT_TEMBOK_LAMA">#REF!</definedName>
    <definedName name="Cat_tembok_merk_platon">#REF!</definedName>
    <definedName name="Cat_Thermoplastic">#REF!</definedName>
    <definedName name="Cat1xjarum">#REF!</definedName>
    <definedName name="Cat1xKyu">#REF!</definedName>
    <definedName name="Cat1xvinil">#REF!</definedName>
    <definedName name="CATAL">#REF!</definedName>
    <definedName name="CATARDEKS">#N/A</definedName>
    <definedName name="CatBaja">#REF!</definedName>
    <definedName name="catbes">#REF!</definedName>
    <definedName name="CATBESI">#N/A</definedName>
    <definedName name="CatBs">#REF!</definedName>
    <definedName name="catd">[24]Analisa!#REF!</definedName>
    <definedName name="catdalam">#REF!</definedName>
    <definedName name="catdin">#REF!</definedName>
    <definedName name="catdinding">#REF!</definedName>
    <definedName name="catdindingbaru">#REF!</definedName>
    <definedName name="catdindingvinilek">#REF!</definedName>
    <definedName name="catdl">#REF!</definedName>
    <definedName name="catdlm">#REF!</definedName>
    <definedName name="catdsr">#REF!</definedName>
    <definedName name="catduco">#REF!</definedName>
    <definedName name="catduluxeksterior">#REF!</definedName>
    <definedName name="CATE">[10]Material!$F$48</definedName>
    <definedName name="Category_Optional_Field">#REF!</definedName>
    <definedName name="Category_Optional_Fields">#REF!</definedName>
    <definedName name="catex">[31]SENTUL!#REF!</definedName>
    <definedName name="catexter">#REF!</definedName>
    <definedName name="Catexterior">#REF!</definedName>
    <definedName name="catgenteng">#REF!</definedName>
    <definedName name="CatIc">#REF!</definedName>
    <definedName name="caticidalam">#REF!</definedName>
    <definedName name="caticiluar">#REF!</definedName>
    <definedName name="catinter">#REF!</definedName>
    <definedName name="CatInterior">#REF!</definedName>
    <definedName name="CatKansten">#REF!</definedName>
    <definedName name="catkay">#REF!</definedName>
    <definedName name="CATKAYU">#N/A</definedName>
    <definedName name="catkayuavian">#REF!</definedName>
    <definedName name="CatKayuBaru">#REF!</definedName>
    <definedName name="catkayuemco">#REF!</definedName>
    <definedName name="CatKayuLama">#REF!</definedName>
    <definedName name="CatKAyuUlang">#REF!</definedName>
    <definedName name="catkosen">#REF!</definedName>
    <definedName name="CatKs">#REF!</definedName>
    <definedName name="CatKyu">#REF!</definedName>
    <definedName name="catl">[24]Analisa!#REF!</definedName>
    <definedName name="catlangit">#REF!</definedName>
    <definedName name="catluar">#REF!</definedName>
    <definedName name="CATMARKA">#REF!</definedName>
    <definedName name="catmarka10">#REF!</definedName>
    <definedName name="catmarka15">#REF!</definedName>
    <definedName name="catmarka5">#REF!</definedName>
    <definedName name="catmarkam2">#REF!</definedName>
    <definedName name="catmeni">#REF!</definedName>
    <definedName name="catmenibesi">#REF!</definedName>
    <definedName name="catmenijayu">#REF!</definedName>
    <definedName name="catmenikayu">#REF!</definedName>
    <definedName name="catmin">#REF!</definedName>
    <definedName name="catminyak">#REF!</definedName>
    <definedName name="catpla">#REF!</definedName>
    <definedName name="catplaf">#REF!</definedName>
    <definedName name="CatPlafond">#REF!</definedName>
    <definedName name="catplapond">#REF!</definedName>
    <definedName name="CatSl">#REF!</definedName>
    <definedName name="catsupergloss">[93]Rekap!$H$121</definedName>
    <definedName name="cattbk">#REF!</definedName>
    <definedName name="CATTEMBOK">#N/A</definedName>
    <definedName name="CatTembokBaru">#REF!</definedName>
    <definedName name="CatTembokBaruJarum">#REF!</definedName>
    <definedName name="CatTembokBaruVinileks">#REF!</definedName>
    <definedName name="Cattembokjarum">#REF!</definedName>
    <definedName name="cattembokparagon">#REF!</definedName>
    <definedName name="CatTembokUlang">#REF!</definedName>
    <definedName name="CatTembokUlangJarum">#REF!</definedName>
    <definedName name="CatTembokUlangV">#REF!</definedName>
    <definedName name="CatTembokUlangVinileks">#REF!</definedName>
    <definedName name="CattembokVinil">#REF!</definedName>
    <definedName name="cattembwarna">#REF!</definedName>
    <definedName name="cattex">[94]Analisa!#REF!</definedName>
    <definedName name="CatTmbok">#REF!</definedName>
    <definedName name="cattttt">#REF!</definedName>
    <definedName name="Catulangjarum">#REF!</definedName>
    <definedName name="CatUlangKyu">#REF!</definedName>
    <definedName name="Catulangtembkvinil">#REF!</definedName>
    <definedName name="CatVn">#REF!</definedName>
    <definedName name="CB">#REF!</definedName>
    <definedName name="cbesi">#REF!</definedName>
    <definedName name="cc">"'file://SERVER3/har-data/STRUCTURE PRICE OF BQ KOMPAS GRAMEDIA.xls'#$analisa.$#REF!$#REF!"</definedName>
    <definedName name="CC_01">#REF!</definedName>
    <definedName name="CC_01A">#REF!</definedName>
    <definedName name="CC_02">#REF!</definedName>
    <definedName name="CC_03">#REF!</definedName>
    <definedName name="CC_04">#REF!</definedName>
    <definedName name="CC_04A">#REF!</definedName>
    <definedName name="CC_05">#REF!</definedName>
    <definedName name="CC_05A">#REF!</definedName>
    <definedName name="CC_06">#REF!</definedName>
    <definedName name="CC_06A">#REF!</definedName>
    <definedName name="CC_07">#REF!</definedName>
    <definedName name="CC_08">#REF!</definedName>
    <definedName name="CC_09">#REF!</definedName>
    <definedName name="CC_09A">#REF!</definedName>
    <definedName name="CC_10">#REF!</definedName>
    <definedName name="CC_11">#REF!</definedName>
    <definedName name="cc_11_6">#REF!</definedName>
    <definedName name="CC_11A">#REF!</definedName>
    <definedName name="CC_12">#REF!</definedName>
    <definedName name="CC_13">#REF!</definedName>
    <definedName name="CC_13A">#REF!</definedName>
    <definedName name="CC_14">#REF!</definedName>
    <definedName name="CC_14A">#REF!</definedName>
    <definedName name="CC_15">#REF!</definedName>
    <definedName name="CC_16">#REF!</definedName>
    <definedName name="CC_17">#REF!</definedName>
    <definedName name="CC_17A">#REF!</definedName>
    <definedName name="CC_18">#REF!</definedName>
    <definedName name="CC_18A">#REF!</definedName>
    <definedName name="CC_19">#REF!</definedName>
    <definedName name="CC_20">#REF!</definedName>
    <definedName name="CC_21">#REF!</definedName>
    <definedName name="CC_22">#REF!</definedName>
    <definedName name="cc_225">[95]satuan_pek_ars!#REF!</definedName>
    <definedName name="CC_22A">#REF!</definedName>
    <definedName name="CC_23">#REF!</definedName>
    <definedName name="CC_24">#REF!</definedName>
    <definedName name="CC_24A">#REF!</definedName>
    <definedName name="CC_25">#REF!</definedName>
    <definedName name="CC_26">#REF!</definedName>
    <definedName name="cc_6">#REF!</definedName>
    <definedName name="cc_8">#REF!</definedName>
    <definedName name="cc_8_6">#REF!</definedName>
    <definedName name="cc_9">#REF!</definedName>
    <definedName name="cc_9_6">#REF!</definedName>
    <definedName name="ccb_20_acr">[96]Elektrikal!#REF!</definedName>
    <definedName name="ccc">#REF!</definedName>
    <definedName name="CCCC" hidden="1">#REF!</definedName>
    <definedName name="CCCCC">[0]!B.TG.102B:[0]!B_2050A</definedName>
    <definedName name="CCCCCC" hidden="1">#REF!</definedName>
    <definedName name="cccr">#REF!</definedName>
    <definedName name="ccdoub">#REF!</definedName>
    <definedName name="CCF">#REF!</definedName>
    <definedName name="ccon">#REF!</definedName>
    <definedName name="CCONBRE">#REF!</definedName>
    <definedName name="ccren">#REF!</definedName>
    <definedName name="CCS">#REF!</definedName>
    <definedName name="CCTV">#REF!</definedName>
    <definedName name="cctv_ipballCamera">'[78]Harga Jasa dan Material'!$D$264</definedName>
    <definedName name="cctv_ipbulletCamera">'[78]Harga Jasa dan Material'!$D$263</definedName>
    <definedName name="cctv_Monitor_32inch">'[78]Harga Jasa dan Material'!$D$266</definedName>
    <definedName name="cctv_Nvr_32ch">'[78]Harga Jasa dan Material'!$D$265</definedName>
    <definedName name="cctv_SH16port_PoE">'[78]Harga Jasa dan Material'!$D$267</definedName>
    <definedName name="cctv_switch_24PoE">'[78]Harga Jasa dan Material'!$D$268</definedName>
    <definedName name="cctv_switch_8PoE">'[78]Harga Jasa dan Material'!$D$267</definedName>
    <definedName name="cd">#REF!</definedName>
    <definedName name="cd_cw">#REF!</definedName>
    <definedName name="cdasar">#REF!</definedName>
    <definedName name="CDD">#REF!</definedName>
    <definedName name="CDDD">'[18]THPDMoi  (2)'!#REF!</definedName>
    <definedName name="cddd1p">#REF!</definedName>
    <definedName name="cddd3p">#REF!</definedName>
    <definedName name="cdh">#REF!</definedName>
    <definedName name="CDL">#REF!</definedName>
    <definedName name="cdlm">#REF!</definedName>
    <definedName name="CDOZER" localSheetId="7">#REF!</definedName>
    <definedName name="CDOZER">#REF!</definedName>
    <definedName name="cds">#REF!</definedName>
    <definedName name="CDT" localSheetId="7">#REF!</definedName>
    <definedName name="cdt">#REF!</definedName>
    <definedName name="ce">#REF!</definedName>
    <definedName name="ce_6">#REF!</definedName>
    <definedName name="ce_9">#REF!</definedName>
    <definedName name="ceil">#REF!</definedName>
    <definedName name="CEILING">[97]ARSITEKTUR!#REF!</definedName>
    <definedName name="Ceiling_speker">[39]Elektronik!#REF!</definedName>
    <definedName name="cek">#REF!</definedName>
    <definedName name="cek_me">#REF!</definedName>
    <definedName name="CEKARS">#REF!</definedName>
    <definedName name="cekkasar">#REF!</definedName>
    <definedName name="celcon_13">[98]FINISHING!$I$60</definedName>
    <definedName name="celcon_15">[98]FINISHING!$I$61</definedName>
    <definedName name="celcon10">#N/A</definedName>
    <definedName name="celcon75">#N/A</definedName>
    <definedName name="cendana">#REF!</definedName>
    <definedName name="cenposalm">#REF!</definedName>
    <definedName name="cenposstel">#REF!</definedName>
    <definedName name="cepat">[99]ch!$E$19</definedName>
    <definedName name="cer">[24]Analisa!#REF!</definedName>
    <definedName name="cer_1">#REF!</definedName>
    <definedName name="cer_2">#REF!</definedName>
    <definedName name="cerelak">#REF!</definedName>
    <definedName name="cermin">#REF!</definedName>
    <definedName name="Cermin5mm">#REF!</definedName>
    <definedName name="Cermin6mm">#REF!</definedName>
    <definedName name="CEROCOK">[30]S.BAHAN!$K$26</definedName>
    <definedName name="Cerucuk__Gelam_0_8__10_cm">#REF!</definedName>
    <definedName name="CETAK012">#REF!</definedName>
    <definedName name="CETAK016">#REF!</definedName>
    <definedName name="cetak017">#REF!</definedName>
    <definedName name="cetak018">#REF!</definedName>
    <definedName name="CETAK026">#REF!</definedName>
    <definedName name="CETAK035">#REF!</definedName>
    <definedName name="CETAK040">#REF!</definedName>
    <definedName name="CETAK110">#REF!</definedName>
    <definedName name="CETAK115">#REF!</definedName>
    <definedName name="cetak116">#REF!</definedName>
    <definedName name="cetak121">#REF!</definedName>
    <definedName name="CETAK122">#REF!</definedName>
    <definedName name="cetak124">#REF!</definedName>
    <definedName name="CETAK224">#REF!</definedName>
    <definedName name="CETAK225">#REF!</definedName>
    <definedName name="CETAK310">#REF!</definedName>
    <definedName name="CETAK320">#REF!</definedName>
    <definedName name="cetak321">#REF!</definedName>
    <definedName name="CETAK341">#REF!</definedName>
    <definedName name="CETAK510ALAT">#REF!</definedName>
    <definedName name="CETAK512ALAT">#REF!</definedName>
    <definedName name="CETAK515">#REF!</definedName>
    <definedName name="CETAK516">#REF!</definedName>
    <definedName name="CETAK517ALAT">#REF!</definedName>
    <definedName name="CETAK520ALAT">#REF!</definedName>
    <definedName name="CETAK522ALAT">#REF!</definedName>
    <definedName name="CETAK528">#REF!</definedName>
    <definedName name="cetak530">#REF!</definedName>
    <definedName name="CETAK618">#REF!</definedName>
    <definedName name="CETAK636">#REF!</definedName>
    <definedName name="CETAK641">#REF!</definedName>
    <definedName name="CETAK705">#REF!</definedName>
    <definedName name="CETAK710">#REF!</definedName>
    <definedName name="CETAK715">#REF!</definedName>
    <definedName name="CETAK723">#REF!</definedName>
    <definedName name="CETAK724">#REF!</definedName>
    <definedName name="CETAK725">#REF!</definedName>
    <definedName name="CETAK810A">#REF!</definedName>
    <definedName name="CETAK810C">#REF!</definedName>
    <definedName name="cetakan">#REF!</definedName>
    <definedName name="CETAKBLOK">#REF!</definedName>
    <definedName name="CETAKKEREB">#REF!</definedName>
    <definedName name="cetakmarka">#REF!</definedName>
    <definedName name="CETAKPATOKKM">#REF!</definedName>
    <definedName name="CETAKPOROUS">#REF!</definedName>
    <definedName name="CETAKRAMBULALIN">#REF!</definedName>
    <definedName name="cetakrehabbahu">#REF!</definedName>
    <definedName name="cetakrekap">#REF!</definedName>
    <definedName name="CEXCAV" localSheetId="7">#REF!</definedName>
    <definedName name="CEXCAV">#REF!</definedName>
    <definedName name="CFALL">#REF!</definedName>
    <definedName name="CFINISHER" localSheetId="7">#REF!</definedName>
    <definedName name="CFINISHER">#REF!</definedName>
    <definedName name="cfmingguan">#REF!</definedName>
    <definedName name="CFP">#REF!</definedName>
    <definedName name="cg">"$#REF!.$H$33"</definedName>
    <definedName name="cg_5">#REF!</definedName>
    <definedName name="cg_67">#REF!</definedName>
    <definedName name="cgionc">'[18]lam-moi'!#REF!</definedName>
    <definedName name="cgiovl">'[18]lam-moi'!#REF!</definedName>
    <definedName name="CGRADER" localSheetId="7">#REF!</definedName>
    <definedName name="CGRADER">#REF!</definedName>
    <definedName name="ch">#REF!</definedName>
    <definedName name="CHAIN" hidden="1">#REF!</definedName>
    <definedName name="chainsaw">[100]harsat!$G$63</definedName>
    <definedName name="channelmodul">#REF!</definedName>
    <definedName name="Check">#REF!</definedName>
    <definedName name="CHECK_UNIT">#REF!</definedName>
    <definedName name="CHECKLIST_SUV">#REF!</definedName>
    <definedName name="CHF">#REF!</definedName>
    <definedName name="chhtnc">'[18]lam-moi'!#REF!</definedName>
    <definedName name="chhtvl">'[18]lam-moi'!#REF!</definedName>
    <definedName name="chiller">#REF!</definedName>
    <definedName name="chipp">[24]Analisa!#REF!</definedName>
    <definedName name="CHL">#REF!</definedName>
    <definedName name="chnc">'[18]lam-moi'!#REF!</definedName>
    <definedName name="chvl">'[18]lam-moi'!#REF!</definedName>
    <definedName name="CIKAMPEK">#REF!</definedName>
    <definedName name="cikaret">#REF!</definedName>
    <definedName name="CIKARET1">#REF!</definedName>
    <definedName name="cikondang">#REF!</definedName>
    <definedName name="cilangkap">#REF!</definedName>
    <definedName name="cin">#REF!</definedName>
    <definedName name="cintasari">#REF!</definedName>
    <definedName name="cip1.25">#REF!</definedName>
    <definedName name="cip1.5">#REF!</definedName>
    <definedName name="cipanas">#REF!</definedName>
    <definedName name="CIPANAS2">#REF!</definedName>
    <definedName name="cipetir">#REF!</definedName>
    <definedName name="cipf10">#REF!</definedName>
    <definedName name="cipf3">#REF!</definedName>
    <definedName name="cipf4">#REF!</definedName>
    <definedName name="cipf6">#REF!</definedName>
    <definedName name="cipf8">#REF!</definedName>
    <definedName name="CIPUTRA">#N/A</definedName>
    <definedName name="ciracas">[101]Pendahuluan!$A$1:$IV$13</definedName>
    <definedName name="cirenda">#REF!</definedName>
    <definedName name="citidd">'[18]dongia (2)'!#REF!</definedName>
    <definedName name="City">#REF!</definedName>
    <definedName name="cj_ce">#REF!</definedName>
    <definedName name="cjongkok">[93]Rekap!$H$58</definedName>
    <definedName name="CK">#REF!</definedName>
    <definedName name="ck_6">#REF!</definedName>
    <definedName name="CKAYU">#REF!</definedName>
    <definedName name="CKB">#REF!</definedName>
    <definedName name="ckilat">#REF!</definedName>
    <definedName name="ckk">#REF!</definedName>
    <definedName name="ckl">#REF!</definedName>
    <definedName name="cknc">'[18]lam-moi'!#REF!</definedName>
    <definedName name="CKOMPRES" localSheetId="7">#REF!</definedName>
    <definedName name="CKOMPRES">#REF!</definedName>
    <definedName name="ckvl">'[18]lam-moi'!#REF!</definedName>
    <definedName name="cl">#REF!</definedName>
    <definedName name="Clam">#REF!</definedName>
    <definedName name="clamp">#REF!</definedName>
    <definedName name="clamp_conduit">'[78]Harga Jasa dan Material'!$D$140</definedName>
    <definedName name="class_a">#N/A</definedName>
    <definedName name="class_b">#N/A</definedName>
    <definedName name="CLEANING">#REF!</definedName>
    <definedName name="CLEARFOOT">#REF!</definedName>
    <definedName name="CLEARHEAD">#REF!</definedName>
    <definedName name="clemsisir">#REF!</definedName>
    <definedName name="CLIPSAL">#REF!</definedName>
    <definedName name="clo">#REF!</definedName>
    <definedName name="CLOADER" localSheetId="7">#REF!</definedName>
    <definedName name="CLOADER">#REF!</definedName>
    <definedName name="clos_T420_J">[39]Plumbing!#REF!</definedName>
    <definedName name="CLOSET">#REF!</definedName>
    <definedName name="Closet.c420">#REF!</definedName>
    <definedName name="Closet.ddk">#REF!</definedName>
    <definedName name="closet.jkok">#REF!</definedName>
    <definedName name="closet_jongkok">#REF!</definedName>
    <definedName name="closet_toto">#REF!</definedName>
    <definedName name="closetc48">[34]harsat!$H$38</definedName>
    <definedName name="closetduduk">#REF!</definedName>
    <definedName name="clousedcw714">#REF!</definedName>
    <definedName name="CLP">#REF!</definedName>
    <definedName name="Clr">#N/A</definedName>
    <definedName name="clscw420j">#REF!</definedName>
    <definedName name="clsddk">'[21]Harga Satuan Bahan'!#REF!</definedName>
    <definedName name="clsddkwr">'[21]Harga Satuan Bahan'!#REF!</definedName>
    <definedName name="clstd">'[21]Harga Satuan Bahan'!$E$132</definedName>
    <definedName name="clswr">'[21]Harga Satuan Bahan'!#REF!</definedName>
    <definedName name="clt">#REF!</definedName>
    <definedName name="cluar">#REF!</definedName>
    <definedName name="CLUBHOUSE">#REF!</definedName>
    <definedName name="clvc1">#REF!</definedName>
    <definedName name="CLVC3">0.1</definedName>
    <definedName name="CLVCTB">#REF!</definedName>
    <definedName name="cm_11000">#REF!</definedName>
    <definedName name="cm_3000">#REF!</definedName>
    <definedName name="cm_4500">#REF!</definedName>
    <definedName name="cm_6500">#REF!</definedName>
    <definedName name="cm_9000">#REF!</definedName>
    <definedName name="cmix">#REF!</definedName>
    <definedName name="CMIXER" localSheetId="7">#REF!</definedName>
    <definedName name="CMIXER">#REF!</definedName>
    <definedName name="cmm">#REF!</definedName>
    <definedName name="CMr">#REF!</definedName>
    <definedName name="CN">#REF!</definedName>
    <definedName name="CN3p">#REF!</definedName>
    <definedName name="CNONPERSON1">#REF!</definedName>
    <definedName name="CNONPERSON2">#REF!</definedName>
    <definedName name="cnpy">#REF!</definedName>
    <definedName name="CNT">#REF!</definedName>
    <definedName name="CO">#REF!</definedName>
    <definedName name="CO_100">[39]Plumbing!#REF!</definedName>
    <definedName name="CO_50">[39]Plumbing!#REF!</definedName>
    <definedName name="CO_80">[39]Plumbing!#REF!</definedName>
    <definedName name="COARSE_AGGREGAT">#REF!</definedName>
    <definedName name="coat">"$#REF!.$H$17"</definedName>
    <definedName name="COATING">#REF!</definedName>
    <definedName name="coba" hidden="1">#REF!</definedName>
    <definedName name="Code" hidden="1">#REF!</definedName>
    <definedName name="Coef">[102]Analisa!#REF!</definedName>
    <definedName name="Cöï_ly_vaän_chuyeãn">#REF!</definedName>
    <definedName name="CÖÏ_LY_VAÄN_CHUYEÅN">#REF!</definedName>
    <definedName name="COL_VOLUME">#REF!</definedName>
    <definedName name="COLL">[16]prelim!#REF!</definedName>
    <definedName name="COM_SG">#REF!</definedName>
    <definedName name="COMBINE">#N/A</definedName>
    <definedName name="combiner">#REF!</definedName>
    <definedName name="COMBO">#REF!</definedName>
    <definedName name="comismatv">#REF!</definedName>
    <definedName name="COMM._TRAVELING">#REF!</definedName>
    <definedName name="common">#N/A</definedName>
    <definedName name="comp">#REF!</definedName>
    <definedName name="compac">#REF!</definedName>
    <definedName name="COMPACT">#REF!</definedName>
    <definedName name="compaction">#N/A</definedName>
    <definedName name="Company">#REF!</definedName>
    <definedName name="COMPRES">#REF!</definedName>
    <definedName name="compresor">#REF!</definedName>
    <definedName name="compress">#REF!</definedName>
    <definedName name="compressor" localSheetId="7">[33]H_Dasar!#REF!</definedName>
    <definedName name="COMPRESSOR">#REF!</definedName>
    <definedName name="Compressor_4000_6500_L_M">#REF!</definedName>
    <definedName name="computer">#REF!</definedName>
    <definedName name="COMSUMABLE">#REF!</definedName>
    <definedName name="CON">#REF!</definedName>
    <definedName name="CON_VIBRATOR">#REF!</definedName>
    <definedName name="CONB">[10]Material!$F$24</definedName>
    <definedName name="Conblok">#REF!</definedName>
    <definedName name="Concerete_Mixer_0.3_0.6_M">#REF!</definedName>
    <definedName name="concrate">#REF!</definedName>
    <definedName name="concrete">#REF!</definedName>
    <definedName name="concrete_mixer">#REF!</definedName>
    <definedName name="concrete_nail">#REF!</definedName>
    <definedName name="Concrete_Vibrator">#REF!</definedName>
    <definedName name="CONCRETEMIXER">#REF!</definedName>
    <definedName name="Concretepump">#REF!</definedName>
    <definedName name="CONCRETEVIBRO">#REF!</definedName>
    <definedName name="COND">#REF!</definedName>
    <definedName name="condi">[103]BQ!#REF!</definedName>
    <definedName name="CONDITION">#REF!</definedName>
    <definedName name="CONDUIT">#REF!</definedName>
    <definedName name="CONFIR">#REF!</definedName>
    <definedName name="cong1x15">[18]giathanh1!#REF!</definedName>
    <definedName name="cons">#REF!</definedName>
    <definedName name="CONSTR_A02B">#N/A</definedName>
    <definedName name="CONSTR_A03">#REF!</definedName>
    <definedName name="Consumable_mate">#REF!</definedName>
    <definedName name="Consumable_tool">#REF!</definedName>
    <definedName name="Contingencies">#REF!</definedName>
    <definedName name="Continue">#N/A</definedName>
    <definedName name="CONTRACT">#REF!</definedName>
    <definedName name="contract_amount">#REF!</definedName>
    <definedName name="Contract_Categories">#REF!</definedName>
    <definedName name="contract_elec">#REF!</definedName>
    <definedName name="Contract_Optional_Field">#REF!</definedName>
    <definedName name="Contract_Resource_Categories">#REF!</definedName>
    <definedName name="Contract_Resources">#REF!</definedName>
    <definedName name="Contracts">#REF!</definedName>
    <definedName name="CONVIB">[55]URAI!$L$1269</definedName>
    <definedName name="COOP">#REF!</definedName>
    <definedName name="COP">#REF!</definedName>
    <definedName name="Copyright" hidden="1">"© 1995 Worley Limited"</definedName>
    <definedName name="cor_b">#REF!</definedName>
    <definedName name="cor_d">#REF!</definedName>
    <definedName name="cor_k">#REF!</definedName>
    <definedName name="COR_NAT_T">#REF!</definedName>
    <definedName name="coral12">#REF!</definedName>
    <definedName name="coral23">#REF!</definedName>
    <definedName name="coral35">#REF!</definedName>
    <definedName name="coral57">#REF!</definedName>
    <definedName name="corbalok">[104]h.satuan!$H$137</definedName>
    <definedName name="corbaloklantai">'[87]DAF-UPAH'!$E$15</definedName>
    <definedName name="corbeton">#REF!</definedName>
    <definedName name="cordindng">[104]h.satuan!$H$139</definedName>
    <definedName name="corkolom">'[87]DAF-UPAH'!$E$14</definedName>
    <definedName name="corlantaikerja">'[87]DAF-UPAH'!$E$11</definedName>
    <definedName name="corpilecap">'[87]DAF-UPAH'!$E$12</definedName>
    <definedName name="cost">#REF!</definedName>
    <definedName name="Cost_Categories">#REF!</definedName>
    <definedName name="COST_FACTOR">#REF!</definedName>
    <definedName name="CostControl">#REF!</definedName>
    <definedName name="costone">#REF!</definedName>
    <definedName name="Cot_thep">#REF!</definedName>
    <definedName name="cota">#REF!</definedName>
    <definedName name="Counter">#N/A</definedName>
    <definedName name="Country">#REF!</definedName>
    <definedName name="COV">#REF!</definedName>
    <definedName name="cover">#REF!</definedName>
    <definedName name="Cover1">#REF!</definedName>
    <definedName name="Cover2">#REF!</definedName>
    <definedName name="covib">#REF!</definedName>
    <definedName name="cp">#REF!</definedName>
    <definedName name="CP_2">#REF!</definedName>
    <definedName name="CPIKUP" localSheetId="7">#REF!</definedName>
    <definedName name="CPIKUP">#REF!</definedName>
    <definedName name="CPOMPA" localSheetId="7">#REF!</definedName>
    <definedName name="CPOMPA">#REF!</definedName>
    <definedName name="cpump">#REF!</definedName>
    <definedName name="CPVC100">#REF!</definedName>
    <definedName name="CPVC1KM">#REF!</definedName>
    <definedName name="CPVCDN">#REF!</definedName>
    <definedName name="CR_ALL">#REF!</definedName>
    <definedName name="Crack_Inducer">#REF!</definedName>
    <definedName name="CRANE" localSheetId="7">[33]H_Dasar!#REF!</definedName>
    <definedName name="CRANE">#REF!</definedName>
    <definedName name="Crane35">#REF!</definedName>
    <definedName name="CRD">#REF!</definedName>
    <definedName name="CRS">#REF!</definedName>
    <definedName name="CRSH">#REF!</definedName>
    <definedName name="CRUSER">#REF!</definedName>
    <definedName name="CRUSHER">#REF!</definedName>
    <definedName name="cs">"$#REF!.$H$23"</definedName>
    <definedName name="cs_1">[65]satuan_pek_str!#REF!</definedName>
    <definedName name="cs_70">#REF!</definedName>
    <definedName name="cs3w">#REF!</definedName>
    <definedName name="csanlex">#REF!</definedName>
    <definedName name="csd3p">#REF!</definedName>
    <definedName name="csddg1p">#REF!</definedName>
    <definedName name="csddt1p">#REF!</definedName>
    <definedName name="csf">#REF!</definedName>
    <definedName name="cshaw">#REF!</definedName>
    <definedName name="csht3p">#REF!</definedName>
    <definedName name="csl_38">#REF!</definedName>
    <definedName name="csp">#REF!</definedName>
    <definedName name="CSSSSSS">#REF!</definedName>
    <definedName name="cst">#REF!</definedName>
    <definedName name="cstw">#REF!</definedName>
    <definedName name="ct">#REF!</definedName>
    <definedName name="CTAMPER" localSheetId="7">#REF!</definedName>
    <definedName name="CTAMPER">#REF!</definedName>
    <definedName name="CTANDEM" localSheetId="7">#REF!</definedName>
    <definedName name="CTANDEM">#REF!</definedName>
    <definedName name="CTANGKI" localSheetId="7">#REF!</definedName>
    <definedName name="CTANGKI">#REF!</definedName>
    <definedName name="ctembok">#REF!</definedName>
    <definedName name="cti3x15">[18]giathanh1!#REF!</definedName>
    <definedName name="ctnh">#REF!</definedName>
    <definedName name="ctsb">#REF!</definedName>
    <definedName name="CTYRE" localSheetId="7">#REF!</definedName>
    <definedName name="CTYRE">#REF!</definedName>
    <definedName name="cu">#REF!</definedName>
    <definedName name="Cu_AC_1.1.8">'[78]Harga Jasa dan Material'!$D$412</definedName>
    <definedName name="Cu_AC_1.2">'[78]Harga Jasa dan Material'!$D$408</definedName>
    <definedName name="Cu_AC_1.3.8">'[78]Harga Jasa dan Material'!$D$413</definedName>
    <definedName name="Cu_AC_1.4">'[78]Harga Jasa dan Material'!$D$406</definedName>
    <definedName name="Cu_AC_1.5.8">'[78]Harga Jasa dan Material'!$D$414</definedName>
    <definedName name="Cu_AC_3.4">'[78]Harga Jasa dan Material'!$D$410</definedName>
    <definedName name="Cu_AC_5.8">'[78]Harga Jasa dan Material'!$D$409</definedName>
    <definedName name="Cu_AC_7.8">'[78]Harga Jasa dan Material'!$D$411</definedName>
    <definedName name="Cub">#REF!</definedName>
    <definedName name="CUL">#REF!</definedName>
    <definedName name="culy1">[18]DONGIA!#REF!</definedName>
    <definedName name="culy2">[18]DONGIA!#REF!</definedName>
    <definedName name="culy3">[18]DONGIA!#REF!</definedName>
    <definedName name="culy4">[18]DONGIA!#REF!</definedName>
    <definedName name="culy5">[18]DONGIA!#REF!</definedName>
    <definedName name="cuoc">[18]DONGIA!#REF!</definedName>
    <definedName name="cupper">#REF!</definedName>
    <definedName name="cur_c">#REF!</definedName>
    <definedName name="Curing_coumpound">#REF!</definedName>
    <definedName name="Currency">#REF!</definedName>
    <definedName name="curve1" hidden="1">{"'Sheet1'!$A$1"}</definedName>
    <definedName name="cut">"'file://SERVER3/har-data/STRUCTURE PRICE OF BQ KOMPAS GRAMEDIA.xls'#$analisa.$#REF!$#REF!"</definedName>
    <definedName name="Cutter">#REF!</definedName>
    <definedName name="Cutting_Pipe">#REF!</definedName>
    <definedName name="Cutting_wheel">#REF!</definedName>
    <definedName name="cv">#REF!</definedName>
    <definedName name="Cv_a">#REF!</definedName>
    <definedName name="cv16toyo10">#REF!</definedName>
    <definedName name="cv16toyo12">#REF!</definedName>
    <definedName name="cvbersih0.5">#REF!</definedName>
    <definedName name="cvbersih0.75">#REF!</definedName>
    <definedName name="cvbersih1">#REF!</definedName>
    <definedName name="cvbersih1.25">#REF!</definedName>
    <definedName name="cvbersih1.5">#REF!</definedName>
    <definedName name="cvbersih2">#REF!</definedName>
    <definedName name="cvbersih2.5">#REF!</definedName>
    <definedName name="cvbersih3">#REF!</definedName>
    <definedName name="cvbersih4">#REF!</definedName>
    <definedName name="cvbersihkitz0.5">#REF!</definedName>
    <definedName name="cvbersihkitz0.75">#REF!</definedName>
    <definedName name="cvbersihkitz1">#REF!</definedName>
    <definedName name="cvbersihkitz1.25">#REF!</definedName>
    <definedName name="cvbersihkitz1.5">#REF!</definedName>
    <definedName name="cvbersihkitz2">#REF!</definedName>
    <definedName name="cvbersihkitz2.5">#REF!</definedName>
    <definedName name="cvbersihkitz3">#REF!</definedName>
    <definedName name="cvbersihkitz4">#REF!</definedName>
    <definedName name="cvbersihty0.5">#REF!</definedName>
    <definedName name="cvbersihty0.75">#REF!</definedName>
    <definedName name="cvbersihty1">#REF!</definedName>
    <definedName name="cvbersihty1.25">#REF!</definedName>
    <definedName name="cvbersihty1.5">#REF!</definedName>
    <definedName name="cvbersihty2">#REF!</definedName>
    <definedName name="cvbersihty2.5">#REF!</definedName>
    <definedName name="cvbersihty3">#REF!</definedName>
    <definedName name="cvbersihty4">#REF!</definedName>
    <definedName name="cvd100_1">#REF!</definedName>
    <definedName name="cvd100_1_5">#REF!</definedName>
    <definedName name="cvd100_10">#REF!</definedName>
    <definedName name="cvd100_11">#REF!</definedName>
    <definedName name="cvd100_12">#REF!</definedName>
    <definedName name="cvd100_13">#REF!</definedName>
    <definedName name="cvd100_2">#REF!</definedName>
    <definedName name="cvd100_2_1">#REF!</definedName>
    <definedName name="cvd100_2_1_1">#REF!</definedName>
    <definedName name="cvd100_2_1_1_6">#REF!</definedName>
    <definedName name="cvd100_2_1_5">#REF!</definedName>
    <definedName name="cvd100_2_1_6">#REF!</definedName>
    <definedName name="cvd100_2_1_7">#REF!</definedName>
    <definedName name="cvd100_2_1_7_5">#REF!</definedName>
    <definedName name="cvd100_2_5">#REF!</definedName>
    <definedName name="cvd100_2_6">#REF!</definedName>
    <definedName name="cvd100_2_7">#REF!</definedName>
    <definedName name="cvd100_2_7_5">#REF!</definedName>
    <definedName name="cvd100_3">#REF!</definedName>
    <definedName name="cvd100_3_10">#REF!</definedName>
    <definedName name="cvd100_3_11">#REF!</definedName>
    <definedName name="cvd100_3_12">#REF!</definedName>
    <definedName name="cvd100_3_13">#REF!</definedName>
    <definedName name="cvd100_3_4">#REF!</definedName>
    <definedName name="cvd100_3_4_5">#REF!</definedName>
    <definedName name="cvd100_3_5">#REF!</definedName>
    <definedName name="cvd100_3_6">#REF!</definedName>
    <definedName name="cvd100_3_6_5">#REF!</definedName>
    <definedName name="cvd100_3_7">#REF!</definedName>
    <definedName name="cvd100_3_7_5">#REF!</definedName>
    <definedName name="cvd100_3_9">#REF!</definedName>
    <definedName name="cvd100_4">#REF!</definedName>
    <definedName name="cvd100_4_1">#REF!</definedName>
    <definedName name="cvd100_4_1_5">#REF!</definedName>
    <definedName name="cvd100_4_10">#REF!</definedName>
    <definedName name="cvd100_4_11">#REF!</definedName>
    <definedName name="cvd100_4_12">#REF!</definedName>
    <definedName name="cvd100_4_13">#REF!</definedName>
    <definedName name="cvd100_4_2">#REF!</definedName>
    <definedName name="cvd100_4_2_6">#REF!</definedName>
    <definedName name="cvd100_4_4">#REF!</definedName>
    <definedName name="cvd100_4_4_5">#REF!</definedName>
    <definedName name="cvd100_4_5">#REF!</definedName>
    <definedName name="cvd100_4_6">#REF!</definedName>
    <definedName name="cvd100_4_6_5">#REF!</definedName>
    <definedName name="cvd100_4_7">#REF!</definedName>
    <definedName name="cvd100_4_7_5">#REF!</definedName>
    <definedName name="cvd100_5">#REF!</definedName>
    <definedName name="cvd100_5_2">#REF!</definedName>
    <definedName name="cvd100_5_2_6">#REF!</definedName>
    <definedName name="cvd100_5_4">#REF!</definedName>
    <definedName name="cvd100_5_4_5">#REF!</definedName>
    <definedName name="cvd100_5_5">#REF!</definedName>
    <definedName name="cvd100_5_6">#REF!</definedName>
    <definedName name="cvd100_5_6_5">#REF!</definedName>
    <definedName name="cvd100_5_7">#REF!</definedName>
    <definedName name="cvd100_5_7_5">#REF!</definedName>
    <definedName name="cvd100_6">#REF!</definedName>
    <definedName name="cvd100_6_1">#REF!</definedName>
    <definedName name="cvd100_6_1_5">#REF!</definedName>
    <definedName name="cvd100_6_10">#REF!</definedName>
    <definedName name="cvd100_6_11">#REF!</definedName>
    <definedName name="cvd100_6_12">#REF!</definedName>
    <definedName name="cvd100_6_13">#REF!</definedName>
    <definedName name="cvd100_6_4">#REF!</definedName>
    <definedName name="cvd100_6_4_5">#REF!</definedName>
    <definedName name="cvd100_6_5">#REF!</definedName>
    <definedName name="cvd100_6_6">#REF!</definedName>
    <definedName name="cvd100_6_6_5">#REF!</definedName>
    <definedName name="cvd100_6_7">#REF!</definedName>
    <definedName name="cvd100_6_7_5">#REF!</definedName>
    <definedName name="cvd100_6_9">#REF!</definedName>
    <definedName name="cvd100_7">#REF!</definedName>
    <definedName name="cvd100_7_5">#REF!</definedName>
    <definedName name="cvd100_9">#REF!</definedName>
    <definedName name="cvd15_1">#REF!</definedName>
    <definedName name="cvd15_1_5">#REF!</definedName>
    <definedName name="cvd15_10">#REF!</definedName>
    <definedName name="cvd15_11">#REF!</definedName>
    <definedName name="cvd15_12">#REF!</definedName>
    <definedName name="cvd15_13">#REF!</definedName>
    <definedName name="cvd15_2">#REF!</definedName>
    <definedName name="cvd15_2_1">#REF!</definedName>
    <definedName name="cvd15_2_1_1">#REF!</definedName>
    <definedName name="cvd15_2_1_1_6">#REF!</definedName>
    <definedName name="cvd15_2_1_5">#REF!</definedName>
    <definedName name="cvd15_2_1_6">#REF!</definedName>
    <definedName name="cvd15_2_1_7">#REF!</definedName>
    <definedName name="cvd15_2_1_7_5">#REF!</definedName>
    <definedName name="cvd15_2_5">#REF!</definedName>
    <definedName name="cvd15_2_6">#REF!</definedName>
    <definedName name="cvd15_2_7">#REF!</definedName>
    <definedName name="cvd15_2_7_5">#REF!</definedName>
    <definedName name="cvd15_3">#REF!</definedName>
    <definedName name="cvd15_3_10">#REF!</definedName>
    <definedName name="cvd15_3_11">#REF!</definedName>
    <definedName name="cvd15_3_12">#REF!</definedName>
    <definedName name="cvd15_3_13">#REF!</definedName>
    <definedName name="cvd15_3_4">#REF!</definedName>
    <definedName name="cvd15_3_4_5">#REF!</definedName>
    <definedName name="cvd15_3_5">#REF!</definedName>
    <definedName name="cvd15_3_6">#REF!</definedName>
    <definedName name="cvd15_3_6_5">#REF!</definedName>
    <definedName name="cvd15_3_7">#REF!</definedName>
    <definedName name="cvd15_3_7_5">#REF!</definedName>
    <definedName name="cvd15_3_9">#REF!</definedName>
    <definedName name="cvd15_4">#REF!</definedName>
    <definedName name="cvd15_4_1">#REF!</definedName>
    <definedName name="cvd15_4_1_5">#REF!</definedName>
    <definedName name="cvd15_4_10">#REF!</definedName>
    <definedName name="cvd15_4_11">#REF!</definedName>
    <definedName name="cvd15_4_12">#REF!</definedName>
    <definedName name="cvd15_4_13">#REF!</definedName>
    <definedName name="cvd15_4_2">#REF!</definedName>
    <definedName name="cvd15_4_2_6">#REF!</definedName>
    <definedName name="cvd15_4_4">#REF!</definedName>
    <definedName name="cvd15_4_4_5">#REF!</definedName>
    <definedName name="cvd15_4_5">#REF!</definedName>
    <definedName name="cvd15_4_6">#REF!</definedName>
    <definedName name="cvd15_4_6_5">#REF!</definedName>
    <definedName name="cvd15_4_7">#REF!</definedName>
    <definedName name="cvd15_4_7_5">#REF!</definedName>
    <definedName name="cvd15_5">#REF!</definedName>
    <definedName name="cvd15_5_2">#REF!</definedName>
    <definedName name="cvd15_5_2_6">#REF!</definedName>
    <definedName name="cvd15_5_4">#REF!</definedName>
    <definedName name="cvd15_5_4_5">#REF!</definedName>
    <definedName name="cvd15_5_5">#REF!</definedName>
    <definedName name="cvd15_5_6">#REF!</definedName>
    <definedName name="cvd15_5_6_5">#REF!</definedName>
    <definedName name="cvd15_5_7">#REF!</definedName>
    <definedName name="cvd15_5_7_5">#REF!</definedName>
    <definedName name="cvd15_6">#REF!</definedName>
    <definedName name="cvd15_6_1">#REF!</definedName>
    <definedName name="cvd15_6_1_5">#REF!</definedName>
    <definedName name="cvd15_6_10">#REF!</definedName>
    <definedName name="cvd15_6_11">#REF!</definedName>
    <definedName name="cvd15_6_12">#REF!</definedName>
    <definedName name="cvd15_6_13">#REF!</definedName>
    <definedName name="cvd15_6_4">#REF!</definedName>
    <definedName name="cvd15_6_4_5">#REF!</definedName>
    <definedName name="cvd15_6_5">#REF!</definedName>
    <definedName name="cvd15_6_6">#REF!</definedName>
    <definedName name="cvd15_6_6_5">#REF!</definedName>
    <definedName name="cvd15_6_7">#REF!</definedName>
    <definedName name="cvd15_6_7_5">#REF!</definedName>
    <definedName name="cvd15_6_9">#REF!</definedName>
    <definedName name="cvd15_7">#REF!</definedName>
    <definedName name="cvd15_7_5">#REF!</definedName>
    <definedName name="cvd15_9">#REF!</definedName>
    <definedName name="cvd150_1">#REF!</definedName>
    <definedName name="cvd150_1_5">#REF!</definedName>
    <definedName name="cvd150_10">#REF!</definedName>
    <definedName name="cvd150_11">#REF!</definedName>
    <definedName name="cvd150_12">#REF!</definedName>
    <definedName name="cvd150_13">#REF!</definedName>
    <definedName name="cvd150_2">#REF!</definedName>
    <definedName name="cvd150_2_1">#REF!</definedName>
    <definedName name="cvd150_2_1_1">#REF!</definedName>
    <definedName name="cvd150_2_1_1_6">#REF!</definedName>
    <definedName name="cvd150_2_1_5">#REF!</definedName>
    <definedName name="cvd150_2_1_6">#REF!</definedName>
    <definedName name="cvd150_2_1_7">#REF!</definedName>
    <definedName name="cvd150_2_1_7_5">#REF!</definedName>
    <definedName name="cvd150_2_5">#REF!</definedName>
    <definedName name="cvd150_2_6">#REF!</definedName>
    <definedName name="cvd150_2_7">#REF!</definedName>
    <definedName name="cvd150_2_7_5">#REF!</definedName>
    <definedName name="cvd150_3">#REF!</definedName>
    <definedName name="cvd150_3_10">#REF!</definedName>
    <definedName name="cvd150_3_11">#REF!</definedName>
    <definedName name="cvd150_3_12">#REF!</definedName>
    <definedName name="cvd150_3_13">#REF!</definedName>
    <definedName name="cvd150_3_4">#REF!</definedName>
    <definedName name="cvd150_3_4_5">#REF!</definedName>
    <definedName name="cvd150_3_5">#REF!</definedName>
    <definedName name="cvd150_3_6">#REF!</definedName>
    <definedName name="cvd150_3_6_5">#REF!</definedName>
    <definedName name="cvd150_3_7">#REF!</definedName>
    <definedName name="cvd150_3_7_5">#REF!</definedName>
    <definedName name="cvd150_3_9">#REF!</definedName>
    <definedName name="cvd150_4">#REF!</definedName>
    <definedName name="cvd150_4_1">#REF!</definedName>
    <definedName name="cvd150_4_1_5">#REF!</definedName>
    <definedName name="cvd150_4_10">#REF!</definedName>
    <definedName name="cvd150_4_11">#REF!</definedName>
    <definedName name="cvd150_4_12">#REF!</definedName>
    <definedName name="cvd150_4_13">#REF!</definedName>
    <definedName name="cvd150_4_2">#REF!</definedName>
    <definedName name="cvd150_4_2_6">#REF!</definedName>
    <definedName name="cvd150_4_4">#REF!</definedName>
    <definedName name="cvd150_4_4_5">#REF!</definedName>
    <definedName name="cvd150_4_5">#REF!</definedName>
    <definedName name="cvd150_4_6">#REF!</definedName>
    <definedName name="cvd150_4_6_5">#REF!</definedName>
    <definedName name="cvd150_4_7">#REF!</definedName>
    <definedName name="cvd150_4_7_5">#REF!</definedName>
    <definedName name="cvd150_5">#REF!</definedName>
    <definedName name="cvd150_5_2">#REF!</definedName>
    <definedName name="cvd150_5_2_6">#REF!</definedName>
    <definedName name="cvd150_5_4">#REF!</definedName>
    <definedName name="cvd150_5_4_5">#REF!</definedName>
    <definedName name="cvd150_5_5">#REF!</definedName>
    <definedName name="cvd150_5_6">#REF!</definedName>
    <definedName name="cvd150_5_6_5">#REF!</definedName>
    <definedName name="cvd150_5_7">#REF!</definedName>
    <definedName name="cvd150_5_7_5">#REF!</definedName>
    <definedName name="cvd150_6">#REF!</definedName>
    <definedName name="cvd150_6_1">#REF!</definedName>
    <definedName name="cvd150_6_1_5">#REF!</definedName>
    <definedName name="cvd150_6_10">#REF!</definedName>
    <definedName name="cvd150_6_11">#REF!</definedName>
    <definedName name="cvd150_6_12">#REF!</definedName>
    <definedName name="cvd150_6_13">#REF!</definedName>
    <definedName name="cvd150_6_4">#REF!</definedName>
    <definedName name="cvd150_6_4_5">#REF!</definedName>
    <definedName name="cvd150_6_5">#REF!</definedName>
    <definedName name="cvd150_6_6">#REF!</definedName>
    <definedName name="cvd150_6_6_5">#REF!</definedName>
    <definedName name="cvd150_6_7">#REF!</definedName>
    <definedName name="cvd150_6_7_5">#REF!</definedName>
    <definedName name="cvd150_6_9">#REF!</definedName>
    <definedName name="cvd150_7">#REF!</definedName>
    <definedName name="cvd150_7_5">#REF!</definedName>
    <definedName name="cvd150_9">#REF!</definedName>
    <definedName name="cvd50_1">#REF!</definedName>
    <definedName name="cvd50_1_5">#REF!</definedName>
    <definedName name="cvd50_10">#REF!</definedName>
    <definedName name="cvd50_11">#REF!</definedName>
    <definedName name="cvd50_12">#REF!</definedName>
    <definedName name="cvd50_13">#REF!</definedName>
    <definedName name="cvd50_2">#REF!</definedName>
    <definedName name="cvd50_2_1">#REF!</definedName>
    <definedName name="cvd50_2_1_1">#REF!</definedName>
    <definedName name="cvd50_2_1_1_6">#REF!</definedName>
    <definedName name="cvd50_2_1_5">#REF!</definedName>
    <definedName name="cvd50_2_1_6">#REF!</definedName>
    <definedName name="cvd50_2_1_7">#REF!</definedName>
    <definedName name="cvd50_2_1_7_5">#REF!</definedName>
    <definedName name="cvd50_2_5">#REF!</definedName>
    <definedName name="cvd50_2_6">#REF!</definedName>
    <definedName name="cvd50_2_7">#REF!</definedName>
    <definedName name="cvd50_2_7_5">#REF!</definedName>
    <definedName name="cvd50_3">#REF!</definedName>
    <definedName name="cvd50_3_10">#REF!</definedName>
    <definedName name="cvd50_3_11">#REF!</definedName>
    <definedName name="cvd50_3_12">#REF!</definedName>
    <definedName name="cvd50_3_13">#REF!</definedName>
    <definedName name="cvd50_3_4">#REF!</definedName>
    <definedName name="cvd50_3_4_5">#REF!</definedName>
    <definedName name="cvd50_3_5">#REF!</definedName>
    <definedName name="cvd50_3_6">#REF!</definedName>
    <definedName name="cvd50_3_6_5">#REF!</definedName>
    <definedName name="cvd50_3_7">#REF!</definedName>
    <definedName name="cvd50_3_7_5">#REF!</definedName>
    <definedName name="cvd50_3_9">#REF!</definedName>
    <definedName name="cvd50_4">#REF!</definedName>
    <definedName name="cvd50_4_1">#REF!</definedName>
    <definedName name="cvd50_4_1_5">#REF!</definedName>
    <definedName name="cvd50_4_10">#REF!</definedName>
    <definedName name="cvd50_4_11">#REF!</definedName>
    <definedName name="cvd50_4_12">#REF!</definedName>
    <definedName name="cvd50_4_13">#REF!</definedName>
    <definedName name="cvd50_4_2">#REF!</definedName>
    <definedName name="cvd50_4_2_6">#REF!</definedName>
    <definedName name="cvd50_4_4">#REF!</definedName>
    <definedName name="cvd50_4_4_5">#REF!</definedName>
    <definedName name="cvd50_4_5">#REF!</definedName>
    <definedName name="cvd50_4_6">#REF!</definedName>
    <definedName name="cvd50_4_6_5">#REF!</definedName>
    <definedName name="cvd50_4_7">#REF!</definedName>
    <definedName name="cvd50_4_7_5">#REF!</definedName>
    <definedName name="cvd50_5">#REF!</definedName>
    <definedName name="cvd50_5_2">#REF!</definedName>
    <definedName name="cvd50_5_2_6">#REF!</definedName>
    <definedName name="cvd50_5_4">#REF!</definedName>
    <definedName name="cvd50_5_4_5">#REF!</definedName>
    <definedName name="cvd50_5_5">#REF!</definedName>
    <definedName name="cvd50_5_6">#REF!</definedName>
    <definedName name="cvd50_5_6_5">#REF!</definedName>
    <definedName name="cvd50_5_7">#REF!</definedName>
    <definedName name="cvd50_5_7_5">#REF!</definedName>
    <definedName name="cvd50_6">#REF!</definedName>
    <definedName name="cvd50_6_1">#REF!</definedName>
    <definedName name="cvd50_6_1_5">#REF!</definedName>
    <definedName name="cvd50_6_10">#REF!</definedName>
    <definedName name="cvd50_6_11">#REF!</definedName>
    <definedName name="cvd50_6_12">#REF!</definedName>
    <definedName name="cvd50_6_13">#REF!</definedName>
    <definedName name="cvd50_6_4">#REF!</definedName>
    <definedName name="cvd50_6_4_5">#REF!</definedName>
    <definedName name="cvd50_6_5">#REF!</definedName>
    <definedName name="cvd50_6_6">#REF!</definedName>
    <definedName name="cvd50_6_6_5">#REF!</definedName>
    <definedName name="cvd50_6_7">#REF!</definedName>
    <definedName name="cvd50_6_7_5">#REF!</definedName>
    <definedName name="cvd50_6_9">#REF!</definedName>
    <definedName name="cvd50_7">#REF!</definedName>
    <definedName name="cvd50_7_5">#REF!</definedName>
    <definedName name="cvd50_9">#REF!</definedName>
    <definedName name="cvd65_1">#REF!</definedName>
    <definedName name="cvd65_1_5">#REF!</definedName>
    <definedName name="cvd65_10">#REF!</definedName>
    <definedName name="cvd65_11">#REF!</definedName>
    <definedName name="cvd65_12">#REF!</definedName>
    <definedName name="cvd65_13">#REF!</definedName>
    <definedName name="cvd65_2">#REF!</definedName>
    <definedName name="cvd65_2_1">#REF!</definedName>
    <definedName name="cvd65_2_1_1">#REF!</definedName>
    <definedName name="cvd65_2_1_1_6">#REF!</definedName>
    <definedName name="cvd65_2_1_5">#REF!</definedName>
    <definedName name="cvd65_2_1_6">#REF!</definedName>
    <definedName name="cvd65_2_1_7">#REF!</definedName>
    <definedName name="cvd65_2_1_7_5">#REF!</definedName>
    <definedName name="cvd65_2_5">#REF!</definedName>
    <definedName name="cvd65_2_6">#REF!</definedName>
    <definedName name="cvd65_2_7">#REF!</definedName>
    <definedName name="cvd65_2_7_5">#REF!</definedName>
    <definedName name="cvd65_3">#REF!</definedName>
    <definedName name="cvd65_3_10">#REF!</definedName>
    <definedName name="cvd65_3_11">#REF!</definedName>
    <definedName name="cvd65_3_12">#REF!</definedName>
    <definedName name="cvd65_3_13">#REF!</definedName>
    <definedName name="cvd65_3_4">#REF!</definedName>
    <definedName name="cvd65_3_4_5">#REF!</definedName>
    <definedName name="cvd65_3_5">#REF!</definedName>
    <definedName name="cvd65_3_6">#REF!</definedName>
    <definedName name="cvd65_3_6_5">#REF!</definedName>
    <definedName name="cvd65_3_7">#REF!</definedName>
    <definedName name="cvd65_3_7_5">#REF!</definedName>
    <definedName name="cvd65_3_9">#REF!</definedName>
    <definedName name="cvd65_4">#REF!</definedName>
    <definedName name="cvd65_4_1">#REF!</definedName>
    <definedName name="cvd65_4_1_5">#REF!</definedName>
    <definedName name="cvd65_4_10">#REF!</definedName>
    <definedName name="cvd65_4_11">#REF!</definedName>
    <definedName name="cvd65_4_12">#REF!</definedName>
    <definedName name="cvd65_4_13">#REF!</definedName>
    <definedName name="cvd65_4_2">#REF!</definedName>
    <definedName name="cvd65_4_2_6">#REF!</definedName>
    <definedName name="cvd65_4_4">#REF!</definedName>
    <definedName name="cvd65_4_4_5">#REF!</definedName>
    <definedName name="cvd65_4_5">#REF!</definedName>
    <definedName name="cvd65_4_6">#REF!</definedName>
    <definedName name="cvd65_4_6_5">#REF!</definedName>
    <definedName name="cvd65_4_7">#REF!</definedName>
    <definedName name="cvd65_4_7_5">#REF!</definedName>
    <definedName name="cvd65_5">#REF!</definedName>
    <definedName name="cvd65_5_2">#REF!</definedName>
    <definedName name="cvd65_5_2_6">#REF!</definedName>
    <definedName name="cvd65_5_4">#REF!</definedName>
    <definedName name="cvd65_5_4_5">#REF!</definedName>
    <definedName name="cvd65_5_5">#REF!</definedName>
    <definedName name="cvd65_5_6">#REF!</definedName>
    <definedName name="cvd65_5_6_5">#REF!</definedName>
    <definedName name="cvd65_5_7">#REF!</definedName>
    <definedName name="cvd65_5_7_5">#REF!</definedName>
    <definedName name="cvd65_6">#REF!</definedName>
    <definedName name="cvd65_6_1">#REF!</definedName>
    <definedName name="cvd65_6_1_5">#REF!</definedName>
    <definedName name="cvd65_6_10">#REF!</definedName>
    <definedName name="cvd65_6_11">#REF!</definedName>
    <definedName name="cvd65_6_12">#REF!</definedName>
    <definedName name="cvd65_6_13">#REF!</definedName>
    <definedName name="cvd65_6_4">#REF!</definedName>
    <definedName name="cvd65_6_4_5">#REF!</definedName>
    <definedName name="cvd65_6_5">#REF!</definedName>
    <definedName name="cvd65_6_6">#REF!</definedName>
    <definedName name="cvd65_6_6_5">#REF!</definedName>
    <definedName name="cvd65_6_7">#REF!</definedName>
    <definedName name="cvd65_6_7_5">#REF!</definedName>
    <definedName name="cvd65_6_9">#REF!</definedName>
    <definedName name="cvd65_7">#REF!</definedName>
    <definedName name="cvd65_7_5">#REF!</definedName>
    <definedName name="cvd65_9">#REF!</definedName>
    <definedName name="CVGH">#N/A</definedName>
    <definedName name="cvhydrant1.5">#REF!</definedName>
    <definedName name="cvhydrant10">#REF!</definedName>
    <definedName name="cvhydrant12">#REF!</definedName>
    <definedName name="cvhydrant2">#REF!</definedName>
    <definedName name="cvhydrant2.5">#REF!</definedName>
    <definedName name="cvhydrant3">#REF!</definedName>
    <definedName name="cvhydrant4">#REF!</definedName>
    <definedName name="cvhydrant5">#REF!</definedName>
    <definedName name="cvhydrant6">#REF!</definedName>
    <definedName name="cvhydrant8">#REF!</definedName>
    <definedName name="cvhydrantkitz1.5">#REF!</definedName>
    <definedName name="cvhydrantkitz2">#REF!</definedName>
    <definedName name="cvhydrantkitz2.5">#REF!</definedName>
    <definedName name="cvhydrantkitz3">#REF!</definedName>
    <definedName name="cvhydrantkitz4">#REF!</definedName>
    <definedName name="cvhydranty0.5">#REF!</definedName>
    <definedName name="cvhydranty0.75">#REF!</definedName>
    <definedName name="cvhydranty1">#REF!</definedName>
    <definedName name="cvhydranty1.25">#REF!</definedName>
    <definedName name="cvhydranty1.5">#REF!</definedName>
    <definedName name="cvhydranty10">#REF!</definedName>
    <definedName name="cvhydranty12">#REF!</definedName>
    <definedName name="cvhydranty2">#REF!</definedName>
    <definedName name="cvhydranty2.5">#REF!</definedName>
    <definedName name="cvhydranty3">#REF!</definedName>
    <definedName name="cvhydranty4">#REF!</definedName>
    <definedName name="cvhydranty5">#REF!</definedName>
    <definedName name="cvhydranty6">#REF!</definedName>
    <definedName name="cvhydranty8">#REF!</definedName>
    <definedName name="CVIBRO" localSheetId="7">#REF!</definedName>
    <definedName name="CVIBRO">#REF!</definedName>
    <definedName name="CVIBRO1TON" localSheetId="7">#REF!</definedName>
    <definedName name="CVIBRO1TON">#REF!</definedName>
    <definedName name="CVIBROROLLER" localSheetId="7">#REF!</definedName>
    <definedName name="CVIBROROLLER">#REF!</definedName>
    <definedName name="cvr">#REF!</definedName>
    <definedName name="CW_1">#REF!</definedName>
    <definedName name="CW_2">#REF!</definedName>
    <definedName name="CW_3">#REF!</definedName>
    <definedName name="CW_4">#REF!</definedName>
    <definedName name="CW_6">#REF!</definedName>
    <definedName name="cw_661">#REF!</definedName>
    <definedName name="cweve">#N/A</definedName>
    <definedName name="cwf">#REF!</definedName>
    <definedName name="cwp">#REF!</definedName>
    <definedName name="cwspt">#REF!</definedName>
    <definedName name="CX">#REF!</definedName>
    <definedName name="cxhtnc">'[18]lam-moi'!#REF!</definedName>
    <definedName name="cxhtvl">'[18]lam-moi'!#REF!</definedName>
    <definedName name="cxnc">'[18]lam-moi'!#REF!</definedName>
    <definedName name="cxvl">'[18]lam-moi'!#REF!</definedName>
    <definedName name="cxxnc">'[18]lam-moi'!#REF!</definedName>
    <definedName name="cxxvl">'[18]lam-moi'!#REF!</definedName>
    <definedName name="cy">#REF!</definedName>
    <definedName name="cycllop">#REF!</definedName>
    <definedName name="Cycloop">#REF!</definedName>
    <definedName name="cz">#REF!</definedName>
    <definedName name="D">#REF!</definedName>
    <definedName name="D.">#REF!</definedName>
    <definedName name="D.1">#REF!</definedName>
    <definedName name="D.1.1.">#REF!,#REF!</definedName>
    <definedName name="D.1.2.">#REF!,#REF!</definedName>
    <definedName name="D.1.3.">#REF!,#REF!</definedName>
    <definedName name="D.1.4.">#REF!,#REF!</definedName>
    <definedName name="D.1.5.">#REF!,#REF!</definedName>
    <definedName name="D.1.6.">#REF!,#REF!</definedName>
    <definedName name="D.1.7.">#REF!,#REF!</definedName>
    <definedName name="D.10">#REF!</definedName>
    <definedName name="D.10.">#REF!,#REF!</definedName>
    <definedName name="D.100.">#REF!,#REF!</definedName>
    <definedName name="D.101.">#REF!,#REF!</definedName>
    <definedName name="D.105.">#REF!,#REF!</definedName>
    <definedName name="D.106.">#REF!,#REF!</definedName>
    <definedName name="D.107.">#REF!,#REF!</definedName>
    <definedName name="D.108.">#REF!,#REF!</definedName>
    <definedName name="D.10a">#REF!</definedName>
    <definedName name="D.11">#REF!</definedName>
    <definedName name="D.11.">#REF!,#REF!</definedName>
    <definedName name="D.110.">#REF!,#REF!</definedName>
    <definedName name="D.117.">#REF!,#REF!</definedName>
    <definedName name="D.118.">#REF!,#REF!</definedName>
    <definedName name="d.12">#REF!</definedName>
    <definedName name="d.12.">#REF!,#REF!</definedName>
    <definedName name="D.120.">#REF!,#REF!</definedName>
    <definedName name="D.121.">#REF!,#REF!</definedName>
    <definedName name="D.13">#REF!</definedName>
    <definedName name="D.13.">#REF!,#REF!</definedName>
    <definedName name="D.14.">#REF!,#REF!</definedName>
    <definedName name="D.15.">#REF!,#REF!</definedName>
    <definedName name="D.16">#REF!</definedName>
    <definedName name="D.17.">#REF!,#REF!</definedName>
    <definedName name="D.18.">#REF!,#REF!</definedName>
    <definedName name="D.19">#REF!</definedName>
    <definedName name="D.19.">#REF!,#REF!</definedName>
    <definedName name="D.2">#REF!</definedName>
    <definedName name="D.2.1.">#REF!,#REF!</definedName>
    <definedName name="D.2.2.">#REF!,#REF!</definedName>
    <definedName name="D.2.3.">#REF!,#REF!</definedName>
    <definedName name="D.22">#REF!</definedName>
    <definedName name="D.23.">#REF!,#REF!</definedName>
    <definedName name="D.24.">#REF!,#REF!</definedName>
    <definedName name="D.25.">#REF!,#REF!</definedName>
    <definedName name="D.26.">#REF!,#REF!</definedName>
    <definedName name="D.29.">#REF!,#REF!</definedName>
    <definedName name="D.3">#REF!</definedName>
    <definedName name="D.4">#REF!</definedName>
    <definedName name="D.5">#REF!</definedName>
    <definedName name="D.5.">#REF!,#REF!,#REF!</definedName>
    <definedName name="D.6">#REF!</definedName>
    <definedName name="D.6.">#REF!,#REF!</definedName>
    <definedName name="D.6.10">#REF!</definedName>
    <definedName name="D.6.11">#REF!</definedName>
    <definedName name="D.6.12">#REF!</definedName>
    <definedName name="D.6.3">#REF!</definedName>
    <definedName name="D.6.35">#REF!</definedName>
    <definedName name="D.6.5">#REF!</definedName>
    <definedName name="D.7">#REF!</definedName>
    <definedName name="D.7.">#REF!,#REF!</definedName>
    <definedName name="D.7a">#REF!</definedName>
    <definedName name="D.8">#REF!</definedName>
    <definedName name="D.8.">#REF!,#REF!</definedName>
    <definedName name="D.9">#REF!</definedName>
    <definedName name="D.9.">#REF!,#REF!</definedName>
    <definedName name="D.PNL.JT.10001">#REF!</definedName>
    <definedName name="D_1">#REF!</definedName>
    <definedName name="D_1_1">#REF!</definedName>
    <definedName name="D_1_10">#REF!</definedName>
    <definedName name="D_1_11">#REF!</definedName>
    <definedName name="D_1_12">#REF!</definedName>
    <definedName name="D_1_13">#REF!</definedName>
    <definedName name="D_1_2">#REF!</definedName>
    <definedName name="D_1_2_1">#REF!</definedName>
    <definedName name="D_1_2_1_6">#REF!</definedName>
    <definedName name="D_1_2_5">#REF!</definedName>
    <definedName name="D_1_2_6">#REF!</definedName>
    <definedName name="D_1_2_7">#REF!</definedName>
    <definedName name="D_1_2_7_5">#REF!</definedName>
    <definedName name="D_1_3">#REF!</definedName>
    <definedName name="D_1_3_10">#REF!</definedName>
    <definedName name="D_1_3_11">#REF!</definedName>
    <definedName name="D_1_3_12">#REF!</definedName>
    <definedName name="D_1_3_13">#REF!</definedName>
    <definedName name="D_1_3_4">#REF!</definedName>
    <definedName name="D_1_3_4_5">#REF!</definedName>
    <definedName name="D_1_3_5">#REF!</definedName>
    <definedName name="D_1_3_6">#REF!</definedName>
    <definedName name="D_1_3_6_5">#REF!</definedName>
    <definedName name="D_1_3_7">#REF!</definedName>
    <definedName name="D_1_3_7_5">#REF!</definedName>
    <definedName name="D_1_3_9">#REF!</definedName>
    <definedName name="D_1_4">#REF!</definedName>
    <definedName name="D_1_4_1">#REF!</definedName>
    <definedName name="D_1_4_1_5">#REF!</definedName>
    <definedName name="D_1_4_10">#REF!</definedName>
    <definedName name="D_1_4_11">#REF!</definedName>
    <definedName name="D_1_4_12">#REF!</definedName>
    <definedName name="D_1_4_13">#REF!</definedName>
    <definedName name="D_1_4_2">#REF!</definedName>
    <definedName name="D_1_4_2_6">#REF!</definedName>
    <definedName name="D_1_4_4">#REF!</definedName>
    <definedName name="D_1_4_4_5">#REF!</definedName>
    <definedName name="D_1_4_5">#REF!</definedName>
    <definedName name="D_1_4_6">#REF!</definedName>
    <definedName name="D_1_4_6_5">#REF!</definedName>
    <definedName name="D_1_4_7">#REF!</definedName>
    <definedName name="D_1_4_7_5">#REF!</definedName>
    <definedName name="D_1_5">#REF!</definedName>
    <definedName name="D_1_5_2">#REF!</definedName>
    <definedName name="D_1_5_2_6">#REF!</definedName>
    <definedName name="D_1_5_4">#REF!</definedName>
    <definedName name="D_1_5_4_5">#REF!</definedName>
    <definedName name="D_1_5_5">#REF!</definedName>
    <definedName name="D_1_5_6">#REF!</definedName>
    <definedName name="D_1_5_6_5">#REF!</definedName>
    <definedName name="D_1_5_7">#REF!</definedName>
    <definedName name="D_1_5_7_5">#REF!</definedName>
    <definedName name="D_1_6">#REF!</definedName>
    <definedName name="D_1_6_1">#REF!</definedName>
    <definedName name="D_1_6_1_5">#REF!</definedName>
    <definedName name="D_1_6_10">#REF!</definedName>
    <definedName name="D_1_6_11">#REF!</definedName>
    <definedName name="D_1_6_12">#REF!</definedName>
    <definedName name="D_1_6_13">#REF!</definedName>
    <definedName name="D_1_6_4">#REF!</definedName>
    <definedName name="D_1_6_4_5">#REF!</definedName>
    <definedName name="D_1_6_5">#REF!</definedName>
    <definedName name="D_1_6_6">#REF!</definedName>
    <definedName name="D_1_6_6_5">#REF!</definedName>
    <definedName name="D_1_6_7">#REF!</definedName>
    <definedName name="D_1_6_7_5">#REF!</definedName>
    <definedName name="D_1_6_9">#REF!</definedName>
    <definedName name="D_1_7">#REF!</definedName>
    <definedName name="D_1_7_5">#REF!</definedName>
    <definedName name="D_1_9">#REF!</definedName>
    <definedName name="D_10">#REF!</definedName>
    <definedName name="D_11">#REF!</definedName>
    <definedName name="D_12">#REF!</definedName>
    <definedName name="D_120">"$#REF!.$H$40"</definedName>
    <definedName name="D_13">#REF!</definedName>
    <definedName name="D_14">#REF!</definedName>
    <definedName name="D_14_15">#REF!</definedName>
    <definedName name="D_14_15_1">#REF!</definedName>
    <definedName name="D_14_15_16">#REF!</definedName>
    <definedName name="D_14_15_7">#REF!</definedName>
    <definedName name="D_14_16">#REF!</definedName>
    <definedName name="D_14_8">#REF!</definedName>
    <definedName name="D_14_9">#REF!</definedName>
    <definedName name="D_15">#REF!</definedName>
    <definedName name="D_15_1">#REF!</definedName>
    <definedName name="D_15_16">#REF!</definedName>
    <definedName name="D_15_7">#REF!</definedName>
    <definedName name="D_16">#REF!</definedName>
    <definedName name="D_17">#REF!</definedName>
    <definedName name="D_18">#REF!</definedName>
    <definedName name="d_19">#REF!</definedName>
    <definedName name="d_2">#REF!</definedName>
    <definedName name="D_2_1">#REF!</definedName>
    <definedName name="D_2_1_6">#REF!</definedName>
    <definedName name="D_2_5">#REF!</definedName>
    <definedName name="D_2_6">#REF!</definedName>
    <definedName name="D_2_7">#REF!</definedName>
    <definedName name="D_2_7_5">#REF!</definedName>
    <definedName name="D_21">#REF!</definedName>
    <definedName name="D_22">#REF!</definedName>
    <definedName name="D_25">#REF!</definedName>
    <definedName name="D_29">#REF!</definedName>
    <definedName name="D_3">#REF!</definedName>
    <definedName name="D_3_1">#REF!</definedName>
    <definedName name="D_3_10">#REF!</definedName>
    <definedName name="D_3_11">#REF!</definedName>
    <definedName name="D_3_12">#REF!</definedName>
    <definedName name="D_3_13">#REF!</definedName>
    <definedName name="D_3_2">#REF!</definedName>
    <definedName name="D_3_4">#REF!</definedName>
    <definedName name="D_3_4_5">#REF!</definedName>
    <definedName name="D_3_5">#REF!</definedName>
    <definedName name="D_3_6">#REF!</definedName>
    <definedName name="D_3_6_5">#REF!</definedName>
    <definedName name="D_3_7">#REF!</definedName>
    <definedName name="D_3_7_5">#REF!</definedName>
    <definedName name="D_3_9">#REF!</definedName>
    <definedName name="D_30">#REF!</definedName>
    <definedName name="D_34">#REF!</definedName>
    <definedName name="d_3a">#REF!</definedName>
    <definedName name="D_4">#REF!</definedName>
    <definedName name="D_4_1">#REF!</definedName>
    <definedName name="D_4_1_5">#REF!</definedName>
    <definedName name="D_4_10">#REF!</definedName>
    <definedName name="D_4_11">#REF!</definedName>
    <definedName name="D_4_12">#REF!</definedName>
    <definedName name="D_4_13">#REF!</definedName>
    <definedName name="D_4_2">#REF!</definedName>
    <definedName name="D_4_2_6">#REF!</definedName>
    <definedName name="D_4_4">#REF!</definedName>
    <definedName name="D_4_4_5">#REF!</definedName>
    <definedName name="D_4_5">#REF!</definedName>
    <definedName name="D_4_6">#REF!</definedName>
    <definedName name="D_4_6_5">#REF!</definedName>
    <definedName name="D_4_7">#REF!</definedName>
    <definedName name="D_4_7_5">#REF!</definedName>
    <definedName name="D_43">#REF!</definedName>
    <definedName name="D_4a">#REF!</definedName>
    <definedName name="D_5">#REF!</definedName>
    <definedName name="D_5_15">#REF!</definedName>
    <definedName name="D_5_15_1">#REF!</definedName>
    <definedName name="D_5_15_16">#REF!</definedName>
    <definedName name="D_5_15_7">#REF!</definedName>
    <definedName name="D_5_16">#REF!</definedName>
    <definedName name="D_5_2">#REF!</definedName>
    <definedName name="D_5_2_6">#REF!</definedName>
    <definedName name="D_5_4">#REF!</definedName>
    <definedName name="D_5_4_5">#REF!</definedName>
    <definedName name="D_5_5">#REF!</definedName>
    <definedName name="D_5_6">#REF!</definedName>
    <definedName name="D_5_6_5">#REF!</definedName>
    <definedName name="D_5_7">#REF!</definedName>
    <definedName name="D_5_7_5">#REF!</definedName>
    <definedName name="D_5_8">#REF!</definedName>
    <definedName name="D_5_9">#REF!</definedName>
    <definedName name="D_50">#REF!</definedName>
    <definedName name="D_57">#REF!</definedName>
    <definedName name="D_59">#REF!</definedName>
    <definedName name="D_6">#REF!</definedName>
    <definedName name="D_6_1">#REF!</definedName>
    <definedName name="D_6_1_5">#REF!</definedName>
    <definedName name="D_6_10">#REF!</definedName>
    <definedName name="D_6_11">#REF!</definedName>
    <definedName name="D_6_12">#REF!</definedName>
    <definedName name="D_6_13">#REF!</definedName>
    <definedName name="D_6_15">#REF!</definedName>
    <definedName name="D_6_15_1">#REF!</definedName>
    <definedName name="D_6_15_16">#REF!</definedName>
    <definedName name="D_6_15_7">#REF!</definedName>
    <definedName name="D_6_16">#REF!</definedName>
    <definedName name="D_6_4">#REF!</definedName>
    <definedName name="D_6_4_5">#REF!</definedName>
    <definedName name="D_6_5">#REF!</definedName>
    <definedName name="D_6_6">#REF!</definedName>
    <definedName name="D_6_6_5">#REF!</definedName>
    <definedName name="D_6_7">#REF!</definedName>
    <definedName name="D_6_7_5">#REF!</definedName>
    <definedName name="D_6_8">#REF!</definedName>
    <definedName name="D_6_9">#REF!</definedName>
    <definedName name="D_60">#REF!</definedName>
    <definedName name="D_61">#REF!</definedName>
    <definedName name="D_62">#REF!</definedName>
    <definedName name="D_7">#REF!</definedName>
    <definedName name="D_7_15">#REF!</definedName>
    <definedName name="D_7_15_1">#REF!</definedName>
    <definedName name="D_7_15_16">#REF!</definedName>
    <definedName name="D_7_15_7">#REF!</definedName>
    <definedName name="D_7_16">#REF!</definedName>
    <definedName name="D_7_5">#REF!</definedName>
    <definedName name="D_7_8">#REF!</definedName>
    <definedName name="D_7_9">#REF!</definedName>
    <definedName name="D_7a">#REF!</definedName>
    <definedName name="d_8">#REF!</definedName>
    <definedName name="D_80">"$#REF!.$H$39"</definedName>
    <definedName name="D_9">#REF!</definedName>
    <definedName name="D_9a">#REF!</definedName>
    <definedName name="D_ABC">#REF!</definedName>
    <definedName name="d_bataco">#REF!</definedName>
    <definedName name="d_gw">#REF!</definedName>
    <definedName name="D_LL">#REF!</definedName>
    <definedName name="D_R">#REF!</definedName>
    <definedName name="d18t">[90]BASIC!$D$101</definedName>
    <definedName name="D1x49">[18]chitimc!#REF!</definedName>
    <definedName name="D1x49x49">[18]chitimc!#REF!</definedName>
    <definedName name="D20.">#REF!,#REF!</definedName>
    <definedName name="d24nc">'[18]lam-moi'!#REF!</definedName>
    <definedName name="d24vl">'[18]lam-moi'!#REF!</definedName>
    <definedName name="D6_5">#REF!</definedName>
    <definedName name="D7_5">#REF!</definedName>
    <definedName name="D8_5">#REF!</definedName>
    <definedName name="D9_5">#REF!</definedName>
    <definedName name="da">#REF!</definedName>
    <definedName name="daa">#REF!</definedName>
    <definedName name="daa_1">#REF!</definedName>
    <definedName name="daa_10">#REF!</definedName>
    <definedName name="daa_11">#REF!</definedName>
    <definedName name="daa_12">#REF!</definedName>
    <definedName name="daa_13">#REF!</definedName>
    <definedName name="daa_2">#REF!</definedName>
    <definedName name="daa_2_1">#REF!</definedName>
    <definedName name="daa_2_1_6">#REF!</definedName>
    <definedName name="daa_2_5">#REF!</definedName>
    <definedName name="daa_2_6">#REF!</definedName>
    <definedName name="daa_2_7">#REF!</definedName>
    <definedName name="daa_2_7_5">#REF!</definedName>
    <definedName name="daa_3">#REF!</definedName>
    <definedName name="daa_3_10">#REF!</definedName>
    <definedName name="daa_3_11">#REF!</definedName>
    <definedName name="daa_3_12">#REF!</definedName>
    <definedName name="daa_3_13">#REF!</definedName>
    <definedName name="daa_3_5">#REF!</definedName>
    <definedName name="daa_3_6">#REF!</definedName>
    <definedName name="daa_3_7">#REF!</definedName>
    <definedName name="daa_3_7_5">#REF!</definedName>
    <definedName name="daa_3_9">#REF!</definedName>
    <definedName name="daa_4">#REF!</definedName>
    <definedName name="daa_4_5">#REF!</definedName>
    <definedName name="daa_5">#REF!</definedName>
    <definedName name="daa_6">#REF!</definedName>
    <definedName name="daa_6_1">#REF!</definedName>
    <definedName name="daa_6_1_5">#REF!</definedName>
    <definedName name="daa_6_10">#REF!</definedName>
    <definedName name="daa_6_11">#REF!</definedName>
    <definedName name="daa_6_12">#REF!</definedName>
    <definedName name="daa_6_13">#REF!</definedName>
    <definedName name="daa_6_5">#REF!</definedName>
    <definedName name="daa_6_6">#REF!</definedName>
    <definedName name="daa_6_7">#REF!</definedName>
    <definedName name="daa_6_7_5">#REF!</definedName>
    <definedName name="daa_6_9">#REF!</definedName>
    <definedName name="daa_7">#REF!</definedName>
    <definedName name="daa_7_5">#REF!</definedName>
    <definedName name="daa_9">#REF!</definedName>
    <definedName name="DAERAH">#REF!</definedName>
    <definedName name="DAF" hidden="1">#REF!</definedName>
    <definedName name="Daf.4">#REF!</definedName>
    <definedName name="Daf.4_1">#REF!</definedName>
    <definedName name="Daf.4_10">#REF!</definedName>
    <definedName name="Daf.4_11">#REF!</definedName>
    <definedName name="Daf.4_12">#REF!</definedName>
    <definedName name="Daf.4_13">#REF!</definedName>
    <definedName name="Daf.4_2">#REF!</definedName>
    <definedName name="Daf.4_2_1">#REF!</definedName>
    <definedName name="Daf.4_2_1_6">#REF!</definedName>
    <definedName name="Daf.4_2_5">#REF!</definedName>
    <definedName name="Daf.4_2_6">#REF!</definedName>
    <definedName name="Daf.4_2_7">#REF!</definedName>
    <definedName name="Daf.4_2_7_5">#REF!</definedName>
    <definedName name="Daf.4_3">#REF!</definedName>
    <definedName name="Daf.4_3_10">#REF!</definedName>
    <definedName name="Daf.4_3_11">#REF!</definedName>
    <definedName name="Daf.4_3_12">#REF!</definedName>
    <definedName name="Daf.4_3_13">#REF!</definedName>
    <definedName name="Daf.4_3_4">#REF!</definedName>
    <definedName name="Daf.4_3_4_5">#REF!</definedName>
    <definedName name="Daf.4_3_5">#REF!</definedName>
    <definedName name="Daf.4_3_6">#REF!</definedName>
    <definedName name="Daf.4_3_6_5">#REF!</definedName>
    <definedName name="Daf.4_3_7">#REF!</definedName>
    <definedName name="Daf.4_3_7_5">#REF!</definedName>
    <definedName name="Daf.4_3_9">#REF!</definedName>
    <definedName name="Daf.4_4">#REF!</definedName>
    <definedName name="Daf.4_4_1">#REF!</definedName>
    <definedName name="Daf.4_4_1_5">#REF!</definedName>
    <definedName name="Daf.4_4_10">#REF!</definedName>
    <definedName name="Daf.4_4_11">#REF!</definedName>
    <definedName name="Daf.4_4_12">#REF!</definedName>
    <definedName name="Daf.4_4_13">#REF!</definedName>
    <definedName name="Daf.4_4_2">#REF!</definedName>
    <definedName name="Daf.4_4_2_6">#REF!</definedName>
    <definedName name="Daf.4_4_4">#REF!</definedName>
    <definedName name="Daf.4_4_4_5">#REF!</definedName>
    <definedName name="Daf.4_4_5">#REF!</definedName>
    <definedName name="Daf.4_4_6">#REF!</definedName>
    <definedName name="Daf.4_4_6_5">#REF!</definedName>
    <definedName name="Daf.4_4_7">#REF!</definedName>
    <definedName name="Daf.4_4_7_5">#REF!</definedName>
    <definedName name="Daf.4_5">#REF!</definedName>
    <definedName name="Daf.4_5_2">#REF!</definedName>
    <definedName name="Daf.4_5_2_6">#REF!</definedName>
    <definedName name="Daf.4_5_4">#REF!</definedName>
    <definedName name="Daf.4_5_4_5">#REF!</definedName>
    <definedName name="Daf.4_5_5">#REF!</definedName>
    <definedName name="Daf.4_5_6">#REF!</definedName>
    <definedName name="Daf.4_5_6_5">#REF!</definedName>
    <definedName name="Daf.4_5_7">#REF!</definedName>
    <definedName name="Daf.4_5_7_5">#REF!</definedName>
    <definedName name="Daf.4_6">#REF!</definedName>
    <definedName name="Daf.4_6_1">#REF!</definedName>
    <definedName name="Daf.4_6_1_5">#REF!</definedName>
    <definedName name="Daf.4_6_10">#REF!</definedName>
    <definedName name="Daf.4_6_11">#REF!</definedName>
    <definedName name="Daf.4_6_12">#REF!</definedName>
    <definedName name="Daf.4_6_13">#REF!</definedName>
    <definedName name="Daf.4_6_4">#REF!</definedName>
    <definedName name="Daf.4_6_4_5">#REF!</definedName>
    <definedName name="Daf.4_6_5">#REF!</definedName>
    <definedName name="Daf.4_6_6">#REF!</definedName>
    <definedName name="Daf.4_6_6_5">#REF!</definedName>
    <definedName name="Daf.4_6_7">#REF!</definedName>
    <definedName name="Daf.4_6_7_5">#REF!</definedName>
    <definedName name="Daf.4_6_9">#REF!</definedName>
    <definedName name="Daf.4_7">#REF!</definedName>
    <definedName name="Daf.4_7_5">#REF!</definedName>
    <definedName name="Daf.4_9">#REF!</definedName>
    <definedName name="DAF_10">#REF!</definedName>
    <definedName name="DAF_10_10">#REF!</definedName>
    <definedName name="DAF_10_11">#REF!</definedName>
    <definedName name="DAF_10_12">#REF!</definedName>
    <definedName name="DAF_10_13">#REF!</definedName>
    <definedName name="DAF_10_2">#REF!</definedName>
    <definedName name="DAF_10_2_1">#REF!</definedName>
    <definedName name="DAF_10_2_1_6">#REF!</definedName>
    <definedName name="DAF_10_2_5">#REF!</definedName>
    <definedName name="DAF_10_2_6">#REF!</definedName>
    <definedName name="DAF_10_2_7">#REF!</definedName>
    <definedName name="DAF_10_2_7_5">#REF!</definedName>
    <definedName name="DAF_10_3">#REF!</definedName>
    <definedName name="DAF_10_3_10">#REF!</definedName>
    <definedName name="DAF_10_3_11">#REF!</definedName>
    <definedName name="DAF_10_3_12">#REF!</definedName>
    <definedName name="DAF_10_3_13">#REF!</definedName>
    <definedName name="DAF_10_3_5">#REF!</definedName>
    <definedName name="DAF_10_3_6">#REF!</definedName>
    <definedName name="DAF_10_3_7">#REF!</definedName>
    <definedName name="DAF_10_3_7_5">#REF!</definedName>
    <definedName name="DAF_10_3_9">#REF!</definedName>
    <definedName name="DAF_10_4">#REF!</definedName>
    <definedName name="DAF_10_4_5">#REF!</definedName>
    <definedName name="DAF_10_5">#REF!</definedName>
    <definedName name="DAF_10_6">#REF!</definedName>
    <definedName name="DAF_10_6_1">#REF!</definedName>
    <definedName name="DAF_10_6_1_5">#REF!</definedName>
    <definedName name="DAF_10_6_10">#REF!</definedName>
    <definedName name="DAF_10_6_11">#REF!</definedName>
    <definedName name="DAF_10_6_12">#REF!</definedName>
    <definedName name="DAF_10_6_13">#REF!</definedName>
    <definedName name="DAF_10_6_5">#REF!</definedName>
    <definedName name="DAF_10_6_6">#REF!</definedName>
    <definedName name="DAF_10_6_7">#REF!</definedName>
    <definedName name="DAF_10_6_7_5">#REF!</definedName>
    <definedName name="DAF_10_6_9">#REF!</definedName>
    <definedName name="DAF_10_7">#REF!</definedName>
    <definedName name="DAF_10_7_5">#REF!</definedName>
    <definedName name="DAF_10_9">#REF!</definedName>
    <definedName name="DAF_12">#REF!</definedName>
    <definedName name="DAF_4">#REF!</definedName>
    <definedName name="DAF_4_10">#REF!</definedName>
    <definedName name="DAF_4_11">#REF!</definedName>
    <definedName name="DAF_4_12">#REF!</definedName>
    <definedName name="DAF_4_13">#REF!</definedName>
    <definedName name="DAF_4_2">#REF!</definedName>
    <definedName name="DAF_4_2_1">#REF!</definedName>
    <definedName name="DAF_4_2_1_6">#REF!</definedName>
    <definedName name="DAF_4_2_5">#REF!</definedName>
    <definedName name="DAF_4_2_6">#REF!</definedName>
    <definedName name="DAF_4_2_7">#REF!</definedName>
    <definedName name="DAF_4_2_7_5">#REF!</definedName>
    <definedName name="DAF_4_3">#REF!</definedName>
    <definedName name="DAF_4_3_10">#REF!</definedName>
    <definedName name="DAF_4_3_11">#REF!</definedName>
    <definedName name="DAF_4_3_12">#REF!</definedName>
    <definedName name="DAF_4_3_13">#REF!</definedName>
    <definedName name="DAF_4_3_5">#REF!</definedName>
    <definedName name="DAF_4_3_6">#REF!</definedName>
    <definedName name="DAF_4_3_7">#REF!</definedName>
    <definedName name="DAF_4_3_7_5">#REF!</definedName>
    <definedName name="DAF_4_3_9">#REF!</definedName>
    <definedName name="DAF_4_4">#REF!</definedName>
    <definedName name="DAF_4_4_5">#REF!</definedName>
    <definedName name="DAF_4_5">#REF!</definedName>
    <definedName name="DAF_4_6">#REF!</definedName>
    <definedName name="DAF_4_6_1">#REF!</definedName>
    <definedName name="DAF_4_6_1_5">#REF!</definedName>
    <definedName name="DAF_4_6_10">#REF!</definedName>
    <definedName name="DAF_4_6_11">#REF!</definedName>
    <definedName name="DAF_4_6_12">#REF!</definedName>
    <definedName name="DAF_4_6_13">#REF!</definedName>
    <definedName name="DAF_4_6_5">#REF!</definedName>
    <definedName name="DAF_4_6_6">#REF!</definedName>
    <definedName name="DAF_4_6_7">#REF!</definedName>
    <definedName name="DAF_4_6_7_5">#REF!</definedName>
    <definedName name="DAF_4_6_9">#REF!</definedName>
    <definedName name="DAF_4_7">#REF!</definedName>
    <definedName name="DAF_4_7_5">#REF!</definedName>
    <definedName name="DAF_4_9">#REF!</definedName>
    <definedName name="DAF_6">#REF!</definedName>
    <definedName name="Daf_mat">#REF!</definedName>
    <definedName name="Daf_mt">#REF!</definedName>
    <definedName name="daf1_1">#REF!</definedName>
    <definedName name="daf1_2">#REF!</definedName>
    <definedName name="daf1_3">#REF!</definedName>
    <definedName name="daf1_5">#REF!</definedName>
    <definedName name="DAF10_10">#REF!</definedName>
    <definedName name="DAF10_11">#REF!</definedName>
    <definedName name="DAF10_12">#REF!</definedName>
    <definedName name="DAF10_13">#REF!</definedName>
    <definedName name="DAF10_2">#REF!</definedName>
    <definedName name="DAF10_2_1">#REF!</definedName>
    <definedName name="DAF10_2_1_6">#REF!</definedName>
    <definedName name="DAF10_2_5">#REF!</definedName>
    <definedName name="DAF10_2_6">#REF!</definedName>
    <definedName name="DAF10_2_7">#REF!</definedName>
    <definedName name="DAF10_2_7_5">#REF!</definedName>
    <definedName name="DAF10_3">#REF!</definedName>
    <definedName name="DAF10_3_10">#REF!</definedName>
    <definedName name="DAF10_3_11">#REF!</definedName>
    <definedName name="DAF10_3_12">#REF!</definedName>
    <definedName name="DAF10_3_13">#REF!</definedName>
    <definedName name="DAF10_3_5">#REF!</definedName>
    <definedName name="DAF10_3_6">#REF!</definedName>
    <definedName name="DAF10_3_7">#REF!</definedName>
    <definedName name="DAF10_3_7_5">#REF!</definedName>
    <definedName name="DAF10_3_9">#REF!</definedName>
    <definedName name="DAF10_4">#REF!</definedName>
    <definedName name="DAF10_4_5">#REF!</definedName>
    <definedName name="DAF10_5">#REF!</definedName>
    <definedName name="DAF10_6">#REF!</definedName>
    <definedName name="DAF10_6_1">#REF!</definedName>
    <definedName name="DAF10_6_1_5">#REF!</definedName>
    <definedName name="DAF10_6_10">#REF!</definedName>
    <definedName name="DAF10_6_11">#REF!</definedName>
    <definedName name="DAF10_6_12">#REF!</definedName>
    <definedName name="DAF10_6_13">#REF!</definedName>
    <definedName name="DAF10_6_5">#REF!</definedName>
    <definedName name="DAF10_6_6">#REF!</definedName>
    <definedName name="DAF10_6_7">#REF!</definedName>
    <definedName name="DAF10_6_7_5">#REF!</definedName>
    <definedName name="DAF10_6_9">#REF!</definedName>
    <definedName name="DAF10_7">#REF!</definedName>
    <definedName name="DAF10_7_5">#REF!</definedName>
    <definedName name="DAF10_9">#REF!</definedName>
    <definedName name="daf2_1">#REF!</definedName>
    <definedName name="daf2_2">#REF!</definedName>
    <definedName name="daf2_3">#REF!</definedName>
    <definedName name="DAF2_5">#REF!</definedName>
    <definedName name="DAF3_1">#REF!</definedName>
    <definedName name="DAF3_10">#REF!</definedName>
    <definedName name="DAF3_11">#REF!</definedName>
    <definedName name="DAF3_12">#REF!</definedName>
    <definedName name="DAF3_13">#REF!</definedName>
    <definedName name="DAF3_14">#REF!</definedName>
    <definedName name="DAF3_15">#REF!</definedName>
    <definedName name="DAF3_16">#REF!</definedName>
    <definedName name="DAF3_17">#REF!</definedName>
    <definedName name="DAF3_18">#REF!</definedName>
    <definedName name="DAF3_19">#REF!</definedName>
    <definedName name="DAF3_2">#REF!</definedName>
    <definedName name="DAF3_20">#REF!</definedName>
    <definedName name="DAF3_21">#REF!</definedName>
    <definedName name="DAF3_3">#REF!</definedName>
    <definedName name="DAF3_4">#REF!</definedName>
    <definedName name="DAF3_5">#REF!</definedName>
    <definedName name="DAF3_6">#REF!</definedName>
    <definedName name="DAF3_7">#REF!</definedName>
    <definedName name="DAF3_8">#REF!</definedName>
    <definedName name="DAF3_9">#REF!</definedName>
    <definedName name="daf31_1">#REF!</definedName>
    <definedName name="daf31_2">#REF!</definedName>
    <definedName name="daf31_3">#REF!</definedName>
    <definedName name="daf31_5">#REF!</definedName>
    <definedName name="daf32_1">#REF!</definedName>
    <definedName name="daf32_10">#REF!</definedName>
    <definedName name="daf32_11">#REF!</definedName>
    <definedName name="daf32_12">#REF!</definedName>
    <definedName name="daf32_13">#REF!</definedName>
    <definedName name="daf32_2">#REF!</definedName>
    <definedName name="daf32_2_1">#REF!</definedName>
    <definedName name="daf32_2_1_6">#REF!</definedName>
    <definedName name="daf32_2_5">#REF!</definedName>
    <definedName name="daf32_2_6">#REF!</definedName>
    <definedName name="daf32_2_7">#REF!</definedName>
    <definedName name="daf32_2_7_5">#REF!</definedName>
    <definedName name="daf32_3">#REF!</definedName>
    <definedName name="daf32_3_10">#REF!</definedName>
    <definedName name="daf32_3_11">#REF!</definedName>
    <definedName name="daf32_3_12">#REF!</definedName>
    <definedName name="daf32_3_13">#REF!</definedName>
    <definedName name="daf32_3_5">#REF!</definedName>
    <definedName name="daf32_3_6">#REF!</definedName>
    <definedName name="daf32_3_7">#REF!</definedName>
    <definedName name="daf32_3_7_5">#REF!</definedName>
    <definedName name="daf32_3_9">#REF!</definedName>
    <definedName name="daf32_4">#REF!</definedName>
    <definedName name="daf32_4_5">#REF!</definedName>
    <definedName name="daf32_5">#REF!</definedName>
    <definedName name="daf32_6">#REF!</definedName>
    <definedName name="daf32_6_1">#REF!</definedName>
    <definedName name="daf32_6_1_5">#REF!</definedName>
    <definedName name="daf32_6_10">#REF!</definedName>
    <definedName name="daf32_6_11">#REF!</definedName>
    <definedName name="daf32_6_12">#REF!</definedName>
    <definedName name="daf32_6_13">#REF!</definedName>
    <definedName name="daf32_6_5">#REF!</definedName>
    <definedName name="daf32_6_6">#REF!</definedName>
    <definedName name="daf32_6_7">#REF!</definedName>
    <definedName name="daf32_6_7_5">#REF!</definedName>
    <definedName name="daf32_6_9">#REF!</definedName>
    <definedName name="daf32_7">#REF!</definedName>
    <definedName name="daf32_7_5">#REF!</definedName>
    <definedName name="daf32_9">#REF!</definedName>
    <definedName name="daf33_1">#REF!</definedName>
    <definedName name="daf33_10">#REF!</definedName>
    <definedName name="daf33_11">#REF!</definedName>
    <definedName name="daf33_12">#REF!</definedName>
    <definedName name="daf33_13">#REF!</definedName>
    <definedName name="daf33_2">#REF!</definedName>
    <definedName name="daf33_2_1">#REF!</definedName>
    <definedName name="daf33_2_1_6">#REF!</definedName>
    <definedName name="daf33_2_5">#REF!</definedName>
    <definedName name="daf33_2_6">#REF!</definedName>
    <definedName name="daf33_2_7">#REF!</definedName>
    <definedName name="daf33_2_7_5">#REF!</definedName>
    <definedName name="daf33_3">#REF!</definedName>
    <definedName name="daf33_3_10">#REF!</definedName>
    <definedName name="daf33_3_11">#REF!</definedName>
    <definedName name="daf33_3_12">#REF!</definedName>
    <definedName name="daf33_3_13">#REF!</definedName>
    <definedName name="daf33_3_5">#REF!</definedName>
    <definedName name="daf33_3_6">#REF!</definedName>
    <definedName name="daf33_3_7">#REF!</definedName>
    <definedName name="daf33_3_7_5">#REF!</definedName>
    <definedName name="daf33_3_9">#REF!</definedName>
    <definedName name="daf33_4">#REF!</definedName>
    <definedName name="daf33_4_5">#REF!</definedName>
    <definedName name="daf33_5">#REF!</definedName>
    <definedName name="daf33_6">#REF!</definedName>
    <definedName name="daf33_6_1">#REF!</definedName>
    <definedName name="daf33_6_1_5">#REF!</definedName>
    <definedName name="daf33_6_10">#REF!</definedName>
    <definedName name="daf33_6_11">#REF!</definedName>
    <definedName name="daf33_6_12">#REF!</definedName>
    <definedName name="daf33_6_13">#REF!</definedName>
    <definedName name="daf33_6_5">#REF!</definedName>
    <definedName name="daf33_6_6">#REF!</definedName>
    <definedName name="daf33_6_7">#REF!</definedName>
    <definedName name="daf33_6_7_5">#REF!</definedName>
    <definedName name="daf33_6_9">#REF!</definedName>
    <definedName name="daf33_7">#REF!</definedName>
    <definedName name="daf33_7_5">#REF!</definedName>
    <definedName name="daf33_9">#REF!</definedName>
    <definedName name="DafAlat">#REF!</definedName>
    <definedName name="dafalt">#REF!</definedName>
    <definedName name="dafgggg">#REF!</definedName>
    <definedName name="DafMaterial">#REF!</definedName>
    <definedName name="Daft_Alat">#REF!</definedName>
    <definedName name="Daftar">#N/A</definedName>
    <definedName name="Daftar_Barang">#REF!</definedName>
    <definedName name="DAFTAR_HARGA_SATUAN_SUMBER_DAYA">#REF!</definedName>
    <definedName name="DAFTAR_MATERIAL">#REF!</definedName>
    <definedName name="DAFTAR_SURVEY">#REF!</definedName>
    <definedName name="DaftarAlat">#REF!</definedName>
    <definedName name="daftaranalisa">#REF!</definedName>
    <definedName name="DAFTARPERSONIL">#REF!</definedName>
    <definedName name="DAFTARREMUNERASI">#REF!</definedName>
    <definedName name="DAFTARSEWA">#REF!</definedName>
    <definedName name="DafTenaga">#REF!</definedName>
    <definedName name="dag">'[105]SAT-DAS'!$J$25</definedName>
    <definedName name="daikin">#REF!</definedName>
    <definedName name="dak">#REF!</definedName>
    <definedName name="dak_1">#REF!</definedName>
    <definedName name="dak_10">#REF!</definedName>
    <definedName name="dak_11">#REF!</definedName>
    <definedName name="dak_12">#REF!</definedName>
    <definedName name="dak_13">#REF!</definedName>
    <definedName name="dak_2">#REF!</definedName>
    <definedName name="dak_2_1">#REF!</definedName>
    <definedName name="dak_2_1_6">#REF!</definedName>
    <definedName name="dak_2_5">#REF!</definedName>
    <definedName name="dak_2_6">#REF!</definedName>
    <definedName name="dak_2_7">#REF!</definedName>
    <definedName name="dak_2_7_5">#REF!</definedName>
    <definedName name="dak_3">#REF!</definedName>
    <definedName name="dak_3_10">#REF!</definedName>
    <definedName name="dak_3_11">#REF!</definedName>
    <definedName name="dak_3_12">#REF!</definedName>
    <definedName name="dak_3_13">#REF!</definedName>
    <definedName name="dak_3_5">#REF!</definedName>
    <definedName name="dak_3_6">#REF!</definedName>
    <definedName name="dak_3_7">#REF!</definedName>
    <definedName name="dak_3_7_5">#REF!</definedName>
    <definedName name="dak_3_9">#REF!</definedName>
    <definedName name="dak_4">#REF!</definedName>
    <definedName name="dak_4_5">#REF!</definedName>
    <definedName name="dak_5">#REF!</definedName>
    <definedName name="dak_6">#REF!</definedName>
    <definedName name="dak_6_1">#REF!</definedName>
    <definedName name="dak_6_1_5">#REF!</definedName>
    <definedName name="dak_6_10">#REF!</definedName>
    <definedName name="dak_6_11">#REF!</definedName>
    <definedName name="dak_6_12">#REF!</definedName>
    <definedName name="dak_6_13">#REF!</definedName>
    <definedName name="dak_6_5">#REF!</definedName>
    <definedName name="dak_6_6">#REF!</definedName>
    <definedName name="dak_6_7">#REF!</definedName>
    <definedName name="dak_6_7_5">#REF!</definedName>
    <definedName name="dak_6_9">#REF!</definedName>
    <definedName name="dak_7">#REF!</definedName>
    <definedName name="dak_7_5">#REF!</definedName>
    <definedName name="dak_9">#REF!</definedName>
    <definedName name="danan">#N/A</definedName>
    <definedName name="DANCOK">#REF!</definedName>
    <definedName name="dancs">#REF!</definedName>
    <definedName name="dapat">#REF!</definedName>
    <definedName name="DARULARKOM">#REF!</definedName>
    <definedName name="DasAlat">#REF!</definedName>
    <definedName name="DasAlat1">#REF!</definedName>
    <definedName name="dasaralat">#REF!</definedName>
    <definedName name="DASARE">#REF!</definedName>
    <definedName name="dasarlab">#REF!</definedName>
    <definedName name="dasarmat">#REF!</definedName>
    <definedName name="DasBahan">#REF!</definedName>
    <definedName name="DasBahan1">#REF!</definedName>
    <definedName name="DasUpah">#REF!</definedName>
    <definedName name="DasUpah1">#REF!</definedName>
    <definedName name="DAT_BQ">#REF!</definedName>
    <definedName name="DATA">#REF!</definedName>
    <definedName name="DATA_1">#REF!</definedName>
    <definedName name="DATA_2">#N/A</definedName>
    <definedName name="DATA_3">#N/A</definedName>
    <definedName name="Data_OutletCat6">'[78]Harga Jasa dan Material'!$D$214</definedName>
    <definedName name="Data_Rack20U">'[78]Harga Jasa dan Material'!$D$221</definedName>
    <definedName name="Data_Rack4U">'[78]Harga Jasa dan Material'!$D$220</definedName>
    <definedName name="Data_RouterCisco">'[78]Harga Jasa dan Material'!$D$216</definedName>
    <definedName name="Data_SH_24P_managed">'[78]Harga Jasa dan Material'!$D$218</definedName>
    <definedName name="Data_SH_24P_Unmanaged">'[78]Harga Jasa dan Material'!$D$219</definedName>
    <definedName name="Data_utpCat6">'[78]Harga Jasa dan Material'!$D$211</definedName>
    <definedName name="Data_Water">#REF!</definedName>
    <definedName name="data1" hidden="1">#REF!</definedName>
    <definedName name="data2" hidden="1">#REF!</definedName>
    <definedName name="data3" hidden="1">#REF!</definedName>
    <definedName name="_xlnm.Database" hidden="1">#REF!</definedName>
    <definedName name="DataBUL">#REF!</definedName>
    <definedName name="DataMarketing">#REF!</definedName>
    <definedName name="DataPivot">#REF!</definedName>
    <definedName name="DataProyek">#REF!</definedName>
    <definedName name="DataProyek2">#REF!</definedName>
    <definedName name="DataProyek3">#REF!</definedName>
    <definedName name="DataRAB">#REF!</definedName>
    <definedName name="DataRAP">#REF!</definedName>
    <definedName name="DATAUPAH" localSheetId="7">'[37]Harga Alat'!#REF!</definedName>
    <definedName name="DATAUPAH">#REF!</definedName>
    <definedName name="date">#REF!</definedName>
    <definedName name="Date_19">'[106]Fill this out first___'!$D$17</definedName>
    <definedName name="Dati1">#REF!</definedName>
    <definedName name="Dati2">#REF!</definedName>
    <definedName name="daun">#REF!</definedName>
    <definedName name="DAUN_JENDELA_ALUMINIUM_KACA_BENING">#REF!</definedName>
    <definedName name="DAUN_JENDELA_KAYU_KACA">#REF!</definedName>
    <definedName name="DAUN_PINTU_ALUMINIUM_KACA_BENING">#REF!</definedName>
    <definedName name="DAUN_PINTU_ALUMINIUM_KACA_ES">#REF!</definedName>
    <definedName name="DAUN_PINTU_ALUMINIUM_SPANDREL">#REF!</definedName>
    <definedName name="DAUN_PINTU_PANIL_KAMPER">#REF!</definedName>
    <definedName name="DAUN_PINTU_PLYWOOD_LAPIS_ALUMINIUM">#REF!</definedName>
    <definedName name="DAUN_PINTU_PLYWOOD_RANGKAP">#REF!</definedName>
    <definedName name="DAunpintjenkckamper">#REF!</definedName>
    <definedName name="DaunPintu">#REF!</definedName>
    <definedName name="DaunPintu80210">#REF!</definedName>
    <definedName name="daunpintuhollow30\nonjasa">#REF!</definedName>
    <definedName name="DAunpintujendkacajati">#REF!</definedName>
    <definedName name="daunpintusiku30\nonjasa">#REF!</definedName>
    <definedName name="daunpintuukir\nonjasa">#REF!</definedName>
    <definedName name="DAX">#REF!</definedName>
    <definedName name="DAX_1">#REF!</definedName>
    <definedName name="DAX_10">#REF!</definedName>
    <definedName name="DAX_11">#REF!</definedName>
    <definedName name="DAX_12">#REF!</definedName>
    <definedName name="DAX_13">#REF!</definedName>
    <definedName name="DAX_2">#REF!</definedName>
    <definedName name="DAX_2_1">#REF!</definedName>
    <definedName name="DAX_2_5">#REF!</definedName>
    <definedName name="DAX_3">#REF!</definedName>
    <definedName name="DAX_3_2">#REF!</definedName>
    <definedName name="DAX_3_4">#REF!</definedName>
    <definedName name="DAX_3_4_5">#REF!</definedName>
    <definedName name="DAX_3_5">#REF!</definedName>
    <definedName name="DAX_3_6">#REF!</definedName>
    <definedName name="DAX_3_6_5">#REF!</definedName>
    <definedName name="DAX_3_7">#REF!</definedName>
    <definedName name="DAX_3_7_5">#REF!</definedName>
    <definedName name="DAX_4">#REF!</definedName>
    <definedName name="DAX_4_1">#REF!</definedName>
    <definedName name="DAX_4_1_5">#REF!</definedName>
    <definedName name="DAX_4_10">#REF!</definedName>
    <definedName name="DAX_4_11">#REF!</definedName>
    <definedName name="DAX_4_12">#REF!</definedName>
    <definedName name="DAX_4_13">#REF!</definedName>
    <definedName name="DAX_4_2">#REF!</definedName>
    <definedName name="DAX_4_4">#REF!</definedName>
    <definedName name="DAX_4_4_5">#REF!</definedName>
    <definedName name="DAX_4_5">#REF!</definedName>
    <definedName name="DAX_4_6">#REF!</definedName>
    <definedName name="DAX_4_6_5">#REF!</definedName>
    <definedName name="DAX_4_7">#REF!</definedName>
    <definedName name="DAX_4_7_5">#REF!</definedName>
    <definedName name="DAX_5">#REF!</definedName>
    <definedName name="DAX_5_2">#REF!</definedName>
    <definedName name="DAX_5_4">#REF!</definedName>
    <definedName name="DAX_5_4_5">#REF!</definedName>
    <definedName name="DAX_5_5">#REF!</definedName>
    <definedName name="DAX_5_6">#REF!</definedName>
    <definedName name="DAX_5_6_5">#REF!</definedName>
    <definedName name="DAX_5_7">#REF!</definedName>
    <definedName name="DAX_5_7_5">#REF!</definedName>
    <definedName name="DAX_6">#REF!</definedName>
    <definedName name="DAX_6_1">#REF!</definedName>
    <definedName name="DAX_6_1_5">#REF!</definedName>
    <definedName name="DAX_6_2">#REF!</definedName>
    <definedName name="DAX_6_4">#REF!</definedName>
    <definedName name="DAX_6_4_5">#REF!</definedName>
    <definedName name="DAX_6_5">#REF!</definedName>
    <definedName name="DAX_6_6">#REF!</definedName>
    <definedName name="DAX_6_6_5">#REF!</definedName>
    <definedName name="DAX_6_7">#REF!</definedName>
    <definedName name="DAX_6_7_5">#REF!</definedName>
    <definedName name="DAX_7">#REF!</definedName>
    <definedName name="DAX_7_1">#REF!</definedName>
    <definedName name="DAX_7_1_5">#REF!</definedName>
    <definedName name="DAX_7_10">#REF!</definedName>
    <definedName name="DAX_7_11">#REF!</definedName>
    <definedName name="DAX_7_12">#REF!</definedName>
    <definedName name="DAX_7_13">#REF!</definedName>
    <definedName name="DAX_7_5">#REF!</definedName>
    <definedName name="DAX_9">#REF!</definedName>
    <definedName name="day">#REF!</definedName>
    <definedName name="DAYWORKS">#REF!</definedName>
    <definedName name="db">#REF!</definedName>
    <definedName name="DB_25">#REF!</definedName>
    <definedName name="DB_25L">#REF!</definedName>
    <definedName name="DB_25T">#REF!</definedName>
    <definedName name="DB_30">#REF!</definedName>
    <definedName name="DB_TR">#REF!</definedName>
    <definedName name="DBATA">#REF!</definedName>
    <definedName name="DBATA14">#REF!</definedName>
    <definedName name="dbdssfn">#N/A</definedName>
    <definedName name="DBX">#REF!</definedName>
    <definedName name="DBX_1">#REF!</definedName>
    <definedName name="DBX_10">#REF!</definedName>
    <definedName name="DBX_11">#REF!</definedName>
    <definedName name="DBX_12">#REF!</definedName>
    <definedName name="DBX_13">#REF!</definedName>
    <definedName name="DBX_2">#REF!</definedName>
    <definedName name="DBX_2_1">#REF!</definedName>
    <definedName name="DBX_2_5">#REF!</definedName>
    <definedName name="DBX_3">#REF!</definedName>
    <definedName name="DBX_3_2">#REF!</definedName>
    <definedName name="DBX_3_4">#REF!</definedName>
    <definedName name="DBX_3_4_5">#REF!</definedName>
    <definedName name="DBX_3_5">#REF!</definedName>
    <definedName name="DBX_3_6">#REF!</definedName>
    <definedName name="DBX_3_6_5">#REF!</definedName>
    <definedName name="DBX_3_7">#REF!</definedName>
    <definedName name="DBX_3_7_5">#REF!</definedName>
    <definedName name="DBX_4">#REF!</definedName>
    <definedName name="DBX_4_1">#REF!</definedName>
    <definedName name="DBX_4_1_5">#REF!</definedName>
    <definedName name="DBX_4_10">#REF!</definedName>
    <definedName name="DBX_4_11">#REF!</definedName>
    <definedName name="DBX_4_12">#REF!</definedName>
    <definedName name="DBX_4_13">#REF!</definedName>
    <definedName name="DBX_4_2">#REF!</definedName>
    <definedName name="DBX_4_4">#REF!</definedName>
    <definedName name="DBX_4_4_5">#REF!</definedName>
    <definedName name="DBX_4_5">#REF!</definedName>
    <definedName name="DBX_4_6">#REF!</definedName>
    <definedName name="DBX_4_6_5">#REF!</definedName>
    <definedName name="DBX_4_7">#REF!</definedName>
    <definedName name="DBX_4_7_5">#REF!</definedName>
    <definedName name="DBX_5">#REF!</definedName>
    <definedName name="DBX_5_2">#REF!</definedName>
    <definedName name="DBX_5_4">#REF!</definedName>
    <definedName name="DBX_5_4_5">#REF!</definedName>
    <definedName name="DBX_5_5">#REF!</definedName>
    <definedName name="DBX_5_6">#REF!</definedName>
    <definedName name="DBX_5_6_5">#REF!</definedName>
    <definedName name="DBX_5_7">#REF!</definedName>
    <definedName name="DBX_5_7_5">#REF!</definedName>
    <definedName name="DBX_6">#REF!</definedName>
    <definedName name="DBX_6_1">#REF!</definedName>
    <definedName name="DBX_6_1_5">#REF!</definedName>
    <definedName name="DBX_6_2">#REF!</definedName>
    <definedName name="DBX_6_4">#REF!</definedName>
    <definedName name="DBX_6_4_5">#REF!</definedName>
    <definedName name="DBX_6_5">#REF!</definedName>
    <definedName name="DBX_6_6">#REF!</definedName>
    <definedName name="DBX_6_6_5">#REF!</definedName>
    <definedName name="DBX_6_7">#REF!</definedName>
    <definedName name="DBX_6_7_5">#REF!</definedName>
    <definedName name="DBX_7">#REF!</definedName>
    <definedName name="DBX_7_1">#REF!</definedName>
    <definedName name="DBX_7_1_5">#REF!</definedName>
    <definedName name="DBX_7_10">#REF!</definedName>
    <definedName name="DBX_7_11">#REF!</definedName>
    <definedName name="DBX_7_12">#REF!</definedName>
    <definedName name="DBX_7_13">#REF!</definedName>
    <definedName name="DBX_7_5">#REF!</definedName>
    <definedName name="DBX_9">#REF!</definedName>
    <definedName name="DC">#REF!</definedName>
    <definedName name="dcd">#REF!</definedName>
    <definedName name="DCS">#REF!</definedName>
    <definedName name="DCUBJLS">#REF!</definedName>
    <definedName name="DCUL">#REF!</definedName>
    <definedName name="DCX">#REF!</definedName>
    <definedName name="DCX_1">#REF!</definedName>
    <definedName name="DCX_10">#REF!</definedName>
    <definedName name="DCX_11">#REF!</definedName>
    <definedName name="DCX_12">#REF!</definedName>
    <definedName name="DCX_13">#REF!</definedName>
    <definedName name="DCX_2">#REF!</definedName>
    <definedName name="DCX_2_1">#REF!</definedName>
    <definedName name="DCX_2_5">#REF!</definedName>
    <definedName name="DCX_3">#REF!</definedName>
    <definedName name="DCX_3_2">#REF!</definedName>
    <definedName name="DCX_3_4">#REF!</definedName>
    <definedName name="DCX_3_4_5">#REF!</definedName>
    <definedName name="DCX_3_5">#REF!</definedName>
    <definedName name="DCX_3_6">#REF!</definedName>
    <definedName name="DCX_3_6_5">#REF!</definedName>
    <definedName name="DCX_3_7">#REF!</definedName>
    <definedName name="DCX_3_7_5">#REF!</definedName>
    <definedName name="DCX_4">#REF!</definedName>
    <definedName name="DCX_4_1">#REF!</definedName>
    <definedName name="DCX_4_1_5">#REF!</definedName>
    <definedName name="DCX_4_10">#REF!</definedName>
    <definedName name="DCX_4_11">#REF!</definedName>
    <definedName name="DCX_4_12">#REF!</definedName>
    <definedName name="DCX_4_13">#REF!</definedName>
    <definedName name="DCX_4_2">#REF!</definedName>
    <definedName name="DCX_4_4">#REF!</definedName>
    <definedName name="DCX_4_4_5">#REF!</definedName>
    <definedName name="DCX_4_5">#REF!</definedName>
    <definedName name="DCX_4_6">#REF!</definedName>
    <definedName name="DCX_4_6_5">#REF!</definedName>
    <definedName name="DCX_4_7">#REF!</definedName>
    <definedName name="DCX_4_7_5">#REF!</definedName>
    <definedName name="DCX_5">#REF!</definedName>
    <definedName name="DCX_5_2">#REF!</definedName>
    <definedName name="DCX_5_4">#REF!</definedName>
    <definedName name="DCX_5_4_5">#REF!</definedName>
    <definedName name="DCX_5_5">#REF!</definedName>
    <definedName name="DCX_5_6">#REF!</definedName>
    <definedName name="DCX_5_6_5">#REF!</definedName>
    <definedName name="DCX_5_7">#REF!</definedName>
    <definedName name="DCX_5_7_5">#REF!</definedName>
    <definedName name="DCX_6">#REF!</definedName>
    <definedName name="DCX_6_1">#REF!</definedName>
    <definedName name="DCX_6_1_5">#REF!</definedName>
    <definedName name="DCX_6_2">#REF!</definedName>
    <definedName name="DCX_6_4">#REF!</definedName>
    <definedName name="DCX_6_4_5">#REF!</definedName>
    <definedName name="DCX_6_5">#REF!</definedName>
    <definedName name="DCX_6_6">#REF!</definedName>
    <definedName name="DCX_6_6_5">#REF!</definedName>
    <definedName name="DCX_6_7">#REF!</definedName>
    <definedName name="DCX_6_7_5">#REF!</definedName>
    <definedName name="DCX_7">#REF!</definedName>
    <definedName name="DCX_7_1">#REF!</definedName>
    <definedName name="DCX_7_1_5">#REF!</definedName>
    <definedName name="DCX_7_10">#REF!</definedName>
    <definedName name="DCX_7_11">#REF!</definedName>
    <definedName name="DCX_7_12">#REF!</definedName>
    <definedName name="DCX_7_13">#REF!</definedName>
    <definedName name="DCX_7_5">#REF!</definedName>
    <definedName name="DCX_9">#REF!</definedName>
    <definedName name="dd">#REF!</definedName>
    <definedName name="DD_01">#REF!</definedName>
    <definedName name="DD_01A">#REF!</definedName>
    <definedName name="DD_01B">#REF!</definedName>
    <definedName name="DD_02">#REF!</definedName>
    <definedName name="DD_03">#REF!</definedName>
    <definedName name="DD_04">#REF!</definedName>
    <definedName name="DD_05">#REF!</definedName>
    <definedName name="DD_05A">#REF!</definedName>
    <definedName name="DD_05B">#REF!</definedName>
    <definedName name="DD_06">#REF!</definedName>
    <definedName name="DD_07">#REF!</definedName>
    <definedName name="DD_08">#REF!</definedName>
    <definedName name="DD_08A">#REF!</definedName>
    <definedName name="DD_09">#REF!</definedName>
    <definedName name="dd1pnc">#REF!</definedName>
    <definedName name="dd1pvl">#REF!</definedName>
    <definedName name="dd1x2">#REF!</definedName>
    <definedName name="dd3pctnc">'[18]lam-moi'!#REF!</definedName>
    <definedName name="dd3pctvl">'[18]lam-moi'!#REF!</definedName>
    <definedName name="dd3plmvl">'[18]lam-moi'!#REF!</definedName>
    <definedName name="dd3pnc">'[18]lam-moi'!#REF!</definedName>
    <definedName name="dd3pvl">'[18]lam-moi'!#REF!</definedName>
    <definedName name="DDAGAGA">#REF!</definedName>
    <definedName name="ddd">#REF!</definedName>
    <definedName name="dddd" hidden="1">{#N/A,#N/A,FALSE,"REK-S-TPL";#N/A,#N/A,FALSE,"REK-TPML";#N/A,#N/A,FALSE,"RAB-TEMPEL"}</definedName>
    <definedName name="DDDDD">'[107]Kuantitas &amp; Harga'!$A$82:$H$94</definedName>
    <definedName name="ddfdf">#REF!</definedName>
    <definedName name="ddg">#N/A</definedName>
    <definedName name="ddgranit">#REF!</definedName>
    <definedName name="ddhtnc">'[18]lam-moi'!#REF!</definedName>
    <definedName name="ddhtvl">'[18]lam-moi'!#REF!</definedName>
    <definedName name="ddk">#REF!</definedName>
    <definedName name="ddt2nc">[18]gtrinh!#REF!</definedName>
    <definedName name="ddt2vl">[18]gtrinh!#REF!</definedName>
    <definedName name="ddtd3pnc">'[18]thao-go'!#REF!</definedName>
    <definedName name="ddtt1pnc">[18]gtrinh!#REF!</definedName>
    <definedName name="ddtt1pvl">[18]gtrinh!#REF!</definedName>
    <definedName name="ddtt3pnc">[18]gtrinh!#REF!</definedName>
    <definedName name="ddtt3pvl">[18]gtrinh!#REF!</definedName>
    <definedName name="Ddua">#REF!</definedName>
    <definedName name="DDX">#REF!</definedName>
    <definedName name="DDX_1">#REF!</definedName>
    <definedName name="DDX_10">#REF!</definedName>
    <definedName name="DDX_11">#REF!</definedName>
    <definedName name="DDX_12">#REF!</definedName>
    <definedName name="DDX_13">#REF!</definedName>
    <definedName name="DDX_2">#REF!</definedName>
    <definedName name="DDX_2_1">#REF!</definedName>
    <definedName name="DDX_2_5">#REF!</definedName>
    <definedName name="DDX_3">#REF!</definedName>
    <definedName name="DDX_3_2">#REF!</definedName>
    <definedName name="DDX_3_4">#REF!</definedName>
    <definedName name="DDX_3_4_5">#REF!</definedName>
    <definedName name="DDX_3_5">#REF!</definedName>
    <definedName name="DDX_3_6">#REF!</definedName>
    <definedName name="DDX_3_6_5">#REF!</definedName>
    <definedName name="DDX_3_7">#REF!</definedName>
    <definedName name="DDX_3_7_5">#REF!</definedName>
    <definedName name="DDX_4">#REF!</definedName>
    <definedName name="DDX_4_1">#REF!</definedName>
    <definedName name="DDX_4_1_5">#REF!</definedName>
    <definedName name="DDX_4_10">#REF!</definedName>
    <definedName name="DDX_4_11">#REF!</definedName>
    <definedName name="DDX_4_12">#REF!</definedName>
    <definedName name="DDX_4_13">#REF!</definedName>
    <definedName name="DDX_4_2">#REF!</definedName>
    <definedName name="DDX_4_4">#REF!</definedName>
    <definedName name="DDX_4_4_5">#REF!</definedName>
    <definedName name="DDX_4_5">#REF!</definedName>
    <definedName name="DDX_4_6">#REF!</definedName>
    <definedName name="DDX_4_6_5">#REF!</definedName>
    <definedName name="DDX_4_7">#REF!</definedName>
    <definedName name="DDX_4_7_5">#REF!</definedName>
    <definedName name="DDX_5">#REF!</definedName>
    <definedName name="DDX_5_2">#REF!</definedName>
    <definedName name="DDX_5_4">#REF!</definedName>
    <definedName name="DDX_5_4_5">#REF!</definedName>
    <definedName name="DDX_5_5">#REF!</definedName>
    <definedName name="DDX_5_6">#REF!</definedName>
    <definedName name="DDX_5_6_5">#REF!</definedName>
    <definedName name="DDX_5_7">#REF!</definedName>
    <definedName name="DDX_5_7_5">#REF!</definedName>
    <definedName name="DDX_6">#REF!</definedName>
    <definedName name="DDX_6_1">#REF!</definedName>
    <definedName name="DDX_6_1_5">#REF!</definedName>
    <definedName name="DDX_6_2">#REF!</definedName>
    <definedName name="DDX_6_4">#REF!</definedName>
    <definedName name="DDX_6_4_5">#REF!</definedName>
    <definedName name="DDX_6_5">#REF!</definedName>
    <definedName name="DDX_6_6">#REF!</definedName>
    <definedName name="DDX_6_6_5">#REF!</definedName>
    <definedName name="DDX_6_7">#REF!</definedName>
    <definedName name="DDX_6_7_5">#REF!</definedName>
    <definedName name="DDX_7">#REF!</definedName>
    <definedName name="DDX_7_1">#REF!</definedName>
    <definedName name="DDX_7_1_5">#REF!</definedName>
    <definedName name="DDX_7_10">#REF!</definedName>
    <definedName name="DDX_7_11">#REF!</definedName>
    <definedName name="DDX_7_12">#REF!</definedName>
    <definedName name="DDX_7_13">#REF!</definedName>
    <definedName name="DDX_7_5">#REF!</definedName>
    <definedName name="DDX_9">#REF!</definedName>
    <definedName name="DE">#REF!</definedName>
    <definedName name="De.uro">#REF!</definedName>
    <definedName name="deb">#REF!</definedName>
    <definedName name="Debu_batu">#REF!</definedName>
    <definedName name="dec">#REF!</definedName>
    <definedName name="Deckslab316">#REF!</definedName>
    <definedName name="Deckslab400">#REF!</definedName>
    <definedName name="dede">#REF!</definedName>
    <definedName name="def">#REF!</definedName>
    <definedName name="DEFFGB">#N/A</definedName>
    <definedName name="deg" hidden="1">{"'Sheet1'!$A$1"}</definedName>
    <definedName name="Dekor">#REF!</definedName>
    <definedName name="delapan">#REF!</definedName>
    <definedName name="DEMPUL">#N/A</definedName>
    <definedName name="Dempul_kayu">#REF!</definedName>
    <definedName name="deng">#REF!</definedName>
    <definedName name="DENI">#REF!</definedName>
    <definedName name="deniac">#REF!</definedName>
    <definedName name="depan">#N/A</definedName>
    <definedName name="DER" hidden="1">{"'Sheet1'!$A$1"}</definedName>
    <definedName name="DERMAGA">#REF!</definedName>
    <definedName name="deryt" hidden="1">{"'Sheet1'!$A$1"}</definedName>
    <definedName name="DES">#REF!</definedName>
    <definedName name="DES_RP">#REF!</definedName>
    <definedName name="DES_USD">#REF!</definedName>
    <definedName name="DESC">#REF!</definedName>
    <definedName name="Desimal">#N/A</definedName>
    <definedName name="DESRP">#REF!</definedName>
    <definedName name="DESU">#REF!</definedName>
    <definedName name="DESUP">#REF!</definedName>
    <definedName name="DESUS">#REF!</definedName>
    <definedName name="DETAIL" hidden="1">{#N/A,#N/A,FALSE,"SUM_Prop";#N/A,#N/A,FALSE,"PROCESS-eng";#N/A,#N/A,FALSE,"PROCESS-com";#N/A,#N/A,FALSE,"INST-eng";#N/A,#N/A,FALSE,"INST-com"}</definedName>
    <definedName name="DETASIR">#REF!</definedName>
    <definedName name="DetasirNew">#REF!</definedName>
    <definedName name="detib2100">#REF!</definedName>
    <definedName name="detib2100_1">#REF!</definedName>
    <definedName name="detib2100_10">#REF!</definedName>
    <definedName name="detib2100_11">#REF!</definedName>
    <definedName name="detib2100_12">#REF!</definedName>
    <definedName name="detib2100_13">#REF!</definedName>
    <definedName name="detib2100_16">#REF!</definedName>
    <definedName name="detib2100_2">#REF!</definedName>
    <definedName name="detib2100_2_1">#REF!</definedName>
    <definedName name="detib2100_2_1_6">#REF!</definedName>
    <definedName name="detib2100_2_5">#REF!</definedName>
    <definedName name="detib2100_2_6">#REF!</definedName>
    <definedName name="detib2100_2_7">#REF!</definedName>
    <definedName name="detib2100_2_7_5">#REF!</definedName>
    <definedName name="detib2100_3">#REF!</definedName>
    <definedName name="detib2100_3_10">#REF!</definedName>
    <definedName name="detib2100_3_11">#REF!</definedName>
    <definedName name="detib2100_3_12">#REF!</definedName>
    <definedName name="detib2100_3_13">#REF!</definedName>
    <definedName name="detib2100_3_4">#REF!</definedName>
    <definedName name="detib2100_3_4_5">#REF!</definedName>
    <definedName name="detib2100_3_5">#REF!</definedName>
    <definedName name="detib2100_3_6">#REF!</definedName>
    <definedName name="detib2100_3_6_5">#REF!</definedName>
    <definedName name="detib2100_3_7">#REF!</definedName>
    <definedName name="detib2100_3_7_5">#REF!</definedName>
    <definedName name="detib2100_3_9">#REF!</definedName>
    <definedName name="detib2100_4">#REF!</definedName>
    <definedName name="detib2100_4_1">#REF!</definedName>
    <definedName name="detib2100_4_1_5">#REF!</definedName>
    <definedName name="detib2100_4_10">#REF!</definedName>
    <definedName name="detib2100_4_11">#REF!</definedName>
    <definedName name="detib2100_4_12">#REF!</definedName>
    <definedName name="detib2100_4_13">#REF!</definedName>
    <definedName name="detib2100_4_2">#REF!</definedName>
    <definedName name="detib2100_4_2_6">#REF!</definedName>
    <definedName name="detib2100_4_4">#REF!</definedName>
    <definedName name="detib2100_4_4_5">#REF!</definedName>
    <definedName name="detib2100_4_5">#REF!</definedName>
    <definedName name="detib2100_4_6">#REF!</definedName>
    <definedName name="detib2100_4_6_5">#REF!</definedName>
    <definedName name="detib2100_4_7">#REF!</definedName>
    <definedName name="detib2100_4_7_5">#REF!</definedName>
    <definedName name="detib2100_5">#REF!</definedName>
    <definedName name="detib2100_5_2">#REF!</definedName>
    <definedName name="detib2100_5_2_6">#REF!</definedName>
    <definedName name="detib2100_5_4">#REF!</definedName>
    <definedName name="detib2100_5_4_5">#REF!</definedName>
    <definedName name="detib2100_5_5">#REF!</definedName>
    <definedName name="detib2100_5_6">#REF!</definedName>
    <definedName name="detib2100_5_6_5">#REF!</definedName>
    <definedName name="detib2100_5_7">#REF!</definedName>
    <definedName name="detib2100_5_7_5">#REF!</definedName>
    <definedName name="detib2100_6">#REF!</definedName>
    <definedName name="detib2100_6_1">#REF!</definedName>
    <definedName name="detib2100_6_1_5">#REF!</definedName>
    <definedName name="detib2100_6_10">#REF!</definedName>
    <definedName name="detib2100_6_11">#REF!</definedName>
    <definedName name="detib2100_6_12">#REF!</definedName>
    <definedName name="detib2100_6_13">#REF!</definedName>
    <definedName name="detib2100_6_4">#REF!</definedName>
    <definedName name="detib2100_6_4_5">#REF!</definedName>
    <definedName name="detib2100_6_5">#REF!</definedName>
    <definedName name="detib2100_6_6">#REF!</definedName>
    <definedName name="detib2100_6_6_5">#REF!</definedName>
    <definedName name="detib2100_6_7">#REF!</definedName>
    <definedName name="detib2100_6_7_5">#REF!</definedName>
    <definedName name="detib2100_6_9">#REF!</definedName>
    <definedName name="detib2100_7">#REF!</definedName>
    <definedName name="detib2100_7_5">#REF!</definedName>
    <definedName name="detib2100_9">#REF!</definedName>
    <definedName name="detib2120">#REF!</definedName>
    <definedName name="detib2120_1">#REF!</definedName>
    <definedName name="detib2120_10">#REF!</definedName>
    <definedName name="detib2120_11">#REF!</definedName>
    <definedName name="detib2120_12">#REF!</definedName>
    <definedName name="detib2120_13">#REF!</definedName>
    <definedName name="detib2120_16">#REF!</definedName>
    <definedName name="detib2120_2">#REF!</definedName>
    <definedName name="detib2120_2_1">#REF!</definedName>
    <definedName name="detib2120_2_1_6">#REF!</definedName>
    <definedName name="detib2120_2_5">#REF!</definedName>
    <definedName name="detib2120_2_6">#REF!</definedName>
    <definedName name="detib2120_2_7">#REF!</definedName>
    <definedName name="detib2120_2_7_5">#REF!</definedName>
    <definedName name="detib2120_3">#REF!</definedName>
    <definedName name="detib2120_3_10">#REF!</definedName>
    <definedName name="detib2120_3_11">#REF!</definedName>
    <definedName name="detib2120_3_12">#REF!</definedName>
    <definedName name="detib2120_3_13">#REF!</definedName>
    <definedName name="detib2120_3_4">#REF!</definedName>
    <definedName name="detib2120_3_4_5">#REF!</definedName>
    <definedName name="detib2120_3_5">#REF!</definedName>
    <definedName name="detib2120_3_6">#REF!</definedName>
    <definedName name="detib2120_3_6_5">#REF!</definedName>
    <definedName name="detib2120_3_7">#REF!</definedName>
    <definedName name="detib2120_3_7_5">#REF!</definedName>
    <definedName name="detib2120_3_9">#REF!</definedName>
    <definedName name="detib2120_4">#REF!</definedName>
    <definedName name="detib2120_4_1">#REF!</definedName>
    <definedName name="detib2120_4_1_5">#REF!</definedName>
    <definedName name="detib2120_4_10">#REF!</definedName>
    <definedName name="detib2120_4_11">#REF!</definedName>
    <definedName name="detib2120_4_12">#REF!</definedName>
    <definedName name="detib2120_4_13">#REF!</definedName>
    <definedName name="detib2120_4_2">#REF!</definedName>
    <definedName name="detib2120_4_2_6">#REF!</definedName>
    <definedName name="detib2120_4_4">#REF!</definedName>
    <definedName name="detib2120_4_4_5">#REF!</definedName>
    <definedName name="detib2120_4_5">#REF!</definedName>
    <definedName name="detib2120_4_6">#REF!</definedName>
    <definedName name="detib2120_4_6_5">#REF!</definedName>
    <definedName name="detib2120_4_7">#REF!</definedName>
    <definedName name="detib2120_4_7_5">#REF!</definedName>
    <definedName name="detib2120_5">#REF!</definedName>
    <definedName name="detib2120_5_2">#REF!</definedName>
    <definedName name="detib2120_5_2_6">#REF!</definedName>
    <definedName name="detib2120_5_4">#REF!</definedName>
    <definedName name="detib2120_5_4_5">#REF!</definedName>
    <definedName name="detib2120_5_5">#REF!</definedName>
    <definedName name="detib2120_5_6">#REF!</definedName>
    <definedName name="detib2120_5_6_5">#REF!</definedName>
    <definedName name="detib2120_5_7">#REF!</definedName>
    <definedName name="detib2120_5_7_5">#REF!</definedName>
    <definedName name="detib2120_6">#REF!</definedName>
    <definedName name="detib2120_6_1">#REF!</definedName>
    <definedName name="detib2120_6_1_5">#REF!</definedName>
    <definedName name="detib2120_6_10">#REF!</definedName>
    <definedName name="detib2120_6_11">#REF!</definedName>
    <definedName name="detib2120_6_12">#REF!</definedName>
    <definedName name="detib2120_6_13">#REF!</definedName>
    <definedName name="detib2120_6_4">#REF!</definedName>
    <definedName name="detib2120_6_4_5">#REF!</definedName>
    <definedName name="detib2120_6_5">#REF!</definedName>
    <definedName name="detib2120_6_6">#REF!</definedName>
    <definedName name="detib2120_6_6_5">#REF!</definedName>
    <definedName name="detib2120_6_7">#REF!</definedName>
    <definedName name="detib2120_6_7_5">#REF!</definedName>
    <definedName name="detib2120_6_9">#REF!</definedName>
    <definedName name="detib2120_7">#REF!</definedName>
    <definedName name="detib2120_7_5">#REF!</definedName>
    <definedName name="detib2120_9">#REF!</definedName>
    <definedName name="detib250">#REF!</definedName>
    <definedName name="detib250_1">#REF!</definedName>
    <definedName name="detib250_10">#REF!</definedName>
    <definedName name="detib250_11">#REF!</definedName>
    <definedName name="detib250_12">#REF!</definedName>
    <definedName name="detib250_13">#REF!</definedName>
    <definedName name="detib250_16">#REF!</definedName>
    <definedName name="detib250_2">#REF!</definedName>
    <definedName name="detib250_2_1">#REF!</definedName>
    <definedName name="detib250_2_1_6">#REF!</definedName>
    <definedName name="detib250_2_5">#REF!</definedName>
    <definedName name="detib250_2_6">#REF!</definedName>
    <definedName name="detib250_2_7">#REF!</definedName>
    <definedName name="detib250_2_7_5">#REF!</definedName>
    <definedName name="detib250_3">#REF!</definedName>
    <definedName name="detib250_3_10">#REF!</definedName>
    <definedName name="detib250_3_11">#REF!</definedName>
    <definedName name="detib250_3_12">#REF!</definedName>
    <definedName name="detib250_3_13">#REF!</definedName>
    <definedName name="detib250_3_4">#REF!</definedName>
    <definedName name="detib250_3_4_5">#REF!</definedName>
    <definedName name="detib250_3_5">#REF!</definedName>
    <definedName name="detib250_3_6">#REF!</definedName>
    <definedName name="detib250_3_6_5">#REF!</definedName>
    <definedName name="detib250_3_7">#REF!</definedName>
    <definedName name="detib250_3_7_5">#REF!</definedName>
    <definedName name="detib250_3_9">#REF!</definedName>
    <definedName name="detib250_4">#REF!</definedName>
    <definedName name="detib250_4_1">#REF!</definedName>
    <definedName name="detib250_4_1_5">#REF!</definedName>
    <definedName name="detib250_4_10">#REF!</definedName>
    <definedName name="detib250_4_11">#REF!</definedName>
    <definedName name="detib250_4_12">#REF!</definedName>
    <definedName name="detib250_4_13">#REF!</definedName>
    <definedName name="detib250_4_2">#REF!</definedName>
    <definedName name="detib250_4_2_6">#REF!</definedName>
    <definedName name="detib250_4_4">#REF!</definedName>
    <definedName name="detib250_4_4_5">#REF!</definedName>
    <definedName name="detib250_4_5">#REF!</definedName>
    <definedName name="detib250_4_6">#REF!</definedName>
    <definedName name="detib250_4_6_5">#REF!</definedName>
    <definedName name="detib250_4_7">#REF!</definedName>
    <definedName name="detib250_4_7_5">#REF!</definedName>
    <definedName name="detib250_5">#REF!</definedName>
    <definedName name="detib250_5_2">#REF!</definedName>
    <definedName name="detib250_5_2_6">#REF!</definedName>
    <definedName name="detib250_5_4">#REF!</definedName>
    <definedName name="detib250_5_4_5">#REF!</definedName>
    <definedName name="detib250_5_5">#REF!</definedName>
    <definedName name="detib250_5_6">#REF!</definedName>
    <definedName name="detib250_5_6_5">#REF!</definedName>
    <definedName name="detib250_5_7">#REF!</definedName>
    <definedName name="detib250_5_7_5">#REF!</definedName>
    <definedName name="detib250_6">#REF!</definedName>
    <definedName name="detib250_6_1">#REF!</definedName>
    <definedName name="detib250_6_1_5">#REF!</definedName>
    <definedName name="detib250_6_10">#REF!</definedName>
    <definedName name="detib250_6_11">#REF!</definedName>
    <definedName name="detib250_6_12">#REF!</definedName>
    <definedName name="detib250_6_13">#REF!</definedName>
    <definedName name="detib250_6_4">#REF!</definedName>
    <definedName name="detib250_6_4_5">#REF!</definedName>
    <definedName name="detib250_6_5">#REF!</definedName>
    <definedName name="detib250_6_6">#REF!</definedName>
    <definedName name="detib250_6_6_5">#REF!</definedName>
    <definedName name="detib250_6_7">#REF!</definedName>
    <definedName name="detib250_6_7_5">#REF!</definedName>
    <definedName name="detib250_6_9">#REF!</definedName>
    <definedName name="detib250_7">#REF!</definedName>
    <definedName name="detib250_7_5">#REF!</definedName>
    <definedName name="detib250_9">#REF!</definedName>
    <definedName name="detib260">#REF!</definedName>
    <definedName name="detib260_1">#REF!</definedName>
    <definedName name="detib260_10">#REF!</definedName>
    <definedName name="detib260_11">#REF!</definedName>
    <definedName name="detib260_12">#REF!</definedName>
    <definedName name="detib260_13">#REF!</definedName>
    <definedName name="detib260_16">#REF!</definedName>
    <definedName name="detib260_2">#REF!</definedName>
    <definedName name="detib260_2_1">#REF!</definedName>
    <definedName name="detib260_2_1_6">#REF!</definedName>
    <definedName name="detib260_2_5">#REF!</definedName>
    <definedName name="detib260_2_6">#REF!</definedName>
    <definedName name="detib260_2_7">#REF!</definedName>
    <definedName name="detib260_2_7_5">#REF!</definedName>
    <definedName name="detib260_3">#REF!</definedName>
    <definedName name="detib260_3_10">#REF!</definedName>
    <definedName name="detib260_3_11">#REF!</definedName>
    <definedName name="detib260_3_12">#REF!</definedName>
    <definedName name="detib260_3_13">#REF!</definedName>
    <definedName name="detib260_3_4">#REF!</definedName>
    <definedName name="detib260_3_4_5">#REF!</definedName>
    <definedName name="detib260_3_5">#REF!</definedName>
    <definedName name="detib260_3_6">#REF!</definedName>
    <definedName name="detib260_3_6_5">#REF!</definedName>
    <definedName name="detib260_3_7">#REF!</definedName>
    <definedName name="detib260_3_7_5">#REF!</definedName>
    <definedName name="detib260_3_9">#REF!</definedName>
    <definedName name="detib260_4">#REF!</definedName>
    <definedName name="detib260_4_1">#REF!</definedName>
    <definedName name="detib260_4_1_5">#REF!</definedName>
    <definedName name="detib260_4_10">#REF!</definedName>
    <definedName name="detib260_4_11">#REF!</definedName>
    <definedName name="detib260_4_12">#REF!</definedName>
    <definedName name="detib260_4_13">#REF!</definedName>
    <definedName name="detib260_4_2">#REF!</definedName>
    <definedName name="detib260_4_2_6">#REF!</definedName>
    <definedName name="detib260_4_4">#REF!</definedName>
    <definedName name="detib260_4_4_5">#REF!</definedName>
    <definedName name="detib260_4_5">#REF!</definedName>
    <definedName name="detib260_4_6">#REF!</definedName>
    <definedName name="detib260_4_6_5">#REF!</definedName>
    <definedName name="detib260_4_7">#REF!</definedName>
    <definedName name="detib260_4_7_5">#REF!</definedName>
    <definedName name="detib260_5">#REF!</definedName>
    <definedName name="detib260_5_2">#REF!</definedName>
    <definedName name="detib260_5_2_6">#REF!</definedName>
    <definedName name="detib260_5_4">#REF!</definedName>
    <definedName name="detib260_5_4_5">#REF!</definedName>
    <definedName name="detib260_5_5">#REF!</definedName>
    <definedName name="detib260_5_6">#REF!</definedName>
    <definedName name="detib260_5_6_5">#REF!</definedName>
    <definedName name="detib260_5_7">#REF!</definedName>
    <definedName name="detib260_5_7_5">#REF!</definedName>
    <definedName name="detib260_6">#REF!</definedName>
    <definedName name="detib260_6_1">#REF!</definedName>
    <definedName name="detib260_6_1_5">#REF!</definedName>
    <definedName name="detib260_6_10">#REF!</definedName>
    <definedName name="detib260_6_11">#REF!</definedName>
    <definedName name="detib260_6_12">#REF!</definedName>
    <definedName name="detib260_6_13">#REF!</definedName>
    <definedName name="detib260_6_4">#REF!</definedName>
    <definedName name="detib260_6_4_5">#REF!</definedName>
    <definedName name="detib260_6_5">#REF!</definedName>
    <definedName name="detib260_6_6">#REF!</definedName>
    <definedName name="detib260_6_6_5">#REF!</definedName>
    <definedName name="detib260_6_7">#REF!</definedName>
    <definedName name="detib260_6_7_5">#REF!</definedName>
    <definedName name="detib260_6_9">#REF!</definedName>
    <definedName name="detib260_7">#REF!</definedName>
    <definedName name="detib260_7_5">#REF!</definedName>
    <definedName name="detib260_9">#REF!</definedName>
    <definedName name="detib280">#REF!</definedName>
    <definedName name="detib280_1">#REF!</definedName>
    <definedName name="detib280_10">#REF!</definedName>
    <definedName name="detib280_11">#REF!</definedName>
    <definedName name="detib280_12">#REF!</definedName>
    <definedName name="detib280_13">#REF!</definedName>
    <definedName name="detib280_16">#REF!</definedName>
    <definedName name="detib280_2">#REF!</definedName>
    <definedName name="detib280_2_1">#REF!</definedName>
    <definedName name="detib280_2_1_6">#REF!</definedName>
    <definedName name="detib280_2_5">#REF!</definedName>
    <definedName name="detib280_2_6">#REF!</definedName>
    <definedName name="detib280_2_7">#REF!</definedName>
    <definedName name="detib280_2_7_5">#REF!</definedName>
    <definedName name="detib280_3">#REF!</definedName>
    <definedName name="detib280_3_10">#REF!</definedName>
    <definedName name="detib280_3_11">#REF!</definedName>
    <definedName name="detib280_3_12">#REF!</definedName>
    <definedName name="detib280_3_13">#REF!</definedName>
    <definedName name="detib280_3_4">#REF!</definedName>
    <definedName name="detib280_3_4_5">#REF!</definedName>
    <definedName name="detib280_3_5">#REF!</definedName>
    <definedName name="detib280_3_6">#REF!</definedName>
    <definedName name="detib280_3_6_5">#REF!</definedName>
    <definedName name="detib280_3_7">#REF!</definedName>
    <definedName name="detib280_3_7_5">#REF!</definedName>
    <definedName name="detib280_3_9">#REF!</definedName>
    <definedName name="detib280_4">#REF!</definedName>
    <definedName name="detib280_4_1">#REF!</definedName>
    <definedName name="detib280_4_1_5">#REF!</definedName>
    <definedName name="detib280_4_10">#REF!</definedName>
    <definedName name="detib280_4_11">#REF!</definedName>
    <definedName name="detib280_4_12">#REF!</definedName>
    <definedName name="detib280_4_13">#REF!</definedName>
    <definedName name="detib280_4_2">#REF!</definedName>
    <definedName name="detib280_4_2_6">#REF!</definedName>
    <definedName name="detib280_4_4">#REF!</definedName>
    <definedName name="detib280_4_4_5">#REF!</definedName>
    <definedName name="detib280_4_5">#REF!</definedName>
    <definedName name="detib280_4_6">#REF!</definedName>
    <definedName name="detib280_4_6_5">#REF!</definedName>
    <definedName name="detib280_4_7">#REF!</definedName>
    <definedName name="detib280_4_7_5">#REF!</definedName>
    <definedName name="detib280_5">#REF!</definedName>
    <definedName name="detib280_5_2">#REF!</definedName>
    <definedName name="detib280_5_2_6">#REF!</definedName>
    <definedName name="detib280_5_4">#REF!</definedName>
    <definedName name="detib280_5_4_5">#REF!</definedName>
    <definedName name="detib280_5_5">#REF!</definedName>
    <definedName name="detib280_5_6">#REF!</definedName>
    <definedName name="detib280_5_6_5">#REF!</definedName>
    <definedName name="detib280_5_7">#REF!</definedName>
    <definedName name="detib280_5_7_5">#REF!</definedName>
    <definedName name="detib280_6">#REF!</definedName>
    <definedName name="detib280_6_1">#REF!</definedName>
    <definedName name="detib280_6_1_5">#REF!</definedName>
    <definedName name="detib280_6_10">#REF!</definedName>
    <definedName name="detib280_6_11">#REF!</definedName>
    <definedName name="detib280_6_12">#REF!</definedName>
    <definedName name="detib280_6_13">#REF!</definedName>
    <definedName name="detib280_6_4">#REF!</definedName>
    <definedName name="detib280_6_4_5">#REF!</definedName>
    <definedName name="detib280_6_5">#REF!</definedName>
    <definedName name="detib280_6_6">#REF!</definedName>
    <definedName name="detib280_6_6_5">#REF!</definedName>
    <definedName name="detib280_6_7">#REF!</definedName>
    <definedName name="detib280_6_7_5">#REF!</definedName>
    <definedName name="detib280_6_9">#REF!</definedName>
    <definedName name="detib280_7">#REF!</definedName>
    <definedName name="detib280_7_5">#REF!</definedName>
    <definedName name="detib280_9">#REF!</definedName>
    <definedName name="detil1100">#REF!</definedName>
    <definedName name="detil1120">#REF!</definedName>
    <definedName name="detil150">#REF!</definedName>
    <definedName name="detil160">#REF!</definedName>
    <definedName name="detil180">#REF!</definedName>
    <definedName name="detil3100">#REF!</definedName>
    <definedName name="detil3120">#REF!</definedName>
    <definedName name="detil350">#REF!</definedName>
    <definedName name="detil360">#REF!</definedName>
    <definedName name="detil380">#REF!</definedName>
    <definedName name="detil3a100">#REF!</definedName>
    <definedName name="detil3a120">#REF!</definedName>
    <definedName name="detil3a50">#REF!</definedName>
    <definedName name="detil3a60">#REF!</definedName>
    <definedName name="detil3a80">#REF!</definedName>
    <definedName name="detil5100">#REF!</definedName>
    <definedName name="detil5120">#REF!</definedName>
    <definedName name="detil550">#REF!</definedName>
    <definedName name="detil560">#REF!</definedName>
    <definedName name="detil580">#REF!</definedName>
    <definedName name="detil5a100">#REF!</definedName>
    <definedName name="detil5a120">#REF!</definedName>
    <definedName name="detil5a50">#REF!</definedName>
    <definedName name="detil5a60">#REF!</definedName>
    <definedName name="detil5a80">#REF!</definedName>
    <definedName name="detil6a100">#REF!</definedName>
    <definedName name="detil6a120">#REF!</definedName>
    <definedName name="detil6a50">#REF!</definedName>
    <definedName name="detil6a60">#REF!</definedName>
    <definedName name="detil6a80">#REF!</definedName>
    <definedName name="detilug100">#REF!</definedName>
    <definedName name="detilug120">#REF!</definedName>
    <definedName name="detilug50">#REF!</definedName>
    <definedName name="detilug60">#REF!</definedName>
    <definedName name="detilug80">#REF!</definedName>
    <definedName name="DETNEWDARMIL">#REF!</definedName>
    <definedName name="DETNEWDARSIPIL">#REF!</definedName>
    <definedName name="DETNEWNORMAL">#REF!</definedName>
    <definedName name="deuhdtryh">'[50]SAT-DAS'!$J$57</definedName>
    <definedName name="dev">#REF!</definedName>
    <definedName name="DeviasiAkibatX">#REF!</definedName>
    <definedName name="DeviasiAkibatY">#REF!</definedName>
    <definedName name="DeviasiAkibatZI">#REF!</definedName>
    <definedName name="DeviasiAkibatZII">#REF!</definedName>
    <definedName name="DeviasiAlat">#REF!</definedName>
    <definedName name="DeviasiBahan">#REF!</definedName>
    <definedName name="DeviasiBUL">#REF!</definedName>
    <definedName name="DeviasiSub">#REF!</definedName>
    <definedName name="DeviasiUpah">#REF!</definedName>
    <definedName name="DevProjectExp">#REF!</definedName>
    <definedName name="dewa">#REF!</definedName>
    <definedName name="DEWAT">#REF!</definedName>
    <definedName name="dewi2">#REF!</definedName>
    <definedName name="dewi6">#REF!</definedName>
    <definedName name="df">#REF!</definedName>
    <definedName name="DFAS">#N/A</definedName>
    <definedName name="DFBCBZ">[0]!_2117detib2120_6_1_1:[0]!_2122detib250_5_1</definedName>
    <definedName name="dfd">#REF!</definedName>
    <definedName name="DFDF">#REF!</definedName>
    <definedName name="DFDF_1">#REF!</definedName>
    <definedName name="DFDF_2">#REF!</definedName>
    <definedName name="DFDF_2_6">#REF!</definedName>
    <definedName name="DFDF_23">#REF!</definedName>
    <definedName name="DFDF_25">#REF!</definedName>
    <definedName name="DFDF_3">#REF!</definedName>
    <definedName name="DFDF_3_1">#REF!</definedName>
    <definedName name="DFDF_3_2">#REF!</definedName>
    <definedName name="DFDF_4">#REF!</definedName>
    <definedName name="DFDF_4_5">#REF!</definedName>
    <definedName name="DFDF_5">#REF!</definedName>
    <definedName name="DFDF_6">#REF!</definedName>
    <definedName name="DFDF_6_5">#REF!</definedName>
    <definedName name="DFDF_7">#REF!</definedName>
    <definedName name="DFDF_7_5">#REF!</definedName>
    <definedName name="dfdtfa">#REF!</definedName>
    <definedName name="dff" hidden="1">{"'Sheet1'!$A$1"}</definedName>
    <definedName name="dfff" hidden="1">{"'Sheet1'!$A$1"}</definedName>
    <definedName name="dffhh" hidden="1">{"'Sheet1'!$A$1"}</definedName>
    <definedName name="dfg">#REF!</definedName>
    <definedName name="dfga">'[54]SAT-DAS'!$J$17</definedName>
    <definedName name="dfgd" hidden="1">#REF!</definedName>
    <definedName name="dfghh" hidden="1">{"'Sheet1'!$A$1"}</definedName>
    <definedName name="dfgrg" hidden="1">{"'Sheet1'!$A$1"}</definedName>
    <definedName name="dfhh" hidden="1">{"'Sheet1'!$A$1"}</definedName>
    <definedName name="DFILE">#REF!</definedName>
    <definedName name="dfmcoa">#REF!</definedName>
    <definedName name="dfreevf">#N/A</definedName>
    <definedName name="DFSFDS">[0]!_210_S_3_6_1_1:[0]!_2127detib250_6_1</definedName>
    <definedName name="DFSFSS">#N/A</definedName>
    <definedName name="dftil1100">#REF!</definedName>
    <definedName name="dftil1120">#REF!</definedName>
    <definedName name="dftil150">#REF!</definedName>
    <definedName name="dftil160">#REF!</definedName>
    <definedName name="dftil180">#REF!</definedName>
    <definedName name="dftil3100">#REF!</definedName>
    <definedName name="dftil3120">#REF!</definedName>
    <definedName name="dftil350">#REF!</definedName>
    <definedName name="dftil360">#REF!</definedName>
    <definedName name="dftil380">#REF!</definedName>
    <definedName name="dftil3a100">#REF!</definedName>
    <definedName name="dftil3a120">#REF!</definedName>
    <definedName name="dftil3a50">#REF!</definedName>
    <definedName name="dftil3a60">#REF!</definedName>
    <definedName name="dftil3a80">#REF!</definedName>
    <definedName name="dftil5100">#REF!</definedName>
    <definedName name="dftil5120">#REF!</definedName>
    <definedName name="dftil550">#REF!</definedName>
    <definedName name="dftil560">#REF!</definedName>
    <definedName name="dftil580">#REF!</definedName>
    <definedName name="dftil5a100">#REF!</definedName>
    <definedName name="dftil5a120">#REF!</definedName>
    <definedName name="dftil5a50">#REF!</definedName>
    <definedName name="dftil5a60">#REF!</definedName>
    <definedName name="dftil5a80">#REF!</definedName>
    <definedName name="dftil6a100">#REF!</definedName>
    <definedName name="dftil6a120">#REF!</definedName>
    <definedName name="dftil6a50">#REF!</definedName>
    <definedName name="dftil6a60">#REF!</definedName>
    <definedName name="dftil6a80">#REF!</definedName>
    <definedName name="dftilug100">#REF!</definedName>
    <definedName name="dftilug120">#REF!</definedName>
    <definedName name="dftilug50">#REF!</definedName>
    <definedName name="dftilug60">#REF!</definedName>
    <definedName name="dftilug80">#REF!</definedName>
    <definedName name="dfyhj" hidden="1">{"'Sheet1'!$A$1"}</definedName>
    <definedName name="Dg">#REF!</definedName>
    <definedName name="DGAHFA">#REF!</definedName>
    <definedName name="dgd">#REF!</definedName>
    <definedName name="dgdf">#REF!</definedName>
    <definedName name="dgdg">#REF!</definedName>
    <definedName name="dgdgdg">#REF!</definedName>
    <definedName name="dge4g" hidden="1">{"'Sheet1'!$A$1"}</definedName>
    <definedName name="dgfgdg">#REF!</definedName>
    <definedName name="dggdhhfd">#REF!</definedName>
    <definedName name="dgk">#REF!</definedName>
    <definedName name="dgk_1">#REF!</definedName>
    <definedName name="dgk_10">#REF!</definedName>
    <definedName name="dgk_11">#REF!</definedName>
    <definedName name="dgk_12">#REF!</definedName>
    <definedName name="dgk_13">#REF!</definedName>
    <definedName name="dgk_2">#REF!</definedName>
    <definedName name="dgk_2_1">#REF!</definedName>
    <definedName name="dgk_2_1_6">#REF!</definedName>
    <definedName name="dgk_2_5">#REF!</definedName>
    <definedName name="dgk_2_6">#REF!</definedName>
    <definedName name="dgk_2_7">#REF!</definedName>
    <definedName name="dgk_2_7_5">#REF!</definedName>
    <definedName name="dgk_3">#REF!</definedName>
    <definedName name="dgk_3_10">#REF!</definedName>
    <definedName name="dgk_3_11">#REF!</definedName>
    <definedName name="dgk_3_12">#REF!</definedName>
    <definedName name="dgk_3_13">#REF!</definedName>
    <definedName name="dgk_3_5">#REF!</definedName>
    <definedName name="dgk_3_6">#REF!</definedName>
    <definedName name="dgk_3_7">#REF!</definedName>
    <definedName name="dgk_3_7_5">#REF!</definedName>
    <definedName name="dgk_3_9">#REF!</definedName>
    <definedName name="dgk_4">#REF!</definedName>
    <definedName name="dgk_4_5">#REF!</definedName>
    <definedName name="dgk_5">#REF!</definedName>
    <definedName name="dgk_6">#REF!</definedName>
    <definedName name="dgk_6_1">#REF!</definedName>
    <definedName name="dgk_6_1_5">#REF!</definedName>
    <definedName name="dgk_6_10">#REF!</definedName>
    <definedName name="dgk_6_11">#REF!</definedName>
    <definedName name="dgk_6_12">#REF!</definedName>
    <definedName name="dgk_6_13">#REF!</definedName>
    <definedName name="dgk_6_5">#REF!</definedName>
    <definedName name="dgk_6_6">#REF!</definedName>
    <definedName name="dgk_6_7">#REF!</definedName>
    <definedName name="dgk_6_7_5">#REF!</definedName>
    <definedName name="dgk_6_9">#REF!</definedName>
    <definedName name="dgk_7">#REF!</definedName>
    <definedName name="dgk_7_5">#REF!</definedName>
    <definedName name="dgk_9">#REF!</definedName>
    <definedName name="DGM">#REF!</definedName>
    <definedName name="dgn" hidden="1">{"'AC-q1'!$B$523"}</definedName>
    <definedName name="dgn_dip">#REF!</definedName>
    <definedName name="dgnc">#REF!</definedName>
    <definedName name="dgssa">#REF!</definedName>
    <definedName name="dgtatga">'[108]SAT-DAS'!$J$16</definedName>
    <definedName name="DGTH">[18]DONGIA!#REF!</definedName>
    <definedName name="DGTH1">#REF!</definedName>
    <definedName name="dgth2">#REF!</definedName>
    <definedName name="DGTR">#REF!</definedName>
    <definedName name="dgvl">#REF!</definedName>
    <definedName name="DGVL1">#REF!</definedName>
    <definedName name="DGVT">#REF!</definedName>
    <definedName name="DGXZDDASHD">#REF!</definedName>
    <definedName name="dharga">#REF!</definedName>
    <definedName name="dhd">'[109]SAT-DAS'!$I$27</definedName>
    <definedName name="dhdh" hidden="1">{"'Sheet1'!$A$1"}</definedName>
    <definedName name="dhgd">'[105]SAT-DAS'!$J$29</definedName>
    <definedName name="dhj" hidden="1">{"'Sheet1'!$A$1"}</definedName>
    <definedName name="dhjrt" hidden="1">{"'Sheet1'!$A$1"}</definedName>
    <definedName name="dhjy">[80]DHSD!$G$23</definedName>
    <definedName name="dhreje">#N/A</definedName>
    <definedName name="DI">#REF!</definedName>
    <definedName name="DI_1">#REF!</definedName>
    <definedName name="DI_10">#REF!</definedName>
    <definedName name="DI_11">#REF!</definedName>
    <definedName name="DI_12">#REF!</definedName>
    <definedName name="DI_13">#REF!</definedName>
    <definedName name="DI_2">#REF!</definedName>
    <definedName name="DI_3">#REF!</definedName>
    <definedName name="DI_4">#REF!</definedName>
    <definedName name="DI_5">#REF!</definedName>
    <definedName name="DI_6">#REF!</definedName>
    <definedName name="DI_7">#REF!</definedName>
    <definedName name="DI_8">#REF!</definedName>
    <definedName name="DI_9">#REF!</definedName>
    <definedName name="DIA">#REF!</definedName>
    <definedName name="dia.10">#REF!</definedName>
    <definedName name="dia.12">#REF!</definedName>
    <definedName name="dia.13">#REF!</definedName>
    <definedName name="dia.16">#REF!</definedName>
    <definedName name="dia.8">#REF!</definedName>
    <definedName name="dia6_1">#REF!</definedName>
    <definedName name="dia6_1_5">#REF!</definedName>
    <definedName name="dia6_10">#REF!</definedName>
    <definedName name="dia6_11">#REF!</definedName>
    <definedName name="dia6_12">#REF!</definedName>
    <definedName name="dia6_13">#REF!</definedName>
    <definedName name="dia6_2">#REF!</definedName>
    <definedName name="dia6_2_1">#REF!</definedName>
    <definedName name="dia6_2_1_1">#REF!</definedName>
    <definedName name="dia6_2_1_1_6">#REF!</definedName>
    <definedName name="dia6_2_1_5">#REF!</definedName>
    <definedName name="dia6_2_1_6">#REF!</definedName>
    <definedName name="dia6_2_1_7">#REF!</definedName>
    <definedName name="dia6_2_1_7_5">#REF!</definedName>
    <definedName name="dia6_2_5">#REF!</definedName>
    <definedName name="dia6_2_6">#REF!</definedName>
    <definedName name="dia6_2_7">#REF!</definedName>
    <definedName name="dia6_2_7_5">#REF!</definedName>
    <definedName name="dia6_3">#REF!</definedName>
    <definedName name="dia6_3_1">#REF!</definedName>
    <definedName name="dia6_3_10">#REF!</definedName>
    <definedName name="dia6_3_11">#REF!</definedName>
    <definedName name="dia6_3_12">#REF!</definedName>
    <definedName name="dia6_3_13">#REF!</definedName>
    <definedName name="dia6_3_2">#REF!</definedName>
    <definedName name="dia6_3_4">#REF!</definedName>
    <definedName name="dia6_3_4_5">#REF!</definedName>
    <definedName name="dia6_3_5">#REF!</definedName>
    <definedName name="dia6_3_6">#REF!</definedName>
    <definedName name="dia6_3_6_5">#REF!</definedName>
    <definedName name="dia6_3_7">#REF!</definedName>
    <definedName name="dia6_3_7_5">#REF!</definedName>
    <definedName name="dia6_3_9">#REF!</definedName>
    <definedName name="dia6_4">#REF!</definedName>
    <definedName name="dia6_4_1">#REF!</definedName>
    <definedName name="dia6_4_1_5">#REF!</definedName>
    <definedName name="dia6_4_10">#REF!</definedName>
    <definedName name="dia6_4_11">#REF!</definedName>
    <definedName name="dia6_4_12">#REF!</definedName>
    <definedName name="dia6_4_13">#REF!</definedName>
    <definedName name="dia6_4_2">#REF!</definedName>
    <definedName name="dia6_4_2_6">#REF!</definedName>
    <definedName name="dia6_4_4">#REF!</definedName>
    <definedName name="dia6_4_4_5">#REF!</definedName>
    <definedName name="dia6_4_5">#REF!</definedName>
    <definedName name="dia6_4_6">#REF!</definedName>
    <definedName name="dia6_4_6_5">#REF!</definedName>
    <definedName name="dia6_4_7">#REF!</definedName>
    <definedName name="dia6_4_7_5">#REF!</definedName>
    <definedName name="dia6_5">#REF!</definedName>
    <definedName name="dia6_5_2">#REF!</definedName>
    <definedName name="dia6_5_2_6">#REF!</definedName>
    <definedName name="dia6_5_4">#REF!</definedName>
    <definedName name="dia6_5_4_5">#REF!</definedName>
    <definedName name="dia6_5_5">#REF!</definedName>
    <definedName name="dia6_5_6">#REF!</definedName>
    <definedName name="dia6_5_6_5">#REF!</definedName>
    <definedName name="dia6_5_7">#REF!</definedName>
    <definedName name="dia6_5_7_5">#REF!</definedName>
    <definedName name="dia6_6">#REF!</definedName>
    <definedName name="dia6_6_1">#REF!</definedName>
    <definedName name="dia6_6_1_5">#REF!</definedName>
    <definedName name="dia6_6_10">#REF!</definedName>
    <definedName name="dia6_6_11">#REF!</definedName>
    <definedName name="dia6_6_12">#REF!</definedName>
    <definedName name="dia6_6_13">#REF!</definedName>
    <definedName name="dia6_6_4">#REF!</definedName>
    <definedName name="dia6_6_4_5">#REF!</definedName>
    <definedName name="dia6_6_5">#REF!</definedName>
    <definedName name="dia6_6_6">#REF!</definedName>
    <definedName name="dia6_6_6_5">#REF!</definedName>
    <definedName name="dia6_6_7">#REF!</definedName>
    <definedName name="dia6_6_7_5">#REF!</definedName>
    <definedName name="dia6_6_9">#REF!</definedName>
    <definedName name="dia6_7">#REF!</definedName>
    <definedName name="dia6_7_5">#REF!</definedName>
    <definedName name="dia6_9">#REF!</definedName>
    <definedName name="Diapragma316">#REF!</definedName>
    <definedName name="Diapragma400">#REF!</definedName>
    <definedName name="diapragma405">#REF!</definedName>
    <definedName name="dibet30">#REF!</definedName>
    <definedName name="didiidid">#REF!</definedName>
    <definedName name="didincor">#REF!</definedName>
    <definedName name="Diesel_Hammer">#REF!</definedName>
    <definedName name="diffuser">#REF!</definedName>
    <definedName name="DIGIT">#REF!</definedName>
    <definedName name="DIHIT">#REF!</definedName>
    <definedName name="DIHIT_PARTISI">#REF!</definedName>
    <definedName name="DII_1">#REF!</definedName>
    <definedName name="DII_10">#REF!</definedName>
    <definedName name="DII_11">#REF!</definedName>
    <definedName name="DII_12">#REF!</definedName>
    <definedName name="DII_13">#REF!</definedName>
    <definedName name="DII_2">#REF!</definedName>
    <definedName name="DII_3">#REF!</definedName>
    <definedName name="DII_4">#REF!</definedName>
    <definedName name="DII_5">#REF!</definedName>
    <definedName name="DII_6">#REF!</definedName>
    <definedName name="DII_7">#REF!</definedName>
    <definedName name="DII_8">#REF!</definedName>
    <definedName name="DII_9">#REF!</definedName>
    <definedName name="DIII_1">#REF!</definedName>
    <definedName name="DIII_10">#REF!</definedName>
    <definedName name="DIII_11">#REF!</definedName>
    <definedName name="DIII_12">#REF!</definedName>
    <definedName name="DIII_13">#REF!</definedName>
    <definedName name="DIII_2">#REF!</definedName>
    <definedName name="DIII_3">#REF!</definedName>
    <definedName name="DIII_4">#REF!</definedName>
    <definedName name="DIII_5">#REF!</definedName>
    <definedName name="DIII_6">#REF!</definedName>
    <definedName name="DIII_7">#REF!</definedName>
    <definedName name="DIII_8">#REF!</definedName>
    <definedName name="DIII_9">#REF!</definedName>
    <definedName name="DILATASI">#REF!</definedName>
    <definedName name="diletasi">'[83]DAF-5'!$I$82</definedName>
    <definedName name="dind">#REF!</definedName>
    <definedName name="dind30b220">#REF!</definedName>
    <definedName name="dindgrc">#REF!</definedName>
    <definedName name="DINDING">[97]ARSITEKTUR!#REF!</definedName>
    <definedName name="DINDING_KERAMIK">[97]ARSITEKTUR!#REF!</definedName>
    <definedName name="dinding_zincalume">#REF!</definedName>
    <definedName name="dinding1">#REF!</definedName>
    <definedName name="DindingBedeg">#REF!</definedName>
    <definedName name="dindingdapur">#REF!</definedName>
    <definedName name="DindingFe100">#REF!</definedName>
    <definedName name="DindingFe120">#REF!</definedName>
    <definedName name="DindingFe125">#REF!</definedName>
    <definedName name="DindingFe150">#REF!</definedName>
    <definedName name="DindingFe160">#REF!</definedName>
    <definedName name="DindingFe175">#REF!</definedName>
    <definedName name="DindingFe80">#REF!</definedName>
    <definedName name="dindinggrc">#REF!</definedName>
    <definedName name="dindingkayu">#REF!</definedName>
    <definedName name="Dindingpartisi">#REF!</definedName>
    <definedName name="dindingpemisah">#REF!</definedName>
    <definedName name="DindingRoster">#REF!</definedName>
    <definedName name="dindingulang">#REF!</definedName>
    <definedName name="dindkamarmandi">#REF!</definedName>
    <definedName name="dinker20">#REF!</definedName>
    <definedName name="DIP">#REF!</definedName>
    <definedName name="dir">[9]Ch!$A$12</definedName>
    <definedName name="direksikeet">#REF!</definedName>
    <definedName name="dirkit">#REF!</definedName>
    <definedName name="DIRUT">[3]CH!$C$42</definedName>
    <definedName name="DIS">#REF!</definedName>
    <definedName name="disc">#REF!</definedName>
    <definedName name="disc_alm">#REF!</definedName>
    <definedName name="disc1">#REF!</definedName>
    <definedName name="disc2">#REF!</definedName>
    <definedName name="discbaja">#REF!</definedName>
    <definedName name="discbaja_6">#REF!</definedName>
    <definedName name="discbesi">#REF!</definedName>
    <definedName name="disceuro">#REF!</definedName>
    <definedName name="Dischubb">#REF!</definedName>
    <definedName name="Discindoflek">#REF!</definedName>
    <definedName name="Discitra">#REF!</definedName>
    <definedName name="discker">#REF!</definedName>
    <definedName name="discmbb">#REF!</definedName>
    <definedName name="Discount" hidden="1">#REF!</definedName>
    <definedName name="discpel">#REF!</definedName>
    <definedName name="discpel_6">#REF!</definedName>
    <definedName name="discpin">#REF!</definedName>
    <definedName name="discpin_6">#REF!</definedName>
    <definedName name="DISCRM">#REF!</definedName>
    <definedName name="DISCRM_6">#REF!</definedName>
    <definedName name="discsan">#REF!</definedName>
    <definedName name="discsantoto">#REF!</definedName>
    <definedName name="discseis">#REF!</definedName>
    <definedName name="discseis_6">#REF!</definedName>
    <definedName name="DisCurtain">#REF!</definedName>
    <definedName name="DISDIFF">#REF!</definedName>
    <definedName name="Disdraco">#REF!</definedName>
    <definedName name="disenza">#REF!</definedName>
    <definedName name="Disfan">#REF!</definedName>
    <definedName name="DISFLEX">#REF!</definedName>
    <definedName name="disgran">#N/A</definedName>
    <definedName name="Dishoneywell">#REF!</definedName>
    <definedName name="Diskon_diff">#N/A</definedName>
    <definedName name="Diskon_motor">#N/A</definedName>
    <definedName name="Dismon">#N/A</definedName>
    <definedName name="Disocean">#REF!</definedName>
    <definedName name="Dispatterson">#REF!</definedName>
    <definedName name="display_area_2" hidden="1">#REF!</definedName>
    <definedName name="disPM">#REF!</definedName>
    <definedName name="DISPOSAL">#REF!</definedName>
    <definedName name="disrom">#REF!</definedName>
    <definedName name="Distoyo">#REF!</definedName>
    <definedName name="DIV10ASB">#REF!</definedName>
    <definedName name="DIV1ASB">#REF!</definedName>
    <definedName name="DIV2ASB">#REF!</definedName>
    <definedName name="DIV3A" hidden="1">#REF!</definedName>
    <definedName name="DIV3ASB">#REF!</definedName>
    <definedName name="DIV4ASB">#REF!</definedName>
    <definedName name="DIV5ASB">#REF!</definedName>
    <definedName name="DIV6ASB">#REF!</definedName>
    <definedName name="DIV7ASB">#REF!</definedName>
    <definedName name="DIV8ASB">#REF!</definedName>
    <definedName name="DIV9ASB">#REF!</definedName>
    <definedName name="DIVISI">#REF!</definedName>
    <definedName name="Divisi1">#REF!</definedName>
    <definedName name="Divisi10">#REF!</definedName>
    <definedName name="Divisi3">#REF!</definedName>
    <definedName name="Divisi4">#REF!</definedName>
    <definedName name="Divisi5">#REF!</definedName>
    <definedName name="Divisi6">#REF!</definedName>
    <definedName name="Divisi7">#REF!</definedName>
    <definedName name="Divisi8">#REF!</definedName>
    <definedName name="djd">'[105]SAT-DAS'!$J$19</definedName>
    <definedName name="djud">[51]DHSD!$G$19</definedName>
    <definedName name="djuki">#REF!</definedName>
    <definedName name="dk">#REF!</definedName>
    <definedName name="dka">#REF!</definedName>
    <definedName name="dka_1">#REF!</definedName>
    <definedName name="dka_10">#REF!</definedName>
    <definedName name="dka_11">#REF!</definedName>
    <definedName name="dka_12">#REF!</definedName>
    <definedName name="dka_13">#REF!</definedName>
    <definedName name="dka_2">#REF!</definedName>
    <definedName name="dka_2_1">#REF!</definedName>
    <definedName name="dka_2_1_6">#REF!</definedName>
    <definedName name="dka_2_5">#REF!</definedName>
    <definedName name="dka_2_6">#REF!</definedName>
    <definedName name="dka_2_7">#REF!</definedName>
    <definedName name="dka_2_7_5">#REF!</definedName>
    <definedName name="dka_3">#REF!</definedName>
    <definedName name="dka_3_10">#REF!</definedName>
    <definedName name="dka_3_11">#REF!</definedName>
    <definedName name="dka_3_12">#REF!</definedName>
    <definedName name="dka_3_13">#REF!</definedName>
    <definedName name="dka_3_5">#REF!</definedName>
    <definedName name="dka_3_6">#REF!</definedName>
    <definedName name="dka_3_7">#REF!</definedName>
    <definedName name="dka_3_7_5">#REF!</definedName>
    <definedName name="dka_3_9">#REF!</definedName>
    <definedName name="dka_4">#REF!</definedName>
    <definedName name="dka_4_5">#REF!</definedName>
    <definedName name="dka_5">#REF!</definedName>
    <definedName name="dka_6">#REF!</definedName>
    <definedName name="dka_6_1">#REF!</definedName>
    <definedName name="dka_6_1_5">#REF!</definedName>
    <definedName name="dka_6_10">#REF!</definedName>
    <definedName name="dka_6_11">#REF!</definedName>
    <definedName name="dka_6_12">#REF!</definedName>
    <definedName name="dka_6_13">#REF!</definedName>
    <definedName name="dka_6_5">#REF!</definedName>
    <definedName name="dka_6_6">#REF!</definedName>
    <definedName name="dka_6_7">#REF!</definedName>
    <definedName name="dka_6_7_5">#REF!</definedName>
    <definedName name="dka_6_9">#REF!</definedName>
    <definedName name="dka_7">#REF!</definedName>
    <definedName name="dka_7_5">#REF!</definedName>
    <definedName name="dka_9">#REF!</definedName>
    <definedName name="dker20">#REF!</definedName>
    <definedName name="DKH">#REF!</definedName>
    <definedName name="dkk">#REF!</definedName>
    <definedName name="dkk_1">#REF!</definedName>
    <definedName name="dkk_10">#REF!</definedName>
    <definedName name="dkk_11">#REF!</definedName>
    <definedName name="dkk_12">#REF!</definedName>
    <definedName name="dkk_13">#REF!</definedName>
    <definedName name="dkk_2">#REF!</definedName>
    <definedName name="dkk_2_1">#REF!</definedName>
    <definedName name="dkk_2_1_6">#REF!</definedName>
    <definedName name="dkk_2_5">#REF!</definedName>
    <definedName name="dkk_2_6">#REF!</definedName>
    <definedName name="dkk_2_7">#REF!</definedName>
    <definedName name="dkk_2_7_5">#REF!</definedName>
    <definedName name="dkk_3">#REF!</definedName>
    <definedName name="dkk_3_10">#REF!</definedName>
    <definedName name="dkk_3_11">#REF!</definedName>
    <definedName name="dkk_3_12">#REF!</definedName>
    <definedName name="dkk_3_13">#REF!</definedName>
    <definedName name="dkk_3_5">#REF!</definedName>
    <definedName name="dkk_3_6">#REF!</definedName>
    <definedName name="dkk_3_7">#REF!</definedName>
    <definedName name="dkk_3_7_5">#REF!</definedName>
    <definedName name="dkk_3_9">#REF!</definedName>
    <definedName name="dkk_4">#REF!</definedName>
    <definedName name="dkk_4_5">#REF!</definedName>
    <definedName name="dkk_5">#REF!</definedName>
    <definedName name="dkk_6">#REF!</definedName>
    <definedName name="dkk_6_1">#REF!</definedName>
    <definedName name="dkk_6_1_5">#REF!</definedName>
    <definedName name="dkk_6_10">#REF!</definedName>
    <definedName name="dkk_6_11">#REF!</definedName>
    <definedName name="dkk_6_12">#REF!</definedName>
    <definedName name="dkk_6_13">#REF!</definedName>
    <definedName name="dkk_6_5">#REF!</definedName>
    <definedName name="dkk_6_6">#REF!</definedName>
    <definedName name="dkk_6_7">#REF!</definedName>
    <definedName name="dkk_6_7_5">#REF!</definedName>
    <definedName name="dkk_6_9">#REF!</definedName>
    <definedName name="dkk_7">#REF!</definedName>
    <definedName name="dkk_7_5">#REF!</definedName>
    <definedName name="dkk_9">#REF!</definedName>
    <definedName name="DL">#REF!</definedName>
    <definedName name="Dl_329">[39]Electrikal!#REF!</definedName>
    <definedName name="DL15HT">'[18]TONGKE-HT'!#REF!</definedName>
    <definedName name="DL16HT">'[18]TONGKE-HT'!#REF!</definedName>
    <definedName name="DL19HT">'[18]TONGKE-HT'!#REF!</definedName>
    <definedName name="dl20dl">#REF!</definedName>
    <definedName name="DL20HT">'[18]TONGKE-HT'!#REF!</definedName>
    <definedName name="dlarm">#N/A</definedName>
    <definedName name="dldl1100">#REF!</definedName>
    <definedName name="dldl160">#REF!</definedName>
    <definedName name="dldl180">#REF!</definedName>
    <definedName name="dldlg100">#REF!</definedName>
    <definedName name="dletasijeene">[83]Sheet1!$H$34</definedName>
    <definedName name="dlh20c">#REF!</definedName>
    <definedName name="dlh20nb">#REF!</definedName>
    <definedName name="dlh50nb">#REF!</definedName>
    <definedName name="DLL">#REF!</definedName>
    <definedName name="dllg100">#REF!</definedName>
    <definedName name="dllg120">#REF!</definedName>
    <definedName name="dllg50">#REF!</definedName>
    <definedName name="dllg60">#REF!</definedName>
    <definedName name="dllg80">#REF!</definedName>
    <definedName name="dlpar150">#REF!</definedName>
    <definedName name="dlpar38120">#REF!</definedName>
    <definedName name="dlpar38120_1">#REF!</definedName>
    <definedName name="dlpar38120_10">#REF!</definedName>
    <definedName name="dlpar38120_11">#REF!</definedName>
    <definedName name="dlpar38120_12">#REF!</definedName>
    <definedName name="dlpar38120_13">#REF!</definedName>
    <definedName name="dlpar38120_2">#REF!</definedName>
    <definedName name="dlpar38120_2_1">#REF!</definedName>
    <definedName name="dlpar38120_2_1_6">#REF!</definedName>
    <definedName name="dlpar38120_2_5">#REF!</definedName>
    <definedName name="dlpar38120_2_6">#REF!</definedName>
    <definedName name="dlpar38120_2_7">#REF!</definedName>
    <definedName name="dlpar38120_2_7_5">#REF!</definedName>
    <definedName name="dlpar38120_3">#REF!</definedName>
    <definedName name="dlpar38120_3_10">#REF!</definedName>
    <definedName name="dlpar38120_3_11">#REF!</definedName>
    <definedName name="dlpar38120_3_12">#REF!</definedName>
    <definedName name="dlpar38120_3_13">#REF!</definedName>
    <definedName name="dlpar38120_3_4">#REF!</definedName>
    <definedName name="dlpar38120_3_4_5">#REF!</definedName>
    <definedName name="dlpar38120_3_5">#REF!</definedName>
    <definedName name="dlpar38120_3_6">#REF!</definedName>
    <definedName name="dlpar38120_3_6_5">#REF!</definedName>
    <definedName name="dlpar38120_3_7">#REF!</definedName>
    <definedName name="dlpar38120_3_7_5">#REF!</definedName>
    <definedName name="dlpar38120_3_9">#REF!</definedName>
    <definedName name="dlpar38120_4">#REF!</definedName>
    <definedName name="dlpar38120_4_1">#REF!</definedName>
    <definedName name="dlpar38120_4_1_5">#REF!</definedName>
    <definedName name="dlpar38120_4_10">#REF!</definedName>
    <definedName name="dlpar38120_4_11">#REF!</definedName>
    <definedName name="dlpar38120_4_12">#REF!</definedName>
    <definedName name="dlpar38120_4_13">#REF!</definedName>
    <definedName name="dlpar38120_4_2">#REF!</definedName>
    <definedName name="dlpar38120_4_2_6">#REF!</definedName>
    <definedName name="dlpar38120_4_4">#REF!</definedName>
    <definedName name="dlpar38120_4_4_5">#REF!</definedName>
    <definedName name="dlpar38120_4_5">#REF!</definedName>
    <definedName name="dlpar38120_4_6">#REF!</definedName>
    <definedName name="dlpar38120_4_6_5">#REF!</definedName>
    <definedName name="dlpar38120_4_7">#REF!</definedName>
    <definedName name="dlpar38120_4_7_5">#REF!</definedName>
    <definedName name="dlpar38120_5">#REF!</definedName>
    <definedName name="dlpar38120_5_2">#REF!</definedName>
    <definedName name="dlpar38120_5_2_6">#REF!</definedName>
    <definedName name="dlpar38120_5_4">#REF!</definedName>
    <definedName name="dlpar38120_5_4_5">#REF!</definedName>
    <definedName name="dlpar38120_5_5">#REF!</definedName>
    <definedName name="dlpar38120_5_6">#REF!</definedName>
    <definedName name="dlpar38120_5_6_5">#REF!</definedName>
    <definedName name="dlpar38120_5_7">#REF!</definedName>
    <definedName name="dlpar38120_5_7_5">#REF!</definedName>
    <definedName name="dlpar38120_6">#REF!</definedName>
    <definedName name="dlpar38120_6_1">#REF!</definedName>
    <definedName name="dlpar38120_6_1_5">#REF!</definedName>
    <definedName name="dlpar38120_6_10">#REF!</definedName>
    <definedName name="dlpar38120_6_11">#REF!</definedName>
    <definedName name="dlpar38120_6_12">#REF!</definedName>
    <definedName name="dlpar38120_6_13">#REF!</definedName>
    <definedName name="dlpar38120_6_4">#REF!</definedName>
    <definedName name="dlpar38120_6_4_5">#REF!</definedName>
    <definedName name="dlpar38120_6_5">#REF!</definedName>
    <definedName name="dlpar38120_6_6">#REF!</definedName>
    <definedName name="dlpar38120_6_6_5">#REF!</definedName>
    <definedName name="dlpar38120_6_7">#REF!</definedName>
    <definedName name="dlpar38120_6_7_5">#REF!</definedName>
    <definedName name="dlpar38120_6_9">#REF!</definedName>
    <definedName name="dlpar38120_7">#REF!</definedName>
    <definedName name="dlpar38120_7_5">#REF!</definedName>
    <definedName name="dlpar38120_9">#REF!</definedName>
    <definedName name="dlpar56150">#REF!</definedName>
    <definedName name="dlpar75">#REF!</definedName>
    <definedName name="dlpl18">#REF!</definedName>
    <definedName name="dlpl18nb">#REF!</definedName>
    <definedName name="dlpl1x13">#REF!</definedName>
    <definedName name="dlpl1x13nb">#REF!</definedName>
    <definedName name="dlpl2x18">#REF!</definedName>
    <definedName name="dlpl2x18nb">#REF!</definedName>
    <definedName name="dlpl9">#REF!</definedName>
    <definedName name="dlpl9nb">#REF!</definedName>
    <definedName name="dlplc13w">#REF!</definedName>
    <definedName name="dlplc13w_1">#REF!</definedName>
    <definedName name="dlplc13w_10">#REF!</definedName>
    <definedName name="dlplc13w_11">#REF!</definedName>
    <definedName name="dlplc13w_12">#REF!</definedName>
    <definedName name="dlplc13w_13">#REF!</definedName>
    <definedName name="dlplc13w_2">#REF!</definedName>
    <definedName name="dlplc13w_2_1">#REF!</definedName>
    <definedName name="dlplc13w_2_1_6">#REF!</definedName>
    <definedName name="dlplc13w_2_5">#REF!</definedName>
    <definedName name="dlplc13w_2_6">#REF!</definedName>
    <definedName name="dlplc13w_2_7">#REF!</definedName>
    <definedName name="dlplc13w_2_7_5">#REF!</definedName>
    <definedName name="dlplc13w_3">#REF!</definedName>
    <definedName name="dlplc13w_3_10">#REF!</definedName>
    <definedName name="dlplc13w_3_11">#REF!</definedName>
    <definedName name="dlplc13w_3_12">#REF!</definedName>
    <definedName name="dlplc13w_3_13">#REF!</definedName>
    <definedName name="dlplc13w_3_4">#REF!</definedName>
    <definedName name="dlplc13w_3_4_5">#REF!</definedName>
    <definedName name="dlplc13w_3_5">#REF!</definedName>
    <definedName name="dlplc13w_3_6">#REF!</definedName>
    <definedName name="dlplc13w_3_6_5">#REF!</definedName>
    <definedName name="dlplc13w_3_7">#REF!</definedName>
    <definedName name="dlplc13w_3_7_5">#REF!</definedName>
    <definedName name="dlplc13w_3_9">#REF!</definedName>
    <definedName name="dlplc13w_4">#REF!</definedName>
    <definedName name="dlplc13w_4_1">#REF!</definedName>
    <definedName name="dlplc13w_4_1_5">#REF!</definedName>
    <definedName name="dlplc13w_4_10">#REF!</definedName>
    <definedName name="dlplc13w_4_11">#REF!</definedName>
    <definedName name="dlplc13w_4_12">#REF!</definedName>
    <definedName name="dlplc13w_4_13">#REF!</definedName>
    <definedName name="dlplc13w_4_2">#REF!</definedName>
    <definedName name="dlplc13w_4_2_6">#REF!</definedName>
    <definedName name="dlplc13w_4_4">#REF!</definedName>
    <definedName name="dlplc13w_4_4_5">#REF!</definedName>
    <definedName name="dlplc13w_4_5">#REF!</definedName>
    <definedName name="dlplc13w_4_6">#REF!</definedName>
    <definedName name="dlplc13w_4_6_5">#REF!</definedName>
    <definedName name="dlplc13w_4_7">#REF!</definedName>
    <definedName name="dlplc13w_4_7_5">#REF!</definedName>
    <definedName name="dlplc13w_5">#REF!</definedName>
    <definedName name="dlplc13w_5_2">#REF!</definedName>
    <definedName name="dlplc13w_5_2_6">#REF!</definedName>
    <definedName name="dlplc13w_5_4">#REF!</definedName>
    <definedName name="dlplc13w_5_4_5">#REF!</definedName>
    <definedName name="dlplc13w_5_5">#REF!</definedName>
    <definedName name="dlplc13w_5_6">#REF!</definedName>
    <definedName name="dlplc13w_5_6_5">#REF!</definedName>
    <definedName name="dlplc13w_5_7">#REF!</definedName>
    <definedName name="dlplc13w_5_7_5">#REF!</definedName>
    <definedName name="dlplc13w_6">#REF!</definedName>
    <definedName name="dlplc13w_6_1">#REF!</definedName>
    <definedName name="dlplc13w_6_1_5">#REF!</definedName>
    <definedName name="dlplc13w_6_10">#REF!</definedName>
    <definedName name="dlplc13w_6_11">#REF!</definedName>
    <definedName name="dlplc13w_6_12">#REF!</definedName>
    <definedName name="dlplc13w_6_13">#REF!</definedName>
    <definedName name="dlplc13w_6_4">#REF!</definedName>
    <definedName name="dlplc13w_6_4_5">#REF!</definedName>
    <definedName name="dlplc13w_6_5">#REF!</definedName>
    <definedName name="dlplc13w_6_6">#REF!</definedName>
    <definedName name="dlplc13w_6_6_5">#REF!</definedName>
    <definedName name="dlplc13w_6_7">#REF!</definedName>
    <definedName name="dlplc13w_6_7_5">#REF!</definedName>
    <definedName name="dlplc13w_6_9">#REF!</definedName>
    <definedName name="dlplc13w_7">#REF!</definedName>
    <definedName name="dlplc13w_7_5">#REF!</definedName>
    <definedName name="dlplc13w_9">#REF!</definedName>
    <definedName name="dlplc13wbimc">#REF!</definedName>
    <definedName name="dlplc13wbimc_1">#REF!</definedName>
    <definedName name="dlplc13wbimc_10">#REF!</definedName>
    <definedName name="dlplc13wbimc_11">#REF!</definedName>
    <definedName name="dlplc13wbimc_12">#REF!</definedName>
    <definedName name="dlplc13wbimc_13">#REF!</definedName>
    <definedName name="dlplc13wbimc_2">#REF!</definedName>
    <definedName name="dlplc13wbimc_2_1">#REF!</definedName>
    <definedName name="dlplc13wbimc_2_1_6">#REF!</definedName>
    <definedName name="dlplc13wbimc_2_5">#REF!</definedName>
    <definedName name="dlplc13wbimc_2_6">#REF!</definedName>
    <definedName name="dlplc13wbimc_2_7">#REF!</definedName>
    <definedName name="dlplc13wbimc_2_7_5">#REF!</definedName>
    <definedName name="dlplc13wbimc_3">#REF!</definedName>
    <definedName name="dlplc13wbimc_3_10">#REF!</definedName>
    <definedName name="dlplc13wbimc_3_11">#REF!</definedName>
    <definedName name="dlplc13wbimc_3_12">#REF!</definedName>
    <definedName name="dlplc13wbimc_3_13">#REF!</definedName>
    <definedName name="dlplc13wbimc_3_4">#REF!</definedName>
    <definedName name="dlplc13wbimc_3_4_5">#REF!</definedName>
    <definedName name="dlplc13wbimc_3_5">#REF!</definedName>
    <definedName name="dlplc13wbimc_3_6">#REF!</definedName>
    <definedName name="dlplc13wbimc_3_6_5">#REF!</definedName>
    <definedName name="dlplc13wbimc_3_7">#REF!</definedName>
    <definedName name="dlplc13wbimc_3_7_5">#REF!</definedName>
    <definedName name="dlplc13wbimc_3_9">#REF!</definedName>
    <definedName name="dlplc13wbimc_4">#REF!</definedName>
    <definedName name="dlplc13wbimc_4_1">#REF!</definedName>
    <definedName name="dlplc13wbimc_4_1_5">#REF!</definedName>
    <definedName name="dlplc13wbimc_4_10">#REF!</definedName>
    <definedName name="dlplc13wbimc_4_11">#REF!</definedName>
    <definedName name="dlplc13wbimc_4_12">#REF!</definedName>
    <definedName name="dlplc13wbimc_4_13">#REF!</definedName>
    <definedName name="dlplc13wbimc_4_2">#REF!</definedName>
    <definedName name="dlplc13wbimc_4_2_6">#REF!</definedName>
    <definedName name="dlplc13wbimc_4_4">#REF!</definedName>
    <definedName name="dlplc13wbimc_4_4_5">#REF!</definedName>
    <definedName name="dlplc13wbimc_4_5">#REF!</definedName>
    <definedName name="dlplc13wbimc_4_6">#REF!</definedName>
    <definedName name="dlplc13wbimc_4_6_5">#REF!</definedName>
    <definedName name="dlplc13wbimc_4_7">#REF!</definedName>
    <definedName name="dlplc13wbimc_4_7_5">#REF!</definedName>
    <definedName name="dlplc13wbimc_5">#REF!</definedName>
    <definedName name="dlplc13wbimc_5_2">#REF!</definedName>
    <definedName name="dlplc13wbimc_5_2_6">#REF!</definedName>
    <definedName name="dlplc13wbimc_5_4">#REF!</definedName>
    <definedName name="dlplc13wbimc_5_4_5">#REF!</definedName>
    <definedName name="dlplc13wbimc_5_5">#REF!</definedName>
    <definedName name="dlplc13wbimc_5_6">#REF!</definedName>
    <definedName name="dlplc13wbimc_5_6_5">#REF!</definedName>
    <definedName name="dlplc13wbimc_5_7">#REF!</definedName>
    <definedName name="dlplc13wbimc_5_7_5">#REF!</definedName>
    <definedName name="dlplc13wbimc_6">#REF!</definedName>
    <definedName name="dlplc13wbimc_6_1">#REF!</definedName>
    <definedName name="dlplc13wbimc_6_1_5">#REF!</definedName>
    <definedName name="dlplc13wbimc_6_10">#REF!</definedName>
    <definedName name="dlplc13wbimc_6_11">#REF!</definedName>
    <definedName name="dlplc13wbimc_6_12">#REF!</definedName>
    <definedName name="dlplc13wbimc_6_13">#REF!</definedName>
    <definedName name="dlplc13wbimc_6_4">#REF!</definedName>
    <definedName name="dlplc13wbimc_6_4_5">#REF!</definedName>
    <definedName name="dlplc13wbimc_6_5">#REF!</definedName>
    <definedName name="dlplc13wbimc_6_6">#REF!</definedName>
    <definedName name="dlplc13wbimc_6_6_5">#REF!</definedName>
    <definedName name="dlplc13wbimc_6_7">#REF!</definedName>
    <definedName name="dlplc13wbimc_6_7_5">#REF!</definedName>
    <definedName name="dlplc13wbimc_6_9">#REF!</definedName>
    <definedName name="dlplc13wbimc_7">#REF!</definedName>
    <definedName name="dlplc13wbimc_7_5">#REF!</definedName>
    <definedName name="dlplc13wbimc_9">#REF!</definedName>
    <definedName name="dlplc2x13">#REF!</definedName>
    <definedName name="dlplc2x13nb">#REF!</definedName>
    <definedName name="dlwwh20">#REF!</definedName>
    <definedName name="dlwwh20nb">#REF!</definedName>
    <definedName name="dm">1416.98</definedName>
    <definedName name="dm_c">[65]harsat!#REF!</definedName>
    <definedName name="dmaspion1.25">#REF!</definedName>
    <definedName name="dmaspion1.5">#REF!</definedName>
    <definedName name="dmaspion10">#REF!</definedName>
    <definedName name="dmaspion12">#REF!</definedName>
    <definedName name="dmaspion14">#REF!</definedName>
    <definedName name="dmaspion16">#REF!</definedName>
    <definedName name="dmaspion2">#REF!</definedName>
    <definedName name="dmaspion2.5">#REF!</definedName>
    <definedName name="dmaspion20">#REF!</definedName>
    <definedName name="dmaspion3">#REF!</definedName>
    <definedName name="dmaspion4">#REF!</definedName>
    <definedName name="dmaspion5">#REF!</definedName>
    <definedName name="dmaspion6">#REF!</definedName>
    <definedName name="dmaspion8">#REF!</definedName>
    <definedName name="dmp_e">#REF!</definedName>
    <definedName name="dmp_i">#REF!</definedName>
    <definedName name="DmpKc">#REF!</definedName>
    <definedName name="dmpky">#REF!</definedName>
    <definedName name="dmpl">#REF!</definedName>
    <definedName name="dmpp">#REF!</definedName>
    <definedName name="Dmppr">#REF!</definedName>
    <definedName name="dms">[65]harsat!#REF!</definedName>
    <definedName name="Dn.Jnl.10001">#REF!</definedName>
    <definedName name="DNM">#REF!</definedName>
    <definedName name="dnpntalm">#REF!</definedName>
    <definedName name="Dobel_Pintu_Teakwood">#REF!</definedName>
    <definedName name="Document_array">{"Book1","RAB PASAR 30 AUG SCRAB.xls"}</definedName>
    <definedName name="Documents_array">#N/A</definedName>
    <definedName name="DODOL">#REF!</definedName>
    <definedName name="DODOL_1">#REF!</definedName>
    <definedName name="DODOL_10">#REF!</definedName>
    <definedName name="DODOL_11">#REF!</definedName>
    <definedName name="DODOL_12">#REF!</definedName>
    <definedName name="DODOL_13">#REF!</definedName>
    <definedName name="DODOL_2">#REF!</definedName>
    <definedName name="DODOL_2_1">#REF!</definedName>
    <definedName name="DODOL_2_1_6">#REF!</definedName>
    <definedName name="DODOL_2_5">#REF!</definedName>
    <definedName name="DODOL_2_6">#REF!</definedName>
    <definedName name="DODOL_2_7">#REF!</definedName>
    <definedName name="DODOL_2_7_5">#REF!</definedName>
    <definedName name="DODOL_3">#REF!</definedName>
    <definedName name="DODOL_3_5">#REF!</definedName>
    <definedName name="DODOL_4">#REF!</definedName>
    <definedName name="DODOL_4_5">#REF!</definedName>
    <definedName name="DODOL_5">#REF!</definedName>
    <definedName name="DODOL_6">#REF!</definedName>
    <definedName name="DODOL_6_1">#REF!</definedName>
    <definedName name="DODOL_6_1_5">#REF!</definedName>
    <definedName name="DODOL_6_5">#REF!</definedName>
    <definedName name="DODOL_6_7">#REF!</definedName>
    <definedName name="DODOL_6_7_5">#REF!</definedName>
    <definedName name="DODOL_7">#REF!</definedName>
    <definedName name="DODOL_7_5">#REF!</definedName>
    <definedName name="DODOL_9">#REF!</definedName>
    <definedName name="DOKA">#REF!</definedName>
    <definedName name="DOKLI">#N/A</definedName>
    <definedName name="dokumentasi">#REF!</definedName>
    <definedName name="dol">#REF!</definedName>
    <definedName name="dol_6">#REF!</definedName>
    <definedName name="DOLAR">#REF!</definedName>
    <definedName name="DOLK">#REF!</definedName>
    <definedName name="dolken">#REF!</definedName>
    <definedName name="Dolken__4___6__cm">#REF!</definedName>
    <definedName name="Dolken_7_cm">#REF!</definedName>
    <definedName name="DOLKEN10" localSheetId="7">[33]H_Dasar!#REF!</definedName>
    <definedName name="DOLKEN10">[33]H_Dasar!#REF!</definedName>
    <definedName name="dolkenkayu">#REF!</definedName>
    <definedName name="dolkin4">#REF!</definedName>
    <definedName name="dollar">#REF!</definedName>
    <definedName name="Dollar_aus">#REF!</definedName>
    <definedName name="Dollar_Australia">#REF!</definedName>
    <definedName name="DOLLAR_TAM">#REF!</definedName>
    <definedName name="Dollars">#REF!</definedName>
    <definedName name="dolocit">#REF!</definedName>
    <definedName name="DOLSing">#REF!</definedName>
    <definedName name="DOMBA">#REF!</definedName>
    <definedName name="DOMBA_1">#REF!</definedName>
    <definedName name="DOMBA_10">#REF!</definedName>
    <definedName name="DOMBA_11">#REF!</definedName>
    <definedName name="DOMBA_12">#REF!</definedName>
    <definedName name="DOMBA_13">#REF!</definedName>
    <definedName name="DOMBA_2">#REF!</definedName>
    <definedName name="DOMBA_2_1">#REF!</definedName>
    <definedName name="DOMBA_2_1_6">#REF!</definedName>
    <definedName name="DOMBA_2_5">#REF!</definedName>
    <definedName name="DOMBA_2_6">#REF!</definedName>
    <definedName name="DOMBA_2_7">#REF!</definedName>
    <definedName name="DOMBA_2_7_5">#REF!</definedName>
    <definedName name="DOMBA_3">#REF!</definedName>
    <definedName name="DOMBA_3_10">#REF!</definedName>
    <definedName name="DOMBA_3_11">#REF!</definedName>
    <definedName name="DOMBA_3_12">#REF!</definedName>
    <definedName name="DOMBA_3_13">#REF!</definedName>
    <definedName name="DOMBA_3_5">#REF!</definedName>
    <definedName name="DOMBA_3_6">#REF!</definedName>
    <definedName name="DOMBA_3_7">#REF!</definedName>
    <definedName name="DOMBA_3_7_5">#REF!</definedName>
    <definedName name="DOMBA_3_9">#REF!</definedName>
    <definedName name="DOMBA_4">#REF!</definedName>
    <definedName name="DOMBA_4_5">#REF!</definedName>
    <definedName name="DOMBA_5">#REF!</definedName>
    <definedName name="DOMBA_6">#REF!</definedName>
    <definedName name="DOMBA_6_1">#REF!</definedName>
    <definedName name="DOMBA_6_1_5">#REF!</definedName>
    <definedName name="DOMBA_6_10">#REF!</definedName>
    <definedName name="DOMBA_6_11">#REF!</definedName>
    <definedName name="DOMBA_6_12">#REF!</definedName>
    <definedName name="DOMBA_6_13">#REF!</definedName>
    <definedName name="DOMBA_6_5">#REF!</definedName>
    <definedName name="DOMBA_6_6">#REF!</definedName>
    <definedName name="DOMBA_6_7">#REF!</definedName>
    <definedName name="DOMBA_6_7_5">#REF!</definedName>
    <definedName name="DOMBA_6_9">#REF!</definedName>
    <definedName name="DOMBA_7">#REF!</definedName>
    <definedName name="DOMBA_7_5">#REF!</definedName>
    <definedName name="DOMBA_9">#REF!</definedName>
    <definedName name="dongia">#REF!</definedName>
    <definedName name="dongia1">#REF!</definedName>
    <definedName name="door">'[110]D &amp; W sizes'!$B$3:$D$35</definedName>
    <definedName name="DOORCLOSER">#REF!</definedName>
    <definedName name="doorm">#REF!</definedName>
    <definedName name="DOZER" localSheetId="7">[33]H_Dasar!#REF!</definedName>
    <definedName name="dozer">#REF!</definedName>
    <definedName name="Dozzer">#REF!</definedName>
    <definedName name="dP">#REF!</definedName>
    <definedName name="dpa">#REF!</definedName>
    <definedName name="dpa_1">#REF!</definedName>
    <definedName name="dpa_10">#REF!</definedName>
    <definedName name="dpa_11">#REF!</definedName>
    <definedName name="dpa_12">#REF!</definedName>
    <definedName name="dpa_13">#REF!</definedName>
    <definedName name="dpa_2">#REF!</definedName>
    <definedName name="dpa_2_1">#REF!</definedName>
    <definedName name="dpa_2_1_6">#REF!</definedName>
    <definedName name="dpa_2_5">#REF!</definedName>
    <definedName name="dpa_2_6">#REF!</definedName>
    <definedName name="dpa_2_7">#REF!</definedName>
    <definedName name="dpa_2_7_5">#REF!</definedName>
    <definedName name="dpa_3">#REF!</definedName>
    <definedName name="dpa_3_10">#REF!</definedName>
    <definedName name="dpa_3_11">#REF!</definedName>
    <definedName name="dpa_3_12">#REF!</definedName>
    <definedName name="dpa_3_13">#REF!</definedName>
    <definedName name="dpa_3_5">#REF!</definedName>
    <definedName name="dpa_3_6">#REF!</definedName>
    <definedName name="dpa_3_7">#REF!</definedName>
    <definedName name="dpa_3_7_5">#REF!</definedName>
    <definedName name="dpa_3_9">#REF!</definedName>
    <definedName name="dpa_4">#REF!</definedName>
    <definedName name="dpa_4_5">#REF!</definedName>
    <definedName name="dpa_5">#REF!</definedName>
    <definedName name="dpa_6">#REF!</definedName>
    <definedName name="dpa_6_1">#REF!</definedName>
    <definedName name="dpa_6_1_5">#REF!</definedName>
    <definedName name="dpa_6_10">#REF!</definedName>
    <definedName name="dpa_6_11">#REF!</definedName>
    <definedName name="dpa_6_12">#REF!</definedName>
    <definedName name="dpa_6_13">#REF!</definedName>
    <definedName name="dpa_6_5">#REF!</definedName>
    <definedName name="dpa_6_6">#REF!</definedName>
    <definedName name="dpa_6_7">#REF!</definedName>
    <definedName name="dpa_6_7_5">#REF!</definedName>
    <definedName name="dpa_6_9">#REF!</definedName>
    <definedName name="dpa_7">#REF!</definedName>
    <definedName name="dpa_7_5">#REF!</definedName>
    <definedName name="dpa_9">#REF!</definedName>
    <definedName name="dpf_op">#REF!</definedName>
    <definedName name="DPjatialum">#REF!</definedName>
    <definedName name="dpk">#REF!</definedName>
    <definedName name="dpk_1">#REF!</definedName>
    <definedName name="dpk_10">#REF!</definedName>
    <definedName name="dpk_11">#REF!</definedName>
    <definedName name="dpk_12">#REF!</definedName>
    <definedName name="dpk_13">#REF!</definedName>
    <definedName name="dpk_2">#REF!</definedName>
    <definedName name="dpk_2_1">#REF!</definedName>
    <definedName name="dpk_2_1_6">#REF!</definedName>
    <definedName name="dpk_2_5">#REF!</definedName>
    <definedName name="dpk_2_6">#REF!</definedName>
    <definedName name="dpk_2_7">#REF!</definedName>
    <definedName name="dpk_2_7_5">#REF!</definedName>
    <definedName name="dpk_3">#REF!</definedName>
    <definedName name="dpk_3_10">#REF!</definedName>
    <definedName name="dpk_3_11">#REF!</definedName>
    <definedName name="dpk_3_12">#REF!</definedName>
    <definedName name="dpk_3_13">#REF!</definedName>
    <definedName name="dpk_3_5">#REF!</definedName>
    <definedName name="dpk_3_6">#REF!</definedName>
    <definedName name="dpk_3_7">#REF!</definedName>
    <definedName name="dpk_3_7_5">#REF!</definedName>
    <definedName name="dpk_3_9">#REF!</definedName>
    <definedName name="dpk_4">#REF!</definedName>
    <definedName name="dpk_4_5">#REF!</definedName>
    <definedName name="dpk_5">#REF!</definedName>
    <definedName name="dpk_6">#REF!</definedName>
    <definedName name="dpk_6_1">#REF!</definedName>
    <definedName name="dpk_6_1_5">#REF!</definedName>
    <definedName name="dpk_6_10">#REF!</definedName>
    <definedName name="dpk_6_11">#REF!</definedName>
    <definedName name="dpk_6_12">#REF!</definedName>
    <definedName name="dpk_6_13">#REF!</definedName>
    <definedName name="dpk_6_5">#REF!</definedName>
    <definedName name="dpk_6_6">#REF!</definedName>
    <definedName name="dpk_6_7">#REF!</definedName>
    <definedName name="dpk_6_7_5">#REF!</definedName>
    <definedName name="dpk_6_9">#REF!</definedName>
    <definedName name="dpk_7">#REF!</definedName>
    <definedName name="dpk_7_5">#REF!</definedName>
    <definedName name="dpk_9">#REF!</definedName>
    <definedName name="DPkrepyak">#REF!</definedName>
    <definedName name="dppvc">#REF!</definedName>
    <definedName name="DPTrip">#REF!</definedName>
    <definedName name="DPtripalum">#REF!</definedName>
    <definedName name="DPtripdouble">#REF!</definedName>
    <definedName name="DR">#REF!</definedName>
    <definedName name="dragon">'[21]Harga Satuan Bahan'!$E$148</definedName>
    <definedName name="Drain">#REF!</definedName>
    <definedName name="drainage">#REF!</definedName>
    <definedName name="DRAINASE">#REF!</definedName>
    <definedName name="DrainBuis50cm">#REF!</definedName>
    <definedName name="DRAWING">#REF!</definedName>
    <definedName name="dren25">#REF!</definedName>
    <definedName name="dren32">#REF!</definedName>
    <definedName name="dren40">#REF!</definedName>
    <definedName name="DRFFRS">#REF!</definedName>
    <definedName name="drh" hidden="1">{#N/A,#N/A,FALSE,"REK-S-TPL";#N/A,#N/A,FALSE,"REK-TPML";#N/A,#N/A,FALSE,"RAB-TEMPEL"}</definedName>
    <definedName name="dri">#REF!</definedName>
    <definedName name="drilb2100">#REF!</definedName>
    <definedName name="drilb2100_1">#REF!</definedName>
    <definedName name="drilb2100_10">#REF!</definedName>
    <definedName name="drilb2100_11">#REF!</definedName>
    <definedName name="drilb2100_12">#REF!</definedName>
    <definedName name="drilb2100_13">#REF!</definedName>
    <definedName name="drilb2100_2">#REF!</definedName>
    <definedName name="drilb2100_2_1">#REF!</definedName>
    <definedName name="drilb2100_2_5">#REF!</definedName>
    <definedName name="drilb2100_3">#REF!</definedName>
    <definedName name="drilb2100_3_4">#REF!</definedName>
    <definedName name="drilb2100_3_4_5">#REF!</definedName>
    <definedName name="drilb2100_3_5">#REF!</definedName>
    <definedName name="drilb2100_3_6">#REF!</definedName>
    <definedName name="drilb2100_3_6_5">#REF!</definedName>
    <definedName name="drilb2100_3_7">#REF!</definedName>
    <definedName name="drilb2100_3_7_5">#REF!</definedName>
    <definedName name="drilb2100_4">#REF!</definedName>
    <definedName name="drilb2100_4_1">#REF!</definedName>
    <definedName name="drilb2100_4_1_5">#REF!</definedName>
    <definedName name="drilb2100_4_10">#REF!</definedName>
    <definedName name="drilb2100_4_11">#REF!</definedName>
    <definedName name="drilb2100_4_12">#REF!</definedName>
    <definedName name="drilb2100_4_13">#REF!</definedName>
    <definedName name="drilb2100_4_2">#REF!</definedName>
    <definedName name="drilb2100_4_4">#REF!</definedName>
    <definedName name="drilb2100_4_4_5">#REF!</definedName>
    <definedName name="drilb2100_4_5">#REF!</definedName>
    <definedName name="drilb2100_4_6">#REF!</definedName>
    <definedName name="drilb2100_4_6_5">#REF!</definedName>
    <definedName name="drilb2100_4_7">#REF!</definedName>
    <definedName name="drilb2100_4_7_5">#REF!</definedName>
    <definedName name="drilb2100_5">#REF!</definedName>
    <definedName name="drilb2100_5_2">#REF!</definedName>
    <definedName name="drilb2100_5_4">#REF!</definedName>
    <definedName name="drilb2100_5_4_5">#REF!</definedName>
    <definedName name="drilb2100_5_5">#REF!</definedName>
    <definedName name="drilb2100_5_6">#REF!</definedName>
    <definedName name="drilb2100_5_6_5">#REF!</definedName>
    <definedName name="drilb2100_5_7">#REF!</definedName>
    <definedName name="drilb2100_5_7_5">#REF!</definedName>
    <definedName name="drilb2100_6">#REF!</definedName>
    <definedName name="drilb2100_6_1">#REF!</definedName>
    <definedName name="drilb2100_6_1_5">#REF!</definedName>
    <definedName name="drilb2100_6_4">#REF!</definedName>
    <definedName name="drilb2100_6_4_5">#REF!</definedName>
    <definedName name="drilb2100_6_5">#REF!</definedName>
    <definedName name="drilb2100_6_6">#REF!</definedName>
    <definedName name="drilb2100_6_6_5">#REF!</definedName>
    <definedName name="drilb2100_6_7">#REF!</definedName>
    <definedName name="drilb2100_6_7_5">#REF!</definedName>
    <definedName name="drilb2100_7">#REF!</definedName>
    <definedName name="drilb2100_7_5">#REF!</definedName>
    <definedName name="drilb2100_9">#REF!</definedName>
    <definedName name="drilb2120">#REF!</definedName>
    <definedName name="drilb2120_1">#REF!</definedName>
    <definedName name="drilb2120_10">#REF!</definedName>
    <definedName name="drilb2120_11">#REF!</definedName>
    <definedName name="drilb2120_12">#REF!</definedName>
    <definedName name="drilb2120_13">#REF!</definedName>
    <definedName name="drilb2120_2">#REF!</definedName>
    <definedName name="drilb2120_2_1">#REF!</definedName>
    <definedName name="drilb2120_2_5">#REF!</definedName>
    <definedName name="drilb2120_3">#REF!</definedName>
    <definedName name="drilb2120_3_4">#REF!</definedName>
    <definedName name="drilb2120_3_4_5">#REF!</definedName>
    <definedName name="drilb2120_3_5">#REF!</definedName>
    <definedName name="drilb2120_3_6">#REF!</definedName>
    <definedName name="drilb2120_3_6_5">#REF!</definedName>
    <definedName name="drilb2120_3_7">#REF!</definedName>
    <definedName name="drilb2120_3_7_5">#REF!</definedName>
    <definedName name="drilb2120_4">#REF!</definedName>
    <definedName name="drilb2120_4_1">#REF!</definedName>
    <definedName name="drilb2120_4_1_5">#REF!</definedName>
    <definedName name="drilb2120_4_10">#REF!</definedName>
    <definedName name="drilb2120_4_11">#REF!</definedName>
    <definedName name="drilb2120_4_12">#REF!</definedName>
    <definedName name="drilb2120_4_13">#REF!</definedName>
    <definedName name="drilb2120_4_2">#REF!</definedName>
    <definedName name="drilb2120_4_4">#REF!</definedName>
    <definedName name="drilb2120_4_4_5">#REF!</definedName>
    <definedName name="drilb2120_4_5">#REF!</definedName>
    <definedName name="drilb2120_4_6">#REF!</definedName>
    <definedName name="drilb2120_4_6_5">#REF!</definedName>
    <definedName name="drilb2120_4_7">#REF!</definedName>
    <definedName name="drilb2120_4_7_5">#REF!</definedName>
    <definedName name="drilb2120_5">#REF!</definedName>
    <definedName name="drilb2120_5_2">#REF!</definedName>
    <definedName name="drilb2120_5_4">#REF!</definedName>
    <definedName name="drilb2120_5_4_5">#REF!</definedName>
    <definedName name="drilb2120_5_5">#REF!</definedName>
    <definedName name="drilb2120_5_6">#REF!</definedName>
    <definedName name="drilb2120_5_6_5">#REF!</definedName>
    <definedName name="drilb2120_5_7">#REF!</definedName>
    <definedName name="drilb2120_5_7_5">#REF!</definedName>
    <definedName name="drilb2120_6">#REF!</definedName>
    <definedName name="drilb2120_6_1">#REF!</definedName>
    <definedName name="drilb2120_6_1_5">#REF!</definedName>
    <definedName name="drilb2120_6_4">#REF!</definedName>
    <definedName name="drilb2120_6_4_5">#REF!</definedName>
    <definedName name="drilb2120_6_5">#REF!</definedName>
    <definedName name="drilb2120_6_6">#REF!</definedName>
    <definedName name="drilb2120_6_6_5">#REF!</definedName>
    <definedName name="drilb2120_6_7">#REF!</definedName>
    <definedName name="drilb2120_6_7_5">#REF!</definedName>
    <definedName name="drilb2120_7">#REF!</definedName>
    <definedName name="drilb2120_7_5">#REF!</definedName>
    <definedName name="drilb2120_9">#REF!</definedName>
    <definedName name="drilb250">#REF!</definedName>
    <definedName name="drilb250_1">#REF!</definedName>
    <definedName name="drilb250_10">#REF!</definedName>
    <definedName name="drilb250_11">#REF!</definedName>
    <definedName name="drilb250_12">#REF!</definedName>
    <definedName name="drilb250_13">#REF!</definedName>
    <definedName name="drilb250_2">#REF!</definedName>
    <definedName name="drilb250_2_1">#REF!</definedName>
    <definedName name="drilb250_2_5">#REF!</definedName>
    <definedName name="drilb250_3">#REF!</definedName>
    <definedName name="drilb250_3_4">#REF!</definedName>
    <definedName name="drilb250_3_4_5">#REF!</definedName>
    <definedName name="drilb250_3_5">#REF!</definedName>
    <definedName name="drilb250_3_6">#REF!</definedName>
    <definedName name="drilb250_3_6_5">#REF!</definedName>
    <definedName name="drilb250_3_7">#REF!</definedName>
    <definedName name="drilb250_3_7_5">#REF!</definedName>
    <definedName name="drilb250_4">#REF!</definedName>
    <definedName name="drilb250_4_1">#REF!</definedName>
    <definedName name="drilb250_4_1_5">#REF!</definedName>
    <definedName name="drilb250_4_10">#REF!</definedName>
    <definedName name="drilb250_4_11">#REF!</definedName>
    <definedName name="drilb250_4_12">#REF!</definedName>
    <definedName name="drilb250_4_13">#REF!</definedName>
    <definedName name="drilb250_4_2">#REF!</definedName>
    <definedName name="drilb250_4_4">#REF!</definedName>
    <definedName name="drilb250_4_4_5">#REF!</definedName>
    <definedName name="drilb250_4_5">#REF!</definedName>
    <definedName name="drilb250_4_6">#REF!</definedName>
    <definedName name="drilb250_4_6_5">#REF!</definedName>
    <definedName name="drilb250_4_7">#REF!</definedName>
    <definedName name="drilb250_4_7_5">#REF!</definedName>
    <definedName name="drilb250_5">#REF!</definedName>
    <definedName name="drilb250_5_2">#REF!</definedName>
    <definedName name="drilb250_5_4">#REF!</definedName>
    <definedName name="drilb250_5_4_5">#REF!</definedName>
    <definedName name="drilb250_5_5">#REF!</definedName>
    <definedName name="drilb250_5_6">#REF!</definedName>
    <definedName name="drilb250_5_6_5">#REF!</definedName>
    <definedName name="drilb250_5_7">#REF!</definedName>
    <definedName name="drilb250_5_7_5">#REF!</definedName>
    <definedName name="drilb250_6">#REF!</definedName>
    <definedName name="drilb250_6_1">#REF!</definedName>
    <definedName name="drilb250_6_1_5">#REF!</definedName>
    <definedName name="drilb250_6_4">#REF!</definedName>
    <definedName name="drilb250_6_4_5">#REF!</definedName>
    <definedName name="drilb250_6_5">#REF!</definedName>
    <definedName name="drilb250_6_6">#REF!</definedName>
    <definedName name="drilb250_6_6_5">#REF!</definedName>
    <definedName name="drilb250_6_7">#REF!</definedName>
    <definedName name="drilb250_6_7_5">#REF!</definedName>
    <definedName name="drilb250_7">#REF!</definedName>
    <definedName name="drilb250_7_5">#REF!</definedName>
    <definedName name="drilb250_9">#REF!</definedName>
    <definedName name="drilb260">#REF!</definedName>
    <definedName name="drilb260_1">#REF!</definedName>
    <definedName name="drilb260_10">#REF!</definedName>
    <definedName name="drilb260_11">#REF!</definedName>
    <definedName name="drilb260_12">#REF!</definedName>
    <definedName name="drilb260_13">#REF!</definedName>
    <definedName name="drilb260_2">#REF!</definedName>
    <definedName name="drilb260_2_1">#REF!</definedName>
    <definedName name="drilb260_2_5">#REF!</definedName>
    <definedName name="drilb260_3">#REF!</definedName>
    <definedName name="drilb260_3_4">#REF!</definedName>
    <definedName name="drilb260_3_4_5">#REF!</definedName>
    <definedName name="drilb260_3_5">#REF!</definedName>
    <definedName name="drilb260_3_6">#REF!</definedName>
    <definedName name="drilb260_3_6_5">#REF!</definedName>
    <definedName name="drilb260_3_7">#REF!</definedName>
    <definedName name="drilb260_3_7_5">#REF!</definedName>
    <definedName name="drilb260_4">#REF!</definedName>
    <definedName name="drilb260_4_1">#REF!</definedName>
    <definedName name="drilb260_4_1_5">#REF!</definedName>
    <definedName name="drilb260_4_10">#REF!</definedName>
    <definedName name="drilb260_4_11">#REF!</definedName>
    <definedName name="drilb260_4_12">#REF!</definedName>
    <definedName name="drilb260_4_13">#REF!</definedName>
    <definedName name="drilb260_4_2">#REF!</definedName>
    <definedName name="drilb260_4_4">#REF!</definedName>
    <definedName name="drilb260_4_4_5">#REF!</definedName>
    <definedName name="drilb260_4_5">#REF!</definedName>
    <definedName name="drilb260_4_6">#REF!</definedName>
    <definedName name="drilb260_4_6_5">#REF!</definedName>
    <definedName name="drilb260_4_7">#REF!</definedName>
    <definedName name="drilb260_4_7_5">#REF!</definedName>
    <definedName name="drilb260_5">#REF!</definedName>
    <definedName name="drilb260_5_2">#REF!</definedName>
    <definedName name="drilb260_5_4">#REF!</definedName>
    <definedName name="drilb260_5_4_5">#REF!</definedName>
    <definedName name="drilb260_5_5">#REF!</definedName>
    <definedName name="drilb260_5_6">#REF!</definedName>
    <definedName name="drilb260_5_6_5">#REF!</definedName>
    <definedName name="drilb260_5_7">#REF!</definedName>
    <definedName name="drilb260_5_7_5">#REF!</definedName>
    <definedName name="drilb260_6">#REF!</definedName>
    <definedName name="drilb260_6_1">#REF!</definedName>
    <definedName name="drilb260_6_1_5">#REF!</definedName>
    <definedName name="drilb260_6_4">#REF!</definedName>
    <definedName name="drilb260_6_4_5">#REF!</definedName>
    <definedName name="drilb260_6_5">#REF!</definedName>
    <definedName name="drilb260_6_6">#REF!</definedName>
    <definedName name="drilb260_6_6_5">#REF!</definedName>
    <definedName name="drilb260_6_7">#REF!</definedName>
    <definedName name="drilb260_6_7_5">#REF!</definedName>
    <definedName name="drilb260_7">#REF!</definedName>
    <definedName name="drilb260_7_5">#REF!</definedName>
    <definedName name="drilb260_9">#REF!</definedName>
    <definedName name="drilb280">#REF!</definedName>
    <definedName name="drilb280_1">#REF!</definedName>
    <definedName name="drilb280_10">#REF!</definedName>
    <definedName name="drilb280_11">#REF!</definedName>
    <definedName name="drilb280_12">#REF!</definedName>
    <definedName name="drilb280_13">#REF!</definedName>
    <definedName name="drilb280_2">#REF!</definedName>
    <definedName name="drilb280_2_1">#REF!</definedName>
    <definedName name="drilb280_2_5">#REF!</definedName>
    <definedName name="drilb280_3">#REF!</definedName>
    <definedName name="drilb280_3_4">#REF!</definedName>
    <definedName name="drilb280_3_4_5">#REF!</definedName>
    <definedName name="drilb280_3_5">#REF!</definedName>
    <definedName name="drilb280_3_6">#REF!</definedName>
    <definedName name="drilb280_3_6_5">#REF!</definedName>
    <definedName name="drilb280_3_7">#REF!</definedName>
    <definedName name="drilb280_3_7_5">#REF!</definedName>
    <definedName name="drilb280_4">#REF!</definedName>
    <definedName name="drilb280_4_1">#REF!</definedName>
    <definedName name="drilb280_4_1_5">#REF!</definedName>
    <definedName name="drilb280_4_10">#REF!</definedName>
    <definedName name="drilb280_4_11">#REF!</definedName>
    <definedName name="drilb280_4_12">#REF!</definedName>
    <definedName name="drilb280_4_13">#REF!</definedName>
    <definedName name="drilb280_4_2">#REF!</definedName>
    <definedName name="drilb280_4_4">#REF!</definedName>
    <definedName name="drilb280_4_4_5">#REF!</definedName>
    <definedName name="drilb280_4_5">#REF!</definedName>
    <definedName name="drilb280_4_6">#REF!</definedName>
    <definedName name="drilb280_4_6_5">#REF!</definedName>
    <definedName name="drilb280_4_7">#REF!</definedName>
    <definedName name="drilb280_4_7_5">#REF!</definedName>
    <definedName name="drilb280_5">#REF!</definedName>
    <definedName name="drilb280_5_2">#REF!</definedName>
    <definedName name="drilb280_5_4">#REF!</definedName>
    <definedName name="drilb280_5_4_5">#REF!</definedName>
    <definedName name="drilb280_5_5">#REF!</definedName>
    <definedName name="drilb280_5_6">#REF!</definedName>
    <definedName name="drilb280_5_6_5">#REF!</definedName>
    <definedName name="drilb280_5_7">#REF!</definedName>
    <definedName name="drilb280_5_7_5">#REF!</definedName>
    <definedName name="drilb280_6">#REF!</definedName>
    <definedName name="drilb280_6_1">#REF!</definedName>
    <definedName name="drilb280_6_1_5">#REF!</definedName>
    <definedName name="drilb280_6_4">#REF!</definedName>
    <definedName name="drilb280_6_4_5">#REF!</definedName>
    <definedName name="drilb280_6_5">#REF!</definedName>
    <definedName name="drilb280_6_6">#REF!</definedName>
    <definedName name="drilb280_6_6_5">#REF!</definedName>
    <definedName name="drilb280_6_7">#REF!</definedName>
    <definedName name="drilb280_6_7_5">#REF!</definedName>
    <definedName name="drilb280_7">#REF!</definedName>
    <definedName name="drilb280_7_5">#REF!</definedName>
    <definedName name="drilb280_9">#REF!</definedName>
    <definedName name="drildl3a100">#REF!</definedName>
    <definedName name="drildl3a100_1">#REF!</definedName>
    <definedName name="drildl3a100_10">#REF!</definedName>
    <definedName name="drildl3a100_11">#REF!</definedName>
    <definedName name="drildl3a100_12">#REF!</definedName>
    <definedName name="drildl3a100_13">#REF!</definedName>
    <definedName name="drildl3a100_2">#REF!</definedName>
    <definedName name="drildl3a100_2_1">#REF!</definedName>
    <definedName name="drildl3a100_2_1_6">#REF!</definedName>
    <definedName name="drildl3a100_2_5">#REF!</definedName>
    <definedName name="drildl3a100_2_6">#REF!</definedName>
    <definedName name="drildl3a100_2_7">#REF!</definedName>
    <definedName name="drildl3a100_2_7_5">#REF!</definedName>
    <definedName name="drildl3a100_3">#REF!</definedName>
    <definedName name="drildl3a100_3_10">#REF!</definedName>
    <definedName name="drildl3a100_3_11">#REF!</definedName>
    <definedName name="drildl3a100_3_12">#REF!</definedName>
    <definedName name="drildl3a100_3_13">#REF!</definedName>
    <definedName name="drildl3a100_3_4">#REF!</definedName>
    <definedName name="drildl3a100_3_4_5">#REF!</definedName>
    <definedName name="drildl3a100_3_5">#REF!</definedName>
    <definedName name="drildl3a100_3_6">#REF!</definedName>
    <definedName name="drildl3a100_3_6_5">#REF!</definedName>
    <definedName name="drildl3a100_3_7">#REF!</definedName>
    <definedName name="drildl3a100_3_7_5">#REF!</definedName>
    <definedName name="drildl3a100_3_9">#REF!</definedName>
    <definedName name="drildl3a100_4">#REF!</definedName>
    <definedName name="drildl3a100_4_1">#REF!</definedName>
    <definedName name="drildl3a100_4_1_5">#REF!</definedName>
    <definedName name="drildl3a100_4_10">#REF!</definedName>
    <definedName name="drildl3a100_4_11">#REF!</definedName>
    <definedName name="drildl3a100_4_12">#REF!</definedName>
    <definedName name="drildl3a100_4_13">#REF!</definedName>
    <definedName name="drildl3a100_4_2">#REF!</definedName>
    <definedName name="drildl3a100_4_2_6">#REF!</definedName>
    <definedName name="drildl3a100_4_4">#REF!</definedName>
    <definedName name="drildl3a100_4_4_5">#REF!</definedName>
    <definedName name="drildl3a100_4_5">#REF!</definedName>
    <definedName name="drildl3a100_4_6">#REF!</definedName>
    <definedName name="drildl3a100_4_6_5">#REF!</definedName>
    <definedName name="drildl3a100_4_7">#REF!</definedName>
    <definedName name="drildl3a100_4_7_5">#REF!</definedName>
    <definedName name="drildl3a100_5">#REF!</definedName>
    <definedName name="drildl3a100_5_2">#REF!</definedName>
    <definedName name="drildl3a100_5_2_6">#REF!</definedName>
    <definedName name="drildl3a100_5_4">#REF!</definedName>
    <definedName name="drildl3a100_5_4_5">#REF!</definedName>
    <definedName name="drildl3a100_5_5">#REF!</definedName>
    <definedName name="drildl3a100_5_6">#REF!</definedName>
    <definedName name="drildl3a100_5_6_5">#REF!</definedName>
    <definedName name="drildl3a100_5_7">#REF!</definedName>
    <definedName name="drildl3a100_5_7_5">#REF!</definedName>
    <definedName name="drildl3a100_6">#REF!</definedName>
    <definedName name="drildl3a100_6_1">#REF!</definedName>
    <definedName name="drildl3a100_6_1_5">#REF!</definedName>
    <definedName name="drildl3a100_6_10">#REF!</definedName>
    <definedName name="drildl3a100_6_11">#REF!</definedName>
    <definedName name="drildl3a100_6_12">#REF!</definedName>
    <definedName name="drildl3a100_6_13">#REF!</definedName>
    <definedName name="drildl3a100_6_4">#REF!</definedName>
    <definedName name="drildl3a100_6_4_5">#REF!</definedName>
    <definedName name="drildl3a100_6_5">#REF!</definedName>
    <definedName name="drildl3a100_6_6">#REF!</definedName>
    <definedName name="drildl3a100_6_6_5">#REF!</definedName>
    <definedName name="drildl3a100_6_7">#REF!</definedName>
    <definedName name="drildl3a100_6_7_5">#REF!</definedName>
    <definedName name="drildl3a100_6_9">#REF!</definedName>
    <definedName name="drildl3a100_7">#REF!</definedName>
    <definedName name="drildl3a100_7_5">#REF!</definedName>
    <definedName name="drildl3a100_9">#REF!</definedName>
    <definedName name="drildl3a120">#REF!</definedName>
    <definedName name="drildl3a120_1">#REF!</definedName>
    <definedName name="drildl3a120_10">#REF!</definedName>
    <definedName name="drildl3a120_11">#REF!</definedName>
    <definedName name="drildl3a120_12">#REF!</definedName>
    <definedName name="drildl3a120_13">#REF!</definedName>
    <definedName name="drildl3a120_2">#REF!</definedName>
    <definedName name="drildl3a120_2_1">#REF!</definedName>
    <definedName name="drildl3a120_2_1_6">#REF!</definedName>
    <definedName name="drildl3a120_2_5">#REF!</definedName>
    <definedName name="drildl3a120_2_6">#REF!</definedName>
    <definedName name="drildl3a120_2_7">#REF!</definedName>
    <definedName name="drildl3a120_2_7_5">#REF!</definedName>
    <definedName name="drildl3a120_3">#REF!</definedName>
    <definedName name="drildl3a120_3_10">#REF!</definedName>
    <definedName name="drildl3a120_3_11">#REF!</definedName>
    <definedName name="drildl3a120_3_12">#REF!</definedName>
    <definedName name="drildl3a120_3_13">#REF!</definedName>
    <definedName name="drildl3a120_3_4">#REF!</definedName>
    <definedName name="drildl3a120_3_4_5">#REF!</definedName>
    <definedName name="drildl3a120_3_5">#REF!</definedName>
    <definedName name="drildl3a120_3_6">#REF!</definedName>
    <definedName name="drildl3a120_3_6_5">#REF!</definedName>
    <definedName name="drildl3a120_3_7">#REF!</definedName>
    <definedName name="drildl3a120_3_7_5">#REF!</definedName>
    <definedName name="drildl3a120_3_9">#REF!</definedName>
    <definedName name="drildl3a120_4">#REF!</definedName>
    <definedName name="drildl3a120_4_1">#REF!</definedName>
    <definedName name="drildl3a120_4_1_5">#REF!</definedName>
    <definedName name="drildl3a120_4_10">#REF!</definedName>
    <definedName name="drildl3a120_4_11">#REF!</definedName>
    <definedName name="drildl3a120_4_12">#REF!</definedName>
    <definedName name="drildl3a120_4_13">#REF!</definedName>
    <definedName name="drildl3a120_4_2">#REF!</definedName>
    <definedName name="drildl3a120_4_2_6">#REF!</definedName>
    <definedName name="drildl3a120_4_4">#REF!</definedName>
    <definedName name="drildl3a120_4_4_5">#REF!</definedName>
    <definedName name="drildl3a120_4_5">#REF!</definedName>
    <definedName name="drildl3a120_4_6">#REF!</definedName>
    <definedName name="drildl3a120_4_6_5">#REF!</definedName>
    <definedName name="drildl3a120_4_7">#REF!</definedName>
    <definedName name="drildl3a120_4_7_5">#REF!</definedName>
    <definedName name="drildl3a120_5">#REF!</definedName>
    <definedName name="drildl3a120_5_2">#REF!</definedName>
    <definedName name="drildl3a120_5_2_6">#REF!</definedName>
    <definedName name="drildl3a120_5_4">#REF!</definedName>
    <definedName name="drildl3a120_5_4_5">#REF!</definedName>
    <definedName name="drildl3a120_5_5">#REF!</definedName>
    <definedName name="drildl3a120_5_6">#REF!</definedName>
    <definedName name="drildl3a120_5_6_5">#REF!</definedName>
    <definedName name="drildl3a120_5_7">#REF!</definedName>
    <definedName name="drildl3a120_5_7_5">#REF!</definedName>
    <definedName name="drildl3a120_6">#REF!</definedName>
    <definedName name="drildl3a120_6_1">#REF!</definedName>
    <definedName name="drildl3a120_6_1_5">#REF!</definedName>
    <definedName name="drildl3a120_6_10">#REF!</definedName>
    <definedName name="drildl3a120_6_11">#REF!</definedName>
    <definedName name="drildl3a120_6_12">#REF!</definedName>
    <definedName name="drildl3a120_6_13">#REF!</definedName>
    <definedName name="drildl3a120_6_4">#REF!</definedName>
    <definedName name="drildl3a120_6_4_5">#REF!</definedName>
    <definedName name="drildl3a120_6_5">#REF!</definedName>
    <definedName name="drildl3a120_6_6">#REF!</definedName>
    <definedName name="drildl3a120_6_6_5">#REF!</definedName>
    <definedName name="drildl3a120_6_7">#REF!</definedName>
    <definedName name="drildl3a120_6_7_5">#REF!</definedName>
    <definedName name="drildl3a120_6_9">#REF!</definedName>
    <definedName name="drildl3a120_7">#REF!</definedName>
    <definedName name="drildl3a120_7_5">#REF!</definedName>
    <definedName name="drildl3a120_9">#REF!</definedName>
    <definedName name="drildl3a50">#REF!</definedName>
    <definedName name="drildl3a50_1">#REF!</definedName>
    <definedName name="drildl3a50_10">#REF!</definedName>
    <definedName name="drildl3a50_11">#REF!</definedName>
    <definedName name="drildl3a50_12">#REF!</definedName>
    <definedName name="drildl3a50_13">#REF!</definedName>
    <definedName name="drildl3a50_2">#REF!</definedName>
    <definedName name="drildl3a50_2_1">#REF!</definedName>
    <definedName name="drildl3a50_2_1_6">#REF!</definedName>
    <definedName name="drildl3a50_2_5">#REF!</definedName>
    <definedName name="drildl3a50_2_6">#REF!</definedName>
    <definedName name="drildl3a50_2_7">#REF!</definedName>
    <definedName name="drildl3a50_2_7_5">#REF!</definedName>
    <definedName name="drildl3a50_3">#REF!</definedName>
    <definedName name="drildl3a50_3_10">#REF!</definedName>
    <definedName name="drildl3a50_3_11">#REF!</definedName>
    <definedName name="drildl3a50_3_12">#REF!</definedName>
    <definedName name="drildl3a50_3_13">#REF!</definedName>
    <definedName name="drildl3a50_3_4">#REF!</definedName>
    <definedName name="drildl3a50_3_4_5">#REF!</definedName>
    <definedName name="drildl3a50_3_5">#REF!</definedName>
    <definedName name="drildl3a50_3_6">#REF!</definedName>
    <definedName name="drildl3a50_3_6_5">#REF!</definedName>
    <definedName name="drildl3a50_3_7">#REF!</definedName>
    <definedName name="drildl3a50_3_7_5">#REF!</definedName>
    <definedName name="drildl3a50_3_9">#REF!</definedName>
    <definedName name="drildl3a50_4">#REF!</definedName>
    <definedName name="drildl3a50_4_1">#REF!</definedName>
    <definedName name="drildl3a50_4_1_5">#REF!</definedName>
    <definedName name="drildl3a50_4_10">#REF!</definedName>
    <definedName name="drildl3a50_4_11">#REF!</definedName>
    <definedName name="drildl3a50_4_12">#REF!</definedName>
    <definedName name="drildl3a50_4_13">#REF!</definedName>
    <definedName name="drildl3a50_4_2">#REF!</definedName>
    <definedName name="drildl3a50_4_2_6">#REF!</definedName>
    <definedName name="drildl3a50_4_4">#REF!</definedName>
    <definedName name="drildl3a50_4_4_5">#REF!</definedName>
    <definedName name="drildl3a50_4_5">#REF!</definedName>
    <definedName name="drildl3a50_4_6">#REF!</definedName>
    <definedName name="drildl3a50_4_6_5">#REF!</definedName>
    <definedName name="drildl3a50_4_7">#REF!</definedName>
    <definedName name="drildl3a50_4_7_5">#REF!</definedName>
    <definedName name="drildl3a50_5">#REF!</definedName>
    <definedName name="drildl3a50_5_2">#REF!</definedName>
    <definedName name="drildl3a50_5_2_6">#REF!</definedName>
    <definedName name="drildl3a50_5_4">#REF!</definedName>
    <definedName name="drildl3a50_5_4_5">#REF!</definedName>
    <definedName name="drildl3a50_5_5">#REF!</definedName>
    <definedName name="drildl3a50_5_6">#REF!</definedName>
    <definedName name="drildl3a50_5_6_5">#REF!</definedName>
    <definedName name="drildl3a50_5_7">#REF!</definedName>
    <definedName name="drildl3a50_5_7_5">#REF!</definedName>
    <definedName name="drildl3a50_6">#REF!</definedName>
    <definedName name="drildl3a50_6_1">#REF!</definedName>
    <definedName name="drildl3a50_6_1_5">#REF!</definedName>
    <definedName name="drildl3a50_6_10">#REF!</definedName>
    <definedName name="drildl3a50_6_11">#REF!</definedName>
    <definedName name="drildl3a50_6_12">#REF!</definedName>
    <definedName name="drildl3a50_6_13">#REF!</definedName>
    <definedName name="drildl3a50_6_4">#REF!</definedName>
    <definedName name="drildl3a50_6_4_5">#REF!</definedName>
    <definedName name="drildl3a50_6_5">#REF!</definedName>
    <definedName name="drildl3a50_6_6">#REF!</definedName>
    <definedName name="drildl3a50_6_6_5">#REF!</definedName>
    <definedName name="drildl3a50_6_7">#REF!</definedName>
    <definedName name="drildl3a50_6_7_5">#REF!</definedName>
    <definedName name="drildl3a50_6_9">#REF!</definedName>
    <definedName name="drildl3a50_7">#REF!</definedName>
    <definedName name="drildl3a50_7_5">#REF!</definedName>
    <definedName name="drildl3a50_9">#REF!</definedName>
    <definedName name="drildl3a60">#REF!</definedName>
    <definedName name="drildl3a60_1">#REF!</definedName>
    <definedName name="drildl3a60_10">#REF!</definedName>
    <definedName name="drildl3a60_11">#REF!</definedName>
    <definedName name="drildl3a60_12">#REF!</definedName>
    <definedName name="drildl3a60_13">#REF!</definedName>
    <definedName name="drildl3a60_2">#REF!</definedName>
    <definedName name="drildl3a60_2_1">#REF!</definedName>
    <definedName name="drildl3a60_2_1_6">#REF!</definedName>
    <definedName name="drildl3a60_2_5">#REF!</definedName>
    <definedName name="drildl3a60_2_6">#REF!</definedName>
    <definedName name="drildl3a60_2_7">#REF!</definedName>
    <definedName name="drildl3a60_2_7_5">#REF!</definedName>
    <definedName name="drildl3a60_3">#REF!</definedName>
    <definedName name="drildl3a60_3_10">#REF!</definedName>
    <definedName name="drildl3a60_3_11">#REF!</definedName>
    <definedName name="drildl3a60_3_12">#REF!</definedName>
    <definedName name="drildl3a60_3_13">#REF!</definedName>
    <definedName name="drildl3a60_3_4">#REF!</definedName>
    <definedName name="drildl3a60_3_4_5">#REF!</definedName>
    <definedName name="drildl3a60_3_5">#REF!</definedName>
    <definedName name="drildl3a60_3_6">#REF!</definedName>
    <definedName name="drildl3a60_3_6_5">#REF!</definedName>
    <definedName name="drildl3a60_3_7">#REF!</definedName>
    <definedName name="drildl3a60_3_7_5">#REF!</definedName>
    <definedName name="drildl3a60_3_9">#REF!</definedName>
    <definedName name="drildl3a60_4">#REF!</definedName>
    <definedName name="drildl3a60_4_1">#REF!</definedName>
    <definedName name="drildl3a60_4_1_5">#REF!</definedName>
    <definedName name="drildl3a60_4_10">#REF!</definedName>
    <definedName name="drildl3a60_4_11">#REF!</definedName>
    <definedName name="drildl3a60_4_12">#REF!</definedName>
    <definedName name="drildl3a60_4_13">#REF!</definedName>
    <definedName name="drildl3a60_4_2">#REF!</definedName>
    <definedName name="drildl3a60_4_2_6">#REF!</definedName>
    <definedName name="drildl3a60_4_4">#REF!</definedName>
    <definedName name="drildl3a60_4_4_5">#REF!</definedName>
    <definedName name="drildl3a60_4_5">#REF!</definedName>
    <definedName name="drildl3a60_4_6">#REF!</definedName>
    <definedName name="drildl3a60_4_6_5">#REF!</definedName>
    <definedName name="drildl3a60_4_7">#REF!</definedName>
    <definedName name="drildl3a60_4_7_5">#REF!</definedName>
    <definedName name="drildl3a60_5">#REF!</definedName>
    <definedName name="drildl3a60_5_2">#REF!</definedName>
    <definedName name="drildl3a60_5_2_6">#REF!</definedName>
    <definedName name="drildl3a60_5_4">#REF!</definedName>
    <definedName name="drildl3a60_5_4_5">#REF!</definedName>
    <definedName name="drildl3a60_5_5">#REF!</definedName>
    <definedName name="drildl3a60_5_6">#REF!</definedName>
    <definedName name="drildl3a60_5_6_5">#REF!</definedName>
    <definedName name="drildl3a60_5_7">#REF!</definedName>
    <definedName name="drildl3a60_5_7_5">#REF!</definedName>
    <definedName name="drildl3a60_6">#REF!</definedName>
    <definedName name="drildl3a60_6_1">#REF!</definedName>
    <definedName name="drildl3a60_6_1_5">#REF!</definedName>
    <definedName name="drildl3a60_6_10">#REF!</definedName>
    <definedName name="drildl3a60_6_11">#REF!</definedName>
    <definedName name="drildl3a60_6_12">#REF!</definedName>
    <definedName name="drildl3a60_6_13">#REF!</definedName>
    <definedName name="drildl3a60_6_4">#REF!</definedName>
    <definedName name="drildl3a60_6_4_5">#REF!</definedName>
    <definedName name="drildl3a60_6_5">#REF!</definedName>
    <definedName name="drildl3a60_6_6">#REF!</definedName>
    <definedName name="drildl3a60_6_6_5">#REF!</definedName>
    <definedName name="drildl3a60_6_7">#REF!</definedName>
    <definedName name="drildl3a60_6_7_5">#REF!</definedName>
    <definedName name="drildl3a60_6_9">#REF!</definedName>
    <definedName name="drildl3a60_7">#REF!</definedName>
    <definedName name="drildl3a60_7_5">#REF!</definedName>
    <definedName name="drildl3a60_9">#REF!</definedName>
    <definedName name="drildl3a80">#REF!</definedName>
    <definedName name="drildl3a80_1">#REF!</definedName>
    <definedName name="drildl3a80_10">#REF!</definedName>
    <definedName name="drildl3a80_11">#REF!</definedName>
    <definedName name="drildl3a80_12">#REF!</definedName>
    <definedName name="drildl3a80_13">#REF!</definedName>
    <definedName name="drildl3a80_2">#REF!</definedName>
    <definedName name="drildl3a80_2_1">#REF!</definedName>
    <definedName name="drildl3a80_2_1_6">#REF!</definedName>
    <definedName name="drildl3a80_2_5">#REF!</definedName>
    <definedName name="drildl3a80_2_6">#REF!</definedName>
    <definedName name="drildl3a80_2_7">#REF!</definedName>
    <definedName name="drildl3a80_2_7_5">#REF!</definedName>
    <definedName name="drildl3a80_3">#REF!</definedName>
    <definedName name="drildl3a80_3_10">#REF!</definedName>
    <definedName name="drildl3a80_3_11">#REF!</definedName>
    <definedName name="drildl3a80_3_12">#REF!</definedName>
    <definedName name="drildl3a80_3_13">#REF!</definedName>
    <definedName name="drildl3a80_3_4">#REF!</definedName>
    <definedName name="drildl3a80_3_4_5">#REF!</definedName>
    <definedName name="drildl3a80_3_5">#REF!</definedName>
    <definedName name="drildl3a80_3_6">#REF!</definedName>
    <definedName name="drildl3a80_3_6_5">#REF!</definedName>
    <definedName name="drildl3a80_3_7">#REF!</definedName>
    <definedName name="drildl3a80_3_7_5">#REF!</definedName>
    <definedName name="drildl3a80_3_9">#REF!</definedName>
    <definedName name="drildl3a80_4">#REF!</definedName>
    <definedName name="drildl3a80_4_1">#REF!</definedName>
    <definedName name="drildl3a80_4_1_5">#REF!</definedName>
    <definedName name="drildl3a80_4_10">#REF!</definedName>
    <definedName name="drildl3a80_4_11">#REF!</definedName>
    <definedName name="drildl3a80_4_12">#REF!</definedName>
    <definedName name="drildl3a80_4_13">#REF!</definedName>
    <definedName name="drildl3a80_4_2">#REF!</definedName>
    <definedName name="drildl3a80_4_2_6">#REF!</definedName>
    <definedName name="drildl3a80_4_4">#REF!</definedName>
    <definedName name="drildl3a80_4_4_5">#REF!</definedName>
    <definedName name="drildl3a80_4_5">#REF!</definedName>
    <definedName name="drildl3a80_4_6">#REF!</definedName>
    <definedName name="drildl3a80_4_6_5">#REF!</definedName>
    <definedName name="drildl3a80_4_7">#REF!</definedName>
    <definedName name="drildl3a80_4_7_5">#REF!</definedName>
    <definedName name="drildl3a80_5">#REF!</definedName>
    <definedName name="drildl3a80_5_2">#REF!</definedName>
    <definedName name="drildl3a80_5_2_6">#REF!</definedName>
    <definedName name="drildl3a80_5_4">#REF!</definedName>
    <definedName name="drildl3a80_5_4_5">#REF!</definedName>
    <definedName name="drildl3a80_5_5">#REF!</definedName>
    <definedName name="drildl3a80_5_6">#REF!</definedName>
    <definedName name="drildl3a80_5_6_5">#REF!</definedName>
    <definedName name="drildl3a80_5_7">#REF!</definedName>
    <definedName name="drildl3a80_5_7_5">#REF!</definedName>
    <definedName name="drildl3a80_6">#REF!</definedName>
    <definedName name="drildl3a80_6_1">#REF!</definedName>
    <definedName name="drildl3a80_6_1_5">#REF!</definedName>
    <definedName name="drildl3a80_6_10">#REF!</definedName>
    <definedName name="drildl3a80_6_11">#REF!</definedName>
    <definedName name="drildl3a80_6_12">#REF!</definedName>
    <definedName name="drildl3a80_6_13">#REF!</definedName>
    <definedName name="drildl3a80_6_4">#REF!</definedName>
    <definedName name="drildl3a80_6_4_5">#REF!</definedName>
    <definedName name="drildl3a80_6_5">#REF!</definedName>
    <definedName name="drildl3a80_6_6">#REF!</definedName>
    <definedName name="drildl3a80_6_6_5">#REF!</definedName>
    <definedName name="drildl3a80_6_7">#REF!</definedName>
    <definedName name="drildl3a80_6_7_5">#REF!</definedName>
    <definedName name="drildl3a80_6_9">#REF!</definedName>
    <definedName name="drildl3a80_7">#REF!</definedName>
    <definedName name="drildl3a80_7_5">#REF!</definedName>
    <definedName name="drildl3a80_9">#REF!</definedName>
    <definedName name="drill1100">#REF!</definedName>
    <definedName name="drill1100_1">#REF!</definedName>
    <definedName name="drill1100_10">#REF!</definedName>
    <definedName name="drill1100_11">#REF!</definedName>
    <definedName name="drill1100_12">#REF!</definedName>
    <definedName name="drill1100_13">#REF!</definedName>
    <definedName name="drill1100_2">#REF!</definedName>
    <definedName name="drill1100_2_1">#REF!</definedName>
    <definedName name="drill1100_2_1_6">#REF!</definedName>
    <definedName name="drill1100_2_5">#REF!</definedName>
    <definedName name="drill1100_2_6">#REF!</definedName>
    <definedName name="drill1100_2_7">#REF!</definedName>
    <definedName name="drill1100_2_7_5">#REF!</definedName>
    <definedName name="drill1100_3">#REF!</definedName>
    <definedName name="drill1100_3_10">#REF!</definedName>
    <definedName name="drill1100_3_11">#REF!</definedName>
    <definedName name="drill1100_3_12">#REF!</definedName>
    <definedName name="drill1100_3_13">#REF!</definedName>
    <definedName name="drill1100_3_4">#REF!</definedName>
    <definedName name="drill1100_3_4_5">#REF!</definedName>
    <definedName name="drill1100_3_5">#REF!</definedName>
    <definedName name="drill1100_3_6">#REF!</definedName>
    <definedName name="drill1100_3_6_5">#REF!</definedName>
    <definedName name="drill1100_3_7">#REF!</definedName>
    <definedName name="drill1100_3_7_5">#REF!</definedName>
    <definedName name="drill1100_3_9">#REF!</definedName>
    <definedName name="drill1100_4">#REF!</definedName>
    <definedName name="drill1100_4_1">#REF!</definedName>
    <definedName name="drill1100_4_1_5">#REF!</definedName>
    <definedName name="drill1100_4_10">#REF!</definedName>
    <definedName name="drill1100_4_11">#REF!</definedName>
    <definedName name="drill1100_4_12">#REF!</definedName>
    <definedName name="drill1100_4_13">#REF!</definedName>
    <definedName name="drill1100_4_2">#REF!</definedName>
    <definedName name="drill1100_4_2_6">#REF!</definedName>
    <definedName name="drill1100_4_4">#REF!</definedName>
    <definedName name="drill1100_4_4_5">#REF!</definedName>
    <definedName name="drill1100_4_5">#REF!</definedName>
    <definedName name="drill1100_4_6">#REF!</definedName>
    <definedName name="drill1100_4_6_5">#REF!</definedName>
    <definedName name="drill1100_4_7">#REF!</definedName>
    <definedName name="drill1100_4_7_5">#REF!</definedName>
    <definedName name="drill1100_5">#REF!</definedName>
    <definedName name="drill1100_5_2">#REF!</definedName>
    <definedName name="drill1100_5_2_6">#REF!</definedName>
    <definedName name="drill1100_5_4">#REF!</definedName>
    <definedName name="drill1100_5_4_5">#REF!</definedName>
    <definedName name="drill1100_5_5">#REF!</definedName>
    <definedName name="drill1100_5_6">#REF!</definedName>
    <definedName name="drill1100_5_6_5">#REF!</definedName>
    <definedName name="drill1100_5_7">#REF!</definedName>
    <definedName name="drill1100_5_7_5">#REF!</definedName>
    <definedName name="drill1100_6">#REF!</definedName>
    <definedName name="drill1100_6_1">#REF!</definedName>
    <definedName name="drill1100_6_1_5">#REF!</definedName>
    <definedName name="drill1100_6_10">#REF!</definedName>
    <definedName name="drill1100_6_11">#REF!</definedName>
    <definedName name="drill1100_6_12">#REF!</definedName>
    <definedName name="drill1100_6_13">#REF!</definedName>
    <definedName name="drill1100_6_4">#REF!</definedName>
    <definedName name="drill1100_6_4_5">#REF!</definedName>
    <definedName name="drill1100_6_5">#REF!</definedName>
    <definedName name="drill1100_6_6">#REF!</definedName>
    <definedName name="drill1100_6_6_5">#REF!</definedName>
    <definedName name="drill1100_6_7">#REF!</definedName>
    <definedName name="drill1100_6_7_5">#REF!</definedName>
    <definedName name="drill1100_6_9">#REF!</definedName>
    <definedName name="drill1100_7">#REF!</definedName>
    <definedName name="drill1100_7_5">#REF!</definedName>
    <definedName name="drill1100_9">#REF!</definedName>
    <definedName name="drill1120">#REF!</definedName>
    <definedName name="drill1120_1">#REF!</definedName>
    <definedName name="drill1120_10">#REF!</definedName>
    <definedName name="drill1120_11">#REF!</definedName>
    <definedName name="drill1120_12">#REF!</definedName>
    <definedName name="drill1120_13">#REF!</definedName>
    <definedName name="drill1120_2">#REF!</definedName>
    <definedName name="drill1120_2_1">#REF!</definedName>
    <definedName name="drill1120_2_1_6">#REF!</definedName>
    <definedName name="drill1120_2_5">#REF!</definedName>
    <definedName name="drill1120_2_6">#REF!</definedName>
    <definedName name="drill1120_2_7">#REF!</definedName>
    <definedName name="drill1120_2_7_5">#REF!</definedName>
    <definedName name="drill1120_3">#REF!</definedName>
    <definedName name="drill1120_3_10">#REF!</definedName>
    <definedName name="drill1120_3_11">#REF!</definedName>
    <definedName name="drill1120_3_12">#REF!</definedName>
    <definedName name="drill1120_3_13">#REF!</definedName>
    <definedName name="drill1120_3_4">#REF!</definedName>
    <definedName name="drill1120_3_4_5">#REF!</definedName>
    <definedName name="drill1120_3_5">#REF!</definedName>
    <definedName name="drill1120_3_6">#REF!</definedName>
    <definedName name="drill1120_3_6_5">#REF!</definedName>
    <definedName name="drill1120_3_7">#REF!</definedName>
    <definedName name="drill1120_3_7_5">#REF!</definedName>
    <definedName name="drill1120_3_9">#REF!</definedName>
    <definedName name="drill1120_4">#REF!</definedName>
    <definedName name="drill1120_4_1">#REF!</definedName>
    <definedName name="drill1120_4_1_5">#REF!</definedName>
    <definedName name="drill1120_4_10">#REF!</definedName>
    <definedName name="drill1120_4_11">#REF!</definedName>
    <definedName name="drill1120_4_12">#REF!</definedName>
    <definedName name="drill1120_4_13">#REF!</definedName>
    <definedName name="drill1120_4_2">#REF!</definedName>
    <definedName name="drill1120_4_2_6">#REF!</definedName>
    <definedName name="drill1120_4_4">#REF!</definedName>
    <definedName name="drill1120_4_4_5">#REF!</definedName>
    <definedName name="drill1120_4_5">#REF!</definedName>
    <definedName name="drill1120_4_6">#REF!</definedName>
    <definedName name="drill1120_4_6_5">#REF!</definedName>
    <definedName name="drill1120_4_7">#REF!</definedName>
    <definedName name="drill1120_4_7_5">#REF!</definedName>
    <definedName name="drill1120_5">#REF!</definedName>
    <definedName name="drill1120_5_2">#REF!</definedName>
    <definedName name="drill1120_5_2_6">#REF!</definedName>
    <definedName name="drill1120_5_4">#REF!</definedName>
    <definedName name="drill1120_5_4_5">#REF!</definedName>
    <definedName name="drill1120_5_5">#REF!</definedName>
    <definedName name="drill1120_5_6">#REF!</definedName>
    <definedName name="drill1120_5_6_5">#REF!</definedName>
    <definedName name="drill1120_5_7">#REF!</definedName>
    <definedName name="drill1120_5_7_5">#REF!</definedName>
    <definedName name="drill1120_6">#REF!</definedName>
    <definedName name="drill1120_6_1">#REF!</definedName>
    <definedName name="drill1120_6_1_5">#REF!</definedName>
    <definedName name="drill1120_6_10">#REF!</definedName>
    <definedName name="drill1120_6_11">#REF!</definedName>
    <definedName name="drill1120_6_12">#REF!</definedName>
    <definedName name="drill1120_6_13">#REF!</definedName>
    <definedName name="drill1120_6_4">#REF!</definedName>
    <definedName name="drill1120_6_4_5">#REF!</definedName>
    <definedName name="drill1120_6_5">#REF!</definedName>
    <definedName name="drill1120_6_6">#REF!</definedName>
    <definedName name="drill1120_6_6_5">#REF!</definedName>
    <definedName name="drill1120_6_7">#REF!</definedName>
    <definedName name="drill1120_6_7_5">#REF!</definedName>
    <definedName name="drill1120_6_9">#REF!</definedName>
    <definedName name="drill1120_7">#REF!</definedName>
    <definedName name="drill1120_7_5">#REF!</definedName>
    <definedName name="drill1120_9">#REF!</definedName>
    <definedName name="drill150">#REF!</definedName>
    <definedName name="drill150_1">#REF!</definedName>
    <definedName name="drill150_10">#REF!</definedName>
    <definedName name="drill150_11">#REF!</definedName>
    <definedName name="drill150_12">#REF!</definedName>
    <definedName name="drill150_13">#REF!</definedName>
    <definedName name="drill150_2">#REF!</definedName>
    <definedName name="drill150_2_1">#REF!</definedName>
    <definedName name="drill150_2_1_6">#REF!</definedName>
    <definedName name="drill150_2_5">#REF!</definedName>
    <definedName name="drill150_2_6">#REF!</definedName>
    <definedName name="drill150_2_7">#REF!</definedName>
    <definedName name="drill150_2_7_5">#REF!</definedName>
    <definedName name="drill150_3">#REF!</definedName>
    <definedName name="drill150_3_10">#REF!</definedName>
    <definedName name="drill150_3_11">#REF!</definedName>
    <definedName name="drill150_3_12">#REF!</definedName>
    <definedName name="drill150_3_13">#REF!</definedName>
    <definedName name="drill150_3_4">#REF!</definedName>
    <definedName name="drill150_3_4_5">#REF!</definedName>
    <definedName name="drill150_3_5">#REF!</definedName>
    <definedName name="drill150_3_6">#REF!</definedName>
    <definedName name="drill150_3_6_5">#REF!</definedName>
    <definedName name="drill150_3_7">#REF!</definedName>
    <definedName name="drill150_3_7_5">#REF!</definedName>
    <definedName name="drill150_3_9">#REF!</definedName>
    <definedName name="drill150_4">#REF!</definedName>
    <definedName name="drill150_4_1">#REF!</definedName>
    <definedName name="drill150_4_1_5">#REF!</definedName>
    <definedName name="drill150_4_10">#REF!</definedName>
    <definedName name="drill150_4_11">#REF!</definedName>
    <definedName name="drill150_4_12">#REF!</definedName>
    <definedName name="drill150_4_13">#REF!</definedName>
    <definedName name="drill150_4_2">#REF!</definedName>
    <definedName name="drill150_4_2_6">#REF!</definedName>
    <definedName name="drill150_4_4">#REF!</definedName>
    <definedName name="drill150_4_4_5">#REF!</definedName>
    <definedName name="drill150_4_5">#REF!</definedName>
    <definedName name="drill150_4_6">#REF!</definedName>
    <definedName name="drill150_4_6_5">#REF!</definedName>
    <definedName name="drill150_4_7">#REF!</definedName>
    <definedName name="drill150_4_7_5">#REF!</definedName>
    <definedName name="drill150_5">#REF!</definedName>
    <definedName name="drill150_5_2">#REF!</definedName>
    <definedName name="drill150_5_2_6">#REF!</definedName>
    <definedName name="drill150_5_4">#REF!</definedName>
    <definedName name="drill150_5_4_5">#REF!</definedName>
    <definedName name="drill150_5_5">#REF!</definedName>
    <definedName name="drill150_5_6">#REF!</definedName>
    <definedName name="drill150_5_6_5">#REF!</definedName>
    <definedName name="drill150_5_7">#REF!</definedName>
    <definedName name="drill150_5_7_5">#REF!</definedName>
    <definedName name="drill150_6">#REF!</definedName>
    <definedName name="drill150_6_1">#REF!</definedName>
    <definedName name="drill150_6_1_5">#REF!</definedName>
    <definedName name="drill150_6_10">#REF!</definedName>
    <definedName name="drill150_6_11">#REF!</definedName>
    <definedName name="drill150_6_12">#REF!</definedName>
    <definedName name="drill150_6_13">#REF!</definedName>
    <definedName name="drill150_6_4">#REF!</definedName>
    <definedName name="drill150_6_4_5">#REF!</definedName>
    <definedName name="drill150_6_5">#REF!</definedName>
    <definedName name="drill150_6_6">#REF!</definedName>
    <definedName name="drill150_6_6_5">#REF!</definedName>
    <definedName name="drill150_6_7">#REF!</definedName>
    <definedName name="drill150_6_7_5">#REF!</definedName>
    <definedName name="drill150_6_9">#REF!</definedName>
    <definedName name="drill150_7">#REF!</definedName>
    <definedName name="drill150_7_5">#REF!</definedName>
    <definedName name="drill150_9">#REF!</definedName>
    <definedName name="drill160">#REF!</definedName>
    <definedName name="drill160_1">#REF!</definedName>
    <definedName name="drill160_10">#REF!</definedName>
    <definedName name="drill160_11">#REF!</definedName>
    <definedName name="drill160_12">#REF!</definedName>
    <definedName name="drill160_13">#REF!</definedName>
    <definedName name="drill160_2">#REF!</definedName>
    <definedName name="drill160_2_1">#REF!</definedName>
    <definedName name="drill160_2_1_6">#REF!</definedName>
    <definedName name="drill160_2_5">#REF!</definedName>
    <definedName name="drill160_2_6">#REF!</definedName>
    <definedName name="drill160_2_7">#REF!</definedName>
    <definedName name="drill160_2_7_5">#REF!</definedName>
    <definedName name="drill160_3">#REF!</definedName>
    <definedName name="drill160_3_10">#REF!</definedName>
    <definedName name="drill160_3_11">#REF!</definedName>
    <definedName name="drill160_3_12">#REF!</definedName>
    <definedName name="drill160_3_13">#REF!</definedName>
    <definedName name="drill160_3_4">#REF!</definedName>
    <definedName name="drill160_3_4_5">#REF!</definedName>
    <definedName name="drill160_3_5">#REF!</definedName>
    <definedName name="drill160_3_6">#REF!</definedName>
    <definedName name="drill160_3_6_5">#REF!</definedName>
    <definedName name="drill160_3_7">#REF!</definedName>
    <definedName name="drill160_3_7_5">#REF!</definedName>
    <definedName name="drill160_3_9">#REF!</definedName>
    <definedName name="drill160_4">#REF!</definedName>
    <definedName name="drill160_4_1">#REF!</definedName>
    <definedName name="drill160_4_1_5">#REF!</definedName>
    <definedName name="drill160_4_10">#REF!</definedName>
    <definedName name="drill160_4_11">#REF!</definedName>
    <definedName name="drill160_4_12">#REF!</definedName>
    <definedName name="drill160_4_13">#REF!</definedName>
    <definedName name="drill160_4_2">#REF!</definedName>
    <definedName name="drill160_4_2_6">#REF!</definedName>
    <definedName name="drill160_4_4">#REF!</definedName>
    <definedName name="drill160_4_4_5">#REF!</definedName>
    <definedName name="drill160_4_5">#REF!</definedName>
    <definedName name="drill160_4_6">#REF!</definedName>
    <definedName name="drill160_4_6_5">#REF!</definedName>
    <definedName name="drill160_4_7">#REF!</definedName>
    <definedName name="drill160_4_7_5">#REF!</definedName>
    <definedName name="drill160_5">#REF!</definedName>
    <definedName name="drill160_5_2">#REF!</definedName>
    <definedName name="drill160_5_2_6">#REF!</definedName>
    <definedName name="drill160_5_4">#REF!</definedName>
    <definedName name="drill160_5_4_5">#REF!</definedName>
    <definedName name="drill160_5_5">#REF!</definedName>
    <definedName name="drill160_5_6">#REF!</definedName>
    <definedName name="drill160_5_6_5">#REF!</definedName>
    <definedName name="drill160_5_7">#REF!</definedName>
    <definedName name="drill160_5_7_5">#REF!</definedName>
    <definedName name="drill160_6">#REF!</definedName>
    <definedName name="drill160_6_1">#REF!</definedName>
    <definedName name="drill160_6_1_5">#REF!</definedName>
    <definedName name="drill160_6_10">#REF!</definedName>
    <definedName name="drill160_6_11">#REF!</definedName>
    <definedName name="drill160_6_12">#REF!</definedName>
    <definedName name="drill160_6_13">#REF!</definedName>
    <definedName name="drill160_6_4">#REF!</definedName>
    <definedName name="drill160_6_4_5">#REF!</definedName>
    <definedName name="drill160_6_5">#REF!</definedName>
    <definedName name="drill160_6_6">#REF!</definedName>
    <definedName name="drill160_6_6_5">#REF!</definedName>
    <definedName name="drill160_6_7">#REF!</definedName>
    <definedName name="drill160_6_7_5">#REF!</definedName>
    <definedName name="drill160_6_9">#REF!</definedName>
    <definedName name="drill160_7">#REF!</definedName>
    <definedName name="drill160_7_5">#REF!</definedName>
    <definedName name="drill160_9">#REF!</definedName>
    <definedName name="drill180">#REF!</definedName>
    <definedName name="drill180_1">#REF!</definedName>
    <definedName name="drill180_10">#REF!</definedName>
    <definedName name="drill180_11">#REF!</definedName>
    <definedName name="drill180_12">#REF!</definedName>
    <definedName name="drill180_13">#REF!</definedName>
    <definedName name="drill180_2">#REF!</definedName>
    <definedName name="drill180_2_1">#REF!</definedName>
    <definedName name="drill180_2_1_6">#REF!</definedName>
    <definedName name="drill180_2_5">#REF!</definedName>
    <definedName name="drill180_2_6">#REF!</definedName>
    <definedName name="drill180_2_7">#REF!</definedName>
    <definedName name="drill180_2_7_5">#REF!</definedName>
    <definedName name="drill180_3">#REF!</definedName>
    <definedName name="drill180_3_10">#REF!</definedName>
    <definedName name="drill180_3_11">#REF!</definedName>
    <definedName name="drill180_3_12">#REF!</definedName>
    <definedName name="drill180_3_13">#REF!</definedName>
    <definedName name="drill180_3_4">#REF!</definedName>
    <definedName name="drill180_3_4_5">#REF!</definedName>
    <definedName name="drill180_3_5">#REF!</definedName>
    <definedName name="drill180_3_6">#REF!</definedName>
    <definedName name="drill180_3_6_5">#REF!</definedName>
    <definedName name="drill180_3_7">#REF!</definedName>
    <definedName name="drill180_3_7_5">#REF!</definedName>
    <definedName name="drill180_3_9">#REF!</definedName>
    <definedName name="drill180_4">#REF!</definedName>
    <definedName name="drill180_4_1">#REF!</definedName>
    <definedName name="drill180_4_1_5">#REF!</definedName>
    <definedName name="drill180_4_10">#REF!</definedName>
    <definedName name="drill180_4_11">#REF!</definedName>
    <definedName name="drill180_4_12">#REF!</definedName>
    <definedName name="drill180_4_13">#REF!</definedName>
    <definedName name="drill180_4_2">#REF!</definedName>
    <definedName name="drill180_4_2_6">#REF!</definedName>
    <definedName name="drill180_4_4">#REF!</definedName>
    <definedName name="drill180_4_4_5">#REF!</definedName>
    <definedName name="drill180_4_5">#REF!</definedName>
    <definedName name="drill180_4_6">#REF!</definedName>
    <definedName name="drill180_4_6_5">#REF!</definedName>
    <definedName name="drill180_4_7">#REF!</definedName>
    <definedName name="drill180_4_7_5">#REF!</definedName>
    <definedName name="drill180_5">#REF!</definedName>
    <definedName name="drill180_5_2">#REF!</definedName>
    <definedName name="drill180_5_2_6">#REF!</definedName>
    <definedName name="drill180_5_4">#REF!</definedName>
    <definedName name="drill180_5_4_5">#REF!</definedName>
    <definedName name="drill180_5_5">#REF!</definedName>
    <definedName name="drill180_5_6">#REF!</definedName>
    <definedName name="drill180_5_6_5">#REF!</definedName>
    <definedName name="drill180_5_7">#REF!</definedName>
    <definedName name="drill180_5_7_5">#REF!</definedName>
    <definedName name="drill180_6">#REF!</definedName>
    <definedName name="drill180_6_1">#REF!</definedName>
    <definedName name="drill180_6_1_5">#REF!</definedName>
    <definedName name="drill180_6_10">#REF!</definedName>
    <definedName name="drill180_6_11">#REF!</definedName>
    <definedName name="drill180_6_12">#REF!</definedName>
    <definedName name="drill180_6_13">#REF!</definedName>
    <definedName name="drill180_6_4">#REF!</definedName>
    <definedName name="drill180_6_4_5">#REF!</definedName>
    <definedName name="drill180_6_5">#REF!</definedName>
    <definedName name="drill180_6_6">#REF!</definedName>
    <definedName name="drill180_6_6_5">#REF!</definedName>
    <definedName name="drill180_6_7">#REF!</definedName>
    <definedName name="drill180_6_7_5">#REF!</definedName>
    <definedName name="drill180_6_9">#REF!</definedName>
    <definedName name="drill180_7">#REF!</definedName>
    <definedName name="drill180_7_5">#REF!</definedName>
    <definedName name="drill180_9">#REF!</definedName>
    <definedName name="drill3100">#REF!</definedName>
    <definedName name="drill3100_1">#REF!</definedName>
    <definedName name="drill3100_10">#REF!</definedName>
    <definedName name="drill3100_11">#REF!</definedName>
    <definedName name="drill3100_12">#REF!</definedName>
    <definedName name="drill3100_13">#REF!</definedName>
    <definedName name="drill3100_2">#REF!</definedName>
    <definedName name="drill3100_2_1">#REF!</definedName>
    <definedName name="drill3100_2_1_6">#REF!</definedName>
    <definedName name="drill3100_2_5">#REF!</definedName>
    <definedName name="drill3100_2_6">#REF!</definedName>
    <definedName name="drill3100_2_7">#REF!</definedName>
    <definedName name="drill3100_2_7_5">#REF!</definedName>
    <definedName name="drill3100_3">#REF!</definedName>
    <definedName name="drill3100_3_10">#REF!</definedName>
    <definedName name="drill3100_3_11">#REF!</definedName>
    <definedName name="drill3100_3_12">#REF!</definedName>
    <definedName name="drill3100_3_13">#REF!</definedName>
    <definedName name="drill3100_3_4">#REF!</definedName>
    <definedName name="drill3100_3_4_5">#REF!</definedName>
    <definedName name="drill3100_3_5">#REF!</definedName>
    <definedName name="drill3100_3_6">#REF!</definedName>
    <definedName name="drill3100_3_6_5">#REF!</definedName>
    <definedName name="drill3100_3_7">#REF!</definedName>
    <definedName name="drill3100_3_7_5">#REF!</definedName>
    <definedName name="drill3100_3_9">#REF!</definedName>
    <definedName name="drill3100_4">#REF!</definedName>
    <definedName name="drill3100_4_1">#REF!</definedName>
    <definedName name="drill3100_4_1_5">#REF!</definedName>
    <definedName name="drill3100_4_10">#REF!</definedName>
    <definedName name="drill3100_4_11">#REF!</definedName>
    <definedName name="drill3100_4_12">#REF!</definedName>
    <definedName name="drill3100_4_13">#REF!</definedName>
    <definedName name="drill3100_4_2">#REF!</definedName>
    <definedName name="drill3100_4_2_6">#REF!</definedName>
    <definedName name="drill3100_4_4">#REF!</definedName>
    <definedName name="drill3100_4_4_5">#REF!</definedName>
    <definedName name="drill3100_4_5">#REF!</definedName>
    <definedName name="drill3100_4_6">#REF!</definedName>
    <definedName name="drill3100_4_6_5">#REF!</definedName>
    <definedName name="drill3100_4_7">#REF!</definedName>
    <definedName name="drill3100_4_7_5">#REF!</definedName>
    <definedName name="drill3100_5">#REF!</definedName>
    <definedName name="drill3100_5_2">#REF!</definedName>
    <definedName name="drill3100_5_2_6">#REF!</definedName>
    <definedName name="drill3100_5_4">#REF!</definedName>
    <definedName name="drill3100_5_4_5">#REF!</definedName>
    <definedName name="drill3100_5_5">#REF!</definedName>
    <definedName name="drill3100_5_6">#REF!</definedName>
    <definedName name="drill3100_5_6_5">#REF!</definedName>
    <definedName name="drill3100_5_7">#REF!</definedName>
    <definedName name="drill3100_5_7_5">#REF!</definedName>
    <definedName name="drill3100_6">#REF!</definedName>
    <definedName name="drill3100_6_1">#REF!</definedName>
    <definedName name="drill3100_6_1_5">#REF!</definedName>
    <definedName name="drill3100_6_10">#REF!</definedName>
    <definedName name="drill3100_6_11">#REF!</definedName>
    <definedName name="drill3100_6_12">#REF!</definedName>
    <definedName name="drill3100_6_13">#REF!</definedName>
    <definedName name="drill3100_6_4">#REF!</definedName>
    <definedName name="drill3100_6_4_5">#REF!</definedName>
    <definedName name="drill3100_6_5">#REF!</definedName>
    <definedName name="drill3100_6_6">#REF!</definedName>
    <definedName name="drill3100_6_6_5">#REF!</definedName>
    <definedName name="drill3100_6_7">#REF!</definedName>
    <definedName name="drill3100_6_7_5">#REF!</definedName>
    <definedName name="drill3100_6_9">#REF!</definedName>
    <definedName name="drill3100_7">#REF!</definedName>
    <definedName name="drill3100_7_5">#REF!</definedName>
    <definedName name="drill3100_9">#REF!</definedName>
    <definedName name="drill3120">#REF!</definedName>
    <definedName name="drill3120_1">#REF!</definedName>
    <definedName name="drill3120_10">#REF!</definedName>
    <definedName name="drill3120_11">#REF!</definedName>
    <definedName name="drill3120_12">#REF!</definedName>
    <definedName name="drill3120_13">#REF!</definedName>
    <definedName name="drill3120_2">#REF!</definedName>
    <definedName name="drill3120_2_1">#REF!</definedName>
    <definedName name="drill3120_2_1_6">#REF!</definedName>
    <definedName name="drill3120_2_5">#REF!</definedName>
    <definedName name="drill3120_2_6">#REF!</definedName>
    <definedName name="drill3120_2_7">#REF!</definedName>
    <definedName name="drill3120_2_7_5">#REF!</definedName>
    <definedName name="drill3120_3">#REF!</definedName>
    <definedName name="drill3120_3_10">#REF!</definedName>
    <definedName name="drill3120_3_11">#REF!</definedName>
    <definedName name="drill3120_3_12">#REF!</definedName>
    <definedName name="drill3120_3_13">#REF!</definedName>
    <definedName name="drill3120_3_4">#REF!</definedName>
    <definedName name="drill3120_3_4_5">#REF!</definedName>
    <definedName name="drill3120_3_5">#REF!</definedName>
    <definedName name="drill3120_3_6">#REF!</definedName>
    <definedName name="drill3120_3_6_5">#REF!</definedName>
    <definedName name="drill3120_3_7">#REF!</definedName>
    <definedName name="drill3120_3_7_5">#REF!</definedName>
    <definedName name="drill3120_3_9">#REF!</definedName>
    <definedName name="drill3120_4">#REF!</definedName>
    <definedName name="drill3120_4_1">#REF!</definedName>
    <definedName name="drill3120_4_1_5">#REF!</definedName>
    <definedName name="drill3120_4_10">#REF!</definedName>
    <definedName name="drill3120_4_11">#REF!</definedName>
    <definedName name="drill3120_4_12">#REF!</definedName>
    <definedName name="drill3120_4_13">#REF!</definedName>
    <definedName name="drill3120_4_2">#REF!</definedName>
    <definedName name="drill3120_4_2_6">#REF!</definedName>
    <definedName name="drill3120_4_4">#REF!</definedName>
    <definedName name="drill3120_4_4_5">#REF!</definedName>
    <definedName name="drill3120_4_5">#REF!</definedName>
    <definedName name="drill3120_4_6">#REF!</definedName>
    <definedName name="drill3120_4_6_5">#REF!</definedName>
    <definedName name="drill3120_4_7">#REF!</definedName>
    <definedName name="drill3120_4_7_5">#REF!</definedName>
    <definedName name="drill3120_5">#REF!</definedName>
    <definedName name="drill3120_5_2">#REF!</definedName>
    <definedName name="drill3120_5_2_6">#REF!</definedName>
    <definedName name="drill3120_5_4">#REF!</definedName>
    <definedName name="drill3120_5_4_5">#REF!</definedName>
    <definedName name="drill3120_5_5">#REF!</definedName>
    <definedName name="drill3120_5_6">#REF!</definedName>
    <definedName name="drill3120_5_6_5">#REF!</definedName>
    <definedName name="drill3120_5_7">#REF!</definedName>
    <definedName name="drill3120_5_7_5">#REF!</definedName>
    <definedName name="drill3120_6">#REF!</definedName>
    <definedName name="drill3120_6_1">#REF!</definedName>
    <definedName name="drill3120_6_1_5">#REF!</definedName>
    <definedName name="drill3120_6_10">#REF!</definedName>
    <definedName name="drill3120_6_11">#REF!</definedName>
    <definedName name="drill3120_6_12">#REF!</definedName>
    <definedName name="drill3120_6_13">#REF!</definedName>
    <definedName name="drill3120_6_4">#REF!</definedName>
    <definedName name="drill3120_6_4_5">#REF!</definedName>
    <definedName name="drill3120_6_5">#REF!</definedName>
    <definedName name="drill3120_6_6">#REF!</definedName>
    <definedName name="drill3120_6_6_5">#REF!</definedName>
    <definedName name="drill3120_6_7">#REF!</definedName>
    <definedName name="drill3120_6_7_5">#REF!</definedName>
    <definedName name="drill3120_6_9">#REF!</definedName>
    <definedName name="drill3120_7">#REF!</definedName>
    <definedName name="drill3120_7_5">#REF!</definedName>
    <definedName name="drill3120_9">#REF!</definedName>
    <definedName name="drill350">#REF!</definedName>
    <definedName name="drill350_1">#REF!</definedName>
    <definedName name="drill350_10">#REF!</definedName>
    <definedName name="drill350_11">#REF!</definedName>
    <definedName name="drill350_12">#REF!</definedName>
    <definedName name="drill350_13">#REF!</definedName>
    <definedName name="drill350_2">#REF!</definedName>
    <definedName name="drill350_2_1">#REF!</definedName>
    <definedName name="drill350_2_1_6">#REF!</definedName>
    <definedName name="drill350_2_5">#REF!</definedName>
    <definedName name="drill350_2_6">#REF!</definedName>
    <definedName name="drill350_2_7">#REF!</definedName>
    <definedName name="drill350_2_7_5">#REF!</definedName>
    <definedName name="drill350_3">#REF!</definedName>
    <definedName name="drill350_3_10">#REF!</definedName>
    <definedName name="drill350_3_11">#REF!</definedName>
    <definedName name="drill350_3_12">#REF!</definedName>
    <definedName name="drill350_3_13">#REF!</definedName>
    <definedName name="drill350_3_4">#REF!</definedName>
    <definedName name="drill350_3_4_5">#REF!</definedName>
    <definedName name="drill350_3_5">#REF!</definedName>
    <definedName name="drill350_3_6">#REF!</definedName>
    <definedName name="drill350_3_6_5">#REF!</definedName>
    <definedName name="drill350_3_7">#REF!</definedName>
    <definedName name="drill350_3_7_5">#REF!</definedName>
    <definedName name="drill350_3_9">#REF!</definedName>
    <definedName name="drill350_4">#REF!</definedName>
    <definedName name="drill350_4_1">#REF!</definedName>
    <definedName name="drill350_4_1_5">#REF!</definedName>
    <definedName name="drill350_4_10">#REF!</definedName>
    <definedName name="drill350_4_11">#REF!</definedName>
    <definedName name="drill350_4_12">#REF!</definedName>
    <definedName name="drill350_4_13">#REF!</definedName>
    <definedName name="drill350_4_2">#REF!</definedName>
    <definedName name="drill350_4_2_6">#REF!</definedName>
    <definedName name="drill350_4_4">#REF!</definedName>
    <definedName name="drill350_4_4_5">#REF!</definedName>
    <definedName name="drill350_4_5">#REF!</definedName>
    <definedName name="drill350_4_6">#REF!</definedName>
    <definedName name="drill350_4_6_5">#REF!</definedName>
    <definedName name="drill350_4_7">#REF!</definedName>
    <definedName name="drill350_4_7_5">#REF!</definedName>
    <definedName name="drill350_5">#REF!</definedName>
    <definedName name="drill350_5_2">#REF!</definedName>
    <definedName name="drill350_5_2_6">#REF!</definedName>
    <definedName name="drill350_5_4">#REF!</definedName>
    <definedName name="drill350_5_4_5">#REF!</definedName>
    <definedName name="drill350_5_5">#REF!</definedName>
    <definedName name="drill350_5_6">#REF!</definedName>
    <definedName name="drill350_5_6_5">#REF!</definedName>
    <definedName name="drill350_5_7">#REF!</definedName>
    <definedName name="drill350_5_7_5">#REF!</definedName>
    <definedName name="drill350_6">#REF!</definedName>
    <definedName name="drill350_6_1">#REF!</definedName>
    <definedName name="drill350_6_1_5">#REF!</definedName>
    <definedName name="drill350_6_10">#REF!</definedName>
    <definedName name="drill350_6_11">#REF!</definedName>
    <definedName name="drill350_6_12">#REF!</definedName>
    <definedName name="drill350_6_13">#REF!</definedName>
    <definedName name="drill350_6_4">#REF!</definedName>
    <definedName name="drill350_6_4_5">#REF!</definedName>
    <definedName name="drill350_6_5">#REF!</definedName>
    <definedName name="drill350_6_6">#REF!</definedName>
    <definedName name="drill350_6_6_5">#REF!</definedName>
    <definedName name="drill350_6_7">#REF!</definedName>
    <definedName name="drill350_6_7_5">#REF!</definedName>
    <definedName name="drill350_6_9">#REF!</definedName>
    <definedName name="drill350_7">#REF!</definedName>
    <definedName name="drill350_7_5">#REF!</definedName>
    <definedName name="drill350_9">#REF!</definedName>
    <definedName name="drill360">#REF!</definedName>
    <definedName name="drill360_1">#REF!</definedName>
    <definedName name="drill360_10">#REF!</definedName>
    <definedName name="drill360_11">#REF!</definedName>
    <definedName name="drill360_12">#REF!</definedName>
    <definedName name="drill360_13">#REF!</definedName>
    <definedName name="drill360_2">#REF!</definedName>
    <definedName name="drill360_2_1">#REF!</definedName>
    <definedName name="drill360_2_1_6">#REF!</definedName>
    <definedName name="drill360_2_5">#REF!</definedName>
    <definedName name="drill360_2_6">#REF!</definedName>
    <definedName name="drill360_2_7">#REF!</definedName>
    <definedName name="drill360_2_7_5">#REF!</definedName>
    <definedName name="drill360_3">#REF!</definedName>
    <definedName name="drill360_3_10">#REF!</definedName>
    <definedName name="drill360_3_11">#REF!</definedName>
    <definedName name="drill360_3_12">#REF!</definedName>
    <definedName name="drill360_3_13">#REF!</definedName>
    <definedName name="drill360_3_4">#REF!</definedName>
    <definedName name="drill360_3_4_5">#REF!</definedName>
    <definedName name="drill360_3_5">#REF!</definedName>
    <definedName name="drill360_3_6">#REF!</definedName>
    <definedName name="drill360_3_6_5">#REF!</definedName>
    <definedName name="drill360_3_7">#REF!</definedName>
    <definedName name="drill360_3_7_5">#REF!</definedName>
    <definedName name="drill360_3_9">#REF!</definedName>
    <definedName name="drill360_4">#REF!</definedName>
    <definedName name="drill360_4_1">#REF!</definedName>
    <definedName name="drill360_4_1_5">#REF!</definedName>
    <definedName name="drill360_4_10">#REF!</definedName>
    <definedName name="drill360_4_11">#REF!</definedName>
    <definedName name="drill360_4_12">#REF!</definedName>
    <definedName name="drill360_4_13">#REF!</definedName>
    <definedName name="drill360_4_2">#REF!</definedName>
    <definedName name="drill360_4_2_6">#REF!</definedName>
    <definedName name="drill360_4_4">#REF!</definedName>
    <definedName name="drill360_4_4_5">#REF!</definedName>
    <definedName name="drill360_4_5">#REF!</definedName>
    <definedName name="drill360_4_6">#REF!</definedName>
    <definedName name="drill360_4_6_5">#REF!</definedName>
    <definedName name="drill360_4_7">#REF!</definedName>
    <definedName name="drill360_4_7_5">#REF!</definedName>
    <definedName name="drill360_5">#REF!</definedName>
    <definedName name="drill360_5_2">#REF!</definedName>
    <definedName name="drill360_5_2_6">#REF!</definedName>
    <definedName name="drill360_5_4">#REF!</definedName>
    <definedName name="drill360_5_4_5">#REF!</definedName>
    <definedName name="drill360_5_5">#REF!</definedName>
    <definedName name="drill360_5_6">#REF!</definedName>
    <definedName name="drill360_5_6_5">#REF!</definedName>
    <definedName name="drill360_5_7">#REF!</definedName>
    <definedName name="drill360_5_7_5">#REF!</definedName>
    <definedName name="drill360_6">#REF!</definedName>
    <definedName name="drill360_6_1">#REF!</definedName>
    <definedName name="drill360_6_1_5">#REF!</definedName>
    <definedName name="drill360_6_10">#REF!</definedName>
    <definedName name="drill360_6_11">#REF!</definedName>
    <definedName name="drill360_6_12">#REF!</definedName>
    <definedName name="drill360_6_13">#REF!</definedName>
    <definedName name="drill360_6_4">#REF!</definedName>
    <definedName name="drill360_6_4_5">#REF!</definedName>
    <definedName name="drill360_6_5">#REF!</definedName>
    <definedName name="drill360_6_6">#REF!</definedName>
    <definedName name="drill360_6_6_5">#REF!</definedName>
    <definedName name="drill360_6_7">#REF!</definedName>
    <definedName name="drill360_6_7_5">#REF!</definedName>
    <definedName name="drill360_6_9">#REF!</definedName>
    <definedName name="drill360_7">#REF!</definedName>
    <definedName name="drill360_7_5">#REF!</definedName>
    <definedName name="drill360_9">#REF!</definedName>
    <definedName name="drill380">#REF!</definedName>
    <definedName name="drill380_1">#REF!</definedName>
    <definedName name="drill380_10">#REF!</definedName>
    <definedName name="drill380_11">#REF!</definedName>
    <definedName name="drill380_12">#REF!</definedName>
    <definedName name="drill380_13">#REF!</definedName>
    <definedName name="drill380_2">#REF!</definedName>
    <definedName name="drill380_2_1">#REF!</definedName>
    <definedName name="drill380_2_1_6">#REF!</definedName>
    <definedName name="drill380_2_5">#REF!</definedName>
    <definedName name="drill380_2_6">#REF!</definedName>
    <definedName name="drill380_2_7">#REF!</definedName>
    <definedName name="drill380_2_7_5">#REF!</definedName>
    <definedName name="drill380_3">#REF!</definedName>
    <definedName name="drill380_3_10">#REF!</definedName>
    <definedName name="drill380_3_11">#REF!</definedName>
    <definedName name="drill380_3_12">#REF!</definedName>
    <definedName name="drill380_3_13">#REF!</definedName>
    <definedName name="drill380_3_4">#REF!</definedName>
    <definedName name="drill380_3_4_5">#REF!</definedName>
    <definedName name="drill380_3_5">#REF!</definedName>
    <definedName name="drill380_3_6">#REF!</definedName>
    <definedName name="drill380_3_6_5">#REF!</definedName>
    <definedName name="drill380_3_7">#REF!</definedName>
    <definedName name="drill380_3_7_5">#REF!</definedName>
    <definedName name="drill380_3_9">#REF!</definedName>
    <definedName name="drill380_4">#REF!</definedName>
    <definedName name="drill380_4_1">#REF!</definedName>
    <definedName name="drill380_4_1_5">#REF!</definedName>
    <definedName name="drill380_4_10">#REF!</definedName>
    <definedName name="drill380_4_11">#REF!</definedName>
    <definedName name="drill380_4_12">#REF!</definedName>
    <definedName name="drill380_4_13">#REF!</definedName>
    <definedName name="drill380_4_2">#REF!</definedName>
    <definedName name="drill380_4_2_6">#REF!</definedName>
    <definedName name="drill380_4_4">#REF!</definedName>
    <definedName name="drill380_4_4_5">#REF!</definedName>
    <definedName name="drill380_4_5">#REF!</definedName>
    <definedName name="drill380_4_6">#REF!</definedName>
    <definedName name="drill380_4_6_5">#REF!</definedName>
    <definedName name="drill380_4_7">#REF!</definedName>
    <definedName name="drill380_4_7_5">#REF!</definedName>
    <definedName name="drill380_5">#REF!</definedName>
    <definedName name="drill380_5_2">#REF!</definedName>
    <definedName name="drill380_5_2_6">#REF!</definedName>
    <definedName name="drill380_5_4">#REF!</definedName>
    <definedName name="drill380_5_4_5">#REF!</definedName>
    <definedName name="drill380_5_5">#REF!</definedName>
    <definedName name="drill380_5_6">#REF!</definedName>
    <definedName name="drill380_5_6_5">#REF!</definedName>
    <definedName name="drill380_5_7">#REF!</definedName>
    <definedName name="drill380_5_7_5">#REF!</definedName>
    <definedName name="drill380_6">#REF!</definedName>
    <definedName name="drill380_6_1">#REF!</definedName>
    <definedName name="drill380_6_1_5">#REF!</definedName>
    <definedName name="drill380_6_10">#REF!</definedName>
    <definedName name="drill380_6_11">#REF!</definedName>
    <definedName name="drill380_6_12">#REF!</definedName>
    <definedName name="drill380_6_13">#REF!</definedName>
    <definedName name="drill380_6_4">#REF!</definedName>
    <definedName name="drill380_6_4_5">#REF!</definedName>
    <definedName name="drill380_6_5">#REF!</definedName>
    <definedName name="drill380_6_6">#REF!</definedName>
    <definedName name="drill380_6_6_5">#REF!</definedName>
    <definedName name="drill380_6_7">#REF!</definedName>
    <definedName name="drill380_6_7_5">#REF!</definedName>
    <definedName name="drill380_6_9">#REF!</definedName>
    <definedName name="drill380_7">#REF!</definedName>
    <definedName name="drill380_7_5">#REF!</definedName>
    <definedName name="drill380_9">#REF!</definedName>
    <definedName name="drill5100">#REF!</definedName>
    <definedName name="drill5100_1">#REF!</definedName>
    <definedName name="drill5100_10">#REF!</definedName>
    <definedName name="drill5100_11">#REF!</definedName>
    <definedName name="drill5100_12">#REF!</definedName>
    <definedName name="drill5100_13">#REF!</definedName>
    <definedName name="drill5100_2">#REF!</definedName>
    <definedName name="drill5100_2_1">#REF!</definedName>
    <definedName name="drill5100_2_1_6">#REF!</definedName>
    <definedName name="drill5100_2_5">#REF!</definedName>
    <definedName name="drill5100_2_6">#REF!</definedName>
    <definedName name="drill5100_2_7">#REF!</definedName>
    <definedName name="drill5100_2_7_5">#REF!</definedName>
    <definedName name="drill5100_3">#REF!</definedName>
    <definedName name="drill5100_3_10">#REF!</definedName>
    <definedName name="drill5100_3_11">#REF!</definedName>
    <definedName name="drill5100_3_12">#REF!</definedName>
    <definedName name="drill5100_3_13">#REF!</definedName>
    <definedName name="drill5100_3_4">#REF!</definedName>
    <definedName name="drill5100_3_4_5">#REF!</definedName>
    <definedName name="drill5100_3_5">#REF!</definedName>
    <definedName name="drill5100_3_6">#REF!</definedName>
    <definedName name="drill5100_3_6_5">#REF!</definedName>
    <definedName name="drill5100_3_7">#REF!</definedName>
    <definedName name="drill5100_3_7_5">#REF!</definedName>
    <definedName name="drill5100_3_9">#REF!</definedName>
    <definedName name="drill5100_4">#REF!</definedName>
    <definedName name="drill5100_4_1">#REF!</definedName>
    <definedName name="drill5100_4_1_5">#REF!</definedName>
    <definedName name="drill5100_4_10">#REF!</definedName>
    <definedName name="drill5100_4_11">#REF!</definedName>
    <definedName name="drill5100_4_12">#REF!</definedName>
    <definedName name="drill5100_4_13">#REF!</definedName>
    <definedName name="drill5100_4_2">#REF!</definedName>
    <definedName name="drill5100_4_2_6">#REF!</definedName>
    <definedName name="drill5100_4_4">#REF!</definedName>
    <definedName name="drill5100_4_4_5">#REF!</definedName>
    <definedName name="drill5100_4_5">#REF!</definedName>
    <definedName name="drill5100_4_6">#REF!</definedName>
    <definedName name="drill5100_4_6_5">#REF!</definedName>
    <definedName name="drill5100_4_7">#REF!</definedName>
    <definedName name="drill5100_4_7_5">#REF!</definedName>
    <definedName name="drill5100_5">#REF!</definedName>
    <definedName name="drill5100_5_2">#REF!</definedName>
    <definedName name="drill5100_5_2_6">#REF!</definedName>
    <definedName name="drill5100_5_4">#REF!</definedName>
    <definedName name="drill5100_5_4_5">#REF!</definedName>
    <definedName name="drill5100_5_5">#REF!</definedName>
    <definedName name="drill5100_5_6">#REF!</definedName>
    <definedName name="drill5100_5_6_5">#REF!</definedName>
    <definedName name="drill5100_5_7">#REF!</definedName>
    <definedName name="drill5100_5_7_5">#REF!</definedName>
    <definedName name="drill5100_6">#REF!</definedName>
    <definedName name="drill5100_6_1">#REF!</definedName>
    <definedName name="drill5100_6_1_5">#REF!</definedName>
    <definedName name="drill5100_6_10">#REF!</definedName>
    <definedName name="drill5100_6_11">#REF!</definedName>
    <definedName name="drill5100_6_12">#REF!</definedName>
    <definedName name="drill5100_6_13">#REF!</definedName>
    <definedName name="drill5100_6_4">#REF!</definedName>
    <definedName name="drill5100_6_4_5">#REF!</definedName>
    <definedName name="drill5100_6_5">#REF!</definedName>
    <definedName name="drill5100_6_6">#REF!</definedName>
    <definedName name="drill5100_6_6_5">#REF!</definedName>
    <definedName name="drill5100_6_7">#REF!</definedName>
    <definedName name="drill5100_6_7_5">#REF!</definedName>
    <definedName name="drill5100_6_9">#REF!</definedName>
    <definedName name="drill5100_7">#REF!</definedName>
    <definedName name="drill5100_7_5">#REF!</definedName>
    <definedName name="drill5100_9">#REF!</definedName>
    <definedName name="drill5120">#REF!</definedName>
    <definedName name="drill5120_1">#REF!</definedName>
    <definedName name="drill5120_10">#REF!</definedName>
    <definedName name="drill5120_11">#REF!</definedName>
    <definedName name="drill5120_12">#REF!</definedName>
    <definedName name="drill5120_13">#REF!</definedName>
    <definedName name="drill5120_2">#REF!</definedName>
    <definedName name="drill5120_2_1">#REF!</definedName>
    <definedName name="drill5120_2_1_6">#REF!</definedName>
    <definedName name="drill5120_2_5">#REF!</definedName>
    <definedName name="drill5120_2_6">#REF!</definedName>
    <definedName name="drill5120_2_7">#REF!</definedName>
    <definedName name="drill5120_2_7_5">#REF!</definedName>
    <definedName name="drill5120_3">#REF!</definedName>
    <definedName name="drill5120_3_10">#REF!</definedName>
    <definedName name="drill5120_3_11">#REF!</definedName>
    <definedName name="drill5120_3_12">#REF!</definedName>
    <definedName name="drill5120_3_13">#REF!</definedName>
    <definedName name="drill5120_3_4">#REF!</definedName>
    <definedName name="drill5120_3_4_5">#REF!</definedName>
    <definedName name="drill5120_3_5">#REF!</definedName>
    <definedName name="drill5120_3_6">#REF!</definedName>
    <definedName name="drill5120_3_6_5">#REF!</definedName>
    <definedName name="drill5120_3_7">#REF!</definedName>
    <definedName name="drill5120_3_7_5">#REF!</definedName>
    <definedName name="drill5120_3_9">#REF!</definedName>
    <definedName name="drill5120_4">#REF!</definedName>
    <definedName name="drill5120_4_1">#REF!</definedName>
    <definedName name="drill5120_4_1_5">#REF!</definedName>
    <definedName name="drill5120_4_10">#REF!</definedName>
    <definedName name="drill5120_4_11">#REF!</definedName>
    <definedName name="drill5120_4_12">#REF!</definedName>
    <definedName name="drill5120_4_13">#REF!</definedName>
    <definedName name="drill5120_4_2">#REF!</definedName>
    <definedName name="drill5120_4_2_6">#REF!</definedName>
    <definedName name="drill5120_4_4">#REF!</definedName>
    <definedName name="drill5120_4_4_5">#REF!</definedName>
    <definedName name="drill5120_4_5">#REF!</definedName>
    <definedName name="drill5120_4_6">#REF!</definedName>
    <definedName name="drill5120_4_6_5">#REF!</definedName>
    <definedName name="drill5120_4_7">#REF!</definedName>
    <definedName name="drill5120_4_7_5">#REF!</definedName>
    <definedName name="drill5120_5">#REF!</definedName>
    <definedName name="drill5120_5_2">#REF!</definedName>
    <definedName name="drill5120_5_2_6">#REF!</definedName>
    <definedName name="drill5120_5_4">#REF!</definedName>
    <definedName name="drill5120_5_4_5">#REF!</definedName>
    <definedName name="drill5120_5_5">#REF!</definedName>
    <definedName name="drill5120_5_6">#REF!</definedName>
    <definedName name="drill5120_5_6_5">#REF!</definedName>
    <definedName name="drill5120_5_7">#REF!</definedName>
    <definedName name="drill5120_5_7_5">#REF!</definedName>
    <definedName name="drill5120_6">#REF!</definedName>
    <definedName name="drill5120_6_1">#REF!</definedName>
    <definedName name="drill5120_6_1_5">#REF!</definedName>
    <definedName name="drill5120_6_10">#REF!</definedName>
    <definedName name="drill5120_6_11">#REF!</definedName>
    <definedName name="drill5120_6_12">#REF!</definedName>
    <definedName name="drill5120_6_13">#REF!</definedName>
    <definedName name="drill5120_6_4">#REF!</definedName>
    <definedName name="drill5120_6_4_5">#REF!</definedName>
    <definedName name="drill5120_6_5">#REF!</definedName>
    <definedName name="drill5120_6_6">#REF!</definedName>
    <definedName name="drill5120_6_6_5">#REF!</definedName>
    <definedName name="drill5120_6_7">#REF!</definedName>
    <definedName name="drill5120_6_7_5">#REF!</definedName>
    <definedName name="drill5120_6_9">#REF!</definedName>
    <definedName name="drill5120_7">#REF!</definedName>
    <definedName name="drill5120_7_5">#REF!</definedName>
    <definedName name="drill5120_9">#REF!</definedName>
    <definedName name="drill550">#REF!</definedName>
    <definedName name="drill550_1">#REF!</definedName>
    <definedName name="drill550_10">#REF!</definedName>
    <definedName name="drill550_11">#REF!</definedName>
    <definedName name="drill550_12">#REF!</definedName>
    <definedName name="drill550_13">#REF!</definedName>
    <definedName name="drill550_2">#REF!</definedName>
    <definedName name="drill550_2_1">#REF!</definedName>
    <definedName name="drill550_2_1_6">#REF!</definedName>
    <definedName name="drill550_2_5">#REF!</definedName>
    <definedName name="drill550_2_6">#REF!</definedName>
    <definedName name="drill550_2_7">#REF!</definedName>
    <definedName name="drill550_2_7_5">#REF!</definedName>
    <definedName name="drill550_3">#REF!</definedName>
    <definedName name="drill550_3_10">#REF!</definedName>
    <definedName name="drill550_3_11">#REF!</definedName>
    <definedName name="drill550_3_12">#REF!</definedName>
    <definedName name="drill550_3_13">#REF!</definedName>
    <definedName name="drill550_3_4">#REF!</definedName>
    <definedName name="drill550_3_4_5">#REF!</definedName>
    <definedName name="drill550_3_5">#REF!</definedName>
    <definedName name="drill550_3_6">#REF!</definedName>
    <definedName name="drill550_3_6_5">#REF!</definedName>
    <definedName name="drill550_3_7">#REF!</definedName>
    <definedName name="drill550_3_7_5">#REF!</definedName>
    <definedName name="drill550_3_9">#REF!</definedName>
    <definedName name="drill550_4">#REF!</definedName>
    <definedName name="drill550_4_1">#REF!</definedName>
    <definedName name="drill550_4_1_5">#REF!</definedName>
    <definedName name="drill550_4_10">#REF!</definedName>
    <definedName name="drill550_4_11">#REF!</definedName>
    <definedName name="drill550_4_12">#REF!</definedName>
    <definedName name="drill550_4_13">#REF!</definedName>
    <definedName name="drill550_4_2">#REF!</definedName>
    <definedName name="drill550_4_2_6">#REF!</definedName>
    <definedName name="drill550_4_4">#REF!</definedName>
    <definedName name="drill550_4_4_5">#REF!</definedName>
    <definedName name="drill550_4_5">#REF!</definedName>
    <definedName name="drill550_4_6">#REF!</definedName>
    <definedName name="drill550_4_6_5">#REF!</definedName>
    <definedName name="drill550_4_7">#REF!</definedName>
    <definedName name="drill550_4_7_5">#REF!</definedName>
    <definedName name="drill550_5">#REF!</definedName>
    <definedName name="drill550_5_2">#REF!</definedName>
    <definedName name="drill550_5_2_6">#REF!</definedName>
    <definedName name="drill550_5_4">#REF!</definedName>
    <definedName name="drill550_5_4_5">#REF!</definedName>
    <definedName name="drill550_5_5">#REF!</definedName>
    <definedName name="drill550_5_6">#REF!</definedName>
    <definedName name="drill550_5_6_5">#REF!</definedName>
    <definedName name="drill550_5_7">#REF!</definedName>
    <definedName name="drill550_5_7_5">#REF!</definedName>
    <definedName name="drill550_6">#REF!</definedName>
    <definedName name="drill550_6_1">#REF!</definedName>
    <definedName name="drill550_6_1_5">#REF!</definedName>
    <definedName name="drill550_6_10">#REF!</definedName>
    <definedName name="drill550_6_11">#REF!</definedName>
    <definedName name="drill550_6_12">#REF!</definedName>
    <definedName name="drill550_6_13">#REF!</definedName>
    <definedName name="drill550_6_4">#REF!</definedName>
    <definedName name="drill550_6_4_5">#REF!</definedName>
    <definedName name="drill550_6_5">#REF!</definedName>
    <definedName name="drill550_6_6">#REF!</definedName>
    <definedName name="drill550_6_6_5">#REF!</definedName>
    <definedName name="drill550_6_7">#REF!</definedName>
    <definedName name="drill550_6_7_5">#REF!</definedName>
    <definedName name="drill550_6_9">#REF!</definedName>
    <definedName name="drill550_7">#REF!</definedName>
    <definedName name="drill550_7_5">#REF!</definedName>
    <definedName name="drill550_9">#REF!</definedName>
    <definedName name="drill560">#REF!</definedName>
    <definedName name="drill560_1">#REF!</definedName>
    <definedName name="drill560_10">#REF!</definedName>
    <definedName name="drill560_11">#REF!</definedName>
    <definedName name="drill560_12">#REF!</definedName>
    <definedName name="drill560_13">#REF!</definedName>
    <definedName name="drill560_2">#REF!</definedName>
    <definedName name="drill560_2_1">#REF!</definedName>
    <definedName name="drill560_2_1_6">#REF!</definedName>
    <definedName name="drill560_2_5">#REF!</definedName>
    <definedName name="drill560_2_6">#REF!</definedName>
    <definedName name="drill560_2_7">#REF!</definedName>
    <definedName name="drill560_2_7_5">#REF!</definedName>
    <definedName name="drill560_3">#REF!</definedName>
    <definedName name="drill560_3_10">#REF!</definedName>
    <definedName name="drill560_3_11">#REF!</definedName>
    <definedName name="drill560_3_12">#REF!</definedName>
    <definedName name="drill560_3_13">#REF!</definedName>
    <definedName name="drill560_3_4">#REF!</definedName>
    <definedName name="drill560_3_4_5">#REF!</definedName>
    <definedName name="drill560_3_5">#REF!</definedName>
    <definedName name="drill560_3_6">#REF!</definedName>
    <definedName name="drill560_3_6_5">#REF!</definedName>
    <definedName name="drill560_3_7">#REF!</definedName>
    <definedName name="drill560_3_7_5">#REF!</definedName>
    <definedName name="drill560_3_9">#REF!</definedName>
    <definedName name="drill560_4">#REF!</definedName>
    <definedName name="drill560_4_1">#REF!</definedName>
    <definedName name="drill560_4_1_5">#REF!</definedName>
    <definedName name="drill560_4_10">#REF!</definedName>
    <definedName name="drill560_4_11">#REF!</definedName>
    <definedName name="drill560_4_12">#REF!</definedName>
    <definedName name="drill560_4_13">#REF!</definedName>
    <definedName name="drill560_4_2">#REF!</definedName>
    <definedName name="drill560_4_2_6">#REF!</definedName>
    <definedName name="drill560_4_4">#REF!</definedName>
    <definedName name="drill560_4_4_5">#REF!</definedName>
    <definedName name="drill560_4_5">#REF!</definedName>
    <definedName name="drill560_4_6">#REF!</definedName>
    <definedName name="drill560_4_6_5">#REF!</definedName>
    <definedName name="drill560_4_7">#REF!</definedName>
    <definedName name="drill560_4_7_5">#REF!</definedName>
    <definedName name="drill560_5">#REF!</definedName>
    <definedName name="drill560_5_2">#REF!</definedName>
    <definedName name="drill560_5_2_6">#REF!</definedName>
    <definedName name="drill560_5_4">#REF!</definedName>
    <definedName name="drill560_5_4_5">#REF!</definedName>
    <definedName name="drill560_5_5">#REF!</definedName>
    <definedName name="drill560_5_6">#REF!</definedName>
    <definedName name="drill560_5_6_5">#REF!</definedName>
    <definedName name="drill560_5_7">#REF!</definedName>
    <definedName name="drill560_5_7_5">#REF!</definedName>
    <definedName name="drill560_6">#REF!</definedName>
    <definedName name="drill560_6_1">#REF!</definedName>
    <definedName name="drill560_6_1_5">#REF!</definedName>
    <definedName name="drill560_6_10">#REF!</definedName>
    <definedName name="drill560_6_11">#REF!</definedName>
    <definedName name="drill560_6_12">#REF!</definedName>
    <definedName name="drill560_6_13">#REF!</definedName>
    <definedName name="drill560_6_4">#REF!</definedName>
    <definedName name="drill560_6_4_5">#REF!</definedName>
    <definedName name="drill560_6_5">#REF!</definedName>
    <definedName name="drill560_6_6">#REF!</definedName>
    <definedName name="drill560_6_6_5">#REF!</definedName>
    <definedName name="drill560_6_7">#REF!</definedName>
    <definedName name="drill560_6_7_5">#REF!</definedName>
    <definedName name="drill560_6_9">#REF!</definedName>
    <definedName name="drill560_7">#REF!</definedName>
    <definedName name="drill560_7_5">#REF!</definedName>
    <definedName name="drill560_9">#REF!</definedName>
    <definedName name="drill580">#REF!</definedName>
    <definedName name="drill580_1">#REF!</definedName>
    <definedName name="drill580_10">#REF!</definedName>
    <definedName name="drill580_11">#REF!</definedName>
    <definedName name="drill580_12">#REF!</definedName>
    <definedName name="drill580_13">#REF!</definedName>
    <definedName name="drill580_2">#REF!</definedName>
    <definedName name="drill580_2_1">#REF!</definedName>
    <definedName name="drill580_2_1_6">#REF!</definedName>
    <definedName name="drill580_2_5">#REF!</definedName>
    <definedName name="drill580_2_6">#REF!</definedName>
    <definedName name="drill580_2_7">#REF!</definedName>
    <definedName name="drill580_2_7_5">#REF!</definedName>
    <definedName name="drill580_3">#REF!</definedName>
    <definedName name="drill580_3_10">#REF!</definedName>
    <definedName name="drill580_3_11">#REF!</definedName>
    <definedName name="drill580_3_12">#REF!</definedName>
    <definedName name="drill580_3_13">#REF!</definedName>
    <definedName name="drill580_3_4">#REF!</definedName>
    <definedName name="drill580_3_4_5">#REF!</definedName>
    <definedName name="drill580_3_5">#REF!</definedName>
    <definedName name="drill580_3_6">#REF!</definedName>
    <definedName name="drill580_3_6_5">#REF!</definedName>
    <definedName name="drill580_3_7">#REF!</definedName>
    <definedName name="drill580_3_7_5">#REF!</definedName>
    <definedName name="drill580_3_9">#REF!</definedName>
    <definedName name="drill580_4">#REF!</definedName>
    <definedName name="drill580_4_1">#REF!</definedName>
    <definedName name="drill580_4_1_5">#REF!</definedName>
    <definedName name="drill580_4_10">#REF!</definedName>
    <definedName name="drill580_4_11">#REF!</definedName>
    <definedName name="drill580_4_12">#REF!</definedName>
    <definedName name="drill580_4_13">#REF!</definedName>
    <definedName name="drill580_4_2">#REF!</definedName>
    <definedName name="drill580_4_2_6">#REF!</definedName>
    <definedName name="drill580_4_4">#REF!</definedName>
    <definedName name="drill580_4_4_5">#REF!</definedName>
    <definedName name="drill580_4_5">#REF!</definedName>
    <definedName name="drill580_4_6">#REF!</definedName>
    <definedName name="drill580_4_6_5">#REF!</definedName>
    <definedName name="drill580_4_7">#REF!</definedName>
    <definedName name="drill580_4_7_5">#REF!</definedName>
    <definedName name="drill580_5">#REF!</definedName>
    <definedName name="drill580_5_2">#REF!</definedName>
    <definedName name="drill580_5_2_6">#REF!</definedName>
    <definedName name="drill580_5_4">#REF!</definedName>
    <definedName name="drill580_5_4_5">#REF!</definedName>
    <definedName name="drill580_5_5">#REF!</definedName>
    <definedName name="drill580_5_6">#REF!</definedName>
    <definedName name="drill580_5_6_5">#REF!</definedName>
    <definedName name="drill580_5_7">#REF!</definedName>
    <definedName name="drill580_5_7_5">#REF!</definedName>
    <definedName name="drill580_6">#REF!</definedName>
    <definedName name="drill580_6_1">#REF!</definedName>
    <definedName name="drill580_6_1_5">#REF!</definedName>
    <definedName name="drill580_6_10">#REF!</definedName>
    <definedName name="drill580_6_11">#REF!</definedName>
    <definedName name="drill580_6_12">#REF!</definedName>
    <definedName name="drill580_6_13">#REF!</definedName>
    <definedName name="drill580_6_4">#REF!</definedName>
    <definedName name="drill580_6_4_5">#REF!</definedName>
    <definedName name="drill580_6_5">#REF!</definedName>
    <definedName name="drill580_6_6">#REF!</definedName>
    <definedName name="drill580_6_6_5">#REF!</definedName>
    <definedName name="drill580_6_7">#REF!</definedName>
    <definedName name="drill580_6_7_5">#REF!</definedName>
    <definedName name="drill580_6_9">#REF!</definedName>
    <definedName name="drill580_7">#REF!</definedName>
    <definedName name="drill580_7_5">#REF!</definedName>
    <definedName name="drill580_9">#REF!</definedName>
    <definedName name="drill5a100">#REF!</definedName>
    <definedName name="drill5a100_1">#REF!</definedName>
    <definedName name="drill5a100_10">#REF!</definedName>
    <definedName name="drill5a100_11">#REF!</definedName>
    <definedName name="drill5a100_12">#REF!</definedName>
    <definedName name="drill5a100_13">#REF!</definedName>
    <definedName name="drill5a100_2">#REF!</definedName>
    <definedName name="drill5a100_2_1">#REF!</definedName>
    <definedName name="drill5a100_2_1_6">#REF!</definedName>
    <definedName name="drill5a100_2_5">#REF!</definedName>
    <definedName name="drill5a100_2_6">#REF!</definedName>
    <definedName name="drill5a100_2_7">#REF!</definedName>
    <definedName name="drill5a100_2_7_5">#REF!</definedName>
    <definedName name="drill5a100_3">#REF!</definedName>
    <definedName name="drill5a100_3_10">#REF!</definedName>
    <definedName name="drill5a100_3_11">#REF!</definedName>
    <definedName name="drill5a100_3_12">#REF!</definedName>
    <definedName name="drill5a100_3_13">#REF!</definedName>
    <definedName name="drill5a100_3_4">#REF!</definedName>
    <definedName name="drill5a100_3_4_5">#REF!</definedName>
    <definedName name="drill5a100_3_5">#REF!</definedName>
    <definedName name="drill5a100_3_6">#REF!</definedName>
    <definedName name="drill5a100_3_6_5">#REF!</definedName>
    <definedName name="drill5a100_3_7">#REF!</definedName>
    <definedName name="drill5a100_3_7_5">#REF!</definedName>
    <definedName name="drill5a100_3_9">#REF!</definedName>
    <definedName name="drill5a100_4">#REF!</definedName>
    <definedName name="drill5a100_4_1">#REF!</definedName>
    <definedName name="drill5a100_4_1_5">#REF!</definedName>
    <definedName name="drill5a100_4_10">#REF!</definedName>
    <definedName name="drill5a100_4_11">#REF!</definedName>
    <definedName name="drill5a100_4_12">#REF!</definedName>
    <definedName name="drill5a100_4_13">#REF!</definedName>
    <definedName name="drill5a100_4_2">#REF!</definedName>
    <definedName name="drill5a100_4_2_6">#REF!</definedName>
    <definedName name="drill5a100_4_4">#REF!</definedName>
    <definedName name="drill5a100_4_4_5">#REF!</definedName>
    <definedName name="drill5a100_4_5">#REF!</definedName>
    <definedName name="drill5a100_4_6">#REF!</definedName>
    <definedName name="drill5a100_4_6_5">#REF!</definedName>
    <definedName name="drill5a100_4_7">#REF!</definedName>
    <definedName name="drill5a100_4_7_5">#REF!</definedName>
    <definedName name="drill5a100_5">#REF!</definedName>
    <definedName name="drill5a100_5_2">#REF!</definedName>
    <definedName name="drill5a100_5_2_6">#REF!</definedName>
    <definedName name="drill5a100_5_4">#REF!</definedName>
    <definedName name="drill5a100_5_4_5">#REF!</definedName>
    <definedName name="drill5a100_5_5">#REF!</definedName>
    <definedName name="drill5a100_5_6">#REF!</definedName>
    <definedName name="drill5a100_5_6_5">#REF!</definedName>
    <definedName name="drill5a100_5_7">#REF!</definedName>
    <definedName name="drill5a100_5_7_5">#REF!</definedName>
    <definedName name="drill5a100_6">#REF!</definedName>
    <definedName name="drill5a100_6_1">#REF!</definedName>
    <definedName name="drill5a100_6_1_5">#REF!</definedName>
    <definedName name="drill5a100_6_10">#REF!</definedName>
    <definedName name="drill5a100_6_11">#REF!</definedName>
    <definedName name="drill5a100_6_12">#REF!</definedName>
    <definedName name="drill5a100_6_13">#REF!</definedName>
    <definedName name="drill5a100_6_4">#REF!</definedName>
    <definedName name="drill5a100_6_4_5">#REF!</definedName>
    <definedName name="drill5a100_6_5">#REF!</definedName>
    <definedName name="drill5a100_6_6">#REF!</definedName>
    <definedName name="drill5a100_6_6_5">#REF!</definedName>
    <definedName name="drill5a100_6_7">#REF!</definedName>
    <definedName name="drill5a100_6_7_5">#REF!</definedName>
    <definedName name="drill5a100_6_9">#REF!</definedName>
    <definedName name="drill5a100_7">#REF!</definedName>
    <definedName name="drill5a100_7_5">#REF!</definedName>
    <definedName name="drill5a100_9">#REF!</definedName>
    <definedName name="drill5a120">#REF!</definedName>
    <definedName name="drill5a120_1">#REF!</definedName>
    <definedName name="drill5a120_10">#REF!</definedName>
    <definedName name="drill5a120_11">#REF!</definedName>
    <definedName name="drill5a120_12">#REF!</definedName>
    <definedName name="drill5a120_13">#REF!</definedName>
    <definedName name="drill5a120_2">#REF!</definedName>
    <definedName name="drill5a120_2_1">#REF!</definedName>
    <definedName name="drill5a120_2_1_6">#REF!</definedName>
    <definedName name="drill5a120_2_5">#REF!</definedName>
    <definedName name="drill5a120_2_6">#REF!</definedName>
    <definedName name="drill5a120_2_7">#REF!</definedName>
    <definedName name="drill5a120_2_7_5">#REF!</definedName>
    <definedName name="drill5a120_3">#REF!</definedName>
    <definedName name="drill5a120_3_10">#REF!</definedName>
    <definedName name="drill5a120_3_11">#REF!</definedName>
    <definedName name="drill5a120_3_12">#REF!</definedName>
    <definedName name="drill5a120_3_13">#REF!</definedName>
    <definedName name="drill5a120_3_4">#REF!</definedName>
    <definedName name="drill5a120_3_4_5">#REF!</definedName>
    <definedName name="drill5a120_3_5">#REF!</definedName>
    <definedName name="drill5a120_3_6">#REF!</definedName>
    <definedName name="drill5a120_3_6_5">#REF!</definedName>
    <definedName name="drill5a120_3_7">#REF!</definedName>
    <definedName name="drill5a120_3_7_5">#REF!</definedName>
    <definedName name="drill5a120_3_9">#REF!</definedName>
    <definedName name="drill5a120_4">#REF!</definedName>
    <definedName name="drill5a120_4_1">#REF!</definedName>
    <definedName name="drill5a120_4_1_5">#REF!</definedName>
    <definedName name="drill5a120_4_10">#REF!</definedName>
    <definedName name="drill5a120_4_11">#REF!</definedName>
    <definedName name="drill5a120_4_12">#REF!</definedName>
    <definedName name="drill5a120_4_13">#REF!</definedName>
    <definedName name="drill5a120_4_2">#REF!</definedName>
    <definedName name="drill5a120_4_2_6">#REF!</definedName>
    <definedName name="drill5a120_4_4">#REF!</definedName>
    <definedName name="drill5a120_4_4_5">#REF!</definedName>
    <definedName name="drill5a120_4_5">#REF!</definedName>
    <definedName name="drill5a120_4_6">#REF!</definedName>
    <definedName name="drill5a120_4_6_5">#REF!</definedName>
    <definedName name="drill5a120_4_7">#REF!</definedName>
    <definedName name="drill5a120_4_7_5">#REF!</definedName>
    <definedName name="drill5a120_5">#REF!</definedName>
    <definedName name="drill5a120_5_2">#REF!</definedName>
    <definedName name="drill5a120_5_2_6">#REF!</definedName>
    <definedName name="drill5a120_5_4">#REF!</definedName>
    <definedName name="drill5a120_5_4_5">#REF!</definedName>
    <definedName name="drill5a120_5_5">#REF!</definedName>
    <definedName name="drill5a120_5_6">#REF!</definedName>
    <definedName name="drill5a120_5_6_5">#REF!</definedName>
    <definedName name="drill5a120_5_7">#REF!</definedName>
    <definedName name="drill5a120_5_7_5">#REF!</definedName>
    <definedName name="drill5a120_6">#REF!</definedName>
    <definedName name="drill5a120_6_1">#REF!</definedName>
    <definedName name="drill5a120_6_1_5">#REF!</definedName>
    <definedName name="drill5a120_6_10">#REF!</definedName>
    <definedName name="drill5a120_6_11">#REF!</definedName>
    <definedName name="drill5a120_6_12">#REF!</definedName>
    <definedName name="drill5a120_6_13">#REF!</definedName>
    <definedName name="drill5a120_6_4">#REF!</definedName>
    <definedName name="drill5a120_6_4_5">#REF!</definedName>
    <definedName name="drill5a120_6_5">#REF!</definedName>
    <definedName name="drill5a120_6_6">#REF!</definedName>
    <definedName name="drill5a120_6_6_5">#REF!</definedName>
    <definedName name="drill5a120_6_7">#REF!</definedName>
    <definedName name="drill5a120_6_7_5">#REF!</definedName>
    <definedName name="drill5a120_6_9">#REF!</definedName>
    <definedName name="drill5a120_7">#REF!</definedName>
    <definedName name="drill5a120_7_5">#REF!</definedName>
    <definedName name="drill5a120_9">#REF!</definedName>
    <definedName name="drill5a50">#REF!</definedName>
    <definedName name="drill5a50_1">#REF!</definedName>
    <definedName name="drill5a50_10">#REF!</definedName>
    <definedName name="drill5a50_11">#REF!</definedName>
    <definedName name="drill5a50_12">#REF!</definedName>
    <definedName name="drill5a50_13">#REF!</definedName>
    <definedName name="drill5a50_2">#REF!</definedName>
    <definedName name="drill5a50_2_1">#REF!</definedName>
    <definedName name="drill5a50_2_1_6">#REF!</definedName>
    <definedName name="drill5a50_2_5">#REF!</definedName>
    <definedName name="drill5a50_2_6">#REF!</definedName>
    <definedName name="drill5a50_2_7">#REF!</definedName>
    <definedName name="drill5a50_2_7_5">#REF!</definedName>
    <definedName name="drill5a50_3">#REF!</definedName>
    <definedName name="drill5a50_3_10">#REF!</definedName>
    <definedName name="drill5a50_3_11">#REF!</definedName>
    <definedName name="drill5a50_3_12">#REF!</definedName>
    <definedName name="drill5a50_3_13">#REF!</definedName>
    <definedName name="drill5a50_3_4">#REF!</definedName>
    <definedName name="drill5a50_3_4_5">#REF!</definedName>
    <definedName name="drill5a50_3_5">#REF!</definedName>
    <definedName name="drill5a50_3_6">#REF!</definedName>
    <definedName name="drill5a50_3_6_5">#REF!</definedName>
    <definedName name="drill5a50_3_7">#REF!</definedName>
    <definedName name="drill5a50_3_7_5">#REF!</definedName>
    <definedName name="drill5a50_3_9">#REF!</definedName>
    <definedName name="drill5a50_4">#REF!</definedName>
    <definedName name="drill5a50_4_1">#REF!</definedName>
    <definedName name="drill5a50_4_1_5">#REF!</definedName>
    <definedName name="drill5a50_4_10">#REF!</definedName>
    <definedName name="drill5a50_4_11">#REF!</definedName>
    <definedName name="drill5a50_4_12">#REF!</definedName>
    <definedName name="drill5a50_4_13">#REF!</definedName>
    <definedName name="drill5a50_4_2">#REF!</definedName>
    <definedName name="drill5a50_4_2_6">#REF!</definedName>
    <definedName name="drill5a50_4_4">#REF!</definedName>
    <definedName name="drill5a50_4_4_5">#REF!</definedName>
    <definedName name="drill5a50_4_5">#REF!</definedName>
    <definedName name="drill5a50_4_6">#REF!</definedName>
    <definedName name="drill5a50_4_6_5">#REF!</definedName>
    <definedName name="drill5a50_4_7">#REF!</definedName>
    <definedName name="drill5a50_4_7_5">#REF!</definedName>
    <definedName name="drill5a50_5">#REF!</definedName>
    <definedName name="drill5a50_5_2">#REF!</definedName>
    <definedName name="drill5a50_5_2_6">#REF!</definedName>
    <definedName name="drill5a50_5_4">#REF!</definedName>
    <definedName name="drill5a50_5_4_5">#REF!</definedName>
    <definedName name="drill5a50_5_5">#REF!</definedName>
    <definedName name="drill5a50_5_6">#REF!</definedName>
    <definedName name="drill5a50_5_6_5">#REF!</definedName>
    <definedName name="drill5a50_5_7">#REF!</definedName>
    <definedName name="drill5a50_5_7_5">#REF!</definedName>
    <definedName name="drill5a50_6">#REF!</definedName>
    <definedName name="drill5a50_6_1">#REF!</definedName>
    <definedName name="drill5a50_6_1_5">#REF!</definedName>
    <definedName name="drill5a50_6_10">#REF!</definedName>
    <definedName name="drill5a50_6_11">#REF!</definedName>
    <definedName name="drill5a50_6_12">#REF!</definedName>
    <definedName name="drill5a50_6_13">#REF!</definedName>
    <definedName name="drill5a50_6_4">#REF!</definedName>
    <definedName name="drill5a50_6_4_5">#REF!</definedName>
    <definedName name="drill5a50_6_5">#REF!</definedName>
    <definedName name="drill5a50_6_6">#REF!</definedName>
    <definedName name="drill5a50_6_6_5">#REF!</definedName>
    <definedName name="drill5a50_6_7">#REF!</definedName>
    <definedName name="drill5a50_6_7_5">#REF!</definedName>
    <definedName name="drill5a50_6_9">#REF!</definedName>
    <definedName name="drill5a50_7">#REF!</definedName>
    <definedName name="drill5a50_7_5">#REF!</definedName>
    <definedName name="drill5a50_9">#REF!</definedName>
    <definedName name="drill5a60">#REF!</definedName>
    <definedName name="drill5a60_1">#REF!</definedName>
    <definedName name="drill5a60_10">#REF!</definedName>
    <definedName name="drill5a60_11">#REF!</definedName>
    <definedName name="drill5a60_12">#REF!</definedName>
    <definedName name="drill5a60_13">#REF!</definedName>
    <definedName name="drill5a60_2">#REF!</definedName>
    <definedName name="drill5a60_2_1">#REF!</definedName>
    <definedName name="drill5a60_2_1_6">#REF!</definedName>
    <definedName name="drill5a60_2_5">#REF!</definedName>
    <definedName name="drill5a60_2_6">#REF!</definedName>
    <definedName name="drill5a60_2_7">#REF!</definedName>
    <definedName name="drill5a60_2_7_5">#REF!</definedName>
    <definedName name="drill5a60_3">#REF!</definedName>
    <definedName name="drill5a60_3_10">#REF!</definedName>
    <definedName name="drill5a60_3_11">#REF!</definedName>
    <definedName name="drill5a60_3_12">#REF!</definedName>
    <definedName name="drill5a60_3_13">#REF!</definedName>
    <definedName name="drill5a60_3_4">#REF!</definedName>
    <definedName name="drill5a60_3_4_5">#REF!</definedName>
    <definedName name="drill5a60_3_5">#REF!</definedName>
    <definedName name="drill5a60_3_6">#REF!</definedName>
    <definedName name="drill5a60_3_6_5">#REF!</definedName>
    <definedName name="drill5a60_3_7">#REF!</definedName>
    <definedName name="drill5a60_3_7_5">#REF!</definedName>
    <definedName name="drill5a60_3_9">#REF!</definedName>
    <definedName name="drill5a60_4">#REF!</definedName>
    <definedName name="drill5a60_4_1">#REF!</definedName>
    <definedName name="drill5a60_4_1_5">#REF!</definedName>
    <definedName name="drill5a60_4_10">#REF!</definedName>
    <definedName name="drill5a60_4_11">#REF!</definedName>
    <definedName name="drill5a60_4_12">#REF!</definedName>
    <definedName name="drill5a60_4_13">#REF!</definedName>
    <definedName name="drill5a60_4_2">#REF!</definedName>
    <definedName name="drill5a60_4_2_6">#REF!</definedName>
    <definedName name="drill5a60_4_4">#REF!</definedName>
    <definedName name="drill5a60_4_4_5">#REF!</definedName>
    <definedName name="drill5a60_4_5">#REF!</definedName>
    <definedName name="drill5a60_4_6">#REF!</definedName>
    <definedName name="drill5a60_4_6_5">#REF!</definedName>
    <definedName name="drill5a60_4_7">#REF!</definedName>
    <definedName name="drill5a60_4_7_5">#REF!</definedName>
    <definedName name="drill5a60_5">#REF!</definedName>
    <definedName name="drill5a60_5_2">#REF!</definedName>
    <definedName name="drill5a60_5_2_6">#REF!</definedName>
    <definedName name="drill5a60_5_4">#REF!</definedName>
    <definedName name="drill5a60_5_4_5">#REF!</definedName>
    <definedName name="drill5a60_5_5">#REF!</definedName>
    <definedName name="drill5a60_5_6">#REF!</definedName>
    <definedName name="drill5a60_5_6_5">#REF!</definedName>
    <definedName name="drill5a60_5_7">#REF!</definedName>
    <definedName name="drill5a60_5_7_5">#REF!</definedName>
    <definedName name="drill5a60_6">#REF!</definedName>
    <definedName name="drill5a60_6_1">#REF!</definedName>
    <definedName name="drill5a60_6_1_5">#REF!</definedName>
    <definedName name="drill5a60_6_10">#REF!</definedName>
    <definedName name="drill5a60_6_11">#REF!</definedName>
    <definedName name="drill5a60_6_12">#REF!</definedName>
    <definedName name="drill5a60_6_13">#REF!</definedName>
    <definedName name="drill5a60_6_4">#REF!</definedName>
    <definedName name="drill5a60_6_4_5">#REF!</definedName>
    <definedName name="drill5a60_6_5">#REF!</definedName>
    <definedName name="drill5a60_6_6">#REF!</definedName>
    <definedName name="drill5a60_6_6_5">#REF!</definedName>
    <definedName name="drill5a60_6_7">#REF!</definedName>
    <definedName name="drill5a60_6_7_5">#REF!</definedName>
    <definedName name="drill5a60_6_9">#REF!</definedName>
    <definedName name="drill5a60_7">#REF!</definedName>
    <definedName name="drill5a60_7_5">#REF!</definedName>
    <definedName name="drill5a60_9">#REF!</definedName>
    <definedName name="drill5a80">#REF!</definedName>
    <definedName name="drill5a80_1">#REF!</definedName>
    <definedName name="drill5a80_10">#REF!</definedName>
    <definedName name="drill5a80_11">#REF!</definedName>
    <definedName name="drill5a80_12">#REF!</definedName>
    <definedName name="drill5a80_13">#REF!</definedName>
    <definedName name="drill5a80_2">#REF!</definedName>
    <definedName name="drill5a80_2_1">#REF!</definedName>
    <definedName name="drill5a80_2_1_6">#REF!</definedName>
    <definedName name="drill5a80_2_5">#REF!</definedName>
    <definedName name="drill5a80_2_6">#REF!</definedName>
    <definedName name="drill5a80_2_7">#REF!</definedName>
    <definedName name="drill5a80_2_7_5">#REF!</definedName>
    <definedName name="drill5a80_3">#REF!</definedName>
    <definedName name="drill5a80_3_10">#REF!</definedName>
    <definedName name="drill5a80_3_11">#REF!</definedName>
    <definedName name="drill5a80_3_12">#REF!</definedName>
    <definedName name="drill5a80_3_13">#REF!</definedName>
    <definedName name="drill5a80_3_4">#REF!</definedName>
    <definedName name="drill5a80_3_4_5">#REF!</definedName>
    <definedName name="drill5a80_3_5">#REF!</definedName>
    <definedName name="drill5a80_3_6">#REF!</definedName>
    <definedName name="drill5a80_3_6_5">#REF!</definedName>
    <definedName name="drill5a80_3_7">#REF!</definedName>
    <definedName name="drill5a80_3_7_5">#REF!</definedName>
    <definedName name="drill5a80_3_9">#REF!</definedName>
    <definedName name="drill5a80_4">#REF!</definedName>
    <definedName name="drill5a80_4_1">#REF!</definedName>
    <definedName name="drill5a80_4_1_5">#REF!</definedName>
    <definedName name="drill5a80_4_10">#REF!</definedName>
    <definedName name="drill5a80_4_11">#REF!</definedName>
    <definedName name="drill5a80_4_12">#REF!</definedName>
    <definedName name="drill5a80_4_13">#REF!</definedName>
    <definedName name="drill5a80_4_2">#REF!</definedName>
    <definedName name="drill5a80_4_2_6">#REF!</definedName>
    <definedName name="drill5a80_4_4">#REF!</definedName>
    <definedName name="drill5a80_4_4_5">#REF!</definedName>
    <definedName name="drill5a80_4_5">#REF!</definedName>
    <definedName name="drill5a80_4_6">#REF!</definedName>
    <definedName name="drill5a80_4_6_5">#REF!</definedName>
    <definedName name="drill5a80_4_7">#REF!</definedName>
    <definedName name="drill5a80_4_7_5">#REF!</definedName>
    <definedName name="drill5a80_5">#REF!</definedName>
    <definedName name="drill5a80_5_2">#REF!</definedName>
    <definedName name="drill5a80_5_2_6">#REF!</definedName>
    <definedName name="drill5a80_5_4">#REF!</definedName>
    <definedName name="drill5a80_5_4_5">#REF!</definedName>
    <definedName name="drill5a80_5_5">#REF!</definedName>
    <definedName name="drill5a80_5_6">#REF!</definedName>
    <definedName name="drill5a80_5_6_5">#REF!</definedName>
    <definedName name="drill5a80_5_7">#REF!</definedName>
    <definedName name="drill5a80_5_7_5">#REF!</definedName>
    <definedName name="drill5a80_6">#REF!</definedName>
    <definedName name="drill5a80_6_1">#REF!</definedName>
    <definedName name="drill5a80_6_1_5">#REF!</definedName>
    <definedName name="drill5a80_6_10">#REF!</definedName>
    <definedName name="drill5a80_6_11">#REF!</definedName>
    <definedName name="drill5a80_6_12">#REF!</definedName>
    <definedName name="drill5a80_6_13">#REF!</definedName>
    <definedName name="drill5a80_6_4">#REF!</definedName>
    <definedName name="drill5a80_6_4_5">#REF!</definedName>
    <definedName name="drill5a80_6_5">#REF!</definedName>
    <definedName name="drill5a80_6_6">#REF!</definedName>
    <definedName name="drill5a80_6_6_5">#REF!</definedName>
    <definedName name="drill5a80_6_7">#REF!</definedName>
    <definedName name="drill5a80_6_7_5">#REF!</definedName>
    <definedName name="drill5a80_6_9">#REF!</definedName>
    <definedName name="drill5a80_7">#REF!</definedName>
    <definedName name="drill5a80_7_5">#REF!</definedName>
    <definedName name="drill5a80_9">#REF!</definedName>
    <definedName name="drill6a100">#REF!</definedName>
    <definedName name="drill6a100_1">#REF!</definedName>
    <definedName name="drill6a100_10">#REF!</definedName>
    <definedName name="drill6a100_11">#REF!</definedName>
    <definedName name="drill6a100_12">#REF!</definedName>
    <definedName name="drill6a100_13">#REF!</definedName>
    <definedName name="drill6a100_2">#REF!</definedName>
    <definedName name="drill6a100_2_1">#REF!</definedName>
    <definedName name="drill6a100_2_1_6">#REF!</definedName>
    <definedName name="drill6a100_2_5">#REF!</definedName>
    <definedName name="drill6a100_2_6">#REF!</definedName>
    <definedName name="drill6a100_2_7">#REF!</definedName>
    <definedName name="drill6a100_2_7_5">#REF!</definedName>
    <definedName name="drill6a100_3">#REF!</definedName>
    <definedName name="drill6a100_3_10">#REF!</definedName>
    <definedName name="drill6a100_3_11">#REF!</definedName>
    <definedName name="drill6a100_3_12">#REF!</definedName>
    <definedName name="drill6a100_3_13">#REF!</definedName>
    <definedName name="drill6a100_3_4">#REF!</definedName>
    <definedName name="drill6a100_3_4_5">#REF!</definedName>
    <definedName name="drill6a100_3_5">#REF!</definedName>
    <definedName name="drill6a100_3_6">#REF!</definedName>
    <definedName name="drill6a100_3_6_5">#REF!</definedName>
    <definedName name="drill6a100_3_7">#REF!</definedName>
    <definedName name="drill6a100_3_7_5">#REF!</definedName>
    <definedName name="drill6a100_3_9">#REF!</definedName>
    <definedName name="drill6a100_4">#REF!</definedName>
    <definedName name="drill6a100_4_1">#REF!</definedName>
    <definedName name="drill6a100_4_1_5">#REF!</definedName>
    <definedName name="drill6a100_4_10">#REF!</definedName>
    <definedName name="drill6a100_4_11">#REF!</definedName>
    <definedName name="drill6a100_4_12">#REF!</definedName>
    <definedName name="drill6a100_4_13">#REF!</definedName>
    <definedName name="drill6a100_4_2">#REF!</definedName>
    <definedName name="drill6a100_4_2_6">#REF!</definedName>
    <definedName name="drill6a100_4_4">#REF!</definedName>
    <definedName name="drill6a100_4_4_5">#REF!</definedName>
    <definedName name="drill6a100_4_5">#REF!</definedName>
    <definedName name="drill6a100_4_6">#REF!</definedName>
    <definedName name="drill6a100_4_6_5">#REF!</definedName>
    <definedName name="drill6a100_4_7">#REF!</definedName>
    <definedName name="drill6a100_4_7_5">#REF!</definedName>
    <definedName name="drill6a100_5">#REF!</definedName>
    <definedName name="drill6a100_5_2">#REF!</definedName>
    <definedName name="drill6a100_5_2_6">#REF!</definedName>
    <definedName name="drill6a100_5_4">#REF!</definedName>
    <definedName name="drill6a100_5_4_5">#REF!</definedName>
    <definedName name="drill6a100_5_5">#REF!</definedName>
    <definedName name="drill6a100_5_6">#REF!</definedName>
    <definedName name="drill6a100_5_6_5">#REF!</definedName>
    <definedName name="drill6a100_5_7">#REF!</definedName>
    <definedName name="drill6a100_5_7_5">#REF!</definedName>
    <definedName name="drill6a100_6">#REF!</definedName>
    <definedName name="drill6a100_6_1">#REF!</definedName>
    <definedName name="drill6a100_6_1_5">#REF!</definedName>
    <definedName name="drill6a100_6_10">#REF!</definedName>
    <definedName name="drill6a100_6_11">#REF!</definedName>
    <definedName name="drill6a100_6_12">#REF!</definedName>
    <definedName name="drill6a100_6_13">#REF!</definedName>
    <definedName name="drill6a100_6_4">#REF!</definedName>
    <definedName name="drill6a100_6_4_5">#REF!</definedName>
    <definedName name="drill6a100_6_5">#REF!</definedName>
    <definedName name="drill6a100_6_6">#REF!</definedName>
    <definedName name="drill6a100_6_6_5">#REF!</definedName>
    <definedName name="drill6a100_6_7">#REF!</definedName>
    <definedName name="drill6a100_6_7_5">#REF!</definedName>
    <definedName name="drill6a100_6_9">#REF!</definedName>
    <definedName name="drill6a100_7">#REF!</definedName>
    <definedName name="drill6a100_7_5">#REF!</definedName>
    <definedName name="drill6a100_9">#REF!</definedName>
    <definedName name="drill6a120">#REF!</definedName>
    <definedName name="drill6a120_1">#REF!</definedName>
    <definedName name="drill6a120_10">#REF!</definedName>
    <definedName name="drill6a120_11">#REF!</definedName>
    <definedName name="drill6a120_12">#REF!</definedName>
    <definedName name="drill6a120_13">#REF!</definedName>
    <definedName name="drill6a120_2">#REF!</definedName>
    <definedName name="drill6a120_2_1">#REF!</definedName>
    <definedName name="drill6a120_2_1_6">#REF!</definedName>
    <definedName name="drill6a120_2_5">#REF!</definedName>
    <definedName name="drill6a120_2_6">#REF!</definedName>
    <definedName name="drill6a120_2_7">#REF!</definedName>
    <definedName name="drill6a120_2_7_5">#REF!</definedName>
    <definedName name="drill6a120_3">#REF!</definedName>
    <definedName name="drill6a120_3_10">#REF!</definedName>
    <definedName name="drill6a120_3_11">#REF!</definedName>
    <definedName name="drill6a120_3_12">#REF!</definedName>
    <definedName name="drill6a120_3_13">#REF!</definedName>
    <definedName name="drill6a120_3_4">#REF!</definedName>
    <definedName name="drill6a120_3_4_5">#REF!</definedName>
    <definedName name="drill6a120_3_5">#REF!</definedName>
    <definedName name="drill6a120_3_6">#REF!</definedName>
    <definedName name="drill6a120_3_6_5">#REF!</definedName>
    <definedName name="drill6a120_3_7">#REF!</definedName>
    <definedName name="drill6a120_3_7_5">#REF!</definedName>
    <definedName name="drill6a120_3_9">#REF!</definedName>
    <definedName name="drill6a120_4">#REF!</definedName>
    <definedName name="drill6a120_4_1">#REF!</definedName>
    <definedName name="drill6a120_4_1_5">#REF!</definedName>
    <definedName name="drill6a120_4_10">#REF!</definedName>
    <definedName name="drill6a120_4_11">#REF!</definedName>
    <definedName name="drill6a120_4_12">#REF!</definedName>
    <definedName name="drill6a120_4_13">#REF!</definedName>
    <definedName name="drill6a120_4_2">#REF!</definedName>
    <definedName name="drill6a120_4_2_6">#REF!</definedName>
    <definedName name="drill6a120_4_4">#REF!</definedName>
    <definedName name="drill6a120_4_4_5">#REF!</definedName>
    <definedName name="drill6a120_4_5">#REF!</definedName>
    <definedName name="drill6a120_4_6">#REF!</definedName>
    <definedName name="drill6a120_4_6_5">#REF!</definedName>
    <definedName name="drill6a120_4_7">#REF!</definedName>
    <definedName name="drill6a120_4_7_5">#REF!</definedName>
    <definedName name="drill6a120_5">#REF!</definedName>
    <definedName name="drill6a120_5_2">#REF!</definedName>
    <definedName name="drill6a120_5_2_6">#REF!</definedName>
    <definedName name="drill6a120_5_4">#REF!</definedName>
    <definedName name="drill6a120_5_4_5">#REF!</definedName>
    <definedName name="drill6a120_5_5">#REF!</definedName>
    <definedName name="drill6a120_5_6">#REF!</definedName>
    <definedName name="drill6a120_5_6_5">#REF!</definedName>
    <definedName name="drill6a120_5_7">#REF!</definedName>
    <definedName name="drill6a120_5_7_5">#REF!</definedName>
    <definedName name="drill6a120_6">#REF!</definedName>
    <definedName name="drill6a120_6_1">#REF!</definedName>
    <definedName name="drill6a120_6_1_5">#REF!</definedName>
    <definedName name="drill6a120_6_10">#REF!</definedName>
    <definedName name="drill6a120_6_11">#REF!</definedName>
    <definedName name="drill6a120_6_12">#REF!</definedName>
    <definedName name="drill6a120_6_13">#REF!</definedName>
    <definedName name="drill6a120_6_4">#REF!</definedName>
    <definedName name="drill6a120_6_4_5">#REF!</definedName>
    <definedName name="drill6a120_6_5">#REF!</definedName>
    <definedName name="drill6a120_6_6">#REF!</definedName>
    <definedName name="drill6a120_6_6_5">#REF!</definedName>
    <definedName name="drill6a120_6_7">#REF!</definedName>
    <definedName name="drill6a120_6_7_5">#REF!</definedName>
    <definedName name="drill6a120_6_9">#REF!</definedName>
    <definedName name="drill6a120_7">#REF!</definedName>
    <definedName name="drill6a120_7_5">#REF!</definedName>
    <definedName name="drill6a120_9">#REF!</definedName>
    <definedName name="drill6a50">#REF!</definedName>
    <definedName name="drill6a50_1">#REF!</definedName>
    <definedName name="drill6a50_10">#REF!</definedName>
    <definedName name="drill6a50_11">#REF!</definedName>
    <definedName name="drill6a50_12">#REF!</definedName>
    <definedName name="drill6a50_13">#REF!</definedName>
    <definedName name="drill6a50_2">#REF!</definedName>
    <definedName name="drill6a50_2_1">#REF!</definedName>
    <definedName name="drill6a50_2_1_6">#REF!</definedName>
    <definedName name="drill6a50_2_5">#REF!</definedName>
    <definedName name="drill6a50_2_6">#REF!</definedName>
    <definedName name="drill6a50_2_7">#REF!</definedName>
    <definedName name="drill6a50_2_7_5">#REF!</definedName>
    <definedName name="drill6a50_3">#REF!</definedName>
    <definedName name="drill6a50_3_10">#REF!</definedName>
    <definedName name="drill6a50_3_11">#REF!</definedName>
    <definedName name="drill6a50_3_12">#REF!</definedName>
    <definedName name="drill6a50_3_13">#REF!</definedName>
    <definedName name="drill6a50_3_4">#REF!</definedName>
    <definedName name="drill6a50_3_4_5">#REF!</definedName>
    <definedName name="drill6a50_3_5">#REF!</definedName>
    <definedName name="drill6a50_3_6">#REF!</definedName>
    <definedName name="drill6a50_3_6_5">#REF!</definedName>
    <definedName name="drill6a50_3_7">#REF!</definedName>
    <definedName name="drill6a50_3_7_5">#REF!</definedName>
    <definedName name="drill6a50_3_9">#REF!</definedName>
    <definedName name="drill6a50_4">#REF!</definedName>
    <definedName name="drill6a50_4_1">#REF!</definedName>
    <definedName name="drill6a50_4_1_5">#REF!</definedName>
    <definedName name="drill6a50_4_10">#REF!</definedName>
    <definedName name="drill6a50_4_11">#REF!</definedName>
    <definedName name="drill6a50_4_12">#REF!</definedName>
    <definedName name="drill6a50_4_13">#REF!</definedName>
    <definedName name="drill6a50_4_2">#REF!</definedName>
    <definedName name="drill6a50_4_2_6">#REF!</definedName>
    <definedName name="drill6a50_4_4">#REF!</definedName>
    <definedName name="drill6a50_4_4_5">#REF!</definedName>
    <definedName name="drill6a50_4_5">#REF!</definedName>
    <definedName name="drill6a50_4_6">#REF!</definedName>
    <definedName name="drill6a50_4_6_5">#REF!</definedName>
    <definedName name="drill6a50_4_7">#REF!</definedName>
    <definedName name="drill6a50_4_7_5">#REF!</definedName>
    <definedName name="drill6a50_5">#REF!</definedName>
    <definedName name="drill6a50_5_2">#REF!</definedName>
    <definedName name="drill6a50_5_2_6">#REF!</definedName>
    <definedName name="drill6a50_5_4">#REF!</definedName>
    <definedName name="drill6a50_5_4_5">#REF!</definedName>
    <definedName name="drill6a50_5_5">#REF!</definedName>
    <definedName name="drill6a50_5_6">#REF!</definedName>
    <definedName name="drill6a50_5_6_5">#REF!</definedName>
    <definedName name="drill6a50_5_7">#REF!</definedName>
    <definedName name="drill6a50_5_7_5">#REF!</definedName>
    <definedName name="drill6a50_6">#REF!</definedName>
    <definedName name="drill6a50_6_1">#REF!</definedName>
    <definedName name="drill6a50_6_1_5">#REF!</definedName>
    <definedName name="drill6a50_6_10">#REF!</definedName>
    <definedName name="drill6a50_6_11">#REF!</definedName>
    <definedName name="drill6a50_6_12">#REF!</definedName>
    <definedName name="drill6a50_6_13">#REF!</definedName>
    <definedName name="drill6a50_6_4">#REF!</definedName>
    <definedName name="drill6a50_6_4_5">#REF!</definedName>
    <definedName name="drill6a50_6_5">#REF!</definedName>
    <definedName name="drill6a50_6_6">#REF!</definedName>
    <definedName name="drill6a50_6_6_5">#REF!</definedName>
    <definedName name="drill6a50_6_7">#REF!</definedName>
    <definedName name="drill6a50_6_7_5">#REF!</definedName>
    <definedName name="drill6a50_6_9">#REF!</definedName>
    <definedName name="drill6a50_7">#REF!</definedName>
    <definedName name="drill6a50_7_5">#REF!</definedName>
    <definedName name="drill6a50_9">#REF!</definedName>
    <definedName name="drill6a60">#REF!</definedName>
    <definedName name="drill6a60_1">#REF!</definedName>
    <definedName name="drill6a60_10">#REF!</definedName>
    <definedName name="drill6a60_11">#REF!</definedName>
    <definedName name="drill6a60_12">#REF!</definedName>
    <definedName name="drill6a60_13">#REF!</definedName>
    <definedName name="drill6a60_2">#REF!</definedName>
    <definedName name="drill6a60_2_1">#REF!</definedName>
    <definedName name="drill6a60_2_1_6">#REF!</definedName>
    <definedName name="drill6a60_2_5">#REF!</definedName>
    <definedName name="drill6a60_2_6">#REF!</definedName>
    <definedName name="drill6a60_2_7">#REF!</definedName>
    <definedName name="drill6a60_2_7_5">#REF!</definedName>
    <definedName name="drill6a60_3">#REF!</definedName>
    <definedName name="drill6a60_3_10">#REF!</definedName>
    <definedName name="drill6a60_3_11">#REF!</definedName>
    <definedName name="drill6a60_3_12">#REF!</definedName>
    <definedName name="drill6a60_3_13">#REF!</definedName>
    <definedName name="drill6a60_3_4">#REF!</definedName>
    <definedName name="drill6a60_3_4_5">#REF!</definedName>
    <definedName name="drill6a60_3_5">#REF!</definedName>
    <definedName name="drill6a60_3_6">#REF!</definedName>
    <definedName name="drill6a60_3_6_5">#REF!</definedName>
    <definedName name="drill6a60_3_7">#REF!</definedName>
    <definedName name="drill6a60_3_7_5">#REF!</definedName>
    <definedName name="drill6a60_3_9">#REF!</definedName>
    <definedName name="drill6a60_4">#REF!</definedName>
    <definedName name="drill6a60_4_1">#REF!</definedName>
    <definedName name="drill6a60_4_1_5">#REF!</definedName>
    <definedName name="drill6a60_4_10">#REF!</definedName>
    <definedName name="drill6a60_4_11">#REF!</definedName>
    <definedName name="drill6a60_4_12">#REF!</definedName>
    <definedName name="drill6a60_4_13">#REF!</definedName>
    <definedName name="drill6a60_4_2">#REF!</definedName>
    <definedName name="drill6a60_4_2_6">#REF!</definedName>
    <definedName name="drill6a60_4_4">#REF!</definedName>
    <definedName name="drill6a60_4_4_5">#REF!</definedName>
    <definedName name="drill6a60_4_5">#REF!</definedName>
    <definedName name="drill6a60_4_6">#REF!</definedName>
    <definedName name="drill6a60_4_6_5">#REF!</definedName>
    <definedName name="drill6a60_4_7">#REF!</definedName>
    <definedName name="drill6a60_4_7_5">#REF!</definedName>
    <definedName name="drill6a60_5">#REF!</definedName>
    <definedName name="drill6a60_5_2">#REF!</definedName>
    <definedName name="drill6a60_5_2_6">#REF!</definedName>
    <definedName name="drill6a60_5_4">#REF!</definedName>
    <definedName name="drill6a60_5_4_5">#REF!</definedName>
    <definedName name="drill6a60_5_5">#REF!</definedName>
    <definedName name="drill6a60_5_6">#REF!</definedName>
    <definedName name="drill6a60_5_6_5">#REF!</definedName>
    <definedName name="drill6a60_5_7">#REF!</definedName>
    <definedName name="drill6a60_5_7_5">#REF!</definedName>
    <definedName name="drill6a60_6">#REF!</definedName>
    <definedName name="drill6a60_6_1">#REF!</definedName>
    <definedName name="drill6a60_6_1_5">#REF!</definedName>
    <definedName name="drill6a60_6_10">#REF!</definedName>
    <definedName name="drill6a60_6_11">#REF!</definedName>
    <definedName name="drill6a60_6_12">#REF!</definedName>
    <definedName name="drill6a60_6_13">#REF!</definedName>
    <definedName name="drill6a60_6_4">#REF!</definedName>
    <definedName name="drill6a60_6_4_5">#REF!</definedName>
    <definedName name="drill6a60_6_5">#REF!</definedName>
    <definedName name="drill6a60_6_6">#REF!</definedName>
    <definedName name="drill6a60_6_6_5">#REF!</definedName>
    <definedName name="drill6a60_6_7">#REF!</definedName>
    <definedName name="drill6a60_6_7_5">#REF!</definedName>
    <definedName name="drill6a60_6_9">#REF!</definedName>
    <definedName name="drill6a60_7">#REF!</definedName>
    <definedName name="drill6a60_7_5">#REF!</definedName>
    <definedName name="drill6a60_9">#REF!</definedName>
    <definedName name="drill6a80">#REF!</definedName>
    <definedName name="drill6a80_1">#REF!</definedName>
    <definedName name="drill6a80_10">#REF!</definedName>
    <definedName name="drill6a80_11">#REF!</definedName>
    <definedName name="drill6a80_12">#REF!</definedName>
    <definedName name="drill6a80_13">#REF!</definedName>
    <definedName name="drill6a80_2">#REF!</definedName>
    <definedName name="drill6a80_2_1">#REF!</definedName>
    <definedName name="drill6a80_2_1_6">#REF!</definedName>
    <definedName name="drill6a80_2_5">#REF!</definedName>
    <definedName name="drill6a80_2_6">#REF!</definedName>
    <definedName name="drill6a80_2_7">#REF!</definedName>
    <definedName name="drill6a80_2_7_5">#REF!</definedName>
    <definedName name="drill6a80_3">#REF!</definedName>
    <definedName name="drill6a80_3_10">#REF!</definedName>
    <definedName name="drill6a80_3_11">#REF!</definedName>
    <definedName name="drill6a80_3_12">#REF!</definedName>
    <definedName name="drill6a80_3_13">#REF!</definedName>
    <definedName name="drill6a80_3_4">#REF!</definedName>
    <definedName name="drill6a80_3_4_5">#REF!</definedName>
    <definedName name="drill6a80_3_5">#REF!</definedName>
    <definedName name="drill6a80_3_6">#REF!</definedName>
    <definedName name="drill6a80_3_6_5">#REF!</definedName>
    <definedName name="drill6a80_3_7">#REF!</definedName>
    <definedName name="drill6a80_3_7_5">#REF!</definedName>
    <definedName name="drill6a80_3_9">#REF!</definedName>
    <definedName name="drill6a80_4">#REF!</definedName>
    <definedName name="drill6a80_4_1">#REF!</definedName>
    <definedName name="drill6a80_4_1_5">#REF!</definedName>
    <definedName name="drill6a80_4_10">#REF!</definedName>
    <definedName name="drill6a80_4_11">#REF!</definedName>
    <definedName name="drill6a80_4_12">#REF!</definedName>
    <definedName name="drill6a80_4_13">#REF!</definedName>
    <definedName name="drill6a80_4_2">#REF!</definedName>
    <definedName name="drill6a80_4_2_6">#REF!</definedName>
    <definedName name="drill6a80_4_4">#REF!</definedName>
    <definedName name="drill6a80_4_4_5">#REF!</definedName>
    <definedName name="drill6a80_4_5">#REF!</definedName>
    <definedName name="drill6a80_4_6">#REF!</definedName>
    <definedName name="drill6a80_4_6_5">#REF!</definedName>
    <definedName name="drill6a80_4_7">#REF!</definedName>
    <definedName name="drill6a80_4_7_5">#REF!</definedName>
    <definedName name="drill6a80_5">#REF!</definedName>
    <definedName name="drill6a80_5_2">#REF!</definedName>
    <definedName name="drill6a80_5_2_6">#REF!</definedName>
    <definedName name="drill6a80_5_4">#REF!</definedName>
    <definedName name="drill6a80_5_4_5">#REF!</definedName>
    <definedName name="drill6a80_5_5">#REF!</definedName>
    <definedName name="drill6a80_5_6">#REF!</definedName>
    <definedName name="drill6a80_5_6_5">#REF!</definedName>
    <definedName name="drill6a80_5_7">#REF!</definedName>
    <definedName name="drill6a80_5_7_5">#REF!</definedName>
    <definedName name="drill6a80_6">#REF!</definedName>
    <definedName name="drill6a80_6_1">#REF!</definedName>
    <definedName name="drill6a80_6_1_5">#REF!</definedName>
    <definedName name="drill6a80_6_10">#REF!</definedName>
    <definedName name="drill6a80_6_11">#REF!</definedName>
    <definedName name="drill6a80_6_12">#REF!</definedName>
    <definedName name="drill6a80_6_13">#REF!</definedName>
    <definedName name="drill6a80_6_4">#REF!</definedName>
    <definedName name="drill6a80_6_4_5">#REF!</definedName>
    <definedName name="drill6a80_6_5">#REF!</definedName>
    <definedName name="drill6a80_6_6">#REF!</definedName>
    <definedName name="drill6a80_6_6_5">#REF!</definedName>
    <definedName name="drill6a80_6_7">#REF!</definedName>
    <definedName name="drill6a80_6_7_5">#REF!</definedName>
    <definedName name="drill6a80_6_9">#REF!</definedName>
    <definedName name="drill6a80_7">#REF!</definedName>
    <definedName name="drill6a80_7_5">#REF!</definedName>
    <definedName name="drill6a80_9">#REF!</definedName>
    <definedName name="Drilling">#REF!</definedName>
    <definedName name="drillug100">#REF!</definedName>
    <definedName name="drillug100_1">#REF!</definedName>
    <definedName name="drillug100_10">#REF!</definedName>
    <definedName name="drillug100_11">#REF!</definedName>
    <definedName name="drillug100_12">#REF!</definedName>
    <definedName name="drillug100_13">#REF!</definedName>
    <definedName name="drillug100_2">#REF!</definedName>
    <definedName name="drillug100_2_1">#REF!</definedName>
    <definedName name="drillug100_2_1_6">#REF!</definedName>
    <definedName name="drillug100_2_5">#REF!</definedName>
    <definedName name="drillug100_2_6">#REF!</definedName>
    <definedName name="drillug100_2_7">#REF!</definedName>
    <definedName name="drillug100_2_7_5">#REF!</definedName>
    <definedName name="drillug100_3">#REF!</definedName>
    <definedName name="drillug100_3_10">#REF!</definedName>
    <definedName name="drillug100_3_11">#REF!</definedName>
    <definedName name="drillug100_3_12">#REF!</definedName>
    <definedName name="drillug100_3_13">#REF!</definedName>
    <definedName name="drillug100_3_4">#REF!</definedName>
    <definedName name="drillug100_3_4_5">#REF!</definedName>
    <definedName name="drillug100_3_5">#REF!</definedName>
    <definedName name="drillug100_3_6">#REF!</definedName>
    <definedName name="drillug100_3_6_5">#REF!</definedName>
    <definedName name="drillug100_3_7">#REF!</definedName>
    <definedName name="drillug100_3_7_5">#REF!</definedName>
    <definedName name="drillug100_3_9">#REF!</definedName>
    <definedName name="drillug100_4">#REF!</definedName>
    <definedName name="drillug100_4_1">#REF!</definedName>
    <definedName name="drillug100_4_1_5">#REF!</definedName>
    <definedName name="drillug100_4_10">#REF!</definedName>
    <definedName name="drillug100_4_11">#REF!</definedName>
    <definedName name="drillug100_4_12">#REF!</definedName>
    <definedName name="drillug100_4_13">#REF!</definedName>
    <definedName name="drillug100_4_2">#REF!</definedName>
    <definedName name="drillug100_4_2_6">#REF!</definedName>
    <definedName name="drillug100_4_4">#REF!</definedName>
    <definedName name="drillug100_4_4_5">#REF!</definedName>
    <definedName name="drillug100_4_5">#REF!</definedName>
    <definedName name="drillug100_4_6">#REF!</definedName>
    <definedName name="drillug100_4_6_5">#REF!</definedName>
    <definedName name="drillug100_4_7">#REF!</definedName>
    <definedName name="drillug100_4_7_5">#REF!</definedName>
    <definedName name="drillug100_5">#REF!</definedName>
    <definedName name="drillug100_5_2">#REF!</definedName>
    <definedName name="drillug100_5_2_6">#REF!</definedName>
    <definedName name="drillug100_5_4">#REF!</definedName>
    <definedName name="drillug100_5_4_5">#REF!</definedName>
    <definedName name="drillug100_5_5">#REF!</definedName>
    <definedName name="drillug100_5_6">#REF!</definedName>
    <definedName name="drillug100_5_6_5">#REF!</definedName>
    <definedName name="drillug100_5_7">#REF!</definedName>
    <definedName name="drillug100_5_7_5">#REF!</definedName>
    <definedName name="drillug100_6">#REF!</definedName>
    <definedName name="drillug100_6_1">#REF!</definedName>
    <definedName name="drillug100_6_1_5">#REF!</definedName>
    <definedName name="drillug100_6_10">#REF!</definedName>
    <definedName name="drillug100_6_11">#REF!</definedName>
    <definedName name="drillug100_6_12">#REF!</definedName>
    <definedName name="drillug100_6_13">#REF!</definedName>
    <definedName name="drillug100_6_4">#REF!</definedName>
    <definedName name="drillug100_6_4_5">#REF!</definedName>
    <definedName name="drillug100_6_5">#REF!</definedName>
    <definedName name="drillug100_6_6">#REF!</definedName>
    <definedName name="drillug100_6_6_5">#REF!</definedName>
    <definedName name="drillug100_6_7">#REF!</definedName>
    <definedName name="drillug100_6_7_5">#REF!</definedName>
    <definedName name="drillug100_6_9">#REF!</definedName>
    <definedName name="drillug100_7">#REF!</definedName>
    <definedName name="drillug100_7_5">#REF!</definedName>
    <definedName name="drillug100_9">#REF!</definedName>
    <definedName name="drillug120">#REF!</definedName>
    <definedName name="drillug120_1">#REF!</definedName>
    <definedName name="drillug120_10">#REF!</definedName>
    <definedName name="drillug120_11">#REF!</definedName>
    <definedName name="drillug120_12">#REF!</definedName>
    <definedName name="drillug120_13">#REF!</definedName>
    <definedName name="drillug120_2">#REF!</definedName>
    <definedName name="drillug120_2_1">#REF!</definedName>
    <definedName name="drillug120_2_1_6">#REF!</definedName>
    <definedName name="drillug120_2_5">#REF!</definedName>
    <definedName name="drillug120_2_6">#REF!</definedName>
    <definedName name="drillug120_2_7">#REF!</definedName>
    <definedName name="drillug120_2_7_5">#REF!</definedName>
    <definedName name="drillug120_3">#REF!</definedName>
    <definedName name="drillug120_3_10">#REF!</definedName>
    <definedName name="drillug120_3_11">#REF!</definedName>
    <definedName name="drillug120_3_12">#REF!</definedName>
    <definedName name="drillug120_3_13">#REF!</definedName>
    <definedName name="drillug120_3_4">#REF!</definedName>
    <definedName name="drillug120_3_4_5">#REF!</definedName>
    <definedName name="drillug120_3_5">#REF!</definedName>
    <definedName name="drillug120_3_6">#REF!</definedName>
    <definedName name="drillug120_3_6_5">#REF!</definedName>
    <definedName name="drillug120_3_7">#REF!</definedName>
    <definedName name="drillug120_3_7_5">#REF!</definedName>
    <definedName name="drillug120_3_9">#REF!</definedName>
    <definedName name="drillug120_4">#REF!</definedName>
    <definedName name="drillug120_4_1">#REF!</definedName>
    <definedName name="drillug120_4_1_5">#REF!</definedName>
    <definedName name="drillug120_4_10">#REF!</definedName>
    <definedName name="drillug120_4_11">#REF!</definedName>
    <definedName name="drillug120_4_12">#REF!</definedName>
    <definedName name="drillug120_4_13">#REF!</definedName>
    <definedName name="drillug120_4_2">#REF!</definedName>
    <definedName name="drillug120_4_2_6">#REF!</definedName>
    <definedName name="drillug120_4_4">#REF!</definedName>
    <definedName name="drillug120_4_4_5">#REF!</definedName>
    <definedName name="drillug120_4_5">#REF!</definedName>
    <definedName name="drillug120_4_6">#REF!</definedName>
    <definedName name="drillug120_4_6_5">#REF!</definedName>
    <definedName name="drillug120_4_7">#REF!</definedName>
    <definedName name="drillug120_4_7_5">#REF!</definedName>
    <definedName name="drillug120_5">#REF!</definedName>
    <definedName name="drillug120_5_2">#REF!</definedName>
    <definedName name="drillug120_5_2_6">#REF!</definedName>
    <definedName name="drillug120_5_4">#REF!</definedName>
    <definedName name="drillug120_5_4_5">#REF!</definedName>
    <definedName name="drillug120_5_5">#REF!</definedName>
    <definedName name="drillug120_5_6">#REF!</definedName>
    <definedName name="drillug120_5_6_5">#REF!</definedName>
    <definedName name="drillug120_5_7">#REF!</definedName>
    <definedName name="drillug120_5_7_5">#REF!</definedName>
    <definedName name="drillug120_6">#REF!</definedName>
    <definedName name="drillug120_6_1">#REF!</definedName>
    <definedName name="drillug120_6_1_5">#REF!</definedName>
    <definedName name="drillug120_6_10">#REF!</definedName>
    <definedName name="drillug120_6_11">#REF!</definedName>
    <definedName name="drillug120_6_12">#REF!</definedName>
    <definedName name="drillug120_6_13">#REF!</definedName>
    <definedName name="drillug120_6_4">#REF!</definedName>
    <definedName name="drillug120_6_4_5">#REF!</definedName>
    <definedName name="drillug120_6_5">#REF!</definedName>
    <definedName name="drillug120_6_6">#REF!</definedName>
    <definedName name="drillug120_6_6_5">#REF!</definedName>
    <definedName name="drillug120_6_7">#REF!</definedName>
    <definedName name="drillug120_6_7_5">#REF!</definedName>
    <definedName name="drillug120_6_9">#REF!</definedName>
    <definedName name="drillug120_7">#REF!</definedName>
    <definedName name="drillug120_7_5">#REF!</definedName>
    <definedName name="drillug120_9">#REF!</definedName>
    <definedName name="drillug50">#REF!</definedName>
    <definedName name="drillug50_1">#REF!</definedName>
    <definedName name="drillug50_10">#REF!</definedName>
    <definedName name="drillug50_11">#REF!</definedName>
    <definedName name="drillug50_12">#REF!</definedName>
    <definedName name="drillug50_13">#REF!</definedName>
    <definedName name="drillug50_2">#REF!</definedName>
    <definedName name="drillug50_2_1">#REF!</definedName>
    <definedName name="drillug50_2_1_6">#REF!</definedName>
    <definedName name="drillug50_2_5">#REF!</definedName>
    <definedName name="drillug50_2_6">#REF!</definedName>
    <definedName name="drillug50_2_7">#REF!</definedName>
    <definedName name="drillug50_2_7_5">#REF!</definedName>
    <definedName name="drillug50_3">#REF!</definedName>
    <definedName name="drillug50_3_10">#REF!</definedName>
    <definedName name="drillug50_3_11">#REF!</definedName>
    <definedName name="drillug50_3_12">#REF!</definedName>
    <definedName name="drillug50_3_13">#REF!</definedName>
    <definedName name="drillug50_3_4">#REF!</definedName>
    <definedName name="drillug50_3_4_5">#REF!</definedName>
    <definedName name="drillug50_3_5">#REF!</definedName>
    <definedName name="drillug50_3_6">#REF!</definedName>
    <definedName name="drillug50_3_6_5">#REF!</definedName>
    <definedName name="drillug50_3_7">#REF!</definedName>
    <definedName name="drillug50_3_7_5">#REF!</definedName>
    <definedName name="drillug50_3_9">#REF!</definedName>
    <definedName name="drillug50_4">#REF!</definedName>
    <definedName name="drillug50_4_1">#REF!</definedName>
    <definedName name="drillug50_4_1_5">#REF!</definedName>
    <definedName name="drillug50_4_10">#REF!</definedName>
    <definedName name="drillug50_4_11">#REF!</definedName>
    <definedName name="drillug50_4_12">#REF!</definedName>
    <definedName name="drillug50_4_13">#REF!</definedName>
    <definedName name="drillug50_4_2">#REF!</definedName>
    <definedName name="drillug50_4_2_6">#REF!</definedName>
    <definedName name="drillug50_4_4">#REF!</definedName>
    <definedName name="drillug50_4_4_5">#REF!</definedName>
    <definedName name="drillug50_4_5">#REF!</definedName>
    <definedName name="drillug50_4_6">#REF!</definedName>
    <definedName name="drillug50_4_6_5">#REF!</definedName>
    <definedName name="drillug50_4_7">#REF!</definedName>
    <definedName name="drillug50_4_7_5">#REF!</definedName>
    <definedName name="drillug50_5">#REF!</definedName>
    <definedName name="drillug50_5_2">#REF!</definedName>
    <definedName name="drillug50_5_2_6">#REF!</definedName>
    <definedName name="drillug50_5_4">#REF!</definedName>
    <definedName name="drillug50_5_4_5">#REF!</definedName>
    <definedName name="drillug50_5_5">#REF!</definedName>
    <definedName name="drillug50_5_6">#REF!</definedName>
    <definedName name="drillug50_5_6_5">#REF!</definedName>
    <definedName name="drillug50_5_7">#REF!</definedName>
    <definedName name="drillug50_5_7_5">#REF!</definedName>
    <definedName name="drillug50_6">#REF!</definedName>
    <definedName name="drillug50_6_1">#REF!</definedName>
    <definedName name="drillug50_6_1_5">#REF!</definedName>
    <definedName name="drillug50_6_10">#REF!</definedName>
    <definedName name="drillug50_6_11">#REF!</definedName>
    <definedName name="drillug50_6_12">#REF!</definedName>
    <definedName name="drillug50_6_13">#REF!</definedName>
    <definedName name="drillug50_6_4">#REF!</definedName>
    <definedName name="drillug50_6_4_5">#REF!</definedName>
    <definedName name="drillug50_6_5">#REF!</definedName>
    <definedName name="drillug50_6_6">#REF!</definedName>
    <definedName name="drillug50_6_6_5">#REF!</definedName>
    <definedName name="drillug50_6_7">#REF!</definedName>
    <definedName name="drillug50_6_7_5">#REF!</definedName>
    <definedName name="drillug50_6_9">#REF!</definedName>
    <definedName name="drillug50_7">#REF!</definedName>
    <definedName name="drillug50_7_5">#REF!</definedName>
    <definedName name="drillug50_9">#REF!</definedName>
    <definedName name="drillug60">#REF!</definedName>
    <definedName name="drillug60_1">#REF!</definedName>
    <definedName name="drillug60_10">#REF!</definedName>
    <definedName name="drillug60_11">#REF!</definedName>
    <definedName name="drillug60_12">#REF!</definedName>
    <definedName name="drillug60_13">#REF!</definedName>
    <definedName name="drillug60_2">#REF!</definedName>
    <definedName name="drillug60_2_1">#REF!</definedName>
    <definedName name="drillug60_2_1_6">#REF!</definedName>
    <definedName name="drillug60_2_5">#REF!</definedName>
    <definedName name="drillug60_2_6">#REF!</definedName>
    <definedName name="drillug60_2_7">#REF!</definedName>
    <definedName name="drillug60_2_7_5">#REF!</definedName>
    <definedName name="drillug60_3">#REF!</definedName>
    <definedName name="drillug60_3_10">#REF!</definedName>
    <definedName name="drillug60_3_11">#REF!</definedName>
    <definedName name="drillug60_3_12">#REF!</definedName>
    <definedName name="drillug60_3_13">#REF!</definedName>
    <definedName name="drillug60_3_4">#REF!</definedName>
    <definedName name="drillug60_3_4_5">#REF!</definedName>
    <definedName name="drillug60_3_5">#REF!</definedName>
    <definedName name="drillug60_3_6">#REF!</definedName>
    <definedName name="drillug60_3_6_5">#REF!</definedName>
    <definedName name="drillug60_3_7">#REF!</definedName>
    <definedName name="drillug60_3_7_5">#REF!</definedName>
    <definedName name="drillug60_3_9">#REF!</definedName>
    <definedName name="drillug60_4">#REF!</definedName>
    <definedName name="drillug60_4_1">#REF!</definedName>
    <definedName name="drillug60_4_1_5">#REF!</definedName>
    <definedName name="drillug60_4_10">#REF!</definedName>
    <definedName name="drillug60_4_11">#REF!</definedName>
    <definedName name="drillug60_4_12">#REF!</definedName>
    <definedName name="drillug60_4_13">#REF!</definedName>
    <definedName name="drillug60_4_2">#REF!</definedName>
    <definedName name="drillug60_4_2_6">#REF!</definedName>
    <definedName name="drillug60_4_4">#REF!</definedName>
    <definedName name="drillug60_4_4_5">#REF!</definedName>
    <definedName name="drillug60_4_5">#REF!</definedName>
    <definedName name="drillug60_4_6">#REF!</definedName>
    <definedName name="drillug60_4_6_5">#REF!</definedName>
    <definedName name="drillug60_4_7">#REF!</definedName>
    <definedName name="drillug60_4_7_5">#REF!</definedName>
    <definedName name="drillug60_5">#REF!</definedName>
    <definedName name="drillug60_5_2">#REF!</definedName>
    <definedName name="drillug60_5_2_6">#REF!</definedName>
    <definedName name="drillug60_5_4">#REF!</definedName>
    <definedName name="drillug60_5_4_5">#REF!</definedName>
    <definedName name="drillug60_5_5">#REF!</definedName>
    <definedName name="drillug60_5_6">#REF!</definedName>
    <definedName name="drillug60_5_6_5">#REF!</definedName>
    <definedName name="drillug60_5_7">#REF!</definedName>
    <definedName name="drillug60_5_7_5">#REF!</definedName>
    <definedName name="drillug60_6">#REF!</definedName>
    <definedName name="drillug60_6_1">#REF!</definedName>
    <definedName name="drillug60_6_1_5">#REF!</definedName>
    <definedName name="drillug60_6_10">#REF!</definedName>
    <definedName name="drillug60_6_11">#REF!</definedName>
    <definedName name="drillug60_6_12">#REF!</definedName>
    <definedName name="drillug60_6_13">#REF!</definedName>
    <definedName name="drillug60_6_4">#REF!</definedName>
    <definedName name="drillug60_6_4_5">#REF!</definedName>
    <definedName name="drillug60_6_5">#REF!</definedName>
    <definedName name="drillug60_6_6">#REF!</definedName>
    <definedName name="drillug60_6_6_5">#REF!</definedName>
    <definedName name="drillug60_6_7">#REF!</definedName>
    <definedName name="drillug60_6_7_5">#REF!</definedName>
    <definedName name="drillug60_6_9">#REF!</definedName>
    <definedName name="drillug60_7">#REF!</definedName>
    <definedName name="drillug60_7_5">#REF!</definedName>
    <definedName name="drillug60_9">#REF!</definedName>
    <definedName name="drillug80">#REF!</definedName>
    <definedName name="drillug80_1">#REF!</definedName>
    <definedName name="drillug80_10">#REF!</definedName>
    <definedName name="drillug80_11">#REF!</definedName>
    <definedName name="drillug80_12">#REF!</definedName>
    <definedName name="drillug80_13">#REF!</definedName>
    <definedName name="drillug80_2">#REF!</definedName>
    <definedName name="drillug80_2_1">#REF!</definedName>
    <definedName name="drillug80_2_1_6">#REF!</definedName>
    <definedName name="drillug80_2_5">#REF!</definedName>
    <definedName name="drillug80_2_6">#REF!</definedName>
    <definedName name="drillug80_2_7">#REF!</definedName>
    <definedName name="drillug80_2_7_5">#REF!</definedName>
    <definedName name="drillug80_3">#REF!</definedName>
    <definedName name="drillug80_3_10">#REF!</definedName>
    <definedName name="drillug80_3_11">#REF!</definedName>
    <definedName name="drillug80_3_12">#REF!</definedName>
    <definedName name="drillug80_3_13">#REF!</definedName>
    <definedName name="drillug80_3_4">#REF!</definedName>
    <definedName name="drillug80_3_4_5">#REF!</definedName>
    <definedName name="drillug80_3_5">#REF!</definedName>
    <definedName name="drillug80_3_6">#REF!</definedName>
    <definedName name="drillug80_3_6_5">#REF!</definedName>
    <definedName name="drillug80_3_7">#REF!</definedName>
    <definedName name="drillug80_3_7_5">#REF!</definedName>
    <definedName name="drillug80_3_9">#REF!</definedName>
    <definedName name="drillug80_4">#REF!</definedName>
    <definedName name="drillug80_4_1">#REF!</definedName>
    <definedName name="drillug80_4_1_5">#REF!</definedName>
    <definedName name="drillug80_4_10">#REF!</definedName>
    <definedName name="drillug80_4_11">#REF!</definedName>
    <definedName name="drillug80_4_12">#REF!</definedName>
    <definedName name="drillug80_4_13">#REF!</definedName>
    <definedName name="drillug80_4_2">#REF!</definedName>
    <definedName name="drillug80_4_2_6">#REF!</definedName>
    <definedName name="drillug80_4_4">#REF!</definedName>
    <definedName name="drillug80_4_4_5">#REF!</definedName>
    <definedName name="drillug80_4_5">#REF!</definedName>
    <definedName name="drillug80_4_6">#REF!</definedName>
    <definedName name="drillug80_4_6_5">#REF!</definedName>
    <definedName name="drillug80_4_7">#REF!</definedName>
    <definedName name="drillug80_4_7_5">#REF!</definedName>
    <definedName name="drillug80_5">#REF!</definedName>
    <definedName name="drillug80_5_2">#REF!</definedName>
    <definedName name="drillug80_5_2_6">#REF!</definedName>
    <definedName name="drillug80_5_4">#REF!</definedName>
    <definedName name="drillug80_5_4_5">#REF!</definedName>
    <definedName name="drillug80_5_5">#REF!</definedName>
    <definedName name="drillug80_5_6">#REF!</definedName>
    <definedName name="drillug80_5_6_5">#REF!</definedName>
    <definedName name="drillug80_5_7">#REF!</definedName>
    <definedName name="drillug80_5_7_5">#REF!</definedName>
    <definedName name="drillug80_6">#REF!</definedName>
    <definedName name="drillug80_6_1">#REF!</definedName>
    <definedName name="drillug80_6_1_5">#REF!</definedName>
    <definedName name="drillug80_6_10">#REF!</definedName>
    <definedName name="drillug80_6_11">#REF!</definedName>
    <definedName name="drillug80_6_12">#REF!</definedName>
    <definedName name="drillug80_6_13">#REF!</definedName>
    <definedName name="drillug80_6_4">#REF!</definedName>
    <definedName name="drillug80_6_4_5">#REF!</definedName>
    <definedName name="drillug80_6_5">#REF!</definedName>
    <definedName name="drillug80_6_6">#REF!</definedName>
    <definedName name="drillug80_6_6_5">#REF!</definedName>
    <definedName name="drillug80_6_7">#REF!</definedName>
    <definedName name="drillug80_6_7_5">#REF!</definedName>
    <definedName name="drillug80_6_9">#REF!</definedName>
    <definedName name="drillug80_7">#REF!</definedName>
    <definedName name="drillug80_7_5">#REF!</definedName>
    <definedName name="drillug80_9">#REF!</definedName>
    <definedName name="Driver">#REF!</definedName>
    <definedName name="drkeet">#REF!</definedName>
    <definedName name="drucika1.5">#REF!</definedName>
    <definedName name="drucika10">#REF!</definedName>
    <definedName name="drucika12">#REF!</definedName>
    <definedName name="drucika2">#REF!</definedName>
    <definedName name="drucika2.5">#REF!</definedName>
    <definedName name="drucika3">#REF!</definedName>
    <definedName name="drucika4">#REF!</definedName>
    <definedName name="drucika5">#REF!</definedName>
    <definedName name="drucika6">#REF!</definedName>
    <definedName name="drucika8">#REF!</definedName>
    <definedName name="drumpencampur">#REF!</definedName>
    <definedName name="drumpenyemprot">#REF!</definedName>
    <definedName name="drutdr">[51]DHSD!$G$38</definedName>
    <definedName name="DS">#N/A</definedName>
    <definedName name="DS_No">#REF!</definedName>
    <definedName name="ds1pnc">#REF!</definedName>
    <definedName name="ds1pvl">#REF!</definedName>
    <definedName name="ds3pnc">#REF!</definedName>
    <definedName name="ds3pvl">#REF!</definedName>
    <definedName name="dsaf">#REF!</definedName>
    <definedName name="Dsatu">#REF!</definedName>
    <definedName name="DSC">#REF!</definedName>
    <definedName name="dsct3pnc">'[18]#REF'!#REF!</definedName>
    <definedName name="dsct3pvl">'[18]#REF'!#REF!</definedName>
    <definedName name="dsd">#REF!</definedName>
    <definedName name="dsf" hidden="1">{"'Sheet1'!$A$1"}</definedName>
    <definedName name="dsfsda">#REF!</definedName>
    <definedName name="dsga">'[54]SAT-DAS'!$J$17</definedName>
    <definedName name="dsgdg">#REF!</definedName>
    <definedName name="dsgdsg">#REF!</definedName>
    <definedName name="dsh">#REF!</definedName>
    <definedName name="DSHDS">#REF!</definedName>
    <definedName name="dsidlug62">#REF!</definedName>
    <definedName name="dsilb2100">#REF!</definedName>
    <definedName name="dsilb2100_1">#REF!</definedName>
    <definedName name="dsilb2100_10">#REF!</definedName>
    <definedName name="dsilb2100_11">#REF!</definedName>
    <definedName name="dsilb2100_12">#REF!</definedName>
    <definedName name="dsilb2100_13">#REF!</definedName>
    <definedName name="dsilb2100_2">#REF!</definedName>
    <definedName name="dsilb2100_2_1">#REF!</definedName>
    <definedName name="dsilb2100_2_1_6">#REF!</definedName>
    <definedName name="dsilb2100_2_5">#REF!</definedName>
    <definedName name="dsilb2100_2_7">#REF!</definedName>
    <definedName name="dsilb2100_2_7_5">#REF!</definedName>
    <definedName name="dsilb2100_3">#REF!</definedName>
    <definedName name="dsilb2100_3_4">#REF!</definedName>
    <definedName name="dsilb2100_3_4_5">#REF!</definedName>
    <definedName name="dsilb2100_3_5">#REF!</definedName>
    <definedName name="dsilb2100_3_6">#REF!</definedName>
    <definedName name="dsilb2100_3_6_5">#REF!</definedName>
    <definedName name="dsilb2100_3_7">#REF!</definedName>
    <definedName name="dsilb2100_3_7_5">#REF!</definedName>
    <definedName name="dsilb2100_4">#REF!</definedName>
    <definedName name="dsilb2100_4_1">#REF!</definedName>
    <definedName name="dsilb2100_4_1_5">#REF!</definedName>
    <definedName name="dsilb2100_4_10">#REF!</definedName>
    <definedName name="dsilb2100_4_11">#REF!</definedName>
    <definedName name="dsilb2100_4_12">#REF!</definedName>
    <definedName name="dsilb2100_4_13">#REF!</definedName>
    <definedName name="dsilb2100_4_2">#REF!</definedName>
    <definedName name="dsilb2100_4_4">#REF!</definedName>
    <definedName name="dsilb2100_4_4_5">#REF!</definedName>
    <definedName name="dsilb2100_4_5">#REF!</definedName>
    <definedName name="dsilb2100_4_6">#REF!</definedName>
    <definedName name="dsilb2100_4_6_5">#REF!</definedName>
    <definedName name="dsilb2100_4_7">#REF!</definedName>
    <definedName name="dsilb2100_4_7_5">#REF!</definedName>
    <definedName name="dsilb2100_5">#REF!</definedName>
    <definedName name="dsilb2100_5_2">#REF!</definedName>
    <definedName name="dsilb2100_5_4">#REF!</definedName>
    <definedName name="dsilb2100_5_4_5">#REF!</definedName>
    <definedName name="dsilb2100_5_5">#REF!</definedName>
    <definedName name="dsilb2100_5_6">#REF!</definedName>
    <definedName name="dsilb2100_5_6_5">#REF!</definedName>
    <definedName name="dsilb2100_5_7">#REF!</definedName>
    <definedName name="dsilb2100_5_7_5">#REF!</definedName>
    <definedName name="dsilb2100_6">#REF!</definedName>
    <definedName name="dsilb2100_6_1">#REF!</definedName>
    <definedName name="dsilb2100_6_1_5">#REF!</definedName>
    <definedName name="dsilb2100_6_4">#REF!</definedName>
    <definedName name="dsilb2100_6_4_5">#REF!</definedName>
    <definedName name="dsilb2100_6_5">#REF!</definedName>
    <definedName name="dsilb2100_6_6">#REF!</definedName>
    <definedName name="dsilb2100_6_6_5">#REF!</definedName>
    <definedName name="dsilb2100_6_7">#REF!</definedName>
    <definedName name="dsilb2100_6_7_5">#REF!</definedName>
    <definedName name="dsilb2100_7">#REF!</definedName>
    <definedName name="dsilb2100_7_5">#REF!</definedName>
    <definedName name="dsilb2100_9">#REF!</definedName>
    <definedName name="dsilb2120">#REF!</definedName>
    <definedName name="dsilb2120_1">#REF!</definedName>
    <definedName name="dsilb2120_10">#REF!</definedName>
    <definedName name="dsilb2120_11">#REF!</definedName>
    <definedName name="dsilb2120_12">#REF!</definedName>
    <definedName name="dsilb2120_13">#REF!</definedName>
    <definedName name="dsilb2120_2">#REF!</definedName>
    <definedName name="dsilb2120_2_1">#REF!</definedName>
    <definedName name="dsilb2120_2_1_6">#REF!</definedName>
    <definedName name="dsilb2120_2_5">#REF!</definedName>
    <definedName name="dsilb2120_2_7">#REF!</definedName>
    <definedName name="dsilb2120_2_7_5">#REF!</definedName>
    <definedName name="dsilb2120_3">#REF!</definedName>
    <definedName name="dsilb2120_3_4">#REF!</definedName>
    <definedName name="dsilb2120_3_4_5">#REF!</definedName>
    <definedName name="dsilb2120_3_5">#REF!</definedName>
    <definedName name="dsilb2120_3_6">#REF!</definedName>
    <definedName name="dsilb2120_3_6_5">#REF!</definedName>
    <definedName name="dsilb2120_3_7">#REF!</definedName>
    <definedName name="dsilb2120_3_7_5">#REF!</definedName>
    <definedName name="dsilb2120_4">#REF!</definedName>
    <definedName name="dsilb2120_4_1">#REF!</definedName>
    <definedName name="dsilb2120_4_1_5">#REF!</definedName>
    <definedName name="dsilb2120_4_10">#REF!</definedName>
    <definedName name="dsilb2120_4_11">#REF!</definedName>
    <definedName name="dsilb2120_4_12">#REF!</definedName>
    <definedName name="dsilb2120_4_13">#REF!</definedName>
    <definedName name="dsilb2120_4_2">#REF!</definedName>
    <definedName name="dsilb2120_4_4">#REF!</definedName>
    <definedName name="dsilb2120_4_4_5">#REF!</definedName>
    <definedName name="dsilb2120_4_5">#REF!</definedName>
    <definedName name="dsilb2120_4_6">#REF!</definedName>
    <definedName name="dsilb2120_4_6_5">#REF!</definedName>
    <definedName name="dsilb2120_4_7">#REF!</definedName>
    <definedName name="dsilb2120_4_7_5">#REF!</definedName>
    <definedName name="dsilb2120_5">#REF!</definedName>
    <definedName name="dsilb2120_5_2">#REF!</definedName>
    <definedName name="dsilb2120_5_4">#REF!</definedName>
    <definedName name="dsilb2120_5_4_5">#REF!</definedName>
    <definedName name="dsilb2120_5_5">#REF!</definedName>
    <definedName name="dsilb2120_5_6">#REF!</definedName>
    <definedName name="dsilb2120_5_6_5">#REF!</definedName>
    <definedName name="dsilb2120_5_7">#REF!</definedName>
    <definedName name="dsilb2120_5_7_5">#REF!</definedName>
    <definedName name="dsilb2120_6">#REF!</definedName>
    <definedName name="dsilb2120_6_1">#REF!</definedName>
    <definedName name="dsilb2120_6_1_5">#REF!</definedName>
    <definedName name="dsilb2120_6_4">#REF!</definedName>
    <definedName name="dsilb2120_6_4_5">#REF!</definedName>
    <definedName name="dsilb2120_6_5">#REF!</definedName>
    <definedName name="dsilb2120_6_6">#REF!</definedName>
    <definedName name="dsilb2120_6_6_5">#REF!</definedName>
    <definedName name="dsilb2120_6_7">#REF!</definedName>
    <definedName name="dsilb2120_6_7_5">#REF!</definedName>
    <definedName name="dsilb2120_7">#REF!</definedName>
    <definedName name="dsilb2120_7_5">#REF!</definedName>
    <definedName name="dsilb2120_9">#REF!</definedName>
    <definedName name="dsilb250">#REF!</definedName>
    <definedName name="dsilb250_1">#REF!</definedName>
    <definedName name="dsilb250_10">#REF!</definedName>
    <definedName name="dsilb250_11">#REF!</definedName>
    <definedName name="dsilb250_12">#REF!</definedName>
    <definedName name="dsilb250_13">#REF!</definedName>
    <definedName name="dsilb250_2">#REF!</definedName>
    <definedName name="dsilb250_2_1">#REF!</definedName>
    <definedName name="dsilb250_2_1_6">#REF!</definedName>
    <definedName name="dsilb250_2_5">#REF!</definedName>
    <definedName name="dsilb250_2_7">#REF!</definedName>
    <definedName name="dsilb250_2_7_5">#REF!</definedName>
    <definedName name="dsilb250_3">#REF!</definedName>
    <definedName name="dsilb250_3_4">#REF!</definedName>
    <definedName name="dsilb250_3_4_5">#REF!</definedName>
    <definedName name="dsilb250_3_6">#REF!</definedName>
    <definedName name="dsilb250_3_6_5">#REF!</definedName>
    <definedName name="dsilb250_3_7">#REF!</definedName>
    <definedName name="dsilb250_3_7_5">#REF!</definedName>
    <definedName name="dsilb250_4">#REF!</definedName>
    <definedName name="dsilb250_4_1">#REF!</definedName>
    <definedName name="dsilb250_4_1_5">#REF!</definedName>
    <definedName name="dsilb250_4_10">#REF!</definedName>
    <definedName name="dsilb250_4_11">#REF!</definedName>
    <definedName name="dsilb250_4_12">#REF!</definedName>
    <definedName name="dsilb250_4_13">#REF!</definedName>
    <definedName name="dsilb250_4_2">#REF!</definedName>
    <definedName name="dsilb250_4_4">#REF!</definedName>
    <definedName name="dsilb250_4_4_5">#REF!</definedName>
    <definedName name="dsilb250_4_5">#REF!</definedName>
    <definedName name="dsilb250_4_6">#REF!</definedName>
    <definedName name="dsilb250_4_6_5">#REF!</definedName>
    <definedName name="dsilb250_4_7">#REF!</definedName>
    <definedName name="dsilb250_4_7_5">#REF!</definedName>
    <definedName name="dsilb250_5">#REF!</definedName>
    <definedName name="dsilb250_5_2">#REF!</definedName>
    <definedName name="dsilb250_5_4">#REF!</definedName>
    <definedName name="dsilb250_5_4_5">#REF!</definedName>
    <definedName name="dsilb250_5_5">#REF!</definedName>
    <definedName name="dsilb250_5_6">#REF!</definedName>
    <definedName name="dsilb250_5_6_5">#REF!</definedName>
    <definedName name="dsilb250_5_7">#REF!</definedName>
    <definedName name="dsilb250_5_7_5">#REF!</definedName>
    <definedName name="dsilb250_6">#REF!</definedName>
    <definedName name="dsilb250_6_1">#REF!</definedName>
    <definedName name="dsilb250_6_1_5">#REF!</definedName>
    <definedName name="dsilb250_6_4">#REF!</definedName>
    <definedName name="dsilb250_6_4_5">#REF!</definedName>
    <definedName name="dsilb250_6_5">#REF!</definedName>
    <definedName name="dsilb250_6_6">#REF!</definedName>
    <definedName name="dsilb250_6_6_5">#REF!</definedName>
    <definedName name="dsilb250_6_7">#REF!</definedName>
    <definedName name="dsilb250_6_7_5">#REF!</definedName>
    <definedName name="dsilb250_7">#REF!</definedName>
    <definedName name="dsilb250_7_5">#REF!</definedName>
    <definedName name="dsilb250_9">#REF!</definedName>
    <definedName name="dsilb260">#REF!</definedName>
    <definedName name="dsilb260_1">#REF!</definedName>
    <definedName name="dsilb260_10">#REF!</definedName>
    <definedName name="dsilb260_11">#REF!</definedName>
    <definedName name="dsilb260_12">#REF!</definedName>
    <definedName name="dsilb260_13">#REF!</definedName>
    <definedName name="dsilb260_2">#REF!</definedName>
    <definedName name="dsilb260_2_1">#REF!</definedName>
    <definedName name="dsilb260_2_1_6">#REF!</definedName>
    <definedName name="dsilb260_2_5">#REF!</definedName>
    <definedName name="dsilb260_2_7">#REF!</definedName>
    <definedName name="dsilb260_2_7_5">#REF!</definedName>
    <definedName name="dsilb260_3">#REF!</definedName>
    <definedName name="dsilb260_3_4">#REF!</definedName>
    <definedName name="dsilb260_3_4_5">#REF!</definedName>
    <definedName name="dsilb260_3_5">#REF!</definedName>
    <definedName name="dsilb260_3_6">#REF!</definedName>
    <definedName name="dsilb260_3_6_5">#REF!</definedName>
    <definedName name="dsilb260_3_7">#REF!</definedName>
    <definedName name="dsilb260_3_7_5">#REF!</definedName>
    <definedName name="dsilb260_4">#REF!</definedName>
    <definedName name="dsilb260_4_1">#REF!</definedName>
    <definedName name="dsilb260_4_1_5">#REF!</definedName>
    <definedName name="dsilb260_4_10">#REF!</definedName>
    <definedName name="dsilb260_4_11">#REF!</definedName>
    <definedName name="dsilb260_4_12">#REF!</definedName>
    <definedName name="dsilb260_4_13">#REF!</definedName>
    <definedName name="dsilb260_4_2">#REF!</definedName>
    <definedName name="dsilb260_4_4">#REF!</definedName>
    <definedName name="dsilb260_4_4_5">#REF!</definedName>
    <definedName name="dsilb260_4_5">#REF!</definedName>
    <definedName name="dsilb260_4_6">#REF!</definedName>
    <definedName name="dsilb260_4_6_5">#REF!</definedName>
    <definedName name="dsilb260_4_7">#REF!</definedName>
    <definedName name="dsilb260_4_7_5">#REF!</definedName>
    <definedName name="dsilb260_5">#REF!</definedName>
    <definedName name="dsilb260_5_2">#REF!</definedName>
    <definedName name="dsilb260_5_4">#REF!</definedName>
    <definedName name="dsilb260_5_4_5">#REF!</definedName>
    <definedName name="dsilb260_5_5">#REF!</definedName>
    <definedName name="dsilb260_5_6">#REF!</definedName>
    <definedName name="dsilb260_5_6_5">#REF!</definedName>
    <definedName name="dsilb260_5_7">#REF!</definedName>
    <definedName name="dsilb260_5_7_5">#REF!</definedName>
    <definedName name="dsilb260_6">#REF!</definedName>
    <definedName name="dsilb260_6_1">#REF!</definedName>
    <definedName name="dsilb260_6_1_5">#REF!</definedName>
    <definedName name="dsilb260_6_4">#REF!</definedName>
    <definedName name="dsilb260_6_4_5">#REF!</definedName>
    <definedName name="dsilb260_6_5">#REF!</definedName>
    <definedName name="dsilb260_6_6">#REF!</definedName>
    <definedName name="dsilb260_6_6_5">#REF!</definedName>
    <definedName name="dsilb260_6_7">#REF!</definedName>
    <definedName name="dsilb260_6_7_5">#REF!</definedName>
    <definedName name="dsilb260_7">#REF!</definedName>
    <definedName name="dsilb260_7_5">#REF!</definedName>
    <definedName name="dsilb260_9">#REF!</definedName>
    <definedName name="dsilb280">#REF!</definedName>
    <definedName name="dsilb280_1">#REF!</definedName>
    <definedName name="dsilb280_10">#REF!</definedName>
    <definedName name="dsilb280_11">#REF!</definedName>
    <definedName name="dsilb280_12">#REF!</definedName>
    <definedName name="dsilb280_13">#REF!</definedName>
    <definedName name="dsilb280_2">#REF!</definedName>
    <definedName name="dsilb280_2_1">#REF!</definedName>
    <definedName name="dsilb280_2_1_6">#REF!</definedName>
    <definedName name="dsilb280_2_5">#REF!</definedName>
    <definedName name="dsilb280_2_7">#REF!</definedName>
    <definedName name="dsilb280_2_7_5">#REF!</definedName>
    <definedName name="dsilb280_3">#REF!</definedName>
    <definedName name="dsilb280_3_4">#REF!</definedName>
    <definedName name="dsilb280_3_4_5">#REF!</definedName>
    <definedName name="dsilb280_3_5">#REF!</definedName>
    <definedName name="dsilb280_3_6">#REF!</definedName>
    <definedName name="dsilb280_3_6_5">#REF!</definedName>
    <definedName name="dsilb280_3_7">#REF!</definedName>
    <definedName name="dsilb280_3_7_5">#REF!</definedName>
    <definedName name="dsilb280_4">#REF!</definedName>
    <definedName name="dsilb280_4_1">#REF!</definedName>
    <definedName name="dsilb280_4_1_5">#REF!</definedName>
    <definedName name="dsilb280_4_10">#REF!</definedName>
    <definedName name="dsilb280_4_11">#REF!</definedName>
    <definedName name="dsilb280_4_12">#REF!</definedName>
    <definedName name="dsilb280_4_13">#REF!</definedName>
    <definedName name="dsilb280_4_2">#REF!</definedName>
    <definedName name="dsilb280_4_4">#REF!</definedName>
    <definedName name="dsilb280_4_4_5">#REF!</definedName>
    <definedName name="dsilb280_4_5">#REF!</definedName>
    <definedName name="dsilb280_4_6">#REF!</definedName>
    <definedName name="dsilb280_4_6_5">#REF!</definedName>
    <definedName name="dsilb280_4_7">#REF!</definedName>
    <definedName name="dsilb280_4_7_5">#REF!</definedName>
    <definedName name="dsilb280_5">#REF!</definedName>
    <definedName name="dsilb280_5_2">#REF!</definedName>
    <definedName name="dsilb280_5_4">#REF!</definedName>
    <definedName name="dsilb280_5_4_5">#REF!</definedName>
    <definedName name="dsilb280_5_5">#REF!</definedName>
    <definedName name="dsilb280_5_6">#REF!</definedName>
    <definedName name="dsilb280_5_6_5">#REF!</definedName>
    <definedName name="dsilb280_5_7">#REF!</definedName>
    <definedName name="dsilb280_5_7_5">#REF!</definedName>
    <definedName name="dsilb280_6">#REF!</definedName>
    <definedName name="dsilb280_6_1">#REF!</definedName>
    <definedName name="dsilb280_6_1_5">#REF!</definedName>
    <definedName name="dsilb280_6_4">#REF!</definedName>
    <definedName name="dsilb280_6_4_5">#REF!</definedName>
    <definedName name="dsilb280_6_5">#REF!</definedName>
    <definedName name="dsilb280_6_6">#REF!</definedName>
    <definedName name="dsilb280_6_6_5">#REF!</definedName>
    <definedName name="dsilb280_6_7">#REF!</definedName>
    <definedName name="dsilb280_6_7_5">#REF!</definedName>
    <definedName name="dsilb280_7">#REF!</definedName>
    <definedName name="dsilb280_7_5">#REF!</definedName>
    <definedName name="dsilb280_9">#REF!</definedName>
    <definedName name="dsildb2100">#REF!</definedName>
    <definedName name="dsildb2100_1">#REF!</definedName>
    <definedName name="dsildb2100_10">#REF!</definedName>
    <definedName name="dsildb2100_11">#REF!</definedName>
    <definedName name="dsildb2100_12">#REF!</definedName>
    <definedName name="dsildb2100_13">#REF!</definedName>
    <definedName name="dsildb2100_2">#REF!</definedName>
    <definedName name="dsildb2100_2_1">#REF!</definedName>
    <definedName name="dsildb2100_2_5">#REF!</definedName>
    <definedName name="dsildb2100_3">#REF!</definedName>
    <definedName name="dsildb2100_3_4">#REF!</definedName>
    <definedName name="dsildb2100_3_4_5">#REF!</definedName>
    <definedName name="dsildb2100_3_5">#REF!</definedName>
    <definedName name="dsildb2100_3_6">#REF!</definedName>
    <definedName name="dsildb2100_3_6_5">#REF!</definedName>
    <definedName name="dsildb2100_3_7">#REF!</definedName>
    <definedName name="dsildb2100_3_7_5">#REF!</definedName>
    <definedName name="dsildb2100_4">#REF!</definedName>
    <definedName name="dsildb2100_4_1">#REF!</definedName>
    <definedName name="dsildb2100_4_1_5">#REF!</definedName>
    <definedName name="dsildb2100_4_10">#REF!</definedName>
    <definedName name="dsildb2100_4_11">#REF!</definedName>
    <definedName name="dsildb2100_4_12">#REF!</definedName>
    <definedName name="dsildb2100_4_13">#REF!</definedName>
    <definedName name="dsildb2100_4_2">#REF!</definedName>
    <definedName name="dsildb2100_4_4">#REF!</definedName>
    <definedName name="dsildb2100_4_4_5">#REF!</definedName>
    <definedName name="dsildb2100_4_5">#REF!</definedName>
    <definedName name="dsildb2100_4_6">#REF!</definedName>
    <definedName name="dsildb2100_4_6_5">#REF!</definedName>
    <definedName name="dsildb2100_4_7">#REF!</definedName>
    <definedName name="dsildb2100_4_7_5">#REF!</definedName>
    <definedName name="dsildb2100_5">#REF!</definedName>
    <definedName name="dsildb2100_5_2">#REF!</definedName>
    <definedName name="dsildb2100_5_4">#REF!</definedName>
    <definedName name="dsildb2100_5_4_5">#REF!</definedName>
    <definedName name="dsildb2100_5_5">#REF!</definedName>
    <definedName name="dsildb2100_5_6">#REF!</definedName>
    <definedName name="dsildb2100_5_6_5">#REF!</definedName>
    <definedName name="dsildb2100_5_7">#REF!</definedName>
    <definedName name="dsildb2100_5_7_5">#REF!</definedName>
    <definedName name="dsildb2100_6">#REF!</definedName>
    <definedName name="dsildb2100_6_1">#REF!</definedName>
    <definedName name="dsildb2100_6_1_5">#REF!</definedName>
    <definedName name="dsildb2100_6_4">#REF!</definedName>
    <definedName name="dsildb2100_6_4_5">#REF!</definedName>
    <definedName name="dsildb2100_6_5">#REF!</definedName>
    <definedName name="dsildb2100_6_6">#REF!</definedName>
    <definedName name="dsildb2100_6_6_5">#REF!</definedName>
    <definedName name="dsildb2100_6_7">#REF!</definedName>
    <definedName name="dsildb2100_6_7_5">#REF!</definedName>
    <definedName name="dsildb2100_7">#REF!</definedName>
    <definedName name="dsildb2100_7_5">#REF!</definedName>
    <definedName name="dsildb2100_9">#REF!</definedName>
    <definedName name="dsildb2120">#REF!</definedName>
    <definedName name="dsildb2120_1">#REF!</definedName>
    <definedName name="dsildb2120_10">#REF!</definedName>
    <definedName name="dsildb2120_11">#REF!</definedName>
    <definedName name="dsildb2120_12">#REF!</definedName>
    <definedName name="dsildb2120_13">#REF!</definedName>
    <definedName name="dsildb2120_2">#REF!</definedName>
    <definedName name="dsildb2120_2_1">#REF!</definedName>
    <definedName name="dsildb2120_2_5">#REF!</definedName>
    <definedName name="dsildb2120_3">#REF!</definedName>
    <definedName name="dsildb2120_3_4">#REF!</definedName>
    <definedName name="dsildb2120_3_4_5">#REF!</definedName>
    <definedName name="dsildb2120_3_5">#REF!</definedName>
    <definedName name="dsildb2120_3_6">#REF!</definedName>
    <definedName name="dsildb2120_3_6_5">#REF!</definedName>
    <definedName name="dsildb2120_3_7">#REF!</definedName>
    <definedName name="dsildb2120_3_7_5">#REF!</definedName>
    <definedName name="dsildb2120_4">#REF!</definedName>
    <definedName name="dsildb2120_4_1">#REF!</definedName>
    <definedName name="dsildb2120_4_1_5">#REF!</definedName>
    <definedName name="dsildb2120_4_10">#REF!</definedName>
    <definedName name="dsildb2120_4_11">#REF!</definedName>
    <definedName name="dsildb2120_4_12">#REF!</definedName>
    <definedName name="dsildb2120_4_13">#REF!</definedName>
    <definedName name="dsildb2120_4_2">#REF!</definedName>
    <definedName name="dsildb2120_4_4">#REF!</definedName>
    <definedName name="dsildb2120_4_4_5">#REF!</definedName>
    <definedName name="dsildb2120_4_5">#REF!</definedName>
    <definedName name="dsildb2120_4_6">#REF!</definedName>
    <definedName name="dsildb2120_4_6_5">#REF!</definedName>
    <definedName name="dsildb2120_4_7">#REF!</definedName>
    <definedName name="dsildb2120_4_7_5">#REF!</definedName>
    <definedName name="dsildb2120_5">#REF!</definedName>
    <definedName name="dsildb2120_5_2">#REF!</definedName>
    <definedName name="dsildb2120_5_4">#REF!</definedName>
    <definedName name="dsildb2120_5_4_5">#REF!</definedName>
    <definedName name="dsildb2120_5_5">#REF!</definedName>
    <definedName name="dsildb2120_5_6">#REF!</definedName>
    <definedName name="dsildb2120_5_6_5">#REF!</definedName>
    <definedName name="dsildb2120_5_7">#REF!</definedName>
    <definedName name="dsildb2120_5_7_5">#REF!</definedName>
    <definedName name="dsildb2120_6">#REF!</definedName>
    <definedName name="dsildb2120_6_1">#REF!</definedName>
    <definedName name="dsildb2120_6_1_5">#REF!</definedName>
    <definedName name="dsildb2120_6_4">#REF!</definedName>
    <definedName name="dsildb2120_6_4_5">#REF!</definedName>
    <definedName name="dsildb2120_6_5">#REF!</definedName>
    <definedName name="dsildb2120_6_6">#REF!</definedName>
    <definedName name="dsildb2120_6_6_5">#REF!</definedName>
    <definedName name="dsildb2120_6_7">#REF!</definedName>
    <definedName name="dsildb2120_6_7_5">#REF!</definedName>
    <definedName name="dsildb2120_7">#REF!</definedName>
    <definedName name="dsildb2120_7_5">#REF!</definedName>
    <definedName name="dsildb2120_9">#REF!</definedName>
    <definedName name="dsildb250">#REF!</definedName>
    <definedName name="dsildb250_1">#REF!</definedName>
    <definedName name="dsildb250_10">#REF!</definedName>
    <definedName name="dsildb250_11">#REF!</definedName>
    <definedName name="dsildb250_12">#REF!</definedName>
    <definedName name="dsildb250_13">#REF!</definedName>
    <definedName name="dsildb250_2">#REF!</definedName>
    <definedName name="dsildb250_2_1">#REF!</definedName>
    <definedName name="dsildb250_2_5">#REF!</definedName>
    <definedName name="dsildb250_3">#REF!</definedName>
    <definedName name="dsildb250_3_4">#REF!</definedName>
    <definedName name="dsildb250_3_4_5">#REF!</definedName>
    <definedName name="dsildb250_3_5">#REF!</definedName>
    <definedName name="dsildb250_3_6">#REF!</definedName>
    <definedName name="dsildb250_3_6_5">#REF!</definedName>
    <definedName name="dsildb250_3_7">#REF!</definedName>
    <definedName name="dsildb250_3_7_5">#REF!</definedName>
    <definedName name="dsildb250_4">#REF!</definedName>
    <definedName name="dsildb250_4_1">#REF!</definedName>
    <definedName name="dsildb250_4_1_5">#REF!</definedName>
    <definedName name="dsildb250_4_10">#REF!</definedName>
    <definedName name="dsildb250_4_11">#REF!</definedName>
    <definedName name="dsildb250_4_12">#REF!</definedName>
    <definedName name="dsildb250_4_13">#REF!</definedName>
    <definedName name="dsildb250_4_2">#REF!</definedName>
    <definedName name="dsildb250_4_4">#REF!</definedName>
    <definedName name="dsildb250_4_4_5">#REF!</definedName>
    <definedName name="dsildb250_4_5">#REF!</definedName>
    <definedName name="dsildb250_4_6">#REF!</definedName>
    <definedName name="dsildb250_4_6_5">#REF!</definedName>
    <definedName name="dsildb250_4_7">#REF!</definedName>
    <definedName name="dsildb250_4_7_5">#REF!</definedName>
    <definedName name="dsildb250_5">#REF!</definedName>
    <definedName name="dsildb250_5_2">#REF!</definedName>
    <definedName name="dsildb250_5_4">#REF!</definedName>
    <definedName name="dsildb250_5_4_5">#REF!</definedName>
    <definedName name="dsildb250_5_5">#REF!</definedName>
    <definedName name="dsildb250_5_6">#REF!</definedName>
    <definedName name="dsildb250_5_6_5">#REF!</definedName>
    <definedName name="dsildb250_5_7">#REF!</definedName>
    <definedName name="dsildb250_5_7_5">#REF!</definedName>
    <definedName name="dsildb250_6">#REF!</definedName>
    <definedName name="dsildb250_6_1">#REF!</definedName>
    <definedName name="dsildb250_6_1_5">#REF!</definedName>
    <definedName name="dsildb250_6_4">#REF!</definedName>
    <definedName name="dsildb250_6_4_5">#REF!</definedName>
    <definedName name="dsildb250_6_5">#REF!</definedName>
    <definedName name="dsildb250_6_6">#REF!</definedName>
    <definedName name="dsildb250_6_6_5">#REF!</definedName>
    <definedName name="dsildb250_6_7">#REF!</definedName>
    <definedName name="dsildb250_6_7_5">#REF!</definedName>
    <definedName name="dsildb250_7">#REF!</definedName>
    <definedName name="dsildb250_7_5">#REF!</definedName>
    <definedName name="dsildb250_9">#REF!</definedName>
    <definedName name="dsildb260">#REF!</definedName>
    <definedName name="dsildb260_1">#REF!</definedName>
    <definedName name="dsildb260_10">#REF!</definedName>
    <definedName name="dsildb260_11">#REF!</definedName>
    <definedName name="dsildb260_12">#REF!</definedName>
    <definedName name="dsildb260_13">#REF!</definedName>
    <definedName name="dsildb260_2">#REF!</definedName>
    <definedName name="dsildb260_2_1">#REF!</definedName>
    <definedName name="dsildb260_2_5">#REF!</definedName>
    <definedName name="dsildb260_3">#REF!</definedName>
    <definedName name="dsildb260_3_4">#REF!</definedName>
    <definedName name="dsildb260_3_4_5">#REF!</definedName>
    <definedName name="dsildb260_3_5">#REF!</definedName>
    <definedName name="dsildb260_3_6">#REF!</definedName>
    <definedName name="dsildb260_3_6_5">#REF!</definedName>
    <definedName name="dsildb260_3_7">#REF!</definedName>
    <definedName name="dsildb260_3_7_5">#REF!</definedName>
    <definedName name="dsildb260_4">#REF!</definedName>
    <definedName name="dsildb260_4_1">#REF!</definedName>
    <definedName name="dsildb260_4_1_5">#REF!</definedName>
    <definedName name="dsildb260_4_10">#REF!</definedName>
    <definedName name="dsildb260_4_11">#REF!</definedName>
    <definedName name="dsildb260_4_12">#REF!</definedName>
    <definedName name="dsildb260_4_13">#REF!</definedName>
    <definedName name="dsildb260_4_2">#REF!</definedName>
    <definedName name="dsildb260_4_4">#REF!</definedName>
    <definedName name="dsildb260_4_4_5">#REF!</definedName>
    <definedName name="dsildb260_4_5">#REF!</definedName>
    <definedName name="dsildb260_4_6">#REF!</definedName>
    <definedName name="dsildb260_4_6_5">#REF!</definedName>
    <definedName name="dsildb260_4_7">#REF!</definedName>
    <definedName name="dsildb260_4_7_5">#REF!</definedName>
    <definedName name="dsildb260_5">#REF!</definedName>
    <definedName name="dsildb260_5_2">#REF!</definedName>
    <definedName name="dsildb260_5_4">#REF!</definedName>
    <definedName name="dsildb260_5_4_5">#REF!</definedName>
    <definedName name="dsildb260_5_5">#REF!</definedName>
    <definedName name="dsildb260_5_6">#REF!</definedName>
    <definedName name="dsildb260_5_6_5">#REF!</definedName>
    <definedName name="dsildb260_5_7">#REF!</definedName>
    <definedName name="dsildb260_5_7_5">#REF!</definedName>
    <definedName name="dsildb260_6">#REF!</definedName>
    <definedName name="dsildb260_6_1">#REF!</definedName>
    <definedName name="dsildb260_6_1_5">#REF!</definedName>
    <definedName name="dsildb260_6_4">#REF!</definedName>
    <definedName name="dsildb260_6_4_5">#REF!</definedName>
    <definedName name="dsildb260_6_5">#REF!</definedName>
    <definedName name="dsildb260_6_6">#REF!</definedName>
    <definedName name="dsildb260_6_6_5">#REF!</definedName>
    <definedName name="dsildb260_6_7">#REF!</definedName>
    <definedName name="dsildb260_6_7_5">#REF!</definedName>
    <definedName name="dsildb260_7">#REF!</definedName>
    <definedName name="dsildb260_7_5">#REF!</definedName>
    <definedName name="dsildb260_9">#REF!</definedName>
    <definedName name="dsildb280">#REF!</definedName>
    <definedName name="dsildb280_1">#REF!</definedName>
    <definedName name="dsildb280_10">#REF!</definedName>
    <definedName name="dsildb280_11">#REF!</definedName>
    <definedName name="dsildb280_12">#REF!</definedName>
    <definedName name="dsildb280_13">#REF!</definedName>
    <definedName name="dsildb280_2">#REF!</definedName>
    <definedName name="dsildb280_2_1">#REF!</definedName>
    <definedName name="dsildb280_2_5">#REF!</definedName>
    <definedName name="dsildb280_3">#REF!</definedName>
    <definedName name="dsildb280_3_4">#REF!</definedName>
    <definedName name="dsildb280_3_4_5">#REF!</definedName>
    <definedName name="dsildb280_3_5">#REF!</definedName>
    <definedName name="dsildb280_3_6">#REF!</definedName>
    <definedName name="dsildb280_3_6_5">#REF!</definedName>
    <definedName name="dsildb280_3_7">#REF!</definedName>
    <definedName name="dsildb280_3_7_5">#REF!</definedName>
    <definedName name="dsildb280_4">#REF!</definedName>
    <definedName name="dsildb280_4_1">#REF!</definedName>
    <definedName name="dsildb280_4_1_5">#REF!</definedName>
    <definedName name="dsildb280_4_10">#REF!</definedName>
    <definedName name="dsildb280_4_11">#REF!</definedName>
    <definedName name="dsildb280_4_12">#REF!</definedName>
    <definedName name="dsildb280_4_13">#REF!</definedName>
    <definedName name="dsildb280_4_2">#REF!</definedName>
    <definedName name="dsildb280_4_4">#REF!</definedName>
    <definedName name="dsildb280_4_4_5">#REF!</definedName>
    <definedName name="dsildb280_4_5">#REF!</definedName>
    <definedName name="dsildb280_4_6">#REF!</definedName>
    <definedName name="dsildb280_4_6_5">#REF!</definedName>
    <definedName name="dsildb280_4_7">#REF!</definedName>
    <definedName name="dsildb280_4_7_5">#REF!</definedName>
    <definedName name="dsildb280_5">#REF!</definedName>
    <definedName name="dsildb280_5_2">#REF!</definedName>
    <definedName name="dsildb280_5_4">#REF!</definedName>
    <definedName name="dsildb280_5_4_5">#REF!</definedName>
    <definedName name="dsildb280_5_5">#REF!</definedName>
    <definedName name="dsildb280_5_6">#REF!</definedName>
    <definedName name="dsildb280_5_6_5">#REF!</definedName>
    <definedName name="dsildb280_5_7">#REF!</definedName>
    <definedName name="dsildb280_5_7_5">#REF!</definedName>
    <definedName name="dsildb280_6">#REF!</definedName>
    <definedName name="dsildb280_6_1">#REF!</definedName>
    <definedName name="dsildb280_6_1_5">#REF!</definedName>
    <definedName name="dsildb280_6_4">#REF!</definedName>
    <definedName name="dsildb280_6_4_5">#REF!</definedName>
    <definedName name="dsildb280_6_5">#REF!</definedName>
    <definedName name="dsildb280_6_6">#REF!</definedName>
    <definedName name="dsildb280_6_6_5">#REF!</definedName>
    <definedName name="dsildb280_6_7">#REF!</definedName>
    <definedName name="dsildb280_6_7_5">#REF!</definedName>
    <definedName name="dsildb280_7">#REF!</definedName>
    <definedName name="dsildb280_7_5">#REF!</definedName>
    <definedName name="dsildb280_9">#REF!</definedName>
    <definedName name="dsildl1100">#REF!</definedName>
    <definedName name="dsildl1100_1">#REF!</definedName>
    <definedName name="dsildl1100_10">#REF!</definedName>
    <definedName name="dsildl1100_11">#REF!</definedName>
    <definedName name="dsildl1100_12">#REF!</definedName>
    <definedName name="dsildl1100_13">#REF!</definedName>
    <definedName name="dsildl1100_2">#REF!</definedName>
    <definedName name="dsildl1100_2_1">#REF!</definedName>
    <definedName name="dsildl1100_2_1_6">#REF!</definedName>
    <definedName name="dsildl1100_2_5">#REF!</definedName>
    <definedName name="dsildl1100_2_6">#REF!</definedName>
    <definedName name="dsildl1100_2_7">#REF!</definedName>
    <definedName name="dsildl1100_2_7_5">#REF!</definedName>
    <definedName name="dsildl1100_3">#REF!</definedName>
    <definedName name="dsildl1100_3_10">#REF!</definedName>
    <definedName name="dsildl1100_3_11">#REF!</definedName>
    <definedName name="dsildl1100_3_12">#REF!</definedName>
    <definedName name="dsildl1100_3_13">#REF!</definedName>
    <definedName name="dsildl1100_3_4">#REF!</definedName>
    <definedName name="dsildl1100_3_4_5">#REF!</definedName>
    <definedName name="dsildl1100_3_5">#REF!</definedName>
    <definedName name="dsildl1100_3_6">#REF!</definedName>
    <definedName name="dsildl1100_3_6_5">#REF!</definedName>
    <definedName name="dsildl1100_3_7">#REF!</definedName>
    <definedName name="dsildl1100_3_7_5">#REF!</definedName>
    <definedName name="dsildl1100_3_9">#REF!</definedName>
    <definedName name="dsildl1100_4">#REF!</definedName>
    <definedName name="dsildl1100_4_1">#REF!</definedName>
    <definedName name="dsildl1100_4_1_5">#REF!</definedName>
    <definedName name="dsildl1100_4_10">#REF!</definedName>
    <definedName name="dsildl1100_4_11">#REF!</definedName>
    <definedName name="dsildl1100_4_12">#REF!</definedName>
    <definedName name="dsildl1100_4_13">#REF!</definedName>
    <definedName name="dsildl1100_4_2">#REF!</definedName>
    <definedName name="dsildl1100_4_2_6">#REF!</definedName>
    <definedName name="dsildl1100_4_4">#REF!</definedName>
    <definedName name="dsildl1100_4_4_5">#REF!</definedName>
    <definedName name="dsildl1100_4_5">#REF!</definedName>
    <definedName name="dsildl1100_4_6">#REF!</definedName>
    <definedName name="dsildl1100_4_6_5">#REF!</definedName>
    <definedName name="dsildl1100_4_7">#REF!</definedName>
    <definedName name="dsildl1100_4_7_5">#REF!</definedName>
    <definedName name="dsildl1100_5">#REF!</definedName>
    <definedName name="dsildl1100_5_2">#REF!</definedName>
    <definedName name="dsildl1100_5_2_6">#REF!</definedName>
    <definedName name="dsildl1100_5_4">#REF!</definedName>
    <definedName name="dsildl1100_5_4_5">#REF!</definedName>
    <definedName name="dsildl1100_5_5">#REF!</definedName>
    <definedName name="dsildl1100_5_6">#REF!</definedName>
    <definedName name="dsildl1100_5_6_5">#REF!</definedName>
    <definedName name="dsildl1100_5_7">#REF!</definedName>
    <definedName name="dsildl1100_5_7_5">#REF!</definedName>
    <definedName name="dsildl1100_6">#REF!</definedName>
    <definedName name="dsildl1100_6_1">#REF!</definedName>
    <definedName name="dsildl1100_6_1_5">#REF!</definedName>
    <definedName name="dsildl1100_6_10">#REF!</definedName>
    <definedName name="dsildl1100_6_11">#REF!</definedName>
    <definedName name="dsildl1100_6_12">#REF!</definedName>
    <definedName name="dsildl1100_6_13">#REF!</definedName>
    <definedName name="dsildl1100_6_4">#REF!</definedName>
    <definedName name="dsildl1100_6_4_5">#REF!</definedName>
    <definedName name="dsildl1100_6_5">#REF!</definedName>
    <definedName name="dsildl1100_6_6">#REF!</definedName>
    <definedName name="dsildl1100_6_6_5">#REF!</definedName>
    <definedName name="dsildl1100_6_7">#REF!</definedName>
    <definedName name="dsildl1100_6_7_5">#REF!</definedName>
    <definedName name="dsildl1100_6_9">#REF!</definedName>
    <definedName name="dsildl1100_7">#REF!</definedName>
    <definedName name="dsildl1100_7_5">#REF!</definedName>
    <definedName name="dsildl1100_9">#REF!</definedName>
    <definedName name="dsildl1120">#REF!</definedName>
    <definedName name="dsildl1120_1">#REF!</definedName>
    <definedName name="dsildl1120_10">#REF!</definedName>
    <definedName name="dsildl1120_11">#REF!</definedName>
    <definedName name="dsildl1120_12">#REF!</definedName>
    <definedName name="dsildl1120_13">#REF!</definedName>
    <definedName name="dsildl1120_2">#REF!</definedName>
    <definedName name="dsildl1120_2_1">#REF!</definedName>
    <definedName name="dsildl1120_2_1_6">#REF!</definedName>
    <definedName name="dsildl1120_2_5">#REF!</definedName>
    <definedName name="dsildl1120_2_6">#REF!</definedName>
    <definedName name="dsildl1120_2_7">#REF!</definedName>
    <definedName name="dsildl1120_2_7_5">#REF!</definedName>
    <definedName name="dsildl1120_3">#REF!</definedName>
    <definedName name="dsildl1120_3_10">#REF!</definedName>
    <definedName name="dsildl1120_3_11">#REF!</definedName>
    <definedName name="dsildl1120_3_12">#REF!</definedName>
    <definedName name="dsildl1120_3_13">#REF!</definedName>
    <definedName name="dsildl1120_3_4">#REF!</definedName>
    <definedName name="dsildl1120_3_4_5">#REF!</definedName>
    <definedName name="dsildl1120_3_5">#REF!</definedName>
    <definedName name="dsildl1120_3_6">#REF!</definedName>
    <definedName name="dsildl1120_3_6_5">#REF!</definedName>
    <definedName name="dsildl1120_3_7">#REF!</definedName>
    <definedName name="dsildl1120_3_7_5">#REF!</definedName>
    <definedName name="dsildl1120_3_9">#REF!</definedName>
    <definedName name="dsildl1120_4">#REF!</definedName>
    <definedName name="dsildl1120_4_1">#REF!</definedName>
    <definedName name="dsildl1120_4_1_5">#REF!</definedName>
    <definedName name="dsildl1120_4_10">#REF!</definedName>
    <definedName name="dsildl1120_4_11">#REF!</definedName>
    <definedName name="dsildl1120_4_12">#REF!</definedName>
    <definedName name="dsildl1120_4_13">#REF!</definedName>
    <definedName name="dsildl1120_4_2">#REF!</definedName>
    <definedName name="dsildl1120_4_2_6">#REF!</definedName>
    <definedName name="dsildl1120_4_4">#REF!</definedName>
    <definedName name="dsildl1120_4_4_5">#REF!</definedName>
    <definedName name="dsildl1120_4_5">#REF!</definedName>
    <definedName name="dsildl1120_4_6">#REF!</definedName>
    <definedName name="dsildl1120_4_6_5">#REF!</definedName>
    <definedName name="dsildl1120_4_7">#REF!</definedName>
    <definedName name="dsildl1120_4_7_5">#REF!</definedName>
    <definedName name="dsildl1120_5">#REF!</definedName>
    <definedName name="dsildl1120_5_2">#REF!</definedName>
    <definedName name="dsildl1120_5_2_6">#REF!</definedName>
    <definedName name="dsildl1120_5_4">#REF!</definedName>
    <definedName name="dsildl1120_5_4_5">#REF!</definedName>
    <definedName name="dsildl1120_5_5">#REF!</definedName>
    <definedName name="dsildl1120_5_6">#REF!</definedName>
    <definedName name="dsildl1120_5_6_5">#REF!</definedName>
    <definedName name="dsildl1120_5_7">#REF!</definedName>
    <definedName name="dsildl1120_5_7_5">#REF!</definedName>
    <definedName name="dsildl1120_6">#REF!</definedName>
    <definedName name="dsildl1120_6_1">#REF!</definedName>
    <definedName name="dsildl1120_6_1_5">#REF!</definedName>
    <definedName name="dsildl1120_6_10">#REF!</definedName>
    <definedName name="dsildl1120_6_11">#REF!</definedName>
    <definedName name="dsildl1120_6_12">#REF!</definedName>
    <definedName name="dsildl1120_6_13">#REF!</definedName>
    <definedName name="dsildl1120_6_4">#REF!</definedName>
    <definedName name="dsildl1120_6_4_5">#REF!</definedName>
    <definedName name="dsildl1120_6_5">#REF!</definedName>
    <definedName name="dsildl1120_6_6">#REF!</definedName>
    <definedName name="dsildl1120_6_6_5">#REF!</definedName>
    <definedName name="dsildl1120_6_7">#REF!</definedName>
    <definedName name="dsildl1120_6_7_5">#REF!</definedName>
    <definedName name="dsildl1120_6_9">#REF!</definedName>
    <definedName name="dsildl1120_7">#REF!</definedName>
    <definedName name="dsildl1120_7_5">#REF!</definedName>
    <definedName name="dsildl1120_9">#REF!</definedName>
    <definedName name="dsildl150">#REF!</definedName>
    <definedName name="dsildl150_1">#REF!</definedName>
    <definedName name="dsildl150_10">#REF!</definedName>
    <definedName name="dsildl150_11">#REF!</definedName>
    <definedName name="dsildl150_12">#REF!</definedName>
    <definedName name="dsildl150_13">#REF!</definedName>
    <definedName name="dsildl150_2">#REF!</definedName>
    <definedName name="dsildl150_2_1">#REF!</definedName>
    <definedName name="dsildl150_2_1_6">#REF!</definedName>
    <definedName name="dsildl150_2_5">#REF!</definedName>
    <definedName name="dsildl150_2_6">#REF!</definedName>
    <definedName name="dsildl150_2_7">#REF!</definedName>
    <definedName name="dsildl150_2_7_5">#REF!</definedName>
    <definedName name="dsildl150_3">#REF!</definedName>
    <definedName name="dsildl150_3_10">#REF!</definedName>
    <definedName name="dsildl150_3_11">#REF!</definedName>
    <definedName name="dsildl150_3_12">#REF!</definedName>
    <definedName name="dsildl150_3_13">#REF!</definedName>
    <definedName name="dsildl150_3_4">#REF!</definedName>
    <definedName name="dsildl150_3_4_5">#REF!</definedName>
    <definedName name="dsildl150_3_5">#REF!</definedName>
    <definedName name="dsildl150_3_6">#REF!</definedName>
    <definedName name="dsildl150_3_6_5">#REF!</definedName>
    <definedName name="dsildl150_3_7">#REF!</definedName>
    <definedName name="dsildl150_3_7_5">#REF!</definedName>
    <definedName name="dsildl150_3_9">#REF!</definedName>
    <definedName name="dsildl150_4">#REF!</definedName>
    <definedName name="dsildl150_4_1">#REF!</definedName>
    <definedName name="dsildl150_4_1_5">#REF!</definedName>
    <definedName name="dsildl150_4_10">#REF!</definedName>
    <definedName name="dsildl150_4_11">#REF!</definedName>
    <definedName name="dsildl150_4_12">#REF!</definedName>
    <definedName name="dsildl150_4_13">#REF!</definedName>
    <definedName name="dsildl150_4_2">#REF!</definedName>
    <definedName name="dsildl150_4_2_6">#REF!</definedName>
    <definedName name="dsildl150_4_4">#REF!</definedName>
    <definedName name="dsildl150_4_4_5">#REF!</definedName>
    <definedName name="dsildl150_4_5">#REF!</definedName>
    <definedName name="dsildl150_4_6">#REF!</definedName>
    <definedName name="dsildl150_4_6_5">#REF!</definedName>
    <definedName name="dsildl150_4_7">#REF!</definedName>
    <definedName name="dsildl150_4_7_5">#REF!</definedName>
    <definedName name="dsildl150_5">#REF!</definedName>
    <definedName name="dsildl150_5_2">#REF!</definedName>
    <definedName name="dsildl150_5_2_6">#REF!</definedName>
    <definedName name="dsildl150_5_4">#REF!</definedName>
    <definedName name="dsildl150_5_4_5">#REF!</definedName>
    <definedName name="dsildl150_5_5">#REF!</definedName>
    <definedName name="dsildl150_5_6">#REF!</definedName>
    <definedName name="dsildl150_5_6_5">#REF!</definedName>
    <definedName name="dsildl150_5_7">#REF!</definedName>
    <definedName name="dsildl150_5_7_5">#REF!</definedName>
    <definedName name="dsildl150_6">#REF!</definedName>
    <definedName name="dsildl150_6_1">#REF!</definedName>
    <definedName name="dsildl150_6_1_5">#REF!</definedName>
    <definedName name="dsildl150_6_10">#REF!</definedName>
    <definedName name="dsildl150_6_11">#REF!</definedName>
    <definedName name="dsildl150_6_12">#REF!</definedName>
    <definedName name="dsildl150_6_13">#REF!</definedName>
    <definedName name="dsildl150_6_4">#REF!</definedName>
    <definedName name="dsildl150_6_4_5">#REF!</definedName>
    <definedName name="dsildl150_6_5">#REF!</definedName>
    <definedName name="dsildl150_6_6">#REF!</definedName>
    <definedName name="dsildl150_6_6_5">#REF!</definedName>
    <definedName name="dsildl150_6_7">#REF!</definedName>
    <definedName name="dsildl150_6_7_5">#REF!</definedName>
    <definedName name="dsildl150_6_9">#REF!</definedName>
    <definedName name="dsildl150_7">#REF!</definedName>
    <definedName name="dsildl150_7_5">#REF!</definedName>
    <definedName name="dsildl150_9">#REF!</definedName>
    <definedName name="dsildl160">#REF!</definedName>
    <definedName name="dsildl160_1">#REF!</definedName>
    <definedName name="dsildl160_10">#REF!</definedName>
    <definedName name="dsildl160_11">#REF!</definedName>
    <definedName name="dsildl160_12">#REF!</definedName>
    <definedName name="dsildl160_13">#REF!</definedName>
    <definedName name="dsildl160_2">#REF!</definedName>
    <definedName name="dsildl160_2_1">#REF!</definedName>
    <definedName name="dsildl160_2_1_6">#REF!</definedName>
    <definedName name="dsildl160_2_5">#REF!</definedName>
    <definedName name="dsildl160_2_6">#REF!</definedName>
    <definedName name="dsildl160_2_7">#REF!</definedName>
    <definedName name="dsildl160_2_7_5">#REF!</definedName>
    <definedName name="dsildl160_3">#REF!</definedName>
    <definedName name="dsildl160_3_10">#REF!</definedName>
    <definedName name="dsildl160_3_11">#REF!</definedName>
    <definedName name="dsildl160_3_12">#REF!</definedName>
    <definedName name="dsildl160_3_13">#REF!</definedName>
    <definedName name="dsildl160_3_4">#REF!</definedName>
    <definedName name="dsildl160_3_4_5">#REF!</definedName>
    <definedName name="dsildl160_3_5">#REF!</definedName>
    <definedName name="dsildl160_3_6">#REF!</definedName>
    <definedName name="dsildl160_3_6_5">#REF!</definedName>
    <definedName name="dsildl160_3_7">#REF!</definedName>
    <definedName name="dsildl160_3_7_5">#REF!</definedName>
    <definedName name="dsildl160_3_9">#REF!</definedName>
    <definedName name="dsildl160_4">#REF!</definedName>
    <definedName name="dsildl160_4_1">#REF!</definedName>
    <definedName name="dsildl160_4_1_5">#REF!</definedName>
    <definedName name="dsildl160_4_10">#REF!</definedName>
    <definedName name="dsildl160_4_11">#REF!</definedName>
    <definedName name="dsildl160_4_12">#REF!</definedName>
    <definedName name="dsildl160_4_13">#REF!</definedName>
    <definedName name="dsildl160_4_2">#REF!</definedName>
    <definedName name="dsildl160_4_2_6">#REF!</definedName>
    <definedName name="dsildl160_4_4">#REF!</definedName>
    <definedName name="dsildl160_4_4_5">#REF!</definedName>
    <definedName name="dsildl160_4_5">#REF!</definedName>
    <definedName name="dsildl160_4_6">#REF!</definedName>
    <definedName name="dsildl160_4_6_5">#REF!</definedName>
    <definedName name="dsildl160_4_7">#REF!</definedName>
    <definedName name="dsildl160_4_7_5">#REF!</definedName>
    <definedName name="dsildl160_5">#REF!</definedName>
    <definedName name="dsildl160_5_2">#REF!</definedName>
    <definedName name="dsildl160_5_2_6">#REF!</definedName>
    <definedName name="dsildl160_5_4">#REF!</definedName>
    <definedName name="dsildl160_5_4_5">#REF!</definedName>
    <definedName name="dsildl160_5_5">#REF!</definedName>
    <definedName name="dsildl160_5_6">#REF!</definedName>
    <definedName name="dsildl160_5_6_5">#REF!</definedName>
    <definedName name="dsildl160_5_7">#REF!</definedName>
    <definedName name="dsildl160_5_7_5">#REF!</definedName>
    <definedName name="dsildl160_6">#REF!</definedName>
    <definedName name="dsildl160_6_1">#REF!</definedName>
    <definedName name="dsildl160_6_1_5">#REF!</definedName>
    <definedName name="dsildl160_6_10">#REF!</definedName>
    <definedName name="dsildl160_6_11">#REF!</definedName>
    <definedName name="dsildl160_6_12">#REF!</definedName>
    <definedName name="dsildl160_6_13">#REF!</definedName>
    <definedName name="dsildl160_6_4">#REF!</definedName>
    <definedName name="dsildl160_6_4_5">#REF!</definedName>
    <definedName name="dsildl160_6_5">#REF!</definedName>
    <definedName name="dsildl160_6_6">#REF!</definedName>
    <definedName name="dsildl160_6_6_5">#REF!</definedName>
    <definedName name="dsildl160_6_7">#REF!</definedName>
    <definedName name="dsildl160_6_7_5">#REF!</definedName>
    <definedName name="dsildl160_6_9">#REF!</definedName>
    <definedName name="dsildl160_7">#REF!</definedName>
    <definedName name="dsildl160_7_5">#REF!</definedName>
    <definedName name="dsildl160_9">#REF!</definedName>
    <definedName name="dsildl180">#REF!</definedName>
    <definedName name="dsildl180_1">#REF!</definedName>
    <definedName name="dsildl180_10">#REF!</definedName>
    <definedName name="dsildl180_11">#REF!</definedName>
    <definedName name="dsildl180_12">#REF!</definedName>
    <definedName name="dsildl180_13">#REF!</definedName>
    <definedName name="dsildl180_2">#REF!</definedName>
    <definedName name="dsildl180_2_1">#REF!</definedName>
    <definedName name="dsildl180_2_1_6">#REF!</definedName>
    <definedName name="dsildl180_2_5">#REF!</definedName>
    <definedName name="dsildl180_2_6">#REF!</definedName>
    <definedName name="dsildl180_2_7">#REF!</definedName>
    <definedName name="dsildl180_2_7_5">#REF!</definedName>
    <definedName name="dsildl180_3">#REF!</definedName>
    <definedName name="dsildl180_3_10">#REF!</definedName>
    <definedName name="dsildl180_3_11">#REF!</definedName>
    <definedName name="dsildl180_3_12">#REF!</definedName>
    <definedName name="dsildl180_3_13">#REF!</definedName>
    <definedName name="dsildl180_3_4">#REF!</definedName>
    <definedName name="dsildl180_3_4_5">#REF!</definedName>
    <definedName name="dsildl180_3_5">#REF!</definedName>
    <definedName name="dsildl180_3_6">#REF!</definedName>
    <definedName name="dsildl180_3_6_5">#REF!</definedName>
    <definedName name="dsildl180_3_7">#REF!</definedName>
    <definedName name="dsildl180_3_7_5">#REF!</definedName>
    <definedName name="dsildl180_3_9">#REF!</definedName>
    <definedName name="dsildl180_4">#REF!</definedName>
    <definedName name="dsildl180_4_1">#REF!</definedName>
    <definedName name="dsildl180_4_1_5">#REF!</definedName>
    <definedName name="dsildl180_4_10">#REF!</definedName>
    <definedName name="dsildl180_4_11">#REF!</definedName>
    <definedName name="dsildl180_4_12">#REF!</definedName>
    <definedName name="dsildl180_4_13">#REF!</definedName>
    <definedName name="dsildl180_4_2">#REF!</definedName>
    <definedName name="dsildl180_4_2_6">#REF!</definedName>
    <definedName name="dsildl180_4_4">#REF!</definedName>
    <definedName name="dsildl180_4_4_5">#REF!</definedName>
    <definedName name="dsildl180_4_5">#REF!</definedName>
    <definedName name="dsildl180_4_6">#REF!</definedName>
    <definedName name="dsildl180_4_6_5">#REF!</definedName>
    <definedName name="dsildl180_4_7">#REF!</definedName>
    <definedName name="dsildl180_4_7_5">#REF!</definedName>
    <definedName name="dsildl180_5">#REF!</definedName>
    <definedName name="dsildl180_5_2">#REF!</definedName>
    <definedName name="dsildl180_5_2_6">#REF!</definedName>
    <definedName name="dsildl180_5_4">#REF!</definedName>
    <definedName name="dsildl180_5_4_5">#REF!</definedName>
    <definedName name="dsildl180_5_5">#REF!</definedName>
    <definedName name="dsildl180_5_6">#REF!</definedName>
    <definedName name="dsildl180_5_6_5">#REF!</definedName>
    <definedName name="dsildl180_5_7">#REF!</definedName>
    <definedName name="dsildl180_5_7_5">#REF!</definedName>
    <definedName name="dsildl180_6">#REF!</definedName>
    <definedName name="dsildl180_6_1">#REF!</definedName>
    <definedName name="dsildl180_6_1_5">#REF!</definedName>
    <definedName name="dsildl180_6_10">#REF!</definedName>
    <definedName name="dsildl180_6_11">#REF!</definedName>
    <definedName name="dsildl180_6_12">#REF!</definedName>
    <definedName name="dsildl180_6_13">#REF!</definedName>
    <definedName name="dsildl180_6_4">#REF!</definedName>
    <definedName name="dsildl180_6_4_5">#REF!</definedName>
    <definedName name="dsildl180_6_5">#REF!</definedName>
    <definedName name="dsildl180_6_6">#REF!</definedName>
    <definedName name="dsildl180_6_6_5">#REF!</definedName>
    <definedName name="dsildl180_6_7">#REF!</definedName>
    <definedName name="dsildl180_6_7_5">#REF!</definedName>
    <definedName name="dsildl180_6_9">#REF!</definedName>
    <definedName name="dsildl180_7">#REF!</definedName>
    <definedName name="dsildl180_7_5">#REF!</definedName>
    <definedName name="dsildl180_9">#REF!</definedName>
    <definedName name="dsildl3100">#REF!</definedName>
    <definedName name="dsildl3100_1">#REF!</definedName>
    <definedName name="dsildl3100_10">#REF!</definedName>
    <definedName name="dsildl3100_11">#REF!</definedName>
    <definedName name="dsildl3100_12">#REF!</definedName>
    <definedName name="dsildl3100_13">#REF!</definedName>
    <definedName name="dsildl3100_2">#REF!</definedName>
    <definedName name="dsildl3100_2_1">#REF!</definedName>
    <definedName name="dsildl3100_2_5">#REF!</definedName>
    <definedName name="dsildl3100_2_6">#REF!</definedName>
    <definedName name="dsildl3100_3">#REF!</definedName>
    <definedName name="dsildl3100_3_10">#REF!</definedName>
    <definedName name="dsildl3100_3_11">#REF!</definedName>
    <definedName name="dsildl3100_3_12">#REF!</definedName>
    <definedName name="dsildl3100_3_13">#REF!</definedName>
    <definedName name="dsildl3100_3_4">#REF!</definedName>
    <definedName name="dsildl3100_3_4_5">#REF!</definedName>
    <definedName name="dsildl3100_3_5">#REF!</definedName>
    <definedName name="dsildl3100_3_6">#REF!</definedName>
    <definedName name="dsildl3100_3_6_5">#REF!</definedName>
    <definedName name="dsildl3100_3_7">#REF!</definedName>
    <definedName name="dsildl3100_3_7_5">#REF!</definedName>
    <definedName name="dsildl3100_3_9">#REF!</definedName>
    <definedName name="dsildl3100_4">#REF!</definedName>
    <definedName name="dsildl3100_4_1">#REF!</definedName>
    <definedName name="dsildl3100_4_1_5">#REF!</definedName>
    <definedName name="dsildl3100_4_10">#REF!</definedName>
    <definedName name="dsildl3100_4_11">#REF!</definedName>
    <definedName name="dsildl3100_4_12">#REF!</definedName>
    <definedName name="dsildl3100_4_13">#REF!</definedName>
    <definedName name="dsildl3100_4_2">#REF!</definedName>
    <definedName name="dsildl3100_4_2_6">#REF!</definedName>
    <definedName name="dsildl3100_4_4">#REF!</definedName>
    <definedName name="dsildl3100_4_4_5">#REF!</definedName>
    <definedName name="dsildl3100_4_5">#REF!</definedName>
    <definedName name="dsildl3100_4_6">#REF!</definedName>
    <definedName name="dsildl3100_4_6_5">#REF!</definedName>
    <definedName name="dsildl3100_4_7">#REF!</definedName>
    <definedName name="dsildl3100_4_7_5">#REF!</definedName>
    <definedName name="dsildl3100_5">#REF!</definedName>
    <definedName name="dsildl3100_5_2">#REF!</definedName>
    <definedName name="dsildl3100_5_2_6">#REF!</definedName>
    <definedName name="dsildl3100_5_4">#REF!</definedName>
    <definedName name="dsildl3100_5_4_5">#REF!</definedName>
    <definedName name="dsildl3100_5_5">#REF!</definedName>
    <definedName name="dsildl3100_5_6">#REF!</definedName>
    <definedName name="dsildl3100_5_6_5">#REF!</definedName>
    <definedName name="dsildl3100_5_7">#REF!</definedName>
    <definedName name="dsildl3100_5_7_5">#REF!</definedName>
    <definedName name="dsildl3100_6">#REF!</definedName>
    <definedName name="dsildl3100_6_1">#REF!</definedName>
    <definedName name="dsildl3100_6_1_5">#REF!</definedName>
    <definedName name="dsildl3100_6_10">#REF!</definedName>
    <definedName name="dsildl3100_6_11">#REF!</definedName>
    <definedName name="dsildl3100_6_12">#REF!</definedName>
    <definedName name="dsildl3100_6_13">#REF!</definedName>
    <definedName name="dsildl3100_6_4">#REF!</definedName>
    <definedName name="dsildl3100_6_4_5">#REF!</definedName>
    <definedName name="dsildl3100_6_5">#REF!</definedName>
    <definedName name="dsildl3100_6_6">#REF!</definedName>
    <definedName name="dsildl3100_6_6_5">#REF!</definedName>
    <definedName name="dsildl3100_6_7">#REF!</definedName>
    <definedName name="dsildl3100_6_7_5">#REF!</definedName>
    <definedName name="dsildl3100_6_9">#REF!</definedName>
    <definedName name="dsildl3100_7">#REF!</definedName>
    <definedName name="dsildl3100_7_5">#REF!</definedName>
    <definedName name="dsildl3100_9">#REF!</definedName>
    <definedName name="dsildl3120">#REF!</definedName>
    <definedName name="dsildl3120_1">#REF!</definedName>
    <definedName name="dsildl3120_10">#REF!</definedName>
    <definedName name="dsildl3120_11">#REF!</definedName>
    <definedName name="dsildl3120_12">#REF!</definedName>
    <definedName name="dsildl3120_13">#REF!</definedName>
    <definedName name="dsildl3120_2">#REF!</definedName>
    <definedName name="dsildl3120_2_1">#REF!</definedName>
    <definedName name="dsildl3120_2_5">#REF!</definedName>
    <definedName name="dsildl3120_2_6">#REF!</definedName>
    <definedName name="dsildl3120_3">#REF!</definedName>
    <definedName name="dsildl3120_3_10">#REF!</definedName>
    <definedName name="dsildl3120_3_11">#REF!</definedName>
    <definedName name="dsildl3120_3_12">#REF!</definedName>
    <definedName name="dsildl3120_3_13">#REF!</definedName>
    <definedName name="dsildl3120_3_4">#REF!</definedName>
    <definedName name="dsildl3120_3_4_5">#REF!</definedName>
    <definedName name="dsildl3120_3_5">#REF!</definedName>
    <definedName name="dsildl3120_3_6">#REF!</definedName>
    <definedName name="dsildl3120_3_6_5">#REF!</definedName>
    <definedName name="dsildl3120_3_7">#REF!</definedName>
    <definedName name="dsildl3120_3_7_5">#REF!</definedName>
    <definedName name="dsildl3120_3_9">#REF!</definedName>
    <definedName name="dsildl3120_4">#REF!</definedName>
    <definedName name="dsildl3120_4_1">#REF!</definedName>
    <definedName name="dsildl3120_4_1_5">#REF!</definedName>
    <definedName name="dsildl3120_4_10">#REF!</definedName>
    <definedName name="dsildl3120_4_11">#REF!</definedName>
    <definedName name="dsildl3120_4_12">#REF!</definedName>
    <definedName name="dsildl3120_4_13">#REF!</definedName>
    <definedName name="dsildl3120_4_2">#REF!</definedName>
    <definedName name="dsildl3120_4_2_6">#REF!</definedName>
    <definedName name="dsildl3120_4_4">#REF!</definedName>
    <definedName name="dsildl3120_4_4_5">#REF!</definedName>
    <definedName name="dsildl3120_4_5">#REF!</definedName>
    <definedName name="dsildl3120_4_6">#REF!</definedName>
    <definedName name="dsildl3120_4_6_5">#REF!</definedName>
    <definedName name="dsildl3120_4_7">#REF!</definedName>
    <definedName name="dsildl3120_4_7_5">#REF!</definedName>
    <definedName name="dsildl3120_5">#REF!</definedName>
    <definedName name="dsildl3120_5_2">#REF!</definedName>
    <definedName name="dsildl3120_5_2_6">#REF!</definedName>
    <definedName name="dsildl3120_5_4">#REF!</definedName>
    <definedName name="dsildl3120_5_4_5">#REF!</definedName>
    <definedName name="dsildl3120_5_5">#REF!</definedName>
    <definedName name="dsildl3120_5_6">#REF!</definedName>
    <definedName name="dsildl3120_5_6_5">#REF!</definedName>
    <definedName name="dsildl3120_5_7">#REF!</definedName>
    <definedName name="dsildl3120_5_7_5">#REF!</definedName>
    <definedName name="dsildl3120_6">#REF!</definedName>
    <definedName name="dsildl3120_6_1">#REF!</definedName>
    <definedName name="dsildl3120_6_1_5">#REF!</definedName>
    <definedName name="dsildl3120_6_10">#REF!</definedName>
    <definedName name="dsildl3120_6_11">#REF!</definedName>
    <definedName name="dsildl3120_6_12">#REF!</definedName>
    <definedName name="dsildl3120_6_13">#REF!</definedName>
    <definedName name="dsildl3120_6_4">#REF!</definedName>
    <definedName name="dsildl3120_6_4_5">#REF!</definedName>
    <definedName name="dsildl3120_6_5">#REF!</definedName>
    <definedName name="dsildl3120_6_6">#REF!</definedName>
    <definedName name="dsildl3120_6_6_5">#REF!</definedName>
    <definedName name="dsildl3120_6_7">#REF!</definedName>
    <definedName name="dsildl3120_6_7_5">#REF!</definedName>
    <definedName name="dsildl3120_6_9">#REF!</definedName>
    <definedName name="dsildl3120_7">#REF!</definedName>
    <definedName name="dsildl3120_7_5">#REF!</definedName>
    <definedName name="dsildl3120_9">#REF!</definedName>
    <definedName name="dsildl350">#REF!</definedName>
    <definedName name="dsildl350_1">#REF!</definedName>
    <definedName name="dsildl350_10">#REF!</definedName>
    <definedName name="dsildl350_11">#REF!</definedName>
    <definedName name="dsildl350_12">#REF!</definedName>
    <definedName name="dsildl350_13">#REF!</definedName>
    <definedName name="dsildl350_2">#REF!</definedName>
    <definedName name="dsildl350_2_1">#REF!</definedName>
    <definedName name="dsildl350_2_5">#REF!</definedName>
    <definedName name="dsildl350_2_6">#REF!</definedName>
    <definedName name="dsildl350_3">#REF!</definedName>
    <definedName name="dsildl350_3_10">#REF!</definedName>
    <definedName name="dsildl350_3_11">#REF!</definedName>
    <definedName name="dsildl350_3_12">#REF!</definedName>
    <definedName name="dsildl350_3_13">#REF!</definedName>
    <definedName name="dsildl350_3_4">#REF!</definedName>
    <definedName name="dsildl350_3_4_5">#REF!</definedName>
    <definedName name="dsildl350_3_5">#REF!</definedName>
    <definedName name="dsildl350_3_6">#REF!</definedName>
    <definedName name="dsildl350_3_6_5">#REF!</definedName>
    <definedName name="dsildl350_3_7">#REF!</definedName>
    <definedName name="dsildl350_3_7_5">#REF!</definedName>
    <definedName name="dsildl350_3_9">#REF!</definedName>
    <definedName name="dsildl350_4">#REF!</definedName>
    <definedName name="dsildl350_4_1">#REF!</definedName>
    <definedName name="dsildl350_4_1_5">#REF!</definedName>
    <definedName name="dsildl350_4_10">#REF!</definedName>
    <definedName name="dsildl350_4_11">#REF!</definedName>
    <definedName name="dsildl350_4_12">#REF!</definedName>
    <definedName name="dsildl350_4_13">#REF!</definedName>
    <definedName name="dsildl350_4_2">#REF!</definedName>
    <definedName name="dsildl350_4_2_6">#REF!</definedName>
    <definedName name="dsildl350_4_4">#REF!</definedName>
    <definedName name="dsildl350_4_4_5">#REF!</definedName>
    <definedName name="dsildl350_4_5">#REF!</definedName>
    <definedName name="dsildl350_4_6">#REF!</definedName>
    <definedName name="dsildl350_4_6_5">#REF!</definedName>
    <definedName name="dsildl350_4_7">#REF!</definedName>
    <definedName name="dsildl350_4_7_5">#REF!</definedName>
    <definedName name="dsildl350_5">#REF!</definedName>
    <definedName name="dsildl350_5_2">#REF!</definedName>
    <definedName name="dsildl350_5_2_6">#REF!</definedName>
    <definedName name="dsildl350_5_4">#REF!</definedName>
    <definedName name="dsildl350_5_4_5">#REF!</definedName>
    <definedName name="dsildl350_5_5">#REF!</definedName>
    <definedName name="dsildl350_5_6">#REF!</definedName>
    <definedName name="dsildl350_5_6_5">#REF!</definedName>
    <definedName name="dsildl350_5_7">#REF!</definedName>
    <definedName name="dsildl350_5_7_5">#REF!</definedName>
    <definedName name="dsildl350_6">#REF!</definedName>
    <definedName name="dsildl350_6_1">#REF!</definedName>
    <definedName name="dsildl350_6_1_5">#REF!</definedName>
    <definedName name="dsildl350_6_10">#REF!</definedName>
    <definedName name="dsildl350_6_11">#REF!</definedName>
    <definedName name="dsildl350_6_12">#REF!</definedName>
    <definedName name="dsildl350_6_13">#REF!</definedName>
    <definedName name="dsildl350_6_4">#REF!</definedName>
    <definedName name="dsildl350_6_4_5">#REF!</definedName>
    <definedName name="dsildl350_6_5">#REF!</definedName>
    <definedName name="dsildl350_6_6">#REF!</definedName>
    <definedName name="dsildl350_6_6_5">#REF!</definedName>
    <definedName name="dsildl350_6_7">#REF!</definedName>
    <definedName name="dsildl350_6_7_5">#REF!</definedName>
    <definedName name="dsildl350_6_9">#REF!</definedName>
    <definedName name="dsildl350_7">#REF!</definedName>
    <definedName name="dsildl350_7_5">#REF!</definedName>
    <definedName name="dsildl350_9">#REF!</definedName>
    <definedName name="dsildl360">#REF!</definedName>
    <definedName name="dsildl360_1">#REF!</definedName>
    <definedName name="dsildl360_10">#REF!</definedName>
    <definedName name="dsildl360_11">#REF!</definedName>
    <definedName name="dsildl360_12">#REF!</definedName>
    <definedName name="dsildl360_13">#REF!</definedName>
    <definedName name="dsildl360_2">#REF!</definedName>
    <definedName name="dsildl360_2_1">#REF!</definedName>
    <definedName name="dsildl360_2_5">#REF!</definedName>
    <definedName name="dsildl360_2_6">#REF!</definedName>
    <definedName name="dsildl360_3">#REF!</definedName>
    <definedName name="dsildl360_3_10">#REF!</definedName>
    <definedName name="dsildl360_3_11">#REF!</definedName>
    <definedName name="dsildl360_3_12">#REF!</definedName>
    <definedName name="dsildl360_3_13">#REF!</definedName>
    <definedName name="dsildl360_3_4">#REF!</definedName>
    <definedName name="dsildl360_3_4_5">#REF!</definedName>
    <definedName name="dsildl360_3_5">#REF!</definedName>
    <definedName name="dsildl360_3_6">#REF!</definedName>
    <definedName name="dsildl360_3_6_5">#REF!</definedName>
    <definedName name="dsildl360_3_7">#REF!</definedName>
    <definedName name="dsildl360_3_7_5">#REF!</definedName>
    <definedName name="dsildl360_3_9">#REF!</definedName>
    <definedName name="dsildl360_4">#REF!</definedName>
    <definedName name="dsildl360_4_1">#REF!</definedName>
    <definedName name="dsildl360_4_1_5">#REF!</definedName>
    <definedName name="dsildl360_4_10">#REF!</definedName>
    <definedName name="dsildl360_4_11">#REF!</definedName>
    <definedName name="dsildl360_4_12">#REF!</definedName>
    <definedName name="dsildl360_4_13">#REF!</definedName>
    <definedName name="dsildl360_4_2">#REF!</definedName>
    <definedName name="dsildl360_4_2_6">#REF!</definedName>
    <definedName name="dsildl360_4_4">#REF!</definedName>
    <definedName name="dsildl360_4_4_5">#REF!</definedName>
    <definedName name="dsildl360_4_5">#REF!</definedName>
    <definedName name="dsildl360_4_6">#REF!</definedName>
    <definedName name="dsildl360_4_6_5">#REF!</definedName>
    <definedName name="dsildl360_4_7">#REF!</definedName>
    <definedName name="dsildl360_4_7_5">#REF!</definedName>
    <definedName name="dsildl360_5">#REF!</definedName>
    <definedName name="dsildl360_5_2">#REF!</definedName>
    <definedName name="dsildl360_5_2_6">#REF!</definedName>
    <definedName name="dsildl360_5_4">#REF!</definedName>
    <definedName name="dsildl360_5_4_5">#REF!</definedName>
    <definedName name="dsildl360_5_5">#REF!</definedName>
    <definedName name="dsildl360_5_6">#REF!</definedName>
    <definedName name="dsildl360_5_6_5">#REF!</definedName>
    <definedName name="dsildl360_5_7">#REF!</definedName>
    <definedName name="dsildl360_5_7_5">#REF!</definedName>
    <definedName name="dsildl360_6">#REF!</definedName>
    <definedName name="dsildl360_6_1">#REF!</definedName>
    <definedName name="dsildl360_6_1_5">#REF!</definedName>
    <definedName name="dsildl360_6_10">#REF!</definedName>
    <definedName name="dsildl360_6_11">#REF!</definedName>
    <definedName name="dsildl360_6_12">#REF!</definedName>
    <definedName name="dsildl360_6_13">#REF!</definedName>
    <definedName name="dsildl360_6_4">#REF!</definedName>
    <definedName name="dsildl360_6_4_5">#REF!</definedName>
    <definedName name="dsildl360_6_5">#REF!</definedName>
    <definedName name="dsildl360_6_6">#REF!</definedName>
    <definedName name="dsildl360_6_6_5">#REF!</definedName>
    <definedName name="dsildl360_6_7">#REF!</definedName>
    <definedName name="dsildl360_6_7_5">#REF!</definedName>
    <definedName name="dsildl360_6_9">#REF!</definedName>
    <definedName name="dsildl360_7">#REF!</definedName>
    <definedName name="dsildl360_7_5">#REF!</definedName>
    <definedName name="dsildl360_9">#REF!</definedName>
    <definedName name="dsildl380">#REF!</definedName>
    <definedName name="dsildl380_1">#REF!</definedName>
    <definedName name="dsildl380_10">#REF!</definedName>
    <definedName name="dsildl380_11">#REF!</definedName>
    <definedName name="dsildl380_12">#REF!</definedName>
    <definedName name="dsildl380_13">#REF!</definedName>
    <definedName name="dsildl380_2">#REF!</definedName>
    <definedName name="dsildl380_2_1">#REF!</definedName>
    <definedName name="dsildl380_2_5">#REF!</definedName>
    <definedName name="dsildl380_2_6">#REF!</definedName>
    <definedName name="dsildl380_3">#REF!</definedName>
    <definedName name="dsildl380_3_10">#REF!</definedName>
    <definedName name="dsildl380_3_11">#REF!</definedName>
    <definedName name="dsildl380_3_12">#REF!</definedName>
    <definedName name="dsildl380_3_13">#REF!</definedName>
    <definedName name="dsildl380_3_4">#REF!</definedName>
    <definedName name="dsildl380_3_4_5">#REF!</definedName>
    <definedName name="dsildl380_3_5">#REF!</definedName>
    <definedName name="dsildl380_3_6">#REF!</definedName>
    <definedName name="dsildl380_3_6_5">#REF!</definedName>
    <definedName name="dsildl380_3_7">#REF!</definedName>
    <definedName name="dsildl380_3_7_5">#REF!</definedName>
    <definedName name="dsildl380_3_9">#REF!</definedName>
    <definedName name="dsildl380_4">#REF!</definedName>
    <definedName name="dsildl380_4_1">#REF!</definedName>
    <definedName name="dsildl380_4_1_5">#REF!</definedName>
    <definedName name="dsildl380_4_10">#REF!</definedName>
    <definedName name="dsildl380_4_11">#REF!</definedName>
    <definedName name="dsildl380_4_12">#REF!</definedName>
    <definedName name="dsildl380_4_13">#REF!</definedName>
    <definedName name="dsildl380_4_2">#REF!</definedName>
    <definedName name="dsildl380_4_2_6">#REF!</definedName>
    <definedName name="dsildl380_4_4">#REF!</definedName>
    <definedName name="dsildl380_4_4_5">#REF!</definedName>
    <definedName name="dsildl380_4_5">#REF!</definedName>
    <definedName name="dsildl380_4_6">#REF!</definedName>
    <definedName name="dsildl380_4_6_5">#REF!</definedName>
    <definedName name="dsildl380_4_7">#REF!</definedName>
    <definedName name="dsildl380_4_7_5">#REF!</definedName>
    <definedName name="dsildl380_5">#REF!</definedName>
    <definedName name="dsildl380_5_2">#REF!</definedName>
    <definedName name="dsildl380_5_2_6">#REF!</definedName>
    <definedName name="dsildl380_5_4">#REF!</definedName>
    <definedName name="dsildl380_5_4_5">#REF!</definedName>
    <definedName name="dsildl380_5_5">#REF!</definedName>
    <definedName name="dsildl380_5_6">#REF!</definedName>
    <definedName name="dsildl380_5_6_5">#REF!</definedName>
    <definedName name="dsildl380_5_7">#REF!</definedName>
    <definedName name="dsildl380_5_7_5">#REF!</definedName>
    <definedName name="dsildl380_6">#REF!</definedName>
    <definedName name="dsildl380_6_1">#REF!</definedName>
    <definedName name="dsildl380_6_1_5">#REF!</definedName>
    <definedName name="dsildl380_6_10">#REF!</definedName>
    <definedName name="dsildl380_6_11">#REF!</definedName>
    <definedName name="dsildl380_6_12">#REF!</definedName>
    <definedName name="dsildl380_6_13">#REF!</definedName>
    <definedName name="dsildl380_6_4">#REF!</definedName>
    <definedName name="dsildl380_6_4_5">#REF!</definedName>
    <definedName name="dsildl380_6_5">#REF!</definedName>
    <definedName name="dsildl380_6_6">#REF!</definedName>
    <definedName name="dsildl380_6_6_5">#REF!</definedName>
    <definedName name="dsildl380_6_7">#REF!</definedName>
    <definedName name="dsildl380_6_7_5">#REF!</definedName>
    <definedName name="dsildl380_6_9">#REF!</definedName>
    <definedName name="dsildl380_7">#REF!</definedName>
    <definedName name="dsildl380_7_5">#REF!</definedName>
    <definedName name="dsildl380_9">#REF!</definedName>
    <definedName name="dsildl3a100">#REF!</definedName>
    <definedName name="dsildl3a100_1">#REF!</definedName>
    <definedName name="dsildl3a100_10">#REF!</definedName>
    <definedName name="dsildl3a100_11">#REF!</definedName>
    <definedName name="dsildl3a100_12">#REF!</definedName>
    <definedName name="dsildl3a100_13">#REF!</definedName>
    <definedName name="dsildl3a100_2">#REF!</definedName>
    <definedName name="dsildl3a100_2_1">#REF!</definedName>
    <definedName name="dsildl3a100_2_1_6">#REF!</definedName>
    <definedName name="dsildl3a100_2_5">#REF!</definedName>
    <definedName name="dsildl3a100_2_6">#REF!</definedName>
    <definedName name="dsildl3a100_3">#REF!</definedName>
    <definedName name="dsildl3a100_3_10">#REF!</definedName>
    <definedName name="dsildl3a100_3_11">#REF!</definedName>
    <definedName name="dsildl3a100_3_12">#REF!</definedName>
    <definedName name="dsildl3a100_3_13">#REF!</definedName>
    <definedName name="dsildl3a100_3_4">#REF!</definedName>
    <definedName name="dsildl3a100_3_4_5">#REF!</definedName>
    <definedName name="dsildl3a100_3_5">#REF!</definedName>
    <definedName name="dsildl3a100_3_6">#REF!</definedName>
    <definedName name="dsildl3a100_3_6_5">#REF!</definedName>
    <definedName name="dsildl3a100_3_7">#REF!</definedName>
    <definedName name="dsildl3a100_3_7_5">#REF!</definedName>
    <definedName name="dsildl3a100_3_9">#REF!</definedName>
    <definedName name="dsildl3a100_4">#REF!</definedName>
    <definedName name="dsildl3a100_4_1">#REF!</definedName>
    <definedName name="dsildl3a100_4_1_5">#REF!</definedName>
    <definedName name="dsildl3a100_4_10">#REF!</definedName>
    <definedName name="dsildl3a100_4_11">#REF!</definedName>
    <definedName name="dsildl3a100_4_12">#REF!</definedName>
    <definedName name="dsildl3a100_4_13">#REF!</definedName>
    <definedName name="dsildl3a100_4_2">#REF!</definedName>
    <definedName name="dsildl3a100_4_2_6">#REF!</definedName>
    <definedName name="dsildl3a100_4_4">#REF!</definedName>
    <definedName name="dsildl3a100_4_4_5">#REF!</definedName>
    <definedName name="dsildl3a100_4_5">#REF!</definedName>
    <definedName name="dsildl3a100_4_6">#REF!</definedName>
    <definedName name="dsildl3a100_4_6_5">#REF!</definedName>
    <definedName name="dsildl3a100_4_7">#REF!</definedName>
    <definedName name="dsildl3a100_4_7_5">#REF!</definedName>
    <definedName name="dsildl3a100_5">#REF!</definedName>
    <definedName name="dsildl3a100_5_2">#REF!</definedName>
    <definedName name="dsildl3a100_5_2_6">#REF!</definedName>
    <definedName name="dsildl3a100_5_4">#REF!</definedName>
    <definedName name="dsildl3a100_5_4_5">#REF!</definedName>
    <definedName name="dsildl3a100_5_5">#REF!</definedName>
    <definedName name="dsildl3a100_5_6">#REF!</definedName>
    <definedName name="dsildl3a100_5_6_5">#REF!</definedName>
    <definedName name="dsildl3a100_5_7">#REF!</definedName>
    <definedName name="dsildl3a100_5_7_5">#REF!</definedName>
    <definedName name="dsildl3a100_6">#REF!</definedName>
    <definedName name="dsildl3a100_6_1">#REF!</definedName>
    <definedName name="dsildl3a100_6_1_5">#REF!</definedName>
    <definedName name="dsildl3a100_6_10">#REF!</definedName>
    <definedName name="dsildl3a100_6_11">#REF!</definedName>
    <definedName name="dsildl3a100_6_12">#REF!</definedName>
    <definedName name="dsildl3a100_6_13">#REF!</definedName>
    <definedName name="dsildl3a100_6_4">#REF!</definedName>
    <definedName name="dsildl3a100_6_4_5">#REF!</definedName>
    <definedName name="dsildl3a100_6_5">#REF!</definedName>
    <definedName name="dsildl3a100_6_6">#REF!</definedName>
    <definedName name="dsildl3a100_6_6_5">#REF!</definedName>
    <definedName name="dsildl3a100_6_7">#REF!</definedName>
    <definedName name="dsildl3a100_6_7_5">#REF!</definedName>
    <definedName name="dsildl3a100_6_9">#REF!</definedName>
    <definedName name="dsildl3a100_7">#REF!</definedName>
    <definedName name="dsildl3a100_7_5">#REF!</definedName>
    <definedName name="dsildl3a100_9">#REF!</definedName>
    <definedName name="dsildl3a120">#REF!</definedName>
    <definedName name="dsildl3a120_1">#REF!</definedName>
    <definedName name="dsildl3a120_10">#REF!</definedName>
    <definedName name="dsildl3a120_11">#REF!</definedName>
    <definedName name="dsildl3a120_12">#REF!</definedName>
    <definedName name="dsildl3a120_13">#REF!</definedName>
    <definedName name="dsildl3a120_2">#REF!</definedName>
    <definedName name="dsildl3a120_2_1">#REF!</definedName>
    <definedName name="dsildl3a120_2_1_6">#REF!</definedName>
    <definedName name="dsildl3a120_2_5">#REF!</definedName>
    <definedName name="dsildl3a120_2_6">#REF!</definedName>
    <definedName name="dsildl3a120_3">#REF!</definedName>
    <definedName name="dsildl3a120_3_10">#REF!</definedName>
    <definedName name="dsildl3a120_3_11">#REF!</definedName>
    <definedName name="dsildl3a120_3_12">#REF!</definedName>
    <definedName name="dsildl3a120_3_13">#REF!</definedName>
    <definedName name="dsildl3a120_3_4">#REF!</definedName>
    <definedName name="dsildl3a120_3_4_5">#REF!</definedName>
    <definedName name="dsildl3a120_3_5">#REF!</definedName>
    <definedName name="dsildl3a120_3_6">#REF!</definedName>
    <definedName name="dsildl3a120_3_6_5">#REF!</definedName>
    <definedName name="dsildl3a120_3_7">#REF!</definedName>
    <definedName name="dsildl3a120_3_7_5">#REF!</definedName>
    <definedName name="dsildl3a120_3_9">#REF!</definedName>
    <definedName name="dsildl3a120_4">#REF!</definedName>
    <definedName name="dsildl3a120_4_1">#REF!</definedName>
    <definedName name="dsildl3a120_4_1_5">#REF!</definedName>
    <definedName name="dsildl3a120_4_10">#REF!</definedName>
    <definedName name="dsildl3a120_4_11">#REF!</definedName>
    <definedName name="dsildl3a120_4_12">#REF!</definedName>
    <definedName name="dsildl3a120_4_13">#REF!</definedName>
    <definedName name="dsildl3a120_4_2">#REF!</definedName>
    <definedName name="dsildl3a120_4_2_6">#REF!</definedName>
    <definedName name="dsildl3a120_4_4">#REF!</definedName>
    <definedName name="dsildl3a120_4_4_5">#REF!</definedName>
    <definedName name="dsildl3a120_4_5">#REF!</definedName>
    <definedName name="dsildl3a120_4_6">#REF!</definedName>
    <definedName name="dsildl3a120_4_6_5">#REF!</definedName>
    <definedName name="dsildl3a120_4_7">#REF!</definedName>
    <definedName name="dsildl3a120_4_7_5">#REF!</definedName>
    <definedName name="dsildl3a120_5">#REF!</definedName>
    <definedName name="dsildl3a120_5_2">#REF!</definedName>
    <definedName name="dsildl3a120_5_2_6">#REF!</definedName>
    <definedName name="dsildl3a120_5_4">#REF!</definedName>
    <definedName name="dsildl3a120_5_4_5">#REF!</definedName>
    <definedName name="dsildl3a120_5_5">#REF!</definedName>
    <definedName name="dsildl3a120_5_6">#REF!</definedName>
    <definedName name="dsildl3a120_5_6_5">#REF!</definedName>
    <definedName name="dsildl3a120_5_7">#REF!</definedName>
    <definedName name="dsildl3a120_5_7_5">#REF!</definedName>
    <definedName name="dsildl3a120_6">#REF!</definedName>
    <definedName name="dsildl3a120_6_1">#REF!</definedName>
    <definedName name="dsildl3a120_6_1_5">#REF!</definedName>
    <definedName name="dsildl3a120_6_10">#REF!</definedName>
    <definedName name="dsildl3a120_6_11">#REF!</definedName>
    <definedName name="dsildl3a120_6_12">#REF!</definedName>
    <definedName name="dsildl3a120_6_13">#REF!</definedName>
    <definedName name="dsildl3a120_6_4">#REF!</definedName>
    <definedName name="dsildl3a120_6_4_5">#REF!</definedName>
    <definedName name="dsildl3a120_6_5">#REF!</definedName>
    <definedName name="dsildl3a120_6_6">#REF!</definedName>
    <definedName name="dsildl3a120_6_6_5">#REF!</definedName>
    <definedName name="dsildl3a120_6_7">#REF!</definedName>
    <definedName name="dsildl3a120_6_7_5">#REF!</definedName>
    <definedName name="dsildl3a120_6_9">#REF!</definedName>
    <definedName name="dsildl3a120_7">#REF!</definedName>
    <definedName name="dsildl3a120_7_5">#REF!</definedName>
    <definedName name="dsildl3a120_9">#REF!</definedName>
    <definedName name="dsildl3a50">#REF!</definedName>
    <definedName name="dsildl3a50_1">#REF!</definedName>
    <definedName name="dsildl3a50_10">#REF!</definedName>
    <definedName name="dsildl3a50_11">#REF!</definedName>
    <definedName name="dsildl3a50_12">#REF!</definedName>
    <definedName name="dsildl3a50_13">#REF!</definedName>
    <definedName name="dsildl3a50_2">#REF!</definedName>
    <definedName name="dsildl3a50_2_1">#REF!</definedName>
    <definedName name="dsildl3a50_2_1_6">#REF!</definedName>
    <definedName name="dsildl3a50_2_5">#REF!</definedName>
    <definedName name="dsildl3a50_2_6">#REF!</definedName>
    <definedName name="dsildl3a50_3">#REF!</definedName>
    <definedName name="dsildl3a50_3_10">#REF!</definedName>
    <definedName name="dsildl3a50_3_11">#REF!</definedName>
    <definedName name="dsildl3a50_3_12">#REF!</definedName>
    <definedName name="dsildl3a50_3_13">#REF!</definedName>
    <definedName name="dsildl3a50_3_4">#REF!</definedName>
    <definedName name="dsildl3a50_3_4_5">#REF!</definedName>
    <definedName name="dsildl3a50_3_5">#REF!</definedName>
    <definedName name="dsildl3a50_3_6">#REF!</definedName>
    <definedName name="dsildl3a50_3_6_5">#REF!</definedName>
    <definedName name="dsildl3a50_3_7">#REF!</definedName>
    <definedName name="dsildl3a50_3_7_5">#REF!</definedName>
    <definedName name="dsildl3a50_3_9">#REF!</definedName>
    <definedName name="dsildl3a50_4">#REF!</definedName>
    <definedName name="dsildl3a50_4_1">#REF!</definedName>
    <definedName name="dsildl3a50_4_1_5">#REF!</definedName>
    <definedName name="dsildl3a50_4_10">#REF!</definedName>
    <definedName name="dsildl3a50_4_11">#REF!</definedName>
    <definedName name="dsildl3a50_4_12">#REF!</definedName>
    <definedName name="dsildl3a50_4_13">#REF!</definedName>
    <definedName name="dsildl3a50_4_2">#REF!</definedName>
    <definedName name="dsildl3a50_4_2_6">#REF!</definedName>
    <definedName name="dsildl3a50_4_4">#REF!</definedName>
    <definedName name="dsildl3a50_4_4_5">#REF!</definedName>
    <definedName name="dsildl3a50_4_5">#REF!</definedName>
    <definedName name="dsildl3a50_4_6">#REF!</definedName>
    <definedName name="dsildl3a50_4_6_5">#REF!</definedName>
    <definedName name="dsildl3a50_4_7">#REF!</definedName>
    <definedName name="dsildl3a50_4_7_5">#REF!</definedName>
    <definedName name="dsildl3a50_5">#REF!</definedName>
    <definedName name="dsildl3a50_5_2">#REF!</definedName>
    <definedName name="dsildl3a50_5_2_6">#REF!</definedName>
    <definedName name="dsildl3a50_5_4">#REF!</definedName>
    <definedName name="dsildl3a50_5_4_5">#REF!</definedName>
    <definedName name="dsildl3a50_5_5">#REF!</definedName>
    <definedName name="dsildl3a50_5_6">#REF!</definedName>
    <definedName name="dsildl3a50_5_6_5">#REF!</definedName>
    <definedName name="dsildl3a50_5_7">#REF!</definedName>
    <definedName name="dsildl3a50_5_7_5">#REF!</definedName>
    <definedName name="dsildl3a50_6">#REF!</definedName>
    <definedName name="dsildl3a50_6_1">#REF!</definedName>
    <definedName name="dsildl3a50_6_1_5">#REF!</definedName>
    <definedName name="dsildl3a50_6_10">#REF!</definedName>
    <definedName name="dsildl3a50_6_11">#REF!</definedName>
    <definedName name="dsildl3a50_6_12">#REF!</definedName>
    <definedName name="dsildl3a50_6_13">#REF!</definedName>
    <definedName name="dsildl3a50_6_4">#REF!</definedName>
    <definedName name="dsildl3a50_6_4_5">#REF!</definedName>
    <definedName name="dsildl3a50_6_5">#REF!</definedName>
    <definedName name="dsildl3a50_6_6">#REF!</definedName>
    <definedName name="dsildl3a50_6_6_5">#REF!</definedName>
    <definedName name="dsildl3a50_6_7">#REF!</definedName>
    <definedName name="dsildl3a50_6_7_5">#REF!</definedName>
    <definedName name="dsildl3a50_6_9">#REF!</definedName>
    <definedName name="dsildl3a50_7">#REF!</definedName>
    <definedName name="dsildl3a50_7_5">#REF!</definedName>
    <definedName name="dsildl3a50_9">#REF!</definedName>
    <definedName name="dsildl3a60">#REF!</definedName>
    <definedName name="dsildl3a60_1">#REF!</definedName>
    <definedName name="dsildl3a60_10">#REF!</definedName>
    <definedName name="dsildl3a60_11">#REF!</definedName>
    <definedName name="dsildl3a60_12">#REF!</definedName>
    <definedName name="dsildl3a60_13">#REF!</definedName>
    <definedName name="dsildl3a60_2">#REF!</definedName>
    <definedName name="dsildl3a60_2_1">#REF!</definedName>
    <definedName name="dsildl3a60_2_1_6">#REF!</definedName>
    <definedName name="dsildl3a60_2_5">#REF!</definedName>
    <definedName name="dsildl3a60_2_6">#REF!</definedName>
    <definedName name="dsildl3a60_3">#REF!</definedName>
    <definedName name="dsildl3a60_3_10">#REF!</definedName>
    <definedName name="dsildl3a60_3_11">#REF!</definedName>
    <definedName name="dsildl3a60_3_12">#REF!</definedName>
    <definedName name="dsildl3a60_3_13">#REF!</definedName>
    <definedName name="dsildl3a60_3_4">#REF!</definedName>
    <definedName name="dsildl3a60_3_4_5">#REF!</definedName>
    <definedName name="dsildl3a60_3_5">#REF!</definedName>
    <definedName name="dsildl3a60_3_6">#REF!</definedName>
    <definedName name="dsildl3a60_3_6_5">#REF!</definedName>
    <definedName name="dsildl3a60_3_7">#REF!</definedName>
    <definedName name="dsildl3a60_3_7_5">#REF!</definedName>
    <definedName name="dsildl3a60_3_9">#REF!</definedName>
    <definedName name="dsildl3a60_4">#REF!</definedName>
    <definedName name="dsildl3a60_4_1">#REF!</definedName>
    <definedName name="dsildl3a60_4_1_5">#REF!</definedName>
    <definedName name="dsildl3a60_4_10">#REF!</definedName>
    <definedName name="dsildl3a60_4_11">#REF!</definedName>
    <definedName name="dsildl3a60_4_12">#REF!</definedName>
    <definedName name="dsildl3a60_4_13">#REF!</definedName>
    <definedName name="dsildl3a60_4_2">#REF!</definedName>
    <definedName name="dsildl3a60_4_2_6">#REF!</definedName>
    <definedName name="dsildl3a60_4_4">#REF!</definedName>
    <definedName name="dsildl3a60_4_4_5">#REF!</definedName>
    <definedName name="dsildl3a60_4_5">#REF!</definedName>
    <definedName name="dsildl3a60_4_6">#REF!</definedName>
    <definedName name="dsildl3a60_4_6_5">#REF!</definedName>
    <definedName name="dsildl3a60_4_7">#REF!</definedName>
    <definedName name="dsildl3a60_4_7_5">#REF!</definedName>
    <definedName name="dsildl3a60_5">#REF!</definedName>
    <definedName name="dsildl3a60_5_2">#REF!</definedName>
    <definedName name="dsildl3a60_5_2_6">#REF!</definedName>
    <definedName name="dsildl3a60_5_4">#REF!</definedName>
    <definedName name="dsildl3a60_5_4_5">#REF!</definedName>
    <definedName name="dsildl3a60_5_5">#REF!</definedName>
    <definedName name="dsildl3a60_5_6">#REF!</definedName>
    <definedName name="dsildl3a60_5_6_5">#REF!</definedName>
    <definedName name="dsildl3a60_5_7">#REF!</definedName>
    <definedName name="dsildl3a60_5_7_5">#REF!</definedName>
    <definedName name="dsildl3a60_6">#REF!</definedName>
    <definedName name="dsildl3a60_6_1">#REF!</definedName>
    <definedName name="dsildl3a60_6_1_5">#REF!</definedName>
    <definedName name="dsildl3a60_6_10">#REF!</definedName>
    <definedName name="dsildl3a60_6_11">#REF!</definedName>
    <definedName name="dsildl3a60_6_12">#REF!</definedName>
    <definedName name="dsildl3a60_6_13">#REF!</definedName>
    <definedName name="dsildl3a60_6_4">#REF!</definedName>
    <definedName name="dsildl3a60_6_4_5">#REF!</definedName>
    <definedName name="dsildl3a60_6_5">#REF!</definedName>
    <definedName name="dsildl3a60_6_6">#REF!</definedName>
    <definedName name="dsildl3a60_6_6_5">#REF!</definedName>
    <definedName name="dsildl3a60_6_7">#REF!</definedName>
    <definedName name="dsildl3a60_6_7_5">#REF!</definedName>
    <definedName name="dsildl3a60_6_9">#REF!</definedName>
    <definedName name="dsildl3a60_7">#REF!</definedName>
    <definedName name="dsildl3a60_7_5">#REF!</definedName>
    <definedName name="dsildl3a60_9">#REF!</definedName>
    <definedName name="dsildl3a80">#REF!</definedName>
    <definedName name="dsildl3a80_1">#REF!</definedName>
    <definedName name="dsildl3a80_10">#REF!</definedName>
    <definedName name="dsildl3a80_11">#REF!</definedName>
    <definedName name="dsildl3a80_12">#REF!</definedName>
    <definedName name="dsildl3a80_13">#REF!</definedName>
    <definedName name="dsildl3a80_2">#REF!</definedName>
    <definedName name="dsildl3a80_2_1">#REF!</definedName>
    <definedName name="dsildl3a80_2_1_6">#REF!</definedName>
    <definedName name="dsildl3a80_2_5">#REF!</definedName>
    <definedName name="dsildl3a80_2_6">#REF!</definedName>
    <definedName name="dsildl3a80_3">#REF!</definedName>
    <definedName name="dsildl3a80_3_10">#REF!</definedName>
    <definedName name="dsildl3a80_3_11">#REF!</definedName>
    <definedName name="dsildl3a80_3_12">#REF!</definedName>
    <definedName name="dsildl3a80_3_13">#REF!</definedName>
    <definedName name="dsildl3a80_3_4">#REF!</definedName>
    <definedName name="dsildl3a80_3_4_5">#REF!</definedName>
    <definedName name="dsildl3a80_3_5">#REF!</definedName>
    <definedName name="dsildl3a80_3_6">#REF!</definedName>
    <definedName name="dsildl3a80_3_6_5">#REF!</definedName>
    <definedName name="dsildl3a80_3_7">#REF!</definedName>
    <definedName name="dsildl3a80_3_7_5">#REF!</definedName>
    <definedName name="dsildl3a80_3_9">#REF!</definedName>
    <definedName name="dsildl3a80_4">#REF!</definedName>
    <definedName name="dsildl3a80_4_1">#REF!</definedName>
    <definedName name="dsildl3a80_4_1_5">#REF!</definedName>
    <definedName name="dsildl3a80_4_10">#REF!</definedName>
    <definedName name="dsildl3a80_4_11">#REF!</definedName>
    <definedName name="dsildl3a80_4_12">#REF!</definedName>
    <definedName name="dsildl3a80_4_13">#REF!</definedName>
    <definedName name="dsildl3a80_4_2">#REF!</definedName>
    <definedName name="dsildl3a80_4_2_6">#REF!</definedName>
    <definedName name="dsildl3a80_4_4">#REF!</definedName>
    <definedName name="dsildl3a80_4_4_5">#REF!</definedName>
    <definedName name="dsildl3a80_4_5">#REF!</definedName>
    <definedName name="dsildl3a80_4_6">#REF!</definedName>
    <definedName name="dsildl3a80_4_6_5">#REF!</definedName>
    <definedName name="dsildl3a80_4_7">#REF!</definedName>
    <definedName name="dsildl3a80_4_7_5">#REF!</definedName>
    <definedName name="dsildl3a80_5">#REF!</definedName>
    <definedName name="dsildl3a80_5_2">#REF!</definedName>
    <definedName name="dsildl3a80_5_2_6">#REF!</definedName>
    <definedName name="dsildl3a80_5_4">#REF!</definedName>
    <definedName name="dsildl3a80_5_4_5">#REF!</definedName>
    <definedName name="dsildl3a80_5_5">#REF!</definedName>
    <definedName name="dsildl3a80_5_6">#REF!</definedName>
    <definedName name="dsildl3a80_5_6_5">#REF!</definedName>
    <definedName name="dsildl3a80_5_7">#REF!</definedName>
    <definedName name="dsildl3a80_5_7_5">#REF!</definedName>
    <definedName name="dsildl3a80_6">#REF!</definedName>
    <definedName name="dsildl3a80_6_1">#REF!</definedName>
    <definedName name="dsildl3a80_6_1_5">#REF!</definedName>
    <definedName name="dsildl3a80_6_10">#REF!</definedName>
    <definedName name="dsildl3a80_6_11">#REF!</definedName>
    <definedName name="dsildl3a80_6_12">#REF!</definedName>
    <definedName name="dsildl3a80_6_13">#REF!</definedName>
    <definedName name="dsildl3a80_6_4">#REF!</definedName>
    <definedName name="dsildl3a80_6_4_5">#REF!</definedName>
    <definedName name="dsildl3a80_6_5">#REF!</definedName>
    <definedName name="dsildl3a80_6_6">#REF!</definedName>
    <definedName name="dsildl3a80_6_6_5">#REF!</definedName>
    <definedName name="dsildl3a80_6_7">#REF!</definedName>
    <definedName name="dsildl3a80_6_7_5">#REF!</definedName>
    <definedName name="dsildl3a80_6_9">#REF!</definedName>
    <definedName name="dsildl3a80_7">#REF!</definedName>
    <definedName name="dsildl3a80_7_5">#REF!</definedName>
    <definedName name="dsildl3a80_9">#REF!</definedName>
    <definedName name="dsildl5100">#REF!</definedName>
    <definedName name="dsildl5100_1">#REF!</definedName>
    <definedName name="dsildl5100_10">#REF!</definedName>
    <definedName name="dsildl5100_11">#REF!</definedName>
    <definedName name="dsildl5100_12">#REF!</definedName>
    <definedName name="dsildl5100_13">#REF!</definedName>
    <definedName name="dsildl5100_2">#REF!</definedName>
    <definedName name="dsildl5100_2_1">#REF!</definedName>
    <definedName name="dsildl5100_2_1_6">#REF!</definedName>
    <definedName name="dsildl5100_2_5">#REF!</definedName>
    <definedName name="dsildl5100_2_6">#REF!</definedName>
    <definedName name="dsildl5100_2_7">#REF!</definedName>
    <definedName name="dsildl5100_2_7_5">#REF!</definedName>
    <definedName name="dsildl5100_3">#REF!</definedName>
    <definedName name="dsildl5100_3_10">#REF!</definedName>
    <definedName name="dsildl5100_3_11">#REF!</definedName>
    <definedName name="dsildl5100_3_12">#REF!</definedName>
    <definedName name="dsildl5100_3_13">#REF!</definedName>
    <definedName name="dsildl5100_3_4">#REF!</definedName>
    <definedName name="dsildl5100_3_4_5">#REF!</definedName>
    <definedName name="dsildl5100_3_5">#REF!</definedName>
    <definedName name="dsildl5100_3_6">#REF!</definedName>
    <definedName name="dsildl5100_3_6_5">#REF!</definedName>
    <definedName name="dsildl5100_3_7">#REF!</definedName>
    <definedName name="dsildl5100_3_7_5">#REF!</definedName>
    <definedName name="dsildl5100_3_9">#REF!</definedName>
    <definedName name="dsildl5100_4">#REF!</definedName>
    <definedName name="dsildl5100_4_1">#REF!</definedName>
    <definedName name="dsildl5100_4_1_5">#REF!</definedName>
    <definedName name="dsildl5100_4_10">#REF!</definedName>
    <definedName name="dsildl5100_4_11">#REF!</definedName>
    <definedName name="dsildl5100_4_12">#REF!</definedName>
    <definedName name="dsildl5100_4_13">#REF!</definedName>
    <definedName name="dsildl5100_4_2">#REF!</definedName>
    <definedName name="dsildl5100_4_2_6">#REF!</definedName>
    <definedName name="dsildl5100_4_4">#REF!</definedName>
    <definedName name="dsildl5100_4_4_5">#REF!</definedName>
    <definedName name="dsildl5100_4_5">#REF!</definedName>
    <definedName name="dsildl5100_4_6">#REF!</definedName>
    <definedName name="dsildl5100_4_6_5">#REF!</definedName>
    <definedName name="dsildl5100_4_7">#REF!</definedName>
    <definedName name="dsildl5100_4_7_5">#REF!</definedName>
    <definedName name="dsildl5100_5">#REF!</definedName>
    <definedName name="dsildl5100_5_2">#REF!</definedName>
    <definedName name="dsildl5100_5_2_6">#REF!</definedName>
    <definedName name="dsildl5100_5_4">#REF!</definedName>
    <definedName name="dsildl5100_5_4_5">#REF!</definedName>
    <definedName name="dsildl5100_5_5">#REF!</definedName>
    <definedName name="dsildl5100_5_6">#REF!</definedName>
    <definedName name="dsildl5100_5_6_5">#REF!</definedName>
    <definedName name="dsildl5100_5_7">#REF!</definedName>
    <definedName name="dsildl5100_5_7_5">#REF!</definedName>
    <definedName name="dsildl5100_6">#REF!</definedName>
    <definedName name="dsildl5100_6_1">#REF!</definedName>
    <definedName name="dsildl5100_6_1_5">#REF!</definedName>
    <definedName name="dsildl5100_6_10">#REF!</definedName>
    <definedName name="dsildl5100_6_11">#REF!</definedName>
    <definedName name="dsildl5100_6_12">#REF!</definedName>
    <definedName name="dsildl5100_6_13">#REF!</definedName>
    <definedName name="dsildl5100_6_4">#REF!</definedName>
    <definedName name="dsildl5100_6_4_5">#REF!</definedName>
    <definedName name="dsildl5100_6_5">#REF!</definedName>
    <definedName name="dsildl5100_6_6">#REF!</definedName>
    <definedName name="dsildl5100_6_6_5">#REF!</definedName>
    <definedName name="dsildl5100_6_7">#REF!</definedName>
    <definedName name="dsildl5100_6_7_5">#REF!</definedName>
    <definedName name="dsildl5100_6_9">#REF!</definedName>
    <definedName name="dsildl5100_7">#REF!</definedName>
    <definedName name="dsildl5100_7_5">#REF!</definedName>
    <definedName name="dsildl5100_9">#REF!</definedName>
    <definedName name="dsildl5120">#REF!</definedName>
    <definedName name="dsildl5120_1">#REF!</definedName>
    <definedName name="dsildl5120_10">#REF!</definedName>
    <definedName name="dsildl5120_11">#REF!</definedName>
    <definedName name="dsildl5120_12">#REF!</definedName>
    <definedName name="dsildl5120_13">#REF!</definedName>
    <definedName name="dsildl5120_2">#REF!</definedName>
    <definedName name="dsildl5120_2_1">#REF!</definedName>
    <definedName name="dsildl5120_2_1_6">#REF!</definedName>
    <definedName name="dsildl5120_2_5">#REF!</definedName>
    <definedName name="dsildl5120_2_6">#REF!</definedName>
    <definedName name="dsildl5120_2_7">#REF!</definedName>
    <definedName name="dsildl5120_2_7_5">#REF!</definedName>
    <definedName name="dsildl5120_3">#REF!</definedName>
    <definedName name="dsildl5120_3_10">#REF!</definedName>
    <definedName name="dsildl5120_3_11">#REF!</definedName>
    <definedName name="dsildl5120_3_12">#REF!</definedName>
    <definedName name="dsildl5120_3_13">#REF!</definedName>
    <definedName name="dsildl5120_3_4">#REF!</definedName>
    <definedName name="dsildl5120_3_4_5">#REF!</definedName>
    <definedName name="dsildl5120_3_5">#REF!</definedName>
    <definedName name="dsildl5120_3_6">#REF!</definedName>
    <definedName name="dsildl5120_3_6_5">#REF!</definedName>
    <definedName name="dsildl5120_3_7">#REF!</definedName>
    <definedName name="dsildl5120_3_7_5">#REF!</definedName>
    <definedName name="dsildl5120_3_9">#REF!</definedName>
    <definedName name="dsildl5120_4">#REF!</definedName>
    <definedName name="dsildl5120_4_1">#REF!</definedName>
    <definedName name="dsildl5120_4_1_5">#REF!</definedName>
    <definedName name="dsildl5120_4_10">#REF!</definedName>
    <definedName name="dsildl5120_4_11">#REF!</definedName>
    <definedName name="dsildl5120_4_12">#REF!</definedName>
    <definedName name="dsildl5120_4_13">#REF!</definedName>
    <definedName name="dsildl5120_4_2">#REF!</definedName>
    <definedName name="dsildl5120_4_2_6">#REF!</definedName>
    <definedName name="dsildl5120_4_4">#REF!</definedName>
    <definedName name="dsildl5120_4_4_5">#REF!</definedName>
    <definedName name="dsildl5120_4_5">#REF!</definedName>
    <definedName name="dsildl5120_4_6">#REF!</definedName>
    <definedName name="dsildl5120_4_6_5">#REF!</definedName>
    <definedName name="dsildl5120_4_7">#REF!</definedName>
    <definedName name="dsildl5120_4_7_5">#REF!</definedName>
    <definedName name="dsildl5120_5">#REF!</definedName>
    <definedName name="dsildl5120_5_2">#REF!</definedName>
    <definedName name="dsildl5120_5_2_6">#REF!</definedName>
    <definedName name="dsildl5120_5_4">#REF!</definedName>
    <definedName name="dsildl5120_5_4_5">#REF!</definedName>
    <definedName name="dsildl5120_5_5">#REF!</definedName>
    <definedName name="dsildl5120_5_6">#REF!</definedName>
    <definedName name="dsildl5120_5_6_5">#REF!</definedName>
    <definedName name="dsildl5120_5_7">#REF!</definedName>
    <definedName name="dsildl5120_5_7_5">#REF!</definedName>
    <definedName name="dsildl5120_6">#REF!</definedName>
    <definedName name="dsildl5120_6_1">#REF!</definedName>
    <definedName name="dsildl5120_6_1_5">#REF!</definedName>
    <definedName name="dsildl5120_6_10">#REF!</definedName>
    <definedName name="dsildl5120_6_11">#REF!</definedName>
    <definedName name="dsildl5120_6_12">#REF!</definedName>
    <definedName name="dsildl5120_6_13">#REF!</definedName>
    <definedName name="dsildl5120_6_4">#REF!</definedName>
    <definedName name="dsildl5120_6_4_5">#REF!</definedName>
    <definedName name="dsildl5120_6_5">#REF!</definedName>
    <definedName name="dsildl5120_6_6">#REF!</definedName>
    <definedName name="dsildl5120_6_6_5">#REF!</definedName>
    <definedName name="dsildl5120_6_7">#REF!</definedName>
    <definedName name="dsildl5120_6_7_5">#REF!</definedName>
    <definedName name="dsildl5120_6_9">#REF!</definedName>
    <definedName name="dsildl5120_7">#REF!</definedName>
    <definedName name="dsildl5120_7_5">#REF!</definedName>
    <definedName name="dsildl5120_9">#REF!</definedName>
    <definedName name="dsildl550">#REF!</definedName>
    <definedName name="dsildl550_1">#REF!</definedName>
    <definedName name="dsildl550_10">#REF!</definedName>
    <definedName name="dsildl550_11">#REF!</definedName>
    <definedName name="dsildl550_12">#REF!</definedName>
    <definedName name="dsildl550_13">#REF!</definedName>
    <definedName name="dsildl550_2">#REF!</definedName>
    <definedName name="dsildl550_2_1">#REF!</definedName>
    <definedName name="dsildl550_2_1_6">#REF!</definedName>
    <definedName name="dsildl550_2_5">#REF!</definedName>
    <definedName name="dsildl550_2_6">#REF!</definedName>
    <definedName name="dsildl550_2_7">#REF!</definedName>
    <definedName name="dsildl550_2_7_5">#REF!</definedName>
    <definedName name="dsildl550_3">#REF!</definedName>
    <definedName name="dsildl550_3_10">#REF!</definedName>
    <definedName name="dsildl550_3_11">#REF!</definedName>
    <definedName name="dsildl550_3_12">#REF!</definedName>
    <definedName name="dsildl550_3_13">#REF!</definedName>
    <definedName name="dsildl550_3_4">#REF!</definedName>
    <definedName name="dsildl550_3_4_5">#REF!</definedName>
    <definedName name="dsildl550_3_5">#REF!</definedName>
    <definedName name="dsildl550_3_6">#REF!</definedName>
    <definedName name="dsildl550_3_6_5">#REF!</definedName>
    <definedName name="dsildl550_3_7">#REF!</definedName>
    <definedName name="dsildl550_3_7_5">#REF!</definedName>
    <definedName name="dsildl550_3_9">#REF!</definedName>
    <definedName name="dsildl550_4">#REF!</definedName>
    <definedName name="dsildl550_4_1">#REF!</definedName>
    <definedName name="dsildl550_4_1_5">#REF!</definedName>
    <definedName name="dsildl550_4_10">#REF!</definedName>
    <definedName name="dsildl550_4_11">#REF!</definedName>
    <definedName name="dsildl550_4_12">#REF!</definedName>
    <definedName name="dsildl550_4_13">#REF!</definedName>
    <definedName name="dsildl550_4_2">#REF!</definedName>
    <definedName name="dsildl550_4_2_6">#REF!</definedName>
    <definedName name="dsildl550_4_4">#REF!</definedName>
    <definedName name="dsildl550_4_4_5">#REF!</definedName>
    <definedName name="dsildl550_4_5">#REF!</definedName>
    <definedName name="dsildl550_4_6">#REF!</definedName>
    <definedName name="dsildl550_4_6_5">#REF!</definedName>
    <definedName name="dsildl550_4_7">#REF!</definedName>
    <definedName name="dsildl550_4_7_5">#REF!</definedName>
    <definedName name="dsildl550_5">#REF!</definedName>
    <definedName name="dsildl550_5_2">#REF!</definedName>
    <definedName name="dsildl550_5_2_6">#REF!</definedName>
    <definedName name="dsildl550_5_4">#REF!</definedName>
    <definedName name="dsildl550_5_4_5">#REF!</definedName>
    <definedName name="dsildl550_5_5">#REF!</definedName>
    <definedName name="dsildl550_5_6">#REF!</definedName>
    <definedName name="dsildl550_5_6_5">#REF!</definedName>
    <definedName name="dsildl550_5_7">#REF!</definedName>
    <definedName name="dsildl550_5_7_5">#REF!</definedName>
    <definedName name="dsildl550_6">#REF!</definedName>
    <definedName name="dsildl550_6_1">#REF!</definedName>
    <definedName name="dsildl550_6_1_5">#REF!</definedName>
    <definedName name="dsildl550_6_10">#REF!</definedName>
    <definedName name="dsildl550_6_11">#REF!</definedName>
    <definedName name="dsildl550_6_12">#REF!</definedName>
    <definedName name="dsildl550_6_13">#REF!</definedName>
    <definedName name="dsildl550_6_4">#REF!</definedName>
    <definedName name="dsildl550_6_4_5">#REF!</definedName>
    <definedName name="dsildl550_6_5">#REF!</definedName>
    <definedName name="dsildl550_6_6">#REF!</definedName>
    <definedName name="dsildl550_6_6_5">#REF!</definedName>
    <definedName name="dsildl550_6_7">#REF!</definedName>
    <definedName name="dsildl550_6_7_5">#REF!</definedName>
    <definedName name="dsildl550_6_9">#REF!</definedName>
    <definedName name="dsildl550_7">#REF!</definedName>
    <definedName name="dsildl550_7_5">#REF!</definedName>
    <definedName name="dsildl550_9">#REF!</definedName>
    <definedName name="dsildl560">#REF!</definedName>
    <definedName name="dsildl560_1">#REF!</definedName>
    <definedName name="dsildl560_10">#REF!</definedName>
    <definedName name="dsildl560_11">#REF!</definedName>
    <definedName name="dsildl560_12">#REF!</definedName>
    <definedName name="dsildl560_13">#REF!</definedName>
    <definedName name="dsildl560_2">#REF!</definedName>
    <definedName name="dsildl560_2_1">#REF!</definedName>
    <definedName name="dsildl560_2_1_6">#REF!</definedName>
    <definedName name="dsildl560_2_5">#REF!</definedName>
    <definedName name="dsildl560_2_6">#REF!</definedName>
    <definedName name="dsildl560_2_7">#REF!</definedName>
    <definedName name="dsildl560_2_7_5">#REF!</definedName>
    <definedName name="dsildl560_3">#REF!</definedName>
    <definedName name="dsildl560_3_10">#REF!</definedName>
    <definedName name="dsildl560_3_11">#REF!</definedName>
    <definedName name="dsildl560_3_12">#REF!</definedName>
    <definedName name="dsildl560_3_13">#REF!</definedName>
    <definedName name="dsildl560_3_4">#REF!</definedName>
    <definedName name="dsildl560_3_4_5">#REF!</definedName>
    <definedName name="dsildl560_3_5">#REF!</definedName>
    <definedName name="dsildl560_3_6">#REF!</definedName>
    <definedName name="dsildl560_3_6_5">#REF!</definedName>
    <definedName name="dsildl560_3_7">#REF!</definedName>
    <definedName name="dsildl560_3_7_5">#REF!</definedName>
    <definedName name="dsildl560_3_9">#REF!</definedName>
    <definedName name="dsildl560_4">#REF!</definedName>
    <definedName name="dsildl560_4_1">#REF!</definedName>
    <definedName name="dsildl560_4_1_5">#REF!</definedName>
    <definedName name="dsildl560_4_10">#REF!</definedName>
    <definedName name="dsildl560_4_11">#REF!</definedName>
    <definedName name="dsildl560_4_12">#REF!</definedName>
    <definedName name="dsildl560_4_13">#REF!</definedName>
    <definedName name="dsildl560_4_2">#REF!</definedName>
    <definedName name="dsildl560_4_2_6">#REF!</definedName>
    <definedName name="dsildl560_4_4">#REF!</definedName>
    <definedName name="dsildl560_4_4_5">#REF!</definedName>
    <definedName name="dsildl560_4_5">#REF!</definedName>
    <definedName name="dsildl560_4_6">#REF!</definedName>
    <definedName name="dsildl560_4_6_5">#REF!</definedName>
    <definedName name="dsildl560_4_7">#REF!</definedName>
    <definedName name="dsildl560_4_7_5">#REF!</definedName>
    <definedName name="dsildl560_5">#REF!</definedName>
    <definedName name="dsildl560_5_2">#REF!</definedName>
    <definedName name="dsildl560_5_2_6">#REF!</definedName>
    <definedName name="dsildl560_5_4">#REF!</definedName>
    <definedName name="dsildl560_5_4_5">#REF!</definedName>
    <definedName name="dsildl560_5_5">#REF!</definedName>
    <definedName name="dsildl560_5_6">#REF!</definedName>
    <definedName name="dsildl560_5_6_5">#REF!</definedName>
    <definedName name="dsildl560_5_7">#REF!</definedName>
    <definedName name="dsildl560_5_7_5">#REF!</definedName>
    <definedName name="dsildl560_6">#REF!</definedName>
    <definedName name="dsildl560_6_1">#REF!</definedName>
    <definedName name="dsildl560_6_1_5">#REF!</definedName>
    <definedName name="dsildl560_6_10">#REF!</definedName>
    <definedName name="dsildl560_6_11">#REF!</definedName>
    <definedName name="dsildl560_6_12">#REF!</definedName>
    <definedName name="dsildl560_6_13">#REF!</definedName>
    <definedName name="dsildl560_6_4">#REF!</definedName>
    <definedName name="dsildl560_6_4_5">#REF!</definedName>
    <definedName name="dsildl560_6_5">#REF!</definedName>
    <definedName name="dsildl560_6_6">#REF!</definedName>
    <definedName name="dsildl560_6_6_5">#REF!</definedName>
    <definedName name="dsildl560_6_7">#REF!</definedName>
    <definedName name="dsildl560_6_7_5">#REF!</definedName>
    <definedName name="dsildl560_6_9">#REF!</definedName>
    <definedName name="dsildl560_7">#REF!</definedName>
    <definedName name="dsildl560_7_5">#REF!</definedName>
    <definedName name="dsildl560_9">#REF!</definedName>
    <definedName name="dsildl580">#REF!</definedName>
    <definedName name="dsildl580_1">#REF!</definedName>
    <definedName name="dsildl580_10">#REF!</definedName>
    <definedName name="dsildl580_11">#REF!</definedName>
    <definedName name="dsildl580_12">#REF!</definedName>
    <definedName name="dsildl580_13">#REF!</definedName>
    <definedName name="dsildl580_2">#REF!</definedName>
    <definedName name="dsildl580_2_1">#REF!</definedName>
    <definedName name="dsildl580_2_1_6">#REF!</definedName>
    <definedName name="dsildl580_2_5">#REF!</definedName>
    <definedName name="dsildl580_2_6">#REF!</definedName>
    <definedName name="dsildl580_2_7">#REF!</definedName>
    <definedName name="dsildl580_2_7_5">#REF!</definedName>
    <definedName name="dsildl580_3">#REF!</definedName>
    <definedName name="dsildl580_3_10">#REF!</definedName>
    <definedName name="dsildl580_3_11">#REF!</definedName>
    <definedName name="dsildl580_3_12">#REF!</definedName>
    <definedName name="dsildl580_3_13">#REF!</definedName>
    <definedName name="dsildl580_3_4">#REF!</definedName>
    <definedName name="dsildl580_3_4_5">#REF!</definedName>
    <definedName name="dsildl580_3_5">#REF!</definedName>
    <definedName name="dsildl580_3_6">#REF!</definedName>
    <definedName name="dsildl580_3_6_5">#REF!</definedName>
    <definedName name="dsildl580_3_7">#REF!</definedName>
    <definedName name="dsildl580_3_7_5">#REF!</definedName>
    <definedName name="dsildl580_3_9">#REF!</definedName>
    <definedName name="dsildl580_4">#REF!</definedName>
    <definedName name="dsildl580_4_1">#REF!</definedName>
    <definedName name="dsildl580_4_1_5">#REF!</definedName>
    <definedName name="dsildl580_4_10">#REF!</definedName>
    <definedName name="dsildl580_4_11">#REF!</definedName>
    <definedName name="dsildl580_4_12">#REF!</definedName>
    <definedName name="dsildl580_4_13">#REF!</definedName>
    <definedName name="dsildl580_4_2">#REF!</definedName>
    <definedName name="dsildl580_4_2_6">#REF!</definedName>
    <definedName name="dsildl580_4_4">#REF!</definedName>
    <definedName name="dsildl580_4_4_5">#REF!</definedName>
    <definedName name="dsildl580_4_5">#REF!</definedName>
    <definedName name="dsildl580_4_6">#REF!</definedName>
    <definedName name="dsildl580_4_6_5">#REF!</definedName>
    <definedName name="dsildl580_4_7">#REF!</definedName>
    <definedName name="dsildl580_4_7_5">#REF!</definedName>
    <definedName name="dsildl580_5">#REF!</definedName>
    <definedName name="dsildl580_5_2">#REF!</definedName>
    <definedName name="dsildl580_5_2_6">#REF!</definedName>
    <definedName name="dsildl580_5_4">#REF!</definedName>
    <definedName name="dsildl580_5_4_5">#REF!</definedName>
    <definedName name="dsildl580_5_5">#REF!</definedName>
    <definedName name="dsildl580_5_6">#REF!</definedName>
    <definedName name="dsildl580_5_6_5">#REF!</definedName>
    <definedName name="dsildl580_5_7">#REF!</definedName>
    <definedName name="dsildl580_5_7_5">#REF!</definedName>
    <definedName name="dsildl580_6">#REF!</definedName>
    <definedName name="dsildl580_6_1">#REF!</definedName>
    <definedName name="dsildl580_6_1_5">#REF!</definedName>
    <definedName name="dsildl580_6_10">#REF!</definedName>
    <definedName name="dsildl580_6_11">#REF!</definedName>
    <definedName name="dsildl580_6_12">#REF!</definedName>
    <definedName name="dsildl580_6_13">#REF!</definedName>
    <definedName name="dsildl580_6_4">#REF!</definedName>
    <definedName name="dsildl580_6_4_5">#REF!</definedName>
    <definedName name="dsildl580_6_5">#REF!</definedName>
    <definedName name="dsildl580_6_6">#REF!</definedName>
    <definedName name="dsildl580_6_6_5">#REF!</definedName>
    <definedName name="dsildl580_6_7">#REF!</definedName>
    <definedName name="dsildl580_6_7_5">#REF!</definedName>
    <definedName name="dsildl580_6_9">#REF!</definedName>
    <definedName name="dsildl580_7">#REF!</definedName>
    <definedName name="dsildl580_7_5">#REF!</definedName>
    <definedName name="dsildl580_9">#REF!</definedName>
    <definedName name="dsildl5a100">#REF!</definedName>
    <definedName name="dsildl5a100_1">#REF!</definedName>
    <definedName name="dsildl5a100_10">#REF!</definedName>
    <definedName name="dsildl5a100_11">#REF!</definedName>
    <definedName name="dsildl5a100_12">#REF!</definedName>
    <definedName name="dsildl5a100_13">#REF!</definedName>
    <definedName name="dsildl5a100_2">#REF!</definedName>
    <definedName name="dsildl5a100_2_1">#REF!</definedName>
    <definedName name="dsildl5a100_2_1_6">#REF!</definedName>
    <definedName name="dsildl5a100_2_5">#REF!</definedName>
    <definedName name="dsildl5a100_2_6">#REF!</definedName>
    <definedName name="dsildl5a100_3">#REF!</definedName>
    <definedName name="dsildl5a100_3_10">#REF!</definedName>
    <definedName name="dsildl5a100_3_11">#REF!</definedName>
    <definedName name="dsildl5a100_3_12">#REF!</definedName>
    <definedName name="dsildl5a100_3_13">#REF!</definedName>
    <definedName name="dsildl5a100_3_4">#REF!</definedName>
    <definedName name="dsildl5a100_3_4_5">#REF!</definedName>
    <definedName name="dsildl5a100_3_5">#REF!</definedName>
    <definedName name="dsildl5a100_3_6">#REF!</definedName>
    <definedName name="dsildl5a100_3_6_5">#REF!</definedName>
    <definedName name="dsildl5a100_3_7">#REF!</definedName>
    <definedName name="dsildl5a100_3_7_5">#REF!</definedName>
    <definedName name="dsildl5a100_3_9">#REF!</definedName>
    <definedName name="dsildl5a100_4">#REF!</definedName>
    <definedName name="dsildl5a100_4_1">#REF!</definedName>
    <definedName name="dsildl5a100_4_1_5">#REF!</definedName>
    <definedName name="dsildl5a100_4_10">#REF!</definedName>
    <definedName name="dsildl5a100_4_11">#REF!</definedName>
    <definedName name="dsildl5a100_4_12">#REF!</definedName>
    <definedName name="dsildl5a100_4_13">#REF!</definedName>
    <definedName name="dsildl5a100_4_2">#REF!</definedName>
    <definedName name="dsildl5a100_4_2_6">#REF!</definedName>
    <definedName name="dsildl5a100_4_4">#REF!</definedName>
    <definedName name="dsildl5a100_4_4_5">#REF!</definedName>
    <definedName name="dsildl5a100_4_5">#REF!</definedName>
    <definedName name="dsildl5a100_4_6">#REF!</definedName>
    <definedName name="dsildl5a100_4_6_5">#REF!</definedName>
    <definedName name="dsildl5a100_4_7">#REF!</definedName>
    <definedName name="dsildl5a100_4_7_5">#REF!</definedName>
    <definedName name="dsildl5a100_5">#REF!</definedName>
    <definedName name="dsildl5a100_5_2">#REF!</definedName>
    <definedName name="dsildl5a100_5_2_6">#REF!</definedName>
    <definedName name="dsildl5a100_5_4">#REF!</definedName>
    <definedName name="dsildl5a100_5_4_5">#REF!</definedName>
    <definedName name="dsildl5a100_5_5">#REF!</definedName>
    <definedName name="dsildl5a100_5_6">#REF!</definedName>
    <definedName name="dsildl5a100_5_6_5">#REF!</definedName>
    <definedName name="dsildl5a100_5_7">#REF!</definedName>
    <definedName name="dsildl5a100_5_7_5">#REF!</definedName>
    <definedName name="dsildl5a100_6">#REF!</definedName>
    <definedName name="dsildl5a100_6_1">#REF!</definedName>
    <definedName name="dsildl5a100_6_1_5">#REF!</definedName>
    <definedName name="dsildl5a100_6_10">#REF!</definedName>
    <definedName name="dsildl5a100_6_11">#REF!</definedName>
    <definedName name="dsildl5a100_6_12">#REF!</definedName>
    <definedName name="dsildl5a100_6_13">#REF!</definedName>
    <definedName name="dsildl5a100_6_4">#REF!</definedName>
    <definedName name="dsildl5a100_6_4_5">#REF!</definedName>
    <definedName name="dsildl5a100_6_5">#REF!</definedName>
    <definedName name="dsildl5a100_6_6">#REF!</definedName>
    <definedName name="dsildl5a100_6_6_5">#REF!</definedName>
    <definedName name="dsildl5a100_6_7">#REF!</definedName>
    <definedName name="dsildl5a100_6_7_5">#REF!</definedName>
    <definedName name="dsildl5a100_6_9">#REF!</definedName>
    <definedName name="dsildl5a100_7">#REF!</definedName>
    <definedName name="dsildl5a100_7_5">#REF!</definedName>
    <definedName name="dsildl5a100_9">#REF!</definedName>
    <definedName name="dsildl5a120">#REF!</definedName>
    <definedName name="dsildl5a120_1">#REF!</definedName>
    <definedName name="dsildl5a120_10">#REF!</definedName>
    <definedName name="dsildl5a120_11">#REF!</definedName>
    <definedName name="dsildl5a120_12">#REF!</definedName>
    <definedName name="dsildl5a120_13">#REF!</definedName>
    <definedName name="dsildl5a120_2">#REF!</definedName>
    <definedName name="dsildl5a120_2_1">#REF!</definedName>
    <definedName name="dsildl5a120_2_1_6">#REF!</definedName>
    <definedName name="dsildl5a120_2_5">#REF!</definedName>
    <definedName name="dsildl5a120_2_6">#REF!</definedName>
    <definedName name="dsildl5a120_3">#REF!</definedName>
    <definedName name="dsildl5a120_3_10">#REF!</definedName>
    <definedName name="dsildl5a120_3_11">#REF!</definedName>
    <definedName name="dsildl5a120_3_12">#REF!</definedName>
    <definedName name="dsildl5a120_3_13">#REF!</definedName>
    <definedName name="dsildl5a120_3_4">#REF!</definedName>
    <definedName name="dsildl5a120_3_4_5">#REF!</definedName>
    <definedName name="dsildl5a120_3_5">#REF!</definedName>
    <definedName name="dsildl5a120_3_6">#REF!</definedName>
    <definedName name="dsildl5a120_3_6_5">#REF!</definedName>
    <definedName name="dsildl5a120_3_7">#REF!</definedName>
    <definedName name="dsildl5a120_3_7_5">#REF!</definedName>
    <definedName name="dsildl5a120_3_9">#REF!</definedName>
    <definedName name="dsildl5a120_4">#REF!</definedName>
    <definedName name="dsildl5a120_4_1">#REF!</definedName>
    <definedName name="dsildl5a120_4_1_5">#REF!</definedName>
    <definedName name="dsildl5a120_4_10">#REF!</definedName>
    <definedName name="dsildl5a120_4_11">#REF!</definedName>
    <definedName name="dsildl5a120_4_12">#REF!</definedName>
    <definedName name="dsildl5a120_4_13">#REF!</definedName>
    <definedName name="dsildl5a120_4_2">#REF!</definedName>
    <definedName name="dsildl5a120_4_2_6">#REF!</definedName>
    <definedName name="dsildl5a120_4_4">#REF!</definedName>
    <definedName name="dsildl5a120_4_4_5">#REF!</definedName>
    <definedName name="dsildl5a120_4_5">#REF!</definedName>
    <definedName name="dsildl5a120_4_6">#REF!</definedName>
    <definedName name="dsildl5a120_4_6_5">#REF!</definedName>
    <definedName name="dsildl5a120_4_7">#REF!</definedName>
    <definedName name="dsildl5a120_4_7_5">#REF!</definedName>
    <definedName name="dsildl5a120_5">#REF!</definedName>
    <definedName name="dsildl5a120_5_2">#REF!</definedName>
    <definedName name="dsildl5a120_5_2_6">#REF!</definedName>
    <definedName name="dsildl5a120_5_4">#REF!</definedName>
    <definedName name="dsildl5a120_5_4_5">#REF!</definedName>
    <definedName name="dsildl5a120_5_5">#REF!</definedName>
    <definedName name="dsildl5a120_5_6">#REF!</definedName>
    <definedName name="dsildl5a120_5_6_5">#REF!</definedName>
    <definedName name="dsildl5a120_5_7">#REF!</definedName>
    <definedName name="dsildl5a120_5_7_5">#REF!</definedName>
    <definedName name="dsildl5a120_6">#REF!</definedName>
    <definedName name="dsildl5a120_6_1">#REF!</definedName>
    <definedName name="dsildl5a120_6_1_5">#REF!</definedName>
    <definedName name="dsildl5a120_6_10">#REF!</definedName>
    <definedName name="dsildl5a120_6_11">#REF!</definedName>
    <definedName name="dsildl5a120_6_12">#REF!</definedName>
    <definedName name="dsildl5a120_6_13">#REF!</definedName>
    <definedName name="dsildl5a120_6_4">#REF!</definedName>
    <definedName name="dsildl5a120_6_4_5">#REF!</definedName>
    <definedName name="dsildl5a120_6_5">#REF!</definedName>
    <definedName name="dsildl5a120_6_6">#REF!</definedName>
    <definedName name="dsildl5a120_6_6_5">#REF!</definedName>
    <definedName name="dsildl5a120_6_7">#REF!</definedName>
    <definedName name="dsildl5a120_6_7_5">#REF!</definedName>
    <definedName name="dsildl5a120_6_9">#REF!</definedName>
    <definedName name="dsildl5a120_7">#REF!</definedName>
    <definedName name="dsildl5a120_7_5">#REF!</definedName>
    <definedName name="dsildl5a120_9">#REF!</definedName>
    <definedName name="dsildl5a50">#REF!</definedName>
    <definedName name="dsildl5a50_1">#REF!</definedName>
    <definedName name="dsildl5a50_10">#REF!</definedName>
    <definedName name="dsildl5a50_11">#REF!</definedName>
    <definedName name="dsildl5a50_12">#REF!</definedName>
    <definedName name="dsildl5a50_13">#REF!</definedName>
    <definedName name="dsildl5a50_2">#REF!</definedName>
    <definedName name="dsildl5a50_2_1">#REF!</definedName>
    <definedName name="dsildl5a50_2_1_6">#REF!</definedName>
    <definedName name="dsildl5a50_2_5">#REF!</definedName>
    <definedName name="dsildl5a50_2_6">#REF!</definedName>
    <definedName name="dsildl5a50_3">#REF!</definedName>
    <definedName name="dsildl5a50_3_10">#REF!</definedName>
    <definedName name="dsildl5a50_3_11">#REF!</definedName>
    <definedName name="dsildl5a50_3_12">#REF!</definedName>
    <definedName name="dsildl5a50_3_13">#REF!</definedName>
    <definedName name="dsildl5a50_3_4">#REF!</definedName>
    <definedName name="dsildl5a50_3_4_5">#REF!</definedName>
    <definedName name="dsildl5a50_3_5">#REF!</definedName>
    <definedName name="dsildl5a50_3_6">#REF!</definedName>
    <definedName name="dsildl5a50_3_6_5">#REF!</definedName>
    <definedName name="dsildl5a50_3_7">#REF!</definedName>
    <definedName name="dsildl5a50_3_7_5">#REF!</definedName>
    <definedName name="dsildl5a50_3_9">#REF!</definedName>
    <definedName name="dsildl5a50_4">#REF!</definedName>
    <definedName name="dsildl5a50_4_1">#REF!</definedName>
    <definedName name="dsildl5a50_4_1_5">#REF!</definedName>
    <definedName name="dsildl5a50_4_10">#REF!</definedName>
    <definedName name="dsildl5a50_4_11">#REF!</definedName>
    <definedName name="dsildl5a50_4_12">#REF!</definedName>
    <definedName name="dsildl5a50_4_13">#REF!</definedName>
    <definedName name="dsildl5a50_4_2">#REF!</definedName>
    <definedName name="dsildl5a50_4_2_6">#REF!</definedName>
    <definedName name="dsildl5a50_4_4">#REF!</definedName>
    <definedName name="dsildl5a50_4_4_5">#REF!</definedName>
    <definedName name="dsildl5a50_4_5">#REF!</definedName>
    <definedName name="dsildl5a50_4_6">#REF!</definedName>
    <definedName name="dsildl5a50_4_6_5">#REF!</definedName>
    <definedName name="dsildl5a50_4_7">#REF!</definedName>
    <definedName name="dsildl5a50_4_7_5">#REF!</definedName>
    <definedName name="dsildl5a50_5">#REF!</definedName>
    <definedName name="dsildl5a50_5_2">#REF!</definedName>
    <definedName name="dsildl5a50_5_2_6">#REF!</definedName>
    <definedName name="dsildl5a50_5_4">#REF!</definedName>
    <definedName name="dsildl5a50_5_4_5">#REF!</definedName>
    <definedName name="dsildl5a50_5_5">#REF!</definedName>
    <definedName name="dsildl5a50_5_6">#REF!</definedName>
    <definedName name="dsildl5a50_5_6_5">#REF!</definedName>
    <definedName name="dsildl5a50_5_7">#REF!</definedName>
    <definedName name="dsildl5a50_5_7_5">#REF!</definedName>
    <definedName name="dsildl5a50_6">#REF!</definedName>
    <definedName name="dsildl5a50_6_1">#REF!</definedName>
    <definedName name="dsildl5a50_6_1_5">#REF!</definedName>
    <definedName name="dsildl5a50_6_10">#REF!</definedName>
    <definedName name="dsildl5a50_6_11">#REF!</definedName>
    <definedName name="dsildl5a50_6_12">#REF!</definedName>
    <definedName name="dsildl5a50_6_13">#REF!</definedName>
    <definedName name="dsildl5a50_6_4">#REF!</definedName>
    <definedName name="dsildl5a50_6_4_5">#REF!</definedName>
    <definedName name="dsildl5a50_6_5">#REF!</definedName>
    <definedName name="dsildl5a50_6_6">#REF!</definedName>
    <definedName name="dsildl5a50_6_6_5">#REF!</definedName>
    <definedName name="dsildl5a50_6_7">#REF!</definedName>
    <definedName name="dsildl5a50_6_7_5">#REF!</definedName>
    <definedName name="dsildl5a50_6_9">#REF!</definedName>
    <definedName name="dsildl5a50_7">#REF!</definedName>
    <definedName name="dsildl5a50_7_5">#REF!</definedName>
    <definedName name="dsildl5a50_9">#REF!</definedName>
    <definedName name="dsildl5a60">#REF!</definedName>
    <definedName name="dsildl5a60_1">#REF!</definedName>
    <definedName name="dsildl5a60_10">#REF!</definedName>
    <definedName name="dsildl5a60_11">#REF!</definedName>
    <definedName name="dsildl5a60_12">#REF!</definedName>
    <definedName name="dsildl5a60_13">#REF!</definedName>
    <definedName name="dsildl5a60_2">#REF!</definedName>
    <definedName name="dsildl5a60_2_1">#REF!</definedName>
    <definedName name="dsildl5a60_2_1_6">#REF!</definedName>
    <definedName name="dsildl5a60_2_5">#REF!</definedName>
    <definedName name="dsildl5a60_2_6">#REF!</definedName>
    <definedName name="dsildl5a60_3">#REF!</definedName>
    <definedName name="dsildl5a60_3_10">#REF!</definedName>
    <definedName name="dsildl5a60_3_11">#REF!</definedName>
    <definedName name="dsildl5a60_3_12">#REF!</definedName>
    <definedName name="dsildl5a60_3_13">#REF!</definedName>
    <definedName name="dsildl5a60_3_4">#REF!</definedName>
    <definedName name="dsildl5a60_3_4_5">#REF!</definedName>
    <definedName name="dsildl5a60_3_5">#REF!</definedName>
    <definedName name="dsildl5a60_3_6">#REF!</definedName>
    <definedName name="dsildl5a60_3_6_5">#REF!</definedName>
    <definedName name="dsildl5a60_3_7">#REF!</definedName>
    <definedName name="dsildl5a60_3_7_5">#REF!</definedName>
    <definedName name="dsildl5a60_3_9">#REF!</definedName>
    <definedName name="dsildl5a60_4">#REF!</definedName>
    <definedName name="dsildl5a60_4_1">#REF!</definedName>
    <definedName name="dsildl5a60_4_1_5">#REF!</definedName>
    <definedName name="dsildl5a60_4_10">#REF!</definedName>
    <definedName name="dsildl5a60_4_11">#REF!</definedName>
    <definedName name="dsildl5a60_4_12">#REF!</definedName>
    <definedName name="dsildl5a60_4_13">#REF!</definedName>
    <definedName name="dsildl5a60_4_2">#REF!</definedName>
    <definedName name="dsildl5a60_4_2_6">#REF!</definedName>
    <definedName name="dsildl5a60_4_4">#REF!</definedName>
    <definedName name="dsildl5a60_4_4_5">#REF!</definedName>
    <definedName name="dsildl5a60_4_5">#REF!</definedName>
    <definedName name="dsildl5a60_4_6">#REF!</definedName>
    <definedName name="dsildl5a60_4_6_5">#REF!</definedName>
    <definedName name="dsildl5a60_4_7">#REF!</definedName>
    <definedName name="dsildl5a60_4_7_5">#REF!</definedName>
    <definedName name="dsildl5a60_5">#REF!</definedName>
    <definedName name="dsildl5a60_5_2">#REF!</definedName>
    <definedName name="dsildl5a60_5_2_6">#REF!</definedName>
    <definedName name="dsildl5a60_5_4">#REF!</definedName>
    <definedName name="dsildl5a60_5_4_5">#REF!</definedName>
    <definedName name="dsildl5a60_5_5">#REF!</definedName>
    <definedName name="dsildl5a60_5_6">#REF!</definedName>
    <definedName name="dsildl5a60_5_6_5">#REF!</definedName>
    <definedName name="dsildl5a60_5_7">#REF!</definedName>
    <definedName name="dsildl5a60_5_7_5">#REF!</definedName>
    <definedName name="dsildl5a60_6">#REF!</definedName>
    <definedName name="dsildl5a60_6_1">#REF!</definedName>
    <definedName name="dsildl5a60_6_1_5">#REF!</definedName>
    <definedName name="dsildl5a60_6_10">#REF!</definedName>
    <definedName name="dsildl5a60_6_11">#REF!</definedName>
    <definedName name="dsildl5a60_6_12">#REF!</definedName>
    <definedName name="dsildl5a60_6_13">#REF!</definedName>
    <definedName name="dsildl5a60_6_4">#REF!</definedName>
    <definedName name="dsildl5a60_6_4_5">#REF!</definedName>
    <definedName name="dsildl5a60_6_5">#REF!</definedName>
    <definedName name="dsildl5a60_6_6">#REF!</definedName>
    <definedName name="dsildl5a60_6_6_5">#REF!</definedName>
    <definedName name="dsildl5a60_6_7">#REF!</definedName>
    <definedName name="dsildl5a60_6_7_5">#REF!</definedName>
    <definedName name="dsildl5a60_6_9">#REF!</definedName>
    <definedName name="dsildl5a60_7">#REF!</definedName>
    <definedName name="dsildl5a60_7_5">#REF!</definedName>
    <definedName name="dsildl5a60_9">#REF!</definedName>
    <definedName name="dsildl5a80">#REF!</definedName>
    <definedName name="dsildl5a80_1">#REF!</definedName>
    <definedName name="dsildl5a80_10">#REF!</definedName>
    <definedName name="dsildl5a80_11">#REF!</definedName>
    <definedName name="dsildl5a80_12">#REF!</definedName>
    <definedName name="dsildl5a80_13">#REF!</definedName>
    <definedName name="dsildl5a80_2">#REF!</definedName>
    <definedName name="dsildl5a80_2_1">#REF!</definedName>
    <definedName name="dsildl5a80_2_1_6">#REF!</definedName>
    <definedName name="dsildl5a80_2_5">#REF!</definedName>
    <definedName name="dsildl5a80_2_6">#REF!</definedName>
    <definedName name="dsildl5a80_3">#REF!</definedName>
    <definedName name="dsildl5a80_3_10">#REF!</definedName>
    <definedName name="dsildl5a80_3_11">#REF!</definedName>
    <definedName name="dsildl5a80_3_12">#REF!</definedName>
    <definedName name="dsildl5a80_3_13">#REF!</definedName>
    <definedName name="dsildl5a80_3_4">#REF!</definedName>
    <definedName name="dsildl5a80_3_4_5">#REF!</definedName>
    <definedName name="dsildl5a80_3_5">#REF!</definedName>
    <definedName name="dsildl5a80_3_6">#REF!</definedName>
    <definedName name="dsildl5a80_3_6_5">#REF!</definedName>
    <definedName name="dsildl5a80_3_7">#REF!</definedName>
    <definedName name="dsildl5a80_3_7_5">#REF!</definedName>
    <definedName name="dsildl5a80_3_9">#REF!</definedName>
    <definedName name="dsildl5a80_4">#REF!</definedName>
    <definedName name="dsildl5a80_4_1">#REF!</definedName>
    <definedName name="dsildl5a80_4_1_5">#REF!</definedName>
    <definedName name="dsildl5a80_4_10">#REF!</definedName>
    <definedName name="dsildl5a80_4_11">#REF!</definedName>
    <definedName name="dsildl5a80_4_12">#REF!</definedName>
    <definedName name="dsildl5a80_4_13">#REF!</definedName>
    <definedName name="dsildl5a80_4_2">#REF!</definedName>
    <definedName name="dsildl5a80_4_2_6">#REF!</definedName>
    <definedName name="dsildl5a80_4_4">#REF!</definedName>
    <definedName name="dsildl5a80_4_4_5">#REF!</definedName>
    <definedName name="dsildl5a80_4_5">#REF!</definedName>
    <definedName name="dsildl5a80_4_6">#REF!</definedName>
    <definedName name="dsildl5a80_4_6_5">#REF!</definedName>
    <definedName name="dsildl5a80_4_7">#REF!</definedName>
    <definedName name="dsildl5a80_4_7_5">#REF!</definedName>
    <definedName name="dsildl5a80_5">#REF!</definedName>
    <definedName name="dsildl5a80_5_2">#REF!</definedName>
    <definedName name="dsildl5a80_5_2_6">#REF!</definedName>
    <definedName name="dsildl5a80_5_4">#REF!</definedName>
    <definedName name="dsildl5a80_5_4_5">#REF!</definedName>
    <definedName name="dsildl5a80_5_5">#REF!</definedName>
    <definedName name="dsildl5a80_5_6">#REF!</definedName>
    <definedName name="dsildl5a80_5_6_5">#REF!</definedName>
    <definedName name="dsildl5a80_5_7">#REF!</definedName>
    <definedName name="dsildl5a80_5_7_5">#REF!</definedName>
    <definedName name="dsildl5a80_6">#REF!</definedName>
    <definedName name="dsildl5a80_6_1">#REF!</definedName>
    <definedName name="dsildl5a80_6_1_5">#REF!</definedName>
    <definedName name="dsildl5a80_6_10">#REF!</definedName>
    <definedName name="dsildl5a80_6_11">#REF!</definedName>
    <definedName name="dsildl5a80_6_12">#REF!</definedName>
    <definedName name="dsildl5a80_6_13">#REF!</definedName>
    <definedName name="dsildl5a80_6_4">#REF!</definedName>
    <definedName name="dsildl5a80_6_4_5">#REF!</definedName>
    <definedName name="dsildl5a80_6_5">#REF!</definedName>
    <definedName name="dsildl5a80_6_6">#REF!</definedName>
    <definedName name="dsildl5a80_6_6_5">#REF!</definedName>
    <definedName name="dsildl5a80_6_7">#REF!</definedName>
    <definedName name="dsildl5a80_6_7_5">#REF!</definedName>
    <definedName name="dsildl5a80_6_9">#REF!</definedName>
    <definedName name="dsildl5a80_7">#REF!</definedName>
    <definedName name="dsildl5a80_7_5">#REF!</definedName>
    <definedName name="dsildl5a80_9">#REF!</definedName>
    <definedName name="dsildl6a100">#REF!</definedName>
    <definedName name="dsildl6a100_1">#REF!</definedName>
    <definedName name="dsildl6a100_10">#REF!</definedName>
    <definedName name="dsildl6a100_11">#REF!</definedName>
    <definedName name="dsildl6a100_12">#REF!</definedName>
    <definedName name="dsildl6a100_13">#REF!</definedName>
    <definedName name="dsildl6a100_2">#REF!</definedName>
    <definedName name="dsildl6a100_2_1">#REF!</definedName>
    <definedName name="dsildl6a100_2_1_6">#REF!</definedName>
    <definedName name="dsildl6a100_2_5">#REF!</definedName>
    <definedName name="dsildl6a100_2_6">#REF!</definedName>
    <definedName name="dsildl6a100_2_7">#REF!</definedName>
    <definedName name="dsildl6a100_2_7_5">#REF!</definedName>
    <definedName name="dsildl6a100_3">#REF!</definedName>
    <definedName name="dsildl6a100_3_10">#REF!</definedName>
    <definedName name="dsildl6a100_3_11">#REF!</definedName>
    <definedName name="dsildl6a100_3_12">#REF!</definedName>
    <definedName name="dsildl6a100_3_13">#REF!</definedName>
    <definedName name="dsildl6a100_3_4">#REF!</definedName>
    <definedName name="dsildl6a100_3_4_5">#REF!</definedName>
    <definedName name="dsildl6a100_3_5">#REF!</definedName>
    <definedName name="dsildl6a100_3_6">#REF!</definedName>
    <definedName name="dsildl6a100_3_6_5">#REF!</definedName>
    <definedName name="dsildl6a100_3_7">#REF!</definedName>
    <definedName name="dsildl6a100_3_7_5">#REF!</definedName>
    <definedName name="dsildl6a100_3_9">#REF!</definedName>
    <definedName name="dsildl6a100_4">#REF!</definedName>
    <definedName name="dsildl6a100_4_1">#REF!</definedName>
    <definedName name="dsildl6a100_4_1_5">#REF!</definedName>
    <definedName name="dsildl6a100_4_10">#REF!</definedName>
    <definedName name="dsildl6a100_4_11">#REF!</definedName>
    <definedName name="dsildl6a100_4_12">#REF!</definedName>
    <definedName name="dsildl6a100_4_13">#REF!</definedName>
    <definedName name="dsildl6a100_4_2">#REF!</definedName>
    <definedName name="dsildl6a100_4_2_6">#REF!</definedName>
    <definedName name="dsildl6a100_4_4">#REF!</definedName>
    <definedName name="dsildl6a100_4_4_5">#REF!</definedName>
    <definedName name="dsildl6a100_4_5">#REF!</definedName>
    <definedName name="dsildl6a100_4_6">#REF!</definedName>
    <definedName name="dsildl6a100_4_6_5">#REF!</definedName>
    <definedName name="dsildl6a100_4_7">#REF!</definedName>
    <definedName name="dsildl6a100_4_7_5">#REF!</definedName>
    <definedName name="dsildl6a100_5">#REF!</definedName>
    <definedName name="dsildl6a100_5_2">#REF!</definedName>
    <definedName name="dsildl6a100_5_2_6">#REF!</definedName>
    <definedName name="dsildl6a100_5_4">#REF!</definedName>
    <definedName name="dsildl6a100_5_4_5">#REF!</definedName>
    <definedName name="dsildl6a100_5_5">#REF!</definedName>
    <definedName name="dsildl6a100_5_6">#REF!</definedName>
    <definedName name="dsildl6a100_5_6_5">#REF!</definedName>
    <definedName name="dsildl6a100_5_7">#REF!</definedName>
    <definedName name="dsildl6a100_5_7_5">#REF!</definedName>
    <definedName name="dsildl6a100_6">#REF!</definedName>
    <definedName name="dsildl6a100_6_1">#REF!</definedName>
    <definedName name="dsildl6a100_6_1_5">#REF!</definedName>
    <definedName name="dsildl6a100_6_10">#REF!</definedName>
    <definedName name="dsildl6a100_6_11">#REF!</definedName>
    <definedName name="dsildl6a100_6_12">#REF!</definedName>
    <definedName name="dsildl6a100_6_13">#REF!</definedName>
    <definedName name="dsildl6a100_6_4">#REF!</definedName>
    <definedName name="dsildl6a100_6_4_5">#REF!</definedName>
    <definedName name="dsildl6a100_6_5">#REF!</definedName>
    <definedName name="dsildl6a100_6_6">#REF!</definedName>
    <definedName name="dsildl6a100_6_6_5">#REF!</definedName>
    <definedName name="dsildl6a100_6_7">#REF!</definedName>
    <definedName name="dsildl6a100_6_7_5">#REF!</definedName>
    <definedName name="dsildl6a100_6_9">#REF!</definedName>
    <definedName name="dsildl6a100_7">#REF!</definedName>
    <definedName name="dsildl6a100_7_5">#REF!</definedName>
    <definedName name="dsildl6a100_9">#REF!</definedName>
    <definedName name="dsildl6a120">#REF!</definedName>
    <definedName name="dsildl6a120_1">#REF!</definedName>
    <definedName name="dsildl6a120_10">#REF!</definedName>
    <definedName name="dsildl6a120_11">#REF!</definedName>
    <definedName name="dsildl6a120_12">#REF!</definedName>
    <definedName name="dsildl6a120_13">#REF!</definedName>
    <definedName name="dsildl6a120_2">#REF!</definedName>
    <definedName name="dsildl6a120_2_1">#REF!</definedName>
    <definedName name="dsildl6a120_2_1_6">#REF!</definedName>
    <definedName name="dsildl6a120_2_5">#REF!</definedName>
    <definedName name="dsildl6a120_2_6">#REF!</definedName>
    <definedName name="dsildl6a120_2_7">#REF!</definedName>
    <definedName name="dsildl6a120_2_7_5">#REF!</definedName>
    <definedName name="dsildl6a120_3">#REF!</definedName>
    <definedName name="dsildl6a120_3_10">#REF!</definedName>
    <definedName name="dsildl6a120_3_11">#REF!</definedName>
    <definedName name="dsildl6a120_3_12">#REF!</definedName>
    <definedName name="dsildl6a120_3_13">#REF!</definedName>
    <definedName name="dsildl6a120_3_4">#REF!</definedName>
    <definedName name="dsildl6a120_3_4_5">#REF!</definedName>
    <definedName name="dsildl6a120_3_5">#REF!</definedName>
    <definedName name="dsildl6a120_3_6">#REF!</definedName>
    <definedName name="dsildl6a120_3_6_5">#REF!</definedName>
    <definedName name="dsildl6a120_3_7">#REF!</definedName>
    <definedName name="dsildl6a120_3_7_5">#REF!</definedName>
    <definedName name="dsildl6a120_3_9">#REF!</definedName>
    <definedName name="dsildl6a120_4">#REF!</definedName>
    <definedName name="dsildl6a120_4_1">#REF!</definedName>
    <definedName name="dsildl6a120_4_1_5">#REF!</definedName>
    <definedName name="dsildl6a120_4_10">#REF!</definedName>
    <definedName name="dsildl6a120_4_11">#REF!</definedName>
    <definedName name="dsildl6a120_4_12">#REF!</definedName>
    <definedName name="dsildl6a120_4_13">#REF!</definedName>
    <definedName name="dsildl6a120_4_2">#REF!</definedName>
    <definedName name="dsildl6a120_4_2_6">#REF!</definedName>
    <definedName name="dsildl6a120_4_4">#REF!</definedName>
    <definedName name="dsildl6a120_4_4_5">#REF!</definedName>
    <definedName name="dsildl6a120_4_5">#REF!</definedName>
    <definedName name="dsildl6a120_4_6">#REF!</definedName>
    <definedName name="dsildl6a120_4_6_5">#REF!</definedName>
    <definedName name="dsildl6a120_4_7">#REF!</definedName>
    <definedName name="dsildl6a120_4_7_5">#REF!</definedName>
    <definedName name="dsildl6a120_5">#REF!</definedName>
    <definedName name="dsildl6a120_5_2">#REF!</definedName>
    <definedName name="dsildl6a120_5_2_6">#REF!</definedName>
    <definedName name="dsildl6a120_5_4">#REF!</definedName>
    <definedName name="dsildl6a120_5_4_5">#REF!</definedName>
    <definedName name="dsildl6a120_5_5">#REF!</definedName>
    <definedName name="dsildl6a120_5_6">#REF!</definedName>
    <definedName name="dsildl6a120_5_6_5">#REF!</definedName>
    <definedName name="dsildl6a120_5_7">#REF!</definedName>
    <definedName name="dsildl6a120_5_7_5">#REF!</definedName>
    <definedName name="dsildl6a120_6">#REF!</definedName>
    <definedName name="dsildl6a120_6_1">#REF!</definedName>
    <definedName name="dsildl6a120_6_1_5">#REF!</definedName>
    <definedName name="dsildl6a120_6_10">#REF!</definedName>
    <definedName name="dsildl6a120_6_11">#REF!</definedName>
    <definedName name="dsildl6a120_6_12">#REF!</definedName>
    <definedName name="dsildl6a120_6_13">#REF!</definedName>
    <definedName name="dsildl6a120_6_4">#REF!</definedName>
    <definedName name="dsildl6a120_6_4_5">#REF!</definedName>
    <definedName name="dsildl6a120_6_5">#REF!</definedName>
    <definedName name="dsildl6a120_6_6">#REF!</definedName>
    <definedName name="dsildl6a120_6_6_5">#REF!</definedName>
    <definedName name="dsildl6a120_6_7">#REF!</definedName>
    <definedName name="dsildl6a120_6_7_5">#REF!</definedName>
    <definedName name="dsildl6a120_6_9">#REF!</definedName>
    <definedName name="dsildl6a120_7">#REF!</definedName>
    <definedName name="dsildl6a120_7_5">#REF!</definedName>
    <definedName name="dsildl6a120_9">#REF!</definedName>
    <definedName name="dsildl6a50">#REF!</definedName>
    <definedName name="dsildl6a50_1">#REF!</definedName>
    <definedName name="dsildl6a50_10">#REF!</definedName>
    <definedName name="dsildl6a50_11">#REF!</definedName>
    <definedName name="dsildl6a50_12">#REF!</definedName>
    <definedName name="dsildl6a50_13">#REF!</definedName>
    <definedName name="dsildl6a50_2">#REF!</definedName>
    <definedName name="dsildl6a50_2_1">#REF!</definedName>
    <definedName name="dsildl6a50_2_1_6">#REF!</definedName>
    <definedName name="dsildl6a50_2_5">#REF!</definedName>
    <definedName name="dsildl6a50_2_6">#REF!</definedName>
    <definedName name="dsildl6a50_2_7">#REF!</definedName>
    <definedName name="dsildl6a50_2_7_5">#REF!</definedName>
    <definedName name="dsildl6a50_3">#REF!</definedName>
    <definedName name="dsildl6a50_3_10">#REF!</definedName>
    <definedName name="dsildl6a50_3_11">#REF!</definedName>
    <definedName name="dsildl6a50_3_12">#REF!</definedName>
    <definedName name="dsildl6a50_3_13">#REF!</definedName>
    <definedName name="dsildl6a50_3_4">#REF!</definedName>
    <definedName name="dsildl6a50_3_4_5">#REF!</definedName>
    <definedName name="dsildl6a50_3_5">#REF!</definedName>
    <definedName name="dsildl6a50_3_6">#REF!</definedName>
    <definedName name="dsildl6a50_3_6_5">#REF!</definedName>
    <definedName name="dsildl6a50_3_7">#REF!</definedName>
    <definedName name="dsildl6a50_3_7_5">#REF!</definedName>
    <definedName name="dsildl6a50_3_9">#REF!</definedName>
    <definedName name="dsildl6a50_4">#REF!</definedName>
    <definedName name="dsildl6a50_4_1">#REF!</definedName>
    <definedName name="dsildl6a50_4_1_5">#REF!</definedName>
    <definedName name="dsildl6a50_4_10">#REF!</definedName>
    <definedName name="dsildl6a50_4_11">#REF!</definedName>
    <definedName name="dsildl6a50_4_12">#REF!</definedName>
    <definedName name="dsildl6a50_4_13">#REF!</definedName>
    <definedName name="dsildl6a50_4_2">#REF!</definedName>
    <definedName name="dsildl6a50_4_2_6">#REF!</definedName>
    <definedName name="dsildl6a50_4_4">#REF!</definedName>
    <definedName name="dsildl6a50_4_4_5">#REF!</definedName>
    <definedName name="dsildl6a50_4_5">#REF!</definedName>
    <definedName name="dsildl6a50_4_6">#REF!</definedName>
    <definedName name="dsildl6a50_4_6_5">#REF!</definedName>
    <definedName name="dsildl6a50_4_7">#REF!</definedName>
    <definedName name="dsildl6a50_4_7_5">#REF!</definedName>
    <definedName name="dsildl6a50_5">#REF!</definedName>
    <definedName name="dsildl6a50_5_2">#REF!</definedName>
    <definedName name="dsildl6a50_5_2_6">#REF!</definedName>
    <definedName name="dsildl6a50_5_4">#REF!</definedName>
    <definedName name="dsildl6a50_5_4_5">#REF!</definedName>
    <definedName name="dsildl6a50_5_5">#REF!</definedName>
    <definedName name="dsildl6a50_5_6">#REF!</definedName>
    <definedName name="dsildl6a50_5_6_5">#REF!</definedName>
    <definedName name="dsildl6a50_5_7">#REF!</definedName>
    <definedName name="dsildl6a50_5_7_5">#REF!</definedName>
    <definedName name="dsildl6a50_6">#REF!</definedName>
    <definedName name="dsildl6a50_6_1">#REF!</definedName>
    <definedName name="dsildl6a50_6_1_5">#REF!</definedName>
    <definedName name="dsildl6a50_6_10">#REF!</definedName>
    <definedName name="dsildl6a50_6_11">#REF!</definedName>
    <definedName name="dsildl6a50_6_12">#REF!</definedName>
    <definedName name="dsildl6a50_6_13">#REF!</definedName>
    <definedName name="dsildl6a50_6_4">#REF!</definedName>
    <definedName name="dsildl6a50_6_4_5">#REF!</definedName>
    <definedName name="dsildl6a50_6_5">#REF!</definedName>
    <definedName name="dsildl6a50_6_6">#REF!</definedName>
    <definedName name="dsildl6a50_6_6_5">#REF!</definedName>
    <definedName name="dsildl6a50_6_7">#REF!</definedName>
    <definedName name="dsildl6a50_6_7_5">#REF!</definedName>
    <definedName name="dsildl6a50_6_9">#REF!</definedName>
    <definedName name="dsildl6a50_7">#REF!</definedName>
    <definedName name="dsildl6a50_7_5">#REF!</definedName>
    <definedName name="dsildl6a50_9">#REF!</definedName>
    <definedName name="dsildl6a60">#REF!</definedName>
    <definedName name="dsildl6a60_1">#REF!</definedName>
    <definedName name="dsildl6a60_10">#REF!</definedName>
    <definedName name="dsildl6a60_11">#REF!</definedName>
    <definedName name="dsildl6a60_12">#REF!</definedName>
    <definedName name="dsildl6a60_13">#REF!</definedName>
    <definedName name="dsildl6a60_2">#REF!</definedName>
    <definedName name="dsildl6a60_2_1">#REF!</definedName>
    <definedName name="dsildl6a60_2_1_6">#REF!</definedName>
    <definedName name="dsildl6a60_2_5">#REF!</definedName>
    <definedName name="dsildl6a60_2_6">#REF!</definedName>
    <definedName name="dsildl6a60_2_7">#REF!</definedName>
    <definedName name="dsildl6a60_2_7_5">#REF!</definedName>
    <definedName name="dsildl6a60_3">#REF!</definedName>
    <definedName name="dsildl6a60_3_10">#REF!</definedName>
    <definedName name="dsildl6a60_3_11">#REF!</definedName>
    <definedName name="dsildl6a60_3_12">#REF!</definedName>
    <definedName name="dsildl6a60_3_13">#REF!</definedName>
    <definedName name="dsildl6a60_3_4">#REF!</definedName>
    <definedName name="dsildl6a60_3_4_5">#REF!</definedName>
    <definedName name="dsildl6a60_3_5">#REF!</definedName>
    <definedName name="dsildl6a60_3_6">#REF!</definedName>
    <definedName name="dsildl6a60_3_6_5">#REF!</definedName>
    <definedName name="dsildl6a60_3_7">#REF!</definedName>
    <definedName name="dsildl6a60_3_7_5">#REF!</definedName>
    <definedName name="dsildl6a60_3_9">#REF!</definedName>
    <definedName name="dsildl6a60_4">#REF!</definedName>
    <definedName name="dsildl6a60_4_1">#REF!</definedName>
    <definedName name="dsildl6a60_4_1_5">#REF!</definedName>
    <definedName name="dsildl6a60_4_10">#REF!</definedName>
    <definedName name="dsildl6a60_4_11">#REF!</definedName>
    <definedName name="dsildl6a60_4_12">#REF!</definedName>
    <definedName name="dsildl6a60_4_13">#REF!</definedName>
    <definedName name="dsildl6a60_4_2">#REF!</definedName>
    <definedName name="dsildl6a60_4_2_6">#REF!</definedName>
    <definedName name="dsildl6a60_4_4">#REF!</definedName>
    <definedName name="dsildl6a60_4_4_5">#REF!</definedName>
    <definedName name="dsildl6a60_4_5">#REF!</definedName>
    <definedName name="dsildl6a60_4_6">#REF!</definedName>
    <definedName name="dsildl6a60_4_6_5">#REF!</definedName>
    <definedName name="dsildl6a60_4_7">#REF!</definedName>
    <definedName name="dsildl6a60_4_7_5">#REF!</definedName>
    <definedName name="dsildl6a60_5">#REF!</definedName>
    <definedName name="dsildl6a60_5_2">#REF!</definedName>
    <definedName name="dsildl6a60_5_2_6">#REF!</definedName>
    <definedName name="dsildl6a60_5_4">#REF!</definedName>
    <definedName name="dsildl6a60_5_4_5">#REF!</definedName>
    <definedName name="dsildl6a60_5_5">#REF!</definedName>
    <definedName name="dsildl6a60_5_6">#REF!</definedName>
    <definedName name="dsildl6a60_5_6_5">#REF!</definedName>
    <definedName name="dsildl6a60_5_7">#REF!</definedName>
    <definedName name="dsildl6a60_5_7_5">#REF!</definedName>
    <definedName name="dsildl6a60_6">#REF!</definedName>
    <definedName name="dsildl6a60_6_1">#REF!</definedName>
    <definedName name="dsildl6a60_6_1_5">#REF!</definedName>
    <definedName name="dsildl6a60_6_10">#REF!</definedName>
    <definedName name="dsildl6a60_6_11">#REF!</definedName>
    <definedName name="dsildl6a60_6_12">#REF!</definedName>
    <definedName name="dsildl6a60_6_13">#REF!</definedName>
    <definedName name="dsildl6a60_6_4">#REF!</definedName>
    <definedName name="dsildl6a60_6_4_5">#REF!</definedName>
    <definedName name="dsildl6a60_6_5">#REF!</definedName>
    <definedName name="dsildl6a60_6_6">#REF!</definedName>
    <definedName name="dsildl6a60_6_6_5">#REF!</definedName>
    <definedName name="dsildl6a60_6_7">#REF!</definedName>
    <definedName name="dsildl6a60_6_7_5">#REF!</definedName>
    <definedName name="dsildl6a60_6_9">#REF!</definedName>
    <definedName name="dsildl6a60_7">#REF!</definedName>
    <definedName name="dsildl6a60_7_5">#REF!</definedName>
    <definedName name="dsildl6a60_9">#REF!</definedName>
    <definedName name="dsildl6a80">#REF!</definedName>
    <definedName name="dsildl6a80_1">#REF!</definedName>
    <definedName name="dsildl6a80_10">#REF!</definedName>
    <definedName name="dsildl6a80_11">#REF!</definedName>
    <definedName name="dsildl6a80_12">#REF!</definedName>
    <definedName name="dsildl6a80_13">#REF!</definedName>
    <definedName name="dsildl6a80_2">#REF!</definedName>
    <definedName name="dsildl6a80_2_1">#REF!</definedName>
    <definedName name="dsildl6a80_2_1_6">#REF!</definedName>
    <definedName name="dsildl6a80_2_5">#REF!</definedName>
    <definedName name="dsildl6a80_2_6">#REF!</definedName>
    <definedName name="dsildl6a80_2_7">#REF!</definedName>
    <definedName name="dsildl6a80_2_7_5">#REF!</definedName>
    <definedName name="dsildl6a80_3">#REF!</definedName>
    <definedName name="dsildl6a80_3_10">#REF!</definedName>
    <definedName name="dsildl6a80_3_11">#REF!</definedName>
    <definedName name="dsildl6a80_3_12">#REF!</definedName>
    <definedName name="dsildl6a80_3_13">#REF!</definedName>
    <definedName name="dsildl6a80_3_4">#REF!</definedName>
    <definedName name="dsildl6a80_3_4_5">#REF!</definedName>
    <definedName name="dsildl6a80_3_5">#REF!</definedName>
    <definedName name="dsildl6a80_3_6">#REF!</definedName>
    <definedName name="dsildl6a80_3_6_5">#REF!</definedName>
    <definedName name="dsildl6a80_3_7">#REF!</definedName>
    <definedName name="dsildl6a80_3_7_5">#REF!</definedName>
    <definedName name="dsildl6a80_3_9">#REF!</definedName>
    <definedName name="dsildl6a80_4">#REF!</definedName>
    <definedName name="dsildl6a80_4_1">#REF!</definedName>
    <definedName name="dsildl6a80_4_1_5">#REF!</definedName>
    <definedName name="dsildl6a80_4_10">#REF!</definedName>
    <definedName name="dsildl6a80_4_11">#REF!</definedName>
    <definedName name="dsildl6a80_4_12">#REF!</definedName>
    <definedName name="dsildl6a80_4_13">#REF!</definedName>
    <definedName name="dsildl6a80_4_2">#REF!</definedName>
    <definedName name="dsildl6a80_4_2_6">#REF!</definedName>
    <definedName name="dsildl6a80_4_4">#REF!</definedName>
    <definedName name="dsildl6a80_4_4_5">#REF!</definedName>
    <definedName name="dsildl6a80_4_5">#REF!</definedName>
    <definedName name="dsildl6a80_4_6">#REF!</definedName>
    <definedName name="dsildl6a80_4_6_5">#REF!</definedName>
    <definedName name="dsildl6a80_4_7">#REF!</definedName>
    <definedName name="dsildl6a80_4_7_5">#REF!</definedName>
    <definedName name="dsildl6a80_5">#REF!</definedName>
    <definedName name="dsildl6a80_5_2">#REF!</definedName>
    <definedName name="dsildl6a80_5_2_6">#REF!</definedName>
    <definedName name="dsildl6a80_5_4">#REF!</definedName>
    <definedName name="dsildl6a80_5_4_5">#REF!</definedName>
    <definedName name="dsildl6a80_5_5">#REF!</definedName>
    <definedName name="dsildl6a80_5_6">#REF!</definedName>
    <definedName name="dsildl6a80_5_6_5">#REF!</definedName>
    <definedName name="dsildl6a80_5_7">#REF!</definedName>
    <definedName name="dsildl6a80_5_7_5">#REF!</definedName>
    <definedName name="dsildl6a80_6">#REF!</definedName>
    <definedName name="dsildl6a80_6_1">#REF!</definedName>
    <definedName name="dsildl6a80_6_1_5">#REF!</definedName>
    <definedName name="dsildl6a80_6_10">#REF!</definedName>
    <definedName name="dsildl6a80_6_11">#REF!</definedName>
    <definedName name="dsildl6a80_6_12">#REF!</definedName>
    <definedName name="dsildl6a80_6_13">#REF!</definedName>
    <definedName name="dsildl6a80_6_4">#REF!</definedName>
    <definedName name="dsildl6a80_6_4_5">#REF!</definedName>
    <definedName name="dsildl6a80_6_5">#REF!</definedName>
    <definedName name="dsildl6a80_6_6">#REF!</definedName>
    <definedName name="dsildl6a80_6_6_5">#REF!</definedName>
    <definedName name="dsildl6a80_6_7">#REF!</definedName>
    <definedName name="dsildl6a80_6_7_5">#REF!</definedName>
    <definedName name="dsildl6a80_6_9">#REF!</definedName>
    <definedName name="dsildl6a80_7">#REF!</definedName>
    <definedName name="dsildl6a80_7_5">#REF!</definedName>
    <definedName name="dsildl6a80_9">#REF!</definedName>
    <definedName name="dsildlug100">#REF!</definedName>
    <definedName name="dsildlug100_1">#REF!</definedName>
    <definedName name="dsildlug100_10">#REF!</definedName>
    <definedName name="dsildlug100_11">#REF!</definedName>
    <definedName name="dsildlug100_12">#REF!</definedName>
    <definedName name="dsildlug100_13">#REF!</definedName>
    <definedName name="dsildlug100_2">#REF!</definedName>
    <definedName name="dsildlug100_2_1">#REF!</definedName>
    <definedName name="dsildlug100_2_1_6">#REF!</definedName>
    <definedName name="dsildlug100_2_5">#REF!</definedName>
    <definedName name="dsildlug100_2_6">#REF!</definedName>
    <definedName name="dsildlug100_2_7">#REF!</definedName>
    <definedName name="dsildlug100_2_7_5">#REF!</definedName>
    <definedName name="dsildlug100_3">#REF!</definedName>
    <definedName name="dsildlug100_3_4">#REF!</definedName>
    <definedName name="dsildlug100_3_4_5">#REF!</definedName>
    <definedName name="dsildlug100_3_5">#REF!</definedName>
    <definedName name="dsildlug100_3_6">#REF!</definedName>
    <definedName name="dsildlug100_3_6_5">#REF!</definedName>
    <definedName name="dsildlug100_3_7">#REF!</definedName>
    <definedName name="dsildlug100_3_7_5">#REF!</definedName>
    <definedName name="dsildlug100_4">#REF!</definedName>
    <definedName name="dsildlug100_4_1">#REF!</definedName>
    <definedName name="dsildlug100_4_1_5">#REF!</definedName>
    <definedName name="dsildlug100_4_10">#REF!</definedName>
    <definedName name="dsildlug100_4_11">#REF!</definedName>
    <definedName name="dsildlug100_4_12">#REF!</definedName>
    <definedName name="dsildlug100_4_13">#REF!</definedName>
    <definedName name="dsildlug100_4_2">#REF!</definedName>
    <definedName name="dsildlug100_4_2_6">#REF!</definedName>
    <definedName name="dsildlug100_4_4">#REF!</definedName>
    <definedName name="dsildlug100_4_4_5">#REF!</definedName>
    <definedName name="dsildlug100_4_5">#REF!</definedName>
    <definedName name="dsildlug100_4_6">#REF!</definedName>
    <definedName name="dsildlug100_4_6_5">#REF!</definedName>
    <definedName name="dsildlug100_4_7">#REF!</definedName>
    <definedName name="dsildlug100_4_7_5">#REF!</definedName>
    <definedName name="dsildlug100_5">#REF!</definedName>
    <definedName name="dsildlug100_5_2">#REF!</definedName>
    <definedName name="dsildlug100_5_2_6">#REF!</definedName>
    <definedName name="dsildlug100_5_4">#REF!</definedName>
    <definedName name="dsildlug100_5_4_5">#REF!</definedName>
    <definedName name="dsildlug100_5_5">#REF!</definedName>
    <definedName name="dsildlug100_5_6">#REF!</definedName>
    <definedName name="dsildlug100_5_6_5">#REF!</definedName>
    <definedName name="dsildlug100_5_7">#REF!</definedName>
    <definedName name="dsildlug100_5_7_5">#REF!</definedName>
    <definedName name="dsildlug100_6">#REF!</definedName>
    <definedName name="dsildlug100_6_1">#REF!</definedName>
    <definedName name="dsildlug100_6_1_5">#REF!</definedName>
    <definedName name="dsildlug100_6_4">#REF!</definedName>
    <definedName name="dsildlug100_6_4_5">#REF!</definedName>
    <definedName name="dsildlug100_6_5">#REF!</definedName>
    <definedName name="dsildlug100_6_6">#REF!</definedName>
    <definedName name="dsildlug100_6_6_5">#REF!</definedName>
    <definedName name="dsildlug100_6_7">#REF!</definedName>
    <definedName name="dsildlug100_6_7_5">#REF!</definedName>
    <definedName name="dsildlug100_7">#REF!</definedName>
    <definedName name="dsildlug100_7_5">#REF!</definedName>
    <definedName name="dsildlug100_9">#REF!</definedName>
    <definedName name="dsildlug120">#REF!</definedName>
    <definedName name="dsildlug120_1">#REF!</definedName>
    <definedName name="dsildlug120_10">#REF!</definedName>
    <definedName name="dsildlug120_11">#REF!</definedName>
    <definedName name="dsildlug120_12">#REF!</definedName>
    <definedName name="dsildlug120_13">#REF!</definedName>
    <definedName name="dsildlug120_2">#REF!</definedName>
    <definedName name="dsildlug120_2_1">#REF!</definedName>
    <definedName name="dsildlug120_2_1_6">#REF!</definedName>
    <definedName name="dsildlug120_2_5">#REF!</definedName>
    <definedName name="dsildlug120_2_6">#REF!</definedName>
    <definedName name="dsildlug120_2_7">#REF!</definedName>
    <definedName name="dsildlug120_2_7_5">#REF!</definedName>
    <definedName name="dsildlug120_3">#REF!</definedName>
    <definedName name="dsildlug120_3_4">#REF!</definedName>
    <definedName name="dsildlug120_3_4_5">#REF!</definedName>
    <definedName name="dsildlug120_3_5">#REF!</definedName>
    <definedName name="dsildlug120_3_6">#REF!</definedName>
    <definedName name="dsildlug120_3_6_5">#REF!</definedName>
    <definedName name="dsildlug120_3_7">#REF!</definedName>
    <definedName name="dsildlug120_3_7_5">#REF!</definedName>
    <definedName name="dsildlug120_4">#REF!</definedName>
    <definedName name="dsildlug120_4_1">#REF!</definedName>
    <definedName name="dsildlug120_4_1_5">#REF!</definedName>
    <definedName name="dsildlug120_4_10">#REF!</definedName>
    <definedName name="dsildlug120_4_11">#REF!</definedName>
    <definedName name="dsildlug120_4_12">#REF!</definedName>
    <definedName name="dsildlug120_4_13">#REF!</definedName>
    <definedName name="dsildlug120_4_2">#REF!</definedName>
    <definedName name="dsildlug120_4_2_6">#REF!</definedName>
    <definedName name="dsildlug120_4_4">#REF!</definedName>
    <definedName name="dsildlug120_4_4_5">#REF!</definedName>
    <definedName name="dsildlug120_4_5">#REF!</definedName>
    <definedName name="dsildlug120_4_6">#REF!</definedName>
    <definedName name="dsildlug120_4_6_5">#REF!</definedName>
    <definedName name="dsildlug120_4_7">#REF!</definedName>
    <definedName name="dsildlug120_4_7_5">#REF!</definedName>
    <definedName name="dsildlug120_5">#REF!</definedName>
    <definedName name="dsildlug120_5_2">#REF!</definedName>
    <definedName name="dsildlug120_5_2_6">#REF!</definedName>
    <definedName name="dsildlug120_5_4">#REF!</definedName>
    <definedName name="dsildlug120_5_4_5">#REF!</definedName>
    <definedName name="dsildlug120_5_5">#REF!</definedName>
    <definedName name="dsildlug120_5_6">#REF!</definedName>
    <definedName name="dsildlug120_5_6_5">#REF!</definedName>
    <definedName name="dsildlug120_5_7">#REF!</definedName>
    <definedName name="dsildlug120_5_7_5">#REF!</definedName>
    <definedName name="dsildlug120_6">#REF!</definedName>
    <definedName name="dsildlug120_6_1">#REF!</definedName>
    <definedName name="dsildlug120_6_1_5">#REF!</definedName>
    <definedName name="dsildlug120_6_4">#REF!</definedName>
    <definedName name="dsildlug120_6_4_5">#REF!</definedName>
    <definedName name="dsildlug120_6_5">#REF!</definedName>
    <definedName name="dsildlug120_6_6">#REF!</definedName>
    <definedName name="dsildlug120_6_6_5">#REF!</definedName>
    <definedName name="dsildlug120_6_7">#REF!</definedName>
    <definedName name="dsildlug120_6_7_5">#REF!</definedName>
    <definedName name="dsildlug120_7">#REF!</definedName>
    <definedName name="dsildlug120_7_5">#REF!</definedName>
    <definedName name="dsildlug120_9">#REF!</definedName>
    <definedName name="dsildlug50">#REF!</definedName>
    <definedName name="dsildlug50_1">#REF!</definedName>
    <definedName name="dsildlug50_10">#REF!</definedName>
    <definedName name="dsildlug50_11">#REF!</definedName>
    <definedName name="dsildlug50_12">#REF!</definedName>
    <definedName name="dsildlug50_13">#REF!</definedName>
    <definedName name="dsildlug50_2">#REF!</definedName>
    <definedName name="dsildlug50_2_1">#REF!</definedName>
    <definedName name="dsildlug50_2_1_6">#REF!</definedName>
    <definedName name="dsildlug50_2_5">#REF!</definedName>
    <definedName name="dsildlug50_2_6">#REF!</definedName>
    <definedName name="dsildlug50_2_7">#REF!</definedName>
    <definedName name="dsildlug50_2_7_5">#REF!</definedName>
    <definedName name="dsildlug50_3">#REF!</definedName>
    <definedName name="dsildlug50_3_4">#REF!</definedName>
    <definedName name="dsildlug50_3_4_5">#REF!</definedName>
    <definedName name="dsildlug50_3_5">#REF!</definedName>
    <definedName name="dsildlug50_3_6">#REF!</definedName>
    <definedName name="dsildlug50_3_6_5">#REF!</definedName>
    <definedName name="dsildlug50_3_7">#REF!</definedName>
    <definedName name="dsildlug50_3_7_5">#REF!</definedName>
    <definedName name="dsildlug50_4">#REF!</definedName>
    <definedName name="dsildlug50_4_1">#REF!</definedName>
    <definedName name="dsildlug50_4_1_5">#REF!</definedName>
    <definedName name="dsildlug50_4_10">#REF!</definedName>
    <definedName name="dsildlug50_4_11">#REF!</definedName>
    <definedName name="dsildlug50_4_12">#REF!</definedName>
    <definedName name="dsildlug50_4_13">#REF!</definedName>
    <definedName name="dsildlug50_4_2">#REF!</definedName>
    <definedName name="dsildlug50_4_2_6">#REF!</definedName>
    <definedName name="dsildlug50_4_4">#REF!</definedName>
    <definedName name="dsildlug50_4_4_5">#REF!</definedName>
    <definedName name="dsildlug50_4_5">#REF!</definedName>
    <definedName name="dsildlug50_4_6">#REF!</definedName>
    <definedName name="dsildlug50_4_6_5">#REF!</definedName>
    <definedName name="dsildlug50_4_7">#REF!</definedName>
    <definedName name="dsildlug50_4_7_5">#REF!</definedName>
    <definedName name="dsildlug50_5">#REF!</definedName>
    <definedName name="dsildlug50_5_2">#REF!</definedName>
    <definedName name="dsildlug50_5_2_6">#REF!</definedName>
    <definedName name="dsildlug50_5_4">#REF!</definedName>
    <definedName name="dsildlug50_5_4_5">#REF!</definedName>
    <definedName name="dsildlug50_5_5">#REF!</definedName>
    <definedName name="dsildlug50_5_6">#REF!</definedName>
    <definedName name="dsildlug50_5_6_5">#REF!</definedName>
    <definedName name="dsildlug50_5_7">#REF!</definedName>
    <definedName name="dsildlug50_5_7_5">#REF!</definedName>
    <definedName name="dsildlug50_6">#REF!</definedName>
    <definedName name="dsildlug50_6_1">#REF!</definedName>
    <definedName name="dsildlug50_6_1_5">#REF!</definedName>
    <definedName name="dsildlug50_6_4">#REF!</definedName>
    <definedName name="dsildlug50_6_4_5">#REF!</definedName>
    <definedName name="dsildlug50_6_5">#REF!</definedName>
    <definedName name="dsildlug50_6_6">#REF!</definedName>
    <definedName name="dsildlug50_6_6_5">#REF!</definedName>
    <definedName name="dsildlug50_6_7">#REF!</definedName>
    <definedName name="dsildlug50_6_7_5">#REF!</definedName>
    <definedName name="dsildlug50_7">#REF!</definedName>
    <definedName name="dsildlug50_7_5">#REF!</definedName>
    <definedName name="dsildlug50_9">#REF!</definedName>
    <definedName name="dsildlug60">#REF!</definedName>
    <definedName name="dsildlug60_1">#REF!</definedName>
    <definedName name="dsildlug60_10">#REF!</definedName>
    <definedName name="dsildlug60_11">#REF!</definedName>
    <definedName name="dsildlug60_12">#REF!</definedName>
    <definedName name="dsildlug60_13">#REF!</definedName>
    <definedName name="dsildlug60_2">#REF!</definedName>
    <definedName name="dsildlug60_2_1">#REF!</definedName>
    <definedName name="dsildlug60_2_1_6">#REF!</definedName>
    <definedName name="dsildlug60_2_5">#REF!</definedName>
    <definedName name="dsildlug60_2_6">#REF!</definedName>
    <definedName name="dsildlug60_2_7">#REF!</definedName>
    <definedName name="dsildlug60_2_7_5">#REF!</definedName>
    <definedName name="dsildlug60_3">#REF!</definedName>
    <definedName name="dsildlug60_3_4">#REF!</definedName>
    <definedName name="dsildlug60_3_4_5">#REF!</definedName>
    <definedName name="dsildlug60_3_5">#REF!</definedName>
    <definedName name="dsildlug60_3_6">#REF!</definedName>
    <definedName name="dsildlug60_3_6_5">#REF!</definedName>
    <definedName name="dsildlug60_3_7">#REF!</definedName>
    <definedName name="dsildlug60_3_7_5">#REF!</definedName>
    <definedName name="dsildlug60_4">#REF!</definedName>
    <definedName name="dsildlug60_4_1">#REF!</definedName>
    <definedName name="dsildlug60_4_1_5">#REF!</definedName>
    <definedName name="dsildlug60_4_10">#REF!</definedName>
    <definedName name="dsildlug60_4_11">#REF!</definedName>
    <definedName name="dsildlug60_4_12">#REF!</definedName>
    <definedName name="dsildlug60_4_13">#REF!</definedName>
    <definedName name="dsildlug60_4_2">#REF!</definedName>
    <definedName name="dsildlug60_4_2_6">#REF!</definedName>
    <definedName name="dsildlug60_4_4">#REF!</definedName>
    <definedName name="dsildlug60_4_4_5">#REF!</definedName>
    <definedName name="dsildlug60_4_5">#REF!</definedName>
    <definedName name="dsildlug60_4_6">#REF!</definedName>
    <definedName name="dsildlug60_4_6_5">#REF!</definedName>
    <definedName name="dsildlug60_4_7">#REF!</definedName>
    <definedName name="dsildlug60_4_7_5">#REF!</definedName>
    <definedName name="dsildlug60_5">#REF!</definedName>
    <definedName name="dsildlug60_5_2">#REF!</definedName>
    <definedName name="dsildlug60_5_2_6">#REF!</definedName>
    <definedName name="dsildlug60_5_4">#REF!</definedName>
    <definedName name="dsildlug60_5_4_5">#REF!</definedName>
    <definedName name="dsildlug60_5_5">#REF!</definedName>
    <definedName name="dsildlug60_5_6">#REF!</definedName>
    <definedName name="dsildlug60_5_6_5">#REF!</definedName>
    <definedName name="dsildlug60_5_7">#REF!</definedName>
    <definedName name="dsildlug60_5_7_5">#REF!</definedName>
    <definedName name="dsildlug60_6">#REF!</definedName>
    <definedName name="dsildlug60_6_1">#REF!</definedName>
    <definedName name="dsildlug60_6_1_5">#REF!</definedName>
    <definedName name="dsildlug60_6_4">#REF!</definedName>
    <definedName name="dsildlug60_6_4_5">#REF!</definedName>
    <definedName name="dsildlug60_6_5">#REF!</definedName>
    <definedName name="dsildlug60_6_6">#REF!</definedName>
    <definedName name="dsildlug60_6_6_5">#REF!</definedName>
    <definedName name="dsildlug60_6_7">#REF!</definedName>
    <definedName name="dsildlug60_6_7_5">#REF!</definedName>
    <definedName name="dsildlug60_7">#REF!</definedName>
    <definedName name="dsildlug60_7_5">#REF!</definedName>
    <definedName name="dsildlug60_9">#REF!</definedName>
    <definedName name="dsildlug80">#REF!</definedName>
    <definedName name="dsildlug80_1">#REF!</definedName>
    <definedName name="dsildlug80_10">#REF!</definedName>
    <definedName name="dsildlug80_11">#REF!</definedName>
    <definedName name="dsildlug80_12">#REF!</definedName>
    <definedName name="dsildlug80_13">#REF!</definedName>
    <definedName name="dsildlug80_2">#REF!</definedName>
    <definedName name="dsildlug80_2_1">#REF!</definedName>
    <definedName name="dsildlug80_2_1_6">#REF!</definedName>
    <definedName name="dsildlug80_2_5">#REF!</definedName>
    <definedName name="dsildlug80_2_6">#REF!</definedName>
    <definedName name="dsildlug80_2_7">#REF!</definedName>
    <definedName name="dsildlug80_2_7_5">#REF!</definedName>
    <definedName name="dsildlug80_3">#REF!</definedName>
    <definedName name="dsildlug80_3_4">#REF!</definedName>
    <definedName name="dsildlug80_3_4_5">#REF!</definedName>
    <definedName name="dsildlug80_3_5">#REF!</definedName>
    <definedName name="dsildlug80_3_6">#REF!</definedName>
    <definedName name="dsildlug80_3_6_5">#REF!</definedName>
    <definedName name="dsildlug80_3_7">#REF!</definedName>
    <definedName name="dsildlug80_3_7_5">#REF!</definedName>
    <definedName name="dsildlug80_4">#REF!</definedName>
    <definedName name="dsildlug80_4_1">#REF!</definedName>
    <definedName name="dsildlug80_4_1_5">#REF!</definedName>
    <definedName name="dsildlug80_4_10">#REF!</definedName>
    <definedName name="dsildlug80_4_11">#REF!</definedName>
    <definedName name="dsildlug80_4_12">#REF!</definedName>
    <definedName name="dsildlug80_4_13">#REF!</definedName>
    <definedName name="dsildlug80_4_2">#REF!</definedName>
    <definedName name="dsildlug80_4_2_6">#REF!</definedName>
    <definedName name="dsildlug80_4_4">#REF!</definedName>
    <definedName name="dsildlug80_4_4_5">#REF!</definedName>
    <definedName name="dsildlug80_4_5">#REF!</definedName>
    <definedName name="dsildlug80_4_6">#REF!</definedName>
    <definedName name="dsildlug80_4_6_5">#REF!</definedName>
    <definedName name="dsildlug80_4_7">#REF!</definedName>
    <definedName name="dsildlug80_4_7_5">#REF!</definedName>
    <definedName name="dsildlug80_5">#REF!</definedName>
    <definedName name="dsildlug80_5_2">#REF!</definedName>
    <definedName name="dsildlug80_5_2_6">#REF!</definedName>
    <definedName name="dsildlug80_5_4">#REF!</definedName>
    <definedName name="dsildlug80_5_4_5">#REF!</definedName>
    <definedName name="dsildlug80_5_5">#REF!</definedName>
    <definedName name="dsildlug80_5_6">#REF!</definedName>
    <definedName name="dsildlug80_5_6_5">#REF!</definedName>
    <definedName name="dsildlug80_5_7">#REF!</definedName>
    <definedName name="dsildlug80_5_7_5">#REF!</definedName>
    <definedName name="dsildlug80_6">#REF!</definedName>
    <definedName name="dsildlug80_6_1">#REF!</definedName>
    <definedName name="dsildlug80_6_1_5">#REF!</definedName>
    <definedName name="dsildlug80_6_4">#REF!</definedName>
    <definedName name="dsildlug80_6_4_5">#REF!</definedName>
    <definedName name="dsildlug80_6_5">#REF!</definedName>
    <definedName name="dsildlug80_6_6">#REF!</definedName>
    <definedName name="dsildlug80_6_6_5">#REF!</definedName>
    <definedName name="dsildlug80_6_7">#REF!</definedName>
    <definedName name="dsildlug80_6_7_5">#REF!</definedName>
    <definedName name="dsildlug80_7">#REF!</definedName>
    <definedName name="dsildlug80_7_5">#REF!</definedName>
    <definedName name="dsildlug80_9">#REF!</definedName>
    <definedName name="dsill1100">#REF!</definedName>
    <definedName name="dsill1100_1">#REF!</definedName>
    <definedName name="dsill1100_10">#REF!</definedName>
    <definedName name="dsill1100_11">#REF!</definedName>
    <definedName name="dsill1100_12">#REF!</definedName>
    <definedName name="dsill1100_13">#REF!</definedName>
    <definedName name="dsill1100_2">#REF!</definedName>
    <definedName name="dsill1100_2_1">#REF!</definedName>
    <definedName name="dsill1100_2_1_6">#REF!</definedName>
    <definedName name="dsill1100_2_5">#REF!</definedName>
    <definedName name="dsill1100_2_6">#REF!</definedName>
    <definedName name="dsill1100_2_7">#REF!</definedName>
    <definedName name="dsill1100_2_7_5">#REF!</definedName>
    <definedName name="dsill1100_3">#REF!</definedName>
    <definedName name="dsill1100_3_10">#REF!</definedName>
    <definedName name="dsill1100_3_11">#REF!</definedName>
    <definedName name="dsill1100_3_12">#REF!</definedName>
    <definedName name="dsill1100_3_13">#REF!</definedName>
    <definedName name="dsill1100_3_4">#REF!</definedName>
    <definedName name="dsill1100_3_4_5">#REF!</definedName>
    <definedName name="dsill1100_3_5">#REF!</definedName>
    <definedName name="dsill1100_3_6">#REF!</definedName>
    <definedName name="dsill1100_3_6_5">#REF!</definedName>
    <definedName name="dsill1100_3_7">#REF!</definedName>
    <definedName name="dsill1100_3_7_5">#REF!</definedName>
    <definedName name="dsill1100_3_9">#REF!</definedName>
    <definedName name="dsill1100_4">#REF!</definedName>
    <definedName name="dsill1100_4_1">#REF!</definedName>
    <definedName name="dsill1100_4_1_5">#REF!</definedName>
    <definedName name="dsill1100_4_10">#REF!</definedName>
    <definedName name="dsill1100_4_11">#REF!</definedName>
    <definedName name="dsill1100_4_12">#REF!</definedName>
    <definedName name="dsill1100_4_13">#REF!</definedName>
    <definedName name="dsill1100_4_2">#REF!</definedName>
    <definedName name="dsill1100_4_2_6">#REF!</definedName>
    <definedName name="dsill1100_4_4">#REF!</definedName>
    <definedName name="dsill1100_4_4_5">#REF!</definedName>
    <definedName name="dsill1100_4_5">#REF!</definedName>
    <definedName name="dsill1100_4_6">#REF!</definedName>
    <definedName name="dsill1100_4_6_5">#REF!</definedName>
    <definedName name="dsill1100_4_7">#REF!</definedName>
    <definedName name="dsill1100_4_7_5">#REF!</definedName>
    <definedName name="dsill1100_5">#REF!</definedName>
    <definedName name="dsill1100_5_2">#REF!</definedName>
    <definedName name="dsill1100_5_2_6">#REF!</definedName>
    <definedName name="dsill1100_5_4">#REF!</definedName>
    <definedName name="dsill1100_5_4_5">#REF!</definedName>
    <definedName name="dsill1100_5_5">#REF!</definedName>
    <definedName name="dsill1100_5_6">#REF!</definedName>
    <definedName name="dsill1100_5_6_5">#REF!</definedName>
    <definedName name="dsill1100_5_7">#REF!</definedName>
    <definedName name="dsill1100_5_7_5">#REF!</definedName>
    <definedName name="dsill1100_6">#REF!</definedName>
    <definedName name="dsill1100_6_1">#REF!</definedName>
    <definedName name="dsill1100_6_1_5">#REF!</definedName>
    <definedName name="dsill1100_6_10">#REF!</definedName>
    <definedName name="dsill1100_6_11">#REF!</definedName>
    <definedName name="dsill1100_6_12">#REF!</definedName>
    <definedName name="dsill1100_6_13">#REF!</definedName>
    <definedName name="dsill1100_6_4">#REF!</definedName>
    <definedName name="dsill1100_6_4_5">#REF!</definedName>
    <definedName name="dsill1100_6_5">#REF!</definedName>
    <definedName name="dsill1100_6_6">#REF!</definedName>
    <definedName name="dsill1100_6_6_5">#REF!</definedName>
    <definedName name="dsill1100_6_7">#REF!</definedName>
    <definedName name="dsill1100_6_7_5">#REF!</definedName>
    <definedName name="dsill1100_6_9">#REF!</definedName>
    <definedName name="dsill1100_7">#REF!</definedName>
    <definedName name="dsill1100_7_5">#REF!</definedName>
    <definedName name="dsill1100_9">#REF!</definedName>
    <definedName name="dsill1120">#REF!</definedName>
    <definedName name="dsill1120_1">#REF!</definedName>
    <definedName name="dsill1120_10">#REF!</definedName>
    <definedName name="dsill1120_11">#REF!</definedName>
    <definedName name="dsill1120_12">#REF!</definedName>
    <definedName name="dsill1120_13">#REF!</definedName>
    <definedName name="dsill1120_2">#REF!</definedName>
    <definedName name="dsill1120_2_1">#REF!</definedName>
    <definedName name="dsill1120_2_1_6">#REF!</definedName>
    <definedName name="dsill1120_2_5">#REF!</definedName>
    <definedName name="dsill1120_2_6">#REF!</definedName>
    <definedName name="dsill1120_2_7">#REF!</definedName>
    <definedName name="dsill1120_2_7_5">#REF!</definedName>
    <definedName name="dsill1120_3">#REF!</definedName>
    <definedName name="dsill1120_3_10">#REF!</definedName>
    <definedName name="dsill1120_3_11">#REF!</definedName>
    <definedName name="dsill1120_3_12">#REF!</definedName>
    <definedName name="dsill1120_3_13">#REF!</definedName>
    <definedName name="dsill1120_3_4">#REF!</definedName>
    <definedName name="dsill1120_3_4_5">#REF!</definedName>
    <definedName name="dsill1120_3_5">#REF!</definedName>
    <definedName name="dsill1120_3_6">#REF!</definedName>
    <definedName name="dsill1120_3_6_5">#REF!</definedName>
    <definedName name="dsill1120_3_7">#REF!</definedName>
    <definedName name="dsill1120_3_7_5">#REF!</definedName>
    <definedName name="dsill1120_3_9">#REF!</definedName>
    <definedName name="dsill1120_4">#REF!</definedName>
    <definedName name="dsill1120_4_1">#REF!</definedName>
    <definedName name="dsill1120_4_1_5">#REF!</definedName>
    <definedName name="dsill1120_4_10">#REF!</definedName>
    <definedName name="dsill1120_4_11">#REF!</definedName>
    <definedName name="dsill1120_4_12">#REF!</definedName>
    <definedName name="dsill1120_4_13">#REF!</definedName>
    <definedName name="dsill1120_4_2">#REF!</definedName>
    <definedName name="dsill1120_4_2_6">#REF!</definedName>
    <definedName name="dsill1120_4_4">#REF!</definedName>
    <definedName name="dsill1120_4_4_5">#REF!</definedName>
    <definedName name="dsill1120_4_5">#REF!</definedName>
    <definedName name="dsill1120_4_6">#REF!</definedName>
    <definedName name="dsill1120_4_6_5">#REF!</definedName>
    <definedName name="dsill1120_4_7">#REF!</definedName>
    <definedName name="dsill1120_4_7_5">#REF!</definedName>
    <definedName name="dsill1120_5">#REF!</definedName>
    <definedName name="dsill1120_5_2">#REF!</definedName>
    <definedName name="dsill1120_5_2_6">#REF!</definedName>
    <definedName name="dsill1120_5_4">#REF!</definedName>
    <definedName name="dsill1120_5_4_5">#REF!</definedName>
    <definedName name="dsill1120_5_5">#REF!</definedName>
    <definedName name="dsill1120_5_6">#REF!</definedName>
    <definedName name="dsill1120_5_6_5">#REF!</definedName>
    <definedName name="dsill1120_5_7">#REF!</definedName>
    <definedName name="dsill1120_5_7_5">#REF!</definedName>
    <definedName name="dsill1120_6">#REF!</definedName>
    <definedName name="dsill1120_6_1">#REF!</definedName>
    <definedName name="dsill1120_6_1_5">#REF!</definedName>
    <definedName name="dsill1120_6_10">#REF!</definedName>
    <definedName name="dsill1120_6_11">#REF!</definedName>
    <definedName name="dsill1120_6_12">#REF!</definedName>
    <definedName name="dsill1120_6_13">#REF!</definedName>
    <definedName name="dsill1120_6_4">#REF!</definedName>
    <definedName name="dsill1120_6_4_5">#REF!</definedName>
    <definedName name="dsill1120_6_5">#REF!</definedName>
    <definedName name="dsill1120_6_6">#REF!</definedName>
    <definedName name="dsill1120_6_6_5">#REF!</definedName>
    <definedName name="dsill1120_6_7">#REF!</definedName>
    <definedName name="dsill1120_6_7_5">#REF!</definedName>
    <definedName name="dsill1120_6_9">#REF!</definedName>
    <definedName name="dsill1120_7">#REF!</definedName>
    <definedName name="dsill1120_7_5">#REF!</definedName>
    <definedName name="dsill1120_9">#REF!</definedName>
    <definedName name="dsill150">#REF!</definedName>
    <definedName name="dsill150_1">#REF!</definedName>
    <definedName name="dsill150_10">#REF!</definedName>
    <definedName name="dsill150_11">#REF!</definedName>
    <definedName name="dsill150_12">#REF!</definedName>
    <definedName name="dsill150_13">#REF!</definedName>
    <definedName name="dsill150_2">#REF!</definedName>
    <definedName name="dsill150_2_1">#REF!</definedName>
    <definedName name="dsill150_2_1_6">#REF!</definedName>
    <definedName name="dsill150_2_5">#REF!</definedName>
    <definedName name="dsill150_2_6">#REF!</definedName>
    <definedName name="dsill150_2_7">#REF!</definedName>
    <definedName name="dsill150_2_7_5">#REF!</definedName>
    <definedName name="dsill150_3">#REF!</definedName>
    <definedName name="dsill150_3_10">#REF!</definedName>
    <definedName name="dsill150_3_11">#REF!</definedName>
    <definedName name="dsill150_3_12">#REF!</definedName>
    <definedName name="dsill150_3_13">#REF!</definedName>
    <definedName name="dsill150_3_4">#REF!</definedName>
    <definedName name="dsill150_3_4_5">#REF!</definedName>
    <definedName name="dsill150_3_5">#REF!</definedName>
    <definedName name="dsill150_3_6">#REF!</definedName>
    <definedName name="dsill150_3_6_5">#REF!</definedName>
    <definedName name="dsill150_3_7">#REF!</definedName>
    <definedName name="dsill150_3_7_5">#REF!</definedName>
    <definedName name="dsill150_3_9">#REF!</definedName>
    <definedName name="dsill150_4">#REF!</definedName>
    <definedName name="dsill150_4_1">#REF!</definedName>
    <definedName name="dsill150_4_1_5">#REF!</definedName>
    <definedName name="dsill150_4_10">#REF!</definedName>
    <definedName name="dsill150_4_11">#REF!</definedName>
    <definedName name="dsill150_4_12">#REF!</definedName>
    <definedName name="dsill150_4_13">#REF!</definedName>
    <definedName name="dsill150_4_2">#REF!</definedName>
    <definedName name="dsill150_4_2_6">#REF!</definedName>
    <definedName name="dsill150_4_4">#REF!</definedName>
    <definedName name="dsill150_4_4_5">#REF!</definedName>
    <definedName name="dsill150_4_5">#REF!</definedName>
    <definedName name="dsill150_4_6">#REF!</definedName>
    <definedName name="dsill150_4_6_5">#REF!</definedName>
    <definedName name="dsill150_4_7">#REF!</definedName>
    <definedName name="dsill150_4_7_5">#REF!</definedName>
    <definedName name="dsill150_5">#REF!</definedName>
    <definedName name="dsill150_5_2">#REF!</definedName>
    <definedName name="dsill150_5_2_6">#REF!</definedName>
    <definedName name="dsill150_5_4">#REF!</definedName>
    <definedName name="dsill150_5_4_5">#REF!</definedName>
    <definedName name="dsill150_5_5">#REF!</definedName>
    <definedName name="dsill150_5_6">#REF!</definedName>
    <definedName name="dsill150_5_6_5">#REF!</definedName>
    <definedName name="dsill150_5_7">#REF!</definedName>
    <definedName name="dsill150_5_7_5">#REF!</definedName>
    <definedName name="dsill150_6">#REF!</definedName>
    <definedName name="dsill150_6_1">#REF!</definedName>
    <definedName name="dsill150_6_1_5">#REF!</definedName>
    <definedName name="dsill150_6_10">#REF!</definedName>
    <definedName name="dsill150_6_11">#REF!</definedName>
    <definedName name="dsill150_6_12">#REF!</definedName>
    <definedName name="dsill150_6_13">#REF!</definedName>
    <definedName name="dsill150_6_4">#REF!</definedName>
    <definedName name="dsill150_6_4_5">#REF!</definedName>
    <definedName name="dsill150_6_5">#REF!</definedName>
    <definedName name="dsill150_6_6">#REF!</definedName>
    <definedName name="dsill150_6_6_5">#REF!</definedName>
    <definedName name="dsill150_6_7">#REF!</definedName>
    <definedName name="dsill150_6_7_5">#REF!</definedName>
    <definedName name="dsill150_6_9">#REF!</definedName>
    <definedName name="dsill150_7">#REF!</definedName>
    <definedName name="dsill150_7_5">#REF!</definedName>
    <definedName name="dsill150_9">#REF!</definedName>
    <definedName name="dsill160">#REF!</definedName>
    <definedName name="dsill160_1">#REF!</definedName>
    <definedName name="dsill160_10">#REF!</definedName>
    <definedName name="dsill160_11">#REF!</definedName>
    <definedName name="dsill160_12">#REF!</definedName>
    <definedName name="dsill160_13">#REF!</definedName>
    <definedName name="dsill160_2">#REF!</definedName>
    <definedName name="dsill160_2_1">#REF!</definedName>
    <definedName name="dsill160_2_1_6">#REF!</definedName>
    <definedName name="dsill160_2_5">#REF!</definedName>
    <definedName name="dsill160_2_6">#REF!</definedName>
    <definedName name="dsill160_2_7">#REF!</definedName>
    <definedName name="dsill160_2_7_5">#REF!</definedName>
    <definedName name="dsill160_3">#REF!</definedName>
    <definedName name="dsill160_3_10">#REF!</definedName>
    <definedName name="dsill160_3_11">#REF!</definedName>
    <definedName name="dsill160_3_12">#REF!</definedName>
    <definedName name="dsill160_3_13">#REF!</definedName>
    <definedName name="dsill160_3_4">#REF!</definedName>
    <definedName name="dsill160_3_4_5">#REF!</definedName>
    <definedName name="dsill160_3_5">#REF!</definedName>
    <definedName name="dsill160_3_6">#REF!</definedName>
    <definedName name="dsill160_3_6_5">#REF!</definedName>
    <definedName name="dsill160_3_7">#REF!</definedName>
    <definedName name="dsill160_3_7_5">#REF!</definedName>
    <definedName name="dsill160_3_9">#REF!</definedName>
    <definedName name="dsill160_4">#REF!</definedName>
    <definedName name="dsill160_4_1">#REF!</definedName>
    <definedName name="dsill160_4_1_5">#REF!</definedName>
    <definedName name="dsill160_4_10">#REF!</definedName>
    <definedName name="dsill160_4_11">#REF!</definedName>
    <definedName name="dsill160_4_12">#REF!</definedName>
    <definedName name="dsill160_4_13">#REF!</definedName>
    <definedName name="dsill160_4_2">#REF!</definedName>
    <definedName name="dsill160_4_2_6">#REF!</definedName>
    <definedName name="dsill160_4_4">#REF!</definedName>
    <definedName name="dsill160_4_4_5">#REF!</definedName>
    <definedName name="dsill160_4_5">#REF!</definedName>
    <definedName name="dsill160_4_6">#REF!</definedName>
    <definedName name="dsill160_4_6_5">#REF!</definedName>
    <definedName name="dsill160_4_7">#REF!</definedName>
    <definedName name="dsill160_4_7_5">#REF!</definedName>
    <definedName name="dsill160_5">#REF!</definedName>
    <definedName name="dsill160_5_2">#REF!</definedName>
    <definedName name="dsill160_5_2_6">#REF!</definedName>
    <definedName name="dsill160_5_4">#REF!</definedName>
    <definedName name="dsill160_5_4_5">#REF!</definedName>
    <definedName name="dsill160_5_5">#REF!</definedName>
    <definedName name="dsill160_5_6">#REF!</definedName>
    <definedName name="dsill160_5_6_5">#REF!</definedName>
    <definedName name="dsill160_5_7">#REF!</definedName>
    <definedName name="dsill160_5_7_5">#REF!</definedName>
    <definedName name="dsill160_6">#REF!</definedName>
    <definedName name="dsill160_6_1">#REF!</definedName>
    <definedName name="dsill160_6_1_5">#REF!</definedName>
    <definedName name="dsill160_6_10">#REF!</definedName>
    <definedName name="dsill160_6_11">#REF!</definedName>
    <definedName name="dsill160_6_12">#REF!</definedName>
    <definedName name="dsill160_6_13">#REF!</definedName>
    <definedName name="dsill160_6_4">#REF!</definedName>
    <definedName name="dsill160_6_4_5">#REF!</definedName>
    <definedName name="dsill160_6_5">#REF!</definedName>
    <definedName name="dsill160_6_6">#REF!</definedName>
    <definedName name="dsill160_6_6_5">#REF!</definedName>
    <definedName name="dsill160_6_7">#REF!</definedName>
    <definedName name="dsill160_6_7_5">#REF!</definedName>
    <definedName name="dsill160_6_9">#REF!</definedName>
    <definedName name="dsill160_7">#REF!</definedName>
    <definedName name="dsill160_7_5">#REF!</definedName>
    <definedName name="dsill160_9">#REF!</definedName>
    <definedName name="dsill180">#REF!</definedName>
    <definedName name="dsill180_1">#REF!</definedName>
    <definedName name="dsill180_10">#REF!</definedName>
    <definedName name="dsill180_11">#REF!</definedName>
    <definedName name="dsill180_12">#REF!</definedName>
    <definedName name="dsill180_13">#REF!</definedName>
    <definedName name="dsill180_2">#REF!</definedName>
    <definedName name="dsill180_2_1">#REF!</definedName>
    <definedName name="dsill180_2_1_6">#REF!</definedName>
    <definedName name="dsill180_2_6">#REF!</definedName>
    <definedName name="dsill180_2_7">#REF!</definedName>
    <definedName name="dsill180_3">#REF!</definedName>
    <definedName name="dsill180_3_4">#REF!</definedName>
    <definedName name="dsill180_3_6">#REF!</definedName>
    <definedName name="dsill180_3_7">#REF!</definedName>
    <definedName name="dsill180_4">#REF!</definedName>
    <definedName name="dsill180_4_1">#REF!</definedName>
    <definedName name="dsill180_4_2">#REF!</definedName>
    <definedName name="dsill180_4_2_6">#REF!</definedName>
    <definedName name="dsill180_4_4">#REF!</definedName>
    <definedName name="dsill180_4_6">#REF!</definedName>
    <definedName name="dsill180_4_7">#REF!</definedName>
    <definedName name="dsill180_5">#REF!</definedName>
    <definedName name="dsill180_5_2">#REF!</definedName>
    <definedName name="dsill180_5_2_6">#REF!</definedName>
    <definedName name="dsill180_5_4">#REF!</definedName>
    <definedName name="dsill180_5_6">#REF!</definedName>
    <definedName name="dsill180_5_7">#REF!</definedName>
    <definedName name="dsill180_6">#REF!</definedName>
    <definedName name="dsill180_6_1">#REF!</definedName>
    <definedName name="dsill180_6_4">#REF!</definedName>
    <definedName name="dsill180_6_6">#REF!</definedName>
    <definedName name="dsill180_6_7">#REF!</definedName>
    <definedName name="dsill180_7">#REF!</definedName>
    <definedName name="dsill3100">#REF!</definedName>
    <definedName name="dsill3100_1">#REF!</definedName>
    <definedName name="dsill3100_2">#REF!</definedName>
    <definedName name="dsill3100_2_1">#REF!</definedName>
    <definedName name="dsill3100_2_1_6">#REF!</definedName>
    <definedName name="dsill3100_2_6">#REF!</definedName>
    <definedName name="dsill3100_2_7">#REF!</definedName>
    <definedName name="dsill3100_3">#REF!</definedName>
    <definedName name="dsill3100_3_4">#REF!</definedName>
    <definedName name="dsill3100_3_6">#REF!</definedName>
    <definedName name="dsill3100_3_7">#REF!</definedName>
    <definedName name="dsill3100_4">#REF!</definedName>
    <definedName name="dsill3100_4_1">#REF!</definedName>
    <definedName name="dsill3100_4_2">#REF!</definedName>
    <definedName name="dsill3100_4_2_6">#REF!</definedName>
    <definedName name="dsill3100_4_4">#REF!</definedName>
    <definedName name="dsill3100_4_6">#REF!</definedName>
    <definedName name="dsill3100_4_7">#REF!</definedName>
    <definedName name="dsill3100_5">#REF!</definedName>
    <definedName name="dsill3100_5_2">#REF!</definedName>
    <definedName name="dsill3100_5_2_6">#REF!</definedName>
    <definedName name="dsill3100_5_4">#REF!</definedName>
    <definedName name="dsill3100_5_6">#REF!</definedName>
    <definedName name="dsill3100_5_7">#REF!</definedName>
    <definedName name="dsill3100_6">#REF!</definedName>
    <definedName name="dsill3100_6_1">#REF!</definedName>
    <definedName name="dsill3100_6_4">#REF!</definedName>
    <definedName name="dsill3100_6_6">#REF!</definedName>
    <definedName name="dsill3100_6_7">#REF!</definedName>
    <definedName name="dsill3100_7">#REF!</definedName>
    <definedName name="dsill3120">#REF!</definedName>
    <definedName name="dsill3120_1">#REF!</definedName>
    <definedName name="dsill3120_2">#REF!</definedName>
    <definedName name="dsill3120_2_1">#REF!</definedName>
    <definedName name="dsill3120_2_1_6">#REF!</definedName>
    <definedName name="dsill3120_2_6">#REF!</definedName>
    <definedName name="dsill3120_2_7">#REF!</definedName>
    <definedName name="dsill3120_3">#REF!</definedName>
    <definedName name="dsill3120_3_4">#REF!</definedName>
    <definedName name="dsill3120_3_6">#REF!</definedName>
    <definedName name="dsill3120_3_7">#REF!</definedName>
    <definedName name="dsill3120_4">#REF!</definedName>
    <definedName name="dsill3120_4_1">#REF!</definedName>
    <definedName name="dsill3120_4_2">#REF!</definedName>
    <definedName name="dsill3120_4_2_6">#REF!</definedName>
    <definedName name="dsill3120_4_4">#REF!</definedName>
    <definedName name="dsill3120_4_6">#REF!</definedName>
    <definedName name="dsill3120_4_7">#REF!</definedName>
    <definedName name="dsill3120_5">#REF!</definedName>
    <definedName name="dsill3120_5_2">#REF!</definedName>
    <definedName name="dsill3120_5_2_6">#REF!</definedName>
    <definedName name="dsill3120_5_4">#REF!</definedName>
    <definedName name="dsill3120_5_6">#REF!</definedName>
    <definedName name="dsill3120_5_7">#REF!</definedName>
    <definedName name="dsill3120_6">#REF!</definedName>
    <definedName name="dsill3120_6_1">#REF!</definedName>
    <definedName name="dsill3120_6_4">#REF!</definedName>
    <definedName name="dsill3120_6_6">#REF!</definedName>
    <definedName name="dsill3120_6_7">#REF!</definedName>
    <definedName name="dsill3120_7">#REF!</definedName>
    <definedName name="dsill350">#REF!</definedName>
    <definedName name="dsill350_1">#REF!</definedName>
    <definedName name="dsill350_2">#REF!</definedName>
    <definedName name="dsill350_2_1">#REF!</definedName>
    <definedName name="dsill350_2_1_6">#REF!</definedName>
    <definedName name="dsill350_2_6">#REF!</definedName>
    <definedName name="dsill350_2_7">#REF!</definedName>
    <definedName name="dsill350_3">#REF!</definedName>
    <definedName name="dsill350_3_4">#REF!</definedName>
    <definedName name="dsill350_3_6">#REF!</definedName>
    <definedName name="dsill350_3_7">#REF!</definedName>
    <definedName name="dsill350_4">#REF!</definedName>
    <definedName name="dsill350_4_1">#REF!</definedName>
    <definedName name="dsill350_4_2">#REF!</definedName>
    <definedName name="dsill350_4_2_6">#REF!</definedName>
    <definedName name="dsill350_4_4">#REF!</definedName>
    <definedName name="dsill350_4_6">#REF!</definedName>
    <definedName name="dsill350_4_7">#REF!</definedName>
    <definedName name="dsill350_5">#REF!</definedName>
    <definedName name="dsill350_5_2">#REF!</definedName>
    <definedName name="dsill350_5_2_6">#REF!</definedName>
    <definedName name="dsill350_5_4">#REF!</definedName>
    <definedName name="dsill350_5_6">#REF!</definedName>
    <definedName name="dsill350_5_7">#REF!</definedName>
    <definedName name="dsill350_6">#REF!</definedName>
    <definedName name="dsill350_6_1">#REF!</definedName>
    <definedName name="dsill350_6_4">#REF!</definedName>
    <definedName name="dsill350_6_6">#REF!</definedName>
    <definedName name="dsill350_6_7">#REF!</definedName>
    <definedName name="dsill350_7">#REF!</definedName>
    <definedName name="dsill360">#REF!</definedName>
    <definedName name="dsill360_1">#REF!</definedName>
    <definedName name="dsill360_2">#REF!</definedName>
    <definedName name="dsill360_2_1">#REF!</definedName>
    <definedName name="dsill360_2_1_6">#REF!</definedName>
    <definedName name="dsill360_2_6">#REF!</definedName>
    <definedName name="dsill360_2_7">#REF!</definedName>
    <definedName name="dsill360_3">#REF!</definedName>
    <definedName name="dsill360_3_4">#REF!</definedName>
    <definedName name="dsill360_3_6">#REF!</definedName>
    <definedName name="dsill360_3_7">#REF!</definedName>
    <definedName name="dsill360_4">#REF!</definedName>
    <definedName name="dsill360_4_1">#REF!</definedName>
    <definedName name="dsill360_4_2">#REF!</definedName>
    <definedName name="dsill360_4_2_6">#REF!</definedName>
    <definedName name="dsill360_4_4">#REF!</definedName>
    <definedName name="dsill360_4_6">#REF!</definedName>
    <definedName name="dsill360_4_7">#REF!</definedName>
    <definedName name="dsill360_5">#REF!</definedName>
    <definedName name="dsill360_5_2">#REF!</definedName>
    <definedName name="dsill360_5_2_6">#REF!</definedName>
    <definedName name="dsill360_5_4">#REF!</definedName>
    <definedName name="dsill360_5_6">#REF!</definedName>
    <definedName name="dsill360_5_7">#REF!</definedName>
    <definedName name="dsill360_6">#REF!</definedName>
    <definedName name="dsill360_6_1">#REF!</definedName>
    <definedName name="dsill360_6_4">#REF!</definedName>
    <definedName name="dsill360_6_6">#REF!</definedName>
    <definedName name="dsill360_6_7">#REF!</definedName>
    <definedName name="dsill360_7">#REF!</definedName>
    <definedName name="dsill380">#REF!</definedName>
    <definedName name="dsill380_1">#REF!</definedName>
    <definedName name="dsill380_2">#REF!</definedName>
    <definedName name="dsill380_2_1">#REF!</definedName>
    <definedName name="dsill380_2_1_6">#REF!</definedName>
    <definedName name="dsill380_2_6">#REF!</definedName>
    <definedName name="dsill380_2_7">#REF!</definedName>
    <definedName name="dsill380_3">#REF!</definedName>
    <definedName name="dsill380_3_4">#REF!</definedName>
    <definedName name="dsill380_3_6">#REF!</definedName>
    <definedName name="dsill380_3_7">#REF!</definedName>
    <definedName name="dsill380_4">#REF!</definedName>
    <definedName name="dsill380_4_1">#REF!</definedName>
    <definedName name="dsill380_4_2">#REF!</definedName>
    <definedName name="dsill380_4_2_6">#REF!</definedName>
    <definedName name="dsill380_4_4">#REF!</definedName>
    <definedName name="dsill380_4_6">#REF!</definedName>
    <definedName name="dsill380_4_7">#REF!</definedName>
    <definedName name="dsill380_5">#REF!</definedName>
    <definedName name="dsill380_5_2">#REF!</definedName>
    <definedName name="dsill380_5_2_6">#REF!</definedName>
    <definedName name="dsill380_5_4">#REF!</definedName>
    <definedName name="dsill380_5_6">#REF!</definedName>
    <definedName name="dsill380_5_7">#REF!</definedName>
    <definedName name="dsill380_6">#REF!</definedName>
    <definedName name="dsill380_6_1">#REF!</definedName>
    <definedName name="dsill380_6_4">#REF!</definedName>
    <definedName name="dsill380_6_6">#REF!</definedName>
    <definedName name="dsill380_6_7">#REF!</definedName>
    <definedName name="dsill380_7">#REF!</definedName>
    <definedName name="dsill3a100">#REF!</definedName>
    <definedName name="dsill3a100_1">#REF!</definedName>
    <definedName name="dsill3a100_2">#REF!</definedName>
    <definedName name="dsill3a100_2_1">#REF!</definedName>
    <definedName name="dsill3a100_2_1_6">#REF!</definedName>
    <definedName name="dsill3a100_2_6">#REF!</definedName>
    <definedName name="dsill3a100_2_7">#REF!</definedName>
    <definedName name="dsill3a100_3">#REF!</definedName>
    <definedName name="dsill3a100_3_4">#REF!</definedName>
    <definedName name="dsill3a100_3_6">#REF!</definedName>
    <definedName name="dsill3a100_3_7">#REF!</definedName>
    <definedName name="dsill3a100_4">#REF!</definedName>
    <definedName name="dsill3a100_4_1">#REF!</definedName>
    <definedName name="dsill3a100_4_2">#REF!</definedName>
    <definedName name="dsill3a100_4_2_6">#REF!</definedName>
    <definedName name="dsill3a100_4_4">#REF!</definedName>
    <definedName name="dsill3a100_4_6">#REF!</definedName>
    <definedName name="dsill3a100_4_7">#REF!</definedName>
    <definedName name="dsill3a100_5">#REF!</definedName>
    <definedName name="dsill3a100_5_2">#REF!</definedName>
    <definedName name="dsill3a100_5_2_6">#REF!</definedName>
    <definedName name="dsill3a100_5_4">#REF!</definedName>
    <definedName name="dsill3a100_5_6">#REF!</definedName>
    <definedName name="dsill3a100_5_7">#REF!</definedName>
    <definedName name="dsill3a100_6">#REF!</definedName>
    <definedName name="dsill3a100_6_1">#REF!</definedName>
    <definedName name="dsill3a100_6_4">#REF!</definedName>
    <definedName name="dsill3a100_6_6">#REF!</definedName>
    <definedName name="dsill3a100_6_7">#REF!</definedName>
    <definedName name="dsill3a100_7">#REF!</definedName>
    <definedName name="dsill3a120">#REF!</definedName>
    <definedName name="dsill3a120_1">#REF!</definedName>
    <definedName name="dsill3a120_2">#REF!</definedName>
    <definedName name="dsill3a120_2_1">#REF!</definedName>
    <definedName name="dsill3a120_2_1_6">#REF!</definedName>
    <definedName name="dsill3a120_2_6">#REF!</definedName>
    <definedName name="dsill3a120_2_7">#REF!</definedName>
    <definedName name="dsill3a120_3">#REF!</definedName>
    <definedName name="dsill3a120_3_4">#REF!</definedName>
    <definedName name="dsill3a120_3_6">#REF!</definedName>
    <definedName name="dsill3a120_3_7">#REF!</definedName>
    <definedName name="dsill3a120_4">#REF!</definedName>
    <definedName name="dsill3a120_4_1">#REF!</definedName>
    <definedName name="dsill3a120_4_2">#REF!</definedName>
    <definedName name="dsill3a120_4_2_6">#REF!</definedName>
    <definedName name="dsill3a120_4_4">#REF!</definedName>
    <definedName name="dsill3a120_4_6">#REF!</definedName>
    <definedName name="dsill3a120_4_7">#REF!</definedName>
    <definedName name="dsill3a120_5">#REF!</definedName>
    <definedName name="dsill3a120_5_2">#REF!</definedName>
    <definedName name="dsill3a120_5_2_6">#REF!</definedName>
    <definedName name="dsill3a120_5_4">#REF!</definedName>
    <definedName name="dsill3a120_5_6">#REF!</definedName>
    <definedName name="dsill3a120_5_7">#REF!</definedName>
    <definedName name="dsill3a120_6">#REF!</definedName>
    <definedName name="dsill3a120_6_1">#REF!</definedName>
    <definedName name="dsill3a120_6_4">#REF!</definedName>
    <definedName name="dsill3a120_6_6">#REF!</definedName>
    <definedName name="dsill3a120_6_7">#REF!</definedName>
    <definedName name="dsill3a120_7">#REF!</definedName>
    <definedName name="dsill3a50">#REF!</definedName>
    <definedName name="dsill3a50_1">#REF!</definedName>
    <definedName name="dsill3a50_2">#REF!</definedName>
    <definedName name="dsill3a50_2_1">#REF!</definedName>
    <definedName name="dsill3a50_2_1_6">#REF!</definedName>
    <definedName name="dsill3a50_2_6">#REF!</definedName>
    <definedName name="dsill3a50_2_7">#REF!</definedName>
    <definedName name="dsill3a50_3">#REF!</definedName>
    <definedName name="dsill3a50_3_4">#REF!</definedName>
    <definedName name="dsill3a50_3_6">#REF!</definedName>
    <definedName name="dsill3a50_3_7">#REF!</definedName>
    <definedName name="dsill3a50_4">#REF!</definedName>
    <definedName name="dsill3a50_4_1">#REF!</definedName>
    <definedName name="dsill3a50_4_2">#REF!</definedName>
    <definedName name="dsill3a50_4_2_6">#REF!</definedName>
    <definedName name="dsill3a50_4_4">#REF!</definedName>
    <definedName name="dsill3a50_4_6">#REF!</definedName>
    <definedName name="dsill3a50_4_7">#REF!</definedName>
    <definedName name="dsill3a50_5">#REF!</definedName>
    <definedName name="dsill3a50_5_2">#REF!</definedName>
    <definedName name="dsill3a50_5_2_6">#REF!</definedName>
    <definedName name="dsill3a50_5_4">#REF!</definedName>
    <definedName name="dsill3a50_5_6">#REF!</definedName>
    <definedName name="dsill3a50_5_7">#REF!</definedName>
    <definedName name="dsill3a50_6">#REF!</definedName>
    <definedName name="dsill3a50_6_1">#REF!</definedName>
    <definedName name="dsill3a50_6_4">#REF!</definedName>
    <definedName name="dsill3a50_6_6">#REF!</definedName>
    <definedName name="dsill3a50_6_7">#REF!</definedName>
    <definedName name="dsill3a50_7">#REF!</definedName>
    <definedName name="dsill3a60">#REF!</definedName>
    <definedName name="dsill3a60_1">#REF!</definedName>
    <definedName name="dsill3a60_2">#REF!</definedName>
    <definedName name="dsill3a60_2_1">#REF!</definedName>
    <definedName name="dsill3a60_2_1_6">#REF!</definedName>
    <definedName name="dsill3a60_2_6">#REF!</definedName>
    <definedName name="dsill3a60_2_7">#REF!</definedName>
    <definedName name="dsill3a60_3">#REF!</definedName>
    <definedName name="dsill3a60_3_4">#REF!</definedName>
    <definedName name="dsill3a60_3_6">#REF!</definedName>
    <definedName name="dsill3a60_3_7">#REF!</definedName>
    <definedName name="dsill3a60_4">#REF!</definedName>
    <definedName name="dsill3a60_4_1">#REF!</definedName>
    <definedName name="dsill3a60_4_2">#REF!</definedName>
    <definedName name="dsill3a60_4_2_6">#REF!</definedName>
    <definedName name="dsill3a60_4_4">#REF!</definedName>
    <definedName name="dsill3a60_4_6">#REF!</definedName>
    <definedName name="dsill3a60_4_7">#REF!</definedName>
    <definedName name="dsill3a60_5">#REF!</definedName>
    <definedName name="dsill3a60_5_2">#REF!</definedName>
    <definedName name="dsill3a60_5_2_6">#REF!</definedName>
    <definedName name="dsill3a60_5_4">#REF!</definedName>
    <definedName name="dsill3a60_5_6">#REF!</definedName>
    <definedName name="dsill3a60_5_7">#REF!</definedName>
    <definedName name="dsill3a60_6">#REF!</definedName>
    <definedName name="dsill3a60_6_1">#REF!</definedName>
    <definedName name="dsill3a60_6_4">#REF!</definedName>
    <definedName name="dsill3a60_6_6">#REF!</definedName>
    <definedName name="dsill3a60_6_7">#REF!</definedName>
    <definedName name="dsill3a60_7">#REF!</definedName>
    <definedName name="dsill3a80">#REF!</definedName>
    <definedName name="dsill3a80_1">#REF!</definedName>
    <definedName name="dsill3a80_2">#REF!</definedName>
    <definedName name="dsill3a80_2_1">#REF!</definedName>
    <definedName name="dsill3a80_2_1_6">#REF!</definedName>
    <definedName name="dsill3a80_2_6">#REF!</definedName>
    <definedName name="dsill3a80_2_7">#REF!</definedName>
    <definedName name="dsill3a80_3">#REF!</definedName>
    <definedName name="dsill3a80_3_4">#REF!</definedName>
    <definedName name="dsill3a80_3_6">#REF!</definedName>
    <definedName name="dsill3a80_3_7">#REF!</definedName>
    <definedName name="dsill3a80_4">#REF!</definedName>
    <definedName name="dsill3a80_4_1">#REF!</definedName>
    <definedName name="dsill3a80_4_2">#REF!</definedName>
    <definedName name="dsill3a80_4_2_6">#REF!</definedName>
    <definedName name="dsill3a80_4_4">#REF!</definedName>
    <definedName name="dsill3a80_4_6">#REF!</definedName>
    <definedName name="dsill3a80_4_7">#REF!</definedName>
    <definedName name="dsill3a80_5">#REF!</definedName>
    <definedName name="dsill3a80_5_2">#REF!</definedName>
    <definedName name="dsill3a80_5_2_6">#REF!</definedName>
    <definedName name="dsill3a80_5_4">#REF!</definedName>
    <definedName name="dsill3a80_5_6">#REF!</definedName>
    <definedName name="dsill3a80_5_7">#REF!</definedName>
    <definedName name="dsill3a80_6">#REF!</definedName>
    <definedName name="dsill3a80_6_1">#REF!</definedName>
    <definedName name="dsill3a80_6_4">#REF!</definedName>
    <definedName name="dsill3a80_6_6">#REF!</definedName>
    <definedName name="dsill3a80_6_7">#REF!</definedName>
    <definedName name="dsill3a80_7">#REF!</definedName>
    <definedName name="dsill5100">#REF!</definedName>
    <definedName name="dsill5100_1">#REF!</definedName>
    <definedName name="dsill5100_2">#REF!</definedName>
    <definedName name="dsill5100_2_1">#REF!</definedName>
    <definedName name="dsill5100_2_1_6">#REF!</definedName>
    <definedName name="dsill5100_2_6">#REF!</definedName>
    <definedName name="dsill5100_2_7">#REF!</definedName>
    <definedName name="dsill5100_3">#REF!</definedName>
    <definedName name="dsill5100_3_4">#REF!</definedName>
    <definedName name="dsill5100_3_6">#REF!</definedName>
    <definedName name="dsill5100_3_7">#REF!</definedName>
    <definedName name="dsill5100_4">#REF!</definedName>
    <definedName name="dsill5100_4_1">#REF!</definedName>
    <definedName name="dsill5100_4_2">#REF!</definedName>
    <definedName name="dsill5100_4_2_6">#REF!</definedName>
    <definedName name="dsill5100_4_4">#REF!</definedName>
    <definedName name="dsill5100_4_6">#REF!</definedName>
    <definedName name="dsill5100_4_7">#REF!</definedName>
    <definedName name="dsill5100_5">#REF!</definedName>
    <definedName name="dsill5100_5_2">#REF!</definedName>
    <definedName name="dsill5100_5_2_6">#REF!</definedName>
    <definedName name="dsill5100_5_4">#REF!</definedName>
    <definedName name="dsill5100_5_6">#REF!</definedName>
    <definedName name="dsill5100_5_7">#REF!</definedName>
    <definedName name="dsill5100_6">#REF!</definedName>
    <definedName name="dsill5100_6_1">#REF!</definedName>
    <definedName name="dsill5100_6_4">#REF!</definedName>
    <definedName name="dsill5100_6_6">#REF!</definedName>
    <definedName name="dsill5100_6_7">#REF!</definedName>
    <definedName name="dsill5100_7">#REF!</definedName>
    <definedName name="dsill5120">#REF!</definedName>
    <definedName name="dsill5120_1">#REF!</definedName>
    <definedName name="dsill5120_2">#REF!</definedName>
    <definedName name="dsill5120_2_1">#REF!</definedName>
    <definedName name="dsill5120_2_1_6">#REF!</definedName>
    <definedName name="dsill5120_2_6">#REF!</definedName>
    <definedName name="dsill5120_2_7">#REF!</definedName>
    <definedName name="dsill5120_3">#REF!</definedName>
    <definedName name="dsill5120_3_4">#REF!</definedName>
    <definedName name="dsill5120_3_6">#REF!</definedName>
    <definedName name="dsill5120_3_7">#REF!</definedName>
    <definedName name="dsill5120_4">#REF!</definedName>
    <definedName name="dsill5120_4_1">#REF!</definedName>
    <definedName name="dsill5120_4_2">#REF!</definedName>
    <definedName name="dsill5120_4_2_6">#REF!</definedName>
    <definedName name="dsill5120_4_4">#REF!</definedName>
    <definedName name="dsill5120_4_6">#REF!</definedName>
    <definedName name="dsill5120_4_7">#REF!</definedName>
    <definedName name="dsill5120_5">#REF!</definedName>
    <definedName name="dsill5120_5_2">#REF!</definedName>
    <definedName name="dsill5120_5_2_6">#REF!</definedName>
    <definedName name="dsill5120_5_4">#REF!</definedName>
    <definedName name="dsill5120_5_6">#REF!</definedName>
    <definedName name="dsill5120_5_7">#REF!</definedName>
    <definedName name="dsill5120_6">#REF!</definedName>
    <definedName name="dsill5120_6_1">#REF!</definedName>
    <definedName name="dsill5120_6_4">#REF!</definedName>
    <definedName name="dsill5120_6_6">#REF!</definedName>
    <definedName name="dsill5120_6_7">#REF!</definedName>
    <definedName name="dsill5120_7">#REF!</definedName>
    <definedName name="dsill550">#REF!</definedName>
    <definedName name="dsill550_1">#REF!</definedName>
    <definedName name="dsill550_2">#REF!</definedName>
    <definedName name="dsill550_2_1">#REF!</definedName>
    <definedName name="dsill550_2_1_6">#REF!</definedName>
    <definedName name="dsill550_2_6">#REF!</definedName>
    <definedName name="dsill550_2_7">#REF!</definedName>
    <definedName name="dsill550_3">#REF!</definedName>
    <definedName name="dsill550_3_4">#REF!</definedName>
    <definedName name="dsill550_3_6">#REF!</definedName>
    <definedName name="dsill550_3_7">#REF!</definedName>
    <definedName name="dsill550_4">#REF!</definedName>
    <definedName name="dsill550_4_1">#REF!</definedName>
    <definedName name="dsill550_4_2">#REF!</definedName>
    <definedName name="dsill550_4_2_6">#REF!</definedName>
    <definedName name="dsill550_4_4">#REF!</definedName>
    <definedName name="dsill550_4_6">#REF!</definedName>
    <definedName name="dsill550_4_7">#REF!</definedName>
    <definedName name="dsill550_5">#REF!</definedName>
    <definedName name="dsill550_5_2">#REF!</definedName>
    <definedName name="dsill550_5_2_6">#REF!</definedName>
    <definedName name="dsill550_5_4">#REF!</definedName>
    <definedName name="dsill550_5_6">#REF!</definedName>
    <definedName name="dsill550_5_7">#REF!</definedName>
    <definedName name="dsill550_6">#REF!</definedName>
    <definedName name="dsill550_6_1">#REF!</definedName>
    <definedName name="dsill550_6_4">#REF!</definedName>
    <definedName name="dsill550_6_6">#REF!</definedName>
    <definedName name="dsill550_6_7">#REF!</definedName>
    <definedName name="dsill550_7">#REF!</definedName>
    <definedName name="dsill560">#REF!</definedName>
    <definedName name="dsill560_1">#REF!</definedName>
    <definedName name="dsill560_2">#REF!</definedName>
    <definedName name="dsill560_2_1">#REF!</definedName>
    <definedName name="dsill560_2_1_6">#REF!</definedName>
    <definedName name="dsill560_2_6">#REF!</definedName>
    <definedName name="dsill560_2_7">#REF!</definedName>
    <definedName name="dsill560_3">#REF!</definedName>
    <definedName name="dsill560_3_4">#REF!</definedName>
    <definedName name="dsill560_3_6">#REF!</definedName>
    <definedName name="dsill560_3_7">#REF!</definedName>
    <definedName name="dsill560_4">#REF!</definedName>
    <definedName name="dsill560_4_1">#REF!</definedName>
    <definedName name="dsill560_4_2">#REF!</definedName>
    <definedName name="dsill560_4_2_6">#REF!</definedName>
    <definedName name="dsill560_4_4">#REF!</definedName>
    <definedName name="dsill560_4_6">#REF!</definedName>
    <definedName name="dsill560_4_7">#REF!</definedName>
    <definedName name="dsill560_5">#REF!</definedName>
    <definedName name="dsill560_5_2">#REF!</definedName>
    <definedName name="dsill560_5_2_6">#REF!</definedName>
    <definedName name="dsill560_5_4">#REF!</definedName>
    <definedName name="dsill560_5_6">#REF!</definedName>
    <definedName name="dsill560_5_7">#REF!</definedName>
    <definedName name="dsill560_6">#REF!</definedName>
    <definedName name="dsill560_6_1">#REF!</definedName>
    <definedName name="dsill560_6_4">#REF!</definedName>
    <definedName name="dsill560_6_6">#REF!</definedName>
    <definedName name="dsill560_6_7">#REF!</definedName>
    <definedName name="dsill560_7">#REF!</definedName>
    <definedName name="dsill580">#REF!</definedName>
    <definedName name="dsill580_1">#REF!</definedName>
    <definedName name="dsill580_2">#REF!</definedName>
    <definedName name="dsill580_2_1">#REF!</definedName>
    <definedName name="dsill580_2_1_6">#REF!</definedName>
    <definedName name="dsill580_2_6">#REF!</definedName>
    <definedName name="dsill580_2_7">#REF!</definedName>
    <definedName name="dsill580_3">#REF!</definedName>
    <definedName name="dsill580_3_4">#REF!</definedName>
    <definedName name="dsill580_3_6">#REF!</definedName>
    <definedName name="dsill580_3_7">#REF!</definedName>
    <definedName name="dsill580_4">#REF!</definedName>
    <definedName name="dsill580_4_1">#REF!</definedName>
    <definedName name="dsill580_4_2">#REF!</definedName>
    <definedName name="dsill580_4_2_6">#REF!</definedName>
    <definedName name="dsill580_4_4">#REF!</definedName>
    <definedName name="dsill580_4_6">#REF!</definedName>
    <definedName name="dsill580_4_7">#REF!</definedName>
    <definedName name="dsill580_5">#REF!</definedName>
    <definedName name="dsill580_5_2">#REF!</definedName>
    <definedName name="dsill580_5_2_6">#REF!</definedName>
    <definedName name="dsill580_5_4">#REF!</definedName>
    <definedName name="dsill580_5_6">#REF!</definedName>
    <definedName name="dsill580_5_7">#REF!</definedName>
    <definedName name="dsill580_6">#REF!</definedName>
    <definedName name="dsill580_6_1">#REF!</definedName>
    <definedName name="dsill580_6_4">#REF!</definedName>
    <definedName name="dsill580_6_6">#REF!</definedName>
    <definedName name="dsill580_6_7">#REF!</definedName>
    <definedName name="dsill580_7">#REF!</definedName>
    <definedName name="dsill5a100">#REF!</definedName>
    <definedName name="dsill5a100_1">#REF!</definedName>
    <definedName name="dsill5a100_2">#REF!</definedName>
    <definedName name="dsill5a100_2_1">#REF!</definedName>
    <definedName name="dsill5a100_2_1_6">#REF!</definedName>
    <definedName name="dsill5a100_2_6">#REF!</definedName>
    <definedName name="dsill5a100_2_7">#REF!</definedName>
    <definedName name="dsill5a100_3">#REF!</definedName>
    <definedName name="dsill5a100_3_4">#REF!</definedName>
    <definedName name="dsill5a100_3_6">#REF!</definedName>
    <definedName name="dsill5a100_3_7">#REF!</definedName>
    <definedName name="dsill5a100_4">#REF!</definedName>
    <definedName name="dsill5a100_4_1">#REF!</definedName>
    <definedName name="dsill5a100_4_2">#REF!</definedName>
    <definedName name="dsill5a100_4_2_6">#REF!</definedName>
    <definedName name="dsill5a100_4_4">#REF!</definedName>
    <definedName name="dsill5a100_4_6">#REF!</definedName>
    <definedName name="dsill5a100_4_7">#REF!</definedName>
    <definedName name="dsill5a100_5">#REF!</definedName>
    <definedName name="dsill5a100_5_2">#REF!</definedName>
    <definedName name="dsill5a100_5_2_6">#REF!</definedName>
    <definedName name="dsill5a100_5_4">#REF!</definedName>
    <definedName name="dsill5a100_5_6">#REF!</definedName>
    <definedName name="dsill5a100_5_7">#REF!</definedName>
    <definedName name="dsill5a100_6">#REF!</definedName>
    <definedName name="dsill5a100_6_1">#REF!</definedName>
    <definedName name="dsill5a100_6_4">#REF!</definedName>
    <definedName name="dsill5a100_6_6">#REF!</definedName>
    <definedName name="dsill5a100_6_7">#REF!</definedName>
    <definedName name="dsill5a100_7">#REF!</definedName>
    <definedName name="dsill5a120">#REF!</definedName>
    <definedName name="dsill5a120_1">#REF!</definedName>
    <definedName name="dsill5a120_2">#REF!</definedName>
    <definedName name="dsill5a120_2_1">#REF!</definedName>
    <definedName name="dsill5a120_2_1_6">#REF!</definedName>
    <definedName name="dsill5a120_2_6">#REF!</definedName>
    <definedName name="dsill5a120_2_7">#REF!</definedName>
    <definedName name="dsill5a120_3">#REF!</definedName>
    <definedName name="dsill5a120_3_4">#REF!</definedName>
    <definedName name="dsill5a120_3_6">#REF!</definedName>
    <definedName name="dsill5a120_3_7">#REF!</definedName>
    <definedName name="dsill5a120_4">#REF!</definedName>
    <definedName name="dsill5a120_4_1">#REF!</definedName>
    <definedName name="dsill5a120_4_2">#REF!</definedName>
    <definedName name="dsill5a120_4_2_6">#REF!</definedName>
    <definedName name="dsill5a120_4_4">#REF!</definedName>
    <definedName name="dsill5a120_4_6">#REF!</definedName>
    <definedName name="dsill5a120_4_7">#REF!</definedName>
    <definedName name="dsill5a120_5">#REF!</definedName>
    <definedName name="dsill5a120_5_2">#REF!</definedName>
    <definedName name="dsill5a120_5_2_6">#REF!</definedName>
    <definedName name="dsill5a120_5_4">#REF!</definedName>
    <definedName name="dsill5a120_5_6">#REF!</definedName>
    <definedName name="dsill5a120_5_7">#REF!</definedName>
    <definedName name="dsill5a120_6">#REF!</definedName>
    <definedName name="dsill5a120_6_1">#REF!</definedName>
    <definedName name="dsill5a120_6_4">#REF!</definedName>
    <definedName name="dsill5a120_6_6">#REF!</definedName>
    <definedName name="dsill5a120_6_7">#REF!</definedName>
    <definedName name="dsill5a120_7">#REF!</definedName>
    <definedName name="dsill5a50">#REF!</definedName>
    <definedName name="dsill5a50_1">#REF!</definedName>
    <definedName name="dsill5a50_2">#REF!</definedName>
    <definedName name="dsill5a50_2_1">#REF!</definedName>
    <definedName name="dsill5a50_2_1_6">#REF!</definedName>
    <definedName name="dsill5a50_2_6">#REF!</definedName>
    <definedName name="dsill5a50_2_7">#REF!</definedName>
    <definedName name="dsill5a50_3">#REF!</definedName>
    <definedName name="dsill5a50_3_4">#REF!</definedName>
    <definedName name="dsill5a50_3_6">#REF!</definedName>
    <definedName name="dsill5a50_3_7">#REF!</definedName>
    <definedName name="dsill5a50_4">#REF!</definedName>
    <definedName name="dsill5a50_4_1">#REF!</definedName>
    <definedName name="dsill5a50_4_2">#REF!</definedName>
    <definedName name="dsill5a50_4_2_6">#REF!</definedName>
    <definedName name="dsill5a50_4_4">#REF!</definedName>
    <definedName name="dsill5a50_4_6">#REF!</definedName>
    <definedName name="dsill5a50_4_7">#REF!</definedName>
    <definedName name="dsill5a50_5">#REF!</definedName>
    <definedName name="dsill5a50_5_2">#REF!</definedName>
    <definedName name="dsill5a50_5_2_6">#REF!</definedName>
    <definedName name="dsill5a50_5_4">#REF!</definedName>
    <definedName name="dsill5a50_5_6">#REF!</definedName>
    <definedName name="dsill5a50_5_7">#REF!</definedName>
    <definedName name="dsill5a50_6">#REF!</definedName>
    <definedName name="dsill5a50_6_1">#REF!</definedName>
    <definedName name="dsill5a50_6_4">#REF!</definedName>
    <definedName name="dsill5a50_6_6">#REF!</definedName>
    <definedName name="dsill5a50_6_7">#REF!</definedName>
    <definedName name="dsill5a50_7">#REF!</definedName>
    <definedName name="dsill5a60">#REF!</definedName>
    <definedName name="dsill5a60_1">#REF!</definedName>
    <definedName name="dsill5a60_2">#REF!</definedName>
    <definedName name="dsill5a60_2_1">#REF!</definedName>
    <definedName name="dsill5a60_2_1_6">#REF!</definedName>
    <definedName name="dsill5a60_2_6">#REF!</definedName>
    <definedName name="dsill5a60_2_7">#REF!</definedName>
    <definedName name="dsill5a60_3">#REF!</definedName>
    <definedName name="dsill5a60_3_4">#REF!</definedName>
    <definedName name="dsill5a60_3_6">#REF!</definedName>
    <definedName name="dsill5a60_3_7">#REF!</definedName>
    <definedName name="dsill5a60_4">#REF!</definedName>
    <definedName name="dsill5a60_4_1">#REF!</definedName>
    <definedName name="dsill5a60_4_2">#REF!</definedName>
    <definedName name="dsill5a60_4_2_6">#REF!</definedName>
    <definedName name="dsill5a60_4_4">#REF!</definedName>
    <definedName name="dsill5a60_4_6">#REF!</definedName>
    <definedName name="dsill5a60_4_7">#REF!</definedName>
    <definedName name="dsill5a60_5">#REF!</definedName>
    <definedName name="dsill5a60_5_2">#REF!</definedName>
    <definedName name="dsill5a60_5_2_6">#REF!</definedName>
    <definedName name="dsill5a60_5_4">#REF!</definedName>
    <definedName name="dsill5a60_5_6">#REF!</definedName>
    <definedName name="dsill5a60_5_7">#REF!</definedName>
    <definedName name="dsill5a60_6">#REF!</definedName>
    <definedName name="dsill5a60_6_1">#REF!</definedName>
    <definedName name="dsill5a60_6_4">#REF!</definedName>
    <definedName name="dsill5a60_6_6">#REF!</definedName>
    <definedName name="dsill5a60_6_7">#REF!</definedName>
    <definedName name="dsill5a60_7">#REF!</definedName>
    <definedName name="dsill5a80">#REF!</definedName>
    <definedName name="dsill5a80_1">#REF!</definedName>
    <definedName name="dsill5a80_2">#REF!</definedName>
    <definedName name="dsill5a80_2_1">#REF!</definedName>
    <definedName name="dsill5a80_2_1_6">#REF!</definedName>
    <definedName name="dsill5a80_2_6">#REF!</definedName>
    <definedName name="dsill5a80_2_7">#REF!</definedName>
    <definedName name="dsill5a80_3">#REF!</definedName>
    <definedName name="dsill5a80_3_4">#REF!</definedName>
    <definedName name="dsill5a80_3_6">#REF!</definedName>
    <definedName name="dsill5a80_3_7">#REF!</definedName>
    <definedName name="dsill5a80_4">#REF!</definedName>
    <definedName name="dsill5a80_4_1">#REF!</definedName>
    <definedName name="dsill5a80_4_2">#REF!</definedName>
    <definedName name="dsill5a80_4_2_6">#REF!</definedName>
    <definedName name="dsill5a80_4_4">#REF!</definedName>
    <definedName name="dsill5a80_4_6">#REF!</definedName>
    <definedName name="dsill5a80_4_7">#REF!</definedName>
    <definedName name="dsill5a80_5">#REF!</definedName>
    <definedName name="dsill5a80_5_2">#REF!</definedName>
    <definedName name="dsill5a80_5_2_6">#REF!</definedName>
    <definedName name="dsill5a80_5_4">#REF!</definedName>
    <definedName name="dsill5a80_5_6">#REF!</definedName>
    <definedName name="dsill5a80_5_7">#REF!</definedName>
    <definedName name="dsill5a80_6">#REF!</definedName>
    <definedName name="dsill5a80_6_1">#REF!</definedName>
    <definedName name="dsill5a80_6_4">#REF!</definedName>
    <definedName name="dsill5a80_6_6">#REF!</definedName>
    <definedName name="dsill5a80_6_7">#REF!</definedName>
    <definedName name="dsill5a80_7">#REF!</definedName>
    <definedName name="dsill6a100">#REF!</definedName>
    <definedName name="dsill6a100_1">#REF!</definedName>
    <definedName name="dsill6a100_2">#REF!</definedName>
    <definedName name="dsill6a100_2_1">#REF!</definedName>
    <definedName name="dsill6a100_2_1_6">#REF!</definedName>
    <definedName name="dsill6a100_2_6">#REF!</definedName>
    <definedName name="dsill6a100_2_7">#REF!</definedName>
    <definedName name="dsill6a100_3">#REF!</definedName>
    <definedName name="dsill6a100_3_4">#REF!</definedName>
    <definedName name="dsill6a100_3_6">#REF!</definedName>
    <definedName name="dsill6a100_3_7">#REF!</definedName>
    <definedName name="dsill6a100_4">#REF!</definedName>
    <definedName name="dsill6a100_4_1">#REF!</definedName>
    <definedName name="dsill6a100_4_2">#REF!</definedName>
    <definedName name="dsill6a100_4_2_6">#REF!</definedName>
    <definedName name="dsill6a100_4_4">#REF!</definedName>
    <definedName name="dsill6a100_4_6">#REF!</definedName>
    <definedName name="dsill6a100_4_7">#REF!</definedName>
    <definedName name="dsill6a100_5">#REF!</definedName>
    <definedName name="dsill6a100_5_2">#REF!</definedName>
    <definedName name="dsill6a100_5_2_6">#REF!</definedName>
    <definedName name="dsill6a100_5_4">#REF!</definedName>
    <definedName name="dsill6a100_5_6">#REF!</definedName>
    <definedName name="dsill6a100_5_7">#REF!</definedName>
    <definedName name="dsill6a100_6">#REF!</definedName>
    <definedName name="dsill6a100_6_1">#REF!</definedName>
    <definedName name="dsill6a100_6_4">#REF!</definedName>
    <definedName name="dsill6a100_6_6">#REF!</definedName>
    <definedName name="dsill6a100_6_7">#REF!</definedName>
    <definedName name="dsill6a100_7">#REF!</definedName>
    <definedName name="dsill6a120">#REF!</definedName>
    <definedName name="dsill6a120_1">#REF!</definedName>
    <definedName name="dsill6a120_2">#REF!</definedName>
    <definedName name="dsill6a120_2_1">#REF!</definedName>
    <definedName name="dsill6a120_2_1_6">#REF!</definedName>
    <definedName name="dsill6a120_2_6">#REF!</definedName>
    <definedName name="dsill6a120_2_7">#REF!</definedName>
    <definedName name="dsill6a120_3">#REF!</definedName>
    <definedName name="dsill6a120_3_4">#REF!</definedName>
    <definedName name="dsill6a120_3_6">#REF!</definedName>
    <definedName name="dsill6a120_3_7">#REF!</definedName>
    <definedName name="dsill6a120_4">#REF!</definedName>
    <definedName name="dsill6a120_4_1">#REF!</definedName>
    <definedName name="dsill6a120_4_2">#REF!</definedName>
    <definedName name="dsill6a120_4_2_6">#REF!</definedName>
    <definedName name="dsill6a120_4_4">#REF!</definedName>
    <definedName name="dsill6a120_4_6">#REF!</definedName>
    <definedName name="dsill6a120_4_7">#REF!</definedName>
    <definedName name="dsill6a120_5">#REF!</definedName>
    <definedName name="dsill6a120_5_2">#REF!</definedName>
    <definedName name="dsill6a120_5_2_6">#REF!</definedName>
    <definedName name="dsill6a120_5_4">#REF!</definedName>
    <definedName name="dsill6a120_5_6">#REF!</definedName>
    <definedName name="dsill6a120_5_7">#REF!</definedName>
    <definedName name="dsill6a120_6">#REF!</definedName>
    <definedName name="dsill6a120_6_1">#REF!</definedName>
    <definedName name="dsill6a120_6_4">#REF!</definedName>
    <definedName name="dsill6a120_6_6">#REF!</definedName>
    <definedName name="dsill6a120_6_7">#REF!</definedName>
    <definedName name="dsill6a120_7">#REF!</definedName>
    <definedName name="dsill6a50">#REF!</definedName>
    <definedName name="dsill6a50_1">#REF!</definedName>
    <definedName name="dsill6a50_2">#REF!</definedName>
    <definedName name="dsill6a50_2_1">#REF!</definedName>
    <definedName name="dsill6a50_2_1_6">#REF!</definedName>
    <definedName name="dsill6a50_2_6">#REF!</definedName>
    <definedName name="dsill6a50_2_7">#REF!</definedName>
    <definedName name="dsill6a50_3">#REF!</definedName>
    <definedName name="dsill6a50_3_4">#REF!</definedName>
    <definedName name="dsill6a50_3_6">#REF!</definedName>
    <definedName name="dsill6a50_3_7">#REF!</definedName>
    <definedName name="dsill6a50_4">#REF!</definedName>
    <definedName name="dsill6a50_4_1">#REF!</definedName>
    <definedName name="dsill6a50_4_2">#REF!</definedName>
    <definedName name="dsill6a50_4_2_6">#REF!</definedName>
    <definedName name="dsill6a50_4_4">#REF!</definedName>
    <definedName name="dsill6a50_4_6">#REF!</definedName>
    <definedName name="dsill6a50_4_7">#REF!</definedName>
    <definedName name="dsill6a50_5">#REF!</definedName>
    <definedName name="dsill6a50_5_2">#REF!</definedName>
    <definedName name="dsill6a50_5_2_6">#REF!</definedName>
    <definedName name="dsill6a50_5_4">#REF!</definedName>
    <definedName name="dsill6a50_5_6">#REF!</definedName>
    <definedName name="dsill6a50_5_7">#REF!</definedName>
    <definedName name="dsill6a50_6">#REF!</definedName>
    <definedName name="dsill6a50_6_1">#REF!</definedName>
    <definedName name="dsill6a50_6_4">#REF!</definedName>
    <definedName name="dsill6a50_6_6">#REF!</definedName>
    <definedName name="dsill6a50_6_7">#REF!</definedName>
    <definedName name="dsill6a50_7">#REF!</definedName>
    <definedName name="dsill6a60">#REF!</definedName>
    <definedName name="dsill6a60_1">#REF!</definedName>
    <definedName name="dsill6a60_2">#REF!</definedName>
    <definedName name="dsill6a60_2_1">#REF!</definedName>
    <definedName name="dsill6a60_2_1_6">#REF!</definedName>
    <definedName name="dsill6a60_2_6">#REF!</definedName>
    <definedName name="dsill6a60_2_7">#REF!</definedName>
    <definedName name="dsill6a60_3">#REF!</definedName>
    <definedName name="dsill6a60_3_4">#REF!</definedName>
    <definedName name="dsill6a60_3_6">#REF!</definedName>
    <definedName name="dsill6a60_3_7">#REF!</definedName>
    <definedName name="dsill6a60_4">#REF!</definedName>
    <definedName name="dsill6a60_4_1">#REF!</definedName>
    <definedName name="dsill6a60_4_2">#REF!</definedName>
    <definedName name="dsill6a60_4_2_6">#REF!</definedName>
    <definedName name="dsill6a60_4_4">#REF!</definedName>
    <definedName name="dsill6a60_4_6">#REF!</definedName>
    <definedName name="dsill6a60_4_7">#REF!</definedName>
    <definedName name="dsill6a60_5">#REF!</definedName>
    <definedName name="dsill6a60_5_2">#REF!</definedName>
    <definedName name="dsill6a60_5_2_6">#REF!</definedName>
    <definedName name="dsill6a60_5_4">#REF!</definedName>
    <definedName name="dsill6a60_5_6">#REF!</definedName>
    <definedName name="dsill6a60_5_7">#REF!</definedName>
    <definedName name="dsill6a60_6">#REF!</definedName>
    <definedName name="dsill6a60_6_1">#REF!</definedName>
    <definedName name="dsill6a60_6_4">#REF!</definedName>
    <definedName name="dsill6a60_6_6">#REF!</definedName>
    <definedName name="dsill6a60_6_7">#REF!</definedName>
    <definedName name="dsill6a60_7">#REF!</definedName>
    <definedName name="dsill6a80">#REF!</definedName>
    <definedName name="dsill6a80_1">#REF!</definedName>
    <definedName name="dsill6a80_2">#REF!</definedName>
    <definedName name="dsill6a80_2_1">#REF!</definedName>
    <definedName name="dsill6a80_2_1_6">#REF!</definedName>
    <definedName name="dsill6a80_2_6">#REF!</definedName>
    <definedName name="dsill6a80_2_7">#REF!</definedName>
    <definedName name="dsill6a80_3">#REF!</definedName>
    <definedName name="dsill6a80_3_4">#REF!</definedName>
    <definedName name="dsill6a80_3_6">#REF!</definedName>
    <definedName name="dsill6a80_3_7">#REF!</definedName>
    <definedName name="dsill6a80_4">#REF!</definedName>
    <definedName name="dsill6a80_4_1">#REF!</definedName>
    <definedName name="dsill6a80_4_2">#REF!</definedName>
    <definedName name="dsill6a80_4_2_6">#REF!</definedName>
    <definedName name="dsill6a80_4_4">#REF!</definedName>
    <definedName name="dsill6a80_4_6">#REF!</definedName>
    <definedName name="dsill6a80_4_7">#REF!</definedName>
    <definedName name="dsill6a80_5">#REF!</definedName>
    <definedName name="dsill6a80_5_2">#REF!</definedName>
    <definedName name="dsill6a80_5_2_6">#REF!</definedName>
    <definedName name="dsill6a80_5_4">#REF!</definedName>
    <definedName name="dsill6a80_5_6">#REF!</definedName>
    <definedName name="dsill6a80_5_7">#REF!</definedName>
    <definedName name="dsill6a80_6">#REF!</definedName>
    <definedName name="dsill6a80_6_1">#REF!</definedName>
    <definedName name="dsill6a80_6_4">#REF!</definedName>
    <definedName name="dsill6a80_6_6">#REF!</definedName>
    <definedName name="dsill6a80_6_7">#REF!</definedName>
    <definedName name="dsill6a80_7">#REF!</definedName>
    <definedName name="dsillug100">#REF!</definedName>
    <definedName name="dsillug100_1">#REF!</definedName>
    <definedName name="dsillug100_2">#REF!</definedName>
    <definedName name="dsillug100_2_1">#REF!</definedName>
    <definedName name="dsillug100_2_1_6">#REF!</definedName>
    <definedName name="dsillug100_2_6">#REF!</definedName>
    <definedName name="dsillug100_2_7">#REF!</definedName>
    <definedName name="dsillug100_3">#REF!</definedName>
    <definedName name="dsillug100_3_4">#REF!</definedName>
    <definedName name="dsillug100_3_6">#REF!</definedName>
    <definedName name="dsillug100_3_7">#REF!</definedName>
    <definedName name="dsillug100_4">#REF!</definedName>
    <definedName name="dsillug100_4_1">#REF!</definedName>
    <definedName name="dsillug100_4_2">#REF!</definedName>
    <definedName name="dsillug100_4_2_6">#REF!</definedName>
    <definedName name="dsillug100_4_4">#REF!</definedName>
    <definedName name="dsillug100_4_6">#REF!</definedName>
    <definedName name="dsillug100_4_7">#REF!</definedName>
    <definedName name="dsillug100_5">#REF!</definedName>
    <definedName name="dsillug100_5_2">#REF!</definedName>
    <definedName name="dsillug100_5_2_6">#REF!</definedName>
    <definedName name="dsillug100_5_4">#REF!</definedName>
    <definedName name="dsillug100_5_6">#REF!</definedName>
    <definedName name="dsillug100_5_7">#REF!</definedName>
    <definedName name="dsillug100_6">#REF!</definedName>
    <definedName name="dsillug100_6_1">#REF!</definedName>
    <definedName name="dsillug100_6_4">#REF!</definedName>
    <definedName name="dsillug100_6_6">#REF!</definedName>
    <definedName name="dsillug100_6_7">#REF!</definedName>
    <definedName name="dsillug100_7">#REF!</definedName>
    <definedName name="dsillug120">#REF!</definedName>
    <definedName name="dsillug120_1">#REF!</definedName>
    <definedName name="dsillug120_2">#REF!</definedName>
    <definedName name="dsillug120_2_1">#REF!</definedName>
    <definedName name="dsillug120_2_1_6">#REF!</definedName>
    <definedName name="dsillug120_2_6">#REF!</definedName>
    <definedName name="dsillug120_2_7">#REF!</definedName>
    <definedName name="dsillug120_3">#REF!</definedName>
    <definedName name="dsillug120_3_4">#REF!</definedName>
    <definedName name="dsillug120_3_6">#REF!</definedName>
    <definedName name="dsillug120_3_7">#REF!</definedName>
    <definedName name="dsillug120_4">#REF!</definedName>
    <definedName name="dsillug120_4_1">#REF!</definedName>
    <definedName name="dsillug120_4_2">#REF!</definedName>
    <definedName name="dsillug120_4_2_6">#REF!</definedName>
    <definedName name="dsillug120_4_4">#REF!</definedName>
    <definedName name="dsillug120_4_6">#REF!</definedName>
    <definedName name="dsillug120_4_7">#REF!</definedName>
    <definedName name="dsillug120_5">#REF!</definedName>
    <definedName name="dsillug120_5_2">#REF!</definedName>
    <definedName name="dsillug120_5_2_6">#REF!</definedName>
    <definedName name="dsillug120_5_4">#REF!</definedName>
    <definedName name="dsillug120_5_6">#REF!</definedName>
    <definedName name="dsillug120_5_7">#REF!</definedName>
    <definedName name="dsillug120_6">#REF!</definedName>
    <definedName name="dsillug120_6_1">#REF!</definedName>
    <definedName name="dsillug120_6_4">#REF!</definedName>
    <definedName name="dsillug120_6_6">#REF!</definedName>
    <definedName name="dsillug120_6_7">#REF!</definedName>
    <definedName name="dsillug120_7">#REF!</definedName>
    <definedName name="dsillug50">#REF!</definedName>
    <definedName name="dsillug50_1">#REF!</definedName>
    <definedName name="dsillug50_2">#REF!</definedName>
    <definedName name="dsillug50_2_1">#REF!</definedName>
    <definedName name="dsillug50_2_1_6">#REF!</definedName>
    <definedName name="dsillug50_2_6">#REF!</definedName>
    <definedName name="dsillug50_2_7">#REF!</definedName>
    <definedName name="dsillug50_3">#REF!</definedName>
    <definedName name="dsillug50_3_4">#REF!</definedName>
    <definedName name="dsillug50_3_6">#REF!</definedName>
    <definedName name="dsillug50_3_7">#REF!</definedName>
    <definedName name="dsillug50_4">#REF!</definedName>
    <definedName name="dsillug50_4_1">#REF!</definedName>
    <definedName name="dsillug50_4_2">#REF!</definedName>
    <definedName name="dsillug50_4_2_6">#REF!</definedName>
    <definedName name="dsillug50_4_4">#REF!</definedName>
    <definedName name="dsillug50_4_6">#REF!</definedName>
    <definedName name="dsillug50_4_7">#REF!</definedName>
    <definedName name="dsillug50_5">#REF!</definedName>
    <definedName name="dsillug50_5_2">#REF!</definedName>
    <definedName name="dsillug50_5_2_6">#REF!</definedName>
    <definedName name="dsillug50_5_4">#REF!</definedName>
    <definedName name="dsillug50_5_6">#REF!</definedName>
    <definedName name="dsillug50_5_7">#REF!</definedName>
    <definedName name="dsillug50_6">#REF!</definedName>
    <definedName name="dsillug50_6_1">#REF!</definedName>
    <definedName name="dsillug50_6_4">#REF!</definedName>
    <definedName name="dsillug50_6_6">#REF!</definedName>
    <definedName name="dsillug50_6_7">#REF!</definedName>
    <definedName name="dsillug50_7">#REF!</definedName>
    <definedName name="dsillug60">#REF!</definedName>
    <definedName name="dsillug60_1">#REF!</definedName>
    <definedName name="dsillug60_2">#REF!</definedName>
    <definedName name="dsillug60_2_1">#REF!</definedName>
    <definedName name="dsillug60_2_1_6">#REF!</definedName>
    <definedName name="dsillug60_2_6">#REF!</definedName>
    <definedName name="dsillug60_2_7">#REF!</definedName>
    <definedName name="dsillug60_3">#REF!</definedName>
    <definedName name="dsillug60_3_4">#REF!</definedName>
    <definedName name="dsillug60_3_6">#REF!</definedName>
    <definedName name="dsillug60_3_7">#REF!</definedName>
    <definedName name="dsillug60_4">#REF!</definedName>
    <definedName name="dsillug60_4_1">#REF!</definedName>
    <definedName name="dsillug60_4_2">#REF!</definedName>
    <definedName name="dsillug60_4_2_6">#REF!</definedName>
    <definedName name="dsillug60_4_4">#REF!</definedName>
    <definedName name="dsillug60_4_6">#REF!</definedName>
    <definedName name="dsillug60_4_7">#REF!</definedName>
    <definedName name="dsillug60_5">#REF!</definedName>
    <definedName name="dsillug60_5_2">#REF!</definedName>
    <definedName name="dsillug60_5_2_6">#REF!</definedName>
    <definedName name="dsillug60_5_4">#REF!</definedName>
    <definedName name="dsillug60_5_6">#REF!</definedName>
    <definedName name="dsillug60_5_7">#REF!</definedName>
    <definedName name="dsillug60_6">#REF!</definedName>
    <definedName name="dsillug60_6_1">#REF!</definedName>
    <definedName name="dsillug60_6_4">#REF!</definedName>
    <definedName name="dsillug60_6_6">#REF!</definedName>
    <definedName name="dsillug60_6_7">#REF!</definedName>
    <definedName name="dsillug60_7">#REF!</definedName>
    <definedName name="dsillug80">#REF!</definedName>
    <definedName name="dsillug80_1">#REF!</definedName>
    <definedName name="dsillug80_2">#REF!</definedName>
    <definedName name="dsillug80_2_1">#REF!</definedName>
    <definedName name="dsillug80_2_1_6">#REF!</definedName>
    <definedName name="dsillug80_2_6">#REF!</definedName>
    <definedName name="dsillug80_2_7">#REF!</definedName>
    <definedName name="dsillug80_3">#REF!</definedName>
    <definedName name="dsillug80_3_4">#REF!</definedName>
    <definedName name="dsillug80_3_6">#REF!</definedName>
    <definedName name="dsillug80_3_7">#REF!</definedName>
    <definedName name="dsillug80_4">#REF!</definedName>
    <definedName name="dsillug80_4_1">#REF!</definedName>
    <definedName name="dsillug80_4_2">#REF!</definedName>
    <definedName name="dsillug80_4_2_6">#REF!</definedName>
    <definedName name="dsillug80_4_4">#REF!</definedName>
    <definedName name="dsillug80_4_6">#REF!</definedName>
    <definedName name="dsillug80_4_7">#REF!</definedName>
    <definedName name="dsillug80_5">#REF!</definedName>
    <definedName name="dsillug80_5_2">#REF!</definedName>
    <definedName name="dsillug80_5_2_6">#REF!</definedName>
    <definedName name="dsillug80_5_4">#REF!</definedName>
    <definedName name="dsillug80_5_6">#REF!</definedName>
    <definedName name="dsillug80_5_7">#REF!</definedName>
    <definedName name="dsillug80_6">#REF!</definedName>
    <definedName name="dsillug80_6_1">#REF!</definedName>
    <definedName name="dsillug80_6_4">#REF!</definedName>
    <definedName name="dsillug80_6_6">#REF!</definedName>
    <definedName name="dsillug80_6_7">#REF!</definedName>
    <definedName name="dsillug80_7">#REF!</definedName>
    <definedName name="dsp_ot">#REF!</definedName>
    <definedName name="dstib2100">#REF!</definedName>
    <definedName name="dstib2100_1">#REF!</definedName>
    <definedName name="dstib2100_16">#REF!</definedName>
    <definedName name="dstib2100_2">#REF!</definedName>
    <definedName name="dstib2100_2_1">#REF!</definedName>
    <definedName name="dstib2100_2_1_6">#REF!</definedName>
    <definedName name="dstib2100_2_6">#REF!</definedName>
    <definedName name="dstib2100_2_7">#REF!</definedName>
    <definedName name="dstib2100_3">#REF!</definedName>
    <definedName name="dstib2100_3_4">#REF!</definedName>
    <definedName name="dstib2100_3_6">#REF!</definedName>
    <definedName name="dstib2100_3_7">#REF!</definedName>
    <definedName name="dstib2100_4">#REF!</definedName>
    <definedName name="dstib2100_4_1">#REF!</definedName>
    <definedName name="dstib2100_4_2">#REF!</definedName>
    <definedName name="dstib2100_4_2_6">#REF!</definedName>
    <definedName name="dstib2100_4_4">#REF!</definedName>
    <definedName name="dstib2100_4_6">#REF!</definedName>
    <definedName name="dstib2100_4_7">#REF!</definedName>
    <definedName name="dstib2100_5">#REF!</definedName>
    <definedName name="dstib2100_5_2">#REF!</definedName>
    <definedName name="dstib2100_5_2_6">#REF!</definedName>
    <definedName name="dstib2100_5_4">#REF!</definedName>
    <definedName name="dstib2100_5_6">#REF!</definedName>
    <definedName name="dstib2100_5_7">#REF!</definedName>
    <definedName name="dstib2100_6">#REF!</definedName>
    <definedName name="dstib2100_6_1">#REF!</definedName>
    <definedName name="dstib2100_6_4">#REF!</definedName>
    <definedName name="dstib2100_6_6">#REF!</definedName>
    <definedName name="dstib2100_6_7">#REF!</definedName>
    <definedName name="dstib2100_7">#REF!</definedName>
    <definedName name="dstib2120">#REF!</definedName>
    <definedName name="dstib2120_1">#REF!</definedName>
    <definedName name="dstib2120_16">#REF!</definedName>
    <definedName name="dstib2120_2">#REF!</definedName>
    <definedName name="dstib2120_2_1">#REF!</definedName>
    <definedName name="dstib2120_2_1_6">#REF!</definedName>
    <definedName name="dstib2120_2_6">#REF!</definedName>
    <definedName name="dstib2120_2_7">#REF!</definedName>
    <definedName name="dstib2120_3">#REF!</definedName>
    <definedName name="dstib2120_3_4">#REF!</definedName>
    <definedName name="dstib2120_3_6">#REF!</definedName>
    <definedName name="dstib2120_3_7">#REF!</definedName>
    <definedName name="dstib2120_4">#REF!</definedName>
    <definedName name="dstib2120_4_1">#REF!</definedName>
    <definedName name="dstib2120_4_2">#REF!</definedName>
    <definedName name="dstib2120_4_2_6">#REF!</definedName>
    <definedName name="dstib2120_4_4">#REF!</definedName>
    <definedName name="dstib2120_4_6">#REF!</definedName>
    <definedName name="dstib2120_4_7">#REF!</definedName>
    <definedName name="dstib2120_5">#REF!</definedName>
    <definedName name="dstib2120_5_2">#REF!</definedName>
    <definedName name="dstib2120_5_2_6">#REF!</definedName>
    <definedName name="dstib2120_5_4">#REF!</definedName>
    <definedName name="dstib2120_5_6">#REF!</definedName>
    <definedName name="dstib2120_5_7">#REF!</definedName>
    <definedName name="dstib2120_6">#REF!</definedName>
    <definedName name="dstib2120_6_1">#REF!</definedName>
    <definedName name="dstib2120_6_4">#REF!</definedName>
    <definedName name="dstib2120_6_6">#REF!</definedName>
    <definedName name="dstib2120_6_7">#REF!</definedName>
    <definedName name="dstib2120_7">#REF!</definedName>
    <definedName name="dstib250">#REF!</definedName>
    <definedName name="dstib250_1">#REF!</definedName>
    <definedName name="dstib250_16">#REF!</definedName>
    <definedName name="dstib250_2">#REF!</definedName>
    <definedName name="dstib250_2_1">#REF!</definedName>
    <definedName name="dstib250_2_1_6">#REF!</definedName>
    <definedName name="dstib250_2_6">#REF!</definedName>
    <definedName name="dstib250_2_7">#REF!</definedName>
    <definedName name="dstib250_3">#REF!</definedName>
    <definedName name="dstib250_3_4">#REF!</definedName>
    <definedName name="dstib250_3_6">#REF!</definedName>
    <definedName name="dstib250_3_7">#REF!</definedName>
    <definedName name="dstib250_4">#REF!</definedName>
    <definedName name="dstib250_4_1">#REF!</definedName>
    <definedName name="dstib250_4_2">#REF!</definedName>
    <definedName name="dstib250_4_2_6">#REF!</definedName>
    <definedName name="dstib250_4_4">#REF!</definedName>
    <definedName name="dstib250_4_6">#REF!</definedName>
    <definedName name="dstib250_4_7">#REF!</definedName>
    <definedName name="dstib250_5">#REF!</definedName>
    <definedName name="dstib250_5_2">#REF!</definedName>
    <definedName name="dstib250_5_2_6">#REF!</definedName>
    <definedName name="dstib250_5_4">#REF!</definedName>
    <definedName name="dstib250_5_6">#REF!</definedName>
    <definedName name="dstib250_5_7">#REF!</definedName>
    <definedName name="dstib250_6">#REF!</definedName>
    <definedName name="dstib250_6_1">#REF!</definedName>
    <definedName name="dstib250_6_4">#REF!</definedName>
    <definedName name="dstib250_6_6">#REF!</definedName>
    <definedName name="dstib250_6_7">#REF!</definedName>
    <definedName name="dstib250_7">#REF!</definedName>
    <definedName name="dstib260">#REF!</definedName>
    <definedName name="dstib260_1">#REF!</definedName>
    <definedName name="dstib260_16">#REF!</definedName>
    <definedName name="dstib260_2">#REF!</definedName>
    <definedName name="dstib260_2_1">#REF!</definedName>
    <definedName name="dstib260_2_1_6">#REF!</definedName>
    <definedName name="dstib260_2_6">#REF!</definedName>
    <definedName name="dstib260_2_7">#REF!</definedName>
    <definedName name="dstib260_3">#REF!</definedName>
    <definedName name="dstib260_3_4">#REF!</definedName>
    <definedName name="dstib260_3_6">#REF!</definedName>
    <definedName name="dstib260_3_7">#REF!</definedName>
    <definedName name="dstib260_4">#REF!</definedName>
    <definedName name="dstib260_4_1">#REF!</definedName>
    <definedName name="dstib260_4_2">#REF!</definedName>
    <definedName name="dstib260_4_2_6">#REF!</definedName>
    <definedName name="dstib260_4_4">#REF!</definedName>
    <definedName name="dstib260_4_6">#REF!</definedName>
    <definedName name="dstib260_4_7">#REF!</definedName>
    <definedName name="dstib260_5">#REF!</definedName>
    <definedName name="dstib260_5_2">#REF!</definedName>
    <definedName name="dstib260_5_2_6">#REF!</definedName>
    <definedName name="dstib260_5_4">#REF!</definedName>
    <definedName name="dstib260_5_6">#REF!</definedName>
    <definedName name="dstib260_5_7">#REF!</definedName>
    <definedName name="dstib260_6">#REF!</definedName>
    <definedName name="dstib260_6_1">#REF!</definedName>
    <definedName name="dstib260_6_4">#REF!</definedName>
    <definedName name="dstib260_6_6">#REF!</definedName>
    <definedName name="dstib260_6_7">#REF!</definedName>
    <definedName name="dstib260_7">#REF!</definedName>
    <definedName name="dstib280">#REF!</definedName>
    <definedName name="dstib280_1">#REF!</definedName>
    <definedName name="dstib280_16">#REF!</definedName>
    <definedName name="dstib280_2">#REF!</definedName>
    <definedName name="dstib280_2_1">#REF!</definedName>
    <definedName name="dstib280_2_1_6">#REF!</definedName>
    <definedName name="dstib280_2_6">#REF!</definedName>
    <definedName name="dstib280_2_7">#REF!</definedName>
    <definedName name="dstib280_3">#REF!</definedName>
    <definedName name="dstib280_3_4">#REF!</definedName>
    <definedName name="dstib280_3_6">#REF!</definedName>
    <definedName name="dstib280_3_7">#REF!</definedName>
    <definedName name="dstib280_4">#REF!</definedName>
    <definedName name="dstib280_4_1">#REF!</definedName>
    <definedName name="dstib280_4_2">#REF!</definedName>
    <definedName name="dstib280_4_2_6">#REF!</definedName>
    <definedName name="dstib280_4_4">#REF!</definedName>
    <definedName name="dstib280_4_6">#REF!</definedName>
    <definedName name="dstib280_4_7">#REF!</definedName>
    <definedName name="dstib280_5">#REF!</definedName>
    <definedName name="dstib280_5_2">#REF!</definedName>
    <definedName name="dstib280_5_2_6">#REF!</definedName>
    <definedName name="dstib280_5_4">#REF!</definedName>
    <definedName name="dstib280_5_6">#REF!</definedName>
    <definedName name="dstib280_5_7">#REF!</definedName>
    <definedName name="dstib280_6">#REF!</definedName>
    <definedName name="dstib280_6_1">#REF!</definedName>
    <definedName name="dstib280_6_4">#REF!</definedName>
    <definedName name="dstib280_6_6">#REF!</definedName>
    <definedName name="dstib280_6_7">#REF!</definedName>
    <definedName name="dstib280_7">#REF!</definedName>
    <definedName name="dstil1100">#REF!</definedName>
    <definedName name="dstil1120">#REF!</definedName>
    <definedName name="dstil150">#REF!</definedName>
    <definedName name="dstil160">#REF!</definedName>
    <definedName name="dstil180">#REF!</definedName>
    <definedName name="dstil3100">#REF!</definedName>
    <definedName name="dstil3120">#REF!</definedName>
    <definedName name="dstil350">#REF!</definedName>
    <definedName name="dstil360">#REF!</definedName>
    <definedName name="dstil380">#REF!</definedName>
    <definedName name="dstil3a100">#REF!</definedName>
    <definedName name="dstil3a120">#REF!</definedName>
    <definedName name="dstil3a50">#REF!</definedName>
    <definedName name="dstil3a60">#REF!</definedName>
    <definedName name="dstil3a80">#REF!</definedName>
    <definedName name="dstil5100">#REF!</definedName>
    <definedName name="dstil5120">#REF!</definedName>
    <definedName name="dstil550">#REF!</definedName>
    <definedName name="dstil560">#REF!</definedName>
    <definedName name="dstil580">#REF!</definedName>
    <definedName name="dstil5a100">#REF!</definedName>
    <definedName name="dstil5a120">#REF!</definedName>
    <definedName name="dstil5a50">#REF!</definedName>
    <definedName name="dstil5a60">#REF!</definedName>
    <definedName name="dstil5a80">#REF!</definedName>
    <definedName name="dstil6a100">#REF!</definedName>
    <definedName name="dstil6a120">#REF!</definedName>
    <definedName name="dstil6a50">#REF!</definedName>
    <definedName name="dstil6a60">#REF!</definedName>
    <definedName name="dstil6a80">#REF!</definedName>
    <definedName name="dstilug">#REF!</definedName>
    <definedName name="dstilug120">#REF!</definedName>
    <definedName name="dstilug50">#REF!</definedName>
    <definedName name="dstilug60">#REF!</definedName>
    <definedName name="dstilug80">#REF!</definedName>
    <definedName name="dstruet">'[50]SAT-DAS'!$J$60</definedName>
    <definedName name="dsvfsbgfbhbbbfg">#REF!</definedName>
    <definedName name="DSXD">#N/A</definedName>
    <definedName name="DT" localSheetId="7">[33]H_Dasar!#REF!</definedName>
    <definedName name="DT">#REF!</definedName>
    <definedName name="dt.35">'[45]Sat~Bahu'!$C$108</definedName>
    <definedName name="Dt.5">'[45]Sat~Bahu'!$C$107</definedName>
    <definedName name="DT_6">#REF!</definedName>
    <definedName name="DT_8">#REF!</definedName>
    <definedName name="DT_8T">#REF!</definedName>
    <definedName name="dt4t">#REF!</definedName>
    <definedName name="dt6t">#REF!</definedName>
    <definedName name="dt6ton">#REF!</definedName>
    <definedName name="DTBESAR">[81]hsd!$H$84</definedName>
    <definedName name="DTengkel">#REF!</definedName>
    <definedName name="dthhh" hidden="1">{"'Sheet1'!$A$1"}</definedName>
    <definedName name="dthrtj" hidden="1">{"'Sheet1'!$A$1"}</definedName>
    <definedName name="DTI">[55]URAI!$L$565</definedName>
    <definedName name="dtr">#REF!</definedName>
    <definedName name="dtrudu">'[111]SAT-DAS'!$J$59</definedName>
    <definedName name="dtryutu">[52]DHSD!$G$18</definedName>
    <definedName name="DTSW">#REF!</definedName>
    <definedName name="DTtronton">#REF!</definedName>
    <definedName name="dtudtr">[51]DHSD!$G$43</definedName>
    <definedName name="dtudtry">[52]DHSD!$G$23</definedName>
    <definedName name="Dtul">#REF!</definedName>
    <definedName name="dtuydtr">[51]DHSD!$G$13</definedName>
    <definedName name="dtyidtui">[52]DHSD!$G$35</definedName>
    <definedName name="dtysy">'[50]SAT-DAS'!$J$67</definedName>
    <definedName name="dtyud">[112]DHSD!$G$32</definedName>
    <definedName name="dtyudu">[52]DHSD!$G$38</definedName>
    <definedName name="DU">#REF!</definedName>
    <definedName name="dua">#REF!</definedName>
    <definedName name="DUBLETRI">#REF!</definedName>
    <definedName name="duco">#REF!</definedName>
    <definedName name="duct_apt">#REF!</definedName>
    <definedName name="duct_exh">#REF!</definedName>
    <definedName name="duct_exh_op_shft">#REF!</definedName>
    <definedName name="duct_exh_ot">#REF!</definedName>
    <definedName name="duct_exh_ot_shft">#REF!</definedName>
    <definedName name="duct_int">#REF!</definedName>
    <definedName name="duct_isolasi">#REF!</definedName>
    <definedName name="duct_ot">#REF!</definedName>
    <definedName name="duct_ot_ta">#REF!</definedName>
    <definedName name="duct_r">#REF!</definedName>
    <definedName name="duct_s">#REF!</definedName>
    <definedName name="duct_sh_ot">#REF!</definedName>
    <definedName name="duct_sht">#REF!</definedName>
    <definedName name="duct_soundliner">#REF!</definedName>
    <definedName name="duct_su_op">#REF!</definedName>
    <definedName name="duct_t_i">#REF!</definedName>
    <definedName name="duct_ta_app">#REF!</definedName>
    <definedName name="duct_ta_ot">#REF!</definedName>
    <definedName name="duct_tanpa">#REF!</definedName>
    <definedName name="dudru">[51]DHSD!$G$11</definedName>
    <definedName name="dudtyu">'[50]SAT-DAS'!$J$55</definedName>
    <definedName name="dudytud">[52]DHSD!$G$20</definedName>
    <definedName name="duiker">#REF!</definedName>
    <definedName name="duiker40">#REF!</definedName>
    <definedName name="duikerU40">#REF!</definedName>
    <definedName name="duikerU60">#REF!</definedName>
    <definedName name="dujdty">[51]DHSD!$G$33</definedName>
    <definedName name="dujdyti">[52]DHSD!$G$36</definedName>
    <definedName name="duk">'[21]Harga Satuan Bahan'!#REF!</definedName>
    <definedName name="DULUAN" hidden="1">#REF!</definedName>
    <definedName name="dump">#REF!</definedName>
    <definedName name="Dump_truck">#REF!</definedName>
    <definedName name="Dump_Truck_4_m3_Sewa">#REF!</definedName>
    <definedName name="Dump_truk">#REF!</definedName>
    <definedName name="DUMPTRUCK">#REF!</definedName>
    <definedName name="DUMPTRUCK1">#REF!</definedName>
    <definedName name="DUMPTRUCK2">#REF!</definedName>
    <definedName name="dumptruck20t">'[85]Sat Alat'!$I$14</definedName>
    <definedName name="DUMPTRUCK511">#REF!</definedName>
    <definedName name="DUMPTRUCK512">#REF!</definedName>
    <definedName name="DUMPTRUCK521">#REF!</definedName>
    <definedName name="dumptruck5ton">#REF!</definedName>
    <definedName name="DUMPTRUCK611">#REF!</definedName>
    <definedName name="duong1">[18]DONGIA!#REF!</definedName>
    <definedName name="duong2">[18]DONGIA!#REF!</definedName>
    <definedName name="duong3">[18]DONGIA!#REF!</definedName>
    <definedName name="duong4">[18]DONGIA!#REF!</definedName>
    <definedName name="duong5">[18]DONGIA!#REF!</definedName>
    <definedName name="duy">'[113]SAT-DAS'!$J$33</definedName>
    <definedName name="duydtyt">[51]DHSD!$G$25</definedName>
    <definedName name="DUYTU">'[50]SAT-DAS'!$J$74</definedName>
    <definedName name="DV_1">#REF!</definedName>
    <definedName name="DV_10">#REF!</definedName>
    <definedName name="DV_11">#REF!</definedName>
    <definedName name="DV_12">#REF!</definedName>
    <definedName name="DV_13">#REF!</definedName>
    <definedName name="DV_2">#REF!</definedName>
    <definedName name="DV_3">#REF!</definedName>
    <definedName name="DV_4">#REF!</definedName>
    <definedName name="DV_5">#REF!</definedName>
    <definedName name="DV_6">#REF!</definedName>
    <definedName name="DV_7">#REF!</definedName>
    <definedName name="DV_8">#REF!</definedName>
    <definedName name="DV_9">#REF!</definedName>
    <definedName name="dvve" hidden="1">{"'Sheet1'!$A$1"}</definedName>
    <definedName name="DW">#REF!</definedName>
    <definedName name="dwavin1.25">#REF!</definedName>
    <definedName name="dwavin1.5">#REF!</definedName>
    <definedName name="dwavin10">#REF!</definedName>
    <definedName name="dwavin12">#REF!</definedName>
    <definedName name="dwavin2">#REF!</definedName>
    <definedName name="dwavin2.5">#REF!</definedName>
    <definedName name="dwavin3">#REF!</definedName>
    <definedName name="dwavin4">#REF!</definedName>
    <definedName name="dwavin5">#REF!</definedName>
    <definedName name="dwavin6">#REF!</definedName>
    <definedName name="dwavin8">#REF!</definedName>
    <definedName name="DWN_V">#REF!</definedName>
    <definedName name="DX">#REF!</definedName>
    <definedName name="DYIF">'[50]SAT-DAS'!$J$35</definedName>
    <definedName name="dyr">#REF!</definedName>
    <definedName name="dytudryudt">[51]DHSD!$G$22</definedName>
    <definedName name="dytudu">[51]DHSD!$G$24</definedName>
    <definedName name="dyud">[51]DHSD!$G$23</definedName>
    <definedName name="dyudu">[52]DHSD!$G$34</definedName>
    <definedName name="DZ">#REF!</definedName>
    <definedName name="dzb">#REF!</definedName>
    <definedName name="e">"'file://SERVER3/har-data/STRUCTURE PRICE OF BQ KOMPAS GRAMEDIA.xls'#$analisa.$#REF!$#REF!"</definedName>
    <definedName name="E.">#REF!</definedName>
    <definedName name="E.001">#REF!</definedName>
    <definedName name="E.01">#REF!</definedName>
    <definedName name="E.010">#REF!</definedName>
    <definedName name="E.02">#REF!</definedName>
    <definedName name="E.020">#REF!</definedName>
    <definedName name="E.03">#REF!</definedName>
    <definedName name="E.032">#REF!</definedName>
    <definedName name="E.04">#REF!</definedName>
    <definedName name="E.05">#REF!</definedName>
    <definedName name="E.051">#REF!</definedName>
    <definedName name="E.052">#REF!</definedName>
    <definedName name="E.06">#REF!</definedName>
    <definedName name="E.062">#REF!</definedName>
    <definedName name="E.07">#REF!</definedName>
    <definedName name="E.08">#REF!</definedName>
    <definedName name="E.082">#REF!</definedName>
    <definedName name="E.083">#REF!</definedName>
    <definedName name="E.084">#REF!</definedName>
    <definedName name="E.086">#REF!</definedName>
    <definedName name="E.087">#REF!</definedName>
    <definedName name="E.088">#REF!</definedName>
    <definedName name="E.09">#REF!</definedName>
    <definedName name="E.10">#REF!</definedName>
    <definedName name="E.11">#REF!</definedName>
    <definedName name="E.12">#REF!</definedName>
    <definedName name="E.13">#REF!</definedName>
    <definedName name="E.14">#REF!</definedName>
    <definedName name="E.15">#REF!</definedName>
    <definedName name="E.150">#REF!</definedName>
    <definedName name="E.153">#REF!</definedName>
    <definedName name="E.157">#REF!</definedName>
    <definedName name="E.16">#REF!</definedName>
    <definedName name="E.17">#REF!</definedName>
    <definedName name="E.172">#REF!</definedName>
    <definedName name="E.18">#REF!</definedName>
    <definedName name="E.182">#REF!</definedName>
    <definedName name="E.19">#REF!</definedName>
    <definedName name="E.20">#REF!</definedName>
    <definedName name="E.21">#REF!</definedName>
    <definedName name="E.212">#REF!</definedName>
    <definedName name="E.22">#REF!</definedName>
    <definedName name="E.221">#REF!</definedName>
    <definedName name="E.23">#REF!</definedName>
    <definedName name="E.24">#REF!</definedName>
    <definedName name="E.243">#REF!</definedName>
    <definedName name="E.25">#REF!</definedName>
    <definedName name="E.252">#REF!</definedName>
    <definedName name="E.26">#REF!</definedName>
    <definedName name="E.27">#REF!</definedName>
    <definedName name="E.28">#REF!</definedName>
    <definedName name="E.29">#REF!</definedName>
    <definedName name="E.30">#REF!</definedName>
    <definedName name="E.301">#REF!</definedName>
    <definedName name="E.31">#REF!</definedName>
    <definedName name="E.6.10">#REF!</definedName>
    <definedName name="E.6.12">#REF!</definedName>
    <definedName name="E.6.13">#REF!</definedName>
    <definedName name="E.6.14">#REF!</definedName>
    <definedName name="E.6.14a">#REF!</definedName>
    <definedName name="E.6.14b">#REF!</definedName>
    <definedName name="E.6.14c">#REF!</definedName>
    <definedName name="E.6.14d">#REF!</definedName>
    <definedName name="E.6.14e">#REF!</definedName>
    <definedName name="E.6.15">#REF!</definedName>
    <definedName name="E.6.15a">#REF!</definedName>
    <definedName name="E.6.16">#REF!</definedName>
    <definedName name="E.6.16a">#REF!</definedName>
    <definedName name="E.6.16b">#REF!</definedName>
    <definedName name="E.6.16d">#REF!</definedName>
    <definedName name="E.6.16e">#REF!</definedName>
    <definedName name="E.6.17">#REF!</definedName>
    <definedName name="E.6.18">#REF!</definedName>
    <definedName name="E.6.19">#REF!</definedName>
    <definedName name="E.6.20">#REF!</definedName>
    <definedName name="E.6.21">#REF!</definedName>
    <definedName name="E.6.22">#REF!</definedName>
    <definedName name="E.6.23">#REF!</definedName>
    <definedName name="E.6.24">#REF!</definedName>
    <definedName name="E.6.24a">#REF!</definedName>
    <definedName name="E.6.25">#REF!</definedName>
    <definedName name="E.6.26">#REF!</definedName>
    <definedName name="E.6.27">#REF!</definedName>
    <definedName name="E.6.28">#REF!</definedName>
    <definedName name="E.6.31">#REF!</definedName>
    <definedName name="E.6.32">#REF!</definedName>
    <definedName name="E.6.33">#REF!</definedName>
    <definedName name="E.6.35">#REF!</definedName>
    <definedName name="E.6.6">#REF!</definedName>
    <definedName name="E.6.9">#REF!</definedName>
    <definedName name="E.7.13">#REF!</definedName>
    <definedName name="E.7.13a">#REF!</definedName>
    <definedName name="E.7.13b">#REF!</definedName>
    <definedName name="E.7.13c">#REF!</definedName>
    <definedName name="E.7.14">#REF!</definedName>
    <definedName name="E.7.14a">#REF!</definedName>
    <definedName name="E.7.14b">#REF!</definedName>
    <definedName name="E.7.14c">#REF!</definedName>
    <definedName name="E.7.14d">#REF!</definedName>
    <definedName name="E.7.14e">#REF!</definedName>
    <definedName name="E.7.14f">#REF!</definedName>
    <definedName name="E.7.15">#REF!</definedName>
    <definedName name="E.7.15a">#REF!</definedName>
    <definedName name="E.7.16">#REF!</definedName>
    <definedName name="E.7.16a">#REF!</definedName>
    <definedName name="E.7.16b">#REF!</definedName>
    <definedName name="E.7.16c">#REF!</definedName>
    <definedName name="E.7.16d">#REF!</definedName>
    <definedName name="E.7.16e">#REF!</definedName>
    <definedName name="E.7.16g">#REF!</definedName>
    <definedName name="E.7.17">#REF!</definedName>
    <definedName name="E.7.18">#REF!</definedName>
    <definedName name="E.7.18a">#REF!</definedName>
    <definedName name="E.7.18b">#REF!</definedName>
    <definedName name="E.7.18c">#REF!</definedName>
    <definedName name="E.7.18d">#REF!</definedName>
    <definedName name="E.7.18e">#REF!</definedName>
    <definedName name="E.7.18f">#REF!</definedName>
    <definedName name="E.7.18g">#REF!</definedName>
    <definedName name="E.7.18h">#REF!</definedName>
    <definedName name="E.7.18i">#REF!</definedName>
    <definedName name="E.7.18j">#REF!</definedName>
    <definedName name="E.7.18k">#REF!</definedName>
    <definedName name="E.7.18l">#REF!</definedName>
    <definedName name="E.7.18m">#REF!</definedName>
    <definedName name="E.7.18n">#REF!</definedName>
    <definedName name="E.7.19">#REF!</definedName>
    <definedName name="e.dul">#REF!</definedName>
    <definedName name="E_001">#REF!</definedName>
    <definedName name="E_010">#REF!</definedName>
    <definedName name="E_031">#REF!</definedName>
    <definedName name="E_052">#REF!</definedName>
    <definedName name="E_053">#REF!</definedName>
    <definedName name="E_064">#REF!</definedName>
    <definedName name="E_080">#REF!</definedName>
    <definedName name="E_081">#REF!</definedName>
    <definedName name="E_082">#REF!</definedName>
    <definedName name="E_084">#REF!</definedName>
    <definedName name="E_087">#REF!</definedName>
    <definedName name="E_088">#REF!</definedName>
    <definedName name="E_089">#REF!</definedName>
    <definedName name="E_1">#REF!</definedName>
    <definedName name="E_1_1">#REF!</definedName>
    <definedName name="E_1_2">#REF!</definedName>
    <definedName name="E_1_2_1">#REF!</definedName>
    <definedName name="E_1_2_1_6">#REF!</definedName>
    <definedName name="E_1_2_6">#REF!</definedName>
    <definedName name="E_1_2_7">#REF!</definedName>
    <definedName name="E_1_3">#REF!</definedName>
    <definedName name="E_1_3_4">#REF!</definedName>
    <definedName name="E_1_3_6">#REF!</definedName>
    <definedName name="E_1_3_7">#REF!</definedName>
    <definedName name="E_1_4">#REF!</definedName>
    <definedName name="E_1_4_1">#REF!</definedName>
    <definedName name="E_1_4_2">#REF!</definedName>
    <definedName name="E_1_4_2_6">#REF!</definedName>
    <definedName name="E_1_4_4">#REF!</definedName>
    <definedName name="E_1_4_6">#REF!</definedName>
    <definedName name="E_1_4_7">#REF!</definedName>
    <definedName name="E_1_5">#REF!</definedName>
    <definedName name="E_1_5_2">#REF!</definedName>
    <definedName name="E_1_5_2_6">#REF!</definedName>
    <definedName name="E_1_5_4">#REF!</definedName>
    <definedName name="E_1_5_6">#REF!</definedName>
    <definedName name="E_1_5_7">#REF!</definedName>
    <definedName name="E_1_6">#REF!</definedName>
    <definedName name="E_1_6_1">#REF!</definedName>
    <definedName name="E_1_6_4">#REF!</definedName>
    <definedName name="E_1_6_6">#REF!</definedName>
    <definedName name="E_1_6_7">#REF!</definedName>
    <definedName name="E_1_7">#REF!</definedName>
    <definedName name="E_10">#REF!</definedName>
    <definedName name="E_11">#REF!</definedName>
    <definedName name="E_12">#REF!</definedName>
    <definedName name="E_13">#REF!</definedName>
    <definedName name="E_13_10">#REF!</definedName>
    <definedName name="E_13_gal">#REF!</definedName>
    <definedName name="E_153">#REF!</definedName>
    <definedName name="E_154">#REF!</definedName>
    <definedName name="E_155">#REF!</definedName>
    <definedName name="E_157">#REF!</definedName>
    <definedName name="E_17">#REF!</definedName>
    <definedName name="E_182">#REF!</definedName>
    <definedName name="E_191">#REF!</definedName>
    <definedName name="E_2">#REF!</definedName>
    <definedName name="E_2_1">#REF!</definedName>
    <definedName name="E_2_1_6">#REF!</definedName>
    <definedName name="E_2_10">#REF!</definedName>
    <definedName name="E_2_15">#REF!</definedName>
    <definedName name="E_2_20">#REF!</definedName>
    <definedName name="E_2_6">#REF!</definedName>
    <definedName name="E_2_7">#REF!</definedName>
    <definedName name="E_2_gal">#REF!</definedName>
    <definedName name="E_211">#REF!</definedName>
    <definedName name="E_212">#REF!</definedName>
    <definedName name="E_22">#REF!</definedName>
    <definedName name="E_221">#REF!</definedName>
    <definedName name="E_224">#REF!</definedName>
    <definedName name="E_251">#REF!</definedName>
    <definedName name="E_252">#REF!</definedName>
    <definedName name="E_3">#REF!</definedName>
    <definedName name="E_3_4">#REF!</definedName>
    <definedName name="E_3_6">#REF!</definedName>
    <definedName name="E_3_7">#REF!</definedName>
    <definedName name="E_301">#REF!</definedName>
    <definedName name="E_341">#REF!</definedName>
    <definedName name="E_4">#REF!</definedName>
    <definedName name="E_4_1">#REF!</definedName>
    <definedName name="E_4_2">#REF!</definedName>
    <definedName name="E_4_2_6">#REF!</definedName>
    <definedName name="E_4_4">#REF!</definedName>
    <definedName name="E_4_6">#REF!</definedName>
    <definedName name="E_4_7">#REF!</definedName>
    <definedName name="E_5">#REF!</definedName>
    <definedName name="E_5_2">#REF!</definedName>
    <definedName name="E_5_2_6">#REF!</definedName>
    <definedName name="E_5_4">#REF!</definedName>
    <definedName name="E_5_6">#REF!</definedName>
    <definedName name="E_5_7">#REF!</definedName>
    <definedName name="E_6">#REF!</definedName>
    <definedName name="E_6_1">#REF!</definedName>
    <definedName name="E_6_4">#REF!</definedName>
    <definedName name="E_6_6">#REF!</definedName>
    <definedName name="E_6_7">#REF!</definedName>
    <definedName name="E_6a">#REF!</definedName>
    <definedName name="E_7">#REF!</definedName>
    <definedName name="E_7a">#REF!</definedName>
    <definedName name="E_8">#REF!</definedName>
    <definedName name="E_9">#REF!</definedName>
    <definedName name="E_SE">#REF!</definedName>
    <definedName name="e35u" hidden="1">{#N/A,#N/A,FALSE,"REK-S-TPL";#N/A,#N/A,FALSE,"REK-TPML";#N/A,#N/A,FALSE,"RAB-TEMPEL"}</definedName>
    <definedName name="E5700.">#REF!</definedName>
    <definedName name="EA">#REF!</definedName>
    <definedName name="EA_23">#REF!</definedName>
    <definedName name="EA_25">#REF!</definedName>
    <definedName name="EA1.1">#REF!</definedName>
    <definedName name="EA1.1_23">#REF!</definedName>
    <definedName name="EA1.1_25">#REF!</definedName>
    <definedName name="EA1.2">#REF!</definedName>
    <definedName name="EA1.2_23">#REF!</definedName>
    <definedName name="EA1.2_25">#REF!</definedName>
    <definedName name="EA1.3">#REF!</definedName>
    <definedName name="EA1.3_23">#REF!</definedName>
    <definedName name="EA1.3_25">#REF!</definedName>
    <definedName name="EA2.1">#REF!</definedName>
    <definedName name="EA2.1_23">#REF!</definedName>
    <definedName name="EA2.1_25">#REF!</definedName>
    <definedName name="EA2.2">#REF!</definedName>
    <definedName name="EA2.2_23">#REF!</definedName>
    <definedName name="EA2.2_25">#REF!</definedName>
    <definedName name="EA2.3">#REF!</definedName>
    <definedName name="EA2.3_23">#REF!</definedName>
    <definedName name="EA2.3_25">#REF!</definedName>
    <definedName name="EA2.5">#REF!</definedName>
    <definedName name="EA2.5_23">#REF!</definedName>
    <definedName name="EA2.5_25">#REF!</definedName>
    <definedName name="EA2.6">#REF!</definedName>
    <definedName name="EA2.6_23">#REF!</definedName>
    <definedName name="EA2.6_25">#REF!</definedName>
    <definedName name="EA2.7">#REF!</definedName>
    <definedName name="EA2.7_23">#REF!</definedName>
    <definedName name="EA2.7_25">#REF!</definedName>
    <definedName name="EA2.8">#REF!</definedName>
    <definedName name="EA2.8_23">#REF!</definedName>
    <definedName name="EA2.8_25">#REF!</definedName>
    <definedName name="EA21.1">#REF!</definedName>
    <definedName name="EA21.1_23">#REF!</definedName>
    <definedName name="EA21.1_25">#REF!</definedName>
    <definedName name="EA21.2">#REF!</definedName>
    <definedName name="EA21.2_23">#REF!</definedName>
    <definedName name="EA21.2_25">#REF!</definedName>
    <definedName name="EA21.3">#REF!</definedName>
    <definedName name="EA21.3_23">#REF!</definedName>
    <definedName name="EA21.3_25">#REF!</definedName>
    <definedName name="EA21.4">#REF!</definedName>
    <definedName name="EA21.4_23">#REF!</definedName>
    <definedName name="EA21.4_25">#REF!</definedName>
    <definedName name="EA21.5">#REF!</definedName>
    <definedName name="EA21.5_23">#REF!</definedName>
    <definedName name="EA21.5_25">#REF!</definedName>
    <definedName name="EA3.1">#REF!</definedName>
    <definedName name="EA3.1_23">#REF!</definedName>
    <definedName name="EA3.1_25">#REF!</definedName>
    <definedName name="EA3.2">#REF!</definedName>
    <definedName name="EA3.2_23">#REF!</definedName>
    <definedName name="EA3.2_25">#REF!</definedName>
    <definedName name="EA3.3">#REF!</definedName>
    <definedName name="EA3.3_23">#REF!</definedName>
    <definedName name="EA3.3_25">#REF!</definedName>
    <definedName name="EA3.4">#REF!</definedName>
    <definedName name="EA3.4_23">#REF!</definedName>
    <definedName name="EA3.4_25">#REF!</definedName>
    <definedName name="eag">#REF!</definedName>
    <definedName name="EAG_10x8">[39]AC!#REF!</definedName>
    <definedName name="EAG_7x5">[39]AC!#REF!</definedName>
    <definedName name="eal">#REF!</definedName>
    <definedName name="earthw" hidden="1">{"'Overflow Tank '!$A$1:$Q$58"}</definedName>
    <definedName name="EB">#REF!</definedName>
    <definedName name="EB_23">#REF!</definedName>
    <definedName name="EB_25">#REF!</definedName>
    <definedName name="EB1.1">#REF!</definedName>
    <definedName name="EB1.1_23">#REF!</definedName>
    <definedName name="EB1.1_25">#REF!</definedName>
    <definedName name="Ebara">#REF!</definedName>
    <definedName name="ebara1">#REF!</definedName>
    <definedName name="ebd">#REF!</definedName>
    <definedName name="ec">#N/A</definedName>
    <definedName name="EC1.1">#REF!</definedName>
    <definedName name="EC1.1_23">#REF!</definedName>
    <definedName name="EC1.1_25">#REF!</definedName>
    <definedName name="ECONT">#REF!</definedName>
    <definedName name="ecr">#REF!</definedName>
    <definedName name="ecren">#REF!</definedName>
    <definedName name="ED">#N/A</definedName>
    <definedName name="ED1.1">#REF!</definedName>
    <definedName name="ED1.1_23">#REF!</definedName>
    <definedName name="ED1.1_25">#REF!</definedName>
    <definedName name="edh">#REF!</definedName>
    <definedName name="edt">#REF!</definedName>
    <definedName name="Edua">#REF!</definedName>
    <definedName name="edun">#REF!</definedName>
    <definedName name="ee">#REF!</definedName>
    <definedName name="EE_01">#REF!</definedName>
    <definedName name="EE_01A">#REF!</definedName>
    <definedName name="EE_02">#REF!</definedName>
    <definedName name="EE_03">#REF!</definedName>
    <definedName name="EE_03A">#REF!</definedName>
    <definedName name="EE_04">#REF!</definedName>
    <definedName name="EE_04A">#REF!</definedName>
    <definedName name="EE_04B">#REF!</definedName>
    <definedName name="EE_04C">#REF!</definedName>
    <definedName name="EE_04D">#REF!</definedName>
    <definedName name="EE_05">#REF!</definedName>
    <definedName name="EE_06">#REF!</definedName>
    <definedName name="EE_06A">#REF!</definedName>
    <definedName name="EE_07">#REF!</definedName>
    <definedName name="EE_08">#REF!</definedName>
    <definedName name="EE_08A">#REF!</definedName>
    <definedName name="EE_09">#REF!</definedName>
    <definedName name="EE_10">#REF!</definedName>
    <definedName name="EE_11">#REF!</definedName>
    <definedName name="EE_12">#REF!</definedName>
    <definedName name="EE_12A">#REF!</definedName>
    <definedName name="EE_12B">#REF!</definedName>
    <definedName name="EE_12C">#REF!</definedName>
    <definedName name="EE_12D">#REF!</definedName>
    <definedName name="EE_12E">#REF!</definedName>
    <definedName name="EE_13">#REF!</definedName>
    <definedName name="EE_15">#REF!</definedName>
    <definedName name="EE_17">#REF!</definedName>
    <definedName name="EE_18">#REF!</definedName>
    <definedName name="EE_19">#REF!</definedName>
    <definedName name="EE_20">#REF!</definedName>
    <definedName name="EE_24">#REF!</definedName>
    <definedName name="EE_25">#REF!</definedName>
    <definedName name="EE_25A">#REF!</definedName>
    <definedName name="EE_26">#REF!</definedName>
    <definedName name="EE_27">#REF!</definedName>
    <definedName name="EE_28">#REF!</definedName>
    <definedName name="EE_29">#REF!</definedName>
    <definedName name="EE_30">#REF!</definedName>
    <definedName name="EE_31">#REF!</definedName>
    <definedName name="EE_32">#REF!</definedName>
    <definedName name="EE_33">#REF!</definedName>
    <definedName name="EE_34">#REF!</definedName>
    <definedName name="EE_35">#REF!</definedName>
    <definedName name="EEE">#REF!</definedName>
    <definedName name="EEE06REV" localSheetId="5">'[114]5-Peralatan'!$AW$13</definedName>
    <definedName name="EEE06REV" localSheetId="7">'[114]5-Peralatan'!$AW$13</definedName>
    <definedName name="EEE06REV">#REF!</definedName>
    <definedName name="EEE09REV1" localSheetId="5">'[114]5-Peralatan'!$AW$16</definedName>
    <definedName name="EEE09REV1" localSheetId="7">'[114]5-Peralatan'!$AW$16</definedName>
    <definedName name="EEE09REV1">#REF!</definedName>
    <definedName name="EEE17REV" localSheetId="5">'[114]5-Peralatan'!$AW$24</definedName>
    <definedName name="EEE17REV" localSheetId="7">'[114]5-Peralatan'!$AW$24</definedName>
    <definedName name="EEE17REV">#REF!</definedName>
    <definedName name="EEE17REV1" localSheetId="5">'[114]5-Peralatan'!$AW$24</definedName>
    <definedName name="EEE17REV1" localSheetId="7">'[114]5-Peralatan'!$AW$24</definedName>
    <definedName name="EEE17REV1">#REF!</definedName>
    <definedName name="EEEE">#N/A</definedName>
    <definedName name="eeeee" hidden="1">{#N/A,#N/A,FALSE,"REK-S-TPL";#N/A,#N/A,FALSE,"REK-TPML";#N/A,#N/A,FALSE,"RAB-TEMPEL"}</definedName>
    <definedName name="Eempat">#REF!</definedName>
    <definedName name="eer">[115]RAB!#REF!</definedName>
    <definedName name="eesc">[103]BQ!#REF!</definedName>
    <definedName name="eex">#REF!</definedName>
    <definedName name="EEX_1">#REF!</definedName>
    <definedName name="EEX_2">#REF!</definedName>
    <definedName name="EEX_2_1">#REF!</definedName>
    <definedName name="EEX_3">#REF!</definedName>
    <definedName name="EEX_3_2">#REF!</definedName>
    <definedName name="EEX_3_4">#REF!</definedName>
    <definedName name="EEX_3_6">#REF!</definedName>
    <definedName name="EEX_3_7">#REF!</definedName>
    <definedName name="EEX_4">#REF!</definedName>
    <definedName name="EEX_4_1">#REF!</definedName>
    <definedName name="EEX_4_2">#REF!</definedName>
    <definedName name="EEX_4_4">#REF!</definedName>
    <definedName name="EEX_4_6">#REF!</definedName>
    <definedName name="EEX_4_7">#REF!</definedName>
    <definedName name="EEX_5">#REF!</definedName>
    <definedName name="EEX_5_2">#REF!</definedName>
    <definedName name="EEX_5_4">#REF!</definedName>
    <definedName name="EEX_5_6">#REF!</definedName>
    <definedName name="EEX_5_7">#REF!</definedName>
    <definedName name="EEX_6">#REF!</definedName>
    <definedName name="EEX_6_1">#REF!</definedName>
    <definedName name="EEX_6_2">#REF!</definedName>
    <definedName name="EEX_6_4">#REF!</definedName>
    <definedName name="EEX_6_6">#REF!</definedName>
    <definedName name="EEX_6_7">#REF!</definedName>
    <definedName name="EEX_7">#REF!</definedName>
    <definedName name="EEX_7_1">#REF!</definedName>
    <definedName name="ef" hidden="1">{"'Sheet1'!$A$1"}</definedName>
    <definedName name="Ef_800">[39]Electrikal!#REF!</definedName>
    <definedName name="eff">'[116]meth hsl nego'!#REF!</definedName>
    <definedName name="efg" hidden="1">{"'Sheet1'!$A$1"}</definedName>
    <definedName name="EFWEWEF">#REF!</definedName>
    <definedName name="EFX">#REF!</definedName>
    <definedName name="EFX_1">#REF!</definedName>
    <definedName name="EFX_2">#REF!</definedName>
    <definedName name="EFX_2_1">#REF!</definedName>
    <definedName name="EFX_3">#REF!</definedName>
    <definedName name="EFX_3_2">#REF!</definedName>
    <definedName name="EFX_3_4">#REF!</definedName>
    <definedName name="EFX_3_6">#REF!</definedName>
    <definedName name="EFX_3_7">#REF!</definedName>
    <definedName name="EFX_4">#REF!</definedName>
    <definedName name="EFX_4_1">#REF!</definedName>
    <definedName name="EFX_4_2">#REF!</definedName>
    <definedName name="EFX_4_4">#REF!</definedName>
    <definedName name="EFX_4_6">#REF!</definedName>
    <definedName name="EFX_4_7">#REF!</definedName>
    <definedName name="EFX_5">#REF!</definedName>
    <definedName name="EFX_5_2">#REF!</definedName>
    <definedName name="EFX_5_4">#REF!</definedName>
    <definedName name="EFX_5_6">#REF!</definedName>
    <definedName name="EFX_5_7">#REF!</definedName>
    <definedName name="EFX_6">#REF!</definedName>
    <definedName name="EFX_6_1">#REF!</definedName>
    <definedName name="EFX_6_2">#REF!</definedName>
    <definedName name="EFX_6_4">#REF!</definedName>
    <definedName name="EFX_6_6">#REF!</definedName>
    <definedName name="EFX_6_7">#REF!</definedName>
    <definedName name="EFX_7">#REF!</definedName>
    <definedName name="EFX_7_1">#REF!</definedName>
    <definedName name="eg">#REF!</definedName>
    <definedName name="EGA">#REF!</definedName>
    <definedName name="egen">#REF!</definedName>
    <definedName name="egfbs">#N/A</definedName>
    <definedName name="egfgrg">[117]DHSD!$G$32</definedName>
    <definedName name="EGO">#REF!</definedName>
    <definedName name="egr">#REF!</definedName>
    <definedName name="EGSPANOLET">#REF!</definedName>
    <definedName name="EGX">#REF!</definedName>
    <definedName name="EGX_1">#REF!</definedName>
    <definedName name="EGX_2">#REF!</definedName>
    <definedName name="EGX_2_1">#REF!</definedName>
    <definedName name="EGX_3">#REF!</definedName>
    <definedName name="EGX_3_2">#REF!</definedName>
    <definedName name="EGX_3_4">#REF!</definedName>
    <definedName name="EGX_3_6">#REF!</definedName>
    <definedName name="EGX_3_7">#REF!</definedName>
    <definedName name="EGX_4">#REF!</definedName>
    <definedName name="EGX_4_1">#REF!</definedName>
    <definedName name="EGX_4_2">#REF!</definedName>
    <definedName name="EGX_4_4">#REF!</definedName>
    <definedName name="EGX_4_6">#REF!</definedName>
    <definedName name="EGX_4_7">#REF!</definedName>
    <definedName name="EGX_5">#REF!</definedName>
    <definedName name="EGX_5_2">#REF!</definedName>
    <definedName name="EGX_5_4">#REF!</definedName>
    <definedName name="EGX_5_6">#REF!</definedName>
    <definedName name="EGX_5_7">#REF!</definedName>
    <definedName name="EGX_6">#REF!</definedName>
    <definedName name="EGX_6_1">#REF!</definedName>
    <definedName name="EGX_6_2">#REF!</definedName>
    <definedName name="EGX_6_4">#REF!</definedName>
    <definedName name="EGX_6_6">#REF!</definedName>
    <definedName name="EGX_6_7">#REF!</definedName>
    <definedName name="EGX_7">#REF!</definedName>
    <definedName name="EGX_7_1">#REF!</definedName>
    <definedName name="EGYW" hidden="1">{#N/A,#N/A,TRUE,"Front";#N/A,#N/A,TRUE,"Simple Letter";#N/A,#N/A,TRUE,"Inside";#N/A,#N/A,TRUE,"Contents";#N/A,#N/A,TRUE,"Basis";#N/A,#N/A,TRUE,"Inclusions";#N/A,#N/A,TRUE,"Exclusions";#N/A,#N/A,TRUE,"Areas";#N/A,#N/A,TRUE,"Summary";#N/A,#N/A,TRUE,"Detail"}</definedName>
    <definedName name="ehrg">'[49]Lamp-4 Sat-Das'!$J$55</definedName>
    <definedName name="EHX">#REF!</definedName>
    <definedName name="EHX_1">#REF!</definedName>
    <definedName name="EHX_2">#REF!</definedName>
    <definedName name="EHX_2_1">#REF!</definedName>
    <definedName name="EHX_3">#REF!</definedName>
    <definedName name="EHX_3_2">#REF!</definedName>
    <definedName name="EHX_3_4">#REF!</definedName>
    <definedName name="EHX_3_6">#REF!</definedName>
    <definedName name="EHX_3_7">#REF!</definedName>
    <definedName name="EHX_4">#REF!</definedName>
    <definedName name="EHX_4_1">#REF!</definedName>
    <definedName name="EHX_4_2">#REF!</definedName>
    <definedName name="EHX_4_4">#REF!</definedName>
    <definedName name="EHX_4_6">#REF!</definedName>
    <definedName name="EHX_4_7">#REF!</definedName>
    <definedName name="EHX_5">#REF!</definedName>
    <definedName name="EHX_5_2">#REF!</definedName>
    <definedName name="EHX_5_4">#REF!</definedName>
    <definedName name="EHX_5_6">#REF!</definedName>
    <definedName name="EHX_5_7">#REF!</definedName>
    <definedName name="EHX_6">#REF!</definedName>
    <definedName name="EHX_6_1">#REF!</definedName>
    <definedName name="EHX_6_2">#REF!</definedName>
    <definedName name="EHX_6_4">#REF!</definedName>
    <definedName name="EHX_6_6">#REF!</definedName>
    <definedName name="EHX_6_7">#REF!</definedName>
    <definedName name="EHX_7">#REF!</definedName>
    <definedName name="EHX_7_1">#REF!</definedName>
    <definedName name="EJ">#REF!</definedName>
    <definedName name="ejjj" hidden="1">{"'Sheet1'!$A$1"}</definedName>
    <definedName name="EJX">#REF!</definedName>
    <definedName name="EJX_1">#REF!</definedName>
    <definedName name="EJX_2">#REF!</definedName>
    <definedName name="EJX_2_1">#REF!</definedName>
    <definedName name="EJX_3">#REF!</definedName>
    <definedName name="EJX_3_2">#REF!</definedName>
    <definedName name="EJX_3_4">#REF!</definedName>
    <definedName name="EJX_3_6">#REF!</definedName>
    <definedName name="EJX_3_7">#REF!</definedName>
    <definedName name="EJX_4">#REF!</definedName>
    <definedName name="EJX_4_1">#REF!</definedName>
    <definedName name="EJX_4_2">#REF!</definedName>
    <definedName name="EJX_4_4">#REF!</definedName>
    <definedName name="EJX_4_6">#REF!</definedName>
    <definedName name="EJX_4_7">#REF!</definedName>
    <definedName name="EJX_5">#REF!</definedName>
    <definedName name="EJX_5_2">#REF!</definedName>
    <definedName name="EJX_5_4">#REF!</definedName>
    <definedName name="EJX_5_6">#REF!</definedName>
    <definedName name="EJX_5_7">#REF!</definedName>
    <definedName name="EJX_6">#REF!</definedName>
    <definedName name="EJX_6_1">#REF!</definedName>
    <definedName name="EJX_6_2">#REF!</definedName>
    <definedName name="EJX_6_4">#REF!</definedName>
    <definedName name="EJX_6_6">#REF!</definedName>
    <definedName name="EJX_6_7">#REF!</definedName>
    <definedName name="EJX_7">#REF!</definedName>
    <definedName name="EJX_7_1">#REF!</definedName>
    <definedName name="EK">#REF!</definedName>
    <definedName name="ekk">#REF!</definedName>
    <definedName name="Ekstern_Real_PeriodeIni">#REF!</definedName>
    <definedName name="Ekstern_Real_sd_PeriodeIni">#REF!</definedName>
    <definedName name="Ekstern_Real_sd_PeriodeLalu">#REF!</definedName>
    <definedName name="EKX">#REF!</definedName>
    <definedName name="EKX_1">#REF!</definedName>
    <definedName name="EKX_2">#REF!</definedName>
    <definedName name="EKX_2_1">#REF!</definedName>
    <definedName name="EKX_3">#REF!</definedName>
    <definedName name="EKX_3_2">#REF!</definedName>
    <definedName name="EKX_3_4">#REF!</definedName>
    <definedName name="EKX_3_6">#REF!</definedName>
    <definedName name="EKX_3_7">#REF!</definedName>
    <definedName name="EKX_4">#REF!</definedName>
    <definedName name="EKX_4_1">#REF!</definedName>
    <definedName name="EKX_4_2">#REF!</definedName>
    <definedName name="EKX_4_4">#REF!</definedName>
    <definedName name="EKX_4_6">#REF!</definedName>
    <definedName name="EKX_4_7">#REF!</definedName>
    <definedName name="EKX_5">#REF!</definedName>
    <definedName name="EKX_5_2">#REF!</definedName>
    <definedName name="EKX_5_4">#REF!</definedName>
    <definedName name="EKX_5_6">#REF!</definedName>
    <definedName name="EKX_5_7">#REF!</definedName>
    <definedName name="EKX_6">#REF!</definedName>
    <definedName name="EKX_6_1">#REF!</definedName>
    <definedName name="EKX_6_2">#REF!</definedName>
    <definedName name="EKX_6_4">#REF!</definedName>
    <definedName name="EKX_6_6">#REF!</definedName>
    <definedName name="EKX_6_7">#REF!</definedName>
    <definedName name="EKX_7">#REF!</definedName>
    <definedName name="EKX_7_1">#REF!</definedName>
    <definedName name="el">#REF!</definedName>
    <definedName name="el45gsp">#REF!</definedName>
    <definedName name="el45pvc10">#REF!</definedName>
    <definedName name="el90gsp">#REF!</definedName>
    <definedName name="el90pvc10">#REF!</definedName>
    <definedName name="ELASTOM">#REF!</definedName>
    <definedName name="ELASTOMER">#REF!</definedName>
    <definedName name="ElastomericA">#REF!</definedName>
    <definedName name="ElastomericB">#REF!</definedName>
    <definedName name="elbo">#REF!</definedName>
    <definedName name="Elbow_conduit">'[78]Harga Jasa dan Material'!$D$141</definedName>
    <definedName name="ELEC1">#REF!</definedName>
    <definedName name="ELEC10">#REF!</definedName>
    <definedName name="ELEC100">#REF!</definedName>
    <definedName name="ELEC101">#REF!</definedName>
    <definedName name="ELEC102">#REF!</definedName>
    <definedName name="ELEC103">#REF!</definedName>
    <definedName name="ELEC104">#REF!</definedName>
    <definedName name="ELEC105">#REF!</definedName>
    <definedName name="ELEC106">#REF!</definedName>
    <definedName name="ELEC107">#REF!</definedName>
    <definedName name="ELEC108">#REF!</definedName>
    <definedName name="ELEC109">#REF!</definedName>
    <definedName name="ELEC11">#REF!</definedName>
    <definedName name="ELEC110">#REF!</definedName>
    <definedName name="ELEC111">#REF!</definedName>
    <definedName name="ELEC112">#REF!</definedName>
    <definedName name="ELEC113">#REF!</definedName>
    <definedName name="ELEC114">#REF!</definedName>
    <definedName name="ELEC115">#REF!</definedName>
    <definedName name="ELEC116">#REF!</definedName>
    <definedName name="ELEC117">#REF!</definedName>
    <definedName name="ELEC118">#REF!</definedName>
    <definedName name="ELEC119">#REF!</definedName>
    <definedName name="ELEC12">#REF!</definedName>
    <definedName name="ELEC120">#REF!</definedName>
    <definedName name="ELEC121">#REF!</definedName>
    <definedName name="ELEC122">#REF!</definedName>
    <definedName name="ELEC123">#REF!</definedName>
    <definedName name="ELEC124">#REF!</definedName>
    <definedName name="ELEC125">#REF!</definedName>
    <definedName name="ELEC126">#REF!</definedName>
    <definedName name="ELEC127">#REF!</definedName>
    <definedName name="ELEC128">#REF!</definedName>
    <definedName name="ELEC129">#REF!</definedName>
    <definedName name="ELEC13">#REF!</definedName>
    <definedName name="ELEC130">#REF!</definedName>
    <definedName name="ELEC131">#REF!</definedName>
    <definedName name="ELEC132">#REF!</definedName>
    <definedName name="ELEC133">#REF!</definedName>
    <definedName name="ELEC134">#REF!</definedName>
    <definedName name="ELEC135">#REF!</definedName>
    <definedName name="ELEC136">#REF!</definedName>
    <definedName name="ELEC137">#REF!</definedName>
    <definedName name="ELEC138">#REF!</definedName>
    <definedName name="ELEC139">#REF!</definedName>
    <definedName name="ELEC14">#REF!</definedName>
    <definedName name="ELEC140">#REF!</definedName>
    <definedName name="ELEC141">#REF!</definedName>
    <definedName name="ELEC142">#REF!</definedName>
    <definedName name="ELEC143">#REF!</definedName>
    <definedName name="ELEC144">#REF!</definedName>
    <definedName name="ELEC145">#REF!</definedName>
    <definedName name="ELEC146">#REF!</definedName>
    <definedName name="ELEC147">#REF!</definedName>
    <definedName name="ELEC148">#REF!</definedName>
    <definedName name="ELEC149">#REF!</definedName>
    <definedName name="ELEC15">#REF!</definedName>
    <definedName name="ELEC150">#REF!</definedName>
    <definedName name="ELEC16">#REF!</definedName>
    <definedName name="ELEC17">#REF!</definedName>
    <definedName name="ELEC18">#REF!</definedName>
    <definedName name="ELEC19">#REF!</definedName>
    <definedName name="ELEC2">#REF!</definedName>
    <definedName name="ELEC20">#REF!</definedName>
    <definedName name="ELEC21">#REF!</definedName>
    <definedName name="ELEC22">#REF!</definedName>
    <definedName name="ELEC23">#REF!</definedName>
    <definedName name="ELEC24">#REF!</definedName>
    <definedName name="ELEC25">#REF!</definedName>
    <definedName name="ELEC26">#REF!</definedName>
    <definedName name="ELEC27">#REF!</definedName>
    <definedName name="ELEC28">#REF!</definedName>
    <definedName name="ELEC29">#REF!</definedName>
    <definedName name="ELEC3">#REF!</definedName>
    <definedName name="ELEC30">#REF!</definedName>
    <definedName name="ELEC31">#REF!</definedName>
    <definedName name="ELEC32">#REF!</definedName>
    <definedName name="ELEC33">#REF!</definedName>
    <definedName name="ELEC34">#REF!</definedName>
    <definedName name="ELEC35">#REF!</definedName>
    <definedName name="ELEC36">#REF!</definedName>
    <definedName name="ELEC37">#REF!</definedName>
    <definedName name="ELEC38">#REF!</definedName>
    <definedName name="ELEC39">#REF!</definedName>
    <definedName name="ELEC4">#REF!</definedName>
    <definedName name="ELEC40">#REF!</definedName>
    <definedName name="ELEC41">#REF!</definedName>
    <definedName name="ELEC42">#REF!</definedName>
    <definedName name="ELEC43">#REF!</definedName>
    <definedName name="ELEC44">#REF!</definedName>
    <definedName name="ELEC45">#REF!</definedName>
    <definedName name="ELEC46">#REF!</definedName>
    <definedName name="ELEC47">#REF!</definedName>
    <definedName name="ELEC48">#REF!</definedName>
    <definedName name="ELEC49">#REF!</definedName>
    <definedName name="ELEC5">#REF!</definedName>
    <definedName name="ELEC50">#REF!</definedName>
    <definedName name="ELEC51">#REF!</definedName>
    <definedName name="ELEC52">#REF!</definedName>
    <definedName name="ELEC53">#REF!</definedName>
    <definedName name="ELEC54">#REF!</definedName>
    <definedName name="ELEC55">#REF!</definedName>
    <definedName name="ELEC56">#REF!</definedName>
    <definedName name="ELEC57">#REF!</definedName>
    <definedName name="ELEC58">#REF!</definedName>
    <definedName name="ELEC59">#REF!</definedName>
    <definedName name="ELEC6">#REF!</definedName>
    <definedName name="ELEC60">#REF!</definedName>
    <definedName name="ELEC61">#REF!</definedName>
    <definedName name="ELEC62">#REF!</definedName>
    <definedName name="ELEC63">#REF!</definedName>
    <definedName name="ELEC64">#REF!</definedName>
    <definedName name="ELEC65">#REF!</definedName>
    <definedName name="ELEC66">#REF!</definedName>
    <definedName name="ELEC67">#REF!</definedName>
    <definedName name="ELEC68">#REF!</definedName>
    <definedName name="ELEC69">#REF!</definedName>
    <definedName name="ELEC7">#REF!</definedName>
    <definedName name="ELEC70">#REF!</definedName>
    <definedName name="ELEC71">#REF!</definedName>
    <definedName name="ELEC72">#REF!</definedName>
    <definedName name="ELEC73">#REF!</definedName>
    <definedName name="ELEC74">#REF!</definedName>
    <definedName name="ELEC75">#REF!</definedName>
    <definedName name="ELEC76">#REF!</definedName>
    <definedName name="ELEC77">#REF!</definedName>
    <definedName name="ELEC78">#REF!</definedName>
    <definedName name="ELEC79">#REF!</definedName>
    <definedName name="ELEC8">#REF!</definedName>
    <definedName name="ELEC80">#REF!</definedName>
    <definedName name="ELEC81">#REF!</definedName>
    <definedName name="ELEC82">#REF!</definedName>
    <definedName name="ELEC83">#REF!</definedName>
    <definedName name="ELEC84">#REF!</definedName>
    <definedName name="ELEC85">#REF!</definedName>
    <definedName name="ELEC86">#REF!</definedName>
    <definedName name="ELEC87">#REF!</definedName>
    <definedName name="ELEC88">#REF!</definedName>
    <definedName name="ELEC89">#REF!</definedName>
    <definedName name="ELEC9">#REF!</definedName>
    <definedName name="ELEC90">#REF!</definedName>
    <definedName name="ELEC91">#REF!</definedName>
    <definedName name="ELEC92">#REF!</definedName>
    <definedName name="ELEC93">#REF!</definedName>
    <definedName name="ELEC94">#REF!</definedName>
    <definedName name="ELEC95">#REF!</definedName>
    <definedName name="ELEC96">#REF!</definedName>
    <definedName name="ELEC97">#REF!</definedName>
    <definedName name="ELEC98">#REF!</definedName>
    <definedName name="ELEC99">#REF!</definedName>
    <definedName name="electrical">#REF!</definedName>
    <definedName name="elek">#REF!</definedName>
    <definedName name="elek_1">#REF!</definedName>
    <definedName name="elek_2">#REF!</definedName>
    <definedName name="elek_2_1">#REF!</definedName>
    <definedName name="elek_3">#REF!</definedName>
    <definedName name="elek_3_4">#REF!</definedName>
    <definedName name="elek_3_6">#REF!</definedName>
    <definedName name="elek_3_7">#REF!</definedName>
    <definedName name="elek_4">#REF!</definedName>
    <definedName name="elek_4_1">#REF!</definedName>
    <definedName name="elek_4_2">#REF!</definedName>
    <definedName name="elek_4_4">#REF!</definedName>
    <definedName name="elek_4_6">#REF!</definedName>
    <definedName name="elek_4_7">#REF!</definedName>
    <definedName name="elek_5">#REF!</definedName>
    <definedName name="elek_5_2">#REF!</definedName>
    <definedName name="elek_5_4">#REF!</definedName>
    <definedName name="elek_5_6">#REF!</definedName>
    <definedName name="elek_5_7">#REF!</definedName>
    <definedName name="elek_6">#REF!</definedName>
    <definedName name="elek_6_1">#REF!</definedName>
    <definedName name="elek_6_4">#REF!</definedName>
    <definedName name="elek_6_6">#REF!</definedName>
    <definedName name="elek_6_7">#REF!</definedName>
    <definedName name="elek_7">#REF!</definedName>
    <definedName name="ELEKTRIKAL">#REF!</definedName>
    <definedName name="ELEKTRIKAL_23">#REF!</definedName>
    <definedName name="ELEKTRIKAL_25">#REF!</definedName>
    <definedName name="Elektronik">#REF!</definedName>
    <definedName name="ELT">#REF!</definedName>
    <definedName name="ELX">#REF!</definedName>
    <definedName name="ELX_1">#REF!</definedName>
    <definedName name="ELX_2">#REF!</definedName>
    <definedName name="ELX_2_1">#REF!</definedName>
    <definedName name="ELX_3">#REF!</definedName>
    <definedName name="ELX_3_2">#REF!</definedName>
    <definedName name="ELX_3_4">#REF!</definedName>
    <definedName name="ELX_3_6">#REF!</definedName>
    <definedName name="ELX_3_7">#REF!</definedName>
    <definedName name="ELX_4">#REF!</definedName>
    <definedName name="ELX_4_1">#REF!</definedName>
    <definedName name="ELX_4_2">#REF!</definedName>
    <definedName name="ELX_4_4">#REF!</definedName>
    <definedName name="ELX_4_6">#REF!</definedName>
    <definedName name="ELX_4_7">#REF!</definedName>
    <definedName name="ELX_5">#REF!</definedName>
    <definedName name="ELX_5_2">#REF!</definedName>
    <definedName name="ELX_5_4">#REF!</definedName>
    <definedName name="ELX_5_6">#REF!</definedName>
    <definedName name="ELX_5_7">#REF!</definedName>
    <definedName name="ELX_6">#REF!</definedName>
    <definedName name="ELX_6_1">#REF!</definedName>
    <definedName name="ELX_6_2">#REF!</definedName>
    <definedName name="ELX_6_4">#REF!</definedName>
    <definedName name="ELX_6_6">#REF!</definedName>
    <definedName name="ELX_6_7">#REF!</definedName>
    <definedName name="ELX_7">#REF!</definedName>
    <definedName name="ELX_7_1">#REF!</definedName>
    <definedName name="em">#N/A</definedName>
    <definedName name="Email">#REF!</definedName>
    <definedName name="embankment">#REF!</definedName>
    <definedName name="emc">#REF!</definedName>
    <definedName name="emco">#REF!</definedName>
    <definedName name="EMPLOY._WELFARE">#REF!</definedName>
    <definedName name="EMULSI">[118]HSD!#REF!</definedName>
    <definedName name="emulsion">#REF!</definedName>
    <definedName name="EN">#N/A</definedName>
    <definedName name="enamel">#REF!</definedName>
    <definedName name="END">#REF!</definedName>
    <definedName name="eng">#REF!</definedName>
    <definedName name="eng.nil">#REF!</definedName>
    <definedName name="engeseljendela">#REF!</definedName>
    <definedName name="engineer">#REF!</definedName>
    <definedName name="engjen">#REF!</definedName>
    <definedName name="engjnd">'[35]Harga Satuan Bahan'!$E$171</definedName>
    <definedName name="engkupu">#REF!</definedName>
    <definedName name="engpnt">'[35]Harga Satuan Bahan'!$E$172</definedName>
    <definedName name="engptr">'[21]Harga Satuan Bahan'!#REF!</definedName>
    <definedName name="engsel">#REF!</definedName>
    <definedName name="ENGSEL_JENDELA">#REF!</definedName>
    <definedName name="Engsel_jendela__H__kecil">#REF!</definedName>
    <definedName name="Engsel_kuningan">#REF!</definedName>
    <definedName name="ENGSEL_PINTU">#REF!</definedName>
    <definedName name="Engsel_pintu__H__besar">#REF!</definedName>
    <definedName name="engsel1.5pair">#REF!</definedName>
    <definedName name="Engsel3">#REF!</definedName>
    <definedName name="engsel3pairs">#REF!</definedName>
    <definedName name="Engsel4">#REF!</definedName>
    <definedName name="engselangin">#REF!</definedName>
    <definedName name="engselarch">#REF!</definedName>
    <definedName name="EngselJendAngin">#REF!</definedName>
    <definedName name="EngselJendela">#REF!</definedName>
    <definedName name="ENGSELNYLON">#N/A</definedName>
    <definedName name="engselpintu">#REF!</definedName>
    <definedName name="EngselPintu3">#REF!</definedName>
    <definedName name="engsjen">#REF!</definedName>
    <definedName name="enje">#REF!</definedName>
    <definedName name="Entr4">#REF!</definedName>
    <definedName name="ENTRANCE">#REF!</definedName>
    <definedName name="eol">#REF!</definedName>
    <definedName name="eol_1">#REF!</definedName>
    <definedName name="eol_2">#REF!</definedName>
    <definedName name="eol_2_1">#REF!</definedName>
    <definedName name="eol_2_1_6">#REF!</definedName>
    <definedName name="eol_2_6">#REF!</definedName>
    <definedName name="eol_3">#REF!</definedName>
    <definedName name="eol_3_6">#REF!</definedName>
    <definedName name="eol_3_7">#REF!</definedName>
    <definedName name="eol_4">#REF!</definedName>
    <definedName name="eol_5">#REF!</definedName>
    <definedName name="eol_6">#REF!</definedName>
    <definedName name="eol_6_1">#REF!</definedName>
    <definedName name="eol_6_6">#REF!</definedName>
    <definedName name="eol_6_7">#REF!</definedName>
    <definedName name="eol_7">#REF!</definedName>
    <definedName name="EPCM1" hidden="1">{#N/A,#N/A,FALSE,"SUM_Prop";#N/A,#N/A,FALSE,"PROCESS-eng";#N/A,#N/A,FALSE,"PROCESS-com";#N/A,#N/A,FALSE,"INST-eng";#N/A,#N/A,FALSE,"INST-com"}</definedName>
    <definedName name="epcm2" hidden="1">{#N/A,#N/A,FALSE,"SUM_Prop";#N/A,#N/A,FALSE,"PROCESS-eng";#N/A,#N/A,FALSE,"PROCESS-com";#N/A,#N/A,FALSE,"INST-eng";#N/A,#N/A,FALSE,"INST-com"}</definedName>
    <definedName name="epi.hid">#REF!</definedName>
    <definedName name="epoxy">#REF!</definedName>
    <definedName name="epoxyclear">#REF!</definedName>
    <definedName name="epoxyenamel">#REF!</definedName>
    <definedName name="EQP">[98]PLUMBING!$G$2:$G$65536</definedName>
    <definedName name="Eqp_list">#REF!</definedName>
    <definedName name="equ">#REF!</definedName>
    <definedName name="EQUIP___MACHINE">#REF!</definedName>
    <definedName name="EQUIP_RE_EXPORT">#REF!</definedName>
    <definedName name="Equipment">#REF!</definedName>
    <definedName name="equipment1">#REF!</definedName>
    <definedName name="EQUIT">#REF!</definedName>
    <definedName name="eqw" hidden="1">{#N/A,#N/A,FALSE,"REK";#N/A,#N/A,FALSE,"rab"}</definedName>
    <definedName name="eqwgtqwegt" hidden="1">{#N/A,#N/A,FALSE,"REK";#N/A,#N/A,FALSE,"Bq-ARS"}</definedName>
    <definedName name="ER">#REF!</definedName>
    <definedName name="ERA">#REF!</definedName>
    <definedName name="ERAR">'[50]SAT-DAS'!$J$44</definedName>
    <definedName name="erawre">[52]DHSD!$G$47</definedName>
    <definedName name="ERAWYEAW">'[49]Lamp-4 Sat-Das'!$J$56</definedName>
    <definedName name="erection">#REF!</definedName>
    <definedName name="ERH">#REF!</definedName>
    <definedName name="erhe" hidden="1">{"'Sheet1'!$A$1"}</definedName>
    <definedName name="errey">[80]DHSD!$G$35</definedName>
    <definedName name="eru" hidden="1">{"'Sheet1'!$A$1"}</definedName>
    <definedName name="eryrt" hidden="1">{"'Sheet1'!$A$1"}</definedName>
    <definedName name="eryy">'[119]SAT-DAS'!$J$33</definedName>
    <definedName name="es">[103]BQ!#REF!</definedName>
    <definedName name="Esatu">#REF!</definedName>
    <definedName name="esco">[103]BQ!#REF!</definedName>
    <definedName name="ESL.JDL.10001">#REF!</definedName>
    <definedName name="ESL.PT.10001">#REF!</definedName>
    <definedName name="ESP.10001">#REF!</definedName>
    <definedName name="ESPAGNOLETH">#REF!</definedName>
    <definedName name="essenza30x30">'[120]Harga Material'!$F$52</definedName>
    <definedName name="essenza40x40">'[120]Harga Material'!$F$53</definedName>
    <definedName name="essenza60x60">'[120]Harga Material'!$F$54</definedName>
    <definedName name="est">#REF!</definedName>
    <definedName name="ESTIMASI_KAPASITAS_PRODUKSI_PERALATAN">#REF!</definedName>
    <definedName name="ESTIMATE">#REF!</definedName>
    <definedName name="ESTM">#REF!</definedName>
    <definedName name="eswtrhj" hidden="1">{#N/A,#N/A,FALSE,"REK-S-TPL";#N/A,#N/A,FALSE,"REK-TPML";#N/A,#N/A,FALSE,"RAB-TEMPEL"}</definedName>
    <definedName name="ET">#REF!</definedName>
    <definedName name="eter">#REF!</definedName>
    <definedName name="Eternit">#REF!</definedName>
    <definedName name="Eternit__100_x_100_cm_3_mm_ex._atrisco">#REF!</definedName>
    <definedName name="Eternit_100_X_100_CM">#REF!</definedName>
    <definedName name="Eternit_Harplek_1_x_1_cm">#REF!</definedName>
    <definedName name="ETH">#REF!</definedName>
    <definedName name="Etiga">#REF!</definedName>
    <definedName name="ETUTEEY">[52]DHSD!$G$29</definedName>
    <definedName name="ety">'[49]Lamp-4 Sat-Das'!$J$39</definedName>
    <definedName name="etyue">'[49]Lamp-4 Sat-Das'!$J$61</definedName>
    <definedName name="eu">[52]DHSD!$G$23</definedName>
    <definedName name="eue">[52]DHSD!$G$18</definedName>
    <definedName name="EUEU">'[49]Lamp-4 Sat-Das'!$J$71</definedName>
    <definedName name="EUR">#REF!</definedName>
    <definedName name="EURO">#N/A</definedName>
    <definedName name="EVA" hidden="1">{#N/A,#N/A,FALSE,"REK-S-TPL";#N/A,#N/A,FALSE,"REK-TPML";#N/A,#N/A,FALSE,"RAB-TEMPEL"}</definedName>
    <definedName name="evfv">#REF!</definedName>
    <definedName name="EVR">#REF!</definedName>
    <definedName name="ew_cw">#REF!</definedName>
    <definedName name="Ewe">'[50]SAT-DAS'!$J$20</definedName>
    <definedName name="ewet">#REF!</definedName>
    <definedName name="ewg" hidden="1">{"'Sheet1'!$A$1"}</definedName>
    <definedName name="EWORK">[16]prelim!#REF!</definedName>
    <definedName name="ewp">#REF!</definedName>
    <definedName name="EWQ">'[49]Lamp-4 Sat-Das'!$J$34</definedName>
    <definedName name="ewr">#REF!</definedName>
    <definedName name="ex">'[74]Harga Satuan'!$G$60</definedName>
    <definedName name="EXAVATOR">#REF!</definedName>
    <definedName name="exavatorpc200">'[85]Sat Alat'!$I$13</definedName>
    <definedName name="exc">#REF!</definedName>
    <definedName name="exc_1">[121]HDasar!$H$40</definedName>
    <definedName name="exca">#REF!</definedName>
    <definedName name="EXCAV">#REF!</definedName>
    <definedName name="excavation">#N/A</definedName>
    <definedName name="EXCAVATOR">#REF!</definedName>
    <definedName name="Excavator_AK">#REF!</definedName>
    <definedName name="EXCAVATOR321">#REF!</definedName>
    <definedName name="Excel_BuiltIn__FilterDatabase_10">"$#REF!.$#REF!$#REF!:$#REF!$#REF!"</definedName>
    <definedName name="Excel_BuiltIn__FilterDatabase_11">"$#REF!.$#REF!$#REF!:$#REF!$#REF!"</definedName>
    <definedName name="Excel_BuiltIn__FilterDatabase_12">"$#REF!.$#REF!$#REF!:$#REF!$#REF!"</definedName>
    <definedName name="Excel_BuiltIn__FilterDatabase_13">"$#REF!.$#REF!$#REF!:$#REF!$#REF!"</definedName>
    <definedName name="Excel_BuiltIn__FilterDatabase_14">"$#REF!.$#REF!$#REF!:$#REF!$#REF!"</definedName>
    <definedName name="Excel_BuiltIn__FilterDatabase_15">"$#REF!.$#REF!$#REF!:$#REF!$#REF!"</definedName>
    <definedName name="Excel_BuiltIn__FilterDatabase_16">"$#REF!.$A$1:$B$423"</definedName>
    <definedName name="Excel_BuiltIn__FilterDatabase_17">"$#REF!.$A$1:$B$423"</definedName>
    <definedName name="Excel_BuiltIn__FilterDatabase_18">"$#REF!.$A$1:$C$423"</definedName>
    <definedName name="Excel_BuiltIn__FilterDatabase_19">"$#REF!.$A$1:$D$423"</definedName>
    <definedName name="Excel_BuiltIn__FilterDatabase_2">#REF!</definedName>
    <definedName name="Excel_BuiltIn__FilterDatabase_2_1">#REF!</definedName>
    <definedName name="Excel_BuiltIn__FilterDatabase_21">"$#REF!.$A$1:$F$423"</definedName>
    <definedName name="Excel_BuiltIn__FilterDatabase_22">"$#REF!.$A$1:$G$423"</definedName>
    <definedName name="Excel_BuiltIn__FilterDatabase_23">"$#REF!.$A$1:$N$418"</definedName>
    <definedName name="Excel_BuiltIn__FilterDatabase_3">#REF!</definedName>
    <definedName name="Excel_BuiltIn__FilterDatabase_4">#REF!</definedName>
    <definedName name="Excel_BuiltIn__FilterDatabase_4_1">#REF!</definedName>
    <definedName name="Excel_BuiltIn__FilterDatabase_4_1_1">#REF!</definedName>
    <definedName name="Excel_BuiltIn__FilterDatabase_8">#REF!</definedName>
    <definedName name="Excel_BuiltIn__FilterDatabase_9">"$#REF!.$#REF!$#REF!:$#REF!$#REF!"</definedName>
    <definedName name="Excel_BuiltIn_Print_Area">#REF!</definedName>
    <definedName name="Excel_BuiltIn_Print_Area_1">#REF!</definedName>
    <definedName name="Excel_BuiltIn_Print_Area_1_1">#REF!</definedName>
    <definedName name="Excel_BuiltIn_Print_Area_1_1_1">#REF!</definedName>
    <definedName name="Excel_BuiltIn_Print_Area_1_1_1___0">#REF!</definedName>
    <definedName name="Excel_BuiltIn_Print_Area_1_1_1_1">#REF!</definedName>
    <definedName name="Excel_BuiltIn_Print_Area_1_1_1_1_1">#REF!</definedName>
    <definedName name="Excel_BuiltIn_Print_Area_1_1_1_1_1_1">#REF!</definedName>
    <definedName name="Excel_BuiltIn_Print_Area_1_1_1_1_1_1_1">#REF!</definedName>
    <definedName name="Excel_BuiltIn_Print_Area_1_1_1_1_1_1_1_1">"$#REF!.$#REF!$#REF!:$#REF!$#REF!"</definedName>
    <definedName name="Excel_BuiltIn_Print_Area_1_1_1_1_1_1_1_1_1">"$#REF!.$#REF!$#REF!:$#REF!$#REF!"</definedName>
    <definedName name="Excel_BuiltIn_Print_Area_1_1_1_1_1_1_1_1_1_1">"$#REF!.$#REF!$#REF!:$#REF!$#REF!"</definedName>
    <definedName name="Excel_BuiltIn_Print_Area_1_1_1_1_2">#REF!</definedName>
    <definedName name="Excel_BuiltIn_Print_Area_1_1_1_1_4">#REF!</definedName>
    <definedName name="Excel_BuiltIn_Print_Area_1_1_1_1_5">#REF!</definedName>
    <definedName name="Excel_BuiltIn_Print_Area_1_1_1_10">#REF!</definedName>
    <definedName name="Excel_BuiltIn_Print_Area_1_1_1_11">#REF!</definedName>
    <definedName name="Excel_BuiltIn_Print_Area_1_1_1_12">#REF!</definedName>
    <definedName name="Excel_BuiltIn_Print_Area_1_1_1_13">#REF!</definedName>
    <definedName name="Excel_BuiltIn_Print_Area_1_1_1_17">#REF!</definedName>
    <definedName name="Excel_BuiltIn_Print_Area_1_1_1_2">#REF!</definedName>
    <definedName name="Excel_BuiltIn_Print_Area_1_1_1_3">#REF!</definedName>
    <definedName name="Excel_BuiltIn_Print_Area_1_1_1_4">#REF!</definedName>
    <definedName name="Excel_BuiltIn_Print_Area_1_1_1_5">#REF!</definedName>
    <definedName name="Excel_BuiltIn_Print_Area_1_1_1_6">#REF!</definedName>
    <definedName name="Excel_BuiltIn_Print_Area_1_1_1_7">#REF!</definedName>
    <definedName name="Excel_BuiltIn_Print_Area_1_1_1_8">#REF!</definedName>
    <definedName name="Excel_BuiltIn_Print_Area_1_1_1_9">#REF!</definedName>
    <definedName name="Excel_BuiltIn_Print_Area_1_1_10">#REF!</definedName>
    <definedName name="Excel_BuiltIn_Print_Area_1_1_2">#REF!</definedName>
    <definedName name="Excel_BuiltIn_Print_Area_1_1_3">#REF!</definedName>
    <definedName name="Excel_BuiltIn_Print_Area_1_1_37">#REF!</definedName>
    <definedName name="Excel_BuiltIn_Print_Area_1_1_4">#REF!</definedName>
    <definedName name="Excel_BuiltIn_Print_Area_1_1_5">#REF!</definedName>
    <definedName name="Excel_BuiltIn_Print_Area_1_1_6">#REF!</definedName>
    <definedName name="Excel_BuiltIn_Print_Area_1_1_8">#REF!</definedName>
    <definedName name="Excel_BuiltIn_Print_Area_1_1_9">#REF!</definedName>
    <definedName name="Excel_BuiltIn_Print_Area_1_17">#REF!</definedName>
    <definedName name="Excel_BuiltIn_Print_Area_1_2">#REF!</definedName>
    <definedName name="Excel_BuiltIn_Print_Area_1_2_1">#REF!</definedName>
    <definedName name="Excel_BuiltIn_Print_Area_1_4">#REF!</definedName>
    <definedName name="Excel_BuiltIn_Print_Area_1_5">#REF!</definedName>
    <definedName name="Excel_BuiltIn_Print_Area_10">#REF!</definedName>
    <definedName name="Excel_BuiltIn_Print_Area_10_1">#REF!</definedName>
    <definedName name="Excel_BuiltIn_Print_Area_10_1_1">"$#REF!.$#REF!$#REF!:$#REF!$#REF!"</definedName>
    <definedName name="Excel_BuiltIn_Print_Area_10_1_1_1">"$#REF!.$#REF!$#REF!:$#REF!$#REF!"</definedName>
    <definedName name="Excel_BuiltIn_Print_Area_10_1_41">#REF!</definedName>
    <definedName name="Excel_BuiltIn_Print_Area_10_1_41_30">#REF!</definedName>
    <definedName name="Excel_BuiltIn_Print_Area_10_1_58">#REF!</definedName>
    <definedName name="Excel_BuiltIn_Print_Area_11">#REF!</definedName>
    <definedName name="Excel_BuiltIn_Print_Area_11_1">#REF!</definedName>
    <definedName name="Excel_BuiltIn_Print_Area_11_1_1">#N/A</definedName>
    <definedName name="Excel_BuiltIn_Print_Area_11_1_1_1_41">#REF!</definedName>
    <definedName name="Excel_BuiltIn_Print_Area_11_1_1_1_41_30">#REF!</definedName>
    <definedName name="Excel_BuiltIn_Print_Area_11_1_1_41">#REF!</definedName>
    <definedName name="Excel_BuiltIn_Print_Area_11_1_1_41_30">#REF!</definedName>
    <definedName name="Excel_BuiltIn_Print_Area_11_1_1_58">#REF!</definedName>
    <definedName name="Excel_BuiltIn_Print_Area_11_1_12">#REF!</definedName>
    <definedName name="Excel_BuiltIn_Print_Area_11_1_17">#REF!</definedName>
    <definedName name="Excel_BuiltIn_Print_Area_11_1_41">#REF!</definedName>
    <definedName name="Excel_BuiltIn_Print_Area_11_1_41_30">#REF!</definedName>
    <definedName name="Excel_BuiltIn_Print_Area_11_1_58">#REF!</definedName>
    <definedName name="Excel_BuiltIn_Print_Area_12">#REF!</definedName>
    <definedName name="Excel_BuiltIn_Print_Area_12_1">#REF!</definedName>
    <definedName name="Excel_BuiltIn_Print_Area_12_1_1">#REF!</definedName>
    <definedName name="Excel_BuiltIn_Print_Area_12_1_1_8">#REF!</definedName>
    <definedName name="Excel_BuiltIn_Print_Area_12_1_1_9">#REF!</definedName>
    <definedName name="Excel_BuiltIn_Print_Area_12_1_8">#REF!</definedName>
    <definedName name="Excel_BuiltIn_Print_Area_12_1_9">#REF!</definedName>
    <definedName name="Excel_BuiltIn_Print_Area_13">#REF!</definedName>
    <definedName name="Excel_BuiltIn_Print_Area_13_1">#REF!</definedName>
    <definedName name="Excel_BuiltIn_Print_Area_13_2">#REF!</definedName>
    <definedName name="Excel_BuiltIn_Print_Area_13_3">#REF!</definedName>
    <definedName name="Excel_BuiltIn_Print_Area_14">#N/A</definedName>
    <definedName name="Excel_BuiltIn_Print_Area_14_1">#REF!</definedName>
    <definedName name="Excel_BuiltIn_Print_Area_14_1_17">#REF!</definedName>
    <definedName name="Excel_BuiltIn_Print_Area_15">#REF!</definedName>
    <definedName name="Excel_BuiltIn_Print_Area_15_1">#REF!</definedName>
    <definedName name="Excel_BuiltIn_Print_Area_15_1_1">#REF!</definedName>
    <definedName name="Excel_BuiltIn_Print_Area_15_1_1_1">#REF!</definedName>
    <definedName name="Excel_BuiltIn_Print_Area_15_1_1_8">#REF!</definedName>
    <definedName name="Excel_BuiltIn_Print_Area_15_1_1_9">#REF!</definedName>
    <definedName name="Excel_BuiltIn_Print_Area_15_1_16">#REF!</definedName>
    <definedName name="Excel_BuiltIn_Print_Area_15_1_7">#REF!</definedName>
    <definedName name="Excel_BuiltIn_Print_Area_15_1_8">#REF!</definedName>
    <definedName name="Excel_BuiltIn_Print_Area_15_1_9">#REF!</definedName>
    <definedName name="Excel_BuiltIn_Print_Area_16">"$#REF!.$A$1:$B$423"</definedName>
    <definedName name="Excel_BuiltIn_Print_Area_16_1">#REF!</definedName>
    <definedName name="Excel_BuiltIn_Print_Area_17">"$#REF!.$A$1:$O$362"</definedName>
    <definedName name="Excel_BuiltIn_Print_Area_17_1">#REF!</definedName>
    <definedName name="Excel_BuiltIn_Print_Area_17_1_1">#REF!</definedName>
    <definedName name="Excel_BuiltIn_Print_Area_17_1_1_1">#REF!</definedName>
    <definedName name="Excel_BuiltIn_Print_Area_17_17">#REF!</definedName>
    <definedName name="Excel_BuiltIn_Print_Area_18">#REF!</definedName>
    <definedName name="Excel_BuiltIn_Print_Area_19">#REF!</definedName>
    <definedName name="Excel_BuiltIn_Print_Area_2">#REF!</definedName>
    <definedName name="Excel_BuiltIn_Print_Area_2_1">#REF!,#REF!</definedName>
    <definedName name="Excel_BuiltIn_Print_Area_2_1_1">#REF!</definedName>
    <definedName name="Excel_BuiltIn_Print_Area_2_1_1_1">#REF!</definedName>
    <definedName name="Excel_BuiltIn_Print_Area_2_1_1_1_1">#REF!</definedName>
    <definedName name="Excel_BuiltIn_Print_Area_2_1_1_1_1_1">#REF!</definedName>
    <definedName name="Excel_BuiltIn_Print_Area_2_1_1_1_1_1_1">"$#REF!.$A$1:$J$85"</definedName>
    <definedName name="Excel_BuiltIn_Print_Area_2_1_1_1_1_1_1_1">"$#REF!.$A$1:$J$423"</definedName>
    <definedName name="Excel_BuiltIn_Print_Area_2_1_1_1_6">#REF!</definedName>
    <definedName name="Excel_BuiltIn_Print_Area_2_1_1_10">#REF!</definedName>
    <definedName name="Excel_BuiltIn_Print_Area_2_1_1_3">#REF!</definedName>
    <definedName name="Excel_BuiltIn_Print_Area_2_1_1_4">#REF!</definedName>
    <definedName name="Excel_BuiltIn_Print_Area_2_1_1_6">#REF!</definedName>
    <definedName name="Excel_BuiltIn_Print_Area_2_1_1_7">#REF!</definedName>
    <definedName name="Excel_BuiltIn_Print_Area_2_1_10">#REF!</definedName>
    <definedName name="Excel_BuiltIn_Print_Area_2_1_2">#REF!</definedName>
    <definedName name="Excel_BuiltIn_Print_Area_2_1_2_6">#REF!</definedName>
    <definedName name="Excel_BuiltIn_Print_Area_2_1_3">#REF!</definedName>
    <definedName name="Excel_BuiltIn_Print_Area_2_1_4">#REF!</definedName>
    <definedName name="Excel_BuiltIn_Print_Area_2_1_6">#REF!</definedName>
    <definedName name="Excel_BuiltIn_Print_Area_2_1_7">#REF!</definedName>
    <definedName name="Excel_BuiltIn_Print_Area_2_1_8">#REF!</definedName>
    <definedName name="Excel_BuiltIn_Print_Area_2_1_9">#REF!</definedName>
    <definedName name="Excel_BuiltIn_Print_Area_2_5">#REF!</definedName>
    <definedName name="Excel_BuiltIn_Print_Area_20">#REF!</definedName>
    <definedName name="Excel_BuiltIn_Print_Area_21">#REF!</definedName>
    <definedName name="Excel_BuiltIn_Print_Area_22">"$#REF!.$A$1:$O$362"</definedName>
    <definedName name="Excel_BuiltIn_Print_Area_26">#REF!</definedName>
    <definedName name="Excel_BuiltIn_Print_Area_27">#REF!</definedName>
    <definedName name="Excel_BuiltIn_Print_Area_27_1">#REF!</definedName>
    <definedName name="Excel_BuiltIn_Print_Area_28">#REF!</definedName>
    <definedName name="Excel_BuiltIn_Print_Area_29">#REF!</definedName>
    <definedName name="Excel_BuiltIn_Print_Area_3">#REF!</definedName>
    <definedName name="Excel_BuiltIn_Print_Area_3_1">#REF!</definedName>
    <definedName name="Excel_BuiltIn_Print_Area_3_1_1">#REF!</definedName>
    <definedName name="Excel_BuiltIn_Print_Area_3_1_1_1">#REF!</definedName>
    <definedName name="Excel_BuiltIn_Print_Area_3_1_1_1_1">#REF!</definedName>
    <definedName name="Excel_BuiltIn_Print_Area_3_1_1_1_1_1">"'file:///media/sda2/nUGerOHo/@PROJECT/GRAHA SANTIKA-MEDAN/BQ ARS CARGO.xls'#$cargo.$#REF!$#REF!"</definedName>
    <definedName name="Excel_BuiltIn_Print_Area_3_1_1_1_1_1_1">"$#REF!.$#REF!$#REF!"</definedName>
    <definedName name="Excel_BuiltIn_Print_Area_3_1_1_2">#REF!</definedName>
    <definedName name="Excel_BuiltIn_Print_Area_3_1_1_2_6">#REF!</definedName>
    <definedName name="Excel_BuiltIn_Print_Area_3_1_1_6">#REF!</definedName>
    <definedName name="Excel_BuiltIn_Print_Area_3_1_1_7">#REF!</definedName>
    <definedName name="Excel_BuiltIn_Print_Area_3_1_10">#REF!</definedName>
    <definedName name="Excel_BuiltIn_Print_Area_3_1_2">#REF!</definedName>
    <definedName name="Excel_BuiltIn_Print_Area_3_1_2_6">#REF!</definedName>
    <definedName name="Excel_BuiltIn_Print_Area_3_1_3">#REF!</definedName>
    <definedName name="Excel_BuiltIn_Print_Area_3_1_4">#REF!</definedName>
    <definedName name="Excel_BuiltIn_Print_Area_3_1_5">#REF!</definedName>
    <definedName name="Excel_BuiltIn_Print_Area_3_1_6">#REF!</definedName>
    <definedName name="Excel_BuiltIn_Print_Area_3_1_7">#REF!</definedName>
    <definedName name="Excel_BuiltIn_Print_Area_3_1_8">#REF!</definedName>
    <definedName name="Excel_BuiltIn_Print_Area_3_1_9">#REF!</definedName>
    <definedName name="Excel_BuiltIn_Print_Area_31">"$#REF!.$A$1:$M$409"</definedName>
    <definedName name="Excel_BuiltIn_Print_Area_31_1">"$#REF!.$A$1:$J$68"</definedName>
    <definedName name="Excel_BuiltIn_Print_Area_34">#REF!</definedName>
    <definedName name="Excel_BuiltIn_Print_Area_34_1">#REF!</definedName>
    <definedName name="Excel_BuiltIn_Print_Area_35">#REF!</definedName>
    <definedName name="Excel_BuiltIn_Print_Area_37">#REF!</definedName>
    <definedName name="Excel_BuiltIn_Print_Area_4">#REF!</definedName>
    <definedName name="Excel_BuiltIn_Print_Area_4_1">#REF!</definedName>
    <definedName name="Excel_BuiltIn_Print_Area_4_1_1">#REF!</definedName>
    <definedName name="Excel_BuiltIn_Print_Area_4_1_1_1">#REF!</definedName>
    <definedName name="Excel_BuiltIn_Print_Area_4_1_1_1_1">#REF!</definedName>
    <definedName name="Excel_BuiltIn_Print_Area_4_1_1_1_1_1">#REF!</definedName>
    <definedName name="Excel_BuiltIn_Print_Area_4_1_1_4">#REF!</definedName>
    <definedName name="Excel_BuiltIn_Print_Area_4_1_1_4_6">#REF!</definedName>
    <definedName name="Excel_BuiltIn_Print_Area_4_1_1_6">#REF!</definedName>
    <definedName name="Excel_BuiltIn_Print_Area_4_1_1_7">#REF!</definedName>
    <definedName name="Excel_BuiltIn_Print_Area_4_1_17">#REF!</definedName>
    <definedName name="Excel_BuiltIn_Print_Area_4_1_4">#REF!</definedName>
    <definedName name="Excel_BuiltIn_Print_Area_4_1_6">#REF!</definedName>
    <definedName name="Excel_BuiltIn_Print_Area_4_1_7">#REF!</definedName>
    <definedName name="Excel_BuiltIn_Print_Area_42_1">#REF!</definedName>
    <definedName name="Excel_BuiltIn_Print_Area_42_1_30">#REF!</definedName>
    <definedName name="Excel_BuiltIn_Print_Area_5">#REF!</definedName>
    <definedName name="Excel_BuiltIn_Print_Area_5_1">#REF!</definedName>
    <definedName name="Excel_BuiltIn_Print_Area_5_1_1">#REF!</definedName>
    <definedName name="Excel_BuiltIn_Print_Area_5_1_1_1">#REF!</definedName>
    <definedName name="Excel_BuiltIn_Print_Area_5_1_1_1_1">#REF!</definedName>
    <definedName name="Excel_BuiltIn_Print_Area_5_1_1_1_1_1">#REF!</definedName>
    <definedName name="Excel_BuiltIn_Print_Area_5_1_1_1_6">#REF!</definedName>
    <definedName name="Excel_BuiltIn_Print_Area_5_1_1_1_7">#REF!</definedName>
    <definedName name="Excel_BuiltIn_Print_Area_5_1_1_6">#REF!</definedName>
    <definedName name="Excel_BuiltIn_Print_Area_5_1_3">#REF!</definedName>
    <definedName name="Excel_BuiltIn_Print_Area_5_1_3_6">#REF!</definedName>
    <definedName name="Excel_BuiltIn_Print_Area_5_1_3_7">#REF!</definedName>
    <definedName name="Excel_BuiltIn_Print_Area_5_1_4">#REF!</definedName>
    <definedName name="Excel_BuiltIn_Print_Area_5_1_6">#REF!</definedName>
    <definedName name="Excel_BuiltIn_Print_Area_5_1_6_1">#REF!</definedName>
    <definedName name="Excel_BuiltIn_Print_Area_5_1_6_6">#REF!</definedName>
    <definedName name="Excel_BuiltIn_Print_Area_5_1_6_7">#REF!</definedName>
    <definedName name="Excel_BuiltIn_Print_Area_5_1_7">#REF!</definedName>
    <definedName name="Excel_BuiltIn_Print_Area_5_7">#REF!</definedName>
    <definedName name="Excel_BuiltIn_Print_Area_6">#REF!</definedName>
    <definedName name="Excel_BuiltIn_Print_Area_6_1">#REF!</definedName>
    <definedName name="Excel_BuiltIn_Print_Area_6_1_1">#REF!</definedName>
    <definedName name="Excel_BuiltIn_Print_Area_6_1_1_1">#REF!</definedName>
    <definedName name="Excel_BuiltIn_Print_Area_6_1_1_2">#REF!</definedName>
    <definedName name="Excel_BuiltIn_Print_Area_6_1_1_2_6">#REF!</definedName>
    <definedName name="Excel_BuiltIn_Print_Area_6_1_1_6">#REF!</definedName>
    <definedName name="Excel_BuiltIn_Print_Area_6_1_1_7">#REF!</definedName>
    <definedName name="Excel_BuiltIn_Print_Area_6_6">#REF!</definedName>
    <definedName name="Excel_BuiltIn_Print_Area_7">#REF!</definedName>
    <definedName name="Excel_BuiltIn_Print_Area_7_1">#REF!</definedName>
    <definedName name="Excel_BuiltIn_Print_Area_7_1_1">#REF!</definedName>
    <definedName name="Excel_BuiltIn_Print_Area_7_1_1_1">#REF!</definedName>
    <definedName name="Excel_BuiltIn_Print_Area_7_1_1_1_1">#REF!</definedName>
    <definedName name="Excel_BuiltIn_Print_Area_7_1_1_1_1_1">#REF!</definedName>
    <definedName name="Excel_BuiltIn_Print_Area_7_1_1_1_1_1_1">#REF!</definedName>
    <definedName name="Excel_BuiltIn_Print_Area_7_1_1_1_1_6">#REF!</definedName>
    <definedName name="Excel_BuiltIn_Print_Area_7_1_1_1_1_7">#REF!</definedName>
    <definedName name="Excel_BuiltIn_Print_Area_7_1_1_1_6">#REF!</definedName>
    <definedName name="Excel_BuiltIn_Print_Area_7_1_1_1_7">#REF!</definedName>
    <definedName name="Excel_BuiltIn_Print_Area_7_1_1_6">#REF!</definedName>
    <definedName name="Excel_BuiltIn_Print_Area_7_1_1_7">#REF!</definedName>
    <definedName name="Excel_BuiltIn_Print_Area_7_1_10">#REF!</definedName>
    <definedName name="Excel_BuiltIn_Print_Area_7_1_11">#REF!</definedName>
    <definedName name="Excel_BuiltIn_Print_Area_7_1_12">#REF!</definedName>
    <definedName name="Excel_BuiltIn_Print_Area_7_1_13">#REF!</definedName>
    <definedName name="Excel_BuiltIn_Print_Area_7_1_17">#REF!</definedName>
    <definedName name="Excel_BuiltIn_Print_Area_7_1_3">#REF!</definedName>
    <definedName name="Excel_BuiltIn_Print_Area_7_1_4">#REF!</definedName>
    <definedName name="Excel_BuiltIn_Print_Area_7_1_5">#REF!</definedName>
    <definedName name="Excel_BuiltIn_Print_Area_7_1_6">#REF!</definedName>
    <definedName name="Excel_BuiltIn_Print_Area_7_1_7">#REF!</definedName>
    <definedName name="Excel_BuiltIn_Print_Area_7_1_8">#REF!</definedName>
    <definedName name="Excel_BuiltIn_Print_Area_7_1_9">#REF!</definedName>
    <definedName name="Excel_BuiltIn_Print_Area_7_6">#REF!</definedName>
    <definedName name="Excel_BuiltIn_Print_Area_8">#REF!</definedName>
    <definedName name="Excel_BuiltIn_Print_Area_8_1">#REF!</definedName>
    <definedName name="Excel_BuiltIn_Print_Area_8_1_1">#REF!</definedName>
    <definedName name="Excel_BuiltIn_Print_Area_8_1_1_1">#REF!</definedName>
    <definedName name="Excel_BuiltIn_Print_Area_8_1_1_1_1">#REF!</definedName>
    <definedName name="Excel_BuiltIn_Print_Area_8_1_1_1_1_1">#REF!</definedName>
    <definedName name="Excel_BuiltIn_Print_Area_8_1_1_1_6">#REF!</definedName>
    <definedName name="Excel_BuiltIn_Print_Area_8_1_1_1_7">#REF!</definedName>
    <definedName name="Excel_BuiltIn_Print_Area_8_1_1_6">#REF!</definedName>
    <definedName name="Excel_BuiltIn_Print_Area_8_1_1_7">#REF!</definedName>
    <definedName name="Excel_BuiltIn_Print_Area_8_1_1_8">#REF!</definedName>
    <definedName name="Excel_BuiltIn_Print_Area_8_1_1_9">#REF!</definedName>
    <definedName name="Excel_BuiltIn_Print_Area_8_1_5">#N/A</definedName>
    <definedName name="Excel_BuiltIn_Print_Area_8_1_6">#REF!</definedName>
    <definedName name="Excel_BuiltIn_Print_Area_8_1_7">#REF!</definedName>
    <definedName name="Excel_BuiltIn_Print_Area_8_1_8">#N/A</definedName>
    <definedName name="Excel_BuiltIn_Print_Area_8_1_9">#REF!</definedName>
    <definedName name="Excel_BuiltIn_Print_Area_8_7">#REF!</definedName>
    <definedName name="Excel_BuiltIn_Print_Area_9">#REF!</definedName>
    <definedName name="Excel_BuiltIn_Print_Area_9_1">#REF!</definedName>
    <definedName name="Excel_BuiltIn_Print_Area_9_1_1">#REF!</definedName>
    <definedName name="Excel_BuiltIn_Print_Area_9_1_17">#REF!</definedName>
    <definedName name="Excel_BuiltIn_Print_Titles">#REF!</definedName>
    <definedName name="Excel_BuiltIn_Print_Titles_0">#REF!</definedName>
    <definedName name="Excel_BuiltIn_Print_Titles_1">#REF!,#REF!</definedName>
    <definedName name="Excel_BuiltIn_Print_Titles_1_1">#REF!,#REF!</definedName>
    <definedName name="Excel_BuiltIn_Print_Titles_1_1_1">#REF!,#REF!</definedName>
    <definedName name="Excel_BuiltIn_Print_Titles_1_1_1_1">#REF!</definedName>
    <definedName name="Excel_BuiltIn_Print_Titles_1_1_1_1_1">#REF!</definedName>
    <definedName name="Excel_BuiltIn_Print_Titles_1_1_4">#REF!</definedName>
    <definedName name="Excel_BuiltIn_Print_Titles_1_10">#REF!</definedName>
    <definedName name="Excel_BuiltIn_Print_Titles_1_11">#REF!</definedName>
    <definedName name="Excel_BuiltIn_Print_Titles_1_12">#REF!</definedName>
    <definedName name="Excel_BuiltIn_Print_Titles_1_13">#REF!</definedName>
    <definedName name="Excel_BuiltIn_Print_Titles_1_17">#REF!</definedName>
    <definedName name="Excel_BuiltIn_Print_Titles_1_3">#REF!</definedName>
    <definedName name="Excel_BuiltIn_Print_Titles_1_4">#REF!</definedName>
    <definedName name="Excel_BuiltIn_Print_Titles_1_5">#REF!</definedName>
    <definedName name="Excel_BuiltIn_Print_Titles_1_6">#REF!</definedName>
    <definedName name="Excel_BuiltIn_Print_Titles_1_7">#REF!</definedName>
    <definedName name="Excel_BuiltIn_Print_Titles_1_8">#REF!</definedName>
    <definedName name="Excel_BuiltIn_Print_Titles_1_9">#REF!</definedName>
    <definedName name="Excel_BuiltIn_Print_Titles_10">#REF!</definedName>
    <definedName name="Excel_BuiltIn_Print_Titles_10_1">#REF!</definedName>
    <definedName name="Excel_BuiltIn_Print_Titles_10_1_1">#REF!</definedName>
    <definedName name="Excel_BuiltIn_Print_Titles_11">#REF!</definedName>
    <definedName name="Excel_BuiltIn_Print_Titles_11_1">#REF!</definedName>
    <definedName name="Excel_BuiltIn_Print_Titles_11_1_1">#REF!</definedName>
    <definedName name="Excel_BuiltIn_Print_Titles_11_1_1_1">#REF!</definedName>
    <definedName name="Excel_BuiltIn_Print_Titles_11_1_1_1_1">#REF!</definedName>
    <definedName name="Excel_BuiltIn_Print_Titles_11_1_1_1_1_1">#REF!</definedName>
    <definedName name="Excel_BuiltIn_Print_Titles_11_1_1_1_30">#REF!</definedName>
    <definedName name="Excel_BuiltIn_Print_Titles_11_1_1_3">#REF!</definedName>
    <definedName name="Excel_BuiltIn_Print_Titles_11_1_1_30">#REF!</definedName>
    <definedName name="Excel_BuiltIn_Print_Titles_11_1_1_34">#REF!</definedName>
    <definedName name="Excel_BuiltIn_Print_Titles_11_1_1_41">#REF!</definedName>
    <definedName name="Excel_BuiltIn_Print_Titles_11_1_1_41_1">#REF!</definedName>
    <definedName name="Excel_BuiltIn_Print_Titles_11_1_1_43">#REF!</definedName>
    <definedName name="Excel_BuiltIn_Print_Titles_11_1_1_50">#REF!</definedName>
    <definedName name="Excel_BuiltIn_Print_Titles_11_1_1_57">#REF!</definedName>
    <definedName name="Excel_BuiltIn_Print_Titles_11_1_1_58">#REF!</definedName>
    <definedName name="Excel_BuiltIn_Print_Titles_11_1_1_58_1">#REF!</definedName>
    <definedName name="Excel_BuiltIn_Print_Titles_11_1_1_59">#REF!</definedName>
    <definedName name="Excel_BuiltIn_Print_Titles_11_1_1_60">#REF!</definedName>
    <definedName name="Excel_BuiltIn_Print_Titles_11_1_1_61">#REF!</definedName>
    <definedName name="Excel_BuiltIn_Print_Titles_11_1_1_62">#REF!</definedName>
    <definedName name="Excel_BuiltIn_Print_Titles_11_1_41">#REF!</definedName>
    <definedName name="Excel_BuiltIn_Print_Titles_11_1_58">#REF!</definedName>
    <definedName name="Excel_BuiltIn_Print_Titles_12">#REF!</definedName>
    <definedName name="Excel_BuiltIn_Print_Titles_12_1">#REF!</definedName>
    <definedName name="Excel_BuiltIn_Print_Titles_13">#REF!</definedName>
    <definedName name="Excel_BuiltIn_Print_Titles_13_1">#REF!</definedName>
    <definedName name="Excel_BuiltIn_Print_Titles_14">#REF!</definedName>
    <definedName name="Excel_BuiltIn_Print_Titles_14_1">#REF!</definedName>
    <definedName name="Excel_BuiltIn_Print_Titles_15">#REF!</definedName>
    <definedName name="Excel_BuiltIn_Print_Titles_16">"$#REF!.$A$1:$IJ$9"</definedName>
    <definedName name="Excel_BuiltIn_Print_Titles_17">#REF!</definedName>
    <definedName name="Excel_BuiltIn_Print_Titles_17_1">#REF!</definedName>
    <definedName name="Excel_BuiltIn_Print_Titles_17_2">#REF!</definedName>
    <definedName name="Excel_BuiltIn_Print_Titles_18">#REF!</definedName>
    <definedName name="Excel_BuiltIn_Print_Titles_18_1">#REF!</definedName>
    <definedName name="Excel_BuiltIn_Print_Titles_19">#REF!</definedName>
    <definedName name="Excel_BuiltIn_Print_Titles_2">#REF!</definedName>
    <definedName name="Excel_BuiltIn_Print_Titles_2_1">#REF!</definedName>
    <definedName name="Excel_BuiltIn_Print_Titles_2_1_1">"$#REF!.$A$1:$IV$13"</definedName>
    <definedName name="Excel_BuiltIn_Print_Titles_2_1_10">#REF!</definedName>
    <definedName name="Excel_BuiltIn_Print_Titles_2_1_3">#REF!</definedName>
    <definedName name="Excel_BuiltIn_Print_Titles_2_1_4">#REF!</definedName>
    <definedName name="Excel_BuiltIn_Print_Titles_2_1_8">#REF!</definedName>
    <definedName name="Excel_BuiltIn_Print_Titles_2_1_9">#REF!</definedName>
    <definedName name="Excel_BuiltIn_Print_Titles_20">#REF!</definedName>
    <definedName name="Excel_BuiltIn_Print_Titles_21">#REF!</definedName>
    <definedName name="Excel_BuiltIn_Print_Titles_22">"$#REF!.$A$1:$IP$9"</definedName>
    <definedName name="Excel_BuiltIn_Print_Titles_23">"$#REF!.$A$1:$IQ$9"</definedName>
    <definedName name="Excel_BuiltIn_Print_Titles_24">"$#REF!.$A$1:$IR$9"</definedName>
    <definedName name="Excel_BuiltIn_Print_Titles_26_1">#N/A</definedName>
    <definedName name="Excel_BuiltIn_Print_Titles_28">#REF!</definedName>
    <definedName name="Excel_BuiltIn_Print_Titles_3">#REF!</definedName>
    <definedName name="Excel_BuiltIn_Print_Titles_3_1">#REF!,#REF!</definedName>
    <definedName name="Excel_BuiltIn_Print_Titles_3_1_1">#REF!,#REF!</definedName>
    <definedName name="Excel_BuiltIn_Print_Titles_3_1_1_1">#REF!,#REF!</definedName>
    <definedName name="Excel_BuiltIn_Print_Titles_3_1_1_1_1">#REF!,#REF!</definedName>
    <definedName name="Excel_BuiltIn_Print_Titles_3_1_3">#REF!</definedName>
    <definedName name="Excel_BuiltIn_Print_Titles_3_1_3_1_1">"$#REF!.$A$1:$O$61788;$#REF!.$A$1:$IU$3"</definedName>
    <definedName name="Excel_BuiltIn_Print_Titles_3_1_3_2">"$#REF!.$A$1:$O$61788;$#REF!.$A$1:$II$2"</definedName>
    <definedName name="Excel_BuiltIn_Print_Titles_3_1_5_4">"$#REF!.$A$1:$O$61788;$#REF!.$A$1:$II$2"</definedName>
    <definedName name="Excel_BuiltIn_Print_Titles_30">#REF!</definedName>
    <definedName name="Excel_BuiltIn_Print_Titles_30_1">#REF!</definedName>
    <definedName name="Excel_BuiltIn_Print_Titles_31">"$#REF!.$A$1:$IV$8"</definedName>
    <definedName name="Excel_BuiltIn_Print_Titles_31_1">"$#REF!.$A$1:$IV$8"</definedName>
    <definedName name="Excel_BuiltIn_Print_Titles_33_1">#N/A</definedName>
    <definedName name="Excel_BuiltIn_Print_Titles_35">#REF!</definedName>
    <definedName name="Excel_BuiltIn_Print_Titles_4">#REF!,#REF!</definedName>
    <definedName name="Excel_BuiltIn_Print_Titles_4_1">#REF!</definedName>
    <definedName name="Excel_BuiltIn_Print_Titles_4_1_1">"$#REF!.$A$1:$IV$13"</definedName>
    <definedName name="Excel_BuiltIn_Print_Titles_4_1_1_1">"$#REF!.$A$1:$IG$11"</definedName>
    <definedName name="Excel_BuiltIn_Print_Titles_42_1">#REF!</definedName>
    <definedName name="Excel_BuiltIn_Print_Titles_42_1_30">#REF!</definedName>
    <definedName name="Excel_BuiltIn_Print_Titles_5">#REF!</definedName>
    <definedName name="Excel_BuiltIn_Print_Titles_5_1">#REF!</definedName>
    <definedName name="Excel_BuiltIn_Print_Titles_5_1_1">#REF!</definedName>
    <definedName name="Excel_BuiltIn_Print_Titles_5_1_1_1">"$#REF!.$A$1:$IG$11"</definedName>
    <definedName name="Excel_BuiltIn_Print_Titles_5_1_1_1_1">"$#REF!.$A$1:$IG$9"</definedName>
    <definedName name="Excel_BuiltIn_Print_Titles_6">#REF!</definedName>
    <definedName name="Excel_BuiltIn_Print_Titles_6_1">#REF!</definedName>
    <definedName name="Excel_BuiltIn_Print_Titles_6_1_1">#REF!</definedName>
    <definedName name="Excel_BuiltIn_Print_Titles_6_6">#REF!</definedName>
    <definedName name="Excel_BuiltIn_Print_Titles_7">#REF!</definedName>
    <definedName name="Excel_BuiltIn_Print_Titles_7_1">#REF!</definedName>
    <definedName name="Excel_BuiltIn_Print_Titles_7_1_1">#REF!</definedName>
    <definedName name="Excel_BuiltIn_Print_Titles_7_6">#REF!</definedName>
    <definedName name="Excel_BuiltIn_Print_Titles_8">#REF!</definedName>
    <definedName name="Excel_BuiltIn_Print_Titles_8_1">#REF!</definedName>
    <definedName name="Excel_BuiltIn_Print_Titles_8_1_1">#REF!</definedName>
    <definedName name="Excel_BuiltIn_Print_Titles_8_1_42">#REF!</definedName>
    <definedName name="Excel_BuiltIn_Print_Titles_8_1_42_30">#REF!</definedName>
    <definedName name="Excel_BuiltIn_Print_Titles_9">#REF!</definedName>
    <definedName name="Excel_BuiltIn_Print_Titles_9_1">#REF!</definedName>
    <definedName name="Excel_BuiltIn_Print_Titles_9_1_1">#REF!</definedName>
    <definedName name="exduct">#REF!</definedName>
    <definedName name="EXEL">#REF!</definedName>
    <definedName name="exfans">#REF!</definedName>
    <definedName name="EXHASUT_CEILING_FAN">#REF!</definedName>
    <definedName name="exhaust">#REF!</definedName>
    <definedName name="EXHAUST_WALL_FAN">#REF!</definedName>
    <definedName name="exp">#REF!</definedName>
    <definedName name="Expagnolet_Grendel_tanam">#REF!</definedName>
    <definedName name="Expansion_Jt">#REF!</definedName>
    <definedName name="Expantion">#REF!</definedName>
    <definedName name="expenses">'[122]L-Mechanical'!#REF!</definedName>
    <definedName name="Export">#REF!</definedName>
    <definedName name="exposed">#REF!</definedName>
    <definedName name="EXT" hidden="1">#REF!</definedName>
    <definedName name="Ext_r">#REF!</definedName>
    <definedName name="EXTERNAL">#REF!</definedName>
    <definedName name="Externalworks">#REF!</definedName>
    <definedName name="EXTRA">#REF!</definedName>
    <definedName name="EXTRA_1">#REF!</definedName>
    <definedName name="EXTRA_2">#REF!</definedName>
    <definedName name="EXTRA_2_1">#REF!</definedName>
    <definedName name="EXTRA_2_1_6">#REF!</definedName>
    <definedName name="EXTRA_2_6">#REF!</definedName>
    <definedName name="EXTRA_2_7">#REF!</definedName>
    <definedName name="EXTRA_3">#REF!</definedName>
    <definedName name="EXTRA_3_4">#REF!</definedName>
    <definedName name="EXTRA_3_6">#REF!</definedName>
    <definedName name="EXTRA_3_7">#REF!</definedName>
    <definedName name="EXTRA_4">#REF!</definedName>
    <definedName name="EXTRA_4_1">#REF!</definedName>
    <definedName name="EXTRA_4_2">#REF!</definedName>
    <definedName name="EXTRA_4_2_6">#REF!</definedName>
    <definedName name="EXTRA_4_4">#REF!</definedName>
    <definedName name="EXTRA_4_6">#REF!</definedName>
    <definedName name="EXTRA_4_7">#REF!</definedName>
    <definedName name="EXTRA_5">#REF!</definedName>
    <definedName name="EXTRA_5_2">#REF!</definedName>
    <definedName name="EXTRA_5_2_6">#REF!</definedName>
    <definedName name="EXTRA_5_4">#REF!</definedName>
    <definedName name="EXTRA_5_6">#REF!</definedName>
    <definedName name="EXTRA_5_7">#REF!</definedName>
    <definedName name="EXTRA_6">#REF!</definedName>
    <definedName name="EXTRA_6_1">#REF!</definedName>
    <definedName name="EXTRA_6_4">#REF!</definedName>
    <definedName name="EXTRA_6_6">#REF!</definedName>
    <definedName name="EXTRA_6_7">#REF!</definedName>
    <definedName name="EXTRA_7">#REF!</definedName>
    <definedName name="extra_o">#REF!</definedName>
    <definedName name="eyetyut">'[49]Lamp-4 Sat-Das'!$J$20</definedName>
    <definedName name="eyjuet">'[49]Lamp-4 Sat-Das'!$J$71</definedName>
    <definedName name="EYU">[52]DHSD!$G$11</definedName>
    <definedName name="EYUET">'[49]Lamp-4 Sat-Das'!$J$28</definedName>
    <definedName name="EYUEUY">[52]DHSD!$G$13</definedName>
    <definedName name="F">#REF!</definedName>
    <definedName name="F.">#REF!</definedName>
    <definedName name="F.16.a">#REF!</definedName>
    <definedName name="F.1a">#REF!</definedName>
    <definedName name="f.1b">#REF!</definedName>
    <definedName name="F.1c">#REF!</definedName>
    <definedName name="F.1d">#REF!</definedName>
    <definedName name="f.21">#REF!</definedName>
    <definedName name="F.21.a">#REF!</definedName>
    <definedName name="f.22">#REF!</definedName>
    <definedName name="F.22.">#REF!</definedName>
    <definedName name="F.22a">#REF!</definedName>
    <definedName name="F.22b">#REF!</definedName>
    <definedName name="F.23">#REF!</definedName>
    <definedName name="F.23a">#REF!</definedName>
    <definedName name="F.23b">#REF!</definedName>
    <definedName name="F.26">#REF!</definedName>
    <definedName name="F.26.ii">#REF!</definedName>
    <definedName name="F.30">#REF!</definedName>
    <definedName name="F.30.a">#REF!</definedName>
    <definedName name="F.33.b.i">#REF!</definedName>
    <definedName name="f.33.b.ii">#REF!</definedName>
    <definedName name="F.33.b.iii">#REF!</definedName>
    <definedName name="F.33a">#REF!</definedName>
    <definedName name="F.33b">#REF!</definedName>
    <definedName name="F.33c">#REF!</definedName>
    <definedName name="F.34">#REF!</definedName>
    <definedName name="F.35">#REF!</definedName>
    <definedName name="F.36">#REF!</definedName>
    <definedName name="F.36a">#REF!</definedName>
    <definedName name="F.36d">#REF!</definedName>
    <definedName name="F.36f">#REF!</definedName>
    <definedName name="f.37i">#REF!</definedName>
    <definedName name="F.38">#REF!</definedName>
    <definedName name="F.39">#REF!</definedName>
    <definedName name="F.6.01">#REF!</definedName>
    <definedName name="F.6.02">#REF!</definedName>
    <definedName name="F.6.03">#REF!</definedName>
    <definedName name="F.6.04">#REF!</definedName>
    <definedName name="F.6.1">#REF!</definedName>
    <definedName name="F.6.10">#REF!</definedName>
    <definedName name="F.6.17">#REF!</definedName>
    <definedName name="F.6.2">#REF!</definedName>
    <definedName name="F.6.20a">#REF!</definedName>
    <definedName name="F.6.20b">#REF!</definedName>
    <definedName name="F.6.20C">#REF!</definedName>
    <definedName name="F.6.28">#REF!</definedName>
    <definedName name="F.6.29">#REF!</definedName>
    <definedName name="F.6.3">#REF!</definedName>
    <definedName name="F.6.32">#REF!</definedName>
    <definedName name="F.6.4">#REF!</definedName>
    <definedName name="F.6.47">#REF!</definedName>
    <definedName name="F.6.48">#REF!</definedName>
    <definedName name="F.6.5">#REF!</definedName>
    <definedName name="F.6.8">#REF!</definedName>
    <definedName name="F.6.8a">#REF!</definedName>
    <definedName name="F.6.9">#REF!</definedName>
    <definedName name="f.drain">#REF!</definedName>
    <definedName name="F.x">#REF!</definedName>
    <definedName name="F.x1">#REF!</definedName>
    <definedName name="F.x2">#REF!</definedName>
    <definedName name="F_1">#REF!</definedName>
    <definedName name="F_10">#REF!</definedName>
    <definedName name="F_11">#REF!</definedName>
    <definedName name="F_12">#REF!</definedName>
    <definedName name="F_13">#REF!</definedName>
    <definedName name="f_1a">#REF!</definedName>
    <definedName name="F_2">#REF!</definedName>
    <definedName name="F_3">#REF!</definedName>
    <definedName name="F_37">#REF!</definedName>
    <definedName name="F_4">#REF!</definedName>
    <definedName name="F_5">#REF!</definedName>
    <definedName name="f_6">#REF!</definedName>
    <definedName name="F_7">#REF!</definedName>
    <definedName name="F_8">#REF!</definedName>
    <definedName name="F_8_2">#REF!</definedName>
    <definedName name="F_8_3">#REF!</definedName>
    <definedName name="F_8_5">#REF!</definedName>
    <definedName name="F_8_8">#REF!</definedName>
    <definedName name="F_9">#REF!</definedName>
    <definedName name="f_aLL">[123]bill!$T$100</definedName>
    <definedName name="f_hrd">#REF!</definedName>
    <definedName name="F_O">#REF!</definedName>
    <definedName name="F_OH">#REF!</definedName>
    <definedName name="F_S">#REF!</definedName>
    <definedName name="F_SL">#N/A</definedName>
    <definedName name="F_SL_14">NA()</definedName>
    <definedName name="f92F56">[18]dtxl!#REF!</definedName>
    <definedName name="FA">#REF!</definedName>
    <definedName name="fa.rev">#N/A</definedName>
    <definedName name="fa.ror">#REF!</definedName>
    <definedName name="fa_1011">#REF!</definedName>
    <definedName name="fa_1012">#REF!</definedName>
    <definedName name="fa_1013">#REF!</definedName>
    <definedName name="fa_10a">#REF!</definedName>
    <definedName name="fa_10c">#REF!</definedName>
    <definedName name="fa_151">#REF!</definedName>
    <definedName name="fa_21">#REF!</definedName>
    <definedName name="fa_21_EE">#REF!</definedName>
    <definedName name="fa_22">#REF!</definedName>
    <definedName name="fa_22_EE">#REF!</definedName>
    <definedName name="fa_22_manual">#REF!</definedName>
    <definedName name="fa_22_mekanik">#REF!</definedName>
    <definedName name="fa_311">#REF!</definedName>
    <definedName name="fa_312">#REF!</definedName>
    <definedName name="fa_313">#REF!</definedName>
    <definedName name="fa_321">#REF!</definedName>
    <definedName name="fa_322">#REF!</definedName>
    <definedName name="fa_322_b2">#REF!</definedName>
    <definedName name="fa_322_EE">#REF!</definedName>
    <definedName name="fa_322_karang">#REF!</definedName>
    <definedName name="fa_33">#REF!</definedName>
    <definedName name="fa_412">#REF!</definedName>
    <definedName name="fa_428">#REF!</definedName>
    <definedName name="fa_511">#REF!</definedName>
    <definedName name="fa_511_EE">#REF!</definedName>
    <definedName name="fa_512">#REF!</definedName>
    <definedName name="fa_522">#REF!</definedName>
    <definedName name="fa_541">#REF!</definedName>
    <definedName name="fa_541b">#REF!</definedName>
    <definedName name="fa_542">#REF!</definedName>
    <definedName name="fa_611">#REF!</definedName>
    <definedName name="fa_611_EE">#REF!</definedName>
    <definedName name="fa_612">#REF!</definedName>
    <definedName name="fa_631">#REF!</definedName>
    <definedName name="fa_631_man">#REF!</definedName>
    <definedName name="fa_632">#REF!</definedName>
    <definedName name="fa_633">#REF!</definedName>
    <definedName name="fa_66">#REF!</definedName>
    <definedName name="fa_66_EE">#REF!</definedName>
    <definedName name="fa_66_muka">#REF!</definedName>
    <definedName name="fa_7103">#REF!</definedName>
    <definedName name="fa_7110">#REF!</definedName>
    <definedName name="fa_713">#REF!</definedName>
    <definedName name="fa_715">#REF!</definedName>
    <definedName name="fa_715b">#REF!</definedName>
    <definedName name="fa_718">#REF!</definedName>
    <definedName name="fa_719">#REF!</definedName>
    <definedName name="fa_731">#REF!</definedName>
    <definedName name="fa_741">#REF!</definedName>
    <definedName name="fa_751">#REF!</definedName>
    <definedName name="fa_752">#REF!</definedName>
    <definedName name="fa_7612">#REF!</definedName>
    <definedName name="fa_768">#REF!</definedName>
    <definedName name="fa_79_EE">#REF!</definedName>
    <definedName name="fa_79_mknk">#REF!</definedName>
    <definedName name="fa_811">#REF!</definedName>
    <definedName name="fa_812">#REF!</definedName>
    <definedName name="fa_817">#REF!</definedName>
    <definedName name="fa_845">#REF!</definedName>
    <definedName name="fa_852a">#REF!</definedName>
    <definedName name="fa_852b">#REF!</definedName>
    <definedName name="FA_AlarmBell">'[78]Harga Jasa dan Material'!$D$233</definedName>
    <definedName name="FA_Annunciator_1loop">'[78]Harga Jasa dan Material'!$D$225</definedName>
    <definedName name="FA_FixedHeatDetector">'[78]Harga Jasa dan Material'!$D$228</definedName>
    <definedName name="FA_HeatConventional">'[78]Harga Jasa dan Material'!$D$231</definedName>
    <definedName name="FA_IndicatingLamp">'[78]Harga Jasa dan Material'!$D$234</definedName>
    <definedName name="FA_ManualCallPoint">'[78]Harga Jasa dan Material'!$D$229</definedName>
    <definedName name="FA_MCFA_Addressable_1loop">'[78]Harga Jasa dan Material'!$D$224</definedName>
    <definedName name="FA_NYA1cx1.5">'[78]Harga Jasa dan Material'!$D$246</definedName>
    <definedName name="FA_SmokeConventional">'[78]Harga Jasa dan Material'!$D$230</definedName>
    <definedName name="FA_smokedetector">'[78]Harga Jasa dan Material'!$D$226</definedName>
    <definedName name="FA_stpAWG18">'[78]Harga Jasa dan Material'!$D$249</definedName>
    <definedName name="fa_TPancang">#REF!</definedName>
    <definedName name="faab">#REF!</definedName>
    <definedName name="faab_1">#REF!</definedName>
    <definedName name="faab_2">#REF!</definedName>
    <definedName name="faab_2_1">#REF!</definedName>
    <definedName name="faab_2_1_6">#REF!</definedName>
    <definedName name="faab_2_6">#REF!</definedName>
    <definedName name="faab_2_7">#REF!</definedName>
    <definedName name="faab_3">#REF!</definedName>
    <definedName name="faab_3_4">#REF!</definedName>
    <definedName name="faab_3_6">#REF!</definedName>
    <definedName name="faab_3_7">#REF!</definedName>
    <definedName name="faab_4">#REF!</definedName>
    <definedName name="faab_4_1">#REF!</definedName>
    <definedName name="faab_4_2">#REF!</definedName>
    <definedName name="faab_4_2_6">#REF!</definedName>
    <definedName name="faab_4_4">#REF!</definedName>
    <definedName name="faab_4_6">#REF!</definedName>
    <definedName name="faab_4_7">#REF!</definedName>
    <definedName name="faab_5">#REF!</definedName>
    <definedName name="faab_5_2">#REF!</definedName>
    <definedName name="faab_5_2_6">#REF!</definedName>
    <definedName name="faab_5_4">#REF!</definedName>
    <definedName name="faab_5_6">#REF!</definedName>
    <definedName name="faab_5_7">#REF!</definedName>
    <definedName name="faab_6">#REF!</definedName>
    <definedName name="faab_6_1">#REF!</definedName>
    <definedName name="faab_6_4">#REF!</definedName>
    <definedName name="faab_6_6">#REF!</definedName>
    <definedName name="faab_6_7">#REF!</definedName>
    <definedName name="faab_7">#REF!</definedName>
    <definedName name="fab.">#REF!</definedName>
    <definedName name="fabrikasi">[30]S.UPAH!$J$30</definedName>
    <definedName name="fac">#REF!</definedName>
    <definedName name="facm">#REF!</definedName>
    <definedName name="facm_1">#REF!</definedName>
    <definedName name="facm_2">#REF!</definedName>
    <definedName name="facm_2_1">#REF!</definedName>
    <definedName name="facm_2_1_6">#REF!</definedName>
    <definedName name="facm_2_6">#REF!</definedName>
    <definedName name="facm_2_7">#REF!</definedName>
    <definedName name="facm_3">#REF!</definedName>
    <definedName name="facm_3_4">#REF!</definedName>
    <definedName name="facm_3_6">#REF!</definedName>
    <definedName name="facm_3_7">#REF!</definedName>
    <definedName name="facm_4">#REF!</definedName>
    <definedName name="facm_4_1">#REF!</definedName>
    <definedName name="facm_4_2">#REF!</definedName>
    <definedName name="facm_4_2_6">#REF!</definedName>
    <definedName name="facm_4_4">#REF!</definedName>
    <definedName name="facm_4_6">#REF!</definedName>
    <definedName name="facm_4_7">#REF!</definedName>
    <definedName name="facm_5">#REF!</definedName>
    <definedName name="facm_5_2">#REF!</definedName>
    <definedName name="facm_5_2_6">#REF!</definedName>
    <definedName name="facm_5_4">#REF!</definedName>
    <definedName name="facm_5_6">#REF!</definedName>
    <definedName name="facm_5_7">#REF!</definedName>
    <definedName name="facm_6">#REF!</definedName>
    <definedName name="facm_6_1">#REF!</definedName>
    <definedName name="facm_6_4">#REF!</definedName>
    <definedName name="facm_6_6">#REF!</definedName>
    <definedName name="facm_6_7">#REF!</definedName>
    <definedName name="facm_7">#REF!</definedName>
    <definedName name="facp">#REF!</definedName>
    <definedName name="facp_1">#REF!</definedName>
    <definedName name="facp_2">#REF!</definedName>
    <definedName name="facp_2_1">#REF!</definedName>
    <definedName name="facp_2_1_6">#REF!</definedName>
    <definedName name="facp_2_6">#REF!</definedName>
    <definedName name="facp_2_7">#REF!</definedName>
    <definedName name="facp_3">#REF!</definedName>
    <definedName name="facp_3_4">#REF!</definedName>
    <definedName name="facp_3_6">#REF!</definedName>
    <definedName name="facp_3_7">#REF!</definedName>
    <definedName name="facp_4">#REF!</definedName>
    <definedName name="facp_4_1">#REF!</definedName>
    <definedName name="facp_4_2">#REF!</definedName>
    <definedName name="facp_4_2_6">#REF!</definedName>
    <definedName name="facp_4_4">#REF!</definedName>
    <definedName name="facp_4_6">#REF!</definedName>
    <definedName name="facp_4_7">#REF!</definedName>
    <definedName name="facp_5">#REF!</definedName>
    <definedName name="facp_5_2">#REF!</definedName>
    <definedName name="facp_5_2_6">#REF!</definedName>
    <definedName name="facp_5_4">#REF!</definedName>
    <definedName name="facp_5_6">#REF!</definedName>
    <definedName name="facp_5_7">#REF!</definedName>
    <definedName name="facp_6">#REF!</definedName>
    <definedName name="facp_6_1">#REF!</definedName>
    <definedName name="facp_6_4">#REF!</definedName>
    <definedName name="facp_6_6">#REF!</definedName>
    <definedName name="facp_6_7">#REF!</definedName>
    <definedName name="facp_7">#REF!</definedName>
    <definedName name="Fact">#REF!</definedName>
    <definedName name="FAD" hidden="1">{#N/A,#N/A,FALSE,"REK-S-TPL";#N/A,#N/A,FALSE,"REK-TPML";#N/A,#N/A,FALSE,"RAB-TEMPEL"}</definedName>
    <definedName name="fadf">#REF!</definedName>
    <definedName name="faeol">#REF!</definedName>
    <definedName name="faeol_1">#REF!</definedName>
    <definedName name="faeol_2">#REF!</definedName>
    <definedName name="faeol_2_1">#REF!</definedName>
    <definedName name="faeol_2_1_6">#REF!</definedName>
    <definedName name="faeol_2_6">#REF!</definedName>
    <definedName name="faeol_2_7">#REF!</definedName>
    <definedName name="faeol_3">#REF!</definedName>
    <definedName name="faeol_3_4">#REF!</definedName>
    <definedName name="faeol_3_6">#REF!</definedName>
    <definedName name="faeol_3_7">#REF!</definedName>
    <definedName name="faeol_4">#REF!</definedName>
    <definedName name="faeol_4_1">#REF!</definedName>
    <definedName name="faeol_4_2">#REF!</definedName>
    <definedName name="faeol_4_2_6">#REF!</definedName>
    <definedName name="faeol_4_4">#REF!</definedName>
    <definedName name="faeol_4_6">#REF!</definedName>
    <definedName name="faeol_4_7">#REF!</definedName>
    <definedName name="faeol_5">#REF!</definedName>
    <definedName name="faeol_5_2">#REF!</definedName>
    <definedName name="faeol_5_2_6">#REF!</definedName>
    <definedName name="faeol_5_4">#REF!</definedName>
    <definedName name="faeol_5_6">#REF!</definedName>
    <definedName name="faeol_5_7">#REF!</definedName>
    <definedName name="faeol_6">#REF!</definedName>
    <definedName name="faeol_6_1">#REF!</definedName>
    <definedName name="faeol_6_4">#REF!</definedName>
    <definedName name="faeol_6_6">#REF!</definedName>
    <definedName name="faeol_6_7">#REF!</definedName>
    <definedName name="faeol_7">#REF!</definedName>
    <definedName name="faf">#REF!</definedName>
    <definedName name="fag">#N/A</definedName>
    <definedName name="fahd">#REF!</definedName>
    <definedName name="fahd_1">#REF!</definedName>
    <definedName name="fahd_2">#REF!</definedName>
    <definedName name="fahd_2_1">#REF!</definedName>
    <definedName name="fahd_2_1_6">#REF!</definedName>
    <definedName name="fahd_2_6">#REF!</definedName>
    <definedName name="fahd_2_7">#REF!</definedName>
    <definedName name="fahd_3">#REF!</definedName>
    <definedName name="fahd_3_4">#REF!</definedName>
    <definedName name="fahd_3_6">#REF!</definedName>
    <definedName name="fahd_3_7">#REF!</definedName>
    <definedName name="fahd_4">#REF!</definedName>
    <definedName name="fahd_4_1">#REF!</definedName>
    <definedName name="fahd_4_2">#REF!</definedName>
    <definedName name="fahd_4_2_6">#REF!</definedName>
    <definedName name="fahd_4_4">#REF!</definedName>
    <definedName name="fahd_4_6">#REF!</definedName>
    <definedName name="fahd_4_7">#REF!</definedName>
    <definedName name="fahd_5">#REF!</definedName>
    <definedName name="fahd_5_2">#REF!</definedName>
    <definedName name="fahd_5_2_6">#REF!</definedName>
    <definedName name="fahd_5_4">#REF!</definedName>
    <definedName name="fahd_5_6">#REF!</definedName>
    <definedName name="fahd_5_7">#REF!</definedName>
    <definedName name="fahd_6">#REF!</definedName>
    <definedName name="fahd_6_1">#REF!</definedName>
    <definedName name="fahd_6_4">#REF!</definedName>
    <definedName name="fahd_6_6">#REF!</definedName>
    <definedName name="fahd_6_7">#REF!</definedName>
    <definedName name="fahd_7">#REF!</definedName>
    <definedName name="fahdt">#REF!</definedName>
    <definedName name="fahdt_1">#REF!</definedName>
    <definedName name="fahdt_2">#REF!</definedName>
    <definedName name="fahdt_2_1">#REF!</definedName>
    <definedName name="fahdt_2_6">#REF!</definedName>
    <definedName name="fahdt_3">#REF!</definedName>
    <definedName name="fahdt_3_4">#REF!</definedName>
    <definedName name="fahdt_3_6">#REF!</definedName>
    <definedName name="fahdt_3_7">#REF!</definedName>
    <definedName name="fahdt_4">#REF!</definedName>
    <definedName name="fahdt_4_1">#REF!</definedName>
    <definedName name="fahdt_4_2">#REF!</definedName>
    <definedName name="fahdt_4_2_6">#REF!</definedName>
    <definedName name="fahdt_4_4">#REF!</definedName>
    <definedName name="fahdt_4_6">#REF!</definedName>
    <definedName name="fahdt_4_7">#REF!</definedName>
    <definedName name="fahdt_5">#REF!</definedName>
    <definedName name="fahdt_5_2">#REF!</definedName>
    <definedName name="fahdt_5_2_6">#REF!</definedName>
    <definedName name="fahdt_5_4">#REF!</definedName>
    <definedName name="fahdt_5_6">#REF!</definedName>
    <definedName name="fahdt_5_7">#REF!</definedName>
    <definedName name="fahdt_6">#REF!</definedName>
    <definedName name="fahdt_6_1">#REF!</definedName>
    <definedName name="fahdt_6_4">#REF!</definedName>
    <definedName name="fahdt_6_6">#REF!</definedName>
    <definedName name="fahdt_6_7">#REF!</definedName>
    <definedName name="fahdt_7">#REF!</definedName>
    <definedName name="fahs">#REF!</definedName>
    <definedName name="fahs_1">#REF!</definedName>
    <definedName name="fahs_2">#REF!</definedName>
    <definedName name="fahs_2_1">#REF!</definedName>
    <definedName name="fahs_2_1_6">#REF!</definedName>
    <definedName name="fahs_2_6">#REF!</definedName>
    <definedName name="fahs_2_7">#REF!</definedName>
    <definedName name="fahs_3">#REF!</definedName>
    <definedName name="fahs_3_4">#REF!</definedName>
    <definedName name="fahs_3_6">#REF!</definedName>
    <definedName name="fahs_3_7">#REF!</definedName>
    <definedName name="fahs_4">#REF!</definedName>
    <definedName name="fahs_4_1">#REF!</definedName>
    <definedName name="fahs_4_2">#REF!</definedName>
    <definedName name="fahs_4_2_6">#REF!</definedName>
    <definedName name="fahs_4_4">#REF!</definedName>
    <definedName name="fahs_4_6">#REF!</definedName>
    <definedName name="fahs_4_7">#REF!</definedName>
    <definedName name="fahs_5">#REF!</definedName>
    <definedName name="fahs_5_2">#REF!</definedName>
    <definedName name="fahs_5_2_6">#REF!</definedName>
    <definedName name="fahs_5_4">#REF!</definedName>
    <definedName name="fahs_5_6">#REF!</definedName>
    <definedName name="fahs_5_7">#REF!</definedName>
    <definedName name="fahs_6">#REF!</definedName>
    <definedName name="fahs_6_1">#REF!</definedName>
    <definedName name="fahs_6_4">#REF!</definedName>
    <definedName name="fahs_6_6">#REF!</definedName>
    <definedName name="fahs_6_7">#REF!</definedName>
    <definedName name="fahs_7">#REF!</definedName>
    <definedName name="fail">#REF!</definedName>
    <definedName name="fail_1">#REF!</definedName>
    <definedName name="fail_2">#REF!</definedName>
    <definedName name="fail_2_1">#REF!</definedName>
    <definedName name="fail_2_1_6">#REF!</definedName>
    <definedName name="fail_2_6">#REF!</definedName>
    <definedName name="fail_2_7">#REF!</definedName>
    <definedName name="fail_3">#REF!</definedName>
    <definedName name="fail_3_4">#REF!</definedName>
    <definedName name="fail_3_6">#REF!</definedName>
    <definedName name="fail_3_7">#REF!</definedName>
    <definedName name="fail_4">#REF!</definedName>
    <definedName name="fail_4_1">#REF!</definedName>
    <definedName name="fail_4_2">#REF!</definedName>
    <definedName name="fail_4_2_6">#REF!</definedName>
    <definedName name="fail_4_4">#REF!</definedName>
    <definedName name="fail_4_6">#REF!</definedName>
    <definedName name="fail_4_7">#REF!</definedName>
    <definedName name="fail_5">#REF!</definedName>
    <definedName name="fail_5_2">#REF!</definedName>
    <definedName name="fail_5_2_6">#REF!</definedName>
    <definedName name="fail_5_4">#REF!</definedName>
    <definedName name="fail_5_6">#REF!</definedName>
    <definedName name="fail_5_7">#REF!</definedName>
    <definedName name="fail_6">#REF!</definedName>
    <definedName name="fail_6_1">#REF!</definedName>
    <definedName name="fail_6_4">#REF!</definedName>
    <definedName name="fail_6_6">#REF!</definedName>
    <definedName name="fail_6_7">#REF!</definedName>
    <definedName name="fail_7">#REF!</definedName>
    <definedName name="faitc">#REF!</definedName>
    <definedName name="faitc_1">#REF!</definedName>
    <definedName name="faitc_2">#REF!</definedName>
    <definedName name="faitc_2_1">#REF!</definedName>
    <definedName name="faitc_2_1_6">#REF!</definedName>
    <definedName name="faitc_2_6">#REF!</definedName>
    <definedName name="faitc_2_7">#REF!</definedName>
    <definedName name="faitc_3">#REF!</definedName>
    <definedName name="faitc_3_4">#REF!</definedName>
    <definedName name="faitc_3_6">#REF!</definedName>
    <definedName name="faitc_3_7">#REF!</definedName>
    <definedName name="faitc_4">#REF!</definedName>
    <definedName name="faitc_4_1">#REF!</definedName>
    <definedName name="faitc_4_2">#REF!</definedName>
    <definedName name="faitc_4_2_6">#REF!</definedName>
    <definedName name="faitc_4_4">#REF!</definedName>
    <definedName name="faitc_4_6">#REF!</definedName>
    <definedName name="faitc_4_7">#REF!</definedName>
    <definedName name="faitc_5">#REF!</definedName>
    <definedName name="faitc_5_2">#REF!</definedName>
    <definedName name="faitc_5_2_6">#REF!</definedName>
    <definedName name="faitc_5_4">#REF!</definedName>
    <definedName name="faitc_5_6">#REF!</definedName>
    <definedName name="faitc_5_7">#REF!</definedName>
    <definedName name="faitc_6">#REF!</definedName>
    <definedName name="faitc_6_1">#REF!</definedName>
    <definedName name="faitc_6_4">#REF!</definedName>
    <definedName name="faitc_6_6">#REF!</definedName>
    <definedName name="faitc_6_7">#REF!</definedName>
    <definedName name="faitc_7">#REF!</definedName>
    <definedName name="Fak.bend">#REF!</definedName>
    <definedName name="Fak.hook">#REF!</definedName>
    <definedName name="Fak.Ovrlp">#REF!</definedName>
    <definedName name="Fak.Waste.atas">#REF!</definedName>
    <definedName name="Fak.Waste.bwh">#REF!</definedName>
    <definedName name="fak_retail">#REF!</definedName>
    <definedName name="faki">#REF!</definedName>
    <definedName name="faki_1">#REF!</definedName>
    <definedName name="faki_2">#REF!</definedName>
    <definedName name="faki_2_1">#REF!</definedName>
    <definedName name="faki_2_1_6">#REF!</definedName>
    <definedName name="faki_2_6">#REF!</definedName>
    <definedName name="faki_3">#REF!</definedName>
    <definedName name="faki_3_4">#REF!</definedName>
    <definedName name="faki_3_6">#REF!</definedName>
    <definedName name="faki_3_7">#REF!</definedName>
    <definedName name="faki_4">#REF!</definedName>
    <definedName name="faki_4_1">#REF!</definedName>
    <definedName name="faki_4_2">#REF!</definedName>
    <definedName name="faki_4_2_6">#REF!</definedName>
    <definedName name="faki_4_4">#REF!</definedName>
    <definedName name="faki_4_6">#REF!</definedName>
    <definedName name="faki_4_7">#REF!</definedName>
    <definedName name="faki_5">#REF!</definedName>
    <definedName name="faki_5_2">#REF!</definedName>
    <definedName name="faki_5_2_6">#REF!</definedName>
    <definedName name="faki_5_4">#REF!</definedName>
    <definedName name="faki_5_6">#REF!</definedName>
    <definedName name="faki_5_7">#REF!</definedName>
    <definedName name="faki_6">#REF!</definedName>
    <definedName name="faki_6_1">#REF!</definedName>
    <definedName name="faki_6_4">#REF!</definedName>
    <definedName name="faki_6_6">#REF!</definedName>
    <definedName name="faki_6_7">#REF!</definedName>
    <definedName name="faki_7">#REF!</definedName>
    <definedName name="faktd">#REF!</definedName>
    <definedName name="faktd_1">#REF!</definedName>
    <definedName name="faktd_2">#REF!</definedName>
    <definedName name="faktd_2_1">#REF!</definedName>
    <definedName name="faktd_2_1_6">#REF!</definedName>
    <definedName name="faktd_2_6">#REF!</definedName>
    <definedName name="faktd_3">#REF!</definedName>
    <definedName name="faktd_3_4">#REF!</definedName>
    <definedName name="faktd_3_6">#REF!</definedName>
    <definedName name="faktd_3_7">#REF!</definedName>
    <definedName name="faktd_4">#REF!</definedName>
    <definedName name="faktd_4_1">#REF!</definedName>
    <definedName name="faktd_4_2">#REF!</definedName>
    <definedName name="faktd_4_2_6">#REF!</definedName>
    <definedName name="faktd_4_4">#REF!</definedName>
    <definedName name="faktd_4_6">#REF!</definedName>
    <definedName name="faktd_4_7">#REF!</definedName>
    <definedName name="faktd_5">#REF!</definedName>
    <definedName name="faktd_5_2">#REF!</definedName>
    <definedName name="faktd_5_2_6">#REF!</definedName>
    <definedName name="faktd_5_4">#REF!</definedName>
    <definedName name="faktd_5_6">#REF!</definedName>
    <definedName name="faktd_5_7">#REF!</definedName>
    <definedName name="faktd_6">#REF!</definedName>
    <definedName name="faktd_6_1">#REF!</definedName>
    <definedName name="faktd_6_4">#REF!</definedName>
    <definedName name="faktd_6_6">#REF!</definedName>
    <definedName name="faktd_6_7">#REF!</definedName>
    <definedName name="faktd_7">#REF!</definedName>
    <definedName name="Faktor">#REF!</definedName>
    <definedName name="FAKTOR_BAHAN_SANITAIR_GROHE">#REF!</definedName>
    <definedName name="fal">#REF!</definedName>
    <definedName name="fall" hidden="1">#REF!</definedName>
    <definedName name="fam">#REF!</definedName>
    <definedName name="fam_1">#REF!</definedName>
    <definedName name="fam_2">#REF!</definedName>
    <definedName name="fam_2_1">#REF!</definedName>
    <definedName name="fam_2_1_6">#REF!</definedName>
    <definedName name="fam_2_6">#REF!</definedName>
    <definedName name="fam_2_7">#REF!</definedName>
    <definedName name="fam_3">#REF!</definedName>
    <definedName name="fam_3_4">#REF!</definedName>
    <definedName name="fam_3_6">#REF!</definedName>
    <definedName name="fam_3_7">#REF!</definedName>
    <definedName name="fam_4">#REF!</definedName>
    <definedName name="fam_4_1">#REF!</definedName>
    <definedName name="fam_4_2">#REF!</definedName>
    <definedName name="fam_4_2_6">#REF!</definedName>
    <definedName name="fam_4_4">#REF!</definedName>
    <definedName name="fam_4_6">#REF!</definedName>
    <definedName name="fam_4_7">#REF!</definedName>
    <definedName name="fam_5">#REF!</definedName>
    <definedName name="fam_5_2">#REF!</definedName>
    <definedName name="fam_5_2_6">#REF!</definedName>
    <definedName name="fam_5_4">#REF!</definedName>
    <definedName name="fam_5_6">#REF!</definedName>
    <definedName name="fam_5_7">#REF!</definedName>
    <definedName name="fam_6">#REF!</definedName>
    <definedName name="fam_6_1">#REF!</definedName>
    <definedName name="fam_6_4">#REF!</definedName>
    <definedName name="fam_6_6">#REF!</definedName>
    <definedName name="fam_6_7">#REF!</definedName>
    <definedName name="fam_7">#REF!</definedName>
    <definedName name="famcp">#REF!</definedName>
    <definedName name="famcp_1">#REF!</definedName>
    <definedName name="famcp_2">#REF!</definedName>
    <definedName name="famcp_2_1">#REF!</definedName>
    <definedName name="famcp_2_1_6">#REF!</definedName>
    <definedName name="famcp_2_6">#REF!</definedName>
    <definedName name="famcp_3">#REF!</definedName>
    <definedName name="famcp_3_4">#REF!</definedName>
    <definedName name="famcp_3_6">#REF!</definedName>
    <definedName name="famcp_3_7">#REF!</definedName>
    <definedName name="famcp_4">#REF!</definedName>
    <definedName name="famcp_4_1">#REF!</definedName>
    <definedName name="famcp_4_2">#REF!</definedName>
    <definedName name="famcp_4_2_6">#REF!</definedName>
    <definedName name="famcp_4_4">#REF!</definedName>
    <definedName name="famcp_4_6">#REF!</definedName>
    <definedName name="famcp_4_7">#REF!</definedName>
    <definedName name="famcp_5">#REF!</definedName>
    <definedName name="famcp_5_2">#REF!</definedName>
    <definedName name="famcp_5_2_6">#REF!</definedName>
    <definedName name="famcp_5_4">#REF!</definedName>
    <definedName name="famcp_5_6">#REF!</definedName>
    <definedName name="famcp_5_7">#REF!</definedName>
    <definedName name="famcp_6">#REF!</definedName>
    <definedName name="famcp_6_1">#REF!</definedName>
    <definedName name="famcp_6_4">#REF!</definedName>
    <definedName name="famcp_6_6">#REF!</definedName>
    <definedName name="famcp_6_7">#REF!</definedName>
    <definedName name="famcp_7">#REF!</definedName>
    <definedName name="FAN">#REF!</definedName>
    <definedName name="faoi">#REF!</definedName>
    <definedName name="faoi_1">#REF!</definedName>
    <definedName name="faoi_2">#REF!</definedName>
    <definedName name="faoi_2_1">#REF!</definedName>
    <definedName name="faoi_2_1_6">#REF!</definedName>
    <definedName name="faoi_2_6">#REF!</definedName>
    <definedName name="faoi_2_7">#REF!</definedName>
    <definedName name="faoi_3">#REF!</definedName>
    <definedName name="faoi_3_4">#REF!</definedName>
    <definedName name="faoi_3_6">#REF!</definedName>
    <definedName name="faoi_3_7">#REF!</definedName>
    <definedName name="faoi_4">#REF!</definedName>
    <definedName name="faoi_4_1">#REF!</definedName>
    <definedName name="faoi_4_2">#REF!</definedName>
    <definedName name="faoi_4_2_6">#REF!</definedName>
    <definedName name="faoi_4_4">#REF!</definedName>
    <definedName name="faoi_4_6">#REF!</definedName>
    <definedName name="faoi_4_7">#REF!</definedName>
    <definedName name="faoi_5">#REF!</definedName>
    <definedName name="faoi_5_2">#REF!</definedName>
    <definedName name="faoi_5_2_6">#REF!</definedName>
    <definedName name="faoi_5_4">#REF!</definedName>
    <definedName name="faoi_5_6">#REF!</definedName>
    <definedName name="faoi_5_7">#REF!</definedName>
    <definedName name="faoi_6">#REF!</definedName>
    <definedName name="faoi_6_1">#REF!</definedName>
    <definedName name="faoi_6_4">#REF!</definedName>
    <definedName name="faoi_6_6">#REF!</definedName>
    <definedName name="faoi_6_7">#REF!</definedName>
    <definedName name="faoi_7">#REF!</definedName>
    <definedName name="far">#REF!</definedName>
    <definedName name="far_1">#REF!</definedName>
    <definedName name="far_2">#REF!</definedName>
    <definedName name="far_2_1">#REF!</definedName>
    <definedName name="far_2_1_6">#REF!</definedName>
    <definedName name="far_2_6">#REF!</definedName>
    <definedName name="far_2_7">#REF!</definedName>
    <definedName name="far_3">#REF!</definedName>
    <definedName name="far_3_4">#REF!</definedName>
    <definedName name="far_3_6">#REF!</definedName>
    <definedName name="far_3_7">#REF!</definedName>
    <definedName name="far_4">#REF!</definedName>
    <definedName name="far_4_1">#REF!</definedName>
    <definedName name="far_4_2">#REF!</definedName>
    <definedName name="far_4_2_6">#REF!</definedName>
    <definedName name="far_4_4">#REF!</definedName>
    <definedName name="far_4_6">#REF!</definedName>
    <definedName name="far_4_7">#REF!</definedName>
    <definedName name="far_5">#REF!</definedName>
    <definedName name="far_5_2">#REF!</definedName>
    <definedName name="far_5_2_6">#REF!</definedName>
    <definedName name="far_5_4">#REF!</definedName>
    <definedName name="far_5_6">#REF!</definedName>
    <definedName name="far_5_7">#REF!</definedName>
    <definedName name="far_6">#REF!</definedName>
    <definedName name="far_6_1">#REF!</definedName>
    <definedName name="far_6_4">#REF!</definedName>
    <definedName name="far_6_6">#REF!</definedName>
    <definedName name="far_6_7">#REF!</definedName>
    <definedName name="far_7">#REF!</definedName>
    <definedName name="fas">#REF!</definedName>
    <definedName name="fascia">#REF!</definedName>
    <definedName name="fasd">#REF!</definedName>
    <definedName name="fasd_1">#REF!</definedName>
    <definedName name="fasd_2">#REF!</definedName>
    <definedName name="fasd_2_1">#REF!</definedName>
    <definedName name="fasd_2_1_6">#REF!</definedName>
    <definedName name="fasd_2_6">#REF!</definedName>
    <definedName name="fasd_3">#REF!</definedName>
    <definedName name="fasd_3_4">#REF!</definedName>
    <definedName name="fasd_3_6">#REF!</definedName>
    <definedName name="fasd_3_7">#REF!</definedName>
    <definedName name="fasd_4">#REF!</definedName>
    <definedName name="fasd_4_1">#REF!</definedName>
    <definedName name="fasd_4_2">#REF!</definedName>
    <definedName name="fasd_4_2_6">#REF!</definedName>
    <definedName name="fasd_4_4">#REF!</definedName>
    <definedName name="fasd_4_6">#REF!</definedName>
    <definedName name="fasd_4_7">#REF!</definedName>
    <definedName name="fasd_5">#REF!</definedName>
    <definedName name="fasd_5_2">#REF!</definedName>
    <definedName name="fasd_5_2_6">#REF!</definedName>
    <definedName name="fasd_5_4">#REF!</definedName>
    <definedName name="fasd_5_6">#REF!</definedName>
    <definedName name="fasd_5_7">#REF!</definedName>
    <definedName name="fasd_6">#REF!</definedName>
    <definedName name="fasd_6_1">#REF!</definedName>
    <definedName name="fasd_6_4">#REF!</definedName>
    <definedName name="fasd_6_6">#REF!</definedName>
    <definedName name="fasd_6_7">#REF!</definedName>
    <definedName name="fasd_7">#REF!</definedName>
    <definedName name="fasdt">#REF!</definedName>
    <definedName name="fasdt_1">#REF!</definedName>
    <definedName name="fasdt_2">#REF!</definedName>
    <definedName name="fasdt_2_1">#REF!</definedName>
    <definedName name="fasdt_2_1_6">#REF!</definedName>
    <definedName name="fasdt_2_6">#REF!</definedName>
    <definedName name="fasdt_3">#REF!</definedName>
    <definedName name="fasdt_3_4">#REF!</definedName>
    <definedName name="fasdt_3_6">#REF!</definedName>
    <definedName name="fasdt_3_7">#REF!</definedName>
    <definedName name="fasdt_4">#REF!</definedName>
    <definedName name="fasdt_4_1">#REF!</definedName>
    <definedName name="fasdt_4_2">#REF!</definedName>
    <definedName name="fasdt_4_2_6">#REF!</definedName>
    <definedName name="fasdt_4_4">#REF!</definedName>
    <definedName name="fasdt_4_6">#REF!</definedName>
    <definedName name="fasdt_4_7">#REF!</definedName>
    <definedName name="fasdt_5">#REF!</definedName>
    <definedName name="fasdt_5_2">#REF!</definedName>
    <definedName name="fasdt_5_2_6">#REF!</definedName>
    <definedName name="fasdt_5_4">#REF!</definedName>
    <definedName name="fasdt_5_6">#REF!</definedName>
    <definedName name="fasdt_5_7">#REF!</definedName>
    <definedName name="fasdt_6">#REF!</definedName>
    <definedName name="fasdt_6_1">#REF!</definedName>
    <definedName name="fasdt_6_4">#REF!</definedName>
    <definedName name="fasdt_6_6">#REF!</definedName>
    <definedName name="fasdt_6_7">#REF!</definedName>
    <definedName name="fasdt_7">#REF!</definedName>
    <definedName name="FASILITAS">#REF!</definedName>
    <definedName name="fat">#REF!</definedName>
    <definedName name="fat_1">#REF!</definedName>
    <definedName name="fat_2">#REF!</definedName>
    <definedName name="fat_2_1">#REF!</definedName>
    <definedName name="fat_2_1_6">#REF!</definedName>
    <definedName name="fat_2_6">#REF!</definedName>
    <definedName name="fat_2_7">#REF!</definedName>
    <definedName name="fat_3">#REF!</definedName>
    <definedName name="fat_3_4">#REF!</definedName>
    <definedName name="fat_3_6">#REF!</definedName>
    <definedName name="fat_3_7">#REF!</definedName>
    <definedName name="fat_4">#REF!</definedName>
    <definedName name="fat_4_1">#REF!</definedName>
    <definedName name="fat_4_2">#REF!</definedName>
    <definedName name="fat_4_2_6">#REF!</definedName>
    <definedName name="fat_4_4">#REF!</definedName>
    <definedName name="fat_4_6">#REF!</definedName>
    <definedName name="fat_4_7">#REF!</definedName>
    <definedName name="fat_5">#REF!</definedName>
    <definedName name="fat_5_2">#REF!</definedName>
    <definedName name="fat_5_2_6">#REF!</definedName>
    <definedName name="fat_5_4">#REF!</definedName>
    <definedName name="fat_5_6">#REF!</definedName>
    <definedName name="fat_5_7">#REF!</definedName>
    <definedName name="fat_6">#REF!</definedName>
    <definedName name="fat_6_1">#REF!</definedName>
    <definedName name="fat_6_4">#REF!</definedName>
    <definedName name="fat_6_6">#REF!</definedName>
    <definedName name="fat_6_7">#REF!</definedName>
    <definedName name="fat_7">#REF!</definedName>
    <definedName name="faucet">[124]ana_str!#REF!</definedName>
    <definedName name="Fax">#REF!</definedName>
    <definedName name="FAXNO">#REF!</definedName>
    <definedName name="fb">#REF!</definedName>
    <definedName name="FBT">#REF!</definedName>
    <definedName name="FBT_4T">#REF!</definedName>
    <definedName name="fc">#REF!</definedName>
    <definedName name="fc_180">[121]HDasar!$H$18</definedName>
    <definedName name="fc_210">[121]HDasar!$H$17</definedName>
    <definedName name="fc_35">[65]harsat!#REF!</definedName>
    <definedName name="fc_35a">"'file:///L:/10 (M M C)/Sipil-Ars/BQ_WASKITA/analisa_str_mmc.xls'#$harsat.$#REF!$#REF!"</definedName>
    <definedName name="fc_35c">"'file:///L:/10 (M M C)/Sipil-Ars/BQ_WASKITA/analisa_str_mmc.xls'#$harsat.$#REF!$#REF!"</definedName>
    <definedName name="fc_45">[65]harsat!#REF!</definedName>
    <definedName name="fc_tx">#REF!</definedName>
    <definedName name="Fc350NFA">"$#REF!.$#REF!$#REF!"</definedName>
    <definedName name="Fc400NFA">"$#REF!.$#REF!$#REF!"</definedName>
    <definedName name="Fc500NFA">"$#REF!.$#REF!$#REF!"</definedName>
    <definedName name="FCode" hidden="1">#REF!</definedName>
    <definedName name="FCU">#REF!</definedName>
    <definedName name="fd">#REF!</definedName>
    <definedName name="fd_1">#REF!</definedName>
    <definedName name="fd_2">#REF!</definedName>
    <definedName name="fd_3">#REF!</definedName>
    <definedName name="fd_4">#REF!</definedName>
    <definedName name="fd_tx">#REF!</definedName>
    <definedName name="FD_TX1B">#REF!</definedName>
    <definedName name="fd1_1">#REF!</definedName>
    <definedName name="fd1_2">#REF!</definedName>
    <definedName name="fd1_3">#REF!</definedName>
    <definedName name="fd1_4">#REF!</definedName>
    <definedName name="fd1_5">#REF!</definedName>
    <definedName name="fd1_6">#REF!</definedName>
    <definedName name="fd1_7">#REF!</definedName>
    <definedName name="fd1_8">#REF!</definedName>
    <definedName name="fd2_1">[95]satuan_pek_ars!#REF!</definedName>
    <definedName name="fd2_2">[95]satuan_pek_ars!#REF!</definedName>
    <definedName name="fd2_3">[95]satuan_pek_ars!#REF!</definedName>
    <definedName name="fd2_4">[95]satuan_pek_ars!#REF!</definedName>
    <definedName name="fd2_5">[95]satuan_pek_ars!#REF!</definedName>
    <definedName name="fd2_6">[95]satuan_pek_ars!#REF!</definedName>
    <definedName name="fd2_7">[95]satuan_pek_ars!#REF!</definedName>
    <definedName name="fd2_8">[95]satuan_pek_ars!#REF!</definedName>
    <definedName name="fd3_1">[95]satuan_pek_ars!#REF!</definedName>
    <definedName name="fd3_2">[95]satuan_pek_ars!#REF!</definedName>
    <definedName name="fd3_3">[95]satuan_pek_ars!#REF!</definedName>
    <definedName name="fd3_4">[95]satuan_pek_ars!#REF!</definedName>
    <definedName name="fd3_5">[95]satuan_pek_ars!#REF!</definedName>
    <definedName name="fd3_6">[95]satuan_pek_ars!#REF!</definedName>
    <definedName name="fd3_7">[95]satuan_pek_ars!#REF!</definedName>
    <definedName name="fd4_1">#REF!</definedName>
    <definedName name="fd4_2">#REF!</definedName>
    <definedName name="fd4_3">#REF!</definedName>
    <definedName name="fd4_4">#REF!</definedName>
    <definedName name="fd4_5">[95]satuan_pek_ars!#REF!</definedName>
    <definedName name="fd4_6">[95]satuan_pek_ars!#REF!</definedName>
    <definedName name="fd4_7">[95]satuan_pek_ars!#REF!</definedName>
    <definedName name="fd4_8">[95]satuan_pek_ars!#REF!</definedName>
    <definedName name="fda">'[49]Lamp-4 Sat-Das'!$J$52</definedName>
    <definedName name="fdaf">'[125]Appendix 2(SatDas)'!$H$70</definedName>
    <definedName name="fdag">'[49]Lamp-4 Sat-Das'!$J$62</definedName>
    <definedName name="fdbjn">#N/A</definedName>
    <definedName name="fddsafa">[126]SPL!$W$487</definedName>
    <definedName name="fdgz">#REF!</definedName>
    <definedName name="FDHFH">#REF!</definedName>
    <definedName name="fdr">#REF!</definedName>
    <definedName name="FDrain">#REF!</definedName>
    <definedName name="fds">'[54]SAT-DAS'!$J$14</definedName>
    <definedName name="fdsf">'[54]SAT-DAS'!$J$33</definedName>
    <definedName name="FDSFS">#N/A</definedName>
    <definedName name="fdsg">'[50]SAT-DAS'!$J$54</definedName>
    <definedName name="fdTX1A">#REF!</definedName>
    <definedName name="fdvsd">{"Book1","IKMN-LIT-DIB -BIB 2004.xls"}</definedName>
    <definedName name="fe">#REF!</definedName>
    <definedName name="fe_sound">[39]Elektronik!#REF!</definedName>
    <definedName name="Fe100Bbs">#REF!</definedName>
    <definedName name="Fe100Jpt">#REF!</definedName>
    <definedName name="Fe120Jpt">#REF!</definedName>
    <definedName name="Fe150Bbs">#REF!</definedName>
    <definedName name="Fe150Jpt">#REF!</definedName>
    <definedName name="Fe175Bbs">#REF!</definedName>
    <definedName name="Fe175Jpt">#REF!</definedName>
    <definedName name="Fe175prak">#REF!</definedName>
    <definedName name="Fe175struk">#REF!</definedName>
    <definedName name="Fe200Bbs">#REF!</definedName>
    <definedName name="Fe200Jpt">#REF!</definedName>
    <definedName name="Fe250Bbs">#REF!</definedName>
    <definedName name="Fe275Bbs">#REF!</definedName>
    <definedName name="Fe275prak">#REF!</definedName>
    <definedName name="Fe275struk">#REF!</definedName>
    <definedName name="Fe80Bbs">#REF!</definedName>
    <definedName name="feco25">#REF!</definedName>
    <definedName name="feco25_1">#REF!</definedName>
    <definedName name="feco25_1_5">#REF!</definedName>
    <definedName name="feco25_2">#REF!</definedName>
    <definedName name="feco25_2_1">#REF!</definedName>
    <definedName name="feco25_2_1_1">#REF!</definedName>
    <definedName name="feco25_2_1_1_6">#REF!</definedName>
    <definedName name="feco25_2_1_6">#REF!</definedName>
    <definedName name="feco25_2_1_7">#REF!</definedName>
    <definedName name="feco25_2_6">#REF!</definedName>
    <definedName name="feco25_2_7">#REF!</definedName>
    <definedName name="feco25_3">#REF!</definedName>
    <definedName name="feco25_3_4">#REF!</definedName>
    <definedName name="feco25_3_6">#REF!</definedName>
    <definedName name="feco25_3_7">#REF!</definedName>
    <definedName name="feco25_4">#REF!</definedName>
    <definedName name="feco25_4_1">#REF!</definedName>
    <definedName name="feco25_4_2">#REF!</definedName>
    <definedName name="feco25_4_2_6">#REF!</definedName>
    <definedName name="feco25_4_4">#REF!</definedName>
    <definedName name="feco25_4_6">#REF!</definedName>
    <definedName name="feco25_4_7">#REF!</definedName>
    <definedName name="feco25_5">#REF!</definedName>
    <definedName name="feco25_5_2">#REF!</definedName>
    <definedName name="feco25_5_2_6">#REF!</definedName>
    <definedName name="feco25_5_4">#REF!</definedName>
    <definedName name="feco25_5_6">#REF!</definedName>
    <definedName name="feco25_5_7">#REF!</definedName>
    <definedName name="feco25_6">#REF!</definedName>
    <definedName name="feco25_6_1">#REF!</definedName>
    <definedName name="feco25_6_4">#REF!</definedName>
    <definedName name="feco25_6_6">#REF!</definedName>
    <definedName name="feco25_6_7">#REF!</definedName>
    <definedName name="feco25_7">#REF!</definedName>
    <definedName name="fedc2">#REF!</definedName>
    <definedName name="fedc2_1">#REF!</definedName>
    <definedName name="fedc2_1_5">#REF!</definedName>
    <definedName name="fedc2_2">#REF!</definedName>
    <definedName name="fedc2_2_1">#REF!</definedName>
    <definedName name="fedc2_2_1_1">#REF!</definedName>
    <definedName name="fedc2_2_1_1_6">#REF!</definedName>
    <definedName name="fedc2_2_1_6">#REF!</definedName>
    <definedName name="fedc2_2_1_7">#REF!</definedName>
    <definedName name="fedc2_2_6">#REF!</definedName>
    <definedName name="fedc2_2_7">#REF!</definedName>
    <definedName name="fedc2_3">#REF!</definedName>
    <definedName name="fedc2_3_4">#REF!</definedName>
    <definedName name="fedc2_3_6">#REF!</definedName>
    <definedName name="fedc2_3_7">#REF!</definedName>
    <definedName name="fedc2_4">#REF!</definedName>
    <definedName name="fedc2_4_1">#REF!</definedName>
    <definedName name="fedc2_4_2">#REF!</definedName>
    <definedName name="fedc2_4_2_6">#REF!</definedName>
    <definedName name="fedc2_4_4">#REF!</definedName>
    <definedName name="fedc2_4_6">#REF!</definedName>
    <definedName name="fedc2_4_7">#REF!</definedName>
    <definedName name="fedc2_5">#REF!</definedName>
    <definedName name="fedc2_5_2">#REF!</definedName>
    <definedName name="fedc2_5_2_6">#REF!</definedName>
    <definedName name="fedc2_5_4">#REF!</definedName>
    <definedName name="fedc2_5_6">#REF!</definedName>
    <definedName name="fedc2_5_7">#REF!</definedName>
    <definedName name="fedc2_6">#REF!</definedName>
    <definedName name="fedc2_6_1">#REF!</definedName>
    <definedName name="fedc2_6_4">#REF!</definedName>
    <definedName name="fedc2_6_6">#REF!</definedName>
    <definedName name="fedc2_6_7">#REF!</definedName>
    <definedName name="fedc2_7">#REF!</definedName>
    <definedName name="fedc35">#REF!</definedName>
    <definedName name="fedc35_1">#REF!</definedName>
    <definedName name="fedc35_1_5">#REF!</definedName>
    <definedName name="fedc35_2">#REF!</definedName>
    <definedName name="fedc35_2_1">#REF!</definedName>
    <definedName name="fedc35_2_1_1">#REF!</definedName>
    <definedName name="fedc35_2_1_1_6">#REF!</definedName>
    <definedName name="fedc35_2_1_6">#REF!</definedName>
    <definedName name="fedc35_2_1_7">#REF!</definedName>
    <definedName name="fedc35_2_6">#REF!</definedName>
    <definedName name="fedc35_2_7">#REF!</definedName>
    <definedName name="fedc35_3">#REF!</definedName>
    <definedName name="fedc35_3_4">#REF!</definedName>
    <definedName name="fedc35_3_6">#REF!</definedName>
    <definedName name="fedc35_3_7">#REF!</definedName>
    <definedName name="fedc35_4">#REF!</definedName>
    <definedName name="fedc35_4_1">#REF!</definedName>
    <definedName name="fedc35_4_2">#REF!</definedName>
    <definedName name="fedc35_4_2_6">#REF!</definedName>
    <definedName name="fedc35_4_4">#REF!</definedName>
    <definedName name="fedc35_4_6">#REF!</definedName>
    <definedName name="fedc35_4_7">#REF!</definedName>
    <definedName name="fedc35_5">#REF!</definedName>
    <definedName name="fedc35_5_2">#REF!</definedName>
    <definedName name="fedc35_5_2_6">#REF!</definedName>
    <definedName name="fedc35_5_4">#REF!</definedName>
    <definedName name="fedc35_5_6">#REF!</definedName>
    <definedName name="fedc35_5_7">#REF!</definedName>
    <definedName name="fedc35_6">#REF!</definedName>
    <definedName name="fedc35_6_1">#REF!</definedName>
    <definedName name="fedc35_6_4">#REF!</definedName>
    <definedName name="fedc35_6_6">#REF!</definedName>
    <definedName name="fedc35_6_7">#REF!</definedName>
    <definedName name="fedc35_7">#REF!</definedName>
    <definedName name="fedc35z">#REF!</definedName>
    <definedName name="FEE">#REF!</definedName>
    <definedName name="feedertelp.">#REF!</definedName>
    <definedName name="ferro">#REF!</definedName>
    <definedName name="FEX">#REF!</definedName>
    <definedName name="FEX_1">#REF!</definedName>
    <definedName name="FEX_2">#REF!</definedName>
    <definedName name="FEX_2_1">#REF!</definedName>
    <definedName name="FEX_3">#REF!</definedName>
    <definedName name="FEX_3_2">#REF!</definedName>
    <definedName name="FEX_3_4">#REF!</definedName>
    <definedName name="FEX_3_6">#REF!</definedName>
    <definedName name="FEX_3_7">#REF!</definedName>
    <definedName name="FEX_4">#REF!</definedName>
    <definedName name="FEX_4_1">#REF!</definedName>
    <definedName name="FEX_4_2">#REF!</definedName>
    <definedName name="FEX_4_4">#REF!</definedName>
    <definedName name="FEX_4_6">#REF!</definedName>
    <definedName name="FEX_4_7">#REF!</definedName>
    <definedName name="FEX_5">#REF!</definedName>
    <definedName name="FEX_5_2">#REF!</definedName>
    <definedName name="FEX_5_4">#REF!</definedName>
    <definedName name="FEX_5_6">#REF!</definedName>
    <definedName name="FEX_5_7">#REF!</definedName>
    <definedName name="FEX_6">#REF!</definedName>
    <definedName name="FEX_6_1">#REF!</definedName>
    <definedName name="FEX_6_2">#REF!</definedName>
    <definedName name="FEX_6_4">#REF!</definedName>
    <definedName name="FEX_6_6">#REF!</definedName>
    <definedName name="FEX_6_7">#REF!</definedName>
    <definedName name="FEX_7">#REF!</definedName>
    <definedName name="FEX_7_1">#REF!</definedName>
    <definedName name="FF">#REF!</definedName>
    <definedName name="FF_01">#REF!</definedName>
    <definedName name="FF_02">#REF!</definedName>
    <definedName name="FF_03">#REF!</definedName>
    <definedName name="FF_04">#REF!</definedName>
    <definedName name="FF_09">#REF!</definedName>
    <definedName name="FF_10">#REF!</definedName>
    <definedName name="FF_11">#REF!</definedName>
    <definedName name="FF_14">#REF!</definedName>
    <definedName name="FF_15">#REF!</definedName>
    <definedName name="FF_16">#REF!</definedName>
    <definedName name="FF_17">#REF!</definedName>
    <definedName name="FF_18">#REF!</definedName>
    <definedName name="FF_19">#REF!</definedName>
    <definedName name="FF_20">#REF!</definedName>
    <definedName name="FF_20A">#REF!</definedName>
    <definedName name="FF_21">#REF!</definedName>
    <definedName name="FF_21B">#REF!</definedName>
    <definedName name="FF_22">#REF!</definedName>
    <definedName name="FF_23">#REF!</definedName>
    <definedName name="FF_24">#REF!</definedName>
    <definedName name="FF_25">#REF!</definedName>
    <definedName name="FF_25A">#REF!</definedName>
    <definedName name="FF_26">#REF!</definedName>
    <definedName name="FF_26A">#REF!</definedName>
    <definedName name="FF_27">#REF!</definedName>
    <definedName name="FF_27A">#REF!</definedName>
    <definedName name="FF_28">#REF!</definedName>
    <definedName name="FF_29">#REF!</definedName>
    <definedName name="FF_30">#REF!</definedName>
    <definedName name="FF_31">#REF!</definedName>
    <definedName name="FF_31A">#REF!</definedName>
    <definedName name="FF_31B">#REF!</definedName>
    <definedName name="FF_31C">#REF!</definedName>
    <definedName name="FF_31D">#REF!</definedName>
    <definedName name="FF_31E">#REF!</definedName>
    <definedName name="FF_32">#REF!</definedName>
    <definedName name="FF_32A">#REF!</definedName>
    <definedName name="FF_33">#REF!</definedName>
    <definedName name="FF_33A">#REF!</definedName>
    <definedName name="FF_34">#REF!</definedName>
    <definedName name="FF_35">#REF!</definedName>
    <definedName name="FF_36">#REF!</definedName>
    <definedName name="FF_37">#REF!</definedName>
    <definedName name="ffdd">[55]MPU!#REF!</definedName>
    <definedName name="fff" hidden="1">{#N/A,#N/A,FALSE,"SUM_Prop";#N/A,#N/A,FALSE,"PROCESS-eng";#N/A,#N/A,FALSE,"PROCESS-com";#N/A,#N/A,FALSE,"INST-eng";#N/A,#N/A,FALSE,"INST-com"}</definedName>
    <definedName name="ffff" hidden="1">[127]SCHED!#REF!</definedName>
    <definedName name="fffff">#REF!</definedName>
    <definedName name="fffff_1">#REF!</definedName>
    <definedName name="fffff_2">#REF!</definedName>
    <definedName name="fffff_2_1">#REF!</definedName>
    <definedName name="fffff_2_1_6">#REF!</definedName>
    <definedName name="fffff_2_6">#REF!</definedName>
    <definedName name="fffff_2_7">#REF!</definedName>
    <definedName name="fffff_3">#REF!</definedName>
    <definedName name="fffff_3_1">#REF!</definedName>
    <definedName name="fffff_3_2">#REF!</definedName>
    <definedName name="fffff_3_4">#REF!</definedName>
    <definedName name="fffff_3_6">#REF!</definedName>
    <definedName name="fffff_3_7">#REF!</definedName>
    <definedName name="fffff_4">#REF!</definedName>
    <definedName name="fffff_4_1">#REF!</definedName>
    <definedName name="fffff_4_2">#REF!</definedName>
    <definedName name="fffff_4_2_6">#REF!</definedName>
    <definedName name="fffff_4_4">#REF!</definedName>
    <definedName name="fffff_4_6">#REF!</definedName>
    <definedName name="fffff_4_7">#REF!</definedName>
    <definedName name="fffff_5">#REF!</definedName>
    <definedName name="fffff_5_2">#REF!</definedName>
    <definedName name="fffff_5_2_6">#REF!</definedName>
    <definedName name="fffff_5_4">#REF!</definedName>
    <definedName name="fffff_5_6">#REF!</definedName>
    <definedName name="fffff_5_7">#REF!</definedName>
    <definedName name="fffff_6">#REF!</definedName>
    <definedName name="fffff_6_1">#REF!</definedName>
    <definedName name="fffff_6_4">#REF!</definedName>
    <definedName name="fffff_6_6">#REF!</definedName>
    <definedName name="fffff_6_7">#REF!</definedName>
    <definedName name="fffff_7">#REF!</definedName>
    <definedName name="ffg">#REF!</definedName>
    <definedName name="ffggg">#N/A</definedName>
    <definedName name="FFV">#N/A</definedName>
    <definedName name="FFVVS">#N/A</definedName>
    <definedName name="FFX">#REF!</definedName>
    <definedName name="FFX_1">#REF!</definedName>
    <definedName name="FFX_2">#REF!</definedName>
    <definedName name="FFX_2_1">#REF!</definedName>
    <definedName name="FFX_3">#REF!</definedName>
    <definedName name="FFX_3_2">#REF!</definedName>
    <definedName name="FFX_3_4">#REF!</definedName>
    <definedName name="FFX_3_6">#REF!</definedName>
    <definedName name="FFX_3_7">#REF!</definedName>
    <definedName name="FFX_4">#REF!</definedName>
    <definedName name="FFX_4_1">#REF!</definedName>
    <definedName name="FFX_4_2">#REF!</definedName>
    <definedName name="FFX_4_4">#REF!</definedName>
    <definedName name="FFX_4_6">#REF!</definedName>
    <definedName name="FFX_4_7">#REF!</definedName>
    <definedName name="FFX_5">#REF!</definedName>
    <definedName name="FFX_5_2">#REF!</definedName>
    <definedName name="FFX_5_4">#REF!</definedName>
    <definedName name="FFX_5_6">#REF!</definedName>
    <definedName name="FFX_5_7">#REF!</definedName>
    <definedName name="FFX_6">#REF!</definedName>
    <definedName name="FFX_6_1">#REF!</definedName>
    <definedName name="FFX_6_2">#REF!</definedName>
    <definedName name="FFX_6_4">#REF!</definedName>
    <definedName name="FFX_6_6">#REF!</definedName>
    <definedName name="FFX_6_7">#REF!</definedName>
    <definedName name="FFX_7">#REF!</definedName>
    <definedName name="FFX_7_1">#REF!</definedName>
    <definedName name="FG">#REF!</definedName>
    <definedName name="fga">'[54]SAT-DAS'!$J$21</definedName>
    <definedName name="fgd">#N/A</definedName>
    <definedName name="FGDGFD">#N/A</definedName>
    <definedName name="fgfgg">#REF!</definedName>
    <definedName name="fggdfg">#N/A</definedName>
    <definedName name="fggggg">#REF!</definedName>
    <definedName name="fgh">'[54]SAT-DAS'!$J$32</definedName>
    <definedName name="fghf">#REF!</definedName>
    <definedName name="fghhh" hidden="1">{"'Sheet1'!$A$1"}</definedName>
    <definedName name="fghhhhh">#REF!</definedName>
    <definedName name="fghj">#REF!</definedName>
    <definedName name="fghjk">#REF!</definedName>
    <definedName name="fgjf" hidden="1">{"'Sheet1'!$A$1"}</definedName>
    <definedName name="fgjfj" hidden="1">{"'Sheet1'!$A$1"}</definedName>
    <definedName name="fgtrnyt">#N/A</definedName>
    <definedName name="FGX">#REF!</definedName>
    <definedName name="FGX_1">#REF!</definedName>
    <definedName name="FGX_2">#REF!</definedName>
    <definedName name="FGX_2_1">#REF!</definedName>
    <definedName name="FGX_3">#REF!</definedName>
    <definedName name="FGX_3_2">#REF!</definedName>
    <definedName name="FGX_3_4">#REF!</definedName>
    <definedName name="FGX_3_6">#REF!</definedName>
    <definedName name="FGX_3_7">#REF!</definedName>
    <definedName name="FGX_4">#REF!</definedName>
    <definedName name="FGX_4_1">#REF!</definedName>
    <definedName name="FGX_4_2">#REF!</definedName>
    <definedName name="FGX_4_4">#REF!</definedName>
    <definedName name="FGX_4_6">#REF!</definedName>
    <definedName name="FGX_4_7">#REF!</definedName>
    <definedName name="FGX_5">#REF!</definedName>
    <definedName name="FGX_5_2">#REF!</definedName>
    <definedName name="FGX_5_4">#REF!</definedName>
    <definedName name="FGX_5_6">#REF!</definedName>
    <definedName name="FGX_5_7">#REF!</definedName>
    <definedName name="FGX_6">#REF!</definedName>
    <definedName name="FGX_6_1">#REF!</definedName>
    <definedName name="FGX_6_2">#REF!</definedName>
    <definedName name="FGX_6_4">#REF!</definedName>
    <definedName name="FGX_6_6">#REF!</definedName>
    <definedName name="FGX_6_7">#REF!</definedName>
    <definedName name="FGX_7">#REF!</definedName>
    <definedName name="FGX_7_1">#REF!</definedName>
    <definedName name="FH">#REF!</definedName>
    <definedName name="fh_3">"$#REF!.$#REF!$#REF!"</definedName>
    <definedName name="fh_4">[65]satuan_pek_str!#REF!</definedName>
    <definedName name="fh_4.5">"$#REF!.$H$19"</definedName>
    <definedName name="fh_4_sa">[65]satuan_pek_str!#REF!</definedName>
    <definedName name="fh_5g">"$#REF!.$H$18"</definedName>
    <definedName name="FHDFS">#REF!</definedName>
    <definedName name="FHF">#REF!</definedName>
    <definedName name="FHFD">#REF!</definedName>
    <definedName name="FHFDS">#REF!</definedName>
    <definedName name="fhfh">#REF!</definedName>
    <definedName name="fhg" hidden="1">{#N/A,#N/A,FALSE,"REK";#N/A,#N/A,FALSE,"Bq-ARS"}</definedName>
    <definedName name="fhhh" hidden="1">{"'Sheet1'!$A$1"}</definedName>
    <definedName name="FHHSH">#REF!</definedName>
    <definedName name="fhr">#REF!</definedName>
    <definedName name="FHSDH">#REF!</definedName>
    <definedName name="fhshfs">'[50]SAT-DAS'!$J$23</definedName>
    <definedName name="FHX">#REF!</definedName>
    <definedName name="FHX_1">#REF!</definedName>
    <definedName name="FHX_2">#REF!</definedName>
    <definedName name="FHX_2_1">#REF!</definedName>
    <definedName name="FHX_3">#REF!</definedName>
    <definedName name="FHX_3_2">#REF!</definedName>
    <definedName name="FHX_3_4">#REF!</definedName>
    <definedName name="FHX_3_6">#REF!</definedName>
    <definedName name="FHX_3_7">#REF!</definedName>
    <definedName name="FHX_4">#REF!</definedName>
    <definedName name="FHX_4_1">#REF!</definedName>
    <definedName name="FHX_4_2">#REF!</definedName>
    <definedName name="FHX_4_4">#REF!</definedName>
    <definedName name="FHX_4_6">#REF!</definedName>
    <definedName name="FHX_4_7">#REF!</definedName>
    <definedName name="FHX_5">#REF!</definedName>
    <definedName name="FHX_5_2">#REF!</definedName>
    <definedName name="FHX_5_4">#REF!</definedName>
    <definedName name="FHX_5_6">#REF!</definedName>
    <definedName name="FHX_5_7">#REF!</definedName>
    <definedName name="FHX_6">#REF!</definedName>
    <definedName name="FHX_6_1">#REF!</definedName>
    <definedName name="FHX_6_2">#REF!</definedName>
    <definedName name="FHX_6_4">#REF!</definedName>
    <definedName name="FHX_6_6">#REF!</definedName>
    <definedName name="FHX_6_7">#REF!</definedName>
    <definedName name="FHX_7">#REF!</definedName>
    <definedName name="FHX_7_1">#REF!</definedName>
    <definedName name="fiber">#REF!</definedName>
    <definedName name="FIELD_EXPENSES">#REF!</definedName>
    <definedName name="fif">[52]DHSD!$G$33</definedName>
    <definedName name="FIL" hidden="1">#REF!</definedName>
    <definedName name="fill" hidden="1">[128]RAB!#REF!</definedName>
    <definedName name="Filler">#REF!</definedName>
    <definedName name="fillerlatasir">#REF!</definedName>
    <definedName name="FILLL" hidden="1">#REF!</definedName>
    <definedName name="film">#REF!</definedName>
    <definedName name="Filter">#REF!</definedName>
    <definedName name="filter_aquarium">#REF!</definedName>
    <definedName name="FINAL">#REF!</definedName>
    <definedName name="finalisasi">#N/A</definedName>
    <definedName name="FINE_AGGREGATE">#REF!</definedName>
    <definedName name="FINISH">[81]hsd!$H$86</definedName>
    <definedName name="FINISHER">#REF!</definedName>
    <definedName name="finsr">[129]HSD!$H$28</definedName>
    <definedName name="Fire">#REF!</definedName>
    <definedName name="FireA">#REF!</definedName>
    <definedName name="FireSup">#REF!</definedName>
    <definedName name="FireSupIns">#REF!</definedName>
    <definedName name="firkan">#REF!</definedName>
    <definedName name="FIRST_FLOOR">#REF!</definedName>
    <definedName name="FIRST_FLOOR_1">#REF!</definedName>
    <definedName name="FIRST_FLOOR_1_2">#REF!</definedName>
    <definedName name="FIRST_FLOOR_1_2_6">#REF!</definedName>
    <definedName name="FIRST_FLOOR_1_4">#REF!</definedName>
    <definedName name="FIRST_FLOOR_1_6">#REF!</definedName>
    <definedName name="FIRST_FLOOR_1_7">#REF!</definedName>
    <definedName name="FIRST_FLOOR_15">#REF!</definedName>
    <definedName name="FIRST_FLOOR_15_1">#REF!</definedName>
    <definedName name="FIRST_FLOOR_15_16">#REF!</definedName>
    <definedName name="FIRST_FLOOR_15_7">#REF!</definedName>
    <definedName name="FIRST_FLOOR_16">#REF!</definedName>
    <definedName name="FIRST_FLOOR_17">#REF!</definedName>
    <definedName name="FIRST_FLOOR_2">#REF!</definedName>
    <definedName name="FIRST_FLOOR_2_1">#REF!</definedName>
    <definedName name="FIRST_FLOOR_2_1_6">#REF!</definedName>
    <definedName name="FIRST_FLOOR_2_2">#REF!</definedName>
    <definedName name="FIRST_FLOOR_2_2_6">#REF!</definedName>
    <definedName name="FIRST_FLOOR_2_4">#REF!</definedName>
    <definedName name="FIRST_FLOOR_2_5">#REF!</definedName>
    <definedName name="FIRST_FLOOR_2_6">#REF!</definedName>
    <definedName name="FIRST_FLOOR_2_7">#REF!</definedName>
    <definedName name="FIRST_FLOOR_3">#REF!</definedName>
    <definedName name="FIRST_FLOOR_3_2">#REF!</definedName>
    <definedName name="FIRST_FLOOR_3_2_6">#REF!</definedName>
    <definedName name="FIRST_FLOOR_3_4">#REF!</definedName>
    <definedName name="FIRST_FLOOR_3_5">#REF!</definedName>
    <definedName name="FIRST_FLOOR_3_6">#REF!</definedName>
    <definedName name="FIRST_FLOOR_3_7">#REF!</definedName>
    <definedName name="FIRST_FLOOR_4">#REF!</definedName>
    <definedName name="FIRST_FLOOR_4_1">#REF!</definedName>
    <definedName name="FIRST_FLOOR_4_2">#REF!</definedName>
    <definedName name="FIRST_FLOOR_4_2_6">#REF!</definedName>
    <definedName name="FIRST_FLOOR_4_4">#REF!</definedName>
    <definedName name="FIRST_FLOOR_4_6">#REF!</definedName>
    <definedName name="FIRST_FLOOR_4_7">#REF!</definedName>
    <definedName name="FIRST_FLOOR_5">#REF!</definedName>
    <definedName name="FIRST_FLOOR_5_2">#REF!</definedName>
    <definedName name="FIRST_FLOOR_5_2_6">#REF!</definedName>
    <definedName name="FIRST_FLOOR_5_4">#REF!</definedName>
    <definedName name="FIRST_FLOOR_5_6">#REF!</definedName>
    <definedName name="FIRST_FLOOR_5_7">#REF!</definedName>
    <definedName name="FIRST_FLOOR_6">#REF!</definedName>
    <definedName name="FIRST_FLOOR_6_1">#REF!</definedName>
    <definedName name="FIRST_FLOOR_6_2">#REF!</definedName>
    <definedName name="FIRST_FLOOR_6_2_6">#REF!</definedName>
    <definedName name="FIRST_FLOOR_6_4">#REF!</definedName>
    <definedName name="FIRST_FLOOR_6_6">#REF!</definedName>
    <definedName name="FIRST_FLOOR_6_7">#REF!</definedName>
    <definedName name="FIRST_FLOOR_7">#REF!</definedName>
    <definedName name="FIRST_FLOOR_7_1">#REF!</definedName>
    <definedName name="FIRST_FLOOR_7_6">#REF!</definedName>
    <definedName name="FIRST_FLOOR_7_7">#REF!</definedName>
    <definedName name="FIRST_FLOOR_8">#REF!</definedName>
    <definedName name="FIRST_FLOOR_9">#REF!</definedName>
    <definedName name="FIRUL">'[130]Harga Satuan'!$G$38</definedName>
    <definedName name="fiser">#REF!</definedName>
    <definedName name="fit">#REF!</definedName>
    <definedName name="fit100l">#REF!</definedName>
    <definedName name="FIT65_5">#REF!</definedName>
    <definedName name="FIT65_6">#REF!</definedName>
    <definedName name="FIT65_7">#REF!</definedName>
    <definedName name="FITFS">#REF!</definedName>
    <definedName name="Fithyd">#REF!</definedName>
    <definedName name="fiting">#REF!</definedName>
    <definedName name="Fitsp">#REF!</definedName>
    <definedName name="FITT">#REF!</definedName>
    <definedName name="fitting">#REF!</definedName>
    <definedName name="FittingsandFurnishing">#REF!</definedName>
    <definedName name="Fixed_detec">[39]Elektronik!#REF!</definedName>
    <definedName name="fixshower">#REF!</definedName>
    <definedName name="FJ">#REF!</definedName>
    <definedName name="fjd100_1">#REF!</definedName>
    <definedName name="fjd100_1_5">#REF!</definedName>
    <definedName name="fjd100_2">#REF!</definedName>
    <definedName name="fjd100_2_1">#REF!</definedName>
    <definedName name="fjd100_2_1_1">#REF!</definedName>
    <definedName name="fjd100_2_1_1_6">#REF!</definedName>
    <definedName name="fjd100_2_1_6">#REF!</definedName>
    <definedName name="fjd100_2_1_7">#REF!</definedName>
    <definedName name="fjd100_2_6">#REF!</definedName>
    <definedName name="fjd100_2_7">#REF!</definedName>
    <definedName name="fjd100_3">#REF!</definedName>
    <definedName name="fjd100_3_4">#REF!</definedName>
    <definedName name="fjd100_3_6">#REF!</definedName>
    <definedName name="fjd100_3_7">#REF!</definedName>
    <definedName name="fjd100_4">#REF!</definedName>
    <definedName name="fjd100_4_1">#REF!</definedName>
    <definedName name="fjd100_4_2">#REF!</definedName>
    <definedName name="fjd100_4_2_6">#REF!</definedName>
    <definedName name="fjd100_4_4">#REF!</definedName>
    <definedName name="fjd100_4_6">#REF!</definedName>
    <definedName name="fjd100_4_7">#REF!</definedName>
    <definedName name="fjd100_5">#REF!</definedName>
    <definedName name="fjd100_5_2">#REF!</definedName>
    <definedName name="fjd100_5_2_6">#REF!</definedName>
    <definedName name="fjd100_5_4">#REF!</definedName>
    <definedName name="fjd100_5_6">#REF!</definedName>
    <definedName name="fjd100_5_7">#REF!</definedName>
    <definedName name="fjd100_6">#REF!</definedName>
    <definedName name="fjd100_6_1">#REF!</definedName>
    <definedName name="fjd100_6_4">#REF!</definedName>
    <definedName name="fjd100_6_6">#REF!</definedName>
    <definedName name="fjd100_6_7">#REF!</definedName>
    <definedName name="fjd100_7">#REF!</definedName>
    <definedName name="fjd150_1">#REF!</definedName>
    <definedName name="fjd150_1_5">#REF!</definedName>
    <definedName name="fjd150_2">#REF!</definedName>
    <definedName name="fjd150_2_1">#REF!</definedName>
    <definedName name="fjd150_2_1_1">#REF!</definedName>
    <definedName name="fjd150_2_1_1_6">#REF!</definedName>
    <definedName name="fjd150_2_1_6">#REF!</definedName>
    <definedName name="fjd150_2_1_7">#REF!</definedName>
    <definedName name="fjd150_2_6">#REF!</definedName>
    <definedName name="fjd150_2_7">#REF!</definedName>
    <definedName name="fjd150_3">#REF!</definedName>
    <definedName name="fjd150_3_4">#REF!</definedName>
    <definedName name="fjd150_3_6">#REF!</definedName>
    <definedName name="fjd150_3_7">#REF!</definedName>
    <definedName name="fjd150_4">#REF!</definedName>
    <definedName name="fjd150_4_1">#REF!</definedName>
    <definedName name="fjd150_4_2">#REF!</definedName>
    <definedName name="fjd150_4_2_6">#REF!</definedName>
    <definedName name="fjd150_4_4">#REF!</definedName>
    <definedName name="fjd150_4_6">#REF!</definedName>
    <definedName name="fjd150_4_7">#REF!</definedName>
    <definedName name="fjd150_5">#REF!</definedName>
    <definedName name="fjd150_5_2">#REF!</definedName>
    <definedName name="fjd150_5_2_6">#REF!</definedName>
    <definedName name="fjd150_5_4">#REF!</definedName>
    <definedName name="fjd150_5_6">#REF!</definedName>
    <definedName name="fjd150_5_7">#REF!</definedName>
    <definedName name="fjd150_6">#REF!</definedName>
    <definedName name="fjd150_6_1">#REF!</definedName>
    <definedName name="fjd150_6_4">#REF!</definedName>
    <definedName name="fjd150_6_6">#REF!</definedName>
    <definedName name="fjd150_6_7">#REF!</definedName>
    <definedName name="fjd150_7">#REF!</definedName>
    <definedName name="fjd50_1">#REF!</definedName>
    <definedName name="fjd50_1_5">#REF!</definedName>
    <definedName name="fjd50_2">#REF!</definedName>
    <definedName name="fjd50_2_1">#REF!</definedName>
    <definedName name="fjd50_2_1_1">#REF!</definedName>
    <definedName name="fjd50_2_1_1_6">#REF!</definedName>
    <definedName name="fjd50_2_1_6">#REF!</definedName>
    <definedName name="fjd50_2_1_7">#REF!</definedName>
    <definedName name="fjd50_2_6">#REF!</definedName>
    <definedName name="fjd50_2_7">#REF!</definedName>
    <definedName name="fjd50_3">#REF!</definedName>
    <definedName name="fjd50_3_4">#REF!</definedName>
    <definedName name="fjd50_3_6">#REF!</definedName>
    <definedName name="fjd50_3_7">#REF!</definedName>
    <definedName name="fjd50_4">#REF!</definedName>
    <definedName name="fjd50_4_1">#REF!</definedName>
    <definedName name="fjd50_4_2">#REF!</definedName>
    <definedName name="fjd50_4_2_6">#REF!</definedName>
    <definedName name="fjd50_4_4">#REF!</definedName>
    <definedName name="fjd50_4_6">#REF!</definedName>
    <definedName name="fjd50_4_7">#REF!</definedName>
    <definedName name="fjd50_5">#REF!</definedName>
    <definedName name="fjd50_5_2">#REF!</definedName>
    <definedName name="fjd50_5_2_6">#REF!</definedName>
    <definedName name="fjd50_5_4">#REF!</definedName>
    <definedName name="fjd50_5_6">#REF!</definedName>
    <definedName name="fjd50_5_7">#REF!</definedName>
    <definedName name="fjd50_6">#REF!</definedName>
    <definedName name="fjd50_6_1">#REF!</definedName>
    <definedName name="fjd50_6_4">#REF!</definedName>
    <definedName name="fjd50_6_6">#REF!</definedName>
    <definedName name="fjd50_6_7">#REF!</definedName>
    <definedName name="fjd50_7">#REF!</definedName>
    <definedName name="fjd65_1">#REF!</definedName>
    <definedName name="fjd65_1_5">#REF!</definedName>
    <definedName name="fjd65_2">#REF!</definedName>
    <definedName name="fjd65_2_1">#REF!</definedName>
    <definedName name="fjd65_2_1_1">#REF!</definedName>
    <definedName name="fjd65_2_1_1_6">#REF!</definedName>
    <definedName name="fjd65_2_1_6">#REF!</definedName>
    <definedName name="fjd65_2_1_7">#REF!</definedName>
    <definedName name="fjd65_2_6">#REF!</definedName>
    <definedName name="fjd65_2_7">#REF!</definedName>
    <definedName name="fjd65_3">#REF!</definedName>
    <definedName name="fjd65_3_4">#REF!</definedName>
    <definedName name="fjd65_3_6">#REF!</definedName>
    <definedName name="fjd65_3_7">#REF!</definedName>
    <definedName name="fjd65_4">#REF!</definedName>
    <definedName name="fjd65_4_1">#REF!</definedName>
    <definedName name="fjd65_4_2">#REF!</definedName>
    <definedName name="fjd65_4_2_6">#REF!</definedName>
    <definedName name="fjd65_4_4">#REF!</definedName>
    <definedName name="fjd65_4_6">#REF!</definedName>
    <definedName name="fjd65_4_7">#REF!</definedName>
    <definedName name="fjd65_5">#REF!</definedName>
    <definedName name="fjd65_5_2">#REF!</definedName>
    <definedName name="fjd65_5_2_6">#REF!</definedName>
    <definedName name="fjd65_5_4">#REF!</definedName>
    <definedName name="fjd65_5_6">#REF!</definedName>
    <definedName name="fjd65_5_7">#REF!</definedName>
    <definedName name="fjd65_6">#REF!</definedName>
    <definedName name="fjd65_6_1">#REF!</definedName>
    <definedName name="fjd65_6_4">#REF!</definedName>
    <definedName name="fjd65_6_6">#REF!</definedName>
    <definedName name="fjd65_6_7">#REF!</definedName>
    <definedName name="fjd65_7">#REF!</definedName>
    <definedName name="FJFJHS">#REF!</definedName>
    <definedName name="fjkk" hidden="1">{"'Sheet1'!$A$1"}</definedName>
    <definedName name="fjr" hidden="1">{"'Sheet1'!$A$1"}</definedName>
    <definedName name="fjt" hidden="1">{"'Sheet1'!$A$1"}</definedName>
    <definedName name="FJX">#REF!</definedName>
    <definedName name="FJX_1">#REF!</definedName>
    <definedName name="FJX_2">#REF!</definedName>
    <definedName name="FJX_2_1">#REF!</definedName>
    <definedName name="FJX_3">#REF!</definedName>
    <definedName name="FJX_3_2">#REF!</definedName>
    <definedName name="FJX_3_4">#REF!</definedName>
    <definedName name="FJX_3_6">#REF!</definedName>
    <definedName name="FJX_3_7">#REF!</definedName>
    <definedName name="FJX_4">#REF!</definedName>
    <definedName name="FJX_4_1">#REF!</definedName>
    <definedName name="FJX_4_2">#REF!</definedName>
    <definedName name="FJX_4_4">#REF!</definedName>
    <definedName name="FJX_4_6">#REF!</definedName>
    <definedName name="FJX_4_7">#REF!</definedName>
    <definedName name="FJX_5">#REF!</definedName>
    <definedName name="FJX_5_2">#REF!</definedName>
    <definedName name="FJX_5_4">#REF!</definedName>
    <definedName name="FJX_5_6">#REF!</definedName>
    <definedName name="FJX_5_7">#REF!</definedName>
    <definedName name="FJX_6">#REF!</definedName>
    <definedName name="FJX_6_1">#REF!</definedName>
    <definedName name="FJX_6_2">#REF!</definedName>
    <definedName name="FJX_6_4">#REF!</definedName>
    <definedName name="FJX_6_6">#REF!</definedName>
    <definedName name="FJX_6_7">#REF!</definedName>
    <definedName name="FJX_7">#REF!</definedName>
    <definedName name="FJX_7_1">#REF!</definedName>
    <definedName name="FK">#REF!</definedName>
    <definedName name="Fk.Xt">#REF!</definedName>
    <definedName name="fka">#REF!</definedName>
    <definedName name="fkb">#REF!</definedName>
    <definedName name="fkieifi" hidden="1">#REF!</definedName>
    <definedName name="fku">#REF!</definedName>
    <definedName name="fkx">#REF!</definedName>
    <definedName name="fkx_1">#REF!</definedName>
    <definedName name="fkx_2">#REF!</definedName>
    <definedName name="fkx_2_1">#REF!</definedName>
    <definedName name="fkx_3">#REF!</definedName>
    <definedName name="fkx_3_2">#REF!</definedName>
    <definedName name="fkx_3_4">#REF!</definedName>
    <definedName name="fkx_3_6">#REF!</definedName>
    <definedName name="fkx_3_7">#REF!</definedName>
    <definedName name="fkx_4">#REF!</definedName>
    <definedName name="fkx_4_1">#REF!</definedName>
    <definedName name="fkx_4_2">#REF!</definedName>
    <definedName name="fkx_4_4">#REF!</definedName>
    <definedName name="fkx_4_6">#REF!</definedName>
    <definedName name="fkx_4_7">#REF!</definedName>
    <definedName name="fkx_5">#REF!</definedName>
    <definedName name="fkx_5_2">#REF!</definedName>
    <definedName name="fkx_5_4">#REF!</definedName>
    <definedName name="fkx_5_6">#REF!</definedName>
    <definedName name="fkx_5_7">#REF!</definedName>
    <definedName name="fkx_6">#REF!</definedName>
    <definedName name="fkx_6_1">#REF!</definedName>
    <definedName name="fkx_6_2">#REF!</definedName>
    <definedName name="fkx_6_4">#REF!</definedName>
    <definedName name="fkx_6_6">#REF!</definedName>
    <definedName name="fkx_6_7">#REF!</definedName>
    <definedName name="fkx_7">#REF!</definedName>
    <definedName name="fkx_7_1">#REF!</definedName>
    <definedName name="fl">#REF!</definedName>
    <definedName name="flash">#REF!</definedName>
    <definedName name="flashing">'[44]bhn-upah'!$H$69</definedName>
    <definedName name="FLAT">[55]URAI!$L$693</definedName>
    <definedName name="Flat_Bed_Truck">#REF!</definedName>
    <definedName name="Flat_Bed_Truck_3___4_M">#REF!</definedName>
    <definedName name="FLATBEDTRUCK">#REF!</definedName>
    <definedName name="flens">#REF!</definedName>
    <definedName name="flex">#REF!</definedName>
    <definedName name="flex_t_apt">#REF!</definedName>
    <definedName name="flex_t_apt_2">#REF!</definedName>
    <definedName name="flex6">#REF!</definedName>
    <definedName name="flex8">#REF!</definedName>
    <definedName name="flex9">#REF!</definedName>
    <definedName name="flexb">#REF!</definedName>
    <definedName name="flexduct10">#REF!</definedName>
    <definedName name="flexduct8">#REF!</definedName>
    <definedName name="FLEXI">#REF!</definedName>
    <definedName name="Flexible_20mm">'[78]Harga Jasa dan Material'!$D$138</definedName>
    <definedName name="flmh400">#REF!</definedName>
    <definedName name="flmh400_1">#REF!</definedName>
    <definedName name="flmh400_2">#REF!</definedName>
    <definedName name="flmh400_2_1">#REF!</definedName>
    <definedName name="flmh400_2_1_6">#REF!</definedName>
    <definedName name="flmh400_2_6">#REF!</definedName>
    <definedName name="flmh400_2_7">#REF!</definedName>
    <definedName name="flmh400_3">#REF!</definedName>
    <definedName name="flmh400_3_4">#REF!</definedName>
    <definedName name="flmh400_3_6">#REF!</definedName>
    <definedName name="flmh400_3_7">#REF!</definedName>
    <definedName name="flmh400_4">#REF!</definedName>
    <definedName name="flmh400_4_1">#REF!</definedName>
    <definedName name="flmh400_4_2">#REF!</definedName>
    <definedName name="flmh400_4_2_6">#REF!</definedName>
    <definedName name="flmh400_4_4">#REF!</definedName>
    <definedName name="flmh400_4_6">#REF!</definedName>
    <definedName name="flmh400_4_7">#REF!</definedName>
    <definedName name="flmh400_5">#REF!</definedName>
    <definedName name="flmh400_5_2">#REF!</definedName>
    <definedName name="flmh400_5_2_6">#REF!</definedName>
    <definedName name="flmh400_5_4">#REF!</definedName>
    <definedName name="flmh400_5_6">#REF!</definedName>
    <definedName name="flmh400_5_7">#REF!</definedName>
    <definedName name="flmh400_6">#REF!</definedName>
    <definedName name="flmh400_6_1">#REF!</definedName>
    <definedName name="flmh400_6_4">#REF!</definedName>
    <definedName name="flmh400_6_6">#REF!</definedName>
    <definedName name="flmh400_6_7">#REF!</definedName>
    <definedName name="flmh400_7">#REF!</definedName>
    <definedName name="Float">#REF!</definedName>
    <definedName name="floor">#REF!</definedName>
    <definedName name="floor_deck">#REF!</definedName>
    <definedName name="Floor_drain_plastik_biasa">#REF!</definedName>
    <definedName name="Floor_drain50">[39]Plumbing!#REF!</definedName>
    <definedName name="FLOORDRAIN">#N/A</definedName>
    <definedName name="floorhard">#REF!</definedName>
    <definedName name="floorhard7">#REF!</definedName>
    <definedName name="floorhardener">"'file://SERVER3/har-data/STRUCTURE PRICE OF BQ KOMPAS GRAMEDIA.xls'#$analisa.$#REF!$#REF!"</definedName>
    <definedName name="Floorhardener3kg">#REF!</definedName>
    <definedName name="floorkorsik">#REF!</definedName>
    <definedName name="Flow">#REF!</definedName>
    <definedName name="flow_switch">'[39]Fire Fighting'!#REF!</definedName>
    <definedName name="FLR">#REF!</definedName>
    <definedName name="flushbolt">#REF!</definedName>
    <definedName name="flx">#REF!</definedName>
    <definedName name="flx_1">#REF!</definedName>
    <definedName name="flx_2">#REF!</definedName>
    <definedName name="flx_2_1">#REF!</definedName>
    <definedName name="flx_3">#REF!</definedName>
    <definedName name="flx_3_2">#REF!</definedName>
    <definedName name="flx_3_4">#REF!</definedName>
    <definedName name="flx_3_6">#REF!</definedName>
    <definedName name="flx_3_7">#REF!</definedName>
    <definedName name="flx_4">#REF!</definedName>
    <definedName name="flx_4_1">#REF!</definedName>
    <definedName name="flx_4_2">#REF!</definedName>
    <definedName name="flx_4_4">#REF!</definedName>
    <definedName name="flx_4_6">#REF!</definedName>
    <definedName name="flx_4_7">#REF!</definedName>
    <definedName name="flx_5">#REF!</definedName>
    <definedName name="flx_5_2">#REF!</definedName>
    <definedName name="flx_5_4">#REF!</definedName>
    <definedName name="flx_5_6">#REF!</definedName>
    <definedName name="flx_5_7">#REF!</definedName>
    <definedName name="flx_6">#REF!</definedName>
    <definedName name="flx_6_1">#REF!</definedName>
    <definedName name="flx_6_2">#REF!</definedName>
    <definedName name="flx_6_4">#REF!</definedName>
    <definedName name="flx_6_6">#REF!</definedName>
    <definedName name="flx_6_7">#REF!</definedName>
    <definedName name="flx_7">#REF!</definedName>
    <definedName name="flx_7_1">#REF!</definedName>
    <definedName name="FM">#REF!</definedName>
    <definedName name="fmd150_1">#REF!</definedName>
    <definedName name="fmd150_1_5">#REF!</definedName>
    <definedName name="fmd150_2">#REF!</definedName>
    <definedName name="fmd150_2_1">#REF!</definedName>
    <definedName name="fmd150_2_1_1">#REF!</definedName>
    <definedName name="fmd150_2_1_1_6">#REF!</definedName>
    <definedName name="fmd150_2_1_6">#REF!</definedName>
    <definedName name="fmd150_2_1_7">#REF!</definedName>
    <definedName name="fmd150_2_6">#REF!</definedName>
    <definedName name="fmd150_2_7">#REF!</definedName>
    <definedName name="fmd150_3">#REF!</definedName>
    <definedName name="fmd150_3_4">#REF!</definedName>
    <definedName name="fmd150_3_6">#REF!</definedName>
    <definedName name="fmd150_3_7">#REF!</definedName>
    <definedName name="fmd150_4">#REF!</definedName>
    <definedName name="fmd150_4_1">#REF!</definedName>
    <definedName name="fmd150_4_2">#REF!</definedName>
    <definedName name="fmd150_4_2_6">#REF!</definedName>
    <definedName name="fmd150_4_4">#REF!</definedName>
    <definedName name="fmd150_4_6">#REF!</definedName>
    <definedName name="fmd150_4_7">#REF!</definedName>
    <definedName name="fmd150_5">#REF!</definedName>
    <definedName name="fmd150_5_2">#REF!</definedName>
    <definedName name="fmd150_5_2_6">#REF!</definedName>
    <definedName name="fmd150_5_4">#REF!</definedName>
    <definedName name="fmd150_5_6">#REF!</definedName>
    <definedName name="fmd150_5_7">#REF!</definedName>
    <definedName name="fmd150_6">#REF!</definedName>
    <definedName name="fmd150_6_1">#REF!</definedName>
    <definedName name="fmd150_6_4">#REF!</definedName>
    <definedName name="fmd150_6_6">#REF!</definedName>
    <definedName name="fmd150_6_7">#REF!</definedName>
    <definedName name="fmd150_7">#REF!</definedName>
    <definedName name="fn">#REF!</definedName>
    <definedName name="FO">#REF!</definedName>
    <definedName name="FOLDINGDOOR_BESI">#REF!</definedName>
    <definedName name="FOOT">#REF!</definedName>
    <definedName name="FOOTER">#REF!</definedName>
    <definedName name="FOR">#REF!</definedName>
    <definedName name="form">#REF!</definedName>
    <definedName name="FORM_6">#REF!</definedName>
    <definedName name="form_k">#REF!</definedName>
    <definedName name="FORM_NONPERUMAHAN">#REF!</definedName>
    <definedName name="FORM_PERUMAHAN">#REF!</definedName>
    <definedName name="FORM101">#REF!</definedName>
    <definedName name="FORM1011">#REF!</definedName>
    <definedName name="FORM1012">#REF!</definedName>
    <definedName name="FORM1013">#REF!</definedName>
    <definedName name="FORM1014">#REF!</definedName>
    <definedName name="FORM1015">#REF!</definedName>
    <definedName name="FORM1021">#REF!</definedName>
    <definedName name="FORM1022">#REF!</definedName>
    <definedName name="FORM1031">#REF!</definedName>
    <definedName name="FORM1032">#REF!</definedName>
    <definedName name="FORM1041">#REF!</definedName>
    <definedName name="FORM1042">#REF!</definedName>
    <definedName name="FORM21" localSheetId="5">'[131]3-DIV2'!$L$1:$V$61</definedName>
    <definedName name="FORM21" localSheetId="7">'[131]3-DIV2'!$L$1:$V$61</definedName>
    <definedName name="FORM21">#REF!</definedName>
    <definedName name="FORM22E">#REF!</definedName>
    <definedName name="FORM22L" localSheetId="5">'[131]3-DIV2'!$L$121:$V$121</definedName>
    <definedName name="FORM22L" localSheetId="7">'[131]3-DIV2'!$L$121:$V$121</definedName>
    <definedName name="FORM22L">#REF!</definedName>
    <definedName name="FORM230">'[132]Met_Pas Batu'!#REF!</definedName>
    <definedName name="FORM231" localSheetId="5">'[131]3-DIV2'!$L$123:$V$183</definedName>
    <definedName name="FORM231" localSheetId="7">'[131]3-DIV2'!$L$123:$V$183</definedName>
    <definedName name="FORM231">#REF!</definedName>
    <definedName name="FORM232" localSheetId="5">'[131]3-DIV2'!$L$243:$V$303</definedName>
    <definedName name="FORM232" localSheetId="7">'[131]3-DIV2'!$L$243:$V$303</definedName>
    <definedName name="FORM232">#REF!</definedName>
    <definedName name="FORM233" localSheetId="5">'[131]3-DIV2'!$L$363:$V$423</definedName>
    <definedName name="FORM233" localSheetId="7">'[131]3-DIV2'!$L$363:$V$423</definedName>
    <definedName name="FORM233">#REF!</definedName>
    <definedName name="Form234" localSheetId="5">'[131]3-DIV2'!$L$483:$V$543</definedName>
    <definedName name="Form234" localSheetId="7">'[131]3-DIV2'!$L$483:$V$543</definedName>
    <definedName name="Form234">#REF!</definedName>
    <definedName name="FORM234L">#REF!</definedName>
    <definedName name="Form235" localSheetId="5">'[131]3-DIV2'!$L$603:$V$663</definedName>
    <definedName name="Form235" localSheetId="7">'[131]3-DIV2'!$L$603:$V$663</definedName>
    <definedName name="Form235">#REF!</definedName>
    <definedName name="Form236" localSheetId="5">'[131]3-DIV2'!$L$854:$V$914</definedName>
    <definedName name="Form236" localSheetId="7">'[131]3-DIV2'!$L$854:$V$914</definedName>
    <definedName name="Form236">#REF!</definedName>
    <definedName name="FORM241">#REF!</definedName>
    <definedName name="FORM242" localSheetId="5">'[131]3-DIV2'!$L$978:$V$1038</definedName>
    <definedName name="FORM242" localSheetId="7">'[131]3-DIV2'!$L$978:$V$1038</definedName>
    <definedName name="FORM242">#REF!</definedName>
    <definedName name="FORM243" localSheetId="5">'[131]3-DIV2'!$L$1039:$V$1100</definedName>
    <definedName name="FORM243" localSheetId="7">'[131]3-DIV2'!$L$1039:$V$1100</definedName>
    <definedName name="FORM243">#REF!</definedName>
    <definedName name="FORM311" localSheetId="5">'[133]3-DIV3'!$L$1:$V$61</definedName>
    <definedName name="FORM311" localSheetId="7">'[133]3-DIV3'!$L$1:$V$61</definedName>
    <definedName name="FORM311">#REF!</definedName>
    <definedName name="FORM312" localSheetId="5">'[133]3-DIV3'!$L$121:$V$181</definedName>
    <definedName name="FORM312" localSheetId="7">'[133]3-DIV3'!$L$121:$V$181</definedName>
    <definedName name="FORM312">#REF!</definedName>
    <definedName name="FORM313" localSheetId="5">'[133]3-DIV3'!$L$255:$V$315</definedName>
    <definedName name="FORM313" localSheetId="7">'[133]3-DIV3'!$L$255:$V$315</definedName>
    <definedName name="FORM313">#REF!</definedName>
    <definedName name="FORM314" localSheetId="5">'[133]3-DIV3'!$L$375:$V$435</definedName>
    <definedName name="FORM314" localSheetId="7">'[133]3-DIV3'!$L$375:$V$435</definedName>
    <definedName name="FORM314">#REF!</definedName>
    <definedName name="FORM315" localSheetId="5">'[133]3-DIV3'!$L$1766:$V$1826</definedName>
    <definedName name="FORM315" localSheetId="7">'[133]3-DIV3'!$L$1766:$V$1826</definedName>
    <definedName name="FORM315">#REF!</definedName>
    <definedName name="FORM316">#REF!</definedName>
    <definedName name="FORM319" localSheetId="5">'[133]3-DIV3'!$L$1886:$V$1946</definedName>
    <definedName name="FORM319" localSheetId="7">'[133]3-DIV3'!$L$1886:$V$1946</definedName>
    <definedName name="FORM319">#REF!</definedName>
    <definedName name="FORM321">#REF!</definedName>
    <definedName name="FORM322" localSheetId="5">'[133]3-DIV3'!$L$1947:$V$2007</definedName>
    <definedName name="FORM322" localSheetId="7">'[133]3-DIV3'!$L$1947:$V$2007</definedName>
    <definedName name="FORM322">#REF!</definedName>
    <definedName name="FORM323" localSheetId="5">'[133]3-DIV3'!$L$2126:$V$2186</definedName>
    <definedName name="FORM323" localSheetId="7">'[133]3-DIV3'!$L$2126:$V$2186</definedName>
    <definedName name="FORM323">#REF!</definedName>
    <definedName name="FORM323L" localSheetId="7">#REF!</definedName>
    <definedName name="FORM323L">#REF!</definedName>
    <definedName name="FORM324" localSheetId="5">'[133]3-DIV3'!$L$2305:$V$2365</definedName>
    <definedName name="FORM324" localSheetId="7">'[133]3-DIV3'!$L$2305:$V$2365</definedName>
    <definedName name="FORM324">#REF!</definedName>
    <definedName name="FORM33">#REF!</definedName>
    <definedName name="FORM331" localSheetId="5">'[133]3-DIV3'!$L$2427:$V$2487</definedName>
    <definedName name="FORM331" localSheetId="7">'[133]3-DIV3'!$L$2427:$V$2487</definedName>
    <definedName name="FORM331">#REF!</definedName>
    <definedName name="FORM346" localSheetId="5">'[133]3-DIV3'!$L$2547:$V$2607</definedName>
    <definedName name="FORM346" localSheetId="7">'[133]3-DIV3'!$L$2547:$V$2607</definedName>
    <definedName name="FORM346">#REF!</definedName>
    <definedName name="FORM421" localSheetId="5">'[134]3-DIV4'!$L$1:$V$61</definedName>
    <definedName name="FORM421" localSheetId="7">'[134]3-DIV4'!$L$1:$V$61</definedName>
    <definedName name="FORM421">#REF!</definedName>
    <definedName name="FORM422" localSheetId="5">'[134]3-DIV4'!$L$180:$V$240</definedName>
    <definedName name="FORM422" localSheetId="7">'[134]3-DIV4'!$L$180:$V$240</definedName>
    <definedName name="FORM422">#REF!</definedName>
    <definedName name="FORM423" localSheetId="5">'[134]3-DIV4'!$L$479:$V$539</definedName>
    <definedName name="FORM423" localSheetId="7">'[134]3-DIV4'!$L$479:$V$539</definedName>
    <definedName name="FORM423">#REF!</definedName>
    <definedName name="FORM424" localSheetId="5">'[134]3-DIV4'!$L$359:$V$419</definedName>
    <definedName name="FORM424" localSheetId="7">'[134]3-DIV4'!$L$359:$V$419</definedName>
    <definedName name="FORM424">#REF!</definedName>
    <definedName name="FORM425" localSheetId="5">'[134]3-DIV4'!$L$718:$V$778</definedName>
    <definedName name="FORM425" localSheetId="7">'[134]3-DIV4'!$L$718:$V$778</definedName>
    <definedName name="FORM425">#REF!</definedName>
    <definedName name="FORM426" localSheetId="5">'[134]3-DIV4'!$L$897:$V$957</definedName>
    <definedName name="FORM426" localSheetId="7">'[134]3-DIV4'!$L$897:$V$957</definedName>
    <definedName name="FORM426">#REF!</definedName>
    <definedName name="FORM427" localSheetId="5">'[134]3-DIV4'!$L$1017:$V$1077</definedName>
    <definedName name="FORM427" localSheetId="7">'[134]3-DIV4'!$L$1017:$V$1077</definedName>
    <definedName name="FORM427">#REF!</definedName>
    <definedName name="FORM511" localSheetId="5">'[135]3-DIV5'!$L$1:$V$61</definedName>
    <definedName name="FORM511" localSheetId="7">'[135]3-DIV5'!$L$1:$V$61</definedName>
    <definedName name="FORM511">#REF!</definedName>
    <definedName name="FORM512" localSheetId="5">'[135]3-DIV5'!$L$180:$V$240</definedName>
    <definedName name="FORM512" localSheetId="7">'[135]3-DIV5'!$L$180:$V$240</definedName>
    <definedName name="FORM512">#REF!</definedName>
    <definedName name="FORM521" localSheetId="5">'[135]3-DIV5'!$L$359:$V$419</definedName>
    <definedName name="FORM521" localSheetId="7">'[135]3-DIV5'!$L$359:$V$419</definedName>
    <definedName name="FORM521">#REF!</definedName>
    <definedName name="FORM522" localSheetId="5">'[135]3-DIV5'!$L$3075:$V$3135</definedName>
    <definedName name="FORM522" localSheetId="7">'[135]3-DIV5'!$L$3075:$V$3135</definedName>
    <definedName name="FORM522">#REF!</definedName>
    <definedName name="FORM541" localSheetId="5">'[135]3-DIV5'!$L$3254:$V$3314</definedName>
    <definedName name="FORM541" localSheetId="7">'[135]3-DIV5'!$L$3254:$V$3314</definedName>
    <definedName name="FORM541">#REF!</definedName>
    <definedName name="FORM542" localSheetId="5">'[135]3-DIV5'!$L$3374:$V$3434</definedName>
    <definedName name="FORM542" localSheetId="7">'[135]3-DIV5'!$L$3374:$V$3434</definedName>
    <definedName name="FORM542">#REF!</definedName>
    <definedName name="FORM611" localSheetId="7">#REF!</definedName>
    <definedName name="FORM611">#REF!</definedName>
    <definedName name="FORM612" localSheetId="7">#REF!</definedName>
    <definedName name="FORM612">#REF!</definedName>
    <definedName name="FORM621" localSheetId="7">#REF!</definedName>
    <definedName name="FORM621">#REF!</definedName>
    <definedName name="FORM622" localSheetId="7">#REF!</definedName>
    <definedName name="FORM622">#REF!</definedName>
    <definedName name="FORM623" localSheetId="7">#REF!</definedName>
    <definedName name="FORM623">#REF!</definedName>
    <definedName name="FORM624">#REF!</definedName>
    <definedName name="FORM631" localSheetId="7">#REF!</definedName>
    <definedName name="FORM631">#REF!</definedName>
    <definedName name="FORM632" localSheetId="7">#REF!</definedName>
    <definedName name="FORM632">#REF!</definedName>
    <definedName name="FORM633" localSheetId="7">#REF!</definedName>
    <definedName name="FORM633">#REF!</definedName>
    <definedName name="FORM634" localSheetId="7">#REF!</definedName>
    <definedName name="FORM634">#REF!</definedName>
    <definedName name="FORM635" localSheetId="7">#REF!</definedName>
    <definedName name="FORM635">#REF!</definedName>
    <definedName name="FORM635A" localSheetId="7">#REF!</definedName>
    <definedName name="FORM635A">#REF!</definedName>
    <definedName name="FORM636" localSheetId="7">#REF!</definedName>
    <definedName name="FORM636">#REF!</definedName>
    <definedName name="FORM641L" localSheetId="7">#REF!</definedName>
    <definedName name="FORM641L">#REF!</definedName>
    <definedName name="FORM642" localSheetId="7">#REF!</definedName>
    <definedName name="FORM642">#REF!</definedName>
    <definedName name="FORM65" localSheetId="7">#REF!</definedName>
    <definedName name="FORM65">#REF!</definedName>
    <definedName name="FORM651">#REF!</definedName>
    <definedName name="FORM66">#REF!</definedName>
    <definedName name="FORM661">#REF!</definedName>
    <definedName name="FORM662">#REF!</definedName>
    <definedName name="FORM66PERATA" localSheetId="7">#REF!</definedName>
    <definedName name="FORM66PERATA">#REF!</definedName>
    <definedName name="FORM66PERMUKAAN" localSheetId="7">#REF!</definedName>
    <definedName name="FORM66PERMUKAAN">#REF!</definedName>
    <definedName name="FORM7101" localSheetId="7">#REF!</definedName>
    <definedName name="FORM7101">#REF!</definedName>
    <definedName name="FORM7102" localSheetId="7">#REF!</definedName>
    <definedName name="FORM7102">#REF!</definedName>
    <definedName name="FORM7103" localSheetId="7">#REF!</definedName>
    <definedName name="FORM7103">#REF!</definedName>
    <definedName name="FORM711" localSheetId="7">#REF!</definedName>
    <definedName name="FORM711">#REF!</definedName>
    <definedName name="FORM712" localSheetId="7">#REF!</definedName>
    <definedName name="FORM712">#REF!</definedName>
    <definedName name="FORM713" localSheetId="7">#REF!</definedName>
    <definedName name="FORM713">#REF!</definedName>
    <definedName name="FORM714" localSheetId="7">#REF!</definedName>
    <definedName name="FORM714">#REF!</definedName>
    <definedName name="FORM715" localSheetId="7">#REF!</definedName>
    <definedName name="FORM715">#REF!</definedName>
    <definedName name="FORM716" localSheetId="7">#REF!</definedName>
    <definedName name="FORM716">#REF!</definedName>
    <definedName name="FORM717" localSheetId="7">#REF!</definedName>
    <definedName name="FORM717">#REF!</definedName>
    <definedName name="FORM718" localSheetId="7">#REF!</definedName>
    <definedName name="FORM718">#REF!</definedName>
    <definedName name="FORM721" localSheetId="7">#REF!</definedName>
    <definedName name="FORM721">#REF!</definedName>
    <definedName name="FORM731" localSheetId="7">#REF!</definedName>
    <definedName name="FORM731">#REF!</definedName>
    <definedName name="FORM732" localSheetId="7">#REF!</definedName>
    <definedName name="FORM732">#REF!</definedName>
    <definedName name="FORM733" localSheetId="7">#REF!</definedName>
    <definedName name="FORM733">#REF!</definedName>
    <definedName name="FORM734" localSheetId="7">#REF!</definedName>
    <definedName name="FORM734">#REF!</definedName>
    <definedName name="FORM735" localSheetId="7">#REF!</definedName>
    <definedName name="FORM735">#REF!</definedName>
    <definedName name="FORM73PL">#REF!</definedName>
    <definedName name="FORM73UL">#REF!</definedName>
    <definedName name="FORM744" localSheetId="7">#REF!</definedName>
    <definedName name="FORM744">#REF!</definedName>
    <definedName name="FORM745" localSheetId="7">#REF!</definedName>
    <definedName name="FORM745">#REF!</definedName>
    <definedName name="FORM751">#REF!</definedName>
    <definedName name="FORM752">#REF!</definedName>
    <definedName name="FORM7610" localSheetId="7">#REF!</definedName>
    <definedName name="FORM7610">#REF!</definedName>
    <definedName name="FORM7611">#REF!</definedName>
    <definedName name="FORM7612">#REF!</definedName>
    <definedName name="FORM7612a" localSheetId="7">#REF!</definedName>
    <definedName name="FORM7612a">#REF!</definedName>
    <definedName name="FORM7612b" localSheetId="7">#REF!</definedName>
    <definedName name="FORM7612b">#REF!</definedName>
    <definedName name="FORM7612c" localSheetId="7">#REF!</definedName>
    <definedName name="FORM7612c">#REF!</definedName>
    <definedName name="FORM7613">#REF!</definedName>
    <definedName name="FORM7613a" localSheetId="7">#REF!</definedName>
    <definedName name="FORM7613a">#REF!</definedName>
    <definedName name="FORM7613b" localSheetId="7">#REF!</definedName>
    <definedName name="FORM7613b">#REF!</definedName>
    <definedName name="FORM7613c" localSheetId="7">#REF!</definedName>
    <definedName name="FORM7613c">#REF!</definedName>
    <definedName name="FORM7614">#REF!</definedName>
    <definedName name="FORM7614a" localSheetId="7">#REF!</definedName>
    <definedName name="FORM7614a">#REF!</definedName>
    <definedName name="FORM7614b" localSheetId="7">#REF!</definedName>
    <definedName name="FORM7614b">#REF!</definedName>
    <definedName name="FORM7614c" localSheetId="7">#REF!</definedName>
    <definedName name="FORM7614c">#REF!</definedName>
    <definedName name="FORM7614d" localSheetId="7">#REF!</definedName>
    <definedName name="FORM7614d">#REF!</definedName>
    <definedName name="FORM7614e" localSheetId="7">#REF!</definedName>
    <definedName name="FORM7614e">#REF!</definedName>
    <definedName name="FORM7615">#REF!</definedName>
    <definedName name="FORM7616">#REF!</definedName>
    <definedName name="FORM7617">#REF!</definedName>
    <definedName name="FORM7618" localSheetId="7">#REF!</definedName>
    <definedName name="FORM7618">#REF!</definedName>
    <definedName name="FORM7619" localSheetId="7">#REF!</definedName>
    <definedName name="FORM7619">#REF!</definedName>
    <definedName name="FORM7620">#REF!</definedName>
    <definedName name="FORM7621">#REF!</definedName>
    <definedName name="FORM7625">#REF!</definedName>
    <definedName name="FORM7626">#REF!</definedName>
    <definedName name="FORM767">#REF!</definedName>
    <definedName name="FORM768" localSheetId="7">#REF!</definedName>
    <definedName name="FORM768">#REF!</definedName>
    <definedName name="FORM769" localSheetId="7">#REF!</definedName>
    <definedName name="FORM769">#REF!</definedName>
    <definedName name="FORM76X" localSheetId="7">#REF!</definedName>
    <definedName name="FORM76X">#REF!</definedName>
    <definedName name="FORM771">#REF!</definedName>
    <definedName name="FORM771a" localSheetId="7">#REF!</definedName>
    <definedName name="FORM771a">#REF!</definedName>
    <definedName name="FORM771b" localSheetId="7">#REF!</definedName>
    <definedName name="FORM771b">#REF!</definedName>
    <definedName name="FORM771c" localSheetId="7">#REF!</definedName>
    <definedName name="FORM771c">#REF!</definedName>
    <definedName name="FORM771d" localSheetId="7">#REF!</definedName>
    <definedName name="FORM771d">#REF!</definedName>
    <definedName name="FORM772a" localSheetId="7">#REF!</definedName>
    <definedName name="FORM772a">#REF!</definedName>
    <definedName name="FORM772b" localSheetId="7">#REF!</definedName>
    <definedName name="FORM772b">#REF!</definedName>
    <definedName name="FORM772c" localSheetId="7">#REF!</definedName>
    <definedName name="FORM772c">#REF!</definedName>
    <definedName name="FORM772d" localSheetId="7">#REF!</definedName>
    <definedName name="FORM772d">#REF!</definedName>
    <definedName name="FORM775">#REF!</definedName>
    <definedName name="FORM79">#REF!</definedName>
    <definedName name="FORM79L">#REF!</definedName>
    <definedName name="FORM79manual" localSheetId="7">#REF!</definedName>
    <definedName name="FORM79manual">#REF!</definedName>
    <definedName name="FORM79mekanis" localSheetId="7">#REF!</definedName>
    <definedName name="FORM79mekanis">#REF!</definedName>
    <definedName name="FORM811" localSheetId="7">#REF!</definedName>
    <definedName name="FORM811">#REF!</definedName>
    <definedName name="FORM812" localSheetId="7">#REF!</definedName>
    <definedName name="FORM812">#REF!</definedName>
    <definedName name="FORM813" localSheetId="7">#REF!</definedName>
    <definedName name="FORM813">#REF!</definedName>
    <definedName name="FORM814" localSheetId="7">#REF!</definedName>
    <definedName name="FORM814">#REF!</definedName>
    <definedName name="FORM815" localSheetId="7">#REF!</definedName>
    <definedName name="FORM815">#REF!</definedName>
    <definedName name="FORM817" localSheetId="7">#REF!</definedName>
    <definedName name="FORM817">#REF!</definedName>
    <definedName name="FORM818" localSheetId="7">#REF!</definedName>
    <definedName name="FORM818">#REF!</definedName>
    <definedName name="FORM819" localSheetId="7">#REF!</definedName>
    <definedName name="FORM819">#REF!</definedName>
    <definedName name="FORM82" localSheetId="7">#REF!</definedName>
    <definedName name="FORM82">#REF!</definedName>
    <definedName name="FORM83">#REF!</definedName>
    <definedName name="FORM841" localSheetId="7">#REF!</definedName>
    <definedName name="FORM841">#REF!</definedName>
    <definedName name="FORM8410" localSheetId="7">#REF!</definedName>
    <definedName name="FORM8410">#REF!</definedName>
    <definedName name="FORM842" localSheetId="7">#REF!</definedName>
    <definedName name="FORM842">#REF!</definedName>
    <definedName name="FORM844" localSheetId="7">#REF!</definedName>
    <definedName name="FORM844">#REF!</definedName>
    <definedName name="FORM845" localSheetId="7">#REF!</definedName>
    <definedName name="FORM845">#REF!</definedName>
    <definedName name="FORM846" localSheetId="7">#REF!</definedName>
    <definedName name="FORM846">#REF!</definedName>
    <definedName name="FORM847" localSheetId="7">#REF!</definedName>
    <definedName name="FORM847">#REF!</definedName>
    <definedName name="FORM910">#REF!</definedName>
    <definedName name="FORM911">#REF!</definedName>
    <definedName name="FORM912">#REF!</definedName>
    <definedName name="FORM913">#REF!</definedName>
    <definedName name="FORM914">#REF!</definedName>
    <definedName name="FORM915">#REF!</definedName>
    <definedName name="FORM916">#REF!</definedName>
    <definedName name="FORM917">#REF!</definedName>
    <definedName name="FORM918">#REF!</definedName>
    <definedName name="FORM919">#REF!</definedName>
    <definedName name="FORM920">#REF!</definedName>
    <definedName name="FORM94">#REF!</definedName>
    <definedName name="FORM95">#REF!</definedName>
    <definedName name="FORM96">#REF!</definedName>
    <definedName name="FORM97">#REF!</definedName>
    <definedName name="FORM98">#REF!</definedName>
    <definedName name="FORM99">#REF!</definedName>
    <definedName name="formbta">[83]Sheet1!$H$200</definedName>
    <definedName name="FORMGEOTEKSTIL" localSheetId="7">#REF!</definedName>
    <definedName name="FORMGEOTEKSTIL">#REF!</definedName>
    <definedName name="Formk">#REF!</definedName>
    <definedName name="formkolom">[83]Sheet1!$H$196</definedName>
    <definedName name="formlant">[83]Sheet1!$H$198</definedName>
    <definedName name="FORMLatasirK">#REF!</definedName>
    <definedName name="FORMLatasirKL">#REF!</definedName>
    <definedName name="formlt">#REF!</definedName>
    <definedName name="FORMULIR_STANDAR_UNTUK">#REF!</definedName>
    <definedName name="fox">'[21]Harga Satuan Bahan'!$E$110</definedName>
    <definedName name="fp">#REF!</definedName>
    <definedName name="FR">#REF!</definedName>
    <definedName name="frc">#REF!</definedName>
    <definedName name="FRC_1x120">'[78]Harga Jasa dan Material'!$D$105</definedName>
    <definedName name="FRC_1x95">'[78]Harga Jasa dan Material'!$D$104</definedName>
    <definedName name="FRC_4x4">'[78]Harga Jasa dan Material'!$D$103</definedName>
    <definedName name="frc2.1_5">#REF!</definedName>
    <definedName name="frc42115070">#REF!</definedName>
    <definedName name="frc4x10">#REF!</definedName>
    <definedName name="frc4x10_1">#REF!</definedName>
    <definedName name="frc4x10_2">#REF!</definedName>
    <definedName name="frc4x10_2_1">#REF!</definedName>
    <definedName name="frc4x10_2_1_6">#REF!</definedName>
    <definedName name="frc4x10_2_6">#REF!</definedName>
    <definedName name="frc4x10_2_7">#REF!</definedName>
    <definedName name="frc4x10_3">#REF!</definedName>
    <definedName name="frc4x10_3_4">#REF!</definedName>
    <definedName name="frc4x10_3_6">#REF!</definedName>
    <definedName name="frc4x10_3_7">#REF!</definedName>
    <definedName name="frc4x10_4">#REF!</definedName>
    <definedName name="frc4x10_4_1">#REF!</definedName>
    <definedName name="frc4x10_4_2">#REF!</definedName>
    <definedName name="frc4x10_4_2_6">#REF!</definedName>
    <definedName name="frc4x10_4_4">#REF!</definedName>
    <definedName name="frc4x10_4_6">#REF!</definedName>
    <definedName name="frc4x10_4_7">#REF!</definedName>
    <definedName name="frc4x10_5">#REF!</definedName>
    <definedName name="frc4x10_5_2">#REF!</definedName>
    <definedName name="frc4x10_5_2_6">#REF!</definedName>
    <definedName name="frc4x10_5_4">#REF!</definedName>
    <definedName name="frc4x10_5_6">#REF!</definedName>
    <definedName name="frc4x10_5_7">#REF!</definedName>
    <definedName name="frc4x10_6">#REF!</definedName>
    <definedName name="frc4x10_6_1">#REF!</definedName>
    <definedName name="frc4x10_6_4">#REF!</definedName>
    <definedName name="frc4x10_6_6">#REF!</definedName>
    <definedName name="frc4x10_6_7">#REF!</definedName>
    <definedName name="frc4x10_7">#REF!</definedName>
    <definedName name="frc4x1x400">#REF!</definedName>
    <definedName name="frc4x1x400_1">#REF!</definedName>
    <definedName name="frc4x1x400_2">#REF!</definedName>
    <definedName name="frc4x1x400_2_1">#REF!</definedName>
    <definedName name="frc4x1x400_2_1_6">#REF!</definedName>
    <definedName name="frc4x1x400_2_6">#REF!</definedName>
    <definedName name="frc4x1x400_2_7">#REF!</definedName>
    <definedName name="frc4x1x400_3">#REF!</definedName>
    <definedName name="frc4x1x400_3_4">#REF!</definedName>
    <definedName name="frc4x1x400_3_6">#REF!</definedName>
    <definedName name="frc4x1x400_3_7">#REF!</definedName>
    <definedName name="frc4x1x400_4">#REF!</definedName>
    <definedName name="frc4x1x400_4_1">#REF!</definedName>
    <definedName name="frc4x1x400_4_2">#REF!</definedName>
    <definedName name="frc4x1x400_4_2_6">#REF!</definedName>
    <definedName name="frc4x1x400_4_4">#REF!</definedName>
    <definedName name="frc4x1x400_4_6">#REF!</definedName>
    <definedName name="frc4x1x400_4_7">#REF!</definedName>
    <definedName name="frc4x1x400_5">#REF!</definedName>
    <definedName name="frc4x1x400_5_2">#REF!</definedName>
    <definedName name="frc4x1x400_5_2_6">#REF!</definedName>
    <definedName name="frc4x1x400_5_4">#REF!</definedName>
    <definedName name="frc4x1x400_5_6">#REF!</definedName>
    <definedName name="frc4x1x400_5_7">#REF!</definedName>
    <definedName name="frc4x1x400_6">#REF!</definedName>
    <definedName name="frc4x1x400_6_1">#REF!</definedName>
    <definedName name="frc4x1x400_6_4">#REF!</definedName>
    <definedName name="frc4x1x400_6_6">#REF!</definedName>
    <definedName name="frc4x1x400_6_7">#REF!</definedName>
    <definedName name="frc4x1x400_7">#REF!</definedName>
    <definedName name="frc4x25">#REF!</definedName>
    <definedName name="frc4x25_1">#REF!</definedName>
    <definedName name="frc4x25_2">#REF!</definedName>
    <definedName name="frc4x25_2_1">#REF!</definedName>
    <definedName name="frc4x25_2_1_6">#REF!</definedName>
    <definedName name="frc4x25_2_6">#REF!</definedName>
    <definedName name="frc4x25_2_7">#REF!</definedName>
    <definedName name="frc4x25_3">#REF!</definedName>
    <definedName name="frc4x25_3_4">#REF!</definedName>
    <definedName name="frc4x25_3_6">#REF!</definedName>
    <definedName name="frc4x25_3_7">#REF!</definedName>
    <definedName name="frc4x25_4">#REF!</definedName>
    <definedName name="frc4x25_4_1">#REF!</definedName>
    <definedName name="frc4x25_4_2">#REF!</definedName>
    <definedName name="frc4x25_4_2_6">#REF!</definedName>
    <definedName name="frc4x25_4_4">#REF!</definedName>
    <definedName name="frc4x25_4_6">#REF!</definedName>
    <definedName name="frc4x25_4_7">#REF!</definedName>
    <definedName name="frc4x25_5">#REF!</definedName>
    <definedName name="frc4x25_5_2">#REF!</definedName>
    <definedName name="frc4x25_5_2_6">#REF!</definedName>
    <definedName name="frc4x25_5_4">#REF!</definedName>
    <definedName name="frc4x25_5_6">#REF!</definedName>
    <definedName name="frc4x25_5_7">#REF!</definedName>
    <definedName name="frc4x25_6">#REF!</definedName>
    <definedName name="frc4x25_6_1">#REF!</definedName>
    <definedName name="frc4x25_6_4">#REF!</definedName>
    <definedName name="frc4x25_6_6">#REF!</definedName>
    <definedName name="frc4x25_6_7">#REF!</definedName>
    <definedName name="frc4x25_7">#REF!</definedName>
    <definedName name="frc4x300">#REF!</definedName>
    <definedName name="frc4x300_1">#REF!</definedName>
    <definedName name="frc4x300_2">#REF!</definedName>
    <definedName name="frc4x300_2_1">#REF!</definedName>
    <definedName name="frc4x300_2_1_6">#REF!</definedName>
    <definedName name="frc4x300_2_6">#REF!</definedName>
    <definedName name="frc4x300_2_7">#REF!</definedName>
    <definedName name="frc4x300_3">#REF!</definedName>
    <definedName name="frc4x300_3_4">#REF!</definedName>
    <definedName name="frc4x300_3_6">#REF!</definedName>
    <definedName name="frc4x300_3_7">#REF!</definedName>
    <definedName name="frc4x300_4">#REF!</definedName>
    <definedName name="frc4x300_4_1">#REF!</definedName>
    <definedName name="frc4x300_4_2">#REF!</definedName>
    <definedName name="frc4x300_4_2_6">#REF!</definedName>
    <definedName name="frc4x300_4_4">#REF!</definedName>
    <definedName name="frc4x300_4_6">#REF!</definedName>
    <definedName name="frc4x300_4_7">#REF!</definedName>
    <definedName name="frc4x300_5">#REF!</definedName>
    <definedName name="frc4x300_5_2">#REF!</definedName>
    <definedName name="frc4x300_5_2_6">#REF!</definedName>
    <definedName name="frc4x300_5_4">#REF!</definedName>
    <definedName name="frc4x300_5_6">#REF!</definedName>
    <definedName name="frc4x300_5_7">#REF!</definedName>
    <definedName name="frc4x300_6">#REF!</definedName>
    <definedName name="frc4x300_6_1">#REF!</definedName>
    <definedName name="frc4x300_6_4">#REF!</definedName>
    <definedName name="frc4x300_6_6">#REF!</definedName>
    <definedName name="frc4x300_6_7">#REF!</definedName>
    <definedName name="frc4x300_7">#REF!</definedName>
    <definedName name="frc4x35">#REF!</definedName>
    <definedName name="frc4x35_1">#REF!</definedName>
    <definedName name="frc4x35_2">#REF!</definedName>
    <definedName name="frc4x35_2_1">#REF!</definedName>
    <definedName name="frc4x35_2_1_6">#REF!</definedName>
    <definedName name="frc4x35_2_6">#REF!</definedName>
    <definedName name="frc4x35_2_7">#REF!</definedName>
    <definedName name="frc4x35_3">#REF!</definedName>
    <definedName name="frc4x35_3_4">#REF!</definedName>
    <definedName name="frc4x35_3_6">#REF!</definedName>
    <definedName name="frc4x35_3_7">#REF!</definedName>
    <definedName name="frc4x35_4">#REF!</definedName>
    <definedName name="frc4x35_4_1">#REF!</definedName>
    <definedName name="frc4x35_4_2">#REF!</definedName>
    <definedName name="frc4x35_4_2_6">#REF!</definedName>
    <definedName name="frc4x35_4_4">#REF!</definedName>
    <definedName name="frc4x35_4_6">#REF!</definedName>
    <definedName name="frc4x35_4_7">#REF!</definedName>
    <definedName name="frc4x35_5">#REF!</definedName>
    <definedName name="frc4x35_5_2">#REF!</definedName>
    <definedName name="frc4x35_5_2_6">#REF!</definedName>
    <definedName name="frc4x35_5_4">#REF!</definedName>
    <definedName name="frc4x35_5_6">#REF!</definedName>
    <definedName name="frc4x35_5_7">#REF!</definedName>
    <definedName name="frc4x35_6">#REF!</definedName>
    <definedName name="frc4x35_6_1">#REF!</definedName>
    <definedName name="frc4x35_6_4">#REF!</definedName>
    <definedName name="frc4x35_6_6">#REF!</definedName>
    <definedName name="frc4x35_6_7">#REF!</definedName>
    <definedName name="frc4x35_7">#REF!</definedName>
    <definedName name="frc4x95">#REF!</definedName>
    <definedName name="frc4x95_1">#REF!</definedName>
    <definedName name="frc4x95_2">#REF!</definedName>
    <definedName name="frc4x95_2_1">#REF!</definedName>
    <definedName name="frc4x95_2_1_6">#REF!</definedName>
    <definedName name="frc4x95_2_6">#REF!</definedName>
    <definedName name="frc4x95_2_7">#REF!</definedName>
    <definedName name="frc4x95_3">#REF!</definedName>
    <definedName name="frc4x95_3_4">#REF!</definedName>
    <definedName name="frc4x95_3_6">#REF!</definedName>
    <definedName name="frc4x95_3_7">#REF!</definedName>
    <definedName name="frc4x95_4">#REF!</definedName>
    <definedName name="frc4x95_4_1">#REF!</definedName>
    <definedName name="frc4x95_4_2">#REF!</definedName>
    <definedName name="frc4x95_4_2_6">#REF!</definedName>
    <definedName name="frc4x95_4_4">#REF!</definedName>
    <definedName name="frc4x95_4_6">#REF!</definedName>
    <definedName name="frc4x95_4_7">#REF!</definedName>
    <definedName name="frc4x95_5">#REF!</definedName>
    <definedName name="frc4x95_5_2">#REF!</definedName>
    <definedName name="frc4x95_5_2_6">#REF!</definedName>
    <definedName name="frc4x95_5_4">#REF!</definedName>
    <definedName name="frc4x95_5_6">#REF!</definedName>
    <definedName name="frc4x95_5_7">#REF!</definedName>
    <definedName name="frc4x95_6">#REF!</definedName>
    <definedName name="frc4x95_6_1">#REF!</definedName>
    <definedName name="frc4x95_6_4">#REF!</definedName>
    <definedName name="frc4x95_6_6">#REF!</definedName>
    <definedName name="frc4x95_6_7">#REF!</definedName>
    <definedName name="frc4x95_7">#REF!</definedName>
    <definedName name="frc5x4">#REF!</definedName>
    <definedName name="frc5x4_1">#REF!</definedName>
    <definedName name="frc5x4_2">#REF!</definedName>
    <definedName name="frc5x4_2_1">#REF!</definedName>
    <definedName name="frc5x4_2_1_6">#REF!</definedName>
    <definedName name="frc5x4_2_6">#REF!</definedName>
    <definedName name="frc5x4_2_7">#REF!</definedName>
    <definedName name="frc5x4_3">#REF!</definedName>
    <definedName name="frc5x4_3_4">#REF!</definedName>
    <definedName name="frc5x4_3_6">#REF!</definedName>
    <definedName name="frc5x4_3_7">#REF!</definedName>
    <definedName name="frc5x4_4">#REF!</definedName>
    <definedName name="frc5x4_4_1">#REF!</definedName>
    <definedName name="frc5x4_4_2">#REF!</definedName>
    <definedName name="frc5x4_4_2_6">#REF!</definedName>
    <definedName name="frc5x4_4_4">#REF!</definedName>
    <definedName name="frc5x4_4_6">#REF!</definedName>
    <definedName name="frc5x4_4_7">#REF!</definedName>
    <definedName name="frc5x4_5">#REF!</definedName>
    <definedName name="frc5x4_5_2">#REF!</definedName>
    <definedName name="frc5x4_5_2_6">#REF!</definedName>
    <definedName name="frc5x4_5_4">#REF!</definedName>
    <definedName name="frc5x4_5_6">#REF!</definedName>
    <definedName name="frc5x4_5_7">#REF!</definedName>
    <definedName name="frc5x4_6">#REF!</definedName>
    <definedName name="frc5x4_6_1">#REF!</definedName>
    <definedName name="frc5x4_6_4">#REF!</definedName>
    <definedName name="frc5x4_6_6">#REF!</definedName>
    <definedName name="frc5x4_6_7">#REF!</definedName>
    <definedName name="frc5x4_7">#REF!</definedName>
    <definedName name="frc5x6">#REF!</definedName>
    <definedName name="frc5x6_1">#REF!</definedName>
    <definedName name="frc5x6_2">#REF!</definedName>
    <definedName name="frc5x6_2_1">#REF!</definedName>
    <definedName name="frc5x6_2_1_6">#REF!</definedName>
    <definedName name="frc5x6_2_6">#REF!</definedName>
    <definedName name="frc5x6_2_7">#REF!</definedName>
    <definedName name="frc5x6_3">#REF!</definedName>
    <definedName name="frc5x6_3_4">#REF!</definedName>
    <definedName name="frc5x6_3_6">#REF!</definedName>
    <definedName name="frc5x6_3_7">#REF!</definedName>
    <definedName name="frc5x6_4">#REF!</definedName>
    <definedName name="frc5x6_4_1">#REF!</definedName>
    <definedName name="frc5x6_4_2">#REF!</definedName>
    <definedName name="frc5x6_4_2_6">#REF!</definedName>
    <definedName name="frc5x6_4_4">#REF!</definedName>
    <definedName name="frc5x6_4_6">#REF!</definedName>
    <definedName name="frc5x6_4_7">#REF!</definedName>
    <definedName name="frc5x6_5">#REF!</definedName>
    <definedName name="frc5x6_5_2">#REF!</definedName>
    <definedName name="frc5x6_5_2_6">#REF!</definedName>
    <definedName name="frc5x6_5_4">#REF!</definedName>
    <definedName name="frc5x6_5_6">#REF!</definedName>
    <definedName name="frc5x6_5_7">#REF!</definedName>
    <definedName name="frc5x6_6">#REF!</definedName>
    <definedName name="frc5x6_6_1">#REF!</definedName>
    <definedName name="frc5x6_6_4">#REF!</definedName>
    <definedName name="frc5x6_6_6">#REF!</definedName>
    <definedName name="frc5x6_6_7">#REF!</definedName>
    <definedName name="frc5x6_7">#REF!</definedName>
    <definedName name="FREI" hidden="1">{#N/A,#N/A,FALSE,"REK-S-TPL";#N/A,#N/A,FALSE,"REK-TPML";#N/A,#N/A,FALSE,"RAB-TEMPEL"}</definedName>
    <definedName name="FRF">#REF!</definedName>
    <definedName name="FRG">#N/A</definedName>
    <definedName name="frgggg">#N/A</definedName>
    <definedName name="frp">#REF!</definedName>
    <definedName name="FRRDS" localSheetId="7">#REF!</definedName>
    <definedName name="FRRDS">#REF!</definedName>
    <definedName name="frsk">#REF!</definedName>
    <definedName name="frt">#REF!</definedName>
    <definedName name="fs">#REF!</definedName>
    <definedName name="fs_1">#REF!</definedName>
    <definedName name="fs_2">#REF!</definedName>
    <definedName name="fs_2_1">#REF!</definedName>
    <definedName name="fs_2_1_6">#REF!</definedName>
    <definedName name="fs_2_6">#REF!</definedName>
    <definedName name="fs_2_7">#REF!</definedName>
    <definedName name="fs_3">#REF!</definedName>
    <definedName name="fs_3_6">#REF!</definedName>
    <definedName name="fs_3_7">#REF!</definedName>
    <definedName name="fs_4">#REF!</definedName>
    <definedName name="fs_5">#REF!</definedName>
    <definedName name="fs_6">#REF!</definedName>
    <definedName name="fs_6_1">#REF!</definedName>
    <definedName name="fs_6_6">#REF!</definedName>
    <definedName name="fs_6_7">#REF!</definedName>
    <definedName name="fs_7">#REF!</definedName>
    <definedName name="FS_AbortSwitch">'[78]Harga Jasa dan Material'!$D$243</definedName>
    <definedName name="FS_ManualRelease">'[78]Harga Jasa dan Material'!$D$242</definedName>
    <definedName name="FS_WL_GasDischarge">'[78]Harga Jasa dan Material'!$D$244</definedName>
    <definedName name="FSAFADG">#REF!</definedName>
    <definedName name="fsafsa">#REF!</definedName>
    <definedName name="fsafsaf">#REF!</definedName>
    <definedName name="fsasf">#REF!</definedName>
    <definedName name="FSB">#REF!</definedName>
    <definedName name="FSDATA">#REF!</definedName>
    <definedName name="fsh">#REF!</definedName>
    <definedName name="fss">#REF!</definedName>
    <definedName name="FST">#REF!</definedName>
    <definedName name="fsvd100">#REF!</definedName>
    <definedName name="fsvd100_1">#REF!</definedName>
    <definedName name="fsvd100_1_5">#REF!</definedName>
    <definedName name="fsvd100_2">#REF!</definedName>
    <definedName name="fsvd100_2_1">#REF!</definedName>
    <definedName name="fsvd100_2_1_1">#REF!</definedName>
    <definedName name="fsvd100_2_1_1_6">#REF!</definedName>
    <definedName name="fsvd100_2_1_6">#REF!</definedName>
    <definedName name="fsvd100_2_1_7">#REF!</definedName>
    <definedName name="fsvd100_2_6">#REF!</definedName>
    <definedName name="fsvd100_2_7">#REF!</definedName>
    <definedName name="fsvd100_3">#REF!</definedName>
    <definedName name="fsvd100_3_4">#REF!</definedName>
    <definedName name="fsvd100_3_6">#REF!</definedName>
    <definedName name="fsvd100_3_7">#REF!</definedName>
    <definedName name="fsvd100_4">#REF!</definedName>
    <definedName name="fsvd100_4_1">#REF!</definedName>
    <definedName name="fsvd100_4_2">#REF!</definedName>
    <definedName name="fsvd100_4_2_6">#REF!</definedName>
    <definedName name="fsvd100_4_4">#REF!</definedName>
    <definedName name="fsvd100_4_6">#REF!</definedName>
    <definedName name="fsvd100_4_7">#REF!</definedName>
    <definedName name="fsvd100_5">#REF!</definedName>
    <definedName name="fsvd100_5_2">#REF!</definedName>
    <definedName name="fsvd100_5_2_6">#REF!</definedName>
    <definedName name="fsvd100_5_4">#REF!</definedName>
    <definedName name="fsvd100_5_6">#REF!</definedName>
    <definedName name="fsvd100_5_7">#REF!</definedName>
    <definedName name="fsvd100_6">#REF!</definedName>
    <definedName name="fsvd100_6_1">#REF!</definedName>
    <definedName name="fsvd100_6_4">#REF!</definedName>
    <definedName name="fsvd100_6_6">#REF!</definedName>
    <definedName name="fsvd100_6_7">#REF!</definedName>
    <definedName name="fsvd100_7">#REF!</definedName>
    <definedName name="fsvd150">#REF!</definedName>
    <definedName name="fsvd150_1">#REF!</definedName>
    <definedName name="fsvd150_1_5">#REF!</definedName>
    <definedName name="fsvd150_2">#REF!</definedName>
    <definedName name="fsvd150_2_1">#REF!</definedName>
    <definedName name="fsvd150_2_1_1">#REF!</definedName>
    <definedName name="fsvd150_2_1_1_6">#REF!</definedName>
    <definedName name="fsvd150_2_1_6">#REF!</definedName>
    <definedName name="fsvd150_2_1_7">#REF!</definedName>
    <definedName name="fsvd150_2_6">#REF!</definedName>
    <definedName name="fsvd150_2_7">#REF!</definedName>
    <definedName name="fsvd150_3">#REF!</definedName>
    <definedName name="fsvd150_3_4">#REF!</definedName>
    <definedName name="fsvd150_3_6">#REF!</definedName>
    <definedName name="fsvd150_3_7">#REF!</definedName>
    <definedName name="fsvd150_4">#REF!</definedName>
    <definedName name="fsvd150_4_1">#REF!</definedName>
    <definedName name="fsvd150_4_2">#REF!</definedName>
    <definedName name="fsvd150_4_2_6">#REF!</definedName>
    <definedName name="fsvd150_4_4">#REF!</definedName>
    <definedName name="fsvd150_4_6">#REF!</definedName>
    <definedName name="fsvd150_4_7">#REF!</definedName>
    <definedName name="fsvd150_5">#REF!</definedName>
    <definedName name="fsvd150_5_2">#REF!</definedName>
    <definedName name="fsvd150_5_2_6">#REF!</definedName>
    <definedName name="fsvd150_5_4">#REF!</definedName>
    <definedName name="fsvd150_5_6">#REF!</definedName>
    <definedName name="fsvd150_5_7">#REF!</definedName>
    <definedName name="fsvd150_6">#REF!</definedName>
    <definedName name="fsvd150_6_1">#REF!</definedName>
    <definedName name="fsvd150_6_4">#REF!</definedName>
    <definedName name="fsvd150_6_6">#REF!</definedName>
    <definedName name="fsvd150_6_7">#REF!</definedName>
    <definedName name="fsvd150_7">#REF!</definedName>
    <definedName name="fsvd65">#REF!</definedName>
    <definedName name="fsvd65_1">#REF!</definedName>
    <definedName name="fsvd65_1_5">#REF!</definedName>
    <definedName name="fsvd65_2">#REF!</definedName>
    <definedName name="fsvd65_2_1">#REF!</definedName>
    <definedName name="fsvd65_2_1_1">#REF!</definedName>
    <definedName name="fsvd65_2_1_1_6">#REF!</definedName>
    <definedName name="fsvd65_2_1_6">#REF!</definedName>
    <definedName name="fsvd65_2_1_7">#REF!</definedName>
    <definedName name="fsvd65_2_6">#REF!</definedName>
    <definedName name="fsvd65_2_7">#REF!</definedName>
    <definedName name="fsvd65_3">#REF!</definedName>
    <definedName name="fsvd65_3_4">#REF!</definedName>
    <definedName name="fsvd65_3_6">#REF!</definedName>
    <definedName name="fsvd65_3_7">#REF!</definedName>
    <definedName name="fsvd65_4">#REF!</definedName>
    <definedName name="fsvd65_4_1">#REF!</definedName>
    <definedName name="fsvd65_4_2">#REF!</definedName>
    <definedName name="fsvd65_4_2_6">#REF!</definedName>
    <definedName name="fsvd65_4_4">#REF!</definedName>
    <definedName name="fsvd65_4_6">#REF!</definedName>
    <definedName name="fsvd65_4_7">#REF!</definedName>
    <definedName name="fsvd65_5">#REF!</definedName>
    <definedName name="fsvd65_5_2">#REF!</definedName>
    <definedName name="fsvd65_5_2_6">#REF!</definedName>
    <definedName name="fsvd65_5_4">#REF!</definedName>
    <definedName name="fsvd65_5_6">#REF!</definedName>
    <definedName name="fsvd65_5_7">#REF!</definedName>
    <definedName name="fsvd65_6">#REF!</definedName>
    <definedName name="fsvd65_6_1">#REF!</definedName>
    <definedName name="fsvd65_6_4">#REF!</definedName>
    <definedName name="fsvd65_6_6">#REF!</definedName>
    <definedName name="fsvd65_6_7">#REF!</definedName>
    <definedName name="fsvd65_7">#REF!</definedName>
    <definedName name="ft">#N/A</definedName>
    <definedName name="FTB">#REF!</definedName>
    <definedName name="FTG">#REF!</definedName>
    <definedName name="ftgj" hidden="1">{"'Sheet1'!$A$1"}</definedName>
    <definedName name="ftgregh">#REF!</definedName>
    <definedName name="ftiyio" hidden="1">{"'Sheet1'!$A$1"}</definedName>
    <definedName name="FTP">#REF!</definedName>
    <definedName name="ftr">#REF!</definedName>
    <definedName name="ftv1.5">#REF!</definedName>
    <definedName name="ftv2.5">#REF!</definedName>
    <definedName name="FULVIMIXER">#REF!</definedName>
    <definedName name="fundationlp">#N/A</definedName>
    <definedName name="fur">#REF!</definedName>
    <definedName name="furing">#REF!</definedName>
    <definedName name="Furnica___Melamin____1_2_x_2_4__m">#REF!</definedName>
    <definedName name="furniture">#REF!,#REF!</definedName>
    <definedName name="FURNITURE__FURNISHING">#REF!</definedName>
    <definedName name="FURNITURE__FURNISHING_1">#REF!</definedName>
    <definedName name="FURNITURE__FURNISHING_1_2">#REF!</definedName>
    <definedName name="FURNITURE__FURNISHING_1_2_6">#REF!</definedName>
    <definedName name="FURNITURE__FURNISHING_1_4">#REF!</definedName>
    <definedName name="FURNITURE__FURNISHING_1_6">#REF!</definedName>
    <definedName name="FURNITURE__FURNISHING_1_7">#REF!</definedName>
    <definedName name="FURNITURE__FURNISHING_15">#REF!</definedName>
    <definedName name="FURNITURE__FURNISHING_15_1">#REF!</definedName>
    <definedName name="FURNITURE__FURNISHING_15_16">#REF!</definedName>
    <definedName name="FURNITURE__FURNISHING_15_7">#REF!</definedName>
    <definedName name="FURNITURE__FURNISHING_16">#REF!</definedName>
    <definedName name="FURNITURE__FURNISHING_17">#REF!</definedName>
    <definedName name="FURNITURE__FURNISHING_2">#REF!</definedName>
    <definedName name="FURNITURE__FURNISHING_2_1">#REF!</definedName>
    <definedName name="FURNITURE__FURNISHING_2_1_6">#REF!</definedName>
    <definedName name="FURNITURE__FURNISHING_2_2">#REF!</definedName>
    <definedName name="FURNITURE__FURNISHING_2_2_6">#REF!</definedName>
    <definedName name="FURNITURE__FURNISHING_2_4">#REF!</definedName>
    <definedName name="FURNITURE__FURNISHING_2_5">#REF!</definedName>
    <definedName name="FURNITURE__FURNISHING_2_6">#REF!</definedName>
    <definedName name="FURNITURE__FURNISHING_2_7">#REF!</definedName>
    <definedName name="FURNITURE__FURNISHING_3">#REF!</definedName>
    <definedName name="FURNITURE__FURNISHING_3_1">#REF!</definedName>
    <definedName name="FURNITURE__FURNISHING_3_2">#REF!</definedName>
    <definedName name="FURNITURE__FURNISHING_3_2_6">#REF!</definedName>
    <definedName name="FURNITURE__FURNISHING_3_4">#REF!</definedName>
    <definedName name="FURNITURE__FURNISHING_3_5">#REF!</definedName>
    <definedName name="FURNITURE__FURNISHING_3_6">#REF!</definedName>
    <definedName name="FURNITURE__FURNISHING_3_7">#REF!</definedName>
    <definedName name="FURNITURE__FURNISHING_4">#REF!</definedName>
    <definedName name="FURNITURE__FURNISHING_4_1">#REF!</definedName>
    <definedName name="FURNITURE__FURNISHING_4_2">#REF!</definedName>
    <definedName name="FURNITURE__FURNISHING_4_2_6">#REF!</definedName>
    <definedName name="FURNITURE__FURNISHING_4_4">#REF!</definedName>
    <definedName name="FURNITURE__FURNISHING_4_6">#REF!</definedName>
    <definedName name="FURNITURE__FURNISHING_4_7">#REF!</definedName>
    <definedName name="FURNITURE__FURNISHING_5">#REF!</definedName>
    <definedName name="FURNITURE__FURNISHING_5_2">#REF!</definedName>
    <definedName name="FURNITURE__FURNISHING_5_2_6">#REF!</definedName>
    <definedName name="FURNITURE__FURNISHING_5_4">#REF!</definedName>
    <definedName name="FURNITURE__FURNISHING_5_6">#REF!</definedName>
    <definedName name="FURNITURE__FURNISHING_5_7">#REF!</definedName>
    <definedName name="FURNITURE__FURNISHING_6">#REF!</definedName>
    <definedName name="FURNITURE__FURNISHING_6_1">#REF!</definedName>
    <definedName name="FURNITURE__FURNISHING_6_2">#REF!</definedName>
    <definedName name="FURNITURE__FURNISHING_6_2_6">#REF!</definedName>
    <definedName name="FURNITURE__FURNISHING_6_4">#REF!</definedName>
    <definedName name="FURNITURE__FURNISHING_6_6">#REF!</definedName>
    <definedName name="FURNITURE__FURNISHING_6_7">#REF!</definedName>
    <definedName name="FURNITURE__FURNISHING_7">#REF!</definedName>
    <definedName name="FURNITURE__FURNISHING_7_1">#REF!</definedName>
    <definedName name="FURNITURE__FURNISHING_7_6">#REF!</definedName>
    <definedName name="FURNITURE__FURNISHING_7_7">#REF!</definedName>
    <definedName name="FURNITURE__FURNISHING_8">#REF!</definedName>
    <definedName name="FURNITURE__FURNISHING_9">#REF!</definedName>
    <definedName name="FUS" hidden="1">{#N/A,#N/A,FALSE,"REK-S-TPL";#N/A,#N/A,FALSE,"REK-TPML";#N/A,#N/A,FALSE,"RAB-TEMPEL"}</definedName>
    <definedName name="fv">#REF!</definedName>
    <definedName name="fxj1.25">#REF!</definedName>
    <definedName name="fxj1.5">#REF!</definedName>
    <definedName name="fxj2.5">#REF!</definedName>
    <definedName name="fy">#REF!</definedName>
    <definedName name="fykif">'[105]SAT-DAS'!$J$24</definedName>
    <definedName name="FZSDG" hidden="1">#REF!</definedName>
    <definedName name="G">#REF!</definedName>
    <definedName name="G.">#REF!</definedName>
    <definedName name="G.10">#REF!</definedName>
    <definedName name="G.107.10">#REF!</definedName>
    <definedName name="G.107.10B">#REF!</definedName>
    <definedName name="G.107.10E">#REF!</definedName>
    <definedName name="G.11">#REF!</definedName>
    <definedName name="G.12">#REF!</definedName>
    <definedName name="G.13">#REF!</definedName>
    <definedName name="G.14">#REF!</definedName>
    <definedName name="G.15">#REF!</definedName>
    <definedName name="G.16">#REF!</definedName>
    <definedName name="G.16a">#REF!</definedName>
    <definedName name="G.17">#REF!</definedName>
    <definedName name="G.18">#REF!</definedName>
    <definedName name="G.19">#REF!</definedName>
    <definedName name="G.2">#REF!</definedName>
    <definedName name="G.20">#REF!</definedName>
    <definedName name="G.21">#REF!</definedName>
    <definedName name="G.24">#REF!</definedName>
    <definedName name="G.25">#REF!</definedName>
    <definedName name="G.26">#REF!</definedName>
    <definedName name="g.2a">#REF!</definedName>
    <definedName name="g.2b">#REF!</definedName>
    <definedName name="G.3">#REF!</definedName>
    <definedName name="G.32">#REF!</definedName>
    <definedName name="G.32.c">#REF!</definedName>
    <definedName name="G.32.l">#REF!</definedName>
    <definedName name="G.32.m">#REF!</definedName>
    <definedName name="g.32a">#REF!</definedName>
    <definedName name="G.32h">#REF!</definedName>
    <definedName name="G.32I">#REF!</definedName>
    <definedName name="g.32l">#REF!</definedName>
    <definedName name="G.32M">#REF!</definedName>
    <definedName name="G.32X">#REF!</definedName>
    <definedName name="G.33">#REF!</definedName>
    <definedName name="G.33.e">#REF!</definedName>
    <definedName name="G.33.g">#REF!</definedName>
    <definedName name="G.33.h">#REF!</definedName>
    <definedName name="G.33.m">#REF!</definedName>
    <definedName name="G.33b">#REF!</definedName>
    <definedName name="G.33b1">#REF!</definedName>
    <definedName name="G.33i">#REF!</definedName>
    <definedName name="G.33k">#REF!</definedName>
    <definedName name="G.33m">#REF!</definedName>
    <definedName name="G.34">#REF!</definedName>
    <definedName name="G.35">#REF!</definedName>
    <definedName name="G.36">#REF!</definedName>
    <definedName name="G.37">#REF!</definedName>
    <definedName name="G.38">#REF!</definedName>
    <definedName name="G.39">#REF!</definedName>
    <definedName name="G.4">#REF!</definedName>
    <definedName name="G.40">#REF!</definedName>
    <definedName name="G.41">#REF!</definedName>
    <definedName name="g.41a">#REF!</definedName>
    <definedName name="g.41b">#REF!</definedName>
    <definedName name="g.41c">#REF!</definedName>
    <definedName name="G.42a">#REF!</definedName>
    <definedName name="G.43a">#REF!</definedName>
    <definedName name="G.43b">#REF!</definedName>
    <definedName name="G.44">#REF!</definedName>
    <definedName name="G.44.VK">#REF!</definedName>
    <definedName name="G.5">#REF!</definedName>
    <definedName name="G.5.a">#REF!</definedName>
    <definedName name="G.5.b">#REF!</definedName>
    <definedName name="G.5.c">#REF!</definedName>
    <definedName name="G.50.g">#REF!</definedName>
    <definedName name="G.50.H">#REF!</definedName>
    <definedName name="G.50.I">#REF!</definedName>
    <definedName name="G.50.k">#REF!</definedName>
    <definedName name="G.50.p">#REF!</definedName>
    <definedName name="G.50.q">#REF!</definedName>
    <definedName name="G.50h">#REF!</definedName>
    <definedName name="G.50k">#REF!</definedName>
    <definedName name="G.50p">#REF!</definedName>
    <definedName name="G.50q">#REF!</definedName>
    <definedName name="G.51.C">#REF!</definedName>
    <definedName name="G.51.d">#REF!</definedName>
    <definedName name="G.51c">#REF!</definedName>
    <definedName name="G.6.4">#REF!</definedName>
    <definedName name="G.6.9a">#REF!</definedName>
    <definedName name="G.60A">#REF!</definedName>
    <definedName name="G.61">#REF!</definedName>
    <definedName name="G.67">#REF!</definedName>
    <definedName name="G.69a">#REF!</definedName>
    <definedName name="G.69b">#REF!</definedName>
    <definedName name="G.69c">#REF!</definedName>
    <definedName name="G.72">#REF!</definedName>
    <definedName name="G.Batuan">#REF!</definedName>
    <definedName name="G.Biasa">#REF!</definedName>
    <definedName name="g.ker">#REF!</definedName>
    <definedName name="G.Kramik">#REF!</definedName>
    <definedName name="G_1">#REF!</definedName>
    <definedName name="G_10">#REF!</definedName>
    <definedName name="G_11">#REF!</definedName>
    <definedName name="g_11_a">#REF!</definedName>
    <definedName name="G_12">#REF!</definedName>
    <definedName name="G_13">#REF!</definedName>
    <definedName name="G_2">#REF!</definedName>
    <definedName name="G_3">#REF!</definedName>
    <definedName name="g_30">#REF!</definedName>
    <definedName name="g_34">#REF!</definedName>
    <definedName name="G_4">#REF!</definedName>
    <definedName name="g_43">#REF!</definedName>
    <definedName name="g_4a">#REF!</definedName>
    <definedName name="G_5">#REF!</definedName>
    <definedName name="g_50">#REF!</definedName>
    <definedName name="G_50H">#REF!</definedName>
    <definedName name="g_57">#REF!</definedName>
    <definedName name="g_59">#REF!</definedName>
    <definedName name="G_6">#REF!</definedName>
    <definedName name="g_60">#REF!</definedName>
    <definedName name="g_61">#REF!</definedName>
    <definedName name="g_62">#REF!</definedName>
    <definedName name="G_7">#REF!</definedName>
    <definedName name="G_8">#REF!</definedName>
    <definedName name="g_8_a">#REF!</definedName>
    <definedName name="g_9">#REF!</definedName>
    <definedName name="G_9_A">#REF!</definedName>
    <definedName name="g_9wp">#REF!</definedName>
    <definedName name="g_c">#REF!</definedName>
    <definedName name="g_ci_20">#REF!</definedName>
    <definedName name="g_ci_25">#REF!</definedName>
    <definedName name="g_ci_45">#REF!</definedName>
    <definedName name="g_ci_50">#REF!</definedName>
    <definedName name="g_k">#REF!</definedName>
    <definedName name="G_Profit">#REF!</definedName>
    <definedName name="g0">#REF!</definedName>
    <definedName name="G1.22.10001.G">#REF!</definedName>
    <definedName name="G2.22.10002.G">#REF!</definedName>
    <definedName name="G3.22.10003.G">#REF!</definedName>
    <definedName name="G3A.22.10001.G">#REF!</definedName>
    <definedName name="G4.22.10004.G">#REF!</definedName>
    <definedName name="G4584.">#REF!</definedName>
    <definedName name="G4A.22.10005.G">#REF!</definedName>
    <definedName name="G50i">#REF!</definedName>
    <definedName name="G50K">#REF!</definedName>
    <definedName name="G50p">#REF!</definedName>
    <definedName name="G60A">#REF!</definedName>
    <definedName name="GA">#REF!</definedName>
    <definedName name="gad">#REF!</definedName>
    <definedName name="gae">#REF!</definedName>
    <definedName name="gafadg">'[108]SAT-DAS'!$J$13</definedName>
    <definedName name="Gaji">#REF!</definedName>
    <definedName name="Gaji_operator">#REF!</definedName>
    <definedName name="gal">#REF!</definedName>
    <definedName name="Gal.Sal">#REF!</definedName>
    <definedName name="GAL_BIASA">#REF!</definedName>
    <definedName name="Gal_Tanah_Biasa">#REF!</definedName>
    <definedName name="Gal_Tanah_CAdas">#REF!</definedName>
    <definedName name="Gal_Tanh_Krs">#REF!</definedName>
    <definedName name="GALBIASA">#REF!</definedName>
    <definedName name="galdal5">#REF!</definedName>
    <definedName name="GALI">#REF!</definedName>
    <definedName name="GALI_B">#REF!</definedName>
    <definedName name="Gali_Sal">#REF!</definedName>
    <definedName name="GALI2">#REF!</definedName>
    <definedName name="galian">#REF!</definedName>
    <definedName name="galian.tnhbiasa">#REF!</definedName>
    <definedName name="Galian_Biasa">#REF!</definedName>
    <definedName name="galian_biasa_1m">#REF!</definedName>
    <definedName name="Galian_dg_CM">#REF!</definedName>
    <definedName name="Galian_Selokan">#REF!</definedName>
    <definedName name="Galian_Str_2">#REF!</definedName>
    <definedName name="Galian_Str_2_4">#REF!</definedName>
    <definedName name="Galian_Str_4_6">#REF!</definedName>
    <definedName name="Galian_Tanah">#REF!</definedName>
    <definedName name="GALIAN_TANAH_1">#REF!</definedName>
    <definedName name="GALIAN_TANAH_10">#REF!</definedName>
    <definedName name="GALIAN_TANAH_12">#REF!</definedName>
    <definedName name="GALIAN_TANAH_7">#REF!</definedName>
    <definedName name="GALIAN_TANAH_8">#REF!</definedName>
    <definedName name="Galian_Tanah_Biasa">#REF!</definedName>
    <definedName name="GALIAN_TANAH_BIASA_1M">#REF!</definedName>
    <definedName name="GALIAN_TANAH_BIASA_2M">#REF!</definedName>
    <definedName name="GALIAN_TANAH_KERAS_1M">#REF!</definedName>
    <definedName name="Galian_tnp_CM">#REF!</definedName>
    <definedName name="galianPC">#REF!</definedName>
    <definedName name="galiansloof">#REF!</definedName>
    <definedName name="GALIANSUMUR">#REF!</definedName>
    <definedName name="GalianTanahCadas">#REF!</definedName>
    <definedName name="GalianTanahKeras">#REF!</definedName>
    <definedName name="galiantanahnonPPN">#REF!</definedName>
    <definedName name="GalianTanahPasirDlmAir">#REF!</definedName>
    <definedName name="GALIANTNH">#REF!</definedName>
    <definedName name="galimek">#REF!</definedName>
    <definedName name="GALKERAS">#REF!</definedName>
    <definedName name="GALKON">#REF!</definedName>
    <definedName name="galman">"$#REF!.$I$14"</definedName>
    <definedName name="GALP">#REF!</definedName>
    <definedName name="GALSEL_1">#REF!</definedName>
    <definedName name="GALSEL_2">#REF!</definedName>
    <definedName name="GalStripping1m">#REF!</definedName>
    <definedName name="GalTanah1m">#REF!</definedName>
    <definedName name="GalTanah2m">#REF!</definedName>
    <definedName name="GalTanah3m">#REF!</definedName>
    <definedName name="galtanahkons">#REF!</definedName>
    <definedName name="GalTanahPasirBiasa">#REF!</definedName>
    <definedName name="GalTnhCadas1m">#REF!</definedName>
    <definedName name="GalTnhKeras1m">#REF!</definedName>
    <definedName name="GalTnhLumpur1m">#REF!</definedName>
    <definedName name="galv25">#REF!</definedName>
    <definedName name="galv4">#REF!</definedName>
    <definedName name="galvalum">#REF!</definedName>
    <definedName name="Galvanis10" localSheetId="7">[33]H_Dasar!#REF!</definedName>
    <definedName name="Galvanis10">[33]H_Dasar!#REF!</definedName>
    <definedName name="galvanis3">#REF!</definedName>
    <definedName name="galvanis4">#REF!</definedName>
    <definedName name="GANDA">#REF!</definedName>
    <definedName name="GANDAA">#REF!</definedName>
    <definedName name="gantung">#REF!</definedName>
    <definedName name="gantung60">#REF!</definedName>
    <definedName name="gaplex">#REF!</definedName>
    <definedName name="gar">[136]harsat!$H$70</definedName>
    <definedName name="GARDENWING">#REF!</definedName>
    <definedName name="GARIS">[137]STR!#REF!</definedName>
    <definedName name="GARIS2">#REF!</definedName>
    <definedName name="Gas_oxytilyn">#REF!</definedName>
    <definedName name="gb">#REF!</definedName>
    <definedName name="gb_1">#REF!</definedName>
    <definedName name="gb_2">#REF!</definedName>
    <definedName name="gb_3">#REF!</definedName>
    <definedName name="gb_4">#REF!</definedName>
    <definedName name="gb_5">#REF!</definedName>
    <definedName name="gb_6">#REF!</definedName>
    <definedName name="gb_7">#REF!</definedName>
    <definedName name="gb_ja9">[95]satuan_pek_ars!#REF!</definedName>
    <definedName name="GBP">#REF!</definedName>
    <definedName name="gcampaka">#REF!</definedName>
    <definedName name="gdag">#REF!</definedName>
    <definedName name="GDF">[0]!_210_S_3_6_1_1:[0]!_2127detib250_6_1</definedName>
    <definedName name="GDFGD">#N/A</definedName>
    <definedName name="gdl">#REF!</definedName>
    <definedName name="gdnh" hidden="1">{#N/A,#N/A,FALSE,"REK";#N/A,#N/A,FALSE,"rab"}</definedName>
    <definedName name="gdsd">#N/A</definedName>
    <definedName name="GDSHG">#REF!</definedName>
    <definedName name="gea">#REF!</definedName>
    <definedName name="gembok">#REF!</definedName>
    <definedName name="Gemuk">#REF!</definedName>
    <definedName name="GEN">#REF!</definedName>
    <definedName name="gendokglaz">#REF!</definedName>
    <definedName name="GENDOKNATUR">#REF!</definedName>
    <definedName name="Generator_Set">#REF!</definedName>
    <definedName name="genkerglaz">#REF!</definedName>
    <definedName name="genkernatur">#REF!</definedName>
    <definedName name="gense">[129]HSD!$H$34</definedName>
    <definedName name="Genset" localSheetId="7">[33]H_Dasar!#REF!</definedName>
    <definedName name="GENSET">#REF!</definedName>
    <definedName name="Genset_15_KVA">#REF!</definedName>
    <definedName name="GENTENG">#REF!</definedName>
    <definedName name="genteng_beton">#REF!</definedName>
    <definedName name="Genteng_bubungan_soka">#REF!</definedName>
    <definedName name="Genteng_lokal">#REF!</definedName>
    <definedName name="Genteng_Plentong">#REF!</definedName>
    <definedName name="Genteng_press_pejaten">#REF!</definedName>
    <definedName name="Genteng_soka_kodok">#REF!</definedName>
    <definedName name="gentengbtn">#REF!</definedName>
    <definedName name="gentengbubungbeton">#REF!</definedName>
    <definedName name="gentengextrenggalek">#REF!</definedName>
    <definedName name="gentengflam">#REF!</definedName>
    <definedName name="gentenggs">#REF!</definedName>
    <definedName name="gentengkodokbambe">#REF!</definedName>
    <definedName name="gentengkodoklokal">#REF!</definedName>
    <definedName name="gentengkrplangnglayur">#REF!</definedName>
    <definedName name="gentengmetal">#REF!</definedName>
    <definedName name="gentengmultiroof">#REF!</definedName>
    <definedName name="gentmet">#REF!</definedName>
    <definedName name="gentonglaz">#REF!</definedName>
    <definedName name="gentongnatur">#REF!</definedName>
    <definedName name="gentonpol">#REF!</definedName>
    <definedName name="gentonwar">#REF!</definedName>
    <definedName name="GENZET">#REF!</definedName>
    <definedName name="GENZETPANEL">#REF!</definedName>
    <definedName name="Geotekstil">#REF!</definedName>
    <definedName name="Geotex">#REF!</definedName>
    <definedName name="Geotextile">#REF!</definedName>
    <definedName name="Gerindel">#REF!</definedName>
    <definedName name="gerobak">#REF!</definedName>
    <definedName name="gersel">#REF!</definedName>
    <definedName name="gethh" hidden="1">{"'Sheet1'!$A$1"}</definedName>
    <definedName name="gevel">#REF!</definedName>
    <definedName name="gf" hidden="1">#REF!</definedName>
    <definedName name="gfagf">[52]DHSD!$G$28</definedName>
    <definedName name="GFB">#N/A</definedName>
    <definedName name="gfbhyr" hidden="1">{"'Sheet1'!$A$1"}</definedName>
    <definedName name="GFF" hidden="1">#REF!</definedName>
    <definedName name="gfhfh">#N/A</definedName>
    <definedName name="gfhfmd">#N/A</definedName>
    <definedName name="gfhh" hidden="1">{"'Sheet1'!$A$1"}</definedName>
    <definedName name="gfhsd">'[49]Lamp-4 Sat-Das'!$J$14</definedName>
    <definedName name="gfj" hidden="1">{"'Sheet1'!$A$1"}</definedName>
    <definedName name="gfjr" hidden="1">{"'Sheet1'!$A$1"}</definedName>
    <definedName name="gfrc_1500">#REF!</definedName>
    <definedName name="gfrc_155020">#REF!</definedName>
    <definedName name="gfrc_1700">#REF!</definedName>
    <definedName name="gfrc_c">#REF!</definedName>
    <definedName name="gfrc_h">#REF!</definedName>
    <definedName name="gfrg_400">#REF!</definedName>
    <definedName name="gft">#REF!</definedName>
    <definedName name="GFTDSZ">#REF!</definedName>
    <definedName name="gfthhh" hidden="1">{"'Sheet1'!$A$1"}</definedName>
    <definedName name="GG">#REF!</definedName>
    <definedName name="GG_01">#REF!</definedName>
    <definedName name="GG_02">#REF!</definedName>
    <definedName name="GG_02A">#REF!</definedName>
    <definedName name="GG_02B">#REF!</definedName>
    <definedName name="GG_02C">#REF!</definedName>
    <definedName name="GG_03">#REF!</definedName>
    <definedName name="GG_04">#REF!</definedName>
    <definedName name="GG_05">#REF!</definedName>
    <definedName name="GG_06">#REF!</definedName>
    <definedName name="GG_07">#REF!</definedName>
    <definedName name="GG_07A">#REF!</definedName>
    <definedName name="GG_08">#REF!</definedName>
    <definedName name="GG_09">#REF!</definedName>
    <definedName name="GG_10">#REF!</definedName>
    <definedName name="GG_10A">#REF!</definedName>
    <definedName name="GG_10B">#REF!</definedName>
    <definedName name="GG_10C">#REF!</definedName>
    <definedName name="GG_10D">#REF!</definedName>
    <definedName name="GG_11">#REF!</definedName>
    <definedName name="GG_11A">#REF!</definedName>
    <definedName name="GG_11B">#REF!</definedName>
    <definedName name="GG_11C">#REF!</definedName>
    <definedName name="GG_12">#REF!</definedName>
    <definedName name="GG_12A">#REF!</definedName>
    <definedName name="GG_12B">#REF!</definedName>
    <definedName name="GG_12C">#REF!</definedName>
    <definedName name="GG_12D">#REF!</definedName>
    <definedName name="GG_12E">#REF!</definedName>
    <definedName name="GG_14">#REF!</definedName>
    <definedName name="GG_15">#REF!</definedName>
    <definedName name="GG_16">#REF!</definedName>
    <definedName name="GG_17">#REF!</definedName>
    <definedName name="GG_17A">#REF!</definedName>
    <definedName name="GG_17B">#REF!</definedName>
    <definedName name="GG_17C">#REF!</definedName>
    <definedName name="GG_17D">#REF!</definedName>
    <definedName name="GG_17E">#REF!</definedName>
    <definedName name="GG_17F">#REF!</definedName>
    <definedName name="GG_17G">#REF!</definedName>
    <definedName name="GG_19">#REF!</definedName>
    <definedName name="GG_19A">#REF!</definedName>
    <definedName name="GG_20">#REF!</definedName>
    <definedName name="GG_21">#REF!</definedName>
    <definedName name="GG_22">#REF!</definedName>
    <definedName name="GG_23">#REF!</definedName>
    <definedName name="GG_25">#REF!</definedName>
    <definedName name="GG_26">#REF!</definedName>
    <definedName name="GG_27">#REF!</definedName>
    <definedName name="GG_28">#REF!</definedName>
    <definedName name="GG_29">#REF!</definedName>
    <definedName name="GG_30">#REF!</definedName>
    <definedName name="GG_31">#REF!</definedName>
    <definedName name="GG_32">#REF!</definedName>
    <definedName name="GG_33">#REF!</definedName>
    <definedName name="GG_34">#REF!</definedName>
    <definedName name="ggc">[136]harsat!$H$21</definedName>
    <definedName name="GGG">#REF!</definedName>
    <definedName name="gggfff">'[138]SAT-DAS'!$J$19</definedName>
    <definedName name="gggg">'[14]2.1'!#REF!</definedName>
    <definedName name="ggggg" hidden="1">#REF!</definedName>
    <definedName name="ggh">[80]DHSD!$G$17</definedName>
    <definedName name="gh">#REF!</definedName>
    <definedName name="ghg">#REF!</definedName>
    <definedName name="ghgfjhh">#REF!</definedName>
    <definedName name="ghgh">#REF!</definedName>
    <definedName name="ghghh">#REF!</definedName>
    <definedName name="ghi">#REF!</definedName>
    <definedName name="GHJ">#REF!</definedName>
    <definedName name="ghjj" hidden="1">{"'Sheet1'!$A$1"}</definedName>
    <definedName name="ghkm" hidden="1">{"'Sheet1'!$A$1"}</definedName>
    <definedName name="ghst">[52]DHSD!$G$19</definedName>
    <definedName name="ghty">#REF!</definedName>
    <definedName name="gi.1">#REF!</definedName>
    <definedName name="gi.2">#REF!</definedName>
    <definedName name="gi.3">#REF!</definedName>
    <definedName name="gi.4">#REF!</definedName>
    <definedName name="gi1.1.2">#REF!</definedName>
    <definedName name="gi1.2">#REF!</definedName>
    <definedName name="gi3.4">#REF!</definedName>
    <definedName name="gip">#REF!</definedName>
    <definedName name="GIP_100">"'file:///L:/10 (M M C)/Sipil-Ars/BQ_WASKITA/analisa_str_mmc.xls'#$harsat.$#REF!$#REF!"</definedName>
    <definedName name="gip_150">"'file:///L:/10 (M M C)/Sipil-Ars/BQ_WASKITA/analisa_str_mmc.xls'#$harsat.$#REF!$#REF!"</definedName>
    <definedName name="gip_200">"'file:///L:/10 (M M C)/Sipil-Ars/BQ_WASKITA/analisa_str_mmc.xls'#$harsat.$#REF!$#REF!"</definedName>
    <definedName name="GIP_40">"'file:///L:/10 (M M C)/Sipil-Ars/BQ_WASKITA/analisa_str_mmc.xls'#$harsat.$#REF!$#REF!"</definedName>
    <definedName name="GIP_50">"'file:///L:/10 (M M C)/Sipil-Ars/BQ_WASKITA/analisa_str_mmc.xls'#$harsat.$#REF!$#REF!"</definedName>
    <definedName name="GIP_65">"'file:///L:/10 (M M C)/Sipil-Ars/BQ_WASKITA/analisa_str_mmc.xls'#$harsat.$#REF!$#REF!"</definedName>
    <definedName name="GIP_80">"'file:///L:/10 (M M C)/Sipil-Ars/BQ_WASKITA/analisa_str_mmc.xls'#$harsat.$#REF!$#REF!"</definedName>
    <definedName name="GIP_isolasi">#REF!</definedName>
    <definedName name="GIP_MED_ISL">#REF!</definedName>
    <definedName name="GIP_MED_JAKC">#REF!</definedName>
    <definedName name="GIP_MEDIUM">#REF!</definedName>
    <definedName name="GIP_SCH40">#REF!</definedName>
    <definedName name="gip40bakrie6">#REF!</definedName>
    <definedName name="gipbakrie0.5">#REF!</definedName>
    <definedName name="gipbakrie0.75">#REF!</definedName>
    <definedName name="gipbakrie1">#REF!</definedName>
    <definedName name="gipbakrie1.25">#REF!</definedName>
    <definedName name="gipbakrie1.5">#REF!</definedName>
    <definedName name="gipbakrie2">#REF!</definedName>
    <definedName name="gipbakrie2.5">#REF!</definedName>
    <definedName name="gipbakrie3">#REF!</definedName>
    <definedName name="gipbs40spindo0.5">#REF!</definedName>
    <definedName name="gipbs40spindo0.75">#REF!</definedName>
    <definedName name="gipbs40spindo1">#REF!</definedName>
    <definedName name="gipbs40spindo1.25">#REF!</definedName>
    <definedName name="gipbs40spindo1.5">#REF!</definedName>
    <definedName name="gipbs40spindo2">#REF!</definedName>
    <definedName name="gipbs40spindo2.5">#REF!</definedName>
    <definedName name="gipbs40spindo3">#REF!</definedName>
    <definedName name="gipbs40spindo4">#REF!</definedName>
    <definedName name="gipbs40spindo5">#REF!</definedName>
    <definedName name="gipbs40spindo6">#REF!</definedName>
    <definedName name="gipbs40spindo8">#REF!</definedName>
    <definedName name="gipbsppi0.5">#REF!</definedName>
    <definedName name="gipbsppi0.75">#REF!</definedName>
    <definedName name="gipbsppi1">#REF!</definedName>
    <definedName name="gipbsppi1.25">#REF!</definedName>
    <definedName name="gipbsppi1.5">#REF!</definedName>
    <definedName name="gipbsppi2">#REF!</definedName>
    <definedName name="gipbsppi2.5">#REF!</definedName>
    <definedName name="gipbsppi3">#REF!</definedName>
    <definedName name="gipbsppi4">#REF!</definedName>
    <definedName name="gipbsppi5">#REF!</definedName>
    <definedName name="gipbsppi6">#REF!</definedName>
    <definedName name="gipbsppi8">#REF!</definedName>
    <definedName name="GIPIPE">#REF!</definedName>
    <definedName name="gipmedppi0.5">#REF!</definedName>
    <definedName name="gipmedppi0.75">#REF!</definedName>
    <definedName name="gipmedppi1">#REF!</definedName>
    <definedName name="gipmedppi1.25">#REF!</definedName>
    <definedName name="gipmedppi1.5">#REF!</definedName>
    <definedName name="gipmedppi2">#REF!</definedName>
    <definedName name="gipmedppi2.5">#REF!</definedName>
    <definedName name="gipmedppi3">#REF!</definedName>
    <definedName name="gipmedppi4">#REF!</definedName>
    <definedName name="gipmedppi5">#REF!</definedName>
    <definedName name="gipmedppi6">#REF!</definedName>
    <definedName name="gipmedppi8">#REF!</definedName>
    <definedName name="gipmedspindo0.5">#N/A</definedName>
    <definedName name="gipmedspindo0.75">#N/A</definedName>
    <definedName name="gipmedspindo1">#N/A</definedName>
    <definedName name="gipmedspindo1.25">#N/A</definedName>
    <definedName name="gipmedspindo1.5">#N/A</definedName>
    <definedName name="gipmedspindo2">#N/A</definedName>
    <definedName name="gipmedspindo2.5">#N/A</definedName>
    <definedName name="gipmedspindo3">#N/A</definedName>
    <definedName name="gipmedspindo4">#REF!</definedName>
    <definedName name="gipmedspindo5">#REF!</definedName>
    <definedName name="gipmedspindo6">#REF!</definedName>
    <definedName name="gipmedspindo8">#REF!</definedName>
    <definedName name="gippi1">#REF!</definedName>
    <definedName name="gippib0.5">#REF!</definedName>
    <definedName name="gippib0.75">#REF!</definedName>
    <definedName name="gippib07.5">#REF!</definedName>
    <definedName name="gippib1">#REF!</definedName>
    <definedName name="gippib1.25">#REF!</definedName>
    <definedName name="gippib1.5">#REF!</definedName>
    <definedName name="gippib2">#REF!</definedName>
    <definedName name="gippib2.5">#REF!</definedName>
    <definedName name="gippib3">#REF!</definedName>
    <definedName name="gippib4">#REF!</definedName>
    <definedName name="gippib5">#REF!</definedName>
    <definedName name="gippib6">#REF!</definedName>
    <definedName name="gippib8">#REF!</definedName>
    <definedName name="gippiw0.5">#REF!</definedName>
    <definedName name="gippiw0.75">#REF!</definedName>
    <definedName name="gippiw1">#REF!</definedName>
    <definedName name="gippiw1.25">#REF!</definedName>
    <definedName name="gippiw1.5">#REF!</definedName>
    <definedName name="gippiw2">#REF!</definedName>
    <definedName name="gippiw2.5">#REF!</definedName>
    <definedName name="gippiw3">#REF!</definedName>
    <definedName name="gippiw4">#REF!</definedName>
    <definedName name="gippiw5">#REF!</definedName>
    <definedName name="gippiw6">#REF!</definedName>
    <definedName name="gippiw8">#REF!</definedName>
    <definedName name="gipppi0.5">#REF!</definedName>
    <definedName name="gipppi0.75">#REF!</definedName>
    <definedName name="gipppi0_5">#REF!</definedName>
    <definedName name="gipppi0_75">#REF!</definedName>
    <definedName name="gipppi1">#REF!</definedName>
    <definedName name="gipppi1.25">#REF!</definedName>
    <definedName name="gipppi1.5">#REF!</definedName>
    <definedName name="gipppi1_25">#REF!</definedName>
    <definedName name="gipppi1_5">#REF!</definedName>
    <definedName name="gipppi2">#REF!</definedName>
    <definedName name="gipppi2.5">#REF!</definedName>
    <definedName name="gipppi2_5">#REF!</definedName>
    <definedName name="gipppi3">#REF!</definedName>
    <definedName name="gipppi4">#REF!</definedName>
    <definedName name="gipppi5">#REF!</definedName>
    <definedName name="gipppi6">#REF!</definedName>
    <definedName name="gipppi8">#REF!</definedName>
    <definedName name="Girder_type_20B">#REF!</definedName>
    <definedName name="Girder316">#REF!</definedName>
    <definedName name="Girder400">#REF!</definedName>
    <definedName name="Girder405">#REF!</definedName>
    <definedName name="GIU">#REF!</definedName>
    <definedName name="GIV_1_2_">#N/A</definedName>
    <definedName name="GIV11_2">#N/A</definedName>
    <definedName name="GIV3_4_">#N/A</definedName>
    <definedName name="gj" hidden="1">{"'Sheet1'!$A$1"}</definedName>
    <definedName name="gjggg" hidden="1">{"'Sheet1'!$A$1"}</definedName>
    <definedName name="gjgj" hidden="1">{"'Sheet1'!$A$1"}</definedName>
    <definedName name="gk">#REF!</definedName>
    <definedName name="gkjtw">#REF!</definedName>
    <definedName name="gkmberg">#REF!</definedName>
    <definedName name="gkmbw">#REF!</definedName>
    <definedName name="gkmn">#REF!</definedName>
    <definedName name="gkmorando">#REF!</definedName>
    <definedName name="gkmwberg">#REF!</definedName>
    <definedName name="GL">#REF!</definedName>
    <definedName name="gl3p">#REF!</definedName>
    <definedName name="GLAS">[10]Material!#REF!</definedName>
    <definedName name="Glass_Bid">#REF!</definedName>
    <definedName name="glass_block">#REF!</definedName>
    <definedName name="glass_wool">#REF!</definedName>
    <definedName name="GLASSBIT" localSheetId="7">[33]H_Dasar!#REF!</definedName>
    <definedName name="GLASSBIT">[33]H_Dasar!#REF!</definedName>
    <definedName name="glassblock">#REF!</definedName>
    <definedName name="glasswoolWM6">#REF!</definedName>
    <definedName name="GlbS2">#REF!</definedName>
    <definedName name="glbv">#REF!</definedName>
    <definedName name="glsgn">#REF!</definedName>
    <definedName name="glsln">'[21]Harga Satuan Bahan'!#REF!</definedName>
    <definedName name="GLWO">[10]Material!#REF!</definedName>
    <definedName name="GM">#REF!</definedName>
    <definedName name="GMK">#REF!</definedName>
    <definedName name="GML">#REF!</definedName>
    <definedName name="gms118_c_wbatt">[39]Electrikal!#REF!</definedName>
    <definedName name="GN">#REF!</definedName>
    <definedName name="GNok0">#REF!</definedName>
    <definedName name="gof">#REF!</definedName>
    <definedName name="GOGKL">#N/A</definedName>
    <definedName name="gogon" hidden="1">#REF!</definedName>
    <definedName name="GON">#REF!</definedName>
    <definedName name="GONDOLA">#REF!</definedName>
    <definedName name="GONDOLA_A">#REF!</definedName>
    <definedName name="GONDOLA_B">#REF!</definedName>
    <definedName name="GONDOLA_C">#REF!</definedName>
    <definedName name="gone">#REF!</definedName>
    <definedName name="gor">#REF!</definedName>
    <definedName name="gorbos">#REF!</definedName>
    <definedName name="gording">#REF!</definedName>
    <definedName name="GORONG45">#REF!</definedName>
    <definedName name="gorong60">#REF!</definedName>
    <definedName name="GORONG75">#REF!</definedName>
    <definedName name="GORONG75_1">#REF!</definedName>
    <definedName name="GORONG75_2">#REF!</definedName>
    <definedName name="govpd15">#REF!</definedName>
    <definedName name="govpd15_1">#REF!</definedName>
    <definedName name="govpd15_1_5">#REF!</definedName>
    <definedName name="govpd15_2">#REF!</definedName>
    <definedName name="govpd15_2_1">#REF!</definedName>
    <definedName name="govpd15_2_1_1">#REF!</definedName>
    <definedName name="govpd15_2_1_1_6">#REF!</definedName>
    <definedName name="govpd15_2_1_6">#REF!</definedName>
    <definedName name="govpd15_2_1_7">#REF!</definedName>
    <definedName name="govpd15_2_6">#REF!</definedName>
    <definedName name="govpd15_2_7">#REF!</definedName>
    <definedName name="govpd15_3">#REF!</definedName>
    <definedName name="govpd15_3_4">#REF!</definedName>
    <definedName name="govpd15_3_6">#REF!</definedName>
    <definedName name="govpd15_3_7">#REF!</definedName>
    <definedName name="govpd15_4">#REF!</definedName>
    <definedName name="govpd15_4_1">#REF!</definedName>
    <definedName name="govpd15_4_2">#REF!</definedName>
    <definedName name="govpd15_4_2_6">#REF!</definedName>
    <definedName name="govpd15_4_4">#REF!</definedName>
    <definedName name="govpd15_4_6">#REF!</definedName>
    <definedName name="govpd15_4_7">#REF!</definedName>
    <definedName name="govpd15_5">#REF!</definedName>
    <definedName name="govpd15_5_2">#REF!</definedName>
    <definedName name="govpd15_5_2_6">#REF!</definedName>
    <definedName name="govpd15_5_4">#REF!</definedName>
    <definedName name="govpd15_5_6">#REF!</definedName>
    <definedName name="govpd15_5_7">#REF!</definedName>
    <definedName name="govpd15_6">#REF!</definedName>
    <definedName name="govpd15_6_1">#REF!</definedName>
    <definedName name="govpd15_6_4">#REF!</definedName>
    <definedName name="govpd15_6_6">#REF!</definedName>
    <definedName name="govpd15_6_7">#REF!</definedName>
    <definedName name="govpd15_7">#REF!</definedName>
    <definedName name="GP">#REF!</definedName>
    <definedName name="gpb">#REF!</definedName>
    <definedName name="gpek">#REF!</definedName>
    <definedName name="gphp">#REF!</definedName>
    <definedName name="gpp">#REF!</definedName>
    <definedName name="gr">#REF!</definedName>
    <definedName name="GR.1">#REF!</definedName>
    <definedName name="GR.2">#REF!</definedName>
    <definedName name="gr_e">#REF!</definedName>
    <definedName name="gra">"$#REF!.$H$28"</definedName>
    <definedName name="gra_b">[65]harsat!#REF!</definedName>
    <definedName name="GRADER" localSheetId="7">[33]H_Dasar!#REF!</definedName>
    <definedName name="GRADER">#REF!</definedName>
    <definedName name="Grader_Sewa">#REF!</definedName>
    <definedName name="gralam">#REF!</definedName>
    <definedName name="gralam.2">#REF!</definedName>
    <definedName name="GRAND_PALEMBANG_HOTEL___PALEMBANG">#REF!</definedName>
    <definedName name="GRAND_PALEMBANG_HOTEL___PALEMBANG_1">#REF!</definedName>
    <definedName name="GRAND_PALEMBANG_HOTEL___PALEMBANG_1_2">#REF!</definedName>
    <definedName name="GRAND_PALEMBANG_HOTEL___PALEMBANG_1_2_6">#REF!</definedName>
    <definedName name="GRAND_PALEMBANG_HOTEL___PALEMBANG_1_4">#REF!</definedName>
    <definedName name="GRAND_PALEMBANG_HOTEL___PALEMBANG_1_6">#REF!</definedName>
    <definedName name="GRAND_PALEMBANG_HOTEL___PALEMBANG_1_7">#REF!</definedName>
    <definedName name="GRAND_PALEMBANG_HOTEL___PALEMBANG_17">#REF!</definedName>
    <definedName name="GRAND_PALEMBANG_HOTEL___PALEMBANG_2">#REF!</definedName>
    <definedName name="GRAND_PALEMBANG_HOTEL___PALEMBANG_2_1">#REF!</definedName>
    <definedName name="GRAND_PALEMBANG_HOTEL___PALEMBANG_2_1_1">#REF!</definedName>
    <definedName name="GRAND_PALEMBANG_HOTEL___PALEMBANG_2_1_1_6">#REF!</definedName>
    <definedName name="GRAND_PALEMBANG_HOTEL___PALEMBANG_2_1_6">#REF!</definedName>
    <definedName name="GRAND_PALEMBANG_HOTEL___PALEMBANG_2_1_7">#REF!</definedName>
    <definedName name="GRAND_PALEMBANG_HOTEL___PALEMBANG_2_2">#REF!</definedName>
    <definedName name="GRAND_PALEMBANG_HOTEL___PALEMBANG_2_2_6">#REF!</definedName>
    <definedName name="GRAND_PALEMBANG_HOTEL___PALEMBANG_2_4">#REF!</definedName>
    <definedName name="GRAND_PALEMBANG_HOTEL___PALEMBANG_2_6">#REF!</definedName>
    <definedName name="GRAND_PALEMBANG_HOTEL___PALEMBANG_2_7">#REF!</definedName>
    <definedName name="GRAND_PALEMBANG_HOTEL___PALEMBANG_3">#REF!</definedName>
    <definedName name="GRAND_PALEMBANG_HOTEL___PALEMBANG_3_2">#REF!</definedName>
    <definedName name="GRAND_PALEMBANG_HOTEL___PALEMBANG_3_2_6">#REF!</definedName>
    <definedName name="GRAND_PALEMBANG_HOTEL___PALEMBANG_3_4">#REF!</definedName>
    <definedName name="GRAND_PALEMBANG_HOTEL___PALEMBANG_3_6">#REF!</definedName>
    <definedName name="GRAND_PALEMBANG_HOTEL___PALEMBANG_3_7">#REF!</definedName>
    <definedName name="GRAND_PALEMBANG_HOTEL___PALEMBANG_4">#REF!</definedName>
    <definedName name="GRAND_PALEMBANG_HOTEL___PALEMBANG_4_1">#REF!</definedName>
    <definedName name="GRAND_PALEMBANG_HOTEL___PALEMBANG_4_2">#REF!</definedName>
    <definedName name="GRAND_PALEMBANG_HOTEL___PALEMBANG_4_2_6">#REF!</definedName>
    <definedName name="GRAND_PALEMBANG_HOTEL___PALEMBANG_4_4">#REF!</definedName>
    <definedName name="GRAND_PALEMBANG_HOTEL___PALEMBANG_4_6">#REF!</definedName>
    <definedName name="GRAND_PALEMBANG_HOTEL___PALEMBANG_4_7">#REF!</definedName>
    <definedName name="GRAND_PALEMBANG_HOTEL___PALEMBANG_5">#REF!</definedName>
    <definedName name="GRAND_PALEMBANG_HOTEL___PALEMBANG_5_2">#REF!</definedName>
    <definedName name="GRAND_PALEMBANG_HOTEL___PALEMBANG_5_2_6">#REF!</definedName>
    <definedName name="GRAND_PALEMBANG_HOTEL___PALEMBANG_5_4">#REF!</definedName>
    <definedName name="GRAND_PALEMBANG_HOTEL___PALEMBANG_5_6">#REF!</definedName>
    <definedName name="GRAND_PALEMBANG_HOTEL___PALEMBANG_5_7">#REF!</definedName>
    <definedName name="GRAND_PALEMBANG_HOTEL___PALEMBANG_6">#REF!</definedName>
    <definedName name="GRAND_PALEMBANG_HOTEL___PALEMBANG_6_1">#REF!</definedName>
    <definedName name="GRAND_PALEMBANG_HOTEL___PALEMBANG_6_2">#REF!</definedName>
    <definedName name="GRAND_PALEMBANG_HOTEL___PALEMBANG_6_2_6">#REF!</definedName>
    <definedName name="GRAND_PALEMBANG_HOTEL___PALEMBANG_6_4">#REF!</definedName>
    <definedName name="GRAND_PALEMBANG_HOTEL___PALEMBANG_6_6">#REF!</definedName>
    <definedName name="GRAND_PALEMBANG_HOTEL___PALEMBANG_6_7">#REF!</definedName>
    <definedName name="GRAND_PALEMBANG_HOTEL___PALEMBANG_7">#REF!</definedName>
    <definedName name="GRAND_PALEMBANG_HOTEL___PALEMBANG_7_1">#REF!</definedName>
    <definedName name="GRAND_PALEMBANG_HOTEL___PALEMBANG_7_6">#REF!</definedName>
    <definedName name="GRAND_PALEMBANG_HOTEL___PALEMBANG_7_7">#REF!</definedName>
    <definedName name="GRAND_PALEMBANG_HOTEL___PALEMBANG_8">#REF!</definedName>
    <definedName name="GRAND_PALEMBANG_HOTEL___PALEMBANG_9">#REF!</definedName>
    <definedName name="granit">#REF!</definedName>
    <definedName name="GRANIT_LT">#REF!</definedName>
    <definedName name="granit60lt">#REF!</definedName>
    <definedName name="granitmuda">#REF!</definedName>
    <definedName name="granito">#REF!</definedName>
    <definedName name="Granito1030">#REF!</definedName>
    <definedName name="Granito1040">#REF!</definedName>
    <definedName name="Granito30">#REF!</definedName>
    <definedName name="Granito40">#REF!</definedName>
    <definedName name="granittua">#REF!</definedName>
    <definedName name="grass">#REF!</definedName>
    <definedName name="grassblock">#REF!</definedName>
    <definedName name="GRAVEL">#REF!</definedName>
    <definedName name="grblok">#REF!</definedName>
    <definedName name="grc">#REF!</definedName>
    <definedName name="grc_1">#REF!</definedName>
    <definedName name="grc_1025">#REF!</definedName>
    <definedName name="grc_1030">#REF!</definedName>
    <definedName name="grc_1535">#REF!</definedName>
    <definedName name="grc_16">#REF!</definedName>
    <definedName name="grc_2">#REF!</definedName>
    <definedName name="grc_2_1">#REF!</definedName>
    <definedName name="grc_2_1_6">#REF!</definedName>
    <definedName name="grc_2_6">#REF!</definedName>
    <definedName name="grc_2_7">#REF!</definedName>
    <definedName name="grc_2065">#REF!</definedName>
    <definedName name="grc_2530">#REF!</definedName>
    <definedName name="grc_2555">#REF!</definedName>
    <definedName name="grc_3">#REF!</definedName>
    <definedName name="grc_3_4">#REF!</definedName>
    <definedName name="grc_3_6">#REF!</definedName>
    <definedName name="grc_3_7">#REF!</definedName>
    <definedName name="grc_3065">#REF!</definedName>
    <definedName name="grc_3520">#REF!</definedName>
    <definedName name="grc_4">#REF!</definedName>
    <definedName name="grc_4_1">#REF!</definedName>
    <definedName name="grc_4_2">#REF!</definedName>
    <definedName name="grc_4_2_6">#REF!</definedName>
    <definedName name="grc_4_4">#REF!</definedName>
    <definedName name="grc_4_6">#REF!</definedName>
    <definedName name="grc_4_7">#REF!</definedName>
    <definedName name="grc_4030">#REF!</definedName>
    <definedName name="grc_45125">#REF!</definedName>
    <definedName name="grc_45145">#REF!</definedName>
    <definedName name="grc_45150">#REF!</definedName>
    <definedName name="grc_4525">#REF!</definedName>
    <definedName name="grc_4555">#REF!</definedName>
    <definedName name="grc_5">#REF!</definedName>
    <definedName name="grc_5_2">#REF!</definedName>
    <definedName name="grc_5_2_6">#REF!</definedName>
    <definedName name="grc_5_4">#REF!</definedName>
    <definedName name="grc_5_6">#REF!</definedName>
    <definedName name="grc_5_7">#REF!</definedName>
    <definedName name="grc_510">#REF!</definedName>
    <definedName name="grc_515">#REF!</definedName>
    <definedName name="grc_6">#REF!</definedName>
    <definedName name="grc_6_1">#REF!</definedName>
    <definedName name="grc_6_4">#REF!</definedName>
    <definedName name="grc_6_6">#REF!</definedName>
    <definedName name="grc_6_7">#REF!</definedName>
    <definedName name="grc_7">#REF!</definedName>
    <definedName name="grc_b">#REF!</definedName>
    <definedName name="grc_b50190">#REF!</definedName>
    <definedName name="grc_b5252125">#REF!</definedName>
    <definedName name="grc_b98105">#REF!</definedName>
    <definedName name="grc_g">#REF!</definedName>
    <definedName name="grc1_1">#REF!</definedName>
    <definedName name="grc1_16">#REF!</definedName>
    <definedName name="grc1_2">#REF!</definedName>
    <definedName name="grc1_2_1">#REF!</definedName>
    <definedName name="grc1_2_1_6">#REF!</definedName>
    <definedName name="grc1_2_6">#REF!</definedName>
    <definedName name="grc1_2_7">#REF!</definedName>
    <definedName name="grc1_3">#REF!</definedName>
    <definedName name="grc1_3_4">#REF!</definedName>
    <definedName name="grc1_3_6">#REF!</definedName>
    <definedName name="grc1_3_7">#REF!</definedName>
    <definedName name="grc1_4">#REF!</definedName>
    <definedName name="grc1_4_1">#REF!</definedName>
    <definedName name="grc1_4_2">#REF!</definedName>
    <definedName name="grc1_4_2_6">#REF!</definedName>
    <definedName name="grc1_4_4">#REF!</definedName>
    <definedName name="grc1_4_6">#REF!</definedName>
    <definedName name="grc1_4_7">#REF!</definedName>
    <definedName name="grc1_5">#REF!</definedName>
    <definedName name="grc1_5_2">#REF!</definedName>
    <definedName name="grc1_5_2_6">#REF!</definedName>
    <definedName name="grc1_5_4">#REF!</definedName>
    <definedName name="grc1_5_6">#REF!</definedName>
    <definedName name="grc1_5_7">#REF!</definedName>
    <definedName name="grc1_6">#REF!</definedName>
    <definedName name="grc1_6_1">#REF!</definedName>
    <definedName name="grc1_6_4">#REF!</definedName>
    <definedName name="grc1_6_6">#REF!</definedName>
    <definedName name="grc1_6_7">#REF!</definedName>
    <definedName name="grc1_7">#REF!</definedName>
    <definedName name="grcb">#REF!</definedName>
    <definedName name="GRCB5">#REF!</definedName>
    <definedName name="GRCBULAT">#REF!</definedName>
    <definedName name="GRCENSTRANCE">#REF!</definedName>
    <definedName name="GRCK22">#REF!</definedName>
    <definedName name="GRCKEPALAPROFIL">#REF!</definedName>
    <definedName name="GRCLENGKUNG">#REF!</definedName>
    <definedName name="grcp">#REF!</definedName>
    <definedName name="GRCPARTISION">#REF!</definedName>
    <definedName name="GRCSIRIPIKAN">#REF!</definedName>
    <definedName name="GRCVIEWING">#REF!</definedName>
    <definedName name="Grease">#REF!</definedName>
    <definedName name="grease_trap">#REF!</definedName>
    <definedName name="grendel">#REF!</definedName>
    <definedName name="GRENDEL_JENDELA">#REF!</definedName>
    <definedName name="Grendel_kuningan">#REF!</definedName>
    <definedName name="GRENDEL_PINTU">#REF!</definedName>
    <definedName name="Grendel_steiles_steel">#REF!</definedName>
    <definedName name="grendelbiasa">#REF!</definedName>
    <definedName name="GrendelJendela">#REF!</definedName>
    <definedName name="GRENDELPINTU">#N/A</definedName>
    <definedName name="greserv">#REF!</definedName>
    <definedName name="grev20">#REF!</definedName>
    <definedName name="GRF">#REF!</definedName>
    <definedName name="grg" hidden="1">{"'Sheet1'!$A$1"}</definedName>
    <definedName name="Grid20_gang">[39]Electrikal!#REF!</definedName>
    <definedName name="Grid24gang">[39]Electrikal!#REF!</definedName>
    <definedName name="gril">#REF!</definedName>
    <definedName name="GRILL">#REF!</definedName>
    <definedName name="grill_30">[24]Analisa!#REF!</definedName>
    <definedName name="grille">#REF!</definedName>
    <definedName name="grille_exh">#REF!</definedName>
    <definedName name="grille30">#REF!</definedName>
    <definedName name="gron5">#REF!</definedName>
    <definedName name="groove">"$#REF!.$H$25"</definedName>
    <definedName name="GROSS">#REF!</definedName>
    <definedName name="GROSS1X">#REF!</definedName>
    <definedName name="GROUND_FLOOR">#REF!</definedName>
    <definedName name="GROUND_FLOOR_1">#REF!</definedName>
    <definedName name="GROUND_FLOOR_1_2">#REF!</definedName>
    <definedName name="GROUND_FLOOR_1_2_6">#REF!</definedName>
    <definedName name="GROUND_FLOOR_1_4">#REF!</definedName>
    <definedName name="GROUND_FLOOR_1_6">#REF!</definedName>
    <definedName name="GROUND_FLOOR_1_7">#REF!</definedName>
    <definedName name="GROUND_FLOOR_17">#REF!</definedName>
    <definedName name="GROUND_FLOOR_2">#REF!</definedName>
    <definedName name="GROUND_FLOOR_2_1">#REF!</definedName>
    <definedName name="GROUND_FLOOR_2_1_6">#REF!</definedName>
    <definedName name="GROUND_FLOOR_2_2">#REF!</definedName>
    <definedName name="GROUND_FLOOR_2_4">#REF!</definedName>
    <definedName name="GROUND_FLOOR_2_6">#REF!</definedName>
    <definedName name="GROUND_FLOOR_2_7">#REF!</definedName>
    <definedName name="GROUND_FLOOR_3">#REF!</definedName>
    <definedName name="GROUND_FLOOR_3_2">#REF!</definedName>
    <definedName name="GROUND_FLOOR_3_2_6">#REF!</definedName>
    <definedName name="GROUND_FLOOR_3_4">#REF!</definedName>
    <definedName name="GROUND_FLOOR_3_6">#REF!</definedName>
    <definedName name="GROUND_FLOOR_3_7">#REF!</definedName>
    <definedName name="GROUND_FLOOR_4">#REF!</definedName>
    <definedName name="GROUND_FLOOR_4_1">#REF!</definedName>
    <definedName name="GROUND_FLOOR_4_2">#REF!</definedName>
    <definedName name="GROUND_FLOOR_4_2_6">#REF!</definedName>
    <definedName name="GROUND_FLOOR_4_4">#REF!</definedName>
    <definedName name="GROUND_FLOOR_4_6">#REF!</definedName>
    <definedName name="GROUND_FLOOR_4_7">#REF!</definedName>
    <definedName name="GROUND_FLOOR_5">#REF!</definedName>
    <definedName name="GROUND_FLOOR_5_2">#REF!</definedName>
    <definedName name="GROUND_FLOOR_5_2_6">#REF!</definedName>
    <definedName name="GROUND_FLOOR_5_4">#REF!</definedName>
    <definedName name="GROUND_FLOOR_5_6">#REF!</definedName>
    <definedName name="GROUND_FLOOR_5_7">#REF!</definedName>
    <definedName name="GROUND_FLOOR_6">#REF!</definedName>
    <definedName name="GROUND_FLOOR_6_1">#REF!</definedName>
    <definedName name="GROUND_FLOOR_6_2">#REF!</definedName>
    <definedName name="GROUND_FLOOR_6_2_6">#REF!</definedName>
    <definedName name="GROUND_FLOOR_6_4">#REF!</definedName>
    <definedName name="GROUND_FLOOR_6_6">#REF!</definedName>
    <definedName name="GROUND_FLOOR_6_7">#REF!</definedName>
    <definedName name="GROUND_FLOOR_7">#REF!</definedName>
    <definedName name="GROUND_FLOOR_7_1">#REF!</definedName>
    <definedName name="GROUND_FLOOR_7_6">#REF!</definedName>
    <definedName name="GROUND_FLOOR_7_7">#REF!</definedName>
    <definedName name="groundmatv">#REF!</definedName>
    <definedName name="GROUNDTANK">#REF!</definedName>
    <definedName name="grout">#REF!</definedName>
    <definedName name="grouting">"'file://SERVER3/har-data/STRUCTURE PRICE OF BQ KOMPAS GRAMEDIA.xls'#$analisa.$#REF!$#REF!"</definedName>
    <definedName name="grsb20">'[21]Harga Satuan Bahan'!#REF!</definedName>
    <definedName name="grsb30">'[21]Harga Satuan Bahan'!#REF!</definedName>
    <definedName name="Grv">#REF!</definedName>
    <definedName name="GS_6gang">'[78]Harga Jasa dan Material'!$D$151</definedName>
    <definedName name="gs110g">#REF!</definedName>
    <definedName name="gs110g_1">#REF!</definedName>
    <definedName name="gs110g_2">#REF!</definedName>
    <definedName name="gs110g_2_1">#REF!</definedName>
    <definedName name="gs110g_2_1_6">#REF!</definedName>
    <definedName name="gs110g_2_6">#REF!</definedName>
    <definedName name="gs110g_2_7">#REF!</definedName>
    <definedName name="gs110g_3">#REF!</definedName>
    <definedName name="gs110g_3_4">#REF!</definedName>
    <definedName name="gs110g_3_6">#REF!</definedName>
    <definedName name="gs110g_3_7">#REF!</definedName>
    <definedName name="gs110g_4">#REF!</definedName>
    <definedName name="gs110g_4_1">#REF!</definedName>
    <definedName name="gs110g_4_2">#REF!</definedName>
    <definedName name="gs110g_4_2_6">#REF!</definedName>
    <definedName name="gs110g_4_4">#REF!</definedName>
    <definedName name="gs110g_4_6">#REF!</definedName>
    <definedName name="gs110g_4_7">#REF!</definedName>
    <definedName name="gs110g_5">#REF!</definedName>
    <definedName name="gs110g_5_2">#REF!</definedName>
    <definedName name="gs110g_5_2_6">#REF!</definedName>
    <definedName name="gs110g_5_4">#REF!</definedName>
    <definedName name="gs110g_5_6">#REF!</definedName>
    <definedName name="gs110g_5_7">#REF!</definedName>
    <definedName name="gs110g_6">#REF!</definedName>
    <definedName name="gs110g_6_1">#REF!</definedName>
    <definedName name="gs110g_6_4">#REF!</definedName>
    <definedName name="gs110g_6_6">#REF!</definedName>
    <definedName name="gs110g_6_7">#REF!</definedName>
    <definedName name="gs110g_7">#REF!</definedName>
    <definedName name="gs14g">#REF!</definedName>
    <definedName name="gs14g_1">#REF!</definedName>
    <definedName name="gs14g_2">#REF!</definedName>
    <definedName name="gs14g_2_1">#REF!</definedName>
    <definedName name="gs14g_2_1_6">#REF!</definedName>
    <definedName name="gs14g_2_6">#REF!</definedName>
    <definedName name="gs14g_2_7">#REF!</definedName>
    <definedName name="gs14g_3">#REF!</definedName>
    <definedName name="gs14g_3_4">#REF!</definedName>
    <definedName name="gs14g_3_6">#REF!</definedName>
    <definedName name="gs14g_3_7">#REF!</definedName>
    <definedName name="gs14g_4">#REF!</definedName>
    <definedName name="gs14g_4_1">#REF!</definedName>
    <definedName name="gs14g_4_2">#REF!</definedName>
    <definedName name="gs14g_4_2_6">#REF!</definedName>
    <definedName name="gs14g_4_4">#REF!</definedName>
    <definedName name="gs14g_4_6">#REF!</definedName>
    <definedName name="gs14g_4_7">#REF!</definedName>
    <definedName name="gs14g_5">#REF!</definedName>
    <definedName name="gs14g_5_2">#REF!</definedName>
    <definedName name="gs14g_5_2_6">#REF!</definedName>
    <definedName name="gs14g_5_4">#REF!</definedName>
    <definedName name="gs14g_5_6">#REF!</definedName>
    <definedName name="gs14g_5_7">#REF!</definedName>
    <definedName name="gs14g_6">#REF!</definedName>
    <definedName name="gs14g_6_1">#REF!</definedName>
    <definedName name="gs14g_6_4">#REF!</definedName>
    <definedName name="gs14g_6_6">#REF!</definedName>
    <definedName name="gs14g_6_7">#REF!</definedName>
    <definedName name="gs14g_7">#REF!</definedName>
    <definedName name="gs55g">#REF!</definedName>
    <definedName name="gs55g_1">#REF!</definedName>
    <definedName name="gs55g_2">#REF!</definedName>
    <definedName name="gs55g_2_1">#REF!</definedName>
    <definedName name="gs55g_2_1_6">#REF!</definedName>
    <definedName name="gs55g_2_6">#REF!</definedName>
    <definedName name="gs55g_2_7">#REF!</definedName>
    <definedName name="gs55g_3">#REF!</definedName>
    <definedName name="gs55g_3_4">#REF!</definedName>
    <definedName name="gs55g_3_6">#REF!</definedName>
    <definedName name="gs55g_3_7">#REF!</definedName>
    <definedName name="gs55g_4">#REF!</definedName>
    <definedName name="gs55g_4_1">#REF!</definedName>
    <definedName name="gs55g_4_2">#REF!</definedName>
    <definedName name="gs55g_4_2_6">#REF!</definedName>
    <definedName name="gs55g_4_4">#REF!</definedName>
    <definedName name="gs55g_4_6">#REF!</definedName>
    <definedName name="gs55g_4_7">#REF!</definedName>
    <definedName name="gs55g_5">#REF!</definedName>
    <definedName name="gs55g_5_2">#REF!</definedName>
    <definedName name="gs55g_5_2_6">#REF!</definedName>
    <definedName name="gs55g_5_4">#REF!</definedName>
    <definedName name="gs55g_5_6">#REF!</definedName>
    <definedName name="gs55g_5_7">#REF!</definedName>
    <definedName name="gs55g_6">#REF!</definedName>
    <definedName name="gs55g_6_1">#REF!</definedName>
    <definedName name="gs55g_6_4">#REF!</definedName>
    <definedName name="gs55g_6_6">#REF!</definedName>
    <definedName name="gs55g_6_7">#REF!</definedName>
    <definedName name="gs55g_7">#REF!</definedName>
    <definedName name="gs6g">#REF!</definedName>
    <definedName name="gs6g_1">#REF!</definedName>
    <definedName name="gs6g_2">#REF!</definedName>
    <definedName name="gs6g_2_1">#REF!</definedName>
    <definedName name="gs6g_2_1_6">#REF!</definedName>
    <definedName name="gs6g_2_6">#REF!</definedName>
    <definedName name="gs6g_2_7">#REF!</definedName>
    <definedName name="gs6g_3">#REF!</definedName>
    <definedName name="gs6g_3_4">#REF!</definedName>
    <definedName name="gs6g_3_6">#REF!</definedName>
    <definedName name="gs6g_3_7">#REF!</definedName>
    <definedName name="gs6g_4">#REF!</definedName>
    <definedName name="gs6g_4_1">#REF!</definedName>
    <definedName name="gs6g_4_2">#REF!</definedName>
    <definedName name="gs6g_4_2_6">#REF!</definedName>
    <definedName name="gs6g_4_4">#REF!</definedName>
    <definedName name="gs6g_4_6">#REF!</definedName>
    <definedName name="gs6g_4_7">#REF!</definedName>
    <definedName name="gs6g_5">#REF!</definedName>
    <definedName name="gs6g_5_2">#REF!</definedName>
    <definedName name="gs6g_5_2_6">#REF!</definedName>
    <definedName name="gs6g_5_4">#REF!</definedName>
    <definedName name="gs6g_5_6">#REF!</definedName>
    <definedName name="gs6g_5_7">#REF!</definedName>
    <definedName name="gs6g_6">#REF!</definedName>
    <definedName name="gs6g_6_1">#REF!</definedName>
    <definedName name="gs6g_6_4">#REF!</definedName>
    <definedName name="gs6g_6_6">#REF!</definedName>
    <definedName name="gs6g_6_7">#REF!</definedName>
    <definedName name="gs6g_7">#REF!</definedName>
    <definedName name="gs80g">#REF!</definedName>
    <definedName name="gs80g_1">#REF!</definedName>
    <definedName name="gs80g_2">#REF!</definedName>
    <definedName name="gs80g_2_1">#REF!</definedName>
    <definedName name="gs80g_2_1_6">#REF!</definedName>
    <definedName name="gs80g_2_6">#REF!</definedName>
    <definedName name="gs80g_2_7">#REF!</definedName>
    <definedName name="gs80g_3">#REF!</definedName>
    <definedName name="gs80g_3_4">#REF!</definedName>
    <definedName name="gs80g_3_6">#REF!</definedName>
    <definedName name="gs80g_3_7">#REF!</definedName>
    <definedName name="gs80g_4">#REF!</definedName>
    <definedName name="gs80g_4_1">#REF!</definedName>
    <definedName name="gs80g_4_2">#REF!</definedName>
    <definedName name="gs80g_4_2_6">#REF!</definedName>
    <definedName name="gs80g_4_4">#REF!</definedName>
    <definedName name="gs80g_4_6">#REF!</definedName>
    <definedName name="gs80g_4_7">#REF!</definedName>
    <definedName name="gs80g_5">#REF!</definedName>
    <definedName name="gs80g_5_2">#REF!</definedName>
    <definedName name="gs80g_5_2_6">#REF!</definedName>
    <definedName name="gs80g_5_4">#REF!</definedName>
    <definedName name="gs80g_5_6">#REF!</definedName>
    <definedName name="gs80g_5_7">#REF!</definedName>
    <definedName name="gs80g_6">#REF!</definedName>
    <definedName name="gs80g_6_1">#REF!</definedName>
    <definedName name="gs80g_6_4">#REF!</definedName>
    <definedName name="gs80g_6_6">#REF!</definedName>
    <definedName name="gs80g_6_7">#REF!</definedName>
    <definedName name="gs80g_7">#REF!</definedName>
    <definedName name="GSA">'[2]THPDMoi  (2)'!#REF!</definedName>
    <definedName name="GSAGA">#REF!</definedName>
    <definedName name="gsagf">#REF!</definedName>
    <definedName name="gsdfgs">[51]DHSD!$G$17</definedName>
    <definedName name="gsdgr">[80]DHSD!$G$19</definedName>
    <definedName name="gsekring">#REF!</definedName>
    <definedName name="gsfg">#REF!</definedName>
    <definedName name="gsgsg">#N/A</definedName>
    <definedName name="GSI">#REF!</definedName>
    <definedName name="GSVXG">[0]!_210_S_3_6_1_1:[0]!_2127detib250_6_1</definedName>
    <definedName name="gsw">[136]harsat!$H$69</definedName>
    <definedName name="GT">#REF!</definedName>
    <definedName name="GT_23">#REF!</definedName>
    <definedName name="GT_25">#REF!</definedName>
    <definedName name="gtanahbiasa">#REF!</definedName>
    <definedName name="GTB">#REF!</definedName>
    <definedName name="GTBB">#REF!</definedName>
    <definedName name="GTberbatu">#REF!</definedName>
    <definedName name="GTBM">#REF!</definedName>
    <definedName name="gtbtn">#REF!</definedName>
    <definedName name="gtbtnwr">#REF!</definedName>
    <definedName name="gthtj">#REF!</definedName>
    <definedName name="gti50_1">#REF!</definedName>
    <definedName name="gti50_1_5">#REF!</definedName>
    <definedName name="gti50_2">#REF!</definedName>
    <definedName name="gti50_2_1">#REF!</definedName>
    <definedName name="gti50_2_1_1">#REF!</definedName>
    <definedName name="gti50_2_1_1_6">#REF!</definedName>
    <definedName name="gti50_2_1_6">#REF!</definedName>
    <definedName name="gti50_2_1_7">#REF!</definedName>
    <definedName name="gti50_2_6">#REF!</definedName>
    <definedName name="gti50_2_7">#REF!</definedName>
    <definedName name="gti50_3">#REF!</definedName>
    <definedName name="gti50_3_4">#REF!</definedName>
    <definedName name="gti50_3_6">#REF!</definedName>
    <definedName name="gti50_3_7">#REF!</definedName>
    <definedName name="gti50_4">#REF!</definedName>
    <definedName name="gti50_4_1">#REF!</definedName>
    <definedName name="gti50_4_2">#REF!</definedName>
    <definedName name="gti50_4_2_6">#REF!</definedName>
    <definedName name="gti50_4_4">#REF!</definedName>
    <definedName name="gti50_4_6">#REF!</definedName>
    <definedName name="gti50_4_7">#REF!</definedName>
    <definedName name="gti50_5">#REF!</definedName>
    <definedName name="gti50_5_2">#REF!</definedName>
    <definedName name="gti50_5_2_6">#REF!</definedName>
    <definedName name="gti50_5_4">#REF!</definedName>
    <definedName name="gti50_5_6">#REF!</definedName>
    <definedName name="gti50_5_7">#REF!</definedName>
    <definedName name="gti50_6">#REF!</definedName>
    <definedName name="gti50_6_1">#REF!</definedName>
    <definedName name="gti50_6_4">#REF!</definedName>
    <definedName name="gti50_6_6">#REF!</definedName>
    <definedName name="gti50_6_7">#REF!</definedName>
    <definedName name="gti50_7">#REF!</definedName>
    <definedName name="gti60_1">#REF!</definedName>
    <definedName name="gti60_1_5">#REF!</definedName>
    <definedName name="gti60_2">#REF!</definedName>
    <definedName name="gti60_2_1">#REF!</definedName>
    <definedName name="gti60_2_1_1">#REF!</definedName>
    <definedName name="gti60_2_1_1_6">#REF!</definedName>
    <definedName name="gti60_2_1_6">#REF!</definedName>
    <definedName name="gti60_2_1_7">#REF!</definedName>
    <definedName name="gti60_2_6">#REF!</definedName>
    <definedName name="gti60_2_7">#REF!</definedName>
    <definedName name="gti60_3">#REF!</definedName>
    <definedName name="gti60_3_4">#REF!</definedName>
    <definedName name="gti60_3_6">#REF!</definedName>
    <definedName name="gti60_3_7">#REF!</definedName>
    <definedName name="gti60_4">#REF!</definedName>
    <definedName name="gti60_4_1">#REF!</definedName>
    <definedName name="gti60_4_2">#REF!</definedName>
    <definedName name="gti60_4_2_6">#REF!</definedName>
    <definedName name="gti60_4_4">#REF!</definedName>
    <definedName name="gti60_4_6">#REF!</definedName>
    <definedName name="gti60_4_7">#REF!</definedName>
    <definedName name="gti60_5">#REF!</definedName>
    <definedName name="gti60_5_2">#REF!</definedName>
    <definedName name="gti60_5_2_6">#REF!</definedName>
    <definedName name="gti60_5_4">#REF!</definedName>
    <definedName name="gti60_5_6">#REF!</definedName>
    <definedName name="gti60_5_7">#REF!</definedName>
    <definedName name="gti60_6">#REF!</definedName>
    <definedName name="gti60_6_1">#REF!</definedName>
    <definedName name="gti60_6_4">#REF!</definedName>
    <definedName name="gti60_6_6">#REF!</definedName>
    <definedName name="gti60_6_7">#REF!</definedName>
    <definedName name="gti60_7">#REF!</definedName>
    <definedName name="GTM">#REF!</definedName>
    <definedName name="gtt" hidden="1">{#N/A,#N/A,FALSE,"REK";#N/A,#N/A,FALSE,"rab"}</definedName>
    <definedName name="gtv">#REF!</definedName>
    <definedName name="gtv20kg">#REF!</definedName>
    <definedName name="GUADE_RAIL">#REF!</definedName>
    <definedName name="guard">#REF!</definedName>
    <definedName name="GuardRail">#REF!</definedName>
    <definedName name="Gudang">#REF!</definedName>
    <definedName name="Guide">#REF!</definedName>
    <definedName name="Guide_Post">#REF!</definedName>
    <definedName name="Guidepost">#REF!</definedName>
    <definedName name="Guidesign">#REF!</definedName>
    <definedName name="GUN">#REF!</definedName>
    <definedName name="gutter1520">#REF!</definedName>
    <definedName name="gv">#REF!</definedName>
    <definedName name="gv.3">#REF!</definedName>
    <definedName name="gv.4">#REF!</definedName>
    <definedName name="gv_100_c150">'[39]Fire Fighting'!#REF!</definedName>
    <definedName name="gv_20">[39]Plumbing!#REF!</definedName>
    <definedName name="gv_25_c150">'[39]Fire Fighting'!#REF!</definedName>
    <definedName name="gv_3">#REF!</definedName>
    <definedName name="gv_40">[39]Plumbing!#REF!</definedName>
    <definedName name="gv_65">[39]Plumbing!#REF!</definedName>
    <definedName name="gv_7">#REF!</definedName>
    <definedName name="gv_8">#REF!</definedName>
    <definedName name="gv_80_c150">'[39]Fire Fighting'!#REF!</definedName>
    <definedName name="gv1.25ab">#REF!</definedName>
    <definedName name="gv1.5ab">#REF!</definedName>
    <definedName name="gv10ktoyo0.5">'[139]Harga ME '!#REF!</definedName>
    <definedName name="gv10ktoyo1">'[139]Harga ME '!#REF!</definedName>
    <definedName name="gv10ktoyo1.5">'[139]Harga ME '!#REF!</definedName>
    <definedName name="gv10ktoyo12">'[139]Harga ME '!#REF!</definedName>
    <definedName name="gv10ktoyo2.5">'[139]Harga ME '!#REF!</definedName>
    <definedName name="gv10ktoyo4">'[139]Harga ME '!#REF!</definedName>
    <definedName name="gv10ktoyo6">'[139]Harga ME '!#REF!</definedName>
    <definedName name="gv10toyo7">'[139]Harga ME '!#REF!</definedName>
    <definedName name="gv12ab">#REF!</definedName>
    <definedName name="gv16k10">'[139]Harga ME '!#REF!</definedName>
    <definedName name="gv16k2">'[139]Harga ME '!#REF!</definedName>
    <definedName name="gv16k3">'[139]Harga ME '!#REF!</definedName>
    <definedName name="gv16k5">'[139]Harga ME '!#REF!</definedName>
    <definedName name="gv16k8">'[139]Harga ME '!#REF!</definedName>
    <definedName name="gv16ktoyo0.75">'[139]Harga ME '!#REF!</definedName>
    <definedName name="gv16ktoyo1.25">'[139]Harga ME '!#REF!</definedName>
    <definedName name="gv16ktoyo10">'[139]Harga ME '!#REF!</definedName>
    <definedName name="gv16ktoyo2">'[139]Harga ME '!#REF!</definedName>
    <definedName name="gv16ktoyo3">'[139]Harga ME '!#REF!</definedName>
    <definedName name="gv16ktoyo5">'[139]Harga ME '!#REF!</definedName>
    <definedName name="gv16ktoyo8">'[139]Harga ME '!#REF!</definedName>
    <definedName name="gv1ab">#REF!</definedName>
    <definedName name="gv34ab">#REF!</definedName>
    <definedName name="gv40spindo0.5">#REF!</definedName>
    <definedName name="gv40spindo0.75">#REF!</definedName>
    <definedName name="gv40spindo1">#REF!</definedName>
    <definedName name="gv40spindo1.25">#REF!</definedName>
    <definedName name="gv40spindo1.5">#REF!</definedName>
    <definedName name="gv40spindo2">#REF!</definedName>
    <definedName name="gv40spindo2.5">#REF!</definedName>
    <definedName name="gv40spindo3">#REF!</definedName>
    <definedName name="gv40spindo4">#REF!</definedName>
    <definedName name="gv40spindo5">#REF!</definedName>
    <definedName name="gv40spindo6">#REF!</definedName>
    <definedName name="gv40spindo8">#REF!</definedName>
    <definedName name="gvbersih0.5">#REF!</definedName>
    <definedName name="gvbersih0.75">#N/A</definedName>
    <definedName name="gvbersih1">#N/A</definedName>
    <definedName name="gvbersih1.25">#N/A</definedName>
    <definedName name="gvbersih1.5">#N/A</definedName>
    <definedName name="gvbersih10ktoyo0.75">'[139]Harga ME '!#REF!</definedName>
    <definedName name="gvbersih10ktoyo1.25">'[139]Harga ME '!#REF!</definedName>
    <definedName name="gvbersih10ktoyo10">'[139]Harga ME '!#REF!</definedName>
    <definedName name="gvbersih10ktoyo2">'[139]Harga ME '!#REF!</definedName>
    <definedName name="gvbersih10ktoyo3">'[139]Harga ME '!#REF!</definedName>
    <definedName name="gvbersih10ktoyo5">'[139]Harga ME '!#REF!</definedName>
    <definedName name="gvbersih10ktoyo8">'[139]Harga ME '!#REF!</definedName>
    <definedName name="gvbersih2">#REF!</definedName>
    <definedName name="gvbersih2.5">#N/A</definedName>
    <definedName name="gvbersih3">#REF!</definedName>
    <definedName name="gvbersih4">#REF!</definedName>
    <definedName name="gvbersihkitz0.5">#REF!</definedName>
    <definedName name="gvbersihkitz0.75">#REF!</definedName>
    <definedName name="gvbersihkitz1">#REF!</definedName>
    <definedName name="gvbersihkitz1.25">#REF!</definedName>
    <definedName name="gvbersihkitz1.5">#REF!</definedName>
    <definedName name="gvbersihkitz2">#REF!</definedName>
    <definedName name="gvbersihkitz2.5">#REF!</definedName>
    <definedName name="gvbersihkitz3">#REF!</definedName>
    <definedName name="gvbersihkitz4">#REF!</definedName>
    <definedName name="gvbersihkz0.5">#REF!</definedName>
    <definedName name="gvbersihkz0.75">#REF!</definedName>
    <definedName name="gvbersihty0.5">#REF!</definedName>
    <definedName name="gvbersihty0.75">#REF!</definedName>
    <definedName name="gvbersihty1">#REF!</definedName>
    <definedName name="gvbersihty1.25">#REF!</definedName>
    <definedName name="gvbersihty1.5">#REF!</definedName>
    <definedName name="gvbersihty2">#REF!</definedName>
    <definedName name="gvbersihty2.5">#REF!</definedName>
    <definedName name="gvbersihty3">#REF!</definedName>
    <definedName name="gvbersihty4">#REF!</definedName>
    <definedName name="gvd0.5">#REF!</definedName>
    <definedName name="gvd0.75">#REF!</definedName>
    <definedName name="gvd1.25">#REF!</definedName>
    <definedName name="gvd1.5">#REF!</definedName>
    <definedName name="gvd100_1">#REF!</definedName>
    <definedName name="gvd100_1_5">#REF!</definedName>
    <definedName name="gvd100_2">#REF!</definedName>
    <definedName name="gvd100_2_1">#REF!</definedName>
    <definedName name="gvd100_2_1_1">#REF!</definedName>
    <definedName name="gvd100_2_1_1_6">#REF!</definedName>
    <definedName name="gvd100_2_1_6">#REF!</definedName>
    <definedName name="gvd100_2_1_7">#REF!</definedName>
    <definedName name="gvd100_2_6">#REF!</definedName>
    <definedName name="gvd100_2_7">#REF!</definedName>
    <definedName name="gvd100_3">#REF!</definedName>
    <definedName name="gvd100_3_4">#REF!</definedName>
    <definedName name="gvd100_3_6">#REF!</definedName>
    <definedName name="gvd100_3_7">#REF!</definedName>
    <definedName name="gvd100_4">#REF!</definedName>
    <definedName name="gvd100_4_1">#REF!</definedName>
    <definedName name="gvd100_4_2">#REF!</definedName>
    <definedName name="gvd100_4_2_6">#REF!</definedName>
    <definedName name="gvd100_4_4">#REF!</definedName>
    <definedName name="gvd100_4_6">#REF!</definedName>
    <definedName name="gvd100_4_7">#REF!</definedName>
    <definedName name="gvd100_5">#REF!</definedName>
    <definedName name="gvd100_5_2">#REF!</definedName>
    <definedName name="gvd100_5_2_6">#REF!</definedName>
    <definedName name="gvd100_5_4">#REF!</definedName>
    <definedName name="gvd100_5_6">#REF!</definedName>
    <definedName name="gvd100_5_7">#REF!</definedName>
    <definedName name="gvd100_6">#REF!</definedName>
    <definedName name="gvd100_6_1">#REF!</definedName>
    <definedName name="gvd100_6_4">#REF!</definedName>
    <definedName name="gvd100_6_6">#REF!</definedName>
    <definedName name="gvd100_6_7">#REF!</definedName>
    <definedName name="gvd100_7">#REF!</definedName>
    <definedName name="gvd15_1">#REF!</definedName>
    <definedName name="gvd15_1_5">#REF!</definedName>
    <definedName name="gvd15_2">#REF!</definedName>
    <definedName name="gvd15_2_1">#REF!</definedName>
    <definedName name="gvd15_2_1_1">#REF!</definedName>
    <definedName name="gvd15_2_1_1_6">#REF!</definedName>
    <definedName name="gvd15_2_1_6">#REF!</definedName>
    <definedName name="gvd15_2_1_7">#REF!</definedName>
    <definedName name="gvd15_2_6">#REF!</definedName>
    <definedName name="gvd15_2_7">#REF!</definedName>
    <definedName name="gvd15_3">#REF!</definedName>
    <definedName name="gvd15_3_4">#REF!</definedName>
    <definedName name="gvd15_3_6">#REF!</definedName>
    <definedName name="gvd15_3_7">#REF!</definedName>
    <definedName name="gvd15_4">#REF!</definedName>
    <definedName name="gvd15_4_1">#REF!</definedName>
    <definedName name="gvd15_4_2">#REF!</definedName>
    <definedName name="gvd15_4_2_6">#REF!</definedName>
    <definedName name="gvd15_4_4">#REF!</definedName>
    <definedName name="gvd15_4_6">#REF!</definedName>
    <definedName name="gvd15_4_7">#REF!</definedName>
    <definedName name="gvd15_5">#REF!</definedName>
    <definedName name="gvd15_5_2">#REF!</definedName>
    <definedName name="gvd15_5_2_6">#REF!</definedName>
    <definedName name="gvd15_5_4">#REF!</definedName>
    <definedName name="gvd15_5_6">#REF!</definedName>
    <definedName name="gvd15_5_7">#REF!</definedName>
    <definedName name="gvd15_6">#REF!</definedName>
    <definedName name="gvd15_6_1">#REF!</definedName>
    <definedName name="gvd15_6_4">#REF!</definedName>
    <definedName name="gvd15_6_6">#REF!</definedName>
    <definedName name="gvd15_6_7">#REF!</definedName>
    <definedName name="gvd15_7">#REF!</definedName>
    <definedName name="gvd150_1">#REF!</definedName>
    <definedName name="gvd150_1_5">#REF!</definedName>
    <definedName name="gvd150_2">#REF!</definedName>
    <definedName name="gvd150_2_1">#REF!</definedName>
    <definedName name="gvd150_2_1_1">#REF!</definedName>
    <definedName name="gvd150_2_1_1_6">#REF!</definedName>
    <definedName name="gvd150_2_1_6">#REF!</definedName>
    <definedName name="gvd150_2_1_7">#REF!</definedName>
    <definedName name="gvd150_2_6">#REF!</definedName>
    <definedName name="gvd150_2_7">#REF!</definedName>
    <definedName name="gvd150_3">#REF!</definedName>
    <definedName name="gvd150_3_4">#REF!</definedName>
    <definedName name="gvd150_3_6">#REF!</definedName>
    <definedName name="gvd150_3_7">#REF!</definedName>
    <definedName name="gvd150_4">#REF!</definedName>
    <definedName name="gvd150_4_1">#REF!</definedName>
    <definedName name="gvd150_4_2">#REF!</definedName>
    <definedName name="gvd150_4_2_6">#REF!</definedName>
    <definedName name="gvd150_4_4">#REF!</definedName>
    <definedName name="gvd150_4_6">#REF!</definedName>
    <definedName name="gvd150_4_7">#REF!</definedName>
    <definedName name="gvd150_5">#REF!</definedName>
    <definedName name="gvd150_5_2">#REF!</definedName>
    <definedName name="gvd150_5_2_6">#REF!</definedName>
    <definedName name="gvd150_5_4">#REF!</definedName>
    <definedName name="gvd150_5_6">#REF!</definedName>
    <definedName name="gvd150_5_7">#REF!</definedName>
    <definedName name="gvd150_6">#REF!</definedName>
    <definedName name="gvd150_6_1">#REF!</definedName>
    <definedName name="gvd150_6_4">#REF!</definedName>
    <definedName name="gvd150_6_6">#REF!</definedName>
    <definedName name="gvd150_6_7">#REF!</definedName>
    <definedName name="gvd150_7">#REF!</definedName>
    <definedName name="gvd2.5">#REF!</definedName>
    <definedName name="gvd25_1">#REF!</definedName>
    <definedName name="gvd25_1_5">#REF!</definedName>
    <definedName name="gvd25_2">#REF!</definedName>
    <definedName name="gvd25_2_1">#REF!</definedName>
    <definedName name="gvd25_2_1_1">#REF!</definedName>
    <definedName name="gvd25_2_1_1_6">#REF!</definedName>
    <definedName name="gvd25_2_1_6">#REF!</definedName>
    <definedName name="gvd25_2_1_7">#REF!</definedName>
    <definedName name="gvd25_2_6">#REF!</definedName>
    <definedName name="gvd25_2_7">#REF!</definedName>
    <definedName name="gvd25_3">#REF!</definedName>
    <definedName name="gvd25_3_4">#REF!</definedName>
    <definedName name="gvd25_3_6">#REF!</definedName>
    <definedName name="gvd25_3_7">#REF!</definedName>
    <definedName name="gvd25_4">#REF!</definedName>
    <definedName name="gvd25_4_1">#REF!</definedName>
    <definedName name="gvd25_4_2">#REF!</definedName>
    <definedName name="gvd25_4_2_6">#REF!</definedName>
    <definedName name="gvd25_4_4">#REF!</definedName>
    <definedName name="gvd25_4_6">#REF!</definedName>
    <definedName name="gvd25_4_7">#REF!</definedName>
    <definedName name="gvd25_5">#REF!</definedName>
    <definedName name="gvd25_5_2">#REF!</definedName>
    <definedName name="gvd25_5_2_6">#REF!</definedName>
    <definedName name="gvd25_5_4">#REF!</definedName>
    <definedName name="gvd25_5_6">#REF!</definedName>
    <definedName name="gvd25_5_7">#REF!</definedName>
    <definedName name="gvd25_6">#REF!</definedName>
    <definedName name="gvd25_6_1">#REF!</definedName>
    <definedName name="gvd25_6_4">#REF!</definedName>
    <definedName name="gvd25_6_6">#REF!</definedName>
    <definedName name="gvd25_6_7">#REF!</definedName>
    <definedName name="gvd25_7">#REF!</definedName>
    <definedName name="gvd50_1">#REF!</definedName>
    <definedName name="gvd50_1_5">#REF!</definedName>
    <definedName name="gvd50_2">#REF!</definedName>
    <definedName name="gvd50_2_1">#REF!</definedName>
    <definedName name="gvd50_2_1_1">#REF!</definedName>
    <definedName name="gvd50_2_1_1_6">#REF!</definedName>
    <definedName name="gvd50_2_1_6">#REF!</definedName>
    <definedName name="gvd50_2_1_7">#REF!</definedName>
    <definedName name="gvd50_2_6">#REF!</definedName>
    <definedName name="gvd50_2_7">#REF!</definedName>
    <definedName name="gvd50_3">#REF!</definedName>
    <definedName name="gvd50_3_4">#REF!</definedName>
    <definedName name="gvd50_3_6">#REF!</definedName>
    <definedName name="gvd50_3_7">#REF!</definedName>
    <definedName name="gvd50_4">#REF!</definedName>
    <definedName name="gvd50_4_1">#REF!</definedName>
    <definedName name="gvd50_4_2">#REF!</definedName>
    <definedName name="gvd50_4_2_6">#REF!</definedName>
    <definedName name="gvd50_4_4">#REF!</definedName>
    <definedName name="gvd50_4_6">#REF!</definedName>
    <definedName name="gvd50_4_7">#REF!</definedName>
    <definedName name="gvd50_5">#REF!</definedName>
    <definedName name="gvd50_5_2">#REF!</definedName>
    <definedName name="gvd50_5_2_6">#REF!</definedName>
    <definedName name="gvd50_5_4">#REF!</definedName>
    <definedName name="gvd50_5_6">#REF!</definedName>
    <definedName name="gvd50_5_7">#REF!</definedName>
    <definedName name="gvd50_6">#REF!</definedName>
    <definedName name="gvd50_6_1">#REF!</definedName>
    <definedName name="gvd50_6_4">#REF!</definedName>
    <definedName name="gvd50_6_6">#REF!</definedName>
    <definedName name="gvd50_6_7">#REF!</definedName>
    <definedName name="gvd50_7">#REF!</definedName>
    <definedName name="gvd65_1">#REF!</definedName>
    <definedName name="gvd65_1_5">#REF!</definedName>
    <definedName name="gvd65_2">#REF!</definedName>
    <definedName name="gvd65_2_1">#REF!</definedName>
    <definedName name="gvd65_2_1_1">#REF!</definedName>
    <definedName name="gvd65_2_1_1_6">#REF!</definedName>
    <definedName name="gvd65_2_1_6">#REF!</definedName>
    <definedName name="gvd65_2_1_7">#REF!</definedName>
    <definedName name="gvd65_2_6">#REF!</definedName>
    <definedName name="gvd65_2_7">#REF!</definedName>
    <definedName name="gvd65_3">#REF!</definedName>
    <definedName name="gvd65_3_4">#REF!</definedName>
    <definedName name="gvd65_3_6">#REF!</definedName>
    <definedName name="gvd65_3_7">#REF!</definedName>
    <definedName name="gvd65_4">#REF!</definedName>
    <definedName name="gvd65_4_1">#REF!</definedName>
    <definedName name="gvd65_4_2">#REF!</definedName>
    <definedName name="gvd65_4_2_6">#REF!</definedName>
    <definedName name="gvd65_4_4">#REF!</definedName>
    <definedName name="gvd65_4_6">#REF!</definedName>
    <definedName name="gvd65_4_7">#REF!</definedName>
    <definedName name="gvd65_5">#REF!</definedName>
    <definedName name="gvd65_5_2">#REF!</definedName>
    <definedName name="gvd65_5_2_6">#REF!</definedName>
    <definedName name="gvd65_5_4">#REF!</definedName>
    <definedName name="gvd65_5_6">#REF!</definedName>
    <definedName name="gvd65_5_7">#REF!</definedName>
    <definedName name="gvd65_6">#REF!</definedName>
    <definedName name="gvd65_6_1">#REF!</definedName>
    <definedName name="gvd65_6_4">#REF!</definedName>
    <definedName name="gvd65_6_6">#REF!</definedName>
    <definedName name="gvd65_6_7">#REF!</definedName>
    <definedName name="gvd65_7">#REF!</definedName>
    <definedName name="gvhydrant0.5">#REF!</definedName>
    <definedName name="gvhydrant0.75">#REF!</definedName>
    <definedName name="gvhydrant1">#N/A</definedName>
    <definedName name="gvhydrant1.25">#REF!</definedName>
    <definedName name="gvhydrant1.5">#N/A</definedName>
    <definedName name="gvhydrant10ktoyo0.5">'[139]Harga ME '!#REF!</definedName>
    <definedName name="gvhydrant10ktoyo1">'[139]Harga ME '!#REF!</definedName>
    <definedName name="gvhydrant10ktoyo1.5">'[139]Harga ME '!#REF!</definedName>
    <definedName name="gvhydrant10ktoyo12">'[139]Harga ME '!#REF!</definedName>
    <definedName name="gvhydrant10ktoyo2.5">'[139]Harga ME '!#REF!</definedName>
    <definedName name="gvhydrant10ktoyo4">'[139]Harga ME '!#REF!</definedName>
    <definedName name="gvhydrant10ktoyo6">'[139]Harga ME '!#REF!</definedName>
    <definedName name="gvhydrant2">#N/A</definedName>
    <definedName name="gvhydrant2.5">#REF!</definedName>
    <definedName name="gvhydrant3">#N/A</definedName>
    <definedName name="gvhydrant4">#N/A</definedName>
    <definedName name="gvhydrant5">#REF!</definedName>
    <definedName name="gvhydrant6">#N/A</definedName>
    <definedName name="gvhydrant8">#REF!</definedName>
    <definedName name="gvhydrantkitz0.5">#REF!</definedName>
    <definedName name="gvhydrantkitz0.75">#REF!</definedName>
    <definedName name="gvhydrantkitz1">#REF!</definedName>
    <definedName name="gvhydrantkitz1.25">#REF!</definedName>
    <definedName name="gvhydrantkitz1.5">#REF!</definedName>
    <definedName name="gvhydrantkitz12">'[139]Harga ME '!#REF!</definedName>
    <definedName name="gvhydrantkitz2">#REF!</definedName>
    <definedName name="gvhydrantkitz2.5">#REF!</definedName>
    <definedName name="gvhydrantkitz3">#REF!</definedName>
    <definedName name="gvhydrantkitz4">#REF!</definedName>
    <definedName name="gvhydrantkitz5">#REF!</definedName>
    <definedName name="gvhydrantkitz6">#REF!</definedName>
    <definedName name="gvhydrantkitz8">#REF!</definedName>
    <definedName name="gvhydranty0.5">#REF!</definedName>
    <definedName name="gvhydranty0.75">#REF!</definedName>
    <definedName name="gvhydranty1">#REF!</definedName>
    <definedName name="gvhydranty1.25">#REF!</definedName>
    <definedName name="gvhydranty1.5">#REF!</definedName>
    <definedName name="gvhydranty10">#REF!</definedName>
    <definedName name="gvhydranty12">#REF!</definedName>
    <definedName name="gvhydranty2">#REF!</definedName>
    <definedName name="gvhydranty2.5">#REF!</definedName>
    <definedName name="gvhydranty3">#REF!</definedName>
    <definedName name="gvhydranty4">#REF!</definedName>
    <definedName name="gvhydranty5">#REF!</definedName>
    <definedName name="gvhydranty6">#REF!</definedName>
    <definedName name="gvhydranty8">#REF!</definedName>
    <definedName name="gvkitz16k10">'[139]Harga ME '!#REF!</definedName>
    <definedName name="gvkitz16k2">'[139]Harga ME '!#REF!</definedName>
    <definedName name="gvkitz16k3">'[139]Harga ME '!#REF!</definedName>
    <definedName name="gvkitz16k5">'[139]Harga ME '!#REF!</definedName>
    <definedName name="gvlam">#REF!</definedName>
    <definedName name="gw">#REF!</definedName>
    <definedName name="gw_Rebar_ratio">#REF!</definedName>
    <definedName name="gwwr" hidden="1">{"'Sheet1'!$A$1"}</definedName>
    <definedName name="gy">#REF!</definedName>
    <definedName name="GYFSUM">#REF!</definedName>
    <definedName name="gyhsrstr">[51]DHSD!$G$16</definedName>
    <definedName name="Gypsm">#REF!</definedName>
    <definedName name="gypsum">#REF!</definedName>
    <definedName name="gypsum.9">#REF!</definedName>
    <definedName name="gypsum.prf">#REF!</definedName>
    <definedName name="Gypsum_9">#REF!</definedName>
    <definedName name="gypsum_board_9mm">#REF!</definedName>
    <definedName name="gypsumrang">#REF!</definedName>
    <definedName name="GZDHDHDHD">#REF!</definedName>
    <definedName name="h">#REF!</definedName>
    <definedName name="H.">#REF!</definedName>
    <definedName name="H.06">#REF!</definedName>
    <definedName name="H.1">#REF!</definedName>
    <definedName name="H.10">#REF!</definedName>
    <definedName name="H.10.a">#REF!</definedName>
    <definedName name="H.10.i">#REF!</definedName>
    <definedName name="H.15">#REF!</definedName>
    <definedName name="H.2">#REF!</definedName>
    <definedName name="H.21">#REF!</definedName>
    <definedName name="H.2ab">#REF!</definedName>
    <definedName name="H.2Bs">#REF!</definedName>
    <definedName name="H.2m">#REF!</definedName>
    <definedName name="H.2n">#REF!</definedName>
    <definedName name="H.2s.">#REF!</definedName>
    <definedName name="H.2Sp.">#REF!</definedName>
    <definedName name="H.3">#REF!</definedName>
    <definedName name="H.31">#REF!</definedName>
    <definedName name="H.4">#REF!</definedName>
    <definedName name="H.5">#REF!</definedName>
    <definedName name="H.6.1">#REF!</definedName>
    <definedName name="H.6.2">#REF!</definedName>
    <definedName name="H.6.3">#REF!</definedName>
    <definedName name="H.6.4">#REF!</definedName>
    <definedName name="H.6.5a">#REF!</definedName>
    <definedName name="H.6.5b">#REF!</definedName>
    <definedName name="H.7">#REF!</definedName>
    <definedName name="H.8">#REF!</definedName>
    <definedName name="H.8.a.ii">#REF!</definedName>
    <definedName name="H.9">#REF!</definedName>
    <definedName name="H.9a">#REF!</definedName>
    <definedName name="H.SAT" hidden="1">#REF!</definedName>
    <definedName name="H_1">#N/A</definedName>
    <definedName name="H_1a">#REF!</definedName>
    <definedName name="H_2">#N/A</definedName>
    <definedName name="H_2a">#REF!</definedName>
    <definedName name="h_40">[140]harsat!$H$26</definedName>
    <definedName name="h_4040">#REF!</definedName>
    <definedName name="H_6">#REF!</definedName>
    <definedName name="h_batu_kali">#REF!</definedName>
    <definedName name="h_cat_dasar_vinilex">#REF!</definedName>
    <definedName name="h_cat_super_vibilex">#REF!</definedName>
    <definedName name="h_harga_keramik_dinding_20x25">#REF!</definedName>
    <definedName name="h_kayu_klas_I_kusen">#REF!</definedName>
    <definedName name="h_kayu_klasII">#REF!</definedName>
    <definedName name="h_kep">#REF!</definedName>
    <definedName name="H_Kepala_tukang">#REF!</definedName>
    <definedName name="h_keramik_20x20">#REF!</definedName>
    <definedName name="h_keramik_lantai_40x40_Merk_ikad">#REF!</definedName>
    <definedName name="h_keramik30x30">#REF!</definedName>
    <definedName name="h_list_kayu_0.5x2.5">#REF!</definedName>
    <definedName name="h_man">#REF!</definedName>
    <definedName name="h_multyplek9mm">#REF!</definedName>
    <definedName name="h_papan_listplak_25x400">#REF!</definedName>
    <definedName name="h_paving_block">#REF!</definedName>
    <definedName name="h_pek">#REF!</definedName>
    <definedName name="H_R_S">#REF!</definedName>
    <definedName name="h_s">[136]harsat!#REF!</definedName>
    <definedName name="h_semen_andalas">#REF!</definedName>
    <definedName name="h_survey_2015">#REF!</definedName>
    <definedName name="H_Total">#REF!</definedName>
    <definedName name="H_triplek_3_mm">#REF!</definedName>
    <definedName name="h_tuk">#REF!</definedName>
    <definedName name="H285_">#REF!</definedName>
    <definedName name="hab">'[45]Sat~Bahu'!$H$49</definedName>
    <definedName name="HAB_MS">#REF!</definedName>
    <definedName name="habantu">'[45]Sat~Bahu'!$H$76</definedName>
    <definedName name="HABE">#REF!</definedName>
    <definedName name="hadi">[141]Elektrikal!#REF!</definedName>
    <definedName name="HAGO">#REF!</definedName>
    <definedName name="haha">#N/A</definedName>
    <definedName name="HAIII">#N/A</definedName>
    <definedName name="HAJIME">#REF!</definedName>
    <definedName name="hak.1">#REF!</definedName>
    <definedName name="hak.2">#REF!</definedName>
    <definedName name="HAKANGIN">#N/A</definedName>
    <definedName name="hakanginsikutan">#REF!</definedName>
    <definedName name="hakatk">'[21]Harga Satuan Bahan'!#REF!</definedName>
    <definedName name="hakbs">'[35]Harga Satuan Bahan'!$E$169</definedName>
    <definedName name="HAL_1">#REF!</definedName>
    <definedName name="HAL_2">#N/A</definedName>
    <definedName name="HAL_2_2">NA()</definedName>
    <definedName name="HAL_3">#N/A</definedName>
    <definedName name="HAL_3_2">NA()</definedName>
    <definedName name="HAL4_2">NA()</definedName>
    <definedName name="HALO" hidden="1">#REF!</definedName>
    <definedName name="halus">'[74]Harga Satuan'!$G$46</definedName>
    <definedName name="HAMER">[55]URAI!$L$1653</definedName>
    <definedName name="HAMMER" localSheetId="7">[33]H_Dasar!#REF!</definedName>
    <definedName name="Hammer">#REF!</definedName>
    <definedName name="hampar">[30]S.UPAH!$J$24</definedName>
    <definedName name="HAMPARAN_1_2_3">#REF!</definedName>
    <definedName name="HAMPARAN_5_7_3">#REF!</definedName>
    <definedName name="Hand_Compactor">#REF!</definedName>
    <definedName name="HAND_I">#REF!</definedName>
    <definedName name="handle">#REF!</definedName>
    <definedName name="HANDLE_PINTU_ALUMINIUM_COMB">#REF!</definedName>
    <definedName name="HANDLE_PINTU_STAINLESS_BULAT">#REF!</definedName>
    <definedName name="HANDLE_PINTU_STAINLESS_KOTAK">#REF!</definedName>
    <definedName name="handlepintu">#REF!</definedName>
    <definedName name="Handling_material_beton">#REF!</definedName>
    <definedName name="Handling_pipa_tiang_pancang">#REF!</definedName>
    <definedName name="handrail">[93]Rekap!$H$126</definedName>
    <definedName name="HANDS">#REF!</definedName>
    <definedName name="HAPUS20">#REF!</definedName>
    <definedName name="haraga">#REF!</definedName>
    <definedName name="HARBQ">#REF!</definedName>
    <definedName name="hard">#REF!</definedName>
    <definedName name="hardas">#REF!</definedName>
    <definedName name="HARGA">#REF!</definedName>
    <definedName name="HARGA_ALAT">#REF!</definedName>
    <definedName name="Harga_Angkutan">#REF!</definedName>
    <definedName name="HARGA_BAHAN">#REF!</definedName>
    <definedName name="Harga_Batu_Kali">#REF!</definedName>
    <definedName name="Harga_besi_polos">#REF!</definedName>
    <definedName name="Harga_besi_ulir">#REF!</definedName>
    <definedName name="Harga_borongan_besi_polos">#REF!</definedName>
    <definedName name="Harga_borongan_besi_ulir">#REF!</definedName>
    <definedName name="Harga_borongan_fc_10">#REF!</definedName>
    <definedName name="Harga_borongan_fc_20">#REF!</definedName>
    <definedName name="Harga_borongan_fc_25">#REF!</definedName>
    <definedName name="Harga_ciping">#REF!</definedName>
    <definedName name="Harga_Dasar">#REF!</definedName>
    <definedName name="Harga_Kawat_Beton">#REF!</definedName>
    <definedName name="Harga_Kayu">#REF!</definedName>
    <definedName name="Harga_Kontainer">#REF!</definedName>
    <definedName name="harga_panel">#REF!</definedName>
    <definedName name="Harga_pasir">#REF!</definedName>
    <definedName name="HARGA_SAT">#REF!</definedName>
    <definedName name="Harga_Satuan">#REF!</definedName>
    <definedName name="Harga_semen">#REF!</definedName>
    <definedName name="Harga_Total">#REF!</definedName>
    <definedName name="HARGA_UMUM">#REF!</definedName>
    <definedName name="HARGA_UPAH">#REF!</definedName>
    <definedName name="Harga_Urbis">#REF!</definedName>
    <definedName name="Harga_Urpil">#REF!</definedName>
    <definedName name="harga1">#REF!</definedName>
    <definedName name="HargaAlat">#REF!</definedName>
    <definedName name="HargaAlatCC">#REF!</definedName>
    <definedName name="HargaBahan">#REF!</definedName>
    <definedName name="HargaBahanCC">#REF!</definedName>
    <definedName name="hargaBasic">#REF!</definedName>
    <definedName name="hargabwp">#REF!</definedName>
    <definedName name="hargamob">#REF!</definedName>
    <definedName name="HargaSatuan">#REF!</definedName>
    <definedName name="HargaSub">#REF!</definedName>
    <definedName name="HargaSubCC">#REF!</definedName>
    <definedName name="hargasubkon">#REF!</definedName>
    <definedName name="hargatiket1jalan">#REF!</definedName>
    <definedName name="HargaUpah">#REF!</definedName>
    <definedName name="Hari">#REF!</definedName>
    <definedName name="HarianBukuStandar">#REF!</definedName>
    <definedName name="HarianI">#REF!</definedName>
    <definedName name="HarianII">#REF!</definedName>
    <definedName name="HarianIII">#REF!</definedName>
    <definedName name="HarianJenisBreakdown">#REF!</definedName>
    <definedName name="HarianJumlahBreakdown">#REF!</definedName>
    <definedName name="HarianPeriodeI">#REF!</definedName>
    <definedName name="HarianPeriodeII">#REF!</definedName>
    <definedName name="HarianPeriodeIII">#REF!</definedName>
    <definedName name="HarianVolI">#REF!</definedName>
    <definedName name="HarianVolII">#REF!</definedName>
    <definedName name="HarianVolIII">#REF!</definedName>
    <definedName name="harikerja">[3]CH!$C$25</definedName>
    <definedName name="HariPemeriksaan">#REF!</definedName>
    <definedName name="harplek">#REF!</definedName>
    <definedName name="HARSAT">#REF!</definedName>
    <definedName name="Harsat_Pek">#REF!</definedName>
    <definedName name="HarsatAlat">#REF!</definedName>
    <definedName name="HarsatBahan">#REF!</definedName>
    <definedName name="HarsatSub">#REF!</definedName>
    <definedName name="HarsatUpah">#REF!</definedName>
    <definedName name="has.200">'[45]Sat~Bahu'!$H$103</definedName>
    <definedName name="HASIL">#REF!</definedName>
    <definedName name="hatb">'[45]Sat~Bahu'!$H$86</definedName>
    <definedName name="haul">'[116]meth hsl nego'!#REF!</definedName>
    <definedName name="HB">#REF!</definedName>
    <definedName name="hbb.05">'[45]Sat~Bahu'!$H$41</definedName>
    <definedName name="hbb.1">'[45]Sat~Bahu'!$H$40</definedName>
    <definedName name="hbb.10">'[45]Sat~Bahu'!$H$35</definedName>
    <definedName name="hbb.2">'[45]Sat~Bahu'!$H$39</definedName>
    <definedName name="hbb.3">'[45]Sat~Bahu'!$H$38</definedName>
    <definedName name="hbb.5">'[45]Sat~Bahu'!$H$37</definedName>
    <definedName name="hbbp">#REF!</definedName>
    <definedName name="Hbeam">#REF!</definedName>
    <definedName name="hbl">#REF!</definedName>
    <definedName name="hbl_10">[65]harsat!#REF!</definedName>
    <definedName name="hbl_1012">#REF!</definedName>
    <definedName name="hbl_1014">#REF!</definedName>
    <definedName name="hbl_15">[65]harsat!#REF!</definedName>
    <definedName name="hbl_1514">#REF!</definedName>
    <definedName name="hblw">'[45]Sat~Bahu'!$H$113</definedName>
    <definedName name="hbtb">'[45]Sat~Bahu'!$H$67</definedName>
    <definedName name="hbtp">'[45]Sat~Bahu'!$H$48</definedName>
    <definedName name="hbtpb">'[45]Sat~Bahu'!$H$32</definedName>
    <definedName name="HC.600.200.8.13">#REF!</definedName>
    <definedName name="hcab">'[45]Sat~Bahu'!#REF!</definedName>
    <definedName name="hcomp">'[45]Sat~Bahu'!$H$111</definedName>
    <definedName name="hcs">#REF!</definedName>
    <definedName name="hcv">'[45]Sat~Bahu'!$H$101</definedName>
    <definedName name="hd">#REF!</definedName>
    <definedName name="hddt">[51]DHSD!$G$36</definedName>
    <definedName name="HDFGF">#REF!</definedName>
    <definedName name="hdljend">#REF!</definedName>
    <definedName name="hdozer">'[45]Sat~Bahu'!$H$91</definedName>
    <definedName name="Hdpx5">#REF!</definedName>
    <definedName name="hds">#REF!</definedName>
    <definedName name="hdt.35">'[45]Sat~Bahu'!$H$108</definedName>
    <definedName name="hdt.5">'[45]Sat~Bahu'!$H$107</definedName>
    <definedName name="hdw">#REF!</definedName>
    <definedName name="hdw_1">#REF!</definedName>
    <definedName name="hdw_2">#REF!</definedName>
    <definedName name="hdw_2_1">#REF!</definedName>
    <definedName name="hdw_3">#REF!</definedName>
    <definedName name="hdw_3_2">#REF!</definedName>
    <definedName name="hdw_3_4">#REF!</definedName>
    <definedName name="hdw_3_6">#REF!</definedName>
    <definedName name="hdw_3_7">#REF!</definedName>
    <definedName name="hdw_4">#REF!</definedName>
    <definedName name="hdw_4_1">#REF!</definedName>
    <definedName name="hdw_4_2">#REF!</definedName>
    <definedName name="hdw_4_4">#REF!</definedName>
    <definedName name="hdw_4_6">#REF!</definedName>
    <definedName name="hdw_4_7">#REF!</definedName>
    <definedName name="hdw_5">#REF!</definedName>
    <definedName name="hdw_5_2">#REF!</definedName>
    <definedName name="hdw_5_4">#REF!</definedName>
    <definedName name="hdw_5_6">#REF!</definedName>
    <definedName name="hdw_5_7">#REF!</definedName>
    <definedName name="hdw_6">#REF!</definedName>
    <definedName name="hdw_6_1">#REF!</definedName>
    <definedName name="hdw_6_2">#REF!</definedName>
    <definedName name="hdw_6_4">#REF!</definedName>
    <definedName name="hdw_6_6">#REF!</definedName>
    <definedName name="hdw_6_7">#REF!</definedName>
    <definedName name="hdw_7">#REF!</definedName>
    <definedName name="hdw_7_1">#REF!</definedName>
    <definedName name="hdw1_1">#REF!</definedName>
    <definedName name="hdw1_2">#REF!</definedName>
    <definedName name="hdw1_2_1">#REF!</definedName>
    <definedName name="hdw1_2_6">#REF!</definedName>
    <definedName name="hdw1_3">#REF!</definedName>
    <definedName name="hdw1_3_4">#REF!</definedName>
    <definedName name="hdw1_3_6">#REF!</definedName>
    <definedName name="hdw1_3_7">#REF!</definedName>
    <definedName name="hdw1_4">#REF!</definedName>
    <definedName name="hdw1_4_1">#REF!</definedName>
    <definedName name="hdw1_4_2">#REF!</definedName>
    <definedName name="hdw1_4_2_6">#REF!</definedName>
    <definedName name="hdw1_4_4">#REF!</definedName>
    <definedName name="hdw1_4_6">#REF!</definedName>
    <definedName name="hdw1_4_7">#REF!</definedName>
    <definedName name="hdw1_5">#REF!</definedName>
    <definedName name="hdw1_5_2">#REF!</definedName>
    <definedName name="hdw1_5_2_6">#REF!</definedName>
    <definedName name="hdw1_5_4">#REF!</definedName>
    <definedName name="hdw1_5_6">#REF!</definedName>
    <definedName name="hdw1_5_7">#REF!</definedName>
    <definedName name="hdw1_6">#REF!</definedName>
    <definedName name="hdw1_6_1">#REF!</definedName>
    <definedName name="hdw1_6_4">#REF!</definedName>
    <definedName name="hdw1_6_6">#REF!</definedName>
    <definedName name="hdw1_6_7">#REF!</definedName>
    <definedName name="hdw1_7">#REF!</definedName>
    <definedName name="HDY">#REF!</definedName>
    <definedName name="he">#REF!</definedName>
    <definedName name="Heä_soá_laép_xaø_H">1.7</definedName>
    <definedName name="heä_soá_sình_laày">#REF!</definedName>
    <definedName name="Head">#REF!</definedName>
    <definedName name="Head_6">#REF!</definedName>
    <definedName name="head_sprinkler">'[39]Fire Fighting'!#REF!</definedName>
    <definedName name="HEADER">#REF!</definedName>
    <definedName name="Header12">'[66]Analisa Harga Satuan'!$G$2073</definedName>
    <definedName name="Header4">'[66]Analisa Harga Satuan'!$G$2047</definedName>
    <definedName name="Header6">'[66]Analisa Harga Satuan'!$G$2060</definedName>
    <definedName name="Header84mtr">'[66]Analisa Harga Satuan'!$G$2085</definedName>
    <definedName name="HEADFOOT">#REF!</definedName>
    <definedName name="headshower">#REF!</definedName>
    <definedName name="HEALTH___SAFETY">#REF!</definedName>
    <definedName name="HEAVY_LOADED_ROAD_IMPROVEMENT_PROGRAMME">#N/A</definedName>
    <definedName name="Hebel">#REF!</definedName>
    <definedName name="hebel10">#N/A</definedName>
    <definedName name="hebel75">#N/A</definedName>
    <definedName name="hee">#REF!</definedName>
    <definedName name="Hektometer">#REF!</definedName>
    <definedName name="helipad">#REF!</definedName>
    <definedName name="Hello">#N/A</definedName>
    <definedName name="helo">#N/A</definedName>
    <definedName name="hERO">#REF!</definedName>
    <definedName name="hERO_aNADUCT">#REF!</definedName>
    <definedName name="HEXAS">#REF!</definedName>
    <definedName name="hfd3_1">#REF!</definedName>
    <definedName name="hfd3_2">#REF!</definedName>
    <definedName name="hfd5_1">#REF!</definedName>
    <definedName name="hfd5_2">#REF!</definedName>
    <definedName name="HFDSSFD">#REF!</definedName>
    <definedName name="hfg">#REF!</definedName>
    <definedName name="hfghf">#REF!</definedName>
    <definedName name="hfy" hidden="1">#REF!</definedName>
    <definedName name="hg" hidden="1">#REF!</definedName>
    <definedName name="hgblkdhlh" hidden="1">#REF!</definedName>
    <definedName name="HGF">[0]!A_5_6_5</definedName>
    <definedName name="HGFAHJSAGHFA">[2]DONGIA!#REF!</definedName>
    <definedName name="HGFG">#N/A</definedName>
    <definedName name="HGFHFHF">#N/A</definedName>
    <definedName name="hgh">#REF!</definedName>
    <definedName name="hghbkljlj">#REF!</definedName>
    <definedName name="HGJGJGJ">#N/A</definedName>
    <definedName name="hgjj" hidden="1">{"'Sheet1'!$A$1"}</definedName>
    <definedName name="hgky">#REF!</definedName>
    <definedName name="HGNG">[0]!A_6_1</definedName>
    <definedName name="hgrader">'[45]Sat~Bahu'!$H$92</definedName>
    <definedName name="hgsdgs">'[49]Lamp-4 Sat-Das'!$J$21</definedName>
    <definedName name="HH" hidden="1">{"'Sheet1'!$A$1"}</definedName>
    <definedName name="HH_01">#REF!</definedName>
    <definedName name="HH_02">#REF!</definedName>
    <definedName name="HH_03">#REF!</definedName>
    <definedName name="HH_04">#REF!</definedName>
    <definedName name="HH15HT">'[18]TONGKE-HT'!#REF!</definedName>
    <definedName name="HH16HT">'[18]TONGKE-HT'!#REF!</definedName>
    <definedName name="HH19HT">'[18]TONGKE-HT'!#REF!</definedName>
    <definedName name="HH20HT">'[18]TONGKE-HT'!#REF!</definedName>
    <definedName name="HHH">[0]!_2117detib2120_6_1_1:[0]!_2122detib250_5_1</definedName>
    <definedName name="hhhh">#N/A</definedName>
    <definedName name="hhhhh">#REF!</definedName>
    <definedName name="hhhhhh">#REF!</definedName>
    <definedName name="hhhhhhh" hidden="1">[142]tifico!#REF!</definedName>
    <definedName name="hhhhhhhhhhhhhh" hidden="1">[142]tifico!#REF!</definedName>
    <definedName name="hhhnn">#REF!</definedName>
    <definedName name="hhrs">'[45]Sat~Bahu'!$H$87</definedName>
    <definedName name="Hi_pvc_20mm">'[78]Harga Jasa dan Material'!$D$136</definedName>
    <definedName name="HiddenRows" hidden="1">#REF!</definedName>
    <definedName name="Hidr">#REF!</definedName>
    <definedName name="HIJ">#REF!</definedName>
    <definedName name="hik">#REF!</definedName>
    <definedName name="hil">#REF!</definedName>
    <definedName name="hil_1">#REF!</definedName>
    <definedName name="hil_2">#REF!</definedName>
    <definedName name="hil_2_1">#REF!</definedName>
    <definedName name="hil_2_1_6">#REF!</definedName>
    <definedName name="hil_2_6">#REF!</definedName>
    <definedName name="hil_2_7">#REF!</definedName>
    <definedName name="hil_3">#REF!</definedName>
    <definedName name="hil_3_4">#REF!</definedName>
    <definedName name="hil_3_6">#REF!</definedName>
    <definedName name="hil_3_7">#REF!</definedName>
    <definedName name="hil_4">#REF!</definedName>
    <definedName name="hil_4_1">#REF!</definedName>
    <definedName name="hil_4_2">#REF!</definedName>
    <definedName name="hil_4_2_6">#REF!</definedName>
    <definedName name="hil_4_4">#REF!</definedName>
    <definedName name="hil_4_6">#REF!</definedName>
    <definedName name="hil_4_7">#REF!</definedName>
    <definedName name="hil_5">#REF!</definedName>
    <definedName name="hil_5_2">#REF!</definedName>
    <definedName name="hil_5_2_6">#REF!</definedName>
    <definedName name="hil_5_4">#REF!</definedName>
    <definedName name="hil_5_6">#REF!</definedName>
    <definedName name="hil_5_7">#REF!</definedName>
    <definedName name="hil_6">#REF!</definedName>
    <definedName name="hil_6_1">#REF!</definedName>
    <definedName name="hil_6_4">#REF!</definedName>
    <definedName name="hil_6_6">#REF!</definedName>
    <definedName name="hil_6_7">#REF!</definedName>
    <definedName name="hil_7">#REF!</definedName>
    <definedName name="hinis">#REF!</definedName>
    <definedName name="hit">#REF!</definedName>
    <definedName name="hitachi">#REF!</definedName>
    <definedName name="hitAnalisa">#REF!</definedName>
    <definedName name="hitEqp">#REF!</definedName>
    <definedName name="hitLab">#REF!</definedName>
    <definedName name="hitMat">#REF!</definedName>
    <definedName name="HITUNG_QTY">#REF!</definedName>
    <definedName name="hitUPA">#REF!</definedName>
    <definedName name="hj">#REF!</definedName>
    <definedName name="hjgf">#N/A</definedName>
    <definedName name="hjhgj">#REF!</definedName>
    <definedName name="hjhjdhj">#REF!</definedName>
    <definedName name="hjk">#REF!</definedName>
    <definedName name="hjy" hidden="1">{"'Sheet1'!$A$1"}</definedName>
    <definedName name="HK">#REF!</definedName>
    <definedName name="hkb">'[45]Sat~Bahu'!$H$62</definedName>
    <definedName name="HKFGGJ">#REF!</definedName>
    <definedName name="hkgb">'[45]Sat~Bahu'!$H$29</definedName>
    <definedName name="hkl">#REF!</definedName>
    <definedName name="hkoral">#REF!</definedName>
    <definedName name="hkpb">'[45]Sat~Bahu'!$H$58</definedName>
    <definedName name="hks">'[45]Sat~Bahu'!$H$30</definedName>
    <definedName name="hkup">'[45]Sat~Bahu'!$H$77</definedName>
    <definedName name="HM">#REF!</definedName>
    <definedName name="HM_Operator">#REF!</definedName>
    <definedName name="hmg.3r">'[45]Sat~Bahu'!$H$96</definedName>
    <definedName name="hmgb">'[45]Sat~Bahu'!$H$98</definedName>
    <definedName name="hmgrk">'[45]Sat~Bahu'!$H$99</definedName>
    <definedName name="hmgt">'[45]Sat~Bahu'!$H$97</definedName>
    <definedName name="hmp.182">'[45]Sat~Bahu'!$H$104</definedName>
    <definedName name="Hmppl">#REF!</definedName>
    <definedName name="hmt">'[45]Sat~Bahu'!$H$53</definedName>
    <definedName name="hny">#REF!</definedName>
    <definedName name="hollow">#REF!</definedName>
    <definedName name="Hollow_4.2.0.75">#REF!</definedName>
    <definedName name="Hollow_4.2.1.1">#REF!</definedName>
    <definedName name="Hollow_4.4.0.75">#REF!</definedName>
    <definedName name="Hollow_4.4.1.1">#REF!</definedName>
    <definedName name="hollow40">'[143]#REF'!$AP$13</definedName>
    <definedName name="holo">#REF!</definedName>
    <definedName name="holo20.40danplat">#REF!</definedName>
    <definedName name="home">#REF!</definedName>
    <definedName name="HOMO_4040">[65]harsat!#REF!</definedName>
    <definedName name="homo20">[31]ARTAGDING!#REF!</definedName>
    <definedName name="homo30">#REF!</definedName>
    <definedName name="homo3030">#REF!</definedName>
    <definedName name="homo3060">#REF!</definedName>
    <definedName name="homo40">#REF!</definedName>
    <definedName name="homo60">#REF!</definedName>
    <definedName name="homolt4040">#REF!</definedName>
    <definedName name="homolt6060">#REF!</definedName>
    <definedName name="homostep3030">#REF!</definedName>
    <definedName name="homostep4040">#REF!</definedName>
    <definedName name="HONEY">#REF!</definedName>
    <definedName name="hong">[94]Analisa!#REF!</definedName>
    <definedName name="Honor_keamanan_lalin__2_org">#REF!</definedName>
    <definedName name="HORISONTAL">#REF!</definedName>
    <definedName name="horizontal">#REF!</definedName>
    <definedName name="HORRY">#REF!</definedName>
    <definedName name="horrybeam">#REF!</definedName>
    <definedName name="hot">#REF!</definedName>
    <definedName name="hotdip">[136]harsat!$H$17</definedName>
    <definedName name="hotmix">#REF!</definedName>
    <definedName name="HOTWEL">[16]prelim!#REF!</definedName>
    <definedName name="HP">#REF!</definedName>
    <definedName name="hpa_4">#REF!</definedName>
    <definedName name="hpa_5">#REF!</definedName>
    <definedName name="hpa_7a">#REF!</definedName>
    <definedName name="hpav">'[45]Sat~Bahu'!$H$82</definedName>
    <definedName name="hpb.125">'[45]Sat~Bahu'!$H$109</definedName>
    <definedName name="hpb.200hp">'[45]Sat~Bahu'!$H$93</definedName>
    <definedName name="hpbp">#REF!</definedName>
    <definedName name="hpc">'[45]Sat~Bahu'!$H$55</definedName>
    <definedName name="hpj">'[45]Sat~Bahu'!$H$66</definedName>
    <definedName name="hpja_1a">#REF!</definedName>
    <definedName name="hpja_4">#REF!</definedName>
    <definedName name="hpja_5">#REF!</definedName>
    <definedName name="hpja_6">#REF!</definedName>
    <definedName name="hpk_1a">#REF!</definedName>
    <definedName name="hpk_2">#REF!</definedName>
    <definedName name="hpk_3">#REF!</definedName>
    <definedName name="hpk_4">#REF!</definedName>
    <definedName name="hpk_5">#REF!</definedName>
    <definedName name="hpk_5a">#REF!</definedName>
    <definedName name="hpk_6">#REF!</definedName>
    <definedName name="hpk_7">#REF!</definedName>
    <definedName name="hpk_7a">#REF!</definedName>
    <definedName name="hpkst">#REF!</definedName>
    <definedName name="hppt">#REF!</definedName>
    <definedName name="hpsaub">'[45]Sat~Bahu'!$H$46</definedName>
    <definedName name="hpsp">'[45]Sat~Bahu'!$H$47</definedName>
    <definedName name="hpsu">'[45]Sat~Bahu'!$H$45</definedName>
    <definedName name="hpt_1">[95]satuan_pek_ars!#REF!</definedName>
    <definedName name="hpt_2">[95]satuan_pek_ars!#REF!</definedName>
    <definedName name="hpt_3">[95]satuan_pek_ars!#REF!</definedName>
    <definedName name="hpt_4">[95]satuan_pek_ars!#REF!</definedName>
    <definedName name="hptdll">'[45]Sat~Bahu'!$H$114</definedName>
    <definedName name="hQ">'[45]Sat~Bahu'!$H$28</definedName>
    <definedName name="HRG">#REF!</definedName>
    <definedName name="hrgats">#REF!</definedName>
    <definedName name="hrgbj">#REF!</definedName>
    <definedName name="hrgbt">#REF!</definedName>
    <definedName name="hrgbtc">#REF!</definedName>
    <definedName name="hrgbtk">#REF!</definedName>
    <definedName name="hrgbtkl">#REF!</definedName>
    <definedName name="hrgempat">#REF!</definedName>
    <definedName name="hrggnt">#REF!</definedName>
    <definedName name="hrgkol">#REF!</definedName>
    <definedName name="hrgpla">#REF!</definedName>
    <definedName name="hrgrgk">#REF!</definedName>
    <definedName name="hrgsat">#REF!</definedName>
    <definedName name="hrgtiga">#REF!</definedName>
    <definedName name="hrgtigo">#REF!</definedName>
    <definedName name="HRS">#REF!</definedName>
    <definedName name="HS">#REF!</definedName>
    <definedName name="hs.1000">'[45]Sat~Bahu'!$H$102</definedName>
    <definedName name="hs_tx">#REF!</definedName>
    <definedName name="HSA">#REF!</definedName>
    <definedName name="HSA.1">#REF!</definedName>
    <definedName name="HSA.1_30">#REF!</definedName>
    <definedName name="HSA.2">#REF!</definedName>
    <definedName name="HSA.2_30">#REF!</definedName>
    <definedName name="HSA.3">#REF!</definedName>
    <definedName name="HSA.3_30">#REF!</definedName>
    <definedName name="HSA.4">#REF!</definedName>
    <definedName name="HSA.4_30">#REF!</definedName>
    <definedName name="HSAA">#REF!</definedName>
    <definedName name="HSAC">#REF!</definedName>
    <definedName name="HSAh">#REF!</definedName>
    <definedName name="HSAk">#REF!</definedName>
    <definedName name="HSB.1">#REF!</definedName>
    <definedName name="HSB.1_30">#REF!</definedName>
    <definedName name="HSB.2">#REF!</definedName>
    <definedName name="HSB.2_30">#REF!</definedName>
    <definedName name="HSB.3">#REF!</definedName>
    <definedName name="HSB.3_30">#REF!</definedName>
    <definedName name="HSB.4">#REF!</definedName>
    <definedName name="HSB.4_30">#REF!</definedName>
    <definedName name="HSB.5">#REF!</definedName>
    <definedName name="HSB.5_30">#REF!</definedName>
    <definedName name="HSB.6">#REF!</definedName>
    <definedName name="HSB.6_30">#REF!</definedName>
    <definedName name="HSC.1">#REF!</definedName>
    <definedName name="HSC.1_30">#REF!</definedName>
    <definedName name="HSC.2">#REF!</definedName>
    <definedName name="HSC.2_30">#REF!</definedName>
    <definedName name="HSC.2a">#REF!</definedName>
    <definedName name="HSC.2a_30">#REF!</definedName>
    <definedName name="HSCT3">0.1</definedName>
    <definedName name="HSD">#REF!</definedName>
    <definedName name="hsdc1">#REF!</definedName>
    <definedName name="HSDD">[18]phuluc1!#REF!</definedName>
    <definedName name="HSDN">2.5</definedName>
    <definedName name="hsgh">#N/A</definedName>
    <definedName name="HSHH">#REF!</definedName>
    <definedName name="HSHHUT">#REF!</definedName>
    <definedName name="hskk1">#REF!</definedName>
    <definedName name="HSNC">#REF!</definedName>
    <definedName name="hsp">#REF!</definedName>
    <definedName name="HSP.01">#REF!</definedName>
    <definedName name="HSP.01_30">#REF!</definedName>
    <definedName name="HSP.02">#REF!</definedName>
    <definedName name="HSP.02_30">#REF!</definedName>
    <definedName name="HSP.03">#REF!</definedName>
    <definedName name="HSP.03_30">#REF!</definedName>
    <definedName name="HSP.04">#REF!</definedName>
    <definedName name="HSP.04_30">#REF!</definedName>
    <definedName name="HSP.05">#REF!</definedName>
    <definedName name="HSP.05_30">#REF!</definedName>
    <definedName name="HSP.06">#REF!</definedName>
    <definedName name="HSP.06_30">#REF!</definedName>
    <definedName name="HSP.07">#REF!</definedName>
    <definedName name="HSP.07_30">#REF!</definedName>
    <definedName name="hspt">#REF!</definedName>
    <definedName name="hspt_1">#REF!</definedName>
    <definedName name="hspt_1_5">#REF!</definedName>
    <definedName name="hspt_2">#REF!</definedName>
    <definedName name="hspt_2_1">#REF!</definedName>
    <definedName name="hspt_2_1_1">#REF!</definedName>
    <definedName name="hspt_2_1_1_6">#REF!</definedName>
    <definedName name="hspt_2_1_6">#REF!</definedName>
    <definedName name="hspt_2_1_7">#REF!</definedName>
    <definedName name="hspt_2_6">#REF!</definedName>
    <definedName name="hspt_3">#REF!</definedName>
    <definedName name="hspt_3_4">#REF!</definedName>
    <definedName name="hspt_3_6">#REF!</definedName>
    <definedName name="hspt_3_7">#REF!</definedName>
    <definedName name="hspt_4">#REF!</definedName>
    <definedName name="hspt_4_1">#REF!</definedName>
    <definedName name="hspt_4_2">#REF!</definedName>
    <definedName name="hspt_4_2_6">#REF!</definedName>
    <definedName name="hspt_4_4">#REF!</definedName>
    <definedName name="hspt_4_6">#REF!</definedName>
    <definedName name="hspt_4_7">#REF!</definedName>
    <definedName name="hspt_5">#REF!</definedName>
    <definedName name="hspt_5_2">#REF!</definedName>
    <definedName name="hspt_5_2_6">#REF!</definedName>
    <definedName name="hspt_5_4">#REF!</definedName>
    <definedName name="hspt_5_6">#REF!</definedName>
    <definedName name="hspt_5_7">#REF!</definedName>
    <definedName name="hspt_6">#REF!</definedName>
    <definedName name="hspt_6_1">#REF!</definedName>
    <definedName name="hspt_6_4">#REF!</definedName>
    <definedName name="hspt_6_6">#REF!</definedName>
    <definedName name="hspt_6_7">#REF!</definedName>
    <definedName name="hspt_7">#REF!</definedName>
    <definedName name="hsRp1">#REF!</definedName>
    <definedName name="hsRp2">#REF!</definedName>
    <definedName name="HSSL">#REF!</definedName>
    <definedName name="hstam">'[45]Sat~Bahu'!$H$100</definedName>
    <definedName name="hstpb">'[45]Sat~Bahu'!$H$31</definedName>
    <definedName name="hstrh">[80]DHSD!$G$48</definedName>
    <definedName name="HSU.1">#REF!</definedName>
    <definedName name="HSU.1_30">#REF!</definedName>
    <definedName name="HSU.2">#REF!</definedName>
    <definedName name="HSU.2_30">#REF!</definedName>
    <definedName name="HSU.2a">#REF!</definedName>
    <definedName name="HSU.2a_30">#REF!</definedName>
    <definedName name="hsut">#REF!</definedName>
    <definedName name="hsut_1">#REF!</definedName>
    <definedName name="hsut_1_5">#REF!</definedName>
    <definedName name="hsut_2">#REF!</definedName>
    <definedName name="hsut_2_1">#REF!</definedName>
    <definedName name="hsut_2_1_1">#REF!</definedName>
    <definedName name="hsut_2_1_1_6">#REF!</definedName>
    <definedName name="hsut_2_1_6">#REF!</definedName>
    <definedName name="hsut_2_1_7">#REF!</definedName>
    <definedName name="hsut_2_6">#REF!</definedName>
    <definedName name="hsut_3">#REF!</definedName>
    <definedName name="hsut_3_4">#REF!</definedName>
    <definedName name="hsut_3_6">#REF!</definedName>
    <definedName name="hsut_3_7">#REF!</definedName>
    <definedName name="hsut_4">#REF!</definedName>
    <definedName name="hsut_4_1">#REF!</definedName>
    <definedName name="hsut_4_2">#REF!</definedName>
    <definedName name="hsut_4_2_6">#REF!</definedName>
    <definedName name="hsut_4_4">#REF!</definedName>
    <definedName name="hsut_4_6">#REF!</definedName>
    <definedName name="hsut_4_7">#REF!</definedName>
    <definedName name="hsut_5">#REF!</definedName>
    <definedName name="hsut_5_2">#REF!</definedName>
    <definedName name="hsut_5_2_6">#REF!</definedName>
    <definedName name="hsut_5_4">#REF!</definedName>
    <definedName name="hsut_5_6">#REF!</definedName>
    <definedName name="hsut_5_7">#REF!</definedName>
    <definedName name="hsut_6">#REF!</definedName>
    <definedName name="hsut_6_1">#REF!</definedName>
    <definedName name="hsut_6_4">#REF!</definedName>
    <definedName name="hsut_6_6">#REF!</definedName>
    <definedName name="hsut_6_7">#REF!</definedName>
    <definedName name="hsut_7">#REF!</definedName>
    <definedName name="HSVC1">#REF!</definedName>
    <definedName name="HSVC2">#REF!</definedName>
    <definedName name="HSVC3">#REF!</definedName>
    <definedName name="hswt">#REF!</definedName>
    <definedName name="hswt_1">#REF!</definedName>
    <definedName name="hswt_1_5">#REF!</definedName>
    <definedName name="hswt_2">#REF!</definedName>
    <definedName name="hswt_2_1">#REF!</definedName>
    <definedName name="hswt_2_1_1">#REF!</definedName>
    <definedName name="hswt_2_1_1_6">#REF!</definedName>
    <definedName name="hswt_2_1_6">#REF!</definedName>
    <definedName name="hswt_2_1_7">#REF!</definedName>
    <definedName name="hswt_2_6">#REF!</definedName>
    <definedName name="hswt_3">#REF!</definedName>
    <definedName name="hswt_3_4">#REF!</definedName>
    <definedName name="hswt_3_6">#REF!</definedName>
    <definedName name="hswt_3_7">#REF!</definedName>
    <definedName name="hswt_4">#REF!</definedName>
    <definedName name="hswt_4_1">#REF!</definedName>
    <definedName name="hswt_4_2">#REF!</definedName>
    <definedName name="hswt_4_2_6">#REF!</definedName>
    <definedName name="hswt_4_4">#REF!</definedName>
    <definedName name="hswt_4_6">#REF!</definedName>
    <definedName name="hswt_4_7">#REF!</definedName>
    <definedName name="hswt_5">#REF!</definedName>
    <definedName name="hswt_5_2">#REF!</definedName>
    <definedName name="hswt_5_2_6">#REF!</definedName>
    <definedName name="hswt_5_4">#REF!</definedName>
    <definedName name="hswt_5_6">#REF!</definedName>
    <definedName name="hswt_5_7">#REF!</definedName>
    <definedName name="hswt_6">#REF!</definedName>
    <definedName name="hswt_6_1">#REF!</definedName>
    <definedName name="hswt_6_4">#REF!</definedName>
    <definedName name="hswt_6_6">#REF!</definedName>
    <definedName name="hswt_6_7">#REF!</definedName>
    <definedName name="hswt_7">#REF!</definedName>
    <definedName name="HT">#REF!</definedName>
    <definedName name="ht_3060">[136]harsat!$H$72</definedName>
    <definedName name="ht_4040">[136]harsat!$H$48</definedName>
    <definedName name="HT_6">#REF!</definedName>
    <definedName name="HT_ITEM1">#REF!</definedName>
    <definedName name="HT_ITEM10">#REF!</definedName>
    <definedName name="HT_ITEM11">#REF!</definedName>
    <definedName name="HT_ITEM12">#REF!</definedName>
    <definedName name="HT_ITEM2">#REF!</definedName>
    <definedName name="HT_ITEM3">#REF!</definedName>
    <definedName name="HT_ITEM4">#REF!</definedName>
    <definedName name="HT_ITEM5">#REF!</definedName>
    <definedName name="HT_ITEM6">#REF!</definedName>
    <definedName name="HT_ITEM7">#REF!</definedName>
    <definedName name="HT_ITEM8">#REF!</definedName>
    <definedName name="HT_ITEM9">#REF!</definedName>
    <definedName name="ht25nc">'[18]lam-moi'!#REF!</definedName>
    <definedName name="ht25vl">'[18]lam-moi'!#REF!</definedName>
    <definedName name="ht325nc">'[18]lam-moi'!#REF!</definedName>
    <definedName name="ht325vl">'[18]lam-moi'!#REF!</definedName>
    <definedName name="ht37k">'[18]lam-moi'!#REF!</definedName>
    <definedName name="ht37nc">'[18]lam-moi'!#REF!</definedName>
    <definedName name="ht50nc">'[18]lam-moi'!#REF!</definedName>
    <definedName name="ht50vl">'[18]lam-moi'!#REF!</definedName>
    <definedName name="htanki">'[45]Sat~Bahu'!$H$105</definedName>
    <definedName name="htfm">#REF!</definedName>
    <definedName name="hthjhj" hidden="1">{"'Sheet1'!$A$1"}</definedName>
    <definedName name="HTML_CodePage" hidden="1">1252</definedName>
    <definedName name="HTML_Control" hidden="1">{"'Sheet1'!$A$1"}</definedName>
    <definedName name="HTML_Description" hidden="1">""</definedName>
    <definedName name="HTML_Email" hidden="1">""</definedName>
    <definedName name="HTML_Header" hidden="1">"Sheet1"</definedName>
    <definedName name="HTML_LastUpdate" hidden="1">"4/12/01"</definedName>
    <definedName name="HTML_LineAfter" hidden="1">FALSE</definedName>
    <definedName name="HTML_LineBefore" hidden="1">FALSE</definedName>
    <definedName name="HTML_Name" hidden="1">"TJ 2000"</definedName>
    <definedName name="HTML_OBDlg2" hidden="1">TRUE</definedName>
    <definedName name="HTML_OBDlg4" hidden="1">TRUE</definedName>
    <definedName name="HTML_OS" hidden="1">0</definedName>
    <definedName name="HTML_PathFile" hidden="1">"C:\WINDOWS\Favorites\MyHTML.htm"</definedName>
    <definedName name="HTML_Title" hidden="1">"Book1"</definedName>
    <definedName name="HTNC">#REF!</definedName>
    <definedName name="htnh">'[45]Sat~Bahu'!$H$88</definedName>
    <definedName name="htrailer">'[45]Sat~Bahu'!$H$106</definedName>
    <definedName name="htrsht">'[119]SAT-DAS'!$J$63</definedName>
    <definedName name="HTVL">#REF!</definedName>
    <definedName name="HUC.2">#REF!</definedName>
    <definedName name="HUC.2_30">#REF!</definedName>
    <definedName name="hw" hidden="1">{#N/A,#N/A,FALSE,"REK-S-TPL";#N/A,#N/A,FALSE,"REK-TPML";#N/A,#N/A,FALSE,"RAB-TEMPEL"}</definedName>
    <definedName name="hw_1">#REF!</definedName>
    <definedName name="hw1_1">#REF!</definedName>
    <definedName name="hw1_2">#REF!</definedName>
    <definedName name="hw1_3">#REF!</definedName>
    <definedName name="hw26_1">#REF!</definedName>
    <definedName name="hw3_1">#REF!</definedName>
    <definedName name="hwd1_1">#REF!</definedName>
    <definedName name="hwd1_2">#REF!</definedName>
    <definedName name="hwd1_3">[95]satuan_pek_ars!#REF!</definedName>
    <definedName name="hwd1_4">#REF!</definedName>
    <definedName name="hwl.80hp">'[45]Sat~Bahu'!$H$94</definedName>
    <definedName name="hwp.5">'[45]Sat~Bahu'!$H$112</definedName>
    <definedName name="hwt.60hp">'[45]Sat~Bahu'!$H$95</definedName>
    <definedName name="hydrant">#REF!</definedName>
    <definedName name="hydrolik">#REF!</definedName>
    <definedName name="hyhkj" hidden="1">{"'Sheet1'!$A$1"}</definedName>
    <definedName name="hyu4t" hidden="1">{"'Sheet1'!$A$1"}</definedName>
    <definedName name="hyut" hidden="1">{"'Sheet1'!$A$1"}</definedName>
    <definedName name="i">#N/A</definedName>
    <definedName name="I.">#REF!</definedName>
    <definedName name="I....">#REF!</definedName>
    <definedName name="I.....">#REF!</definedName>
    <definedName name="I.6.12">#REF!</definedName>
    <definedName name="I.6.4.1">#REF!</definedName>
    <definedName name="I.6.8.1">#REF!</definedName>
    <definedName name="I.A">#REF!</definedName>
    <definedName name="I_3">#REF!</definedName>
    <definedName name="I_4a">#REF!</definedName>
    <definedName name="I_6">#REF!</definedName>
    <definedName name="I_7">#REF!</definedName>
    <definedName name="I_L1">#REF!</definedName>
    <definedName name="I_L2">#REF!</definedName>
    <definedName name="I_L3">#REF!</definedName>
    <definedName name="I_LATAP">#REF!</definedName>
    <definedName name="I_LD">#REF!</definedName>
    <definedName name="I_LPOS">#REF!</definedName>
    <definedName name="I_LU">#REF!</definedName>
    <definedName name="i2a">#REF!</definedName>
    <definedName name="i2b">#REF!</definedName>
    <definedName name="i2c">#REF!</definedName>
    <definedName name="i2d">#REF!</definedName>
    <definedName name="i2e">#REF!</definedName>
    <definedName name="I2É6">[18]chitimc!#REF!</definedName>
    <definedName name="IA">#REF!</definedName>
    <definedName name="Ibahan">#REF!</definedName>
    <definedName name="ibeam1">#REF!</definedName>
    <definedName name="ibeam10">#REF!</definedName>
    <definedName name="ibeam11">#REF!</definedName>
    <definedName name="ibeam12">#REF!</definedName>
    <definedName name="ibeam13">#REF!</definedName>
    <definedName name="ibeam14">#REF!</definedName>
    <definedName name="ibeam15">#REF!</definedName>
    <definedName name="ibeam2">#REF!</definedName>
    <definedName name="ibeam3">#REF!</definedName>
    <definedName name="ibeam4">#REF!</definedName>
    <definedName name="ibeam5">#REF!</definedName>
    <definedName name="ibeam6">#REF!</definedName>
    <definedName name="ibeam7">#REF!</definedName>
    <definedName name="ibeam8">#REF!</definedName>
    <definedName name="ibeam9">#REF!</definedName>
    <definedName name="ich">#REF!:#REF!</definedName>
    <definedName name="ICHAN">#REF!</definedName>
    <definedName name="icidal">#REF!</definedName>
    <definedName name="icol1">#REF!</definedName>
    <definedName name="icol10">#REF!</definedName>
    <definedName name="icol11">#REF!</definedName>
    <definedName name="icol12">#REF!</definedName>
    <definedName name="icol13">#REF!</definedName>
    <definedName name="icol14">#REF!</definedName>
    <definedName name="icol15">#REF!</definedName>
    <definedName name="icol2">#REF!</definedName>
    <definedName name="icol3">#REF!</definedName>
    <definedName name="icol4">#REF!</definedName>
    <definedName name="icol5">#REF!</definedName>
    <definedName name="icol6">#REF!</definedName>
    <definedName name="icol7">#REF!</definedName>
    <definedName name="icol8">#REF!</definedName>
    <definedName name="icol9">#REF!</definedName>
    <definedName name="idjen">#REF!</definedName>
    <definedName name="ifoot1">#REF!</definedName>
    <definedName name="ifoot10">#REF!</definedName>
    <definedName name="ifoot2">#REF!</definedName>
    <definedName name="ifoot3">#REF!</definedName>
    <definedName name="ifoot4">#REF!</definedName>
    <definedName name="ifoot5">#REF!</definedName>
    <definedName name="ifoot6">#REF!</definedName>
    <definedName name="ifoot7">#REF!</definedName>
    <definedName name="ifoot8">#REF!</definedName>
    <definedName name="ifoot9">#REF!</definedName>
    <definedName name="Iharga2">#REF!</definedName>
    <definedName name="ihb">#REF!</definedName>
    <definedName name="ihb_1">#REF!</definedName>
    <definedName name="ihb_1_5">#REF!</definedName>
    <definedName name="ihb_2">#REF!</definedName>
    <definedName name="ihb_2_1">#REF!</definedName>
    <definedName name="ihb_2_1_1">#REF!</definedName>
    <definedName name="ihb_2_1_1_6">#REF!</definedName>
    <definedName name="ihb_2_1_6">#REF!</definedName>
    <definedName name="ihb_2_1_7">#REF!</definedName>
    <definedName name="ihb_2_6">#REF!</definedName>
    <definedName name="ihb_3">#REF!</definedName>
    <definedName name="ihb_3_4">#REF!</definedName>
    <definedName name="ihb_3_6">#REF!</definedName>
    <definedName name="ihb_3_7">#REF!</definedName>
    <definedName name="ihb_4">#REF!</definedName>
    <definedName name="ihb_4_1">#REF!</definedName>
    <definedName name="ihb_4_2">#REF!</definedName>
    <definedName name="ihb_4_2_6">#REF!</definedName>
    <definedName name="ihb_4_4">#REF!</definedName>
    <definedName name="ihb_4_6">#REF!</definedName>
    <definedName name="ihb_4_7">#REF!</definedName>
    <definedName name="ihb_5">#REF!</definedName>
    <definedName name="ihb_5_2">#REF!</definedName>
    <definedName name="ihb_5_2_6">#REF!</definedName>
    <definedName name="ihb_5_4">#REF!</definedName>
    <definedName name="ihb_5_6">#REF!</definedName>
    <definedName name="ihb_5_7">#REF!</definedName>
    <definedName name="ihb_6">#REF!</definedName>
    <definedName name="ihb_6_1">#REF!</definedName>
    <definedName name="ihb_6_4">#REF!</definedName>
    <definedName name="ihb_6_6">#REF!</definedName>
    <definedName name="ihb_6_7">#REF!</definedName>
    <definedName name="ihb_7">#REF!</definedName>
    <definedName name="ihbl">#REF!</definedName>
    <definedName name="ihbl_1">#REF!</definedName>
    <definedName name="ihbl_1_5">#REF!</definedName>
    <definedName name="ihbl_2">#REF!</definedName>
    <definedName name="ihbl_2_1">#REF!</definedName>
    <definedName name="ihbl_2_1_1">#REF!</definedName>
    <definedName name="ihbl_2_1_1_6">#REF!</definedName>
    <definedName name="ihbl_2_1_6">#REF!</definedName>
    <definedName name="ihbl_2_1_7">#REF!</definedName>
    <definedName name="ihbl_2_6">#REF!</definedName>
    <definedName name="ihbl_2_7">#REF!</definedName>
    <definedName name="ihbl_3">#REF!</definedName>
    <definedName name="ihbl_3_4">#REF!</definedName>
    <definedName name="ihbl_3_6">#REF!</definedName>
    <definedName name="ihbl_3_7">#REF!</definedName>
    <definedName name="ihbl_4">#REF!</definedName>
    <definedName name="ihbl_4_1">#REF!</definedName>
    <definedName name="ihbl_4_2">#REF!</definedName>
    <definedName name="ihbl_4_2_6">#REF!</definedName>
    <definedName name="ihbl_4_4">#REF!</definedName>
    <definedName name="ihbl_4_6">#REF!</definedName>
    <definedName name="ihbl_4_7">#REF!</definedName>
    <definedName name="ihbl_5">#REF!</definedName>
    <definedName name="ihbl_5_2">#REF!</definedName>
    <definedName name="ihbl_5_2_6">#REF!</definedName>
    <definedName name="ihbl_5_4">#REF!</definedName>
    <definedName name="ihbl_5_6">#REF!</definedName>
    <definedName name="ihbl_5_7">#REF!</definedName>
    <definedName name="ihbl_6">#REF!</definedName>
    <definedName name="ihbl_6_1">#REF!</definedName>
    <definedName name="ihbl_6_4">#REF!</definedName>
    <definedName name="ihbl_6_6">#REF!</definedName>
    <definedName name="ihbl_6_7">#REF!</definedName>
    <definedName name="ihbl_7">#REF!</definedName>
    <definedName name="II">#REF!</definedName>
    <definedName name="II....">#REF!</definedName>
    <definedName name="II_01">#REF!</definedName>
    <definedName name="II_01A">#REF!</definedName>
    <definedName name="II_01B">#REF!</definedName>
    <definedName name="II_01C">#REF!</definedName>
    <definedName name="II_01D">#REF!</definedName>
    <definedName name="II_02">#REF!</definedName>
    <definedName name="II_03">#REF!</definedName>
    <definedName name="II_04">#REF!</definedName>
    <definedName name="II_05">#REF!</definedName>
    <definedName name="II_06">#REF!</definedName>
    <definedName name="II_06A">#REF!</definedName>
    <definedName name="II_06B">#REF!</definedName>
    <definedName name="II_06C">#REF!</definedName>
    <definedName name="II_06D">#REF!</definedName>
    <definedName name="II_07">#REF!</definedName>
    <definedName name="II_08">#REF!</definedName>
    <definedName name="II_09">#REF!</definedName>
    <definedName name="II_09A">#REF!</definedName>
    <definedName name="II_09B">#REF!</definedName>
    <definedName name="II_10">#REF!</definedName>
    <definedName name="II_11">#REF!</definedName>
    <definedName name="II_12">#REF!</definedName>
    <definedName name="II_13">#REF!</definedName>
    <definedName name="II_14">#REF!</definedName>
    <definedName name="II_15">#REF!</definedName>
    <definedName name="II_16">#REF!</definedName>
    <definedName name="II_L1">#REF!</definedName>
    <definedName name="II_L2">#REF!</definedName>
    <definedName name="II_L3">#REF!</definedName>
    <definedName name="II_LATAP">#REF!</definedName>
    <definedName name="II_LD">#REF!</definedName>
    <definedName name="II_LPOS">#REF!</definedName>
    <definedName name="II_LU">#REF!</definedName>
    <definedName name="III_d">#REF!</definedName>
    <definedName name="III_L1">#REF!</definedName>
    <definedName name="III_L2">#REF!</definedName>
    <definedName name="III_L3">#REF!</definedName>
    <definedName name="III_LATAP">#REF!</definedName>
    <definedName name="III_LD">#REF!</definedName>
    <definedName name="III_LPOS">#REF!</definedName>
    <definedName name="III_LU">#REF!</definedName>
    <definedName name="iiii">#REF!</definedName>
    <definedName name="iio">#REF!</definedName>
    <definedName name="ijen">#REF!</definedName>
    <definedName name="ijk">'[21]Harga Satuan Bahan'!$E$175</definedName>
    <definedName name="Ijuk">#REF!</definedName>
    <definedName name="ik">#REF!</definedName>
    <definedName name="ikatanangin16mm">#REF!</definedName>
    <definedName name="ikh">#REF!</definedName>
    <definedName name="iku">#REF!</definedName>
    <definedName name="IKUT_CELEDU_FIBER">#REF!</definedName>
    <definedName name="IKUT_CELEDU_PARAS">#REF!</definedName>
    <definedName name="IkutCeledu">#REF!</definedName>
    <definedName name="ilinppn">#REF!</definedName>
    <definedName name="ilm">#REF!</definedName>
    <definedName name="ilul">[80]DHSD!$G$33</definedName>
    <definedName name="im">#REF!</definedName>
    <definedName name="IMA">#N/A</definedName>
    <definedName name="iMPEX">#REF!</definedName>
    <definedName name="iMPEXprog">#REF!</definedName>
    <definedName name="iMPEXtot">#REF!</definedName>
    <definedName name="Impra">#REF!</definedName>
    <definedName name="IN">#REF!</definedName>
    <definedName name="inalat">#REF!</definedName>
    <definedName name="inbow">[39]Elektronik!#REF!</definedName>
    <definedName name="incli">#REF!</definedName>
    <definedName name="indek">#REF!</definedName>
    <definedName name="INDEKDETASIR">#REF!</definedName>
    <definedName name="INDEKLOKASI">#REF!</definedName>
    <definedName name="INDEKS">#REF!</definedName>
    <definedName name="indeks3">#REF!</definedName>
    <definedName name="indekssf">#REF!</definedName>
    <definedName name="index">#REF!</definedName>
    <definedName name="INDEX_ARS">#REF!</definedName>
    <definedName name="Index_Arsitek">#REF!</definedName>
    <definedName name="index_arsitektur">#REF!</definedName>
    <definedName name="Index_sipil">#REF!</definedName>
    <definedName name="INDEX_STR">#REF!</definedName>
    <definedName name="Index_Struktur">#REF!</definedName>
    <definedName name="index2">#REF!</definedName>
    <definedName name="INDEXDETASIR">#REF!</definedName>
    <definedName name="INDEXLOKASI">#REF!</definedName>
    <definedName name="Indikator_lamp">[39]Elektronik!#REF!</definedName>
    <definedName name="INDOFLEX">#REF!</definedName>
    <definedName name="Indoor_box">'[39]Fire Fighting'!#REF!</definedName>
    <definedName name="INFPNR">#REF!</definedName>
    <definedName name="injin">#REF!</definedName>
    <definedName name="inlain">#REF!</definedName>
    <definedName name="Inlet">#REF!</definedName>
    <definedName name="Inlet_d">#REF!</definedName>
    <definedName name="INM">#REF!</definedName>
    <definedName name="inmat">#REF!</definedName>
    <definedName name="inpen">#REF!</definedName>
    <definedName name="INS" hidden="1">{#N/A,#N/A,FALSE,"SUM_Prop";#N/A,#N/A,FALSE,"PROCESS-eng";#N/A,#N/A,FALSE,"PROCESS-com";#N/A,#N/A,FALSE,"INST-eng";#N/A,#N/A,FALSE,"INST-com"}</definedName>
    <definedName name="Ins_call_itc">[39]Elektronik!#REF!</definedName>
    <definedName name="Ins_ceiling">[39]Elektronik!#REF!</definedName>
    <definedName name="Ins_data">[39]Elektronik!#REF!</definedName>
    <definedName name="Ins_detec">[39]Elektronik!#REF!</definedName>
    <definedName name="Ins_fan">[39]Electrikal!#REF!</definedName>
    <definedName name="ins_fcu">'[39]Item Kompensasi'!#REF!</definedName>
    <definedName name="Ins_Kabel_3x15">'[66]Analisa Harga Satuan'!$G$2989</definedName>
    <definedName name="Ins_man_flow_bell">[39]Elektronik!#REF!</definedName>
    <definedName name="Ins_out">[39]Electrikal!#REF!</definedName>
    <definedName name="Ins_pen">[39]Electrikal!#REF!</definedName>
    <definedName name="Ins_telp">[39]Elektronik!#REF!</definedName>
    <definedName name="Ins_transmitter">[39]Elektronik!#REF!</definedName>
    <definedName name="insalb">#REF!</definedName>
    <definedName name="InsBC35mm">'[66]Analisa Harga Satuan'!$G$3165</definedName>
    <definedName name="insbs">#REF!</definedName>
    <definedName name="inscs">#REF!</definedName>
    <definedName name="insdet">#REF!</definedName>
    <definedName name="Insentif_Mekanik__HM">#REF!</definedName>
    <definedName name="Insentif_operator__HM">#REF!</definedName>
    <definedName name="insfs">#REF!</definedName>
    <definedName name="inshs">#REF!</definedName>
    <definedName name="insk">#REF!</definedName>
    <definedName name="Inskabel3x25">'[66]Analisa Harga Satuan'!$G$3000</definedName>
    <definedName name="insloop">#REF!</definedName>
    <definedName name="Inst">#REF!</definedName>
    <definedName name="inst_11000">#REF!</definedName>
    <definedName name="inst_2200">#REF!</definedName>
    <definedName name="inst_3000">#REF!</definedName>
    <definedName name="inst_4500">#REF!</definedName>
    <definedName name="inst_6500">#REF!</definedName>
    <definedName name="inst_9000">#REF!</definedName>
    <definedName name="INST_LAMPU">#REF!</definedName>
    <definedName name="inst_out">[96]Elektrikal!#REF!</definedName>
    <definedName name="inst_pen">[96]Elektrikal!#REF!</definedName>
    <definedName name="INSTANSI">#REF!</definedName>
    <definedName name="Instansi2">#REF!</definedName>
    <definedName name="InstKabel_NYA1x10">#REF!</definedName>
    <definedName name="InstKabel_NYA1x16">#REF!</definedName>
    <definedName name="InstKabel_NYA1x25">#REF!</definedName>
    <definedName name="InstKabel_NYA1x50">#REF!</definedName>
    <definedName name="InstKabel_NYA1x70">#REF!</definedName>
    <definedName name="InstKabel_NYYFGBY4x150">#REF!</definedName>
    <definedName name="InstKabel_NYYFGBY4x70">#REF!</definedName>
    <definedName name="InstKabelNYM2x15">#REF!</definedName>
    <definedName name="InstKabelNYM3x4">#REF!</definedName>
    <definedName name="InstKabelNYY4x10">#REF!</definedName>
    <definedName name="InstKabelNYY4x16">#REF!</definedName>
    <definedName name="InstKabelNYY4x50">#REF!</definedName>
    <definedName name="InstKabelNYY4x6">#REF!</definedName>
    <definedName name="InstKabelNYY4x70">#REF!</definedName>
    <definedName name="InstKabelNYY4x95">#REF!</definedName>
    <definedName name="InstKabelNYYFGBY4x70">#REF!</definedName>
    <definedName name="insttklmp">#REF!</definedName>
    <definedName name="INSU">#REF!</definedName>
    <definedName name="insul">#REF!</definedName>
    <definedName name="INSURANCE">#REF!</definedName>
    <definedName name="int">"$#REF!.$H$11"</definedName>
    <definedName name="int_wp">"$#REF!.$H$10"</definedName>
    <definedName name="int1a">[136]harsat!$J$2</definedName>
    <definedName name="int1b">[136]harsat!$K$2</definedName>
    <definedName name="int2a">[136]harsat!$J$3</definedName>
    <definedName name="int2b">[136]harsat!$K$3</definedName>
    <definedName name="Inter">#REF!</definedName>
    <definedName name="Interface">#REF!</definedName>
    <definedName name="InternalFinishes">#REF!</definedName>
    <definedName name="Internsex">#REF!</definedName>
    <definedName name="interpolasi" hidden="1">#REF!</definedName>
    <definedName name="inupah">#REF!</definedName>
    <definedName name="io">#REF!</definedName>
    <definedName name="iojofjpok">#REF!</definedName>
    <definedName name="iones" hidden="1">#REF!</definedName>
    <definedName name="IPL_STD">#REF!</definedName>
    <definedName name="iprpt1">#REF!</definedName>
    <definedName name="iprpt10">#REF!</definedName>
    <definedName name="iprpt2">#REF!</definedName>
    <definedName name="iprpt3">#REF!</definedName>
    <definedName name="iprpt4">#REF!</definedName>
    <definedName name="iprpt5">#REF!</definedName>
    <definedName name="iprpt6">#REF!</definedName>
    <definedName name="iprpt7">#REF!</definedName>
    <definedName name="iprpt8">#REF!</definedName>
    <definedName name="iprpt9">#REF!</definedName>
    <definedName name="IPU">#N/A</definedName>
    <definedName name="irahu">#REF!</definedName>
    <definedName name="is">#REF!</definedName>
    <definedName name="isa">#REF!</definedName>
    <definedName name="ISI">#REF!</definedName>
    <definedName name="isl">#REF!</definedName>
    <definedName name="islab1">#REF!</definedName>
    <definedName name="islab10">#REF!</definedName>
    <definedName name="islab11">#REF!</definedName>
    <definedName name="islab12">#REF!</definedName>
    <definedName name="islab13">#REF!</definedName>
    <definedName name="islab14">#REF!</definedName>
    <definedName name="islab15">#REF!</definedName>
    <definedName name="islab2">#REF!</definedName>
    <definedName name="islab3">#REF!</definedName>
    <definedName name="islab4">#REF!</definedName>
    <definedName name="islab5">#REF!</definedName>
    <definedName name="islab6">#REF!</definedName>
    <definedName name="islab7">#REF!</definedName>
    <definedName name="islab8">#REF!</definedName>
    <definedName name="islab9">#REF!</definedName>
    <definedName name="islamiyah">#REF!</definedName>
    <definedName name="iso_24">#REF!</definedName>
    <definedName name="iso_48">#REF!</definedName>
    <definedName name="iso_80">#REF!</definedName>
    <definedName name="isolasi">'[78]Harga Jasa dan Material'!$D$144</definedName>
    <definedName name="isolasi_AC_1.1.8">'[78]Harga Jasa dan Material'!$D$423</definedName>
    <definedName name="isolasi_AC_1.2">'[78]Harga Jasa dan Material'!$D$419</definedName>
    <definedName name="isolasi_AC_1.3.8">'[78]Harga Jasa dan Material'!$D$424</definedName>
    <definedName name="isolasi_AC_1.5.8">'[78]Harga Jasa dan Material'!$D$425</definedName>
    <definedName name="isolasi_AC_2.1.8">'[78]Harga Jasa dan Material'!$D$426</definedName>
    <definedName name="isolasi_AC_3.4">'[78]Harga Jasa dan Material'!$D$421</definedName>
    <definedName name="isolasi_AC_3.8">'[78]Harga Jasa dan Material'!$D$418</definedName>
    <definedName name="isolasi_AC_5.8">'[78]Harga Jasa dan Material'!$D$420</definedName>
    <definedName name="isolasi_AC_7.8">'[78]Harga Jasa dan Material'!$D$422</definedName>
    <definedName name="Isolator">#REF!</definedName>
    <definedName name="ITC">#REF!</definedName>
    <definedName name="ITEM">#REF!</definedName>
    <definedName name="ITEM_PEMBAYARAN_No.">#REF!</definedName>
    <definedName name="Itong">COLUMN([92]Bulanan!$F$6)</definedName>
    <definedName name="iuri">[52]DHSD!$G$36</definedName>
    <definedName name="IV_L1">#REF!</definedName>
    <definedName name="IV_L2">#REF!</definedName>
    <definedName name="IV_L3">#REF!</definedName>
    <definedName name="IV_LD">#REF!</definedName>
    <definedName name="IV_UPOS">#REF!</definedName>
    <definedName name="iwall1">#REF!</definedName>
    <definedName name="iwall10">#REF!</definedName>
    <definedName name="iwall2">#REF!</definedName>
    <definedName name="iwall3">#REF!</definedName>
    <definedName name="iwall4">#REF!</definedName>
    <definedName name="iwall5">#REF!</definedName>
    <definedName name="iwall6">#REF!</definedName>
    <definedName name="iwall7">#REF!</definedName>
    <definedName name="iwall8">#REF!</definedName>
    <definedName name="iwall9">#REF!</definedName>
    <definedName name="iwf">#REF!</definedName>
    <definedName name="IWF.200.100.5.5.8">#REF!</definedName>
    <definedName name="IWF.300.150.6.5.9">#REF!</definedName>
    <definedName name="IWF.300.200.8.12">#REF!</definedName>
    <definedName name="iwp">[65]satuan_pek_str!#REF!</definedName>
    <definedName name="IX.c">#REF!</definedName>
    <definedName name="IXb">#REF!</definedName>
    <definedName name="J">#REF!</definedName>
    <definedName name="J.">#REF!</definedName>
    <definedName name="J.1">#REF!</definedName>
    <definedName name="J.10">#REF!</definedName>
    <definedName name="J.11">#REF!</definedName>
    <definedName name="J.12">#REF!</definedName>
    <definedName name="J.13">#REF!</definedName>
    <definedName name="J.14">#REF!</definedName>
    <definedName name="J.15">#REF!</definedName>
    <definedName name="J.16">#REF!</definedName>
    <definedName name="J.2">#REF!</definedName>
    <definedName name="J.3">#REF!</definedName>
    <definedName name="J.4">#REF!</definedName>
    <definedName name="J.5">#REF!</definedName>
    <definedName name="J.6">#REF!</definedName>
    <definedName name="J.6.1">#REF!</definedName>
    <definedName name="J.6.10">#REF!</definedName>
    <definedName name="J.6.10.1">#REF!</definedName>
    <definedName name="J.6.11">#REF!</definedName>
    <definedName name="J.6.13">#REF!</definedName>
    <definedName name="J.6.14">#REF!</definedName>
    <definedName name="J.6.31">#REF!</definedName>
    <definedName name="J.6.35">#REF!</definedName>
    <definedName name="J.6.36">#REF!</definedName>
    <definedName name="J.6.5">#REF!</definedName>
    <definedName name="J.6.7">#REF!</definedName>
    <definedName name="J.6.7a">#REF!</definedName>
    <definedName name="J.6.9">#REF!</definedName>
    <definedName name="J.6.9.1">#REF!</definedName>
    <definedName name="J.8">#REF!</definedName>
    <definedName name="J.KACAALUM">#REF!</definedName>
    <definedName name="J_10">#REF!</definedName>
    <definedName name="J_11_A">#REF!</definedName>
    <definedName name="J_12">#REF!</definedName>
    <definedName name="J_16">#REF!</definedName>
    <definedName name="J_18">#REF!</definedName>
    <definedName name="J_19">#REF!</definedName>
    <definedName name="J_20">#REF!</definedName>
    <definedName name="J_20A">#REF!</definedName>
    <definedName name="J_21">#REF!</definedName>
    <definedName name="J_22">#REF!</definedName>
    <definedName name="J_23">#REF!</definedName>
    <definedName name="J_4a">#REF!</definedName>
    <definedName name="j_5a">#REF!</definedName>
    <definedName name="J_7">#REF!</definedName>
    <definedName name="J_7A">#REF!</definedName>
    <definedName name="J_8">#REF!</definedName>
    <definedName name="J_8A">#REF!</definedName>
    <definedName name="J_9">#REF!</definedName>
    <definedName name="J_9A">#REF!</definedName>
    <definedName name="J1_1">#REF!</definedName>
    <definedName name="J11_BL8">#REF!</definedName>
    <definedName name="J2_1">#REF!</definedName>
    <definedName name="J3_2">#REF!</definedName>
    <definedName name="J4_2">#REF!</definedName>
    <definedName name="j5jj" hidden="1">{"'Sheet1'!$A$1"}</definedName>
    <definedName name="J7_BL8">#REF!</definedName>
    <definedName name="J8_BL8">#REF!</definedName>
    <definedName name="J9_BL8">#REF!</definedName>
    <definedName name="Ja.1">#REF!</definedName>
    <definedName name="Ja.2">#REF!</definedName>
    <definedName name="ja_10">[95]satuan_pek_ars!#REF!</definedName>
    <definedName name="ja_16">[95]satuan_pek_ars!#REF!</definedName>
    <definedName name="ja_17">[95]satuan_pek_ars!#REF!</definedName>
    <definedName name="ja_18">[95]satuan_pek_ars!#REF!</definedName>
    <definedName name="ja_5">[95]satuan_pek_ars!#REF!</definedName>
    <definedName name="ja_6">[95]satuan_pek_ars!#REF!</definedName>
    <definedName name="ja_7">[95]satuan_pek_ars!#REF!</definedName>
    <definedName name="ja_9">[95]satuan_pek_ars!#REF!</definedName>
    <definedName name="ja_9a">[95]satuan_pek_ars!#REF!</definedName>
    <definedName name="ja_9b">[95]satuan_pek_ars!#REF!</definedName>
    <definedName name="JA_9C">[95]satuan_pek_ars!#REF!</definedName>
    <definedName name="JABATAN">#REF!</definedName>
    <definedName name="JabatanOwner1">#REF!</definedName>
    <definedName name="JabatanOwner2">#REF!</definedName>
    <definedName name="jack">#REF!</definedName>
    <definedName name="JACKHAMMER">#REF!</definedName>
    <definedName name="JADUAL_PEMAKAIAN_ALAT">#REF!</definedName>
    <definedName name="JADUAL_PENGADAAN_MATERIAL_UTAMA">#REF!</definedName>
    <definedName name="jagamalam" localSheetId="7">[33]H_Dasar!#REF!</definedName>
    <definedName name="jagamalam">[33]H_Dasar!#REF!</definedName>
    <definedName name="JAJA">#REF!</definedName>
    <definedName name="JAKARTA_OFFICE">#REF!</definedName>
    <definedName name="jaket">#REF!</definedName>
    <definedName name="jalan">#REF!</definedName>
    <definedName name="JalanSementara">#REF!</definedName>
    <definedName name="JALUSI">#REF!</definedName>
    <definedName name="JALUSI_KAYU_KRUING">#REF!</definedName>
    <definedName name="JALUSIKAYU">#REF!</definedName>
    <definedName name="jalusikayu\nonjasa">#REF!</definedName>
    <definedName name="Jam">#REF!</definedName>
    <definedName name="jamal">#REF!</definedName>
    <definedName name="jambudipa">#REF!</definedName>
    <definedName name="jaminan">[3]CH!$C$19</definedName>
    <definedName name="JamKerja">#REF!</definedName>
    <definedName name="jangan" hidden="1">#REF!</definedName>
    <definedName name="janitor">[93]Rekap!$H$49</definedName>
    <definedName name="JAPANESE_MESS">#REF!</definedName>
    <definedName name="Jarak_Batu_Kali">#REF!</definedName>
    <definedName name="Jarak_Behel">0.17</definedName>
    <definedName name="Jarak_Ciping">#REF!</definedName>
    <definedName name="Jarak_dari_Kota_di_Awal">#REF!</definedName>
    <definedName name="Jarak_Pasir">#REF!</definedName>
    <definedName name="Jarak_Urbis">#REF!</definedName>
    <definedName name="Jarak_Urpil">#REF!</definedName>
    <definedName name="JASA">#REF!</definedName>
    <definedName name="Jasa___ppn">#REF!</definedName>
    <definedName name="JASA_1">#REF!</definedName>
    <definedName name="JASA_1_2">#REF!</definedName>
    <definedName name="JASA_1_4">#REF!</definedName>
    <definedName name="JASA_1_6">#REF!</definedName>
    <definedName name="JASA_1_7">#REF!</definedName>
    <definedName name="JASA_2">#REF!</definedName>
    <definedName name="JASA_2_1">#REF!</definedName>
    <definedName name="JASA_2_1_6">#REF!</definedName>
    <definedName name="JASA_2_4">#REF!</definedName>
    <definedName name="JASA_2_6">#REF!</definedName>
    <definedName name="JASA_2_7">#REF!</definedName>
    <definedName name="JASA_3">#REF!</definedName>
    <definedName name="JASA_3_2">#REF!</definedName>
    <definedName name="JASA_3_4">#REF!</definedName>
    <definedName name="JASA_3_6">#REF!</definedName>
    <definedName name="JASA_3_7">#REF!</definedName>
    <definedName name="JASA_4">#REF!</definedName>
    <definedName name="JASA_4_1">#REF!</definedName>
    <definedName name="JASA_4_2">#REF!</definedName>
    <definedName name="JASA_4_4">#REF!</definedName>
    <definedName name="JASA_4_6">#REF!</definedName>
    <definedName name="JASA_4_7">#REF!</definedName>
    <definedName name="JASA_5">#REF!</definedName>
    <definedName name="JASA_5_2">#REF!</definedName>
    <definedName name="JASA_5_4">#REF!</definedName>
    <definedName name="JASA_5_6">#REF!</definedName>
    <definedName name="JASA_5_7">#REF!</definedName>
    <definedName name="JASA_6">#REF!</definedName>
    <definedName name="JASA_6_1">#REF!</definedName>
    <definedName name="JASA_6_2">#REF!</definedName>
    <definedName name="JASA_6_4">#REF!</definedName>
    <definedName name="JASA_6_6">#REF!</definedName>
    <definedName name="JASA_6_7">#REF!</definedName>
    <definedName name="JASA_7">#REF!</definedName>
    <definedName name="JASA_7_1">#REF!</definedName>
    <definedName name="JASD">#REF!</definedName>
    <definedName name="jatiblk">#REF!</definedName>
    <definedName name="jatibojonegoro">#REF!</definedName>
    <definedName name="jatilokalmalang">#REF!</definedName>
    <definedName name="jatippn">#REF!</definedName>
    <definedName name="Jb.1">#REF!</definedName>
    <definedName name="jbfasb">#REF!</definedName>
    <definedName name="jbts">#REF!</definedName>
    <definedName name="JdlNako">#REF!</definedName>
    <definedName name="JEFTA">#REF!</definedName>
    <definedName name="JEFTA_1">#REF!</definedName>
    <definedName name="JEFTA_1_2">#REF!</definedName>
    <definedName name="JEFTA_1_2_6">#REF!</definedName>
    <definedName name="JEFTA_1_4">#REF!</definedName>
    <definedName name="JEFTA_1_6">#REF!</definedName>
    <definedName name="JEFTA_1_7">#REF!</definedName>
    <definedName name="JEFTA_17">#REF!</definedName>
    <definedName name="JEFTA_2">#REF!</definedName>
    <definedName name="JEFTA_2_1">#REF!</definedName>
    <definedName name="JEFTA_2_1_6">#REF!</definedName>
    <definedName name="JEFTA_2_2">#REF!</definedName>
    <definedName name="JEFTA_2_4">#REF!</definedName>
    <definedName name="JEFTA_2_6">#REF!</definedName>
    <definedName name="JEFTA_2_7">#REF!</definedName>
    <definedName name="JEFTA_3">#REF!</definedName>
    <definedName name="JEFTA_3_2">#REF!</definedName>
    <definedName name="JEFTA_3_2_6">#REF!</definedName>
    <definedName name="JEFTA_3_4">#REF!</definedName>
    <definedName name="JEFTA_3_6">#REF!</definedName>
    <definedName name="JEFTA_3_7">#REF!</definedName>
    <definedName name="JEFTA_4">#REF!</definedName>
    <definedName name="JEFTA_4_1">#REF!</definedName>
    <definedName name="JEFTA_4_2">#REF!</definedName>
    <definedName name="JEFTA_4_2_6">#REF!</definedName>
    <definedName name="JEFTA_4_4">#REF!</definedName>
    <definedName name="JEFTA_4_6">#REF!</definedName>
    <definedName name="JEFTA_4_7">#REF!</definedName>
    <definedName name="JEFTA_5">#REF!</definedName>
    <definedName name="JEFTA_5_2">#REF!</definedName>
    <definedName name="JEFTA_5_2_6">#REF!</definedName>
    <definedName name="JEFTA_5_4">#REF!</definedName>
    <definedName name="JEFTA_5_6">#REF!</definedName>
    <definedName name="JEFTA_5_7">#REF!</definedName>
    <definedName name="JEFTA_6">#REF!</definedName>
    <definedName name="JEFTA_6_1">#REF!</definedName>
    <definedName name="JEFTA_6_2">#REF!</definedName>
    <definedName name="JEFTA_6_2_6">#REF!</definedName>
    <definedName name="JEFTA_6_4">#REF!</definedName>
    <definedName name="JEFTA_6_6">#REF!</definedName>
    <definedName name="JEFTA_6_7">#REF!</definedName>
    <definedName name="JEFTA_7">#REF!</definedName>
    <definedName name="JEFTA_7_1">#REF!</definedName>
    <definedName name="JEFTA_7_6">#REF!</definedName>
    <definedName name="JEFTA_7_7">#REF!</definedName>
    <definedName name="JEFTA_8">#REF!</definedName>
    <definedName name="JEFTA_9">#REF!</definedName>
    <definedName name="jem">[24]Analisa!#REF!</definedName>
    <definedName name="jembatan">#REF!</definedName>
    <definedName name="Jembatan_bally">#REF!</definedName>
    <definedName name="jenalja14">#REF!</definedName>
    <definedName name="jenalja14a">#REF!</definedName>
    <definedName name="jenalja15">#REF!</definedName>
    <definedName name="jenalja15a">#REF!</definedName>
    <definedName name="jenalja16">#REF!</definedName>
    <definedName name="jenalja16a">#REF!</definedName>
    <definedName name="jenalja16b">#REF!</definedName>
    <definedName name="jenalja17">#REF!</definedName>
    <definedName name="jenalja18">#REF!</definedName>
    <definedName name="JEND">#REF!</definedName>
    <definedName name="Jend_1">#REF!</definedName>
    <definedName name="JendBV1">#REF!</definedName>
    <definedName name="JendBV2">#REF!</definedName>
    <definedName name="jendelaalumkaca\nonjasa">#REF!</definedName>
    <definedName name="JendJ2">#REF!</definedName>
    <definedName name="JendJ3">#REF!</definedName>
    <definedName name="JenisBahan">#REF!</definedName>
    <definedName name="JenisBahanCCOIntern">#REF!</definedName>
    <definedName name="JenisBahanRealisasiSaatIni">#REF!</definedName>
    <definedName name="JenisBahanRealisasiSdSaatLalu">#REF!</definedName>
    <definedName name="jer">#REF!</definedName>
    <definedName name="jetpm">'[21]Harga Satuan Bahan'!$E$150</definedName>
    <definedName name="JETWASHER">#REF!</definedName>
    <definedName name="jf">#REF!</definedName>
    <definedName name="jfiller">#REF!</definedName>
    <definedName name="jfj" hidden="1">{"'Sheet1'!$A$1"}</definedName>
    <definedName name="jghjghj">#N/A</definedName>
    <definedName name="jghjgjhg">[144]Cover!#REF!</definedName>
    <definedName name="JGY">#N/A</definedName>
    <definedName name="jh" hidden="1">#REF!</definedName>
    <definedName name="JHG">#REF!</definedName>
    <definedName name="JHGF">#REF!</definedName>
    <definedName name="JHGJG">[0]!_2117detib2120_6_1_1:[0]!_2122detib250_5_1</definedName>
    <definedName name="jhozz">#REF!</definedName>
    <definedName name="JHYJHH">#REF!</definedName>
    <definedName name="jik">#REF!</definedName>
    <definedName name="jik_1">#REF!</definedName>
    <definedName name="jik_2">#REF!</definedName>
    <definedName name="jik_2_1">#REF!</definedName>
    <definedName name="jik_2_1_6">#REF!</definedName>
    <definedName name="jik_2_6">#REF!</definedName>
    <definedName name="jik_2_7">#REF!</definedName>
    <definedName name="jik_3">#REF!</definedName>
    <definedName name="jik_3_6">#REF!</definedName>
    <definedName name="jik_3_7">#REF!</definedName>
    <definedName name="jik_4">#REF!</definedName>
    <definedName name="jik_5">#REF!</definedName>
    <definedName name="jik_6">#REF!</definedName>
    <definedName name="jik_6_1">#REF!</definedName>
    <definedName name="jik_6_6">#REF!</definedName>
    <definedName name="jik_6_7">#REF!</definedName>
    <definedName name="jik_7">#REF!</definedName>
    <definedName name="jin">#REF!</definedName>
    <definedName name="JIT">#REF!</definedName>
    <definedName name="JJ">#REF!</definedName>
    <definedName name="JJ_01">#REF!</definedName>
    <definedName name="JJ_02">#REF!</definedName>
    <definedName name="JJ_02A">#REF!</definedName>
    <definedName name="JJ_05">#REF!</definedName>
    <definedName name="JJ_05A">#REF!</definedName>
    <definedName name="JJ_06">#REF!</definedName>
    <definedName name="JJ_07">#REF!</definedName>
    <definedName name="JJ_08">#REF!</definedName>
    <definedName name="JJ_09">#REF!</definedName>
    <definedName name="JJ_10">#REF!</definedName>
    <definedName name="JJ_10A">#REF!</definedName>
    <definedName name="JJ_12">#REF!</definedName>
    <definedName name="JJ_12A">#REF!</definedName>
    <definedName name="JJ_13">#REF!</definedName>
    <definedName name="JJ_14">#REF!</definedName>
    <definedName name="JJ_15">#REF!</definedName>
    <definedName name="JJ_15A">#REF!</definedName>
    <definedName name="JJ_15B">#REF!</definedName>
    <definedName name="JJ_16">#REF!</definedName>
    <definedName name="JJ_17">#REF!</definedName>
    <definedName name="JJ_18">#REF!</definedName>
    <definedName name="JJ_19">#REF!</definedName>
    <definedName name="JJ_19A">#REF!</definedName>
    <definedName name="JJ_19B">#REF!</definedName>
    <definedName name="JJ_19C">#REF!</definedName>
    <definedName name="JJ_20">#REF!</definedName>
    <definedName name="JJ_21">#REF!</definedName>
    <definedName name="JJ_21A">#REF!</definedName>
    <definedName name="JJ_21B">#REF!</definedName>
    <definedName name="JJ_22">#REF!</definedName>
    <definedName name="JJ_23">#REF!</definedName>
    <definedName name="JJ_23A">#REF!</definedName>
    <definedName name="JJ_24">#REF!</definedName>
    <definedName name="JJ_25">#REF!</definedName>
    <definedName name="JJ_26">#REF!</definedName>
    <definedName name="JJ_29">#REF!</definedName>
    <definedName name="JJ_30">#REF!</definedName>
    <definedName name="JJ_31">#REF!</definedName>
    <definedName name="JJ_32">#REF!</definedName>
    <definedName name="JJ_32A">#REF!</definedName>
    <definedName name="JJ_33">#REF!</definedName>
    <definedName name="JJ_34">#REF!</definedName>
    <definedName name="JJ_35">#REF!</definedName>
    <definedName name="JJ_36">#REF!</definedName>
    <definedName name="JJ_37">#REF!</definedName>
    <definedName name="JJ_38">#REF!</definedName>
    <definedName name="JJ_39">#REF!</definedName>
    <definedName name="JJ_40">#REF!</definedName>
    <definedName name="jjds">#REF!</definedName>
    <definedName name="jjg">#REF!</definedName>
    <definedName name="JJG.bambujepang">#REF!</definedName>
    <definedName name="JJG.bungurjepang">#REF!</definedName>
    <definedName name="JJG.galiandalam1m">#REF!</definedName>
    <definedName name="JJG.galiandalam2m">#REF!</definedName>
    <definedName name="JJG.kiarapayung">#REF!</definedName>
    <definedName name="JJG.klameof.irian">#REF!</definedName>
    <definedName name="JJG.liliparis">#REF!</definedName>
    <definedName name="JJG.palembismarkia">#REF!</definedName>
    <definedName name="JJG.pembersihan.perataan.lahanproyek">#REF!</definedName>
    <definedName name="JJG.pohon.angsana\unit">#REF!</definedName>
    <definedName name="JJG.pohon.ceremai">#REF!</definedName>
    <definedName name="JJG.pohon.dadapmerah">#REF!</definedName>
    <definedName name="JJG.pohon.kacapiring">#REF!</definedName>
    <definedName name="JJG.pohon.kecapi">#REF!</definedName>
    <definedName name="JJG.pohon.perduoleander\unit">#REF!</definedName>
    <definedName name="JJG.pohon.sukun">#REF!</definedName>
    <definedName name="JJG.pohon.taiwanbeuti\unit">#REF!</definedName>
    <definedName name="JJG.pohonbambukuning\unit">#REF!</definedName>
    <definedName name="JJG.pohoncemara\unit">#REF!</definedName>
    <definedName name="JJG.pohonketapang\unit">#REF!</definedName>
    <definedName name="JJG.pohonlantana\unit">#REF!</definedName>
    <definedName name="JJG.pohonmanggis\unit">#REF!</definedName>
    <definedName name="JJG.pohonnangka">#REF!</definedName>
    <definedName name="JJG.pohonpalemraja\unit">#REF!</definedName>
    <definedName name="JJG.pohonthetehan\unit">#REF!</definedName>
    <definedName name="JJG.rumputgajah\m2">#REF!</definedName>
    <definedName name="JJG.rumputjepang\m2">#REF!</definedName>
    <definedName name="JJG.rumputpeking\m2">#REF!</definedName>
    <definedName name="JJG.tanaman.heloconia">#REF!</definedName>
    <definedName name="JJHGF">[0]!_210_S_3_6_1_1:[0]!_2127detib250_6_1</definedName>
    <definedName name="jjj">#REF!</definedName>
    <definedName name="jjjjjj">#REF!</definedName>
    <definedName name="jjl">#REF!</definedName>
    <definedName name="JJUM4C">[36]STR!#REF!</definedName>
    <definedName name="jk">#REF!</definedName>
    <definedName name="jkljlk">[145]Cover!#REF!</definedName>
    <definedName name="jkll">#REF!</definedName>
    <definedName name="JKTKTY">'[49]Lamp-4 Sat-Das'!$J$73</definedName>
    <definedName name="Jl._Selaparang_No._52_Mataram">#REF!</definedName>
    <definedName name="jln_Sementara">#REF!</definedName>
    <definedName name="jm">#N/A</definedName>
    <definedName name="jml_K1">#REF!</definedName>
    <definedName name="JMLKELUARGA">#REF!</definedName>
    <definedName name="JOB">#REF!</definedName>
    <definedName name="JobDesc">#REF!</definedName>
    <definedName name="join">#REF!</definedName>
    <definedName name="JOINF">#REF!</definedName>
    <definedName name="JOINS">#REF!</definedName>
    <definedName name="joint">"'file://SERVER3/har-data/STRUCTURE PRICE OF BQ KOMPAS GRAMEDIA.xls'#$analisa.$#REF!$#REF!"</definedName>
    <definedName name="JP">#REF!</definedName>
    <definedName name="JPEMBA">#REF!</definedName>
    <definedName name="JPENING">#REF!</definedName>
    <definedName name="JPY">#REF!</definedName>
    <definedName name="JREHAB">#REF!</definedName>
    <definedName name="Jrgambar">#REF!</definedName>
    <definedName name="JRK">#REF!</definedName>
    <definedName name="jry" hidden="1">{"'Sheet1'!$A$1"}</definedName>
    <definedName name="js">#REF!</definedName>
    <definedName name="jsm">#REF!</definedName>
    <definedName name="jsx">#REF!</definedName>
    <definedName name="jsxm">#REF!</definedName>
    <definedName name="jt">#REF!</definedName>
    <definedName name="JUDUL">#REF!</definedName>
    <definedName name="JUM4A">[36]STR!#REF!</definedName>
    <definedName name="JUM4B">[36]STR!#REF!</definedName>
    <definedName name="JUM4C">[36]STR!#REF!</definedName>
    <definedName name="JUM4D">[36]STR!#REF!</definedName>
    <definedName name="JUM4E">[36]STR!#REF!</definedName>
    <definedName name="JUM4F">[36]STR!#REF!</definedName>
    <definedName name="JUM4G">[36]STR!#REF!</definedName>
    <definedName name="JUM5A">[36]STR!#REF!</definedName>
    <definedName name="JUM5B">[36]STR!#REF!</definedName>
    <definedName name="JUM5C">[36]STR!#REF!</definedName>
    <definedName name="JUM5D">[36]STR!#REF!</definedName>
    <definedName name="JUM5E">[36]STR!#REF!</definedName>
    <definedName name="JUM5F">[36]STR!#REF!</definedName>
    <definedName name="JUM5G">[36]STR!#REF!</definedName>
    <definedName name="jumlah">#REF!</definedName>
    <definedName name="Jumlah_I">#REF!</definedName>
    <definedName name="Jumlah_II">#REF!</definedName>
    <definedName name="Jumlah_III">#REF!</definedName>
    <definedName name="Jumlah_IV">#REF!</definedName>
    <definedName name="Jumlah_V">#REF!</definedName>
    <definedName name="Jumlah_VI">#REF!</definedName>
    <definedName name="jumlaharsitektur">#REF!</definedName>
    <definedName name="juruukur">#REF!</definedName>
    <definedName name="JUTA">#REF!</definedName>
    <definedName name="jyj" hidden="1">{"'Sheet1'!$A$1"}</definedName>
    <definedName name="K">#REF!</definedName>
    <definedName name="k.">#REF!</definedName>
    <definedName name="K.010">#REF!</definedName>
    <definedName name="K.011">#REF!</definedName>
    <definedName name="K.012">#REF!</definedName>
    <definedName name="K.013">#REF!</definedName>
    <definedName name="K.014">#REF!</definedName>
    <definedName name="K.016">#REF!</definedName>
    <definedName name="K.017">#REF!</definedName>
    <definedName name="K.018">#REF!</definedName>
    <definedName name="K.020">#REF!</definedName>
    <definedName name="K.023">#REF!</definedName>
    <definedName name="K.024">#REF!</definedName>
    <definedName name="K.025">#REF!</definedName>
    <definedName name="K.026">#REF!</definedName>
    <definedName name="K.035">#REF!</definedName>
    <definedName name="K.040">#REF!</definedName>
    <definedName name="K.1">#REF!</definedName>
    <definedName name="K.10">#REF!</definedName>
    <definedName name="K.110">#REF!</definedName>
    <definedName name="K.111">#REF!</definedName>
    <definedName name="K.112">#REF!</definedName>
    <definedName name="K.113">#REF!</definedName>
    <definedName name="K.114">#REF!</definedName>
    <definedName name="K.115">#REF!</definedName>
    <definedName name="K.116">#REF!</definedName>
    <definedName name="K.117">#REF!</definedName>
    <definedName name="K.118">#REF!</definedName>
    <definedName name="k.12">#REF!</definedName>
    <definedName name="K.121">#REF!</definedName>
    <definedName name="K.122">#REF!</definedName>
    <definedName name="K.123">#REF!</definedName>
    <definedName name="K.124">#REF!</definedName>
    <definedName name="K.125">#REF!</definedName>
    <definedName name="K.126">#REF!</definedName>
    <definedName name="K.127">#REF!</definedName>
    <definedName name="K.128">#REF!</definedName>
    <definedName name="K.131">#REF!</definedName>
    <definedName name="K.132">#REF!</definedName>
    <definedName name="K.139">#REF!</definedName>
    <definedName name="K.140">#REF!</definedName>
    <definedName name="K.151">#REF!</definedName>
    <definedName name="K.152">#REF!</definedName>
    <definedName name="K.153">#REF!</definedName>
    <definedName name="K.154">#REF!</definedName>
    <definedName name="K.155">#REF!</definedName>
    <definedName name="K.156">#REF!</definedName>
    <definedName name="K.157">#REF!</definedName>
    <definedName name="K.158">#REF!</definedName>
    <definedName name="k.175">#REF!</definedName>
    <definedName name="K.2">#REF!</definedName>
    <definedName name="K.210">#REF!</definedName>
    <definedName name="K.211">#REF!</definedName>
    <definedName name="K.220">#REF!</definedName>
    <definedName name="K.221">#REF!</definedName>
    <definedName name="K.224">#REF!</definedName>
    <definedName name="K.225">#REF!</definedName>
    <definedName name="k.225.a">#REF!</definedName>
    <definedName name="K.225.Rob">#REF!</definedName>
    <definedName name="K.230">#REF!</definedName>
    <definedName name="K.231">#REF!</definedName>
    <definedName name="K.232">#REF!</definedName>
    <definedName name="K.233">#REF!</definedName>
    <definedName name="k.25">#REF!</definedName>
    <definedName name="k.250">#REF!</definedName>
    <definedName name="K.250.10001">#REF!</definedName>
    <definedName name="k.275">#REF!</definedName>
    <definedName name="K.3">#REF!</definedName>
    <definedName name="k.300">#REF!</definedName>
    <definedName name="K.310">#REF!</definedName>
    <definedName name="K.311">#REF!</definedName>
    <definedName name="K.311.ROB">#REF!</definedName>
    <definedName name="K.311A">#REF!</definedName>
    <definedName name="K.311B">#REF!</definedName>
    <definedName name="K.314">#REF!</definedName>
    <definedName name="K.320">#REF!</definedName>
    <definedName name="K.321">#REF!</definedName>
    <definedName name="K.322">#REF!</definedName>
    <definedName name="K.323">#REF!</definedName>
    <definedName name="K.325">#REF!</definedName>
    <definedName name="K.326">#REF!</definedName>
    <definedName name="K.341">#REF!</definedName>
    <definedName name="K.342">#REF!</definedName>
    <definedName name="k.350">#REF!</definedName>
    <definedName name="k.35a">#REF!</definedName>
    <definedName name="k.35b">#REF!</definedName>
    <definedName name="K.4">#REF!</definedName>
    <definedName name="k.40.40.roman.crk">#REF!</definedName>
    <definedName name="k.400">#REF!</definedName>
    <definedName name="K.410">#REF!</definedName>
    <definedName name="K.410.ROB">#REF!</definedName>
    <definedName name="K.411">#REF!</definedName>
    <definedName name="K.411A">#REF!</definedName>
    <definedName name="K.420">#REF!</definedName>
    <definedName name="K.421">#REF!</definedName>
    <definedName name="K.422">#REF!</definedName>
    <definedName name="K.423">#REF!</definedName>
    <definedName name="K.424">#REF!</definedName>
    <definedName name="K.424A">#REF!</definedName>
    <definedName name="K.5">#REF!</definedName>
    <definedName name="K.510">#REF!</definedName>
    <definedName name="K.511">#REF!</definedName>
    <definedName name="K.512">#REF!</definedName>
    <definedName name="K.513">#REF!</definedName>
    <definedName name="K.514">#REF!</definedName>
    <definedName name="K.514CABLUK">#REF!</definedName>
    <definedName name="K.515">#REF!</definedName>
    <definedName name="K.516">#REF!</definedName>
    <definedName name="K.517">#REF!</definedName>
    <definedName name="K.520">#REF!</definedName>
    <definedName name="K.521">#REF!</definedName>
    <definedName name="K.522">#REF!</definedName>
    <definedName name="K.523">#REF!</definedName>
    <definedName name="K.528">#REF!</definedName>
    <definedName name="K.6">#REF!</definedName>
    <definedName name="K.6.10">#REF!</definedName>
    <definedName name="K.6.4">#REF!</definedName>
    <definedName name="K.6.5.1">#REF!</definedName>
    <definedName name="K.6.7">#REF!</definedName>
    <definedName name="K.6.8">#REF!</definedName>
    <definedName name="K.6.9">#REF!</definedName>
    <definedName name="K.610">#REF!</definedName>
    <definedName name="K.611">#REF!</definedName>
    <definedName name="K.612">#REF!</definedName>
    <definedName name="K.612.ROB">#REF!</definedName>
    <definedName name="K.613">#REF!</definedName>
    <definedName name="K.614">#REF!</definedName>
    <definedName name="K.615">#REF!</definedName>
    <definedName name="K.615.SCREEN">#REF!</definedName>
    <definedName name="K.616">#REF!</definedName>
    <definedName name="K.617">#REF!</definedName>
    <definedName name="K.618">#REF!</definedName>
    <definedName name="K.619">#REF!</definedName>
    <definedName name="K.619ALT">#REF!</definedName>
    <definedName name="K.620">#REF!</definedName>
    <definedName name="K.620ALT">#REF!</definedName>
    <definedName name="K.621">#REF!</definedName>
    <definedName name="K.626">#REF!</definedName>
    <definedName name="K.631">#REF!</definedName>
    <definedName name="K.632">#REF!</definedName>
    <definedName name="K.636">#REF!</definedName>
    <definedName name="K.637">#REF!</definedName>
    <definedName name="K.638">#REF!</definedName>
    <definedName name="K.638A">#REF!</definedName>
    <definedName name="K.639">#REF!</definedName>
    <definedName name="K.640">#REF!</definedName>
    <definedName name="K.641">#REF!</definedName>
    <definedName name="K.641.ROB">#REF!</definedName>
    <definedName name="K.7">#REF!</definedName>
    <definedName name="K.705">#REF!</definedName>
    <definedName name="K.705A">#REF!</definedName>
    <definedName name="K.710">#REF!</definedName>
    <definedName name="K.715">#REF!</definedName>
    <definedName name="K.719">#REF!</definedName>
    <definedName name="K.720">#REF!</definedName>
    <definedName name="K.721">#REF!</definedName>
    <definedName name="K.722">#REF!</definedName>
    <definedName name="K.724">#REF!</definedName>
    <definedName name="K.725">#REF!</definedName>
    <definedName name="K.730">#REF!</definedName>
    <definedName name="K.8">#REF!</definedName>
    <definedName name="K.810">#REF!</definedName>
    <definedName name="K.810A">#REF!</definedName>
    <definedName name="K.815">#REF!</definedName>
    <definedName name="K.855">#REF!</definedName>
    <definedName name="K.865">#REF!</definedName>
    <definedName name="K.870">#REF!</definedName>
    <definedName name="K.875">#REF!</definedName>
    <definedName name="K.877">#REF!</definedName>
    <definedName name="K.880">#REF!</definedName>
    <definedName name="K.885">#REF!</definedName>
    <definedName name="K.A18">#REF!</definedName>
    <definedName name="k.beton">#REF!</definedName>
    <definedName name="k.ddg.20.25.rmn.crk">#REF!</definedName>
    <definedName name="k.ddg.rmn.20.25.pls">#REF!</definedName>
    <definedName name="k.las">#REF!</definedName>
    <definedName name="k.lnt.rmn.20.20.crk">#REF!</definedName>
    <definedName name="k.lnt.rmn.20.20.pls">#REF!</definedName>
    <definedName name="k.rmmn.30.30.pls">#REF!</definedName>
    <definedName name="k.rmn.30.30.crk">#REF!</definedName>
    <definedName name="k.roman.40.40.polos">#REF!</definedName>
    <definedName name="k.tk.batu">#REF!</definedName>
    <definedName name="K.TKCAT">#REF!</definedName>
    <definedName name="k.tukang">#REF!</definedName>
    <definedName name="k.zink">#REF!</definedName>
    <definedName name="K_011A">#REF!</definedName>
    <definedName name="K_012">#REF!</definedName>
    <definedName name="K_016">#REF!</definedName>
    <definedName name="k_017">#REF!</definedName>
    <definedName name="k_018">#REF!</definedName>
    <definedName name="K_020">#REF!</definedName>
    <definedName name="K_026">#REF!</definedName>
    <definedName name="K_035">#REF!</definedName>
    <definedName name="K_040">#REF!</definedName>
    <definedName name="K_1">#REF!</definedName>
    <definedName name="K_100">#REF!</definedName>
    <definedName name="K_110">#REF!</definedName>
    <definedName name="K_115">#REF!</definedName>
    <definedName name="K_116">#REF!</definedName>
    <definedName name="K_117">#REF!</definedName>
    <definedName name="K_121">#REF!</definedName>
    <definedName name="K_122">#REF!</definedName>
    <definedName name="K_123">#REF!</definedName>
    <definedName name="K_124">#REF!</definedName>
    <definedName name="K_1520">#REF!</definedName>
    <definedName name="K_15204">#REF!</definedName>
    <definedName name="K_15205">#REF!</definedName>
    <definedName name="K_1540">#REF!</definedName>
    <definedName name="K_175">#REF!</definedName>
    <definedName name="K_175_1">#REF!</definedName>
    <definedName name="K_175_2">#REF!</definedName>
    <definedName name="K_175_3">#REF!</definedName>
    <definedName name="K_175_4">#REF!</definedName>
    <definedName name="K_2020">#REF!</definedName>
    <definedName name="K_20201">#REF!</definedName>
    <definedName name="K_20204">#REF!</definedName>
    <definedName name="K_20205">#REF!</definedName>
    <definedName name="K_2070">#REF!</definedName>
    <definedName name="K_20704">#REF!</definedName>
    <definedName name="K_20705">#REF!</definedName>
    <definedName name="K_224">#REF!</definedName>
    <definedName name="K_225">#REF!</definedName>
    <definedName name="K_250">#REF!</definedName>
    <definedName name="K_2525">#REF!</definedName>
    <definedName name="K_3">#REF!</definedName>
    <definedName name="k_300">#REF!</definedName>
    <definedName name="K_3030">#REF!</definedName>
    <definedName name="K_30301">#REF!</definedName>
    <definedName name="K_3060">#REF!</definedName>
    <definedName name="K_30602">#REF!</definedName>
    <definedName name="K_30603">#REF!</definedName>
    <definedName name="K_310">#REF!</definedName>
    <definedName name="K_320">#REF!</definedName>
    <definedName name="K_321">#REF!</definedName>
    <definedName name="K_341">#REF!</definedName>
    <definedName name="k_35">[68]HSATUAN!$H$23</definedName>
    <definedName name="k_350">"'file:///L:/10 (M M C)/Sipil-Ars/BQ_WASKITA/analisa_str_mmc.xls'#$harsat.$#REF!$#REF!"</definedName>
    <definedName name="K_4">#REF!</definedName>
    <definedName name="k_400">#REF!</definedName>
    <definedName name="K_4040">#REF!</definedName>
    <definedName name="k_450">[65]harsat!#REF!</definedName>
    <definedName name="K_5">#REF!</definedName>
    <definedName name="K_513">#REF!</definedName>
    <definedName name="k_514">#REF!</definedName>
    <definedName name="K_515">#REF!</definedName>
    <definedName name="K_516">#REF!</definedName>
    <definedName name="K_517">#REF!</definedName>
    <definedName name="K_520">#REF!</definedName>
    <definedName name="k_520alat">#REF!</definedName>
    <definedName name="K_521">#REF!</definedName>
    <definedName name="k_521buruh">#REF!</definedName>
    <definedName name="K_523">#REF!</definedName>
    <definedName name="K_528">#REF!</definedName>
    <definedName name="K_530">#REF!</definedName>
    <definedName name="k_57">[146]harsat!$H$18</definedName>
    <definedName name="K_6">#REF!</definedName>
    <definedName name="K_612">#REF!</definedName>
    <definedName name="K_618">#REF!</definedName>
    <definedName name="K_621">#REF!</definedName>
    <definedName name="K_636">#REF!</definedName>
    <definedName name="K_638">#REF!</definedName>
    <definedName name="K_641">#REF!</definedName>
    <definedName name="K_70">#REF!</definedName>
    <definedName name="K_702">#REF!</definedName>
    <definedName name="K_704">#REF!</definedName>
    <definedName name="K_705">#REF!</definedName>
    <definedName name="K_7070">#REF!</definedName>
    <definedName name="K_7070B">#REF!</definedName>
    <definedName name="K_710">#REF!</definedName>
    <definedName name="K_715">#REF!</definedName>
    <definedName name="K_719">#REF!</definedName>
    <definedName name="K_721">#REF!</definedName>
    <definedName name="K_722">#REF!</definedName>
    <definedName name="K_723">#REF!</definedName>
    <definedName name="K_724">#REF!</definedName>
    <definedName name="K_725">#REF!</definedName>
    <definedName name="K_726">#REF!</definedName>
    <definedName name="K_810">#REF!</definedName>
    <definedName name="K_810A">#REF!</definedName>
    <definedName name="K_810B">#REF!</definedName>
    <definedName name="K_810C">#REF!</definedName>
    <definedName name="K_815">#REF!</definedName>
    <definedName name="K_815A">#REF!</definedName>
    <definedName name="k_9">#REF!</definedName>
    <definedName name="K_90">#REF!</definedName>
    <definedName name="K_903">#REF!</definedName>
    <definedName name="K_904">#REF!</definedName>
    <definedName name="K_905">#REF!</definedName>
    <definedName name="K_9090">#REF!</definedName>
    <definedName name="K_9090B">#REF!</definedName>
    <definedName name="k_ac">[147]RAP!#REF!</definedName>
    <definedName name="K_DH">#REF!</definedName>
    <definedName name="k_qty">[98]STRUKTUR!$O$48</definedName>
    <definedName name="k_s">#REF!</definedName>
    <definedName name="k_t23">[24]Analisa!#REF!</definedName>
    <definedName name="K_tukang">#REF!</definedName>
    <definedName name="k_up">[98]STRUKTUR!$O$49</definedName>
    <definedName name="k_z">#REF!</definedName>
    <definedName name="K1.1.10001.O">#REF!</definedName>
    <definedName name="K1.2.1.10001">#REF!</definedName>
    <definedName name="K1.2.10001.O">#REF!</definedName>
    <definedName name="K1.2.2.10001">#REF!</definedName>
    <definedName name="K1.2.3.10001">#REF!</definedName>
    <definedName name="K1.2.4.10001">#REF!</definedName>
    <definedName name="K1.3.10001.O">#REF!</definedName>
    <definedName name="K1.4.10001.O">#REF!</definedName>
    <definedName name="K1_">#REF!</definedName>
    <definedName name="K125NFA">"$#REF!.$G$143"</definedName>
    <definedName name="k1520b185">#REF!</definedName>
    <definedName name="K175_">#REF!</definedName>
    <definedName name="K175NFA">#N/A</definedName>
    <definedName name="K2.1.10002.O">#REF!</definedName>
    <definedName name="K2.2.1.10002">#REF!</definedName>
    <definedName name="K2.2.10002.O">#REF!</definedName>
    <definedName name="K2.2.2.10002">#REF!</definedName>
    <definedName name="K2.2.3.10002">#REF!</definedName>
    <definedName name="K2.2.4.10002">#REF!</definedName>
    <definedName name="K2.3.10002.O">#REF!</definedName>
    <definedName name="K2.4.10002.O">#REF!</definedName>
    <definedName name="K2_">#REF!</definedName>
    <definedName name="k20p">#REF!</definedName>
    <definedName name="K225_">#REF!</definedName>
    <definedName name="k225e">#N/A</definedName>
    <definedName name="k225f">#N/A</definedName>
    <definedName name="K225NFA">#N/A</definedName>
    <definedName name="K250.S.10002">#REF!</definedName>
    <definedName name="K250a">[94]Analisa!#REF!</definedName>
    <definedName name="K250NFA">"$#REF!.$G$146"</definedName>
    <definedName name="K275NFA">"$#REF!.$G$147"</definedName>
    <definedName name="k2b">'[18]THPDMoi  (2)'!#REF!</definedName>
    <definedName name="K3.1.10003.O">#REF!</definedName>
    <definedName name="K3.2.1.10003">#REF!</definedName>
    <definedName name="K3.2.10003.O">#REF!</definedName>
    <definedName name="K3.2.2.10003">#REF!</definedName>
    <definedName name="K3.2.3.10003">#REF!</definedName>
    <definedName name="K3.2.4.10003">#REF!</definedName>
    <definedName name="K3.3.10003.O">#REF!</definedName>
    <definedName name="K3.4.10003.O">#REF!</definedName>
    <definedName name="K3_">#REF!</definedName>
    <definedName name="K300NFA">#N/A</definedName>
    <definedName name="K350_">#REF!</definedName>
    <definedName name="K350NFA">#N/A</definedName>
    <definedName name="K4.1.1004.O">#REF!</definedName>
    <definedName name="K4.2.1.10004">#REF!</definedName>
    <definedName name="K4.2.10004.O">#REF!</definedName>
    <definedName name="K4.2.2.10004">#REF!</definedName>
    <definedName name="K4.2.3.10004">#REF!</definedName>
    <definedName name="K4.2.4.10004">#REF!</definedName>
    <definedName name="K4.3.10004.O">#REF!</definedName>
    <definedName name="K4.4.10004.O">#REF!</definedName>
    <definedName name="K4_">#REF!</definedName>
    <definedName name="K400FA">#N/A</definedName>
    <definedName name="k40p">#REF!</definedName>
    <definedName name="K450NFA">#N/A</definedName>
    <definedName name="K5_">#REF!</definedName>
    <definedName name="k50p">#REF!</definedName>
    <definedName name="K510alat">#REF!</definedName>
    <definedName name="K512alat">#REF!</definedName>
    <definedName name="K517alat">#REF!</definedName>
    <definedName name="k520alat">#REF!</definedName>
    <definedName name="k522alat">#REF!</definedName>
    <definedName name="k60p">#REF!</definedName>
    <definedName name="K705A">#REF!</definedName>
    <definedName name="ka">#REF!</definedName>
    <definedName name="ka.tk.bs">#REF!</definedName>
    <definedName name="ka.tk.bt">#REF!</definedName>
    <definedName name="ka.tk.cat">#REF!</definedName>
    <definedName name="ka.tk.ky">#REF!</definedName>
    <definedName name="ka.tk.las">#REF!</definedName>
    <definedName name="KAAY">[10]Material!#REF!</definedName>
    <definedName name="kab">#REF!</definedName>
    <definedName name="kab_1">#REF!</definedName>
    <definedName name="kab_2">#REF!</definedName>
    <definedName name="kab_2_1">#REF!</definedName>
    <definedName name="kab_2_1_6">#REF!</definedName>
    <definedName name="kab_2_6">#REF!</definedName>
    <definedName name="kab_2_7">#REF!</definedName>
    <definedName name="kab_3">#REF!</definedName>
    <definedName name="kab_3_6">#REF!</definedName>
    <definedName name="kab_3_7">#REF!</definedName>
    <definedName name="kab_4">#REF!</definedName>
    <definedName name="kab_5">#REF!</definedName>
    <definedName name="kab_6">#REF!</definedName>
    <definedName name="kab_6_1">#REF!</definedName>
    <definedName name="kab_6_6">#REF!</definedName>
    <definedName name="kab_6_7">#REF!</definedName>
    <definedName name="kab_7">#REF!</definedName>
    <definedName name="Kabag">#REF!</definedName>
    <definedName name="kabantu">'[45]Sat~Bahu'!$F$76</definedName>
    <definedName name="KABEL">#N/A</definedName>
    <definedName name="kabel.1">#REF!</definedName>
    <definedName name="kabel.2">#REF!</definedName>
    <definedName name="kabel.3">#REF!</definedName>
    <definedName name="Kabel_A3c">#REF!</definedName>
    <definedName name="Kabel2.5">#REF!</definedName>
    <definedName name="kabelbc10">#REF!</definedName>
    <definedName name="kabelbc120">#REF!</definedName>
    <definedName name="kabelbc16">#REF!</definedName>
    <definedName name="kabelbc25">#REF!</definedName>
    <definedName name="kabelbc35">#REF!</definedName>
    <definedName name="kabelbc4">#REF!</definedName>
    <definedName name="kabelbc50">#REF!</definedName>
    <definedName name="kabelbc6">#REF!</definedName>
    <definedName name="kabelbc70">#REF!</definedName>
    <definedName name="kabelnya1x2.5mm">#REF!</definedName>
    <definedName name="kabeltray">#REF!</definedName>
    <definedName name="kabet">#REF!</definedName>
    <definedName name="Kabupaten">#REF!</definedName>
    <definedName name="KACA">#REF!</definedName>
    <definedName name="kaca.3">#REF!</definedName>
    <definedName name="kaca.5">#REF!</definedName>
    <definedName name="kaca.8">#REF!</definedName>
    <definedName name="kaca.es">#REF!</definedName>
    <definedName name="kaca.p.5">#REF!</definedName>
    <definedName name="Kaca_3_mm">#REF!</definedName>
    <definedName name="Kaca_5mm">#REF!</definedName>
    <definedName name="KACA_A">#REF!</definedName>
    <definedName name="KACA_B">#REF!</definedName>
    <definedName name="KACA_BASE">#REF!</definedName>
    <definedName name="KACA_BENING_3MM">#REF!</definedName>
    <definedName name="KACA_BENING_5MM">#REF!</definedName>
    <definedName name="KACA_C">#REF!</definedName>
    <definedName name="KACA_CERMIN_5MM">#REF!</definedName>
    <definedName name="KACA_ES_3MM">#REF!</definedName>
    <definedName name="KACA_ES_5MM">#REF!</definedName>
    <definedName name="Kaca_nako_reyben_5mm">#REF!</definedName>
    <definedName name="Kaca_Polos_3_mm">'[72]Daftar Harga'!$G$185</definedName>
    <definedName name="kaca_polos_5mm">#REF!</definedName>
    <definedName name="kaca_rayband_5mm">#REF!</definedName>
    <definedName name="Kaca_tebal_3_mm">#REF!</definedName>
    <definedName name="Kaca_tebal_5_mm">#REF!</definedName>
    <definedName name="KACA_TEMPERED_12MM">#REF!</definedName>
    <definedName name="kaca3mm">#REF!</definedName>
    <definedName name="kaca5">#REF!</definedName>
    <definedName name="kaca5mm">#REF!</definedName>
    <definedName name="kaca6">#N/A</definedName>
    <definedName name="kaca6mm">#REF!</definedName>
    <definedName name="kaca8">#N/A</definedName>
    <definedName name="KaCabang">#REF!</definedName>
    <definedName name="kacabe10">#REF!</definedName>
    <definedName name="kacabe5">#REF!</definedName>
    <definedName name="kacabe8">#REF!</definedName>
    <definedName name="kacacermin">#REF!</definedName>
    <definedName name="KacaEskapur">#REF!</definedName>
    <definedName name="KacaMati">#REF!</definedName>
    <definedName name="KACANAKO">#N/A</definedName>
    <definedName name="kacapolos5">#REF!</definedName>
    <definedName name="KACARAYBEN">#N/A</definedName>
    <definedName name="Kacaryben_5_mm">#REF!</definedName>
    <definedName name="kAcianMil">#REF!</definedName>
    <definedName name="kAcianPepalihan">#REF!</definedName>
    <definedName name="kAcianSemen">#REF!</definedName>
    <definedName name="kain_sintetis">#REF!</definedName>
    <definedName name="KAIT_ANGIN">#REF!</definedName>
    <definedName name="KaitAngin">#REF!</definedName>
    <definedName name="KAKA">#REF!</definedName>
    <definedName name="KALA">[10]Material!#REF!</definedName>
    <definedName name="kalas">#REF!</definedName>
    <definedName name="KALI">#REF!</definedName>
    <definedName name="kalkir">#REF!</definedName>
    <definedName name="kalsi">#REF!</definedName>
    <definedName name="kalsi.6">#REF!</definedName>
    <definedName name="kalsiboard">'[66]Analisa Harga Satuan'!$G$2540</definedName>
    <definedName name="kAlumFoil">#REF!</definedName>
    <definedName name="KAMI">#N/A</definedName>
    <definedName name="kamper">#REF!</definedName>
    <definedName name="kamper2.3">#REF!</definedName>
    <definedName name="kamper3.5">#REF!</definedName>
    <definedName name="kamper4.6">#REF!</definedName>
    <definedName name="kamper6.12">#REF!</definedName>
    <definedName name="kamper6.15">#REF!</definedName>
    <definedName name="kamper8.12">#REF!</definedName>
    <definedName name="kamperbalok">#REF!</definedName>
    <definedName name="kamperpapan">#REF!</definedName>
    <definedName name="kamperpapan3x30">#REF!</definedName>
    <definedName name="kan">#REF!</definedName>
    <definedName name="kanopi">#REF!</definedName>
    <definedName name="kansteen">[24]Analisa!#REF!</definedName>
    <definedName name="KANSTEEN_15x20x50_SEGILIMA">#REF!</definedName>
    <definedName name="kansteen_abuabu">#REF!</definedName>
    <definedName name="KANSTEIN" localSheetId="7">[33]H_Dasar!#REF!</definedName>
    <definedName name="Kanstein">#REF!</definedName>
    <definedName name="Kanstenpracetak">#REF!</definedName>
    <definedName name="kanstin">#REF!</definedName>
    <definedName name="KANSTIN8_24" localSheetId="7">[33]H_Dasar!#REF!</definedName>
    <definedName name="KANSTIN8_24">[33]H_Dasar!#REF!</definedName>
    <definedName name="kanstincar">#REF!</definedName>
    <definedName name="kanstinjalan">#REF!</definedName>
    <definedName name="kanstinluar">#REF!</definedName>
    <definedName name="kap">#REF!</definedName>
    <definedName name="KAPBaja">#REF!</definedName>
    <definedName name="kapek">'[21]Harga Satuan Bahan'!#REF!</definedName>
    <definedName name="kapet">'[21]Harga Satuan Bahan'!#REF!</definedName>
    <definedName name="kaple">#N/A</definedName>
    <definedName name="kaporit">#REF!</definedName>
    <definedName name="Kapro">#REF!</definedName>
    <definedName name="kapur">#REF!</definedName>
    <definedName name="Kapur_Batu">#REF!</definedName>
    <definedName name="Kapur_pasang">#REF!</definedName>
    <definedName name="kapurpdm">#REF!</definedName>
    <definedName name="kArdePancang">#REF!</definedName>
    <definedName name="karet.l">#REF!</definedName>
    <definedName name="Karet_talang_60_cm">#REF!</definedName>
    <definedName name="KaretDelatasi">#REF!</definedName>
    <definedName name="Karpet_talang">#REF!</definedName>
    <definedName name="karung">#REF!</definedName>
    <definedName name="karung_goni">#REF!</definedName>
    <definedName name="karyawan">[3]Kar!$B$3:$M$54</definedName>
    <definedName name="karyawanharian">#REF!</definedName>
    <definedName name="karyawantetap">#REF!</definedName>
    <definedName name="karyo" hidden="1">{#N/A,#N/A,FALSE,"REK";#N/A,#N/A,FALSE,"Bq-ARS"}</definedName>
    <definedName name="kas.200">'[45]Sat~Bahu'!$G$103</definedName>
    <definedName name="Kas0_5_7_Borneo_SP__2_x_pakai__50">#REF!</definedName>
    <definedName name="KASA">#REF!</definedName>
    <definedName name="kasar">'[74]Harga Satuan'!$G$45</definedName>
    <definedName name="KASARHALUS">#REF!</definedName>
    <definedName name="KASAU_5_7">#REF!</definedName>
    <definedName name="kasbor">#N/A</definedName>
    <definedName name="KASBUN">{"Book1","RAB PASAR 30 AUG SCRAB.xls"}</definedName>
    <definedName name="kaso">#REF!</definedName>
    <definedName name="kasomer">#REF!</definedName>
    <definedName name="KASOPL">#REF!</definedName>
    <definedName name="kasoreng">#REF!</definedName>
    <definedName name="kAtapAlang">#REF!</definedName>
    <definedName name="kAtapIjuk">#REF!</definedName>
    <definedName name="kAtapPlentongBiasa">#REF!</definedName>
    <definedName name="kAtapSeng">#REF!</definedName>
    <definedName name="kAtapSirap">#REF!</definedName>
    <definedName name="katb">'[45]Sat~Bahu'!$F$86</definedName>
    <definedName name="katenye">#REF!</definedName>
    <definedName name="katkbesi">'[85]Sat Upah'!$I$15</definedName>
    <definedName name="KAWA">[10]Material!$F$25</definedName>
    <definedName name="Kawat">#REF!</definedName>
    <definedName name="kawat_ayam">#REF!</definedName>
    <definedName name="Kawat_Bendrat">#REF!</definedName>
    <definedName name="Kawat_Beton">#REF!</definedName>
    <definedName name="Kawat_duri">#REF!</definedName>
    <definedName name="KAWAT_IKAT">#N/A</definedName>
    <definedName name="Kawat_Las">#REF!</definedName>
    <definedName name="KAWATBERONJONG">#REF!</definedName>
    <definedName name="kawatbeton">#REF!</definedName>
    <definedName name="KawatBtn">#REF!</definedName>
    <definedName name="Kawatdigalvano">#REF!</definedName>
    <definedName name="kawatduri">#REF!</definedName>
    <definedName name="kawatharmonika">#REF!</definedName>
    <definedName name="kawatikatbeton">#REF!</definedName>
    <definedName name="Kawatlas" localSheetId="7">[33]H_Dasar!#REF!</definedName>
    <definedName name="kawatlas">#REF!</definedName>
    <definedName name="kawatstrand">#REF!</definedName>
    <definedName name="KawBt">#REF!</definedName>
    <definedName name="KawDr">#REF!</definedName>
    <definedName name="KawLl">#REF!</definedName>
    <definedName name="kayu">#REF!</definedName>
    <definedName name="KAYU.P">#REF!</definedName>
    <definedName name="Kayu_bakar">#REF!</definedName>
    <definedName name="Kayu_Begisting">#REF!</definedName>
    <definedName name="Kayu_Bekisting">#REF!</definedName>
    <definedName name="KAYU_BESI">#N/A</definedName>
    <definedName name="Kayu_Cerucuk__Dolken">#REF!</definedName>
    <definedName name="KAYU_KAPUR_KLAS">#REF!</definedName>
    <definedName name="Kayu_Kaso_5_7">#REF!</definedName>
    <definedName name="Kayu_Klas_I__Damar_Laut_Seumantok_dll">#REF!</definedName>
    <definedName name="Kayu_Klas_II">#REF!</definedName>
    <definedName name="Kayu_klas_III">#REF!</definedName>
    <definedName name="Kayu_klas_IV">#REF!</definedName>
    <definedName name="kayu_kusen_oven">#REF!</definedName>
    <definedName name="Kayu_lokal">#REF!</definedName>
    <definedName name="Kayu_Meranti">#REF!</definedName>
    <definedName name="Kayu_Perancah_Bulat">#REF!</definedName>
    <definedName name="Kayu_Rangka">#REF!</definedName>
    <definedName name="Kayu_Reng_3_4">#REF!</definedName>
    <definedName name="Kayu_Reng_Borneo_2_3">'[72]Daftar Harga'!$G$101</definedName>
    <definedName name="kayu_stoot_dinding__2_x_pakai_75">#REF!</definedName>
    <definedName name="Kayu_terentang">'[72]Daftar Harga'!$G$87</definedName>
    <definedName name="Kayu_Ulin">#REF!</definedName>
    <definedName name="kayu1">#REF!</definedName>
    <definedName name="kayu2">#REF!</definedName>
    <definedName name="kayu3">[28]upah!$D$22</definedName>
    <definedName name="kayu57">#REF!</definedName>
    <definedName name="kayuacuan">#REF!</definedName>
    <definedName name="KayuBekisting">#REF!</definedName>
    <definedName name="kayubengkiraipapan">#REF!</definedName>
    <definedName name="kayubkt">'[48]HARGA SATUAN'!$G$24</definedName>
    <definedName name="kayuborneo">#REF!</definedName>
    <definedName name="KayuK">#REF!</definedName>
    <definedName name="kayuk2">#REF!</definedName>
    <definedName name="kayuk3">#REF!</definedName>
    <definedName name="kayuk4">#REF!</definedName>
    <definedName name="kayukasar">#REF!</definedName>
    <definedName name="kayukelas2">#REF!</definedName>
    <definedName name="KAYUMATOA">#N/A</definedName>
    <definedName name="kayumer">#REF!</definedName>
    <definedName name="kayumeranti">#REF!</definedName>
    <definedName name="kayuplaf">'[48]HARGA SATUAN'!$G$25</definedName>
    <definedName name="kayutahun">#REF!</definedName>
    <definedName name="kayuterentang">#REF!</definedName>
    <definedName name="kayuulang">#REF!</definedName>
    <definedName name="kb">#REF!</definedName>
    <definedName name="kb_1000">#REF!</definedName>
    <definedName name="kb_1020">[65]harsat!#REF!</definedName>
    <definedName name="kb_1250">#REF!</definedName>
    <definedName name="kb_612">[65]harsat!$I$20</definedName>
    <definedName name="kBakAdukan">#REF!</definedName>
    <definedName name="kBakKOntrol">#REF!</definedName>
    <definedName name="kBakMandiFibre">#REF!</definedName>
    <definedName name="kBalokFe100">#REF!</definedName>
    <definedName name="kBalokFe110">#REF!</definedName>
    <definedName name="kBalokFe120">#REF!</definedName>
    <definedName name="kBalokFe125">#REF!</definedName>
    <definedName name="kBalokFe130">#REF!</definedName>
    <definedName name="kBalokFe140">#REF!</definedName>
    <definedName name="kBalokFe150">#REF!</definedName>
    <definedName name="kBalokFe160">#REF!</definedName>
    <definedName name="kBalokFe170">#REF!</definedName>
    <definedName name="kBalokFe175">#REF!</definedName>
    <definedName name="kBalokFe180">#REF!</definedName>
    <definedName name="kBalokFe190">#REF!</definedName>
    <definedName name="kBalokFe200">#REF!</definedName>
    <definedName name="kBalokFe210">#REF!</definedName>
    <definedName name="kBalokFe220">#REF!</definedName>
    <definedName name="kBalokFe230">#REF!</definedName>
    <definedName name="kBalokFe240">#REF!</definedName>
    <definedName name="kBalokFe250">#REF!</definedName>
    <definedName name="kBalokFe260">#REF!</definedName>
    <definedName name="kBalokFe270">#REF!</definedName>
    <definedName name="kBalokFe280">#REF!</definedName>
    <definedName name="kBalokFe300">#REF!</definedName>
    <definedName name="kBalokFe80">#REF!</definedName>
    <definedName name="kBalokFe90">#REF!</definedName>
    <definedName name="kBangkubelajar">#REF!</definedName>
    <definedName name="kbanio">#REF!</definedName>
    <definedName name="kBatacoBesi">#REF!</definedName>
    <definedName name="kBatacononbesi">#REF!</definedName>
    <definedName name="kbb.05">'[45]Sat~Bahu'!$F$41</definedName>
    <definedName name="kbb.1">'[45]Sat~Bahu'!$F$40</definedName>
    <definedName name="kbb.10">'[45]Sat~Bahu'!$F$35</definedName>
    <definedName name="kbb.2">'[45]Sat~Bahu'!$F$39</definedName>
    <definedName name="kbb.3">'[45]Sat~Bahu'!$F$38</definedName>
    <definedName name="kbb.5">'[45]Sat~Bahu'!$F$37</definedName>
    <definedName name="kbdelapan">#REF!</definedName>
    <definedName name="kbduabelas">#REF!</definedName>
    <definedName name="kBekestingBalok">#REF!</definedName>
    <definedName name="kBekestingDinding">#REF!</definedName>
    <definedName name="kBekestingKolom">#REF!</definedName>
    <definedName name="kBekestingLantai">#REF!</definedName>
    <definedName name="kBekestingPondasi">#REF!</definedName>
    <definedName name="kBekestingSloof">#REF!</definedName>
    <definedName name="kBekestingTangga">#REF!</definedName>
    <definedName name="kbel10">#REF!</definedName>
    <definedName name="kbelian">#REF!</definedName>
    <definedName name="kbet">#REF!</definedName>
    <definedName name="kbeton">#REF!</definedName>
    <definedName name="kBeton123">#REF!</definedName>
    <definedName name="kBeton124">#REF!</definedName>
    <definedName name="kBeton135">#REF!</definedName>
    <definedName name="kBetonCorPepalihan">#REF!</definedName>
    <definedName name="kBetonK225">#REF!</definedName>
    <definedName name="kBetonK275">#REF!</definedName>
    <definedName name="kBkud2">#REF!</definedName>
    <definedName name="kbl">#REF!</definedName>
    <definedName name="Kbl.Bsr">#REF!</definedName>
    <definedName name="KBL.KCL">#REF!</definedName>
    <definedName name="kbl.sr">#REF!</definedName>
    <definedName name="kblima">#REF!</definedName>
    <definedName name="KBLKT">'[45]Sat~Bahu'!$G$18</definedName>
    <definedName name="kblnym">#REF!</definedName>
    <definedName name="KBLT">'[45]Sat~Bahu'!$G$19</definedName>
    <definedName name="KBLTT">'[45]Sat~Bahu'!$G$17</definedName>
    <definedName name="kblw">'[45]Sat~Bahu'!$G$113</definedName>
    <definedName name="kBongkarBeton">#REF!</definedName>
    <definedName name="kBongkarDinding">#REF!</definedName>
    <definedName name="kBongkarGenteng">#REF!</definedName>
    <definedName name="kBongkarKuda2">#REF!</definedName>
    <definedName name="kBongkarKusen">#REF!</definedName>
    <definedName name="kBongkarLantai">#REF!</definedName>
    <definedName name="kBongkarPlafond">#REF!</definedName>
    <definedName name="kBongkarRangkaAtap">#REF!</definedName>
    <definedName name="kBongkarSeng">#REF!</definedName>
    <definedName name="kBongkarTembok">#REF!</definedName>
    <definedName name="kBongkarTotal">#REF!</definedName>
    <definedName name="kBongpasDaunJ">#REF!</definedName>
    <definedName name="kBPlaf2">#REF!</definedName>
    <definedName name="KBr">#REF!</definedName>
    <definedName name="kBRA2">#REF!</definedName>
    <definedName name="kbs">#REF!</definedName>
    <definedName name="KBt">#REF!</definedName>
    <definedName name="kbtb">'[45]Sat~Bahu'!$F$67</definedName>
    <definedName name="kBtHitamKrasem">#REF!</definedName>
    <definedName name="kBtKali11">#REF!</definedName>
    <definedName name="kBtKali12">#REF!</definedName>
    <definedName name="kBtKali13">#REF!</definedName>
    <definedName name="kBtKali15">#REF!</definedName>
    <definedName name="kBtKOsong">#REF!</definedName>
    <definedName name="kBtMerah12">#REF!</definedName>
    <definedName name="kBtMerah13">#REF!</definedName>
    <definedName name="kBtMerah15">#REF!</definedName>
    <definedName name="kBtMerah15Pepalihan">#REF!</definedName>
    <definedName name="kbtp">'[45]Sat~Bahu'!$F$48</definedName>
    <definedName name="kbtpb">'[45]Sat~Bahu'!$F$32</definedName>
    <definedName name="kBuangTanah150m">#REF!</definedName>
    <definedName name="kBubungan">#REF!</definedName>
    <definedName name="kBubunganPlentBiasa">#REF!</definedName>
    <definedName name="kBubunganStelGlb">#REF!</definedName>
    <definedName name="KBULAT">#REF!</definedName>
    <definedName name="KC">#REF!</definedName>
    <definedName name="Kc.5mm.10001">#REF!</definedName>
    <definedName name="kcab">'[45]Sat~Bahu'!#REF!</definedName>
    <definedName name="kCatBaja">#REF!</definedName>
    <definedName name="kCatKayubaru">#REF!</definedName>
    <definedName name="kCatKayuLama">#REF!</definedName>
    <definedName name="kCatTembokBaru">#REF!</definedName>
    <definedName name="kCatTembokBaruJarum">#REF!</definedName>
    <definedName name="kCatTembokBaruVinileks">#REF!</definedName>
    <definedName name="kCatTembokUlang">#REF!</definedName>
    <definedName name="kCatTembokUlangJarum">#REF!</definedName>
    <definedName name="kCatTembokUlangV">#REF!</definedName>
    <definedName name="kCatTembokUlangVinileks">#REF!</definedName>
    <definedName name="kccermin3">#REF!</definedName>
    <definedName name="kcl">#REF!</definedName>
    <definedName name="Kcmati">#REF!</definedName>
    <definedName name="kcomp">'[45]Sat~Bahu'!$G$111</definedName>
    <definedName name="kcpln">'[21]Harga Satuan Bahan'!#REF!</definedName>
    <definedName name="kcpolos3">#REF!</definedName>
    <definedName name="kcpolos5">#REF!</definedName>
    <definedName name="kcptr">'[21]Harga Satuan Bahan'!#REF!</definedName>
    <definedName name="kcrb">'[21]Harga Satuan Bahan'!#REF!</definedName>
    <definedName name="kcs3w">#REF!</definedName>
    <definedName name="kcstw">#REF!</definedName>
    <definedName name="kcv">'[45]Sat~Bahu'!$G$101</definedName>
    <definedName name="kCycloop">#REF!</definedName>
    <definedName name="kd">#REF!</definedName>
    <definedName name="kd_1">#REF!</definedName>
    <definedName name="kd_2">#REF!</definedName>
    <definedName name="kd_2_1">#REF!</definedName>
    <definedName name="kd_2020">#REF!</definedName>
    <definedName name="kd_2020_6">#REF!</definedName>
    <definedName name="kd_2533">[65]harsat!#REF!</definedName>
    <definedName name="kd_3">#REF!</definedName>
    <definedName name="kd_3_4">#REF!</definedName>
    <definedName name="kd_3_6">#REF!</definedName>
    <definedName name="kd_3_7">#REF!</definedName>
    <definedName name="kd_3030">[65]harsat!#REF!</definedName>
    <definedName name="kd_3350">#REF!</definedName>
    <definedName name="kd_4">#REF!</definedName>
    <definedName name="kd_4_1">#REF!</definedName>
    <definedName name="kd_4_2">#REF!</definedName>
    <definedName name="kd_4_4">#REF!</definedName>
    <definedName name="kd_4_6">#REF!</definedName>
    <definedName name="kd_4_7">#REF!</definedName>
    <definedName name="kd_4040">[65]harsat!#REF!</definedName>
    <definedName name="kd_5">#REF!</definedName>
    <definedName name="kd_5_2">#REF!</definedName>
    <definedName name="kd_5_4">#REF!</definedName>
    <definedName name="kd_5_6">#REF!</definedName>
    <definedName name="kd_5_7">#REF!</definedName>
    <definedName name="kd_6">#REF!</definedName>
    <definedName name="kd_6_1">#REF!</definedName>
    <definedName name="kd_6_4">#REF!</definedName>
    <definedName name="kd_6_6">#REF!</definedName>
    <definedName name="kd_6_7">#REF!</definedName>
    <definedName name="kd_7">#REF!</definedName>
    <definedName name="kd_b2010">#REF!</definedName>
    <definedName name="kd_b2025">#REF!</definedName>
    <definedName name="kd_b3310">#REF!</definedName>
    <definedName name="kdc">#REF!</definedName>
    <definedName name="kDindingBedeg">#REF!</definedName>
    <definedName name="kDindingFe100">#REF!</definedName>
    <definedName name="kDindingFe125">#REF!</definedName>
    <definedName name="kDindingFe150">#REF!</definedName>
    <definedName name="kDindingFe175">#REF!</definedName>
    <definedName name="kDindingFe80">#REF!</definedName>
    <definedName name="kDindingRoster">#REF!</definedName>
    <definedName name="kdozer">'[45]Sat~Bahu'!$G$91</definedName>
    <definedName name="kdt.35">'[45]Sat~Bahu'!$G$108</definedName>
    <definedName name="kdt.5">'[45]Sat~Bahu'!$G$107</definedName>
    <definedName name="KE_20">[10]Material!$F$26</definedName>
    <definedName name="KE_30">[10]Material!$F$27</definedName>
    <definedName name="KEAM">#REF!</definedName>
    <definedName name="KEBAL">#REF!</definedName>
    <definedName name="kebalat">#REF!</definedName>
    <definedName name="kec">#REF!</definedName>
    <definedName name="keep">#REF!</definedName>
    <definedName name="Keet">#REF!</definedName>
    <definedName name="KEG">#REF!</definedName>
    <definedName name="KEG.1">#REF!</definedName>
    <definedName name="KEGIATAN">#REF!</definedName>
    <definedName name="keke">#REF!</definedName>
    <definedName name="keliling">#REF!</definedName>
    <definedName name="kelima">#REF!</definedName>
    <definedName name="kelon" hidden="1">{#N/A,#N/A,FALSE,"REK";#N/A,#N/A,FALSE,"rab"}</definedName>
    <definedName name="kenari">#REF!</definedName>
    <definedName name="Kenek">#REF!</definedName>
    <definedName name="kenek_19">"'file:///media/sda2/nUGerOHo/@PROJECT/GRAHA SANTIKA-MEDAN/bcts/Graha Santika Medan/Perhitungan/Perhitungan Tender/BQ/RAB TERPAKAI/BQ Graha Utomo ( DC revisi  penawaran REAL new ).xls'#$harsat.$#REF!$#REF!"</definedName>
    <definedName name="KENEK_TRUK">#REF!</definedName>
    <definedName name="KENEK_TRUK_23">#REF!</definedName>
    <definedName name="KENEK_TRUK_25">#REF!</definedName>
    <definedName name="kEngselJendela">#REF!</definedName>
    <definedName name="kEngselPintu">#REF!</definedName>
    <definedName name="Keni_gip__ø_1_2">#REF!</definedName>
    <definedName name="Keni_gip__ø_3_4">#REF!</definedName>
    <definedName name="Keni_pvc__ø_2___maspion_D">#REF!</definedName>
    <definedName name="Keni_pvc__ø_4___maspion_D">#REF!</definedName>
    <definedName name="kentut" hidden="1">{#N/A,#N/A,FALSE,"REK";#N/A,#N/A,FALSE,"rab"}</definedName>
    <definedName name="kep">#REF!</definedName>
    <definedName name="kep.tkg">#REF!</definedName>
    <definedName name="Kep.Tukang">#REF!</definedName>
    <definedName name="kep_tk_kayu">#REF!</definedName>
    <definedName name="KEPALA">#REF!</definedName>
    <definedName name="Kepala.Tukang">#REF!</definedName>
    <definedName name="kepala_tk_batu">#REF!</definedName>
    <definedName name="kepala_tk_besi">#REF!</definedName>
    <definedName name="kepala_tk_cat">#REF!</definedName>
    <definedName name="kepala_tk_kayu">#REF!</definedName>
    <definedName name="Kepala_Tukang">#REF!</definedName>
    <definedName name="KEPALA_TUKANG_BATU">#REF!</definedName>
    <definedName name="KEPALA_TUKANG_BATU_23">#REF!</definedName>
    <definedName name="KEPALA_TUKANG_BATU_25">#REF!</definedName>
    <definedName name="KEPALA_TUKANG_BESI_BETON">#REF!</definedName>
    <definedName name="KEPALA_TUKANG_BESI_BETON_23">#REF!</definedName>
    <definedName name="KEPALA_TUKANG_BESI_BETON_25">#REF!</definedName>
    <definedName name="KEPALA_TUKANG_BESI_PROFIL">#REF!</definedName>
    <definedName name="KEPALA_TUKANG_BESI_PROFIL_23">#REF!</definedName>
    <definedName name="KEPALA_TUKANG_BESI_PROFIL_25">#REF!</definedName>
    <definedName name="KEPALA_TUKANG_CAT___PELITUR">#REF!</definedName>
    <definedName name="KEPALA_TUKANG_CAT___PELITUR_23">#REF!</definedName>
    <definedName name="KEPALA_TUKANG_CAT___PELITUR_25">#REF!</definedName>
    <definedName name="KEPALA_TUKANG_GALI">'[72]Daftar Upah'!$D$32</definedName>
    <definedName name="KEPALA_TUKANG_KAYU">#REF!</definedName>
    <definedName name="KEPALA_TUKANG_KAYU_23">#REF!</definedName>
    <definedName name="KEPALA_TUKANG_KAYU_25">#REF!</definedName>
    <definedName name="kepalabatu">#REF!</definedName>
    <definedName name="kepalapancang">#REF!</definedName>
    <definedName name="kepalat">#REF!</definedName>
    <definedName name="kepalaTukang">#REF!</definedName>
    <definedName name="kepalatukangbatu">#REF!</definedName>
    <definedName name="kepalatukangbesi">#REF!</definedName>
    <definedName name="kepalatukangcat">#REF!</definedName>
    <definedName name="kepalatukangkayu">#REF!</definedName>
    <definedName name="kepalatukangpipa">#REF!</definedName>
    <definedName name="kepp">#REF!</definedName>
    <definedName name="keppp">#REF!</definedName>
    <definedName name="keptkg">#REF!</definedName>
    <definedName name="KEPTKNGBESI">#REF!</definedName>
    <definedName name="KEPTKNGCAT">#REF!</definedName>
    <definedName name="KEPTKNGLAS">#REF!</definedName>
    <definedName name="Keptu">#REF!</definedName>
    <definedName name="keptuk">#REF!</definedName>
    <definedName name="keptukang">#REF!</definedName>
    <definedName name="ker">#REF!</definedName>
    <definedName name="Ker.L13">#REF!</definedName>
    <definedName name="ker3030es">#REF!</definedName>
    <definedName name="keram20">#REF!</definedName>
    <definedName name="keram30">#REF!</definedName>
    <definedName name="keram30polis">#REF!</definedName>
    <definedName name="keram30unpolis">#REF!</definedName>
    <definedName name="keram40">#REF!</definedName>
    <definedName name="keramik">#REF!</definedName>
    <definedName name="keramik_10_20">#REF!</definedName>
    <definedName name="keramik_20_20">#REF!</definedName>
    <definedName name="KERAMIK_20x20_ANTISLIP">#REF!</definedName>
    <definedName name="KERAMIK_20x20_POLOS">#REF!</definedName>
    <definedName name="KERAMIK_20x25_POLOS">#REF!</definedName>
    <definedName name="keramik_30_30">#REF!</definedName>
    <definedName name="KERAMIK_30x30_ANTISLIP">#REF!</definedName>
    <definedName name="KERAMIK_30x30_POLOS">#REF!</definedName>
    <definedName name="keramik_40_40">#REF!</definedName>
    <definedName name="KERAMIK_40x40_ANTISLIP">#REF!</definedName>
    <definedName name="KERAMIK_40X40_POLOS">#REF!</definedName>
    <definedName name="KERAMIK_50X50AntiSlip">#REF!</definedName>
    <definedName name="KERAMIK_50X50POLOS">#REF!</definedName>
    <definedName name="keramik_homogeous_40">#REF!</definedName>
    <definedName name="Keramik_kuku_macan__30x30__cm">#REF!</definedName>
    <definedName name="Keramik_roman__10x20__cm_list">#REF!</definedName>
    <definedName name="Keramik_roman__20x25__cm_warna_muda">#REF!</definedName>
    <definedName name="Keramik_roman__20x25__cm_warna_tua">#REF!</definedName>
    <definedName name="Keramik_roman__30x30__cm_standart">#REF!</definedName>
    <definedName name="Keramik_superItali___32_x_32__cm_Q32">#REF!</definedName>
    <definedName name="Keramik_Uk._20_x_20_cm_Corak_Warna">#REF!</definedName>
    <definedName name="Keramik_Uk._20_x_25_cm_Corak_Warna">#REF!</definedName>
    <definedName name="Keramik_Uk._30_x_30_cm_Corak_Warna">#REF!</definedName>
    <definedName name="Keramik_Uk._30_x_30_cm_Putih_Polos">#REF!</definedName>
    <definedName name="keramik10.20">#REF!</definedName>
    <definedName name="keramik1020">'[48]HARGA SATUAN'!#REF!</definedName>
    <definedName name="keramik15.15">#REF!</definedName>
    <definedName name="keramik15.20">#REF!</definedName>
    <definedName name="keramik20">#REF!</definedName>
    <definedName name="keramik20.20">#REF!</definedName>
    <definedName name="Keramik2020">#REF!</definedName>
    <definedName name="keramik20x20">#REF!</definedName>
    <definedName name="keramik20x20meja">#REF!</definedName>
    <definedName name="keramik25.25">#REF!</definedName>
    <definedName name="keramik25x25">#REF!</definedName>
    <definedName name="keramik25x45">#REF!</definedName>
    <definedName name="keramik30">#REF!</definedName>
    <definedName name="keramik30.30motif">#REF!</definedName>
    <definedName name="keramik30.30polos">#REF!</definedName>
    <definedName name="KERAMIK30_30">#N/A</definedName>
    <definedName name="Keramik3030">#REF!</definedName>
    <definedName name="Keramik3030AntiSlip">#REF!</definedName>
    <definedName name="keramik30x30">#REF!</definedName>
    <definedName name="keramik33x33unpolised">#REF!</definedName>
    <definedName name="keramik40">#REF!</definedName>
    <definedName name="keramik4040">'[48]HARGA SATUAN'!#REF!</definedName>
    <definedName name="keramik40x40">#REF!</definedName>
    <definedName name="keramik6060">'[48]HARGA SATUAN'!#REF!</definedName>
    <definedName name="Keramikdinding20">#REF!</definedName>
    <definedName name="KeramikDinding2020">#REF!</definedName>
    <definedName name="KeramikDinding2025">#REF!</definedName>
    <definedName name="keramikdinding20x25">#REF!</definedName>
    <definedName name="keramikgwt">#REF!</definedName>
    <definedName name="KeramikLantai2020">#REF!</definedName>
    <definedName name="keramiklantai20x20">#REF!</definedName>
    <definedName name="KeramikLantai3030">#REF!</definedName>
    <definedName name="keramiklantai30x30">#REF!</definedName>
    <definedName name="keramikpol">#REF!</definedName>
    <definedName name="KeramikStep1020">#REF!</definedName>
    <definedName name="keramiktek">#REF!</definedName>
    <definedName name="KERANAIR">#N/A</definedName>
    <definedName name="kerawang">#REF!</definedName>
    <definedName name="kerb">#REF!</definedName>
    <definedName name="kerd2020">'[148]FLAF&amp;PARTSI'!#REF!</definedName>
    <definedName name="kerddg20">#REF!</definedName>
    <definedName name="kerdin">#REF!</definedName>
    <definedName name="kerikil">#REF!</definedName>
    <definedName name="Kerikil.p">#REF!</definedName>
    <definedName name="Kerikil_Beton">#REF!</definedName>
    <definedName name="kerikilkoral">#REF!</definedName>
    <definedName name="kerikilpecahtersaring">#REF!</definedName>
    <definedName name="kerikilsungaitidaktersaring">#REF!</definedName>
    <definedName name="kerja">#REF!</definedName>
    <definedName name="kerl2020">'[148]FLAF&amp;PARTSI'!#REF!</definedName>
    <definedName name="kerl3030">[149]Analisa!#REF!</definedName>
    <definedName name="kerla.1m">#REF!</definedName>
    <definedName name="kerla.1p">#REF!</definedName>
    <definedName name="kerla.2m">#REF!</definedName>
    <definedName name="kerla.2p">#REF!</definedName>
    <definedName name="kerlan20">#REF!</definedName>
    <definedName name="kerlan30">#REF!</definedName>
    <definedName name="kerlt20">#REF!</definedName>
    <definedName name="kerlt30">#REF!</definedName>
    <definedName name="Kernet">#REF!</definedName>
    <definedName name="KEROSENE">#REF!</definedName>
    <definedName name="Kertas_Amplas">#REF!</definedName>
    <definedName name="kertgosok">#REF!</definedName>
    <definedName name="kerwall20">#REF!</definedName>
    <definedName name="kesting">#REF!</definedName>
    <definedName name="ketam">[73]S.UPAH!$I$35</definedName>
    <definedName name="ketapangpengantin">#REF!</definedName>
    <definedName name="KEUNT">#REF!</definedName>
    <definedName name="kf">#REF!</definedName>
    <definedName name="kFDrain">#REF!</definedName>
    <definedName name="kfs">#REF!</definedName>
    <definedName name="kfs_1">#REF!</definedName>
    <definedName name="kfs_2">#REF!</definedName>
    <definedName name="kfs_2_1">#REF!</definedName>
    <definedName name="kfs_2_1_6">#REF!</definedName>
    <definedName name="kfs_2_6">#REF!</definedName>
    <definedName name="kfs_2_7">#REF!</definedName>
    <definedName name="kfs_3">#REF!</definedName>
    <definedName name="kfs_3_6">#REF!</definedName>
    <definedName name="kfs_3_7">#REF!</definedName>
    <definedName name="kfs_4">#REF!</definedName>
    <definedName name="kfs_5">#REF!</definedName>
    <definedName name="kfs_6">#REF!</definedName>
    <definedName name="kfs_6_1">#REF!</definedName>
    <definedName name="kfs_6_6">#REF!</definedName>
    <definedName name="kfs_6_7">#REF!</definedName>
    <definedName name="kfs_7">#REF!</definedName>
    <definedName name="kg">#REF!</definedName>
    <definedName name="kGalStripping1m">#REF!</definedName>
    <definedName name="kGalTanah1m">#REF!</definedName>
    <definedName name="kGalTanah2m">#REF!</definedName>
    <definedName name="kGalTanah3m">#REF!</definedName>
    <definedName name="kGalTanahKeras1m">#REF!</definedName>
    <definedName name="kGalTnhCadas1m">#REF!</definedName>
    <definedName name="kGalTnhLumpur1m">#REF!</definedName>
    <definedName name="kgb">'[45]Sat~Bahu'!$C$29</definedName>
    <definedName name="kgkgg" hidden="1">#REF!</definedName>
    <definedName name="kgrader">'[45]Sat~Bahu'!$G$92</definedName>
    <definedName name="kGrendelJendela">#REF!</definedName>
    <definedName name="kGrendelPintu">#REF!</definedName>
    <definedName name="kgs">#REF!</definedName>
    <definedName name="kgs_1">#REF!</definedName>
    <definedName name="kgs_2">#REF!</definedName>
    <definedName name="kgs_2_1">#REF!</definedName>
    <definedName name="kgs_2_1_6">#REF!</definedName>
    <definedName name="kgs_2_6">#REF!</definedName>
    <definedName name="kgs_2_7">#REF!</definedName>
    <definedName name="kgs_3">#REF!</definedName>
    <definedName name="kgs_3_4">#REF!</definedName>
    <definedName name="kgs_3_6">#REF!</definedName>
    <definedName name="kgs_3_7">#REF!</definedName>
    <definedName name="kgs_4">#REF!</definedName>
    <definedName name="kgs_4_1">#REF!</definedName>
    <definedName name="kgs_4_2">#REF!</definedName>
    <definedName name="kgs_4_2_6">#REF!</definedName>
    <definedName name="kgs_4_4">#REF!</definedName>
    <definedName name="kgs_4_6">#REF!</definedName>
    <definedName name="kgs_4_7">#REF!</definedName>
    <definedName name="kgs_5">#REF!</definedName>
    <definedName name="kgs_5_2">#REF!</definedName>
    <definedName name="kgs_5_2_6">#REF!</definedName>
    <definedName name="kgs_5_4">#REF!</definedName>
    <definedName name="kgs_5_6">#REF!</definedName>
    <definedName name="kgs_5_7">#REF!</definedName>
    <definedName name="kgs_6">#REF!</definedName>
    <definedName name="kgs_6_1">#REF!</definedName>
    <definedName name="kgs_6_4">#REF!</definedName>
    <definedName name="kgs_6_6">#REF!</definedName>
    <definedName name="kgs_6_7">#REF!</definedName>
    <definedName name="kgs_7">#REF!</definedName>
    <definedName name="KGT">#REF!</definedName>
    <definedName name="kh">#REF!</definedName>
    <definedName name="kharmonika">#REF!</definedName>
    <definedName name="KHBORE">#REF!</definedName>
    <definedName name="khd">#REF!</definedName>
    <definedName name="khi">#REF!</definedName>
    <definedName name="KHJ">#REF!</definedName>
    <definedName name="khrs">'[45]Sat~Bahu'!$F$87</definedName>
    <definedName name="khts">#REF!</definedName>
    <definedName name="KI">#N/A</definedName>
    <definedName name="kickers">#REF!</definedName>
    <definedName name="kik">'[113]SAT-DAS'!$J$33</definedName>
    <definedName name="kIkutCeledu">#REF!</definedName>
    <definedName name="killometer">#N/A</definedName>
    <definedName name="Kilometer_Pt">#REF!</definedName>
    <definedName name="kInstalasiStopKontak">#REF!</definedName>
    <definedName name="kInstalasiTitikLampu">#REF!</definedName>
    <definedName name="kipayung">#REF!</definedName>
    <definedName name="Kistdam">#REF!</definedName>
    <definedName name="kitc100x2x0.6">#REF!</definedName>
    <definedName name="kitc100x2x0.6_1">#REF!</definedName>
    <definedName name="kitc100x2x0.6_2">#REF!</definedName>
    <definedName name="kitc100x2x0.6_2_1">#REF!</definedName>
    <definedName name="kitc100x2x0.6_2_1_6">#REF!</definedName>
    <definedName name="kitc100x2x0.6_2_6">#REF!</definedName>
    <definedName name="kitc100x2x0.6_2_7">#REF!</definedName>
    <definedName name="kitc100x2x0.6_3">#REF!</definedName>
    <definedName name="kitc100x2x0.6_3_4">#REF!</definedName>
    <definedName name="kitc100x2x0.6_3_6">#REF!</definedName>
    <definedName name="kitc100x2x0.6_3_7">#REF!</definedName>
    <definedName name="kitc100x2x0.6_4">#REF!</definedName>
    <definedName name="kitc100x2x0.6_4_1">#REF!</definedName>
    <definedName name="kitc100x2x0.6_4_2">#REF!</definedName>
    <definedName name="kitc100x2x0.6_4_2_6">#REF!</definedName>
    <definedName name="kitc100x2x0.6_4_4">#REF!</definedName>
    <definedName name="kitc100x2x0.6_4_6">#REF!</definedName>
    <definedName name="kitc100x2x0.6_4_7">#REF!</definedName>
    <definedName name="kitc100x2x0.6_5">#REF!</definedName>
    <definedName name="kitc100x2x0.6_5_2">#REF!</definedName>
    <definedName name="kitc100x2x0.6_5_2_6">#REF!</definedName>
    <definedName name="kitc100x2x0.6_5_4">#REF!</definedName>
    <definedName name="kitc100x2x0.6_5_6">#REF!</definedName>
    <definedName name="kitc100x2x0.6_5_7">#REF!</definedName>
    <definedName name="kitc100x2x0.6_6">#REF!</definedName>
    <definedName name="kitc100x2x0.6_6_1">#REF!</definedName>
    <definedName name="kitc100x2x0.6_6_4">#REF!</definedName>
    <definedName name="kitc100x2x0.6_6_6">#REF!</definedName>
    <definedName name="kitc100x2x0.6_6_7">#REF!</definedName>
    <definedName name="kitc100x2x0.6_7">#REF!</definedName>
    <definedName name="kitc2x100x2x0.6">#REF!</definedName>
    <definedName name="kitc2x100x2x0.6_1">#REF!</definedName>
    <definedName name="kitc2x100x2x0.6_2">#REF!</definedName>
    <definedName name="kitc2x100x2x0.6_2_1">#REF!</definedName>
    <definedName name="kitc2x100x2x0.6_2_1_6">#REF!</definedName>
    <definedName name="kitc2x100x2x0.6_2_6">#REF!</definedName>
    <definedName name="kitc2x100x2x0.6_2_7">#REF!</definedName>
    <definedName name="kitc2x100x2x0.6_3">#REF!</definedName>
    <definedName name="kitc2x100x2x0.6_3_4">#REF!</definedName>
    <definedName name="kitc2x100x2x0.6_3_6">#REF!</definedName>
    <definedName name="kitc2x100x2x0.6_3_7">#REF!</definedName>
    <definedName name="kitc2x100x2x0.6_4">#REF!</definedName>
    <definedName name="kitc2x100x2x0.6_4_1">#REF!</definedName>
    <definedName name="kitc2x100x2x0.6_4_2">#REF!</definedName>
    <definedName name="kitc2x100x2x0.6_4_2_6">#REF!</definedName>
    <definedName name="kitc2x100x2x0.6_4_4">#REF!</definedName>
    <definedName name="kitc2x100x2x0.6_4_6">#REF!</definedName>
    <definedName name="kitc2x100x2x0.6_4_7">#REF!</definedName>
    <definedName name="kitc2x100x2x0.6_5">#REF!</definedName>
    <definedName name="kitc2x100x2x0.6_5_2">#REF!</definedName>
    <definedName name="kitc2x100x2x0.6_5_2_6">#REF!</definedName>
    <definedName name="kitc2x100x2x0.6_5_4">#REF!</definedName>
    <definedName name="kitc2x100x2x0.6_5_6">#REF!</definedName>
    <definedName name="kitc2x100x2x0.6_5_7">#REF!</definedName>
    <definedName name="kitc2x100x2x0.6_6">#REF!</definedName>
    <definedName name="kitc2x100x2x0.6_6_1">#REF!</definedName>
    <definedName name="kitc2x100x2x0.6_6_4">#REF!</definedName>
    <definedName name="kitc2x100x2x0.6_6_6">#REF!</definedName>
    <definedName name="kitc2x100x2x0.6_6_7">#REF!</definedName>
    <definedName name="kitc2x100x2x0.6_7">#REF!</definedName>
    <definedName name="kitchen">#REF!</definedName>
    <definedName name="kitchen_sink">[39]Plumbing!#REF!</definedName>
    <definedName name="kitchen_zink">#REF!</definedName>
    <definedName name="KJ">#REF!</definedName>
    <definedName name="kJalanSementara">#REF!</definedName>
    <definedName name="kJdlNako">#REF!</definedName>
    <definedName name="KJGK">#N/A</definedName>
    <definedName name="KJH">#REF!</definedName>
    <definedName name="kjhgkh">#REF!</definedName>
    <definedName name="KJHHKH">#N/A</definedName>
    <definedName name="KJHkdashlhfLHd">#REF!</definedName>
    <definedName name="kji">#REF!</definedName>
    <definedName name="kji_1">#REF!</definedName>
    <definedName name="kji_2">#REF!</definedName>
    <definedName name="kji_2_1">#REF!</definedName>
    <definedName name="kji_2_1_6">#REF!</definedName>
    <definedName name="kji_2_6">#REF!</definedName>
    <definedName name="kji_2_7">#REF!</definedName>
    <definedName name="kji_3">#REF!</definedName>
    <definedName name="kji_3_6">#REF!</definedName>
    <definedName name="kji_3_7">#REF!</definedName>
    <definedName name="kji_4">#REF!</definedName>
    <definedName name="kji_5">#REF!</definedName>
    <definedName name="kji_6">#REF!</definedName>
    <definedName name="kji_6_1">#REF!</definedName>
    <definedName name="kji_6_6">#REF!</definedName>
    <definedName name="kji_6_7">#REF!</definedName>
    <definedName name="kji_7">#REF!</definedName>
    <definedName name="KJJJ">#REF!</definedName>
    <definedName name="kjkll">[46]Cover!#REF!</definedName>
    <definedName name="KK" hidden="1">{"'Sheet1'!$A$1"}</definedName>
    <definedName name="KK_07">#REF!</definedName>
    <definedName name="KK_08">#REF!</definedName>
    <definedName name="KK_09">#REF!</definedName>
    <definedName name="KK_09A">#REF!</definedName>
    <definedName name="KK_10">#REF!</definedName>
    <definedName name="KK_10A">#REF!</definedName>
    <definedName name="KK_11">#REF!</definedName>
    <definedName name="KK_12">#REF!</definedName>
    <definedName name="KK_13">#REF!</definedName>
    <definedName name="KK_14">#REF!</definedName>
    <definedName name="KK_15">#REF!</definedName>
    <definedName name="KK_16">#REF!</definedName>
    <definedName name="kk10a">#REF!</definedName>
    <definedName name="kk10a_1">#REF!</definedName>
    <definedName name="kk10a_2">#REF!</definedName>
    <definedName name="kk10a_2_1">#REF!</definedName>
    <definedName name="kk10a_2_1_6">#REF!</definedName>
    <definedName name="kk10a_2_6">#REF!</definedName>
    <definedName name="kk10a_2_7">#REF!</definedName>
    <definedName name="kk10a_3">#REF!</definedName>
    <definedName name="kk10a_3_4">#REF!</definedName>
    <definedName name="kk10a_3_6">#REF!</definedName>
    <definedName name="kk10a_3_7">#REF!</definedName>
    <definedName name="kk10a_4">#REF!</definedName>
    <definedName name="kk10a_4_1">#REF!</definedName>
    <definedName name="kk10a_4_2">#REF!</definedName>
    <definedName name="kk10a_4_2_6">#REF!</definedName>
    <definedName name="kk10a_4_4">#REF!</definedName>
    <definedName name="kk10a_4_6">#REF!</definedName>
    <definedName name="kk10a_4_7">#REF!</definedName>
    <definedName name="kk10a_5">#REF!</definedName>
    <definedName name="kk10a_5_2">#REF!</definedName>
    <definedName name="kk10a_5_2_6">#REF!</definedName>
    <definedName name="kk10a_5_4">#REF!</definedName>
    <definedName name="kk10a_5_6">#REF!</definedName>
    <definedName name="kk10a_5_7">#REF!</definedName>
    <definedName name="kk10a_6">#REF!</definedName>
    <definedName name="kk10a_6_1">#REF!</definedName>
    <definedName name="kk10a_6_4">#REF!</definedName>
    <definedName name="kk10a_6_6">#REF!</definedName>
    <definedName name="kk10a_6_7">#REF!</definedName>
    <definedName name="kk10a_7">#REF!</definedName>
    <definedName name="kk16a">#REF!</definedName>
    <definedName name="kk16a_1">#REF!</definedName>
    <definedName name="kk16a_2">#REF!</definedName>
    <definedName name="kk16a_2_1">#REF!</definedName>
    <definedName name="kk16a_2_1_6">#REF!</definedName>
    <definedName name="kk16a_2_6">#REF!</definedName>
    <definedName name="kk16a_2_7">#REF!</definedName>
    <definedName name="kk16a_3">#REF!</definedName>
    <definedName name="kk16a_3_4">#REF!</definedName>
    <definedName name="kk16a_3_6">#REF!</definedName>
    <definedName name="kk16a_3_7">#REF!</definedName>
    <definedName name="kk16a_4">#REF!</definedName>
    <definedName name="kk16a_4_1">#REF!</definedName>
    <definedName name="kk16a_4_2">#REF!</definedName>
    <definedName name="kk16a_4_2_6">#REF!</definedName>
    <definedName name="kk16a_4_4">#REF!</definedName>
    <definedName name="kk16a_4_6">#REF!</definedName>
    <definedName name="kk16a_4_7">#REF!</definedName>
    <definedName name="kk16a_5">#REF!</definedName>
    <definedName name="kk16a_5_2">#REF!</definedName>
    <definedName name="kk16a_5_2_6">#REF!</definedName>
    <definedName name="kk16a_5_4">#REF!</definedName>
    <definedName name="kk16a_5_6">#REF!</definedName>
    <definedName name="kk16a_5_7">#REF!</definedName>
    <definedName name="kk16a_6">#REF!</definedName>
    <definedName name="kk16a_6_1">#REF!</definedName>
    <definedName name="kk16a_6_4">#REF!</definedName>
    <definedName name="kk16a_6_6">#REF!</definedName>
    <definedName name="kk16a_6_7">#REF!</definedName>
    <definedName name="kk16a_7">#REF!</definedName>
    <definedName name="kKaitAngin">#REF!</definedName>
    <definedName name="kKAPBaja">#REF!</definedName>
    <definedName name="kkayuii">#REF!</definedName>
    <definedName name="kkb">'[45]Sat~Bahu'!$F$62</definedName>
    <definedName name="kKeramik2020">#REF!</definedName>
    <definedName name="kKeramik3030">#REF!</definedName>
    <definedName name="kKeramik3030AntiSlip">#REF!</definedName>
    <definedName name="kKeramik4040">#REF!</definedName>
    <definedName name="kKeramik4040AntiSlip">#REF!</definedName>
    <definedName name="kKeramikDinding2020">#REF!</definedName>
    <definedName name="kkgb">'[45]Sat~Bahu'!$F$29</definedName>
    <definedName name="kkk">#REF!</definedName>
    <definedName name="kkkk">#REF!</definedName>
    <definedName name="kkkkk">#REF!</definedName>
    <definedName name="kkkkkkk">[150]Material!#REF!</definedName>
    <definedName name="kkkkkkkkkkk">#REF!</definedName>
    <definedName name="kkl">#REF!</definedName>
    <definedName name="kKlampKamper">#REF!</definedName>
    <definedName name="kKlosetDuduk">#REF!</definedName>
    <definedName name="kKlosetJongkok">#REF!</definedName>
    <definedName name="kklsi">#REF!</definedName>
    <definedName name="kkm">#REF!</definedName>
    <definedName name="kkm_1">#REF!</definedName>
    <definedName name="kkm_2">#REF!</definedName>
    <definedName name="kkm_2_1">#REF!</definedName>
    <definedName name="kkm_2_1_6">#REF!</definedName>
    <definedName name="kkm_2_6">#REF!</definedName>
    <definedName name="kkm_3">#REF!</definedName>
    <definedName name="kkm_3_6">#REF!</definedName>
    <definedName name="kkm_3_7">#REF!</definedName>
    <definedName name="kkm_4">#REF!</definedName>
    <definedName name="kkm_5">#REF!</definedName>
    <definedName name="kkm_6">#REF!</definedName>
    <definedName name="kkm_6_1">#REF!</definedName>
    <definedName name="kkm_6_6">#REF!</definedName>
    <definedName name="kkm_6_7">#REF!</definedName>
    <definedName name="kkm_7">#REF!</definedName>
    <definedName name="kknym">#REF!</definedName>
    <definedName name="kknymhy">#REF!</definedName>
    <definedName name="kknymhy_1">#REF!</definedName>
    <definedName name="kknymhy_2">#REF!</definedName>
    <definedName name="kknymhy_2_1">#REF!</definedName>
    <definedName name="kknymhy_2_1_6">#REF!</definedName>
    <definedName name="kknymhy_2_6">#REF!</definedName>
    <definedName name="kknymhy_2_7">#REF!</definedName>
    <definedName name="kknymhy_3">#REF!</definedName>
    <definedName name="kknymhy_3_6">#REF!</definedName>
    <definedName name="kknymhy_3_7">#REF!</definedName>
    <definedName name="kknymhy_4">#REF!</definedName>
    <definedName name="kknymhy_5">#REF!</definedName>
    <definedName name="kknymhy_6">#REF!</definedName>
    <definedName name="kknymhy_6_1">#REF!</definedName>
    <definedName name="kknymhy_6_6">#REF!</definedName>
    <definedName name="kknymhy_6_7">#REF!</definedName>
    <definedName name="kknymhy_7">#REF!</definedName>
    <definedName name="kKolom1015">#REF!</definedName>
    <definedName name="kKolom1111">#REF!</definedName>
    <definedName name="kKolomFe110">#REF!</definedName>
    <definedName name="kKolomFe120">#REF!</definedName>
    <definedName name="kKolomFe125">#REF!</definedName>
    <definedName name="kKolomFe130">#REF!</definedName>
    <definedName name="kKolomFe140">#REF!</definedName>
    <definedName name="kKolomFe150">#REF!</definedName>
    <definedName name="kKolomFe160">#REF!</definedName>
    <definedName name="kKolomFe170">#REF!</definedName>
    <definedName name="kKolomFe175">#REF!</definedName>
    <definedName name="kKolomFe180">#REF!</definedName>
    <definedName name="kKolomFe190">#REF!</definedName>
    <definedName name="kKolomFe200">#REF!</definedName>
    <definedName name="kKolomFe210">#REF!</definedName>
    <definedName name="kKolomFe220">#REF!</definedName>
    <definedName name="kKolomFe230">#REF!</definedName>
    <definedName name="kKolomFe240">#REF!</definedName>
    <definedName name="kKolomFe250">#REF!</definedName>
    <definedName name="kKolomFe260">#REF!</definedName>
    <definedName name="kKolomFe270">#REF!</definedName>
    <definedName name="kKolomFe275">#REF!</definedName>
    <definedName name="kKolomFe280">#REF!</definedName>
    <definedName name="kKolomFe310">#REF!</definedName>
    <definedName name="kKolomFe80">#REF!</definedName>
    <definedName name="kKolomFe90">#REF!</definedName>
    <definedName name="kkpb">'[45]Sat~Bahu'!$F$58</definedName>
    <definedName name="KKR">#REF!</definedName>
    <definedName name="kKRAN">#REF!</definedName>
    <definedName name="kks">'[45]Sat~Bahu'!$F$30</definedName>
    <definedName name="kkt">#REF!</definedName>
    <definedName name="kkts">#REF!</definedName>
    <definedName name="kkts_1">#REF!</definedName>
    <definedName name="kkts_2">#REF!</definedName>
    <definedName name="kkts_2_1">#REF!</definedName>
    <definedName name="kkts_2_1_6">#REF!</definedName>
    <definedName name="kkts_2_6">#REF!</definedName>
    <definedName name="kkts_2_7">#REF!</definedName>
    <definedName name="kkts_3">#REF!</definedName>
    <definedName name="kkts_3_6">#REF!</definedName>
    <definedName name="kkts_3_7">#REF!</definedName>
    <definedName name="kkts_4">#REF!</definedName>
    <definedName name="kkts_5">#REF!</definedName>
    <definedName name="kkts_6">#REF!</definedName>
    <definedName name="kkts_6_1">#REF!</definedName>
    <definedName name="kkts_6_6">#REF!</definedName>
    <definedName name="kkts_6_7">#REF!</definedName>
    <definedName name="kkts_7">#REF!</definedName>
    <definedName name="kKuda2Kamper">#REF!</definedName>
    <definedName name="kKuda2Kruing">#REF!</definedName>
    <definedName name="kKuda2lama">#REF!</definedName>
    <definedName name="kkUDA2mERANTI">#REF!</definedName>
    <definedName name="kKunciSlot">#REF!</definedName>
    <definedName name="kKunciTanam">#REF!</definedName>
    <definedName name="kkup">'[45]Sat~Bahu'!$F$77</definedName>
    <definedName name="kKupasPles">#REF!</definedName>
    <definedName name="KKUR">#REF!</definedName>
    <definedName name="kKursiguru">#REF!</definedName>
    <definedName name="kKursiSiswa">#REF!</definedName>
    <definedName name="kKusenKmper">#REF!</definedName>
    <definedName name="KKY">#REF!</definedName>
    <definedName name="KL">#REF!</definedName>
    <definedName name="kl_2020">#REF!</definedName>
    <definedName name="kl_2020p">#REF!</definedName>
    <definedName name="kl_2025">#REF!</definedName>
    <definedName name="kl_3030">#REF!</definedName>
    <definedName name="kl_3030p">#REF!</definedName>
    <definedName name="kl_3333">#REF!</definedName>
    <definedName name="kl_3333p">#REF!</definedName>
    <definedName name="kl_3333pk">#REF!</definedName>
    <definedName name="kl_4040">#REF!</definedName>
    <definedName name="kl_40401">#REF!</definedName>
    <definedName name="kl_4040d">#REF!</definedName>
    <definedName name="kLaburmowileks">#REF!</definedName>
    <definedName name="KlampKamper">#REF!</definedName>
    <definedName name="kLampuPijar25Watt">#REF!</definedName>
    <definedName name="kLampuTL25Watt">#REF!</definedName>
    <definedName name="kLapIjuk">#REF!</definedName>
    <definedName name="klarif1">#REF!</definedName>
    <definedName name="KLAS_B2">#REF!</definedName>
    <definedName name="KLAS_B3">#REF!</definedName>
    <definedName name="Klasiboard">#REF!</definedName>
    <definedName name="klb">#REF!</definedName>
    <definedName name="kldd1p">'[18]#REF'!#REF!</definedName>
    <definedName name="kldd3p">'[18]lam-moi'!#REF!</definedName>
    <definedName name="klem">#REF!</definedName>
    <definedName name="klem.k">#REF!</definedName>
    <definedName name="kLemari">#REF!</definedName>
    <definedName name="klempvc">#REF!</definedName>
    <definedName name="klipj">#REF!</definedName>
    <definedName name="kList34">#REF!</definedName>
    <definedName name="kList4">#REF!</definedName>
    <definedName name="kListPlaf">#REF!</definedName>
    <definedName name="kListplank20">#REF!</definedName>
    <definedName name="kListplank2x20">#REF!</definedName>
    <definedName name="kListProfil">#REF!</definedName>
    <definedName name="kListTatab">#REF!</definedName>
    <definedName name="KLJ" hidden="1">{"'Sheet1'!$A$1"}</definedName>
    <definedName name="kljl">#REF!</definedName>
    <definedName name="klkgkhghjg">[151]Cover!#REF!</definedName>
    <definedName name="klm">#REF!</definedName>
    <definedName name="KLM.1.101">#REF!</definedName>
    <definedName name="KLM.1.1012">#REF!</definedName>
    <definedName name="KLM.1.1012B">#REF!</definedName>
    <definedName name="KLM.1.101B">#REF!</definedName>
    <definedName name="KLM.1.101E">#REF!</definedName>
    <definedName name="KLM.1.101E.2">#REF!</definedName>
    <definedName name="KLM.1.102">#REF!</definedName>
    <definedName name="KLM.1.102B">#REF!</definedName>
    <definedName name="KLM.1.102E">#REF!</definedName>
    <definedName name="KLM.1.103">#REF!</definedName>
    <definedName name="KLM.1.103B">#REF!</definedName>
    <definedName name="KLM.1.103E">#REF!</definedName>
    <definedName name="KLM.1.104">#REF!</definedName>
    <definedName name="KLM.1.104.B">#REF!</definedName>
    <definedName name="KLM.1.104E">#REF!</definedName>
    <definedName name="KLM.2.101">#REF!</definedName>
    <definedName name="KLM.2.101B">#REF!</definedName>
    <definedName name="KLM.2.101E">#REF!</definedName>
    <definedName name="KLM.2.102">#REF!</definedName>
    <definedName name="KLM.2.102B">#REF!</definedName>
    <definedName name="KLM.2.102E">#REF!</definedName>
    <definedName name="KLM.2.103">#REF!</definedName>
    <definedName name="KLM.2.103B">#REF!</definedName>
    <definedName name="KLM.2.103E">#REF!</definedName>
    <definedName name="KLM.2.104">#REF!</definedName>
    <definedName name="KLM.2.104B">#REF!</definedName>
    <definedName name="KLM.3.101">#REF!</definedName>
    <definedName name="KLM.3.101B">#REF!</definedName>
    <definedName name="KLM.3.101E">#REF!</definedName>
    <definedName name="KLM.3.102">#REF!</definedName>
    <definedName name="KLM.3.102B">#REF!</definedName>
    <definedName name="KLM.3.102E">#REF!</definedName>
    <definedName name="KLM.3.103">#REF!</definedName>
    <definedName name="KLM.3.103B">#REF!</definedName>
    <definedName name="KLM.3.103E">#REF!</definedName>
    <definedName name="KLM.3.104">#REF!</definedName>
    <definedName name="KLM.3.104E">#REF!</definedName>
    <definedName name="KLM.4.101">#REF!</definedName>
    <definedName name="KLM.4.101B">#REF!</definedName>
    <definedName name="KLM.4.101E">#REF!</definedName>
    <definedName name="KLM.4.102">#REF!</definedName>
    <definedName name="KLM.4.102B">#REF!</definedName>
    <definedName name="KLM.4.102E">#REF!</definedName>
    <definedName name="KLM.4.103">#REF!</definedName>
    <definedName name="KLM.4.103B">#REF!</definedName>
    <definedName name="KLM.4.104">#REF!</definedName>
    <definedName name="KLM.4.104B">#REF!</definedName>
    <definedName name="KLM.4.104E">#REF!</definedName>
    <definedName name="KLM.B2.1.10001">#REF!</definedName>
    <definedName name="KLM.B2.1.10002">#REF!</definedName>
    <definedName name="KLM.TG.101">#REF!</definedName>
    <definedName name="KLM.TG.101B">#REF!</definedName>
    <definedName name="KLM.TG.101E">#REF!</definedName>
    <definedName name="klm_1010">#REF!</definedName>
    <definedName name="KLM_FORD">#REF!</definedName>
    <definedName name="klm_kp">#REF!</definedName>
    <definedName name="klm_rata">"'file://SERVER3/har-data/STRUCTURE PRICE OF BQ KOMPAS GRAMEDIA.xls'#$analisa.$#REF!$#REF!"</definedName>
    <definedName name="KLM2.1.10001">#REF!</definedName>
    <definedName name="KLM2.1.10001.O">#REF!</definedName>
    <definedName name="KLM2.1.10002">#REF!</definedName>
    <definedName name="KLM2.1.10002.O">#REF!</definedName>
    <definedName name="KLM2.1.10003">#REF!</definedName>
    <definedName name="KLM2.1.10004">#REF!</definedName>
    <definedName name="KLM2.10002">#REF!</definedName>
    <definedName name="KLM2.2.10001">#REF!</definedName>
    <definedName name="KLM2.2.10002">#REF!</definedName>
    <definedName name="KLMPRAKTIS">#REF!</definedName>
    <definedName name="klos.d">#REF!</definedName>
    <definedName name="klos.ina">#REF!</definedName>
    <definedName name="KLOSEDDUDUK">#N/A</definedName>
    <definedName name="KLOSEDJONGKOK">#N/A</definedName>
    <definedName name="kloset">#REF!</definedName>
    <definedName name="KLOSET_DUDUK">#REF!</definedName>
    <definedName name="Kloset_duduk_KIA_warna_muda">#REF!</definedName>
    <definedName name="Kloset_duduk_KIA_warna_tua">#REF!</definedName>
    <definedName name="KLOSET_JONGKOK">#REF!</definedName>
    <definedName name="Kloset_jongkok_KIA_warna_muda">#REF!</definedName>
    <definedName name="Kloset_jongkok_KIA_warna_tua">#REF!</definedName>
    <definedName name="Kloset_jongkok_porselin">#REF!</definedName>
    <definedName name="Kloset_monoblok_biasa">#REF!</definedName>
    <definedName name="klosetduduk">#REF!</definedName>
    <definedName name="KlosetJongkok">#REF!</definedName>
    <definedName name="klosetjonngkokteraso">#REF!</definedName>
    <definedName name="klosetporselen">#REF!</definedName>
    <definedName name="klosjong">#REF!</definedName>
    <definedName name="klp">#REF!</definedName>
    <definedName name="klp_1">#REF!</definedName>
    <definedName name="klp_2">#REF!</definedName>
    <definedName name="klp_2_1">#REF!</definedName>
    <definedName name="klp_2_1_6">#REF!</definedName>
    <definedName name="klp_2_6">#REF!</definedName>
    <definedName name="klp_2_7">#REF!</definedName>
    <definedName name="klp_3">#REF!</definedName>
    <definedName name="klp_3_4">#REF!</definedName>
    <definedName name="klp_3_6">#REF!</definedName>
    <definedName name="klp_3_7">#REF!</definedName>
    <definedName name="klp_4">#REF!</definedName>
    <definedName name="klp_4_1">#REF!</definedName>
    <definedName name="klp_4_2">#REF!</definedName>
    <definedName name="klp_4_2_6">#REF!</definedName>
    <definedName name="klp_4_4">#REF!</definedName>
    <definedName name="klp_4_6">#REF!</definedName>
    <definedName name="klp_4_7">#REF!</definedName>
    <definedName name="klp_5">#REF!</definedName>
    <definedName name="klp_5_2">#REF!</definedName>
    <definedName name="klp_5_2_6">#REF!</definedName>
    <definedName name="klp_5_4">#REF!</definedName>
    <definedName name="klp_5_6">#REF!</definedName>
    <definedName name="klp_5_7">#REF!</definedName>
    <definedName name="klp_6">#REF!</definedName>
    <definedName name="klp_6_1">#REF!</definedName>
    <definedName name="klp_6_4">#REF!</definedName>
    <definedName name="klp_6_6">#REF!</definedName>
    <definedName name="klp_6_7">#REF!</definedName>
    <definedName name="klp_7">#REF!</definedName>
    <definedName name="KLSB">#REF!</definedName>
    <definedName name="KLT">#REF!</definedName>
    <definedName name="KLTS">#REF!</definedName>
    <definedName name="kluis30">#REF!</definedName>
    <definedName name="km">#REF!</definedName>
    <definedName name="km_1">#REF!</definedName>
    <definedName name="km_2">#REF!</definedName>
    <definedName name="km_2_1">#REF!</definedName>
    <definedName name="km_2_1_6">#REF!</definedName>
    <definedName name="km_2_6">#REF!</definedName>
    <definedName name="km_2_7">#REF!</definedName>
    <definedName name="km_3">#REF!</definedName>
    <definedName name="km_3_6">#REF!</definedName>
    <definedName name="km_3_7">#REF!</definedName>
    <definedName name="km_4">#REF!</definedName>
    <definedName name="km_5">#REF!</definedName>
    <definedName name="km_6">#REF!</definedName>
    <definedName name="km_6_1">#REF!</definedName>
    <definedName name="km_6_6">#REF!</definedName>
    <definedName name="km_6_7">#REF!</definedName>
    <definedName name="km_7">#REF!</definedName>
    <definedName name="kMCB">#REF!</definedName>
    <definedName name="kmcs">#REF!</definedName>
    <definedName name="kmedan">#REF!</definedName>
    <definedName name="kMejabelajar">#REF!</definedName>
    <definedName name="kMejaguru">#REF!</definedName>
    <definedName name="kMeniBaja">#REF!</definedName>
    <definedName name="kmg.3r">'[45]Sat~Bahu'!$G$96</definedName>
    <definedName name="kmgb">'[45]Sat~Bahu'!$G$98</definedName>
    <definedName name="kmgrk">'[45]Sat~Bahu'!$G$99</definedName>
    <definedName name="kmgt">'[45]Sat~Bahu'!$G$97</definedName>
    <definedName name="KMI">#REF!</definedName>
    <definedName name="KML">'[45]Sat~Bahu'!$G$6</definedName>
    <definedName name="kmm">#REF!</definedName>
    <definedName name="kmm_1">#REF!</definedName>
    <definedName name="kmm_2">#REF!</definedName>
    <definedName name="kmm_2_1">#REF!</definedName>
    <definedName name="kmm_2_1_6">#REF!</definedName>
    <definedName name="kmm_2_6">#REF!</definedName>
    <definedName name="kmm_3">#REF!</definedName>
    <definedName name="kmm_3_6">#REF!</definedName>
    <definedName name="kmm_3_7">#REF!</definedName>
    <definedName name="kmm_4">#REF!</definedName>
    <definedName name="kmm_5">#REF!</definedName>
    <definedName name="kmm_6">#REF!</definedName>
    <definedName name="kmm_6_1">#REF!</definedName>
    <definedName name="kmm_6_6">#REF!</definedName>
    <definedName name="kmm_6_7">#REF!</definedName>
    <definedName name="kmm_7">#REF!</definedName>
    <definedName name="kmmm">#REF!</definedName>
    <definedName name="kmong">[18]giathanh1!#REF!</definedName>
    <definedName name="kmp.182">'[45]Sat~Bahu'!$G$104</definedName>
    <definedName name="kmp.banjar">#REF!</definedName>
    <definedName name="KMpost">#REF!</definedName>
    <definedName name="kmt">'[45]Sat~Bahu'!$F$53</definedName>
    <definedName name="kmts">#REF!</definedName>
    <definedName name="kMurda">#REF!</definedName>
    <definedName name="kn_1040">[65]harsat!#REF!</definedName>
    <definedName name="KNC.PT.10001">#REF!</definedName>
    <definedName name="knee">#REF!</definedName>
    <definedName name="kneegalvanis4">#REF!</definedName>
    <definedName name="kneepvc3">#REF!</definedName>
    <definedName name="KNEI">#N/A</definedName>
    <definedName name="knek">#REF!</definedName>
    <definedName name="KNF">#REF!</definedName>
    <definedName name="kNokSeng">#REF!</definedName>
    <definedName name="kNokSirap">#REF!</definedName>
    <definedName name="Knyatoh">#REF!</definedName>
    <definedName name="ko">#REF!</definedName>
    <definedName name="koa">#REF!</definedName>
    <definedName name="kobaj">#REF!</definedName>
    <definedName name="kobes">#REF!</definedName>
    <definedName name="kobet">#REF!</definedName>
    <definedName name="kode">#REF!</definedName>
    <definedName name="KODE_1">#REF!</definedName>
    <definedName name="KODE_2">#REF!</definedName>
    <definedName name="KODE_2_1">#REF!</definedName>
    <definedName name="KODE_2_1_6">#REF!</definedName>
    <definedName name="KODE_2_6">#REF!</definedName>
    <definedName name="KODE_2_7">#REF!</definedName>
    <definedName name="KODE_3">#REF!</definedName>
    <definedName name="KODE_3_4">#REF!</definedName>
    <definedName name="KODE_3_6">#REF!</definedName>
    <definedName name="KODE_3_7">#REF!</definedName>
    <definedName name="KODE_4">#REF!</definedName>
    <definedName name="KODE_4_1">#REF!</definedName>
    <definedName name="KODE_4_2">#REF!</definedName>
    <definedName name="KODE_4_2_6">#REF!</definedName>
    <definedName name="KODE_4_4">#REF!</definedName>
    <definedName name="KODE_4_6">#REF!</definedName>
    <definedName name="KODE_4_7">#REF!</definedName>
    <definedName name="KODE_5">#REF!</definedName>
    <definedName name="KODE_5_2">#REF!</definedName>
    <definedName name="KODE_5_2_6">#REF!</definedName>
    <definedName name="KODE_5_4">#REF!</definedName>
    <definedName name="KODE_5_6">#REF!</definedName>
    <definedName name="KODE_5_7">#REF!</definedName>
    <definedName name="KODE_6">#REF!</definedName>
    <definedName name="KODE_6_1">#REF!</definedName>
    <definedName name="KODE_6_4">#REF!</definedName>
    <definedName name="KODE_6_6">#REF!</definedName>
    <definedName name="KODE_6_7">#REF!</definedName>
    <definedName name="KODE_7">#REF!</definedName>
    <definedName name="KODE3">#REF!</definedName>
    <definedName name="KODEAHS">#REF!</definedName>
    <definedName name="KodeRAB">#REF!</definedName>
    <definedName name="kodok">'[21]Harga Satuan Bahan'!#REF!</definedName>
    <definedName name="kodokgls">'[21]Harga Satuan Bahan'!#REF!</definedName>
    <definedName name="KODTK">'[45]Sat~Bahu'!$G$10</definedName>
    <definedName name="KOEF">#REF!</definedName>
    <definedName name="koef.">#REF!</definedName>
    <definedName name="KOEF_AUSD">#REF!</definedName>
    <definedName name="KOEF_EURO">#REF!</definedName>
    <definedName name="koef_rp">#REF!</definedName>
    <definedName name="KOEF_SGD">#REF!</definedName>
    <definedName name="koef_usd">#REF!</definedName>
    <definedName name="KOEF_Yen">#REF!</definedName>
    <definedName name="koef1">#REF!</definedName>
    <definedName name="koef1_1">#REF!</definedName>
    <definedName name="koef1_2">#REF!</definedName>
    <definedName name="koef1_2_1">#REF!</definedName>
    <definedName name="koef1_3">#REF!</definedName>
    <definedName name="koef1_3_4">#REF!</definedName>
    <definedName name="koef1_3_6">#REF!</definedName>
    <definedName name="koef1_3_7">#REF!</definedName>
    <definedName name="koef1_4">#REF!</definedName>
    <definedName name="koef1_4_1">#REF!</definedName>
    <definedName name="koef1_4_2">#REF!</definedName>
    <definedName name="koef1_4_4">#REF!</definedName>
    <definedName name="koef1_4_6">#REF!</definedName>
    <definedName name="koef1_4_7">#REF!</definedName>
    <definedName name="koef1_5">#REF!</definedName>
    <definedName name="koef1_5_2">#REF!</definedName>
    <definedName name="koef1_5_4">#REF!</definedName>
    <definedName name="koef1_5_6">#REF!</definedName>
    <definedName name="koef1_5_7">#REF!</definedName>
    <definedName name="koef1_6">#REF!</definedName>
    <definedName name="koef1_6_1">#REF!</definedName>
    <definedName name="koef1_6_4">#REF!</definedName>
    <definedName name="koef1_6_6">#REF!</definedName>
    <definedName name="koef1_6_7">#REF!</definedName>
    <definedName name="koef1_7">#REF!</definedName>
    <definedName name="KOEF2">#REF!</definedName>
    <definedName name="KOEF3">#REF!</definedName>
    <definedName name="KOEF4">#REF!</definedName>
    <definedName name="KOEF5">#REF!</definedName>
    <definedName name="KOEF6">#REF!</definedName>
    <definedName name="Koefisien">#REF!</definedName>
    <definedName name="koeflingg">#REF!</definedName>
    <definedName name="koeflingg_1">#REF!</definedName>
    <definedName name="koeflingg_2">#REF!</definedName>
    <definedName name="koeflingg_2_1">#REF!</definedName>
    <definedName name="koeflingg_2_1_6">#REF!</definedName>
    <definedName name="koeflingg_2_6">#REF!</definedName>
    <definedName name="koeflingg_2_7">#REF!</definedName>
    <definedName name="koeflingg_3">#REF!</definedName>
    <definedName name="koeflingg_3_6">#REF!</definedName>
    <definedName name="koeflingg_3_7">#REF!</definedName>
    <definedName name="koeflingg_4">#REF!</definedName>
    <definedName name="koeflingg_5">#REF!</definedName>
    <definedName name="koeflingg_6">#REF!</definedName>
    <definedName name="koeflingg_6_1">#REF!</definedName>
    <definedName name="koeflingg_6_6">#REF!</definedName>
    <definedName name="koeflingg_6_7">#REF!</definedName>
    <definedName name="koeflingg_7">#REF!</definedName>
    <definedName name="koeflingk">#REF!</definedName>
    <definedName name="koeflingk_1">#REF!</definedName>
    <definedName name="koeflingk_2">#REF!</definedName>
    <definedName name="koeflingk_2_1">#REF!</definedName>
    <definedName name="koeflingk_2_1_6">#REF!</definedName>
    <definedName name="koeflingk_2_6">#REF!</definedName>
    <definedName name="koeflingk_2_7">#REF!</definedName>
    <definedName name="koeflingk_3">#REF!</definedName>
    <definedName name="koeflingk_3_6">#REF!</definedName>
    <definedName name="koeflingk_3_7">#REF!</definedName>
    <definedName name="koeflingk_4">#REF!</definedName>
    <definedName name="koeflingk_5">#REF!</definedName>
    <definedName name="koeflingk_6">#REF!</definedName>
    <definedName name="koeflingk_6_1">#REF!</definedName>
    <definedName name="koeflingk_6_6">#REF!</definedName>
    <definedName name="koeflingk_6_7">#REF!</definedName>
    <definedName name="koeflingk_7">#REF!</definedName>
    <definedName name="kof">#REF!</definedName>
    <definedName name="kof_1">#REF!</definedName>
    <definedName name="kof_2">#REF!</definedName>
    <definedName name="kof_2_1">#REF!</definedName>
    <definedName name="kof_3">#REF!</definedName>
    <definedName name="kof_3_2">#REF!</definedName>
    <definedName name="kof_3_4">#REF!</definedName>
    <definedName name="kof_3_6">#REF!</definedName>
    <definedName name="kof_3_7">#REF!</definedName>
    <definedName name="kof_4">#REF!</definedName>
    <definedName name="kof_4_1">#REF!</definedName>
    <definedName name="kof_4_2">#REF!</definedName>
    <definedName name="kof_4_4">#REF!</definedName>
    <definedName name="kof_4_6">#REF!</definedName>
    <definedName name="kof_4_7">#REF!</definedName>
    <definedName name="kof_5">#REF!</definedName>
    <definedName name="kof_5_2">#REF!</definedName>
    <definedName name="kof_5_4">#REF!</definedName>
    <definedName name="kof_5_6">#REF!</definedName>
    <definedName name="kof_5_7">#REF!</definedName>
    <definedName name="kof_6">#REF!</definedName>
    <definedName name="kof_6_1">#REF!</definedName>
    <definedName name="kof_6_2">#REF!</definedName>
    <definedName name="kof_6_4">#REF!</definedName>
    <definedName name="kof_6_6">#REF!</definedName>
    <definedName name="kof_6_7">#REF!</definedName>
    <definedName name="kof_7">#REF!</definedName>
    <definedName name="kof_7_1">#REF!</definedName>
    <definedName name="kofal">#REF!</definedName>
    <definedName name="koi">#REF!</definedName>
    <definedName name="kojhh">#REF!</definedName>
    <definedName name="kol">#REF!</definedName>
    <definedName name="kol1525b160">#REF!</definedName>
    <definedName name="kol2030b150">#REF!</definedName>
    <definedName name="kol3030b175">#REF!</definedName>
    <definedName name="kol4040b170">#REF!</definedName>
    <definedName name="kol55b140">#REF!</definedName>
    <definedName name="kol55b175">#REF!</definedName>
    <definedName name="kol55b225">#REF!</definedName>
    <definedName name="kol55bet270">#REF!</definedName>
    <definedName name="kolbanda">#REF!</definedName>
    <definedName name="koling">#REF!</definedName>
    <definedName name="koling_1">#REF!</definedName>
    <definedName name="koling_2">#REF!</definedName>
    <definedName name="koling_2_1">#REF!</definedName>
    <definedName name="koling_4">#REF!</definedName>
    <definedName name="koling_6">#REF!</definedName>
    <definedName name="koling_7">#REF!</definedName>
    <definedName name="KOLOM">#REF!</definedName>
    <definedName name="KOLOM_100KG">#REF!</definedName>
    <definedName name="KOLOM_110KG">#REF!</definedName>
    <definedName name="KOLOM_120KG">#REF!</definedName>
    <definedName name="KOLOM_130KG">#REF!</definedName>
    <definedName name="KOLOM_140KG">#REF!</definedName>
    <definedName name="KOLOM_150KG">#REF!</definedName>
    <definedName name="KOLOM_160KG">#REF!</definedName>
    <definedName name="KOLOM_170KG">#REF!</definedName>
    <definedName name="KOLOM_180KG">#REF!</definedName>
    <definedName name="KOLOM_190KG">#REF!</definedName>
    <definedName name="KOLOM_200KG">#REF!</definedName>
    <definedName name="KOLOM_210KG">#REF!</definedName>
    <definedName name="KOLOM_220KG">#REF!</definedName>
    <definedName name="KOLOM_230KG">#REF!</definedName>
    <definedName name="KOLOM_240KG">#REF!</definedName>
    <definedName name="KOLOM_250KG">#REF!</definedName>
    <definedName name="KOLOM_260KG">#REF!</definedName>
    <definedName name="KOLOM_270KG">#REF!</definedName>
    <definedName name="KOLOM_280KG">#REF!</definedName>
    <definedName name="KOLOM_290KG">#REF!</definedName>
    <definedName name="KOLOM_300KG">#REF!</definedName>
    <definedName name="KOLOM_310KG">#REF!</definedName>
    <definedName name="KOLOM_320KG">#REF!</definedName>
    <definedName name="KOLOM_330KG">#REF!</definedName>
    <definedName name="KOLOM_340KG">#REF!</definedName>
    <definedName name="KOLOM_350KG">#REF!</definedName>
    <definedName name="KOLOM_PRAKTIS">#REF!</definedName>
    <definedName name="kolom1">#REF!</definedName>
    <definedName name="Kolom1015">#REF!</definedName>
    <definedName name="Kolom1111">#REF!</definedName>
    <definedName name="kolom2">#REF!</definedName>
    <definedName name="Kolom2020">#REF!</definedName>
    <definedName name="kolom3">#REF!</definedName>
    <definedName name="kolom4">#REF!</definedName>
    <definedName name="kolom5">#REF!</definedName>
    <definedName name="kolom6">#REF!</definedName>
    <definedName name="kolom7">#REF!</definedName>
    <definedName name="kolom8">#REF!</definedName>
    <definedName name="kolom9">#REF!</definedName>
    <definedName name="KolomFe100">#REF!</definedName>
    <definedName name="KolomFe110">#REF!</definedName>
    <definedName name="KolomFe120">#REF!</definedName>
    <definedName name="KolomFe125">#REF!</definedName>
    <definedName name="KolomFe130">#REF!</definedName>
    <definedName name="KolomFe140">#REF!</definedName>
    <definedName name="KolomFe150">#REF!</definedName>
    <definedName name="KolomFe160">#REF!</definedName>
    <definedName name="KolomFe170">#REF!</definedName>
    <definedName name="KolomFe175">#REF!</definedName>
    <definedName name="KolomFe180">#REF!</definedName>
    <definedName name="KolomFe190">#REF!</definedName>
    <definedName name="KolomFe200">#REF!</definedName>
    <definedName name="KolomFe210">#REF!</definedName>
    <definedName name="KolomFe220">#REF!</definedName>
    <definedName name="KolomFe230">#REF!</definedName>
    <definedName name="KolomFe240">#REF!</definedName>
    <definedName name="KolomFe250">#REF!</definedName>
    <definedName name="KolomFe260">#REF!</definedName>
    <definedName name="KolomFe270">#REF!</definedName>
    <definedName name="KolomFe275">#REF!</definedName>
    <definedName name="KolomFe280">#REF!</definedName>
    <definedName name="KolomFe300">#REF!</definedName>
    <definedName name="KolomFe310">#REF!</definedName>
    <definedName name="KolomFe80">#REF!</definedName>
    <definedName name="KolomFe90">#REF!</definedName>
    <definedName name="kolomlantaiI">#REF!</definedName>
    <definedName name="kolompraktis">#REF!</definedName>
    <definedName name="kolor">#REF!</definedName>
    <definedName name="kolprak1212">#REF!</definedName>
    <definedName name="kolprak1515">#REF!</definedName>
    <definedName name="kolter">#REF!</definedName>
    <definedName name="KOM">#REF!</definedName>
    <definedName name="komangRomantika">#REF!</definedName>
    <definedName name="KOMASI">#N/A</definedName>
    <definedName name="KOMBI">#N/A</definedName>
    <definedName name="kombln">#REF!</definedName>
    <definedName name="komhr">#REF!</definedName>
    <definedName name="komp_panel">#REF!</definedName>
    <definedName name="Kompon_gyp">#REF!</definedName>
    <definedName name="komponen">'[152]Ans Kom Precast'!$G$16:$AP$250</definedName>
    <definedName name="KOMPRES">[33]H_Dasar!#REF!</definedName>
    <definedName name="KOMSO">#N/A</definedName>
    <definedName name="Konci_pintu">#REF!</definedName>
    <definedName name="Konci_pintu_cylinder">#REF!</definedName>
    <definedName name="kond">#REF!</definedName>
    <definedName name="konstbaja">#REF!</definedName>
    <definedName name="konsul">#REF!</definedName>
    <definedName name="KONSULTAN">#REF!</definedName>
    <definedName name="Konsultan1">#REF!</definedName>
    <definedName name="Konsultan2">#REF!</definedName>
    <definedName name="Konsultan3">#REF!</definedName>
    <definedName name="Konsultan4">#REF!</definedName>
    <definedName name="konte">#REF!</definedName>
    <definedName name="KONTRAKTOR">#REF!</definedName>
    <definedName name="kontrol">#REF!</definedName>
    <definedName name="KONVER_A">#REF!</definedName>
    <definedName name="KONVER_B">#REF!</definedName>
    <definedName name="KONVER_C">#REF!</definedName>
    <definedName name="KOP">#REF!</definedName>
    <definedName name="KOP_BACCO1">#REF!</definedName>
    <definedName name="KOP_BACCO2">#REF!</definedName>
    <definedName name="KOP1a">#REF!</definedName>
    <definedName name="KOP1b">#REF!</definedName>
    <definedName name="KOP1c">#REF!</definedName>
    <definedName name="KOP1d">#REF!</definedName>
    <definedName name="KOP2a">#REF!</definedName>
    <definedName name="KOP2b">#REF!</definedName>
    <definedName name="KOP2c">#REF!</definedName>
    <definedName name="KORA">[10]Material!$F$16</definedName>
    <definedName name="Koral">#REF!</definedName>
    <definedName name="Koral_Beton">#REF!</definedName>
    <definedName name="KORAL_JAGUNG">#REF!</definedName>
    <definedName name="KORAL_SIKAT">#REF!</definedName>
    <definedName name="KORALBETON">#REF!</definedName>
    <definedName name="koralbton">[83]Sheet1!$H$11</definedName>
    <definedName name="koreksi" hidden="1">{#N/A,#N/A,FALSE,"REK";#N/A,#N/A,FALSE,"Bq-ARS"}</definedName>
    <definedName name="KOROSENE">#REF!</definedName>
    <definedName name="kosen">#REF!</definedName>
    <definedName name="KOSONGPASIR">#REF!</definedName>
    <definedName name="KOT">'[45]Sat~Bahu'!$G$11</definedName>
    <definedName name="Kota">OFFSET(#REF!,0,0,COUNTA(#REF!)-1,1)</definedName>
    <definedName name="Kota2">#REF!</definedName>
    <definedName name="KotaInstansi">#REF!</definedName>
    <definedName name="KotaKaCabang">#REF!</definedName>
    <definedName name="KotaKapro">#REF!</definedName>
    <definedName name="KotaOwner">#REF!</definedName>
    <definedName name="kout">#REF!</definedName>
    <definedName name="koutv">#REF!</definedName>
    <definedName name="kp">#REF!</definedName>
    <definedName name="kp1520b279">#REF!</definedName>
    <definedName name="kp1ph">#REF!</definedName>
    <definedName name="kPagarSementara">#REF!</definedName>
    <definedName name="kpancang">#REF!</definedName>
    <definedName name="kPanilKamper">#REF!</definedName>
    <definedName name="kparasbtgosokkerobk">#REF!</definedName>
    <definedName name="kparasbtgosokukir">#REF!</definedName>
    <definedName name="kParasBtgsk">#REF!</definedName>
    <definedName name="kParaskerobk">#REF!</definedName>
    <definedName name="kParaspalimanan">#REF!</definedName>
    <definedName name="kPartisiPly">#REF!</definedName>
    <definedName name="kPas.Kaca">#REF!</definedName>
    <definedName name="kPas.Kaca5">#REF!</definedName>
    <definedName name="kPasAtapAsbes">#REF!</definedName>
    <definedName name="kPasAtapGenteng">#REF!</definedName>
    <definedName name="kPasKacaMati">#REF!</definedName>
    <definedName name="kPasKemKusen">#REF!</definedName>
    <definedName name="kpav">'[45]Sat~Bahu'!$F$82</definedName>
    <definedName name="kPaving6cm">#REF!</definedName>
    <definedName name="kPaving8">#REF!</definedName>
    <definedName name="kPaving8cm">#REF!</definedName>
    <definedName name="KPAYUNG">#REF!</definedName>
    <definedName name="kpb">'[45]Sat~Bahu'!$C$58</definedName>
    <definedName name="kpb.125">'[45]Sat~Bahu'!$G$109</definedName>
    <definedName name="kpb.200HP">'[45]Sat~Bahu'!$G$93</definedName>
    <definedName name="kpb.500">'[45]Sat~Bahu'!$G$110</definedName>
    <definedName name="kpc">'[45]Sat~Bahu'!$F$55</definedName>
    <definedName name="kPDoublePly">#REF!</definedName>
    <definedName name="kPekWatrProff">#REF!</definedName>
    <definedName name="kPelatFe100">#REF!</definedName>
    <definedName name="kPelatFe110">#REF!</definedName>
    <definedName name="kPelatFe120">#REF!</definedName>
    <definedName name="kPelatFe125">#REF!</definedName>
    <definedName name="kPelatFe130">#REF!</definedName>
    <definedName name="kPelatFe150">#REF!</definedName>
    <definedName name="kPelatFe60">#REF!</definedName>
    <definedName name="kPelatFe70">#REF!</definedName>
    <definedName name="kPelatFe80">#REF!</definedName>
    <definedName name="kPemadtTanah">#REF!</definedName>
    <definedName name="kPembBedeng">#REF!</definedName>
    <definedName name="kPembersihanLap">#REF!</definedName>
    <definedName name="kPembesian">#REF!</definedName>
    <definedName name="kPembGudang">#REF!</definedName>
    <definedName name="kPembKantor">#REF!</definedName>
    <definedName name="kPembRmhJaga">#REF!</definedName>
    <definedName name="kPemubugBentala">#REF!</definedName>
    <definedName name="kPepalihanBwhKusen">#REF!</definedName>
    <definedName name="kPepalihanPintu">#REF!</definedName>
    <definedName name="kPepalihanPlin">#REF!</definedName>
    <definedName name="kPeplihanKOlom">#REF!</definedName>
    <definedName name="kperancah">#REF!</definedName>
    <definedName name="kPipaGalv">#REF!</definedName>
    <definedName name="kPipaGalv153">#REF!</definedName>
    <definedName name="kpj">'[45]Sat~Bahu'!$F$66</definedName>
    <definedName name="kPJJalusiKamper">#REF!</definedName>
    <definedName name="kPJKacaKamper">#REF!</definedName>
    <definedName name="kPJKrepyak">#REF!</definedName>
    <definedName name="kpl_tkg_pipa">'[78]Harga Jasa dan Material'!$D$20</definedName>
    <definedName name="kPlafAsbes">#REF!</definedName>
    <definedName name="kPlafEternit">#REF!</definedName>
    <definedName name="kPlafGedeg">#REF!</definedName>
    <definedName name="kPlafGedegExpose">#REF!</definedName>
    <definedName name="kPlafGypsum">#REF!</definedName>
    <definedName name="kPlafKalsiboard">#REF!</definedName>
    <definedName name="kPlafPly">#REF!</definedName>
    <definedName name="kPlafPlyRangka">#REF!</definedName>
    <definedName name="kPles12">#REF!</definedName>
    <definedName name="kPles15">#REF!</definedName>
    <definedName name="kPles15pepalihan">#REF!</definedName>
    <definedName name="kPles16">#REF!</definedName>
    <definedName name="kPlint1030">#REF!</definedName>
    <definedName name="kPlint1040">#REF!</definedName>
    <definedName name="kPlintkayu">#REF!</definedName>
    <definedName name="kpltukangbatu">#REF!</definedName>
    <definedName name="kpltukangbesi">#REF!</definedName>
    <definedName name="kpltukangkayu">#REF!</definedName>
    <definedName name="kPlyAlum">#REF!</definedName>
    <definedName name="kpo">#REF!</definedName>
    <definedName name="kPolituranKayu">#REF!</definedName>
    <definedName name="kpolos">#REF!</definedName>
    <definedName name="kPondasiFe100">#REF!</definedName>
    <definedName name="kPondasiFe110">#REF!</definedName>
    <definedName name="kPondasiFe120">#REF!</definedName>
    <definedName name="kPondasiFe125">#REF!</definedName>
    <definedName name="kPondasiFe130">#REF!</definedName>
    <definedName name="kPondasiFe140">#REF!</definedName>
    <definedName name="kPondasiFe150">#REF!</definedName>
    <definedName name="kPondasiFe160">#REF!</definedName>
    <definedName name="kPondasiFe170">#REF!</definedName>
    <definedName name="kPondasiFe175">#REF!</definedName>
    <definedName name="kPondasiFe180">#REF!</definedName>
    <definedName name="kPondasiFe190">#REF!</definedName>
    <definedName name="kPondasiFe200">#REF!</definedName>
    <definedName name="kPondasiFe210">#REF!</definedName>
    <definedName name="kPondasiFe220">#REF!</definedName>
    <definedName name="kPondasiFe230">#REF!</definedName>
    <definedName name="kPondasiFe240">#REF!</definedName>
    <definedName name="kPondasiFe250">#REF!</definedName>
    <definedName name="kPondasiFe260">#REF!</definedName>
    <definedName name="kPondasiFe270">#REF!</definedName>
    <definedName name="kPondasiFe280">#REF!</definedName>
    <definedName name="kPondasiFe300">#REF!</definedName>
    <definedName name="kPondasiFe80">#REF!</definedName>
    <definedName name="kPondasiFe90">#REF!</definedName>
    <definedName name="kPondSumuran">#REF!</definedName>
    <definedName name="KPP">#REF!</definedName>
    <definedName name="kpr">#REF!</definedName>
    <definedName name="KPRAKTIS">#REF!</definedName>
    <definedName name="KPRAKTIS2">#REF!</definedName>
    <definedName name="kprblk">#REF!</definedName>
    <definedName name="kprppn">#REF!</definedName>
    <definedName name="kprreng">#REF!</definedName>
    <definedName name="kprusuk">#REF!</definedName>
    <definedName name="kpsaub">'[45]Sat~Bahu'!$F$46</definedName>
    <definedName name="kPsBouwplank">#REF!</definedName>
    <definedName name="kpsp">'[45]Sat~Bahu'!$F$47</definedName>
    <definedName name="kpsu">'[45]Sat~Bahu'!$F$45</definedName>
    <definedName name="kptdll">'[45]Sat~Bahu'!$G$114</definedName>
    <definedName name="KPTKBATU">#REF!</definedName>
    <definedName name="KPTKKAYU">#REF!</definedName>
    <definedName name="Kptukang">#REF!</definedName>
    <definedName name="KPVC">#REF!</definedName>
    <definedName name="kPVC05">#REF!</definedName>
    <definedName name="kPVC153">#REF!</definedName>
    <definedName name="kPVC2">#REF!</definedName>
    <definedName name="kPVC3">#REF!</definedName>
    <definedName name="kPVC34">#REF!</definedName>
    <definedName name="kPVC4">#REF!</definedName>
    <definedName name="kQ">'[45]Sat~Bahu'!$F$28</definedName>
    <definedName name="kr">#REF!</definedName>
    <definedName name="KR.10">#REF!</definedName>
    <definedName name="KR.11">#REF!</definedName>
    <definedName name="KR.12">#REF!</definedName>
    <definedName name="KR.13">#REF!</definedName>
    <definedName name="KR.14">#REF!</definedName>
    <definedName name="KR.15">#REF!</definedName>
    <definedName name="KR.2">#REF!</definedName>
    <definedName name="KR.21">#REF!</definedName>
    <definedName name="KR.22">#REF!</definedName>
    <definedName name="KR.23">#REF!</definedName>
    <definedName name="KR.24">#REF!</definedName>
    <definedName name="KR.25">#REF!</definedName>
    <definedName name="KR.26">#REF!</definedName>
    <definedName name="KR.27">#REF!</definedName>
    <definedName name="KR.29">#REF!</definedName>
    <definedName name="KR.3">#REF!</definedName>
    <definedName name="KR.4">#REF!</definedName>
    <definedName name="KR.5">#REF!</definedName>
    <definedName name="KR.6">#REF!</definedName>
    <definedName name="KR.7">#REF!</definedName>
    <definedName name="KR.8">#REF!</definedName>
    <definedName name="KR.9">#REF!</definedName>
    <definedName name="kr_ba">#REF!</definedName>
    <definedName name="kr_bebek">#REF!</definedName>
    <definedName name="kRam">#REF!</definedName>
    <definedName name="KRAM1">#REF!</definedName>
    <definedName name="KramikLnt2020">#REF!</definedName>
    <definedName name="KRAN">#REF!</definedName>
    <definedName name="kran.bbk">#REF!</definedName>
    <definedName name="kran.ddg">#REF!</definedName>
    <definedName name="Kran_air__ø_1_2___EX.Sun_Ei_Japan">#REF!</definedName>
    <definedName name="Kran_air__ø_3_4">#REF!</definedName>
    <definedName name="Kran_air_biasa">#REF!</definedName>
    <definedName name="Kran_air_handel_kit_ø_1_2">#REF!</definedName>
    <definedName name="KRAN_AIR_PANAS_DINGIN">#REF!</definedName>
    <definedName name="KRAN_BIASA">#REF!</definedName>
    <definedName name="KRAN_LEHER_ANGSA">#REF!</definedName>
    <definedName name="KRAN_WASTAFEL">#REF!</definedName>
    <definedName name="kran1.2">#REF!</definedName>
    <definedName name="kran3.4">#REF!</definedName>
    <definedName name="KranAngsa">#REF!</definedName>
    <definedName name="kranddg">#REF!</definedName>
    <definedName name="kRangkaPartisi">#REF!</definedName>
    <definedName name="kRangkaPlf105">#REF!</definedName>
    <definedName name="kRangkaPlf105Kruing">#REF!</definedName>
    <definedName name="kRangkaPlf105Meranti">#REF!</definedName>
    <definedName name="kRangkaPlf105Mranti">#REF!</definedName>
    <definedName name="kRangkaPlf11">#REF!</definedName>
    <definedName name="kRangkaPlf11Kruing">#REF!</definedName>
    <definedName name="kRangkaPlf3030">#REF!</definedName>
    <definedName name="kRangkaPlf3060">#REF!</definedName>
    <definedName name="kRangkPlf25Bks">#REF!</definedName>
    <definedName name="kRangkPlf25BksKruing">#REF!</definedName>
    <definedName name="kRangkPlf25BksMeranti">#REF!</definedName>
    <definedName name="kRangkPlf25BksMranti">#REF!</definedName>
    <definedName name="kRangkPlf50Bks">#REF!</definedName>
    <definedName name="kRangkPlf50BksKruing">#REF!</definedName>
    <definedName name="kRangkPlf50BksMeranti">#REF!</definedName>
    <definedName name="kRangkPlf50BksMranti">#REF!</definedName>
    <definedName name="kRangkPlf70BksKruing">#REF!</definedName>
    <definedName name="krankitchen">#REF!</definedName>
    <definedName name="krans">#REF!</definedName>
    <definedName name="kranshow">#REF!</definedName>
    <definedName name="KranShower">#REF!</definedName>
    <definedName name="kranwas">#REF!</definedName>
    <definedName name="krazu">#REF!</definedName>
    <definedName name="KRB">#REF!</definedName>
    <definedName name="kRengkamper">#REF!</definedName>
    <definedName name="KRICAK">[33]H_Dasar!#REF!</definedName>
    <definedName name="kring6.12">#REF!</definedName>
    <definedName name="krl">#REF!</definedName>
    <definedName name="Krm_R">#N/A</definedName>
    <definedName name="krmddg">#REF!</definedName>
    <definedName name="KRMDDG20">#REF!</definedName>
    <definedName name="KRMDDG30">#REF!</definedName>
    <definedName name="krmk10">'[21]Harga Satuan Bahan'!#REF!</definedName>
    <definedName name="krmk10wr">'[21]Harga Satuan Bahan'!#REF!</definedName>
    <definedName name="krmk20">'[35]Harga Satuan Bahan'!$E$82</definedName>
    <definedName name="krmk20wr">'[35]Harga Satuan Bahan'!$E$83</definedName>
    <definedName name="krmk30">#REF!</definedName>
    <definedName name="krmk30wr">'[35]Harga Satuan Bahan'!$E$85</definedName>
    <definedName name="krmkdinding">#REF!</definedName>
    <definedName name="krmlt20">#REF!</definedName>
    <definedName name="krmlt2020">#REF!</definedName>
    <definedName name="KRMLT30">#REF!</definedName>
    <definedName name="krmlt3030">#REF!</definedName>
    <definedName name="KRMLT40">#REF!</definedName>
    <definedName name="krmlt4040">#REF!</definedName>
    <definedName name="krnkn">#REF!</definedName>
    <definedName name="krsine">#REF!</definedName>
    <definedName name="krstn">'[21]Harga Satuan Bahan'!#REF!</definedName>
    <definedName name="kruing">#REF!</definedName>
    <definedName name="kruing3.5">#REF!</definedName>
    <definedName name="kruing4.6">#REF!</definedName>
    <definedName name="kruing5.7">#REF!</definedName>
    <definedName name="kruing8.12">#REF!</definedName>
    <definedName name="kruing8.15">#REF!</definedName>
    <definedName name="kruingusuk">#REF!</definedName>
    <definedName name="KRUS_SING">#REF!</definedName>
    <definedName name="Krus_SINGD">#N/A</definedName>
    <definedName name="KRUS_USD">#REF!</definedName>
    <definedName name="ks">'[45]Sat~Bahu'!$C$30</definedName>
    <definedName name="ks.1000">'[45]Sat~Bahu'!$G$102</definedName>
    <definedName name="ks57bs">'[35]Harga Satuan Bahan'!$E$61</definedName>
    <definedName name="ks57kbj">'[21]Harga Satuan Bahan'!#REF!</definedName>
    <definedName name="ks57km">'[21]Harga Satuan Bahan'!#REF!</definedName>
    <definedName name="ks57ras">'[21]Harga Satuan Bahan'!$E$62</definedName>
    <definedName name="kSaklarGanda">#REF!</definedName>
    <definedName name="kSaklarTunggal">#REF!</definedName>
    <definedName name="KSAN">#REF!</definedName>
    <definedName name="kSepticL100">#REF!</definedName>
    <definedName name="kSepticL150">#REF!</definedName>
    <definedName name="kSiar15">#REF!</definedName>
    <definedName name="KSINK_S">#REF!</definedName>
    <definedName name="ksk">#REF!</definedName>
    <definedName name="ksk_1">#REF!</definedName>
    <definedName name="ksk_2">#REF!</definedName>
    <definedName name="ksk_2_1">#REF!</definedName>
    <definedName name="ksk_2_1_6">#REF!</definedName>
    <definedName name="ksk_2_6">#REF!</definedName>
    <definedName name="ksk_2_7">#REF!</definedName>
    <definedName name="ksk_3">#REF!</definedName>
    <definedName name="ksk_3_4">#REF!</definedName>
    <definedName name="ksk_3_6">#REF!</definedName>
    <definedName name="ksk_3_7">#REF!</definedName>
    <definedName name="ksk_4">#REF!</definedName>
    <definedName name="ksk_4_1">#REF!</definedName>
    <definedName name="ksk_4_2">#REF!</definedName>
    <definedName name="ksk_4_2_6">#REF!</definedName>
    <definedName name="ksk_4_4">#REF!</definedName>
    <definedName name="ksk_4_6">#REF!</definedName>
    <definedName name="ksk_4_7">#REF!</definedName>
    <definedName name="ksk_5">#REF!</definedName>
    <definedName name="ksk_5_2">#REF!</definedName>
    <definedName name="ksk_5_2_6">#REF!</definedName>
    <definedName name="ksk_5_4">#REF!</definedName>
    <definedName name="ksk_5_6">#REF!</definedName>
    <definedName name="ksk_5_7">#REF!</definedName>
    <definedName name="ksk_6">#REF!</definedName>
    <definedName name="ksk_6_1">#REF!</definedName>
    <definedName name="ksk_6_4">#REF!</definedName>
    <definedName name="ksk_6_6">#REF!</definedName>
    <definedName name="ksk_6_7">#REF!</definedName>
    <definedName name="ksk_7">#REF!</definedName>
    <definedName name="ksl">#REF!</definedName>
    <definedName name="kSloofFe100">#REF!</definedName>
    <definedName name="kSloofFe110">#REF!</definedName>
    <definedName name="kSloofFe120">#REF!</definedName>
    <definedName name="kSloofFe125">#REF!</definedName>
    <definedName name="kSloofFe130">#REF!</definedName>
    <definedName name="kSloofFe140">#REF!</definedName>
    <definedName name="kSloofFe150">#REF!</definedName>
    <definedName name="kSloofFe160">#REF!</definedName>
    <definedName name="kSloofFe170">#REF!</definedName>
    <definedName name="kSloofFe175">#REF!</definedName>
    <definedName name="kSloofFe180">#REF!</definedName>
    <definedName name="kSloofFe190">#REF!</definedName>
    <definedName name="kSloofFe200">#REF!</definedName>
    <definedName name="kSloofFe210">#REF!</definedName>
    <definedName name="kSloofFe220">#REF!</definedName>
    <definedName name="kSloofFe230">#REF!</definedName>
    <definedName name="kSloofFe240">#REF!</definedName>
    <definedName name="kSloofFe250">#REF!</definedName>
    <definedName name="kSloofFe260">#REF!</definedName>
    <definedName name="kSloofFe270">#REF!</definedName>
    <definedName name="kSloofFe280">#REF!</definedName>
    <definedName name="kSloofFe80">#REF!</definedName>
    <definedName name="kSloofFe90">#REF!</definedName>
    <definedName name="Ksn.Jt.10001">#REF!</definedName>
    <definedName name="ksp">#REF!</definedName>
    <definedName name="ksr">#REF!</definedName>
    <definedName name="kst">#REF!</definedName>
    <definedName name="kst_1">#REF!</definedName>
    <definedName name="kst_2">#REF!</definedName>
    <definedName name="kst_2_1">#REF!</definedName>
    <definedName name="kst_2_1_6">#REF!</definedName>
    <definedName name="kst_2_6">#REF!</definedName>
    <definedName name="kst_2_7">#REF!</definedName>
    <definedName name="kst_3">#REF!</definedName>
    <definedName name="kst_3_4">#REF!</definedName>
    <definedName name="kst_3_6">#REF!</definedName>
    <definedName name="kst_3_7">#REF!</definedName>
    <definedName name="kst_4">#REF!</definedName>
    <definedName name="kst_4_1">#REF!</definedName>
    <definedName name="kst_4_2">#REF!</definedName>
    <definedName name="kst_4_2_6">#REF!</definedName>
    <definedName name="kst_4_4">#REF!</definedName>
    <definedName name="kst_4_6">#REF!</definedName>
    <definedName name="kst_4_7">#REF!</definedName>
    <definedName name="kst_5">#REF!</definedName>
    <definedName name="kst_5_2">#REF!</definedName>
    <definedName name="kst_5_2_6">#REF!</definedName>
    <definedName name="kst_5_4">#REF!</definedName>
    <definedName name="kst_5_6">#REF!</definedName>
    <definedName name="kst_5_7">#REF!</definedName>
    <definedName name="kst_6">#REF!</definedName>
    <definedName name="kst_6_1">#REF!</definedName>
    <definedName name="kst_6_4">#REF!</definedName>
    <definedName name="kst_6_6">#REF!</definedName>
    <definedName name="kst_6_7">#REF!</definedName>
    <definedName name="kst_7">#REF!</definedName>
    <definedName name="kstam">'[45]Sat~Bahu'!$G$100</definedName>
    <definedName name="kStegerBambu">#REF!</definedName>
    <definedName name="kStopKontak">#REF!</definedName>
    <definedName name="kstpb">'[45]Sat~Bahu'!$F$31</definedName>
    <definedName name="kSukRengKamper">#REF!</definedName>
    <definedName name="kt">#REF!</definedName>
    <definedName name="kTalangDatar">#REF!</definedName>
    <definedName name="kTalangMiring">#REF!</definedName>
    <definedName name="kTanggaFe100">#REF!</definedName>
    <definedName name="kTanggaFe110">#REF!</definedName>
    <definedName name="kTanggaFe120">#REF!</definedName>
    <definedName name="kTanggaFe125">#REF!</definedName>
    <definedName name="kTanggaFe130">#REF!</definedName>
    <definedName name="kTanggaFe140">#REF!</definedName>
    <definedName name="kTanggaFe150">#REF!</definedName>
    <definedName name="kTanggaFe160">#REF!</definedName>
    <definedName name="kTanggaFe170">#REF!</definedName>
    <definedName name="kTanggaFe175">#REF!</definedName>
    <definedName name="kTanggaFe180">#REF!</definedName>
    <definedName name="kTanggaFe190">#REF!</definedName>
    <definedName name="kTanggaFe200">#REF!</definedName>
    <definedName name="kTanggaFe210">#REF!</definedName>
    <definedName name="kTanggaFe80">#REF!</definedName>
    <definedName name="kTanggaFe90">#REF!</definedName>
    <definedName name="ktanki">'[45]Sat~Bahu'!$G$105</definedName>
    <definedName name="ktb">#REF!</definedName>
    <definedName name="KTBA">#REF!</definedName>
    <definedName name="KTBAT">#REF!</definedName>
    <definedName name="ktbatu">#REF!</definedName>
    <definedName name="Ktbb">#REF!</definedName>
    <definedName name="KTBE">#REF!</definedName>
    <definedName name="ktbes">#REF!</definedName>
    <definedName name="ktbesi">#REF!</definedName>
    <definedName name="Ktbs">#REF!</definedName>
    <definedName name="ktbt">#REF!</definedName>
    <definedName name="ktc">#REF!</definedName>
    <definedName name="Ktca">#REF!</definedName>
    <definedName name="ktcat">#REF!</definedName>
    <definedName name="kTegelPCAbu1520">#REF!</definedName>
    <definedName name="kTegelPCAbu2020">#REF!</definedName>
    <definedName name="kTegelWarna2020">#REF!</definedName>
    <definedName name="ktgali">#REF!</definedName>
    <definedName name="kTiangPancang">#REF!</definedName>
    <definedName name="kTiangpancang3535">#REF!</definedName>
    <definedName name="kTiangsaka">#REF!</definedName>
    <definedName name="kTiangsakakayu">#REF!</definedName>
    <definedName name="ktk">#REF!</definedName>
    <definedName name="ktk.b">#REF!</definedName>
    <definedName name="ktk.bs">#REF!</definedName>
    <definedName name="ktk.c">#REF!</definedName>
    <definedName name="ktk.k">#REF!</definedName>
    <definedName name="ktk.L">#REF!</definedName>
    <definedName name="ktk.Ls">#REF!</definedName>
    <definedName name="KTK_BS">#REF!</definedName>
    <definedName name="KTK_BT">#REF!</definedName>
    <definedName name="KTK_CAT">#REF!</definedName>
    <definedName name="KTK_GL">#REF!</definedName>
    <definedName name="KTK_KRM">#REF!</definedName>
    <definedName name="KTK_KY">#REF!</definedName>
    <definedName name="KTKA">#REF!</definedName>
    <definedName name="ktkayu">#REF!</definedName>
    <definedName name="ktkb">#REF!</definedName>
    <definedName name="ktkbatu">#REF!</definedName>
    <definedName name="ktkbesi">#REF!</definedName>
    <definedName name="ktkbs">#REF!</definedName>
    <definedName name="ktkc">#REF!</definedName>
    <definedName name="ktkcat">#REF!</definedName>
    <definedName name="ktkkayu">#REF!</definedName>
    <definedName name="ktkl">#REF!</definedName>
    <definedName name="ktky">#REF!</definedName>
    <definedName name="ktl">#REF!</definedName>
    <definedName name="ktlistrik">#REF!</definedName>
    <definedName name="ktlistrk">#REF!</definedName>
    <definedName name="ktnh">'[45]Sat~Bahu'!$F$88</definedName>
    <definedName name="ktpipa">#REF!</definedName>
    <definedName name="ktpm">#REF!</definedName>
    <definedName name="ktpm_1">#REF!</definedName>
    <definedName name="ktpm_2">#REF!</definedName>
    <definedName name="ktpm_2_1">#REF!</definedName>
    <definedName name="ktpm_2_1_6">#REF!</definedName>
    <definedName name="ktpm_2_6">#REF!</definedName>
    <definedName name="ktpm_2_7">#REF!</definedName>
    <definedName name="ktpm_3">#REF!</definedName>
    <definedName name="ktpm_3_6">#REF!</definedName>
    <definedName name="ktpm_3_7">#REF!</definedName>
    <definedName name="ktpm_4">#REF!</definedName>
    <definedName name="ktpm_5">#REF!</definedName>
    <definedName name="ktpm_6">#REF!</definedName>
    <definedName name="ktpm_6_1">#REF!</definedName>
    <definedName name="ktpm_6_6">#REF!</definedName>
    <definedName name="ktpm_6_7">#REF!</definedName>
    <definedName name="ktpm_7">#REF!</definedName>
    <definedName name="ktrailer">'[45]Sat~Bahu'!$G$106</definedName>
    <definedName name="KTUN">#REF!</definedName>
    <definedName name="KU">#REF!</definedName>
    <definedName name="KUAL">#REF!</definedName>
    <definedName name="KUANTITAS" localSheetId="7">#REF!</definedName>
    <definedName name="KUANTITAS">#REF!</definedName>
    <definedName name="kuas">#REF!</definedName>
    <definedName name="Kuas_3">#REF!</definedName>
    <definedName name="kuas2.5">#REF!</definedName>
    <definedName name="kuas4">#REF!</definedName>
    <definedName name="kuasrool8">#REF!</definedName>
    <definedName name="kuda">#REF!</definedName>
    <definedName name="Kuda2Kamper">#REF!</definedName>
    <definedName name="Kuda2Kruing">#REF!</definedName>
    <definedName name="Kuda2lama">#REF!</definedName>
    <definedName name="kUDA2mERANTI">#REF!</definedName>
    <definedName name="Kudabajaringan">#REF!</definedName>
    <definedName name="Kudajati">#REF!</definedName>
    <definedName name="Kudajatiekspose">#REF!</definedName>
    <definedName name="Kudakamper">#REF!</definedName>
    <definedName name="Kudakamperekspose">#REF!</definedName>
    <definedName name="kudakls2">#REF!</definedName>
    <definedName name="kudakru">#REF!</definedName>
    <definedName name="Kudakruing">#REF!</definedName>
    <definedName name="kudakuda">#REF!</definedName>
    <definedName name="kudamedan">#REF!</definedName>
    <definedName name="kuli">#REF!</definedName>
    <definedName name="KULIM">[73]S.BAHAN!$J$24</definedName>
    <definedName name="kunc2">#REF!</definedName>
    <definedName name="kunci">#REF!</definedName>
    <definedName name="KUNCI_BULAT">#REF!</definedName>
    <definedName name="KUNCI_SELOT">#REF!</definedName>
    <definedName name="Kunci_tanam_2_x_putar">#REF!</definedName>
    <definedName name="KUNCI_TANAM_2X_PUTAR">#REF!</definedName>
    <definedName name="kunci1">'[21]Harga Satuan Bahan'!#REF!</definedName>
    <definedName name="KUNCI1SLAAG">#N/A</definedName>
    <definedName name="kunci2">'[35]Harga Satuan Bahan'!$E$168</definedName>
    <definedName name="kuncibesi">#REF!</definedName>
    <definedName name="Kuncipacok">#REF!</definedName>
    <definedName name="Kuncipintu2slaag">#REF!</definedName>
    <definedName name="kuncipnt">#REF!</definedName>
    <definedName name="kuncisilinder">#REF!</definedName>
    <definedName name="KunciSlot">#REF!</definedName>
    <definedName name="KunciSlotJend">#REF!</definedName>
    <definedName name="kuncitanam">#REF!</definedName>
    <definedName name="kuncitanamantik">#REF!</definedName>
    <definedName name="KunciTanambiasa">#REF!</definedName>
    <definedName name="KunciTanamSilinder">#REF!</definedName>
    <definedName name="kuncitanamwc">#REF!</definedName>
    <definedName name="KUNCIYALE">#N/A</definedName>
    <definedName name="kup">'[45]Sat~Bahu'!$C$77</definedName>
    <definedName name="KUPAS">#REF!</definedName>
    <definedName name="KupasPles">#REF!</definedName>
    <definedName name="KupasPlesteran">#REF!</definedName>
    <definedName name="kupi.1">#REF!</definedName>
    <definedName name="kupi.2">#REF!</definedName>
    <definedName name="KURANG">#REF!</definedName>
    <definedName name="kUrgPasir">#REF!</definedName>
    <definedName name="kUrgSirtu">#REF!</definedName>
    <definedName name="kUrgTanahKembali">#REF!</definedName>
    <definedName name="kUrgTnhDipdtkan">#REF!</definedName>
    <definedName name="kUrinoir">#REF!</definedName>
    <definedName name="kurnia">#REF!</definedName>
    <definedName name="Kursiguru">#REF!</definedName>
    <definedName name="KursiSiswa">#REF!</definedName>
    <definedName name="KURUG">#REF!</definedName>
    <definedName name="KURVA">#REF!</definedName>
    <definedName name="KUS">#REF!</definedName>
    <definedName name="KUSALL">#REF!</definedName>
    <definedName name="kusen">#REF!</definedName>
    <definedName name="kusen.alum">#REF!</definedName>
    <definedName name="kusen.c.100\nonjasa">#REF!</definedName>
    <definedName name="kusen.c.125\nonjasa">#REF!</definedName>
    <definedName name="kusen.c.150\nonjasa">#REF!</definedName>
    <definedName name="kusen.siku.40\nonjasa">#REF!</definedName>
    <definedName name="kusen.siku50\nonjasa">#REF!</definedName>
    <definedName name="KUSEN__PINTU__JENDELA__ALAT_ALAT_PENGGANTUNG_DAN_CURTAIN_WALL">#REF!</definedName>
    <definedName name="KUSEN__PINTU__JENDELA__ALAT_ALAT_PENGGANTUNG_DAN_CURTAIN_WALL_1">#REF!</definedName>
    <definedName name="KUSEN__PINTU__JENDELA__ALAT_ALAT_PENGGANTUNG_DAN_CURTAIN_WALL_1_2">#REF!</definedName>
    <definedName name="KUSEN__PINTU__JENDELA__ALAT_ALAT_PENGGANTUNG_DAN_CURTAIN_WALL_1_2_6">#REF!</definedName>
    <definedName name="KUSEN__PINTU__JENDELA__ALAT_ALAT_PENGGANTUNG_DAN_CURTAIN_WALL_1_4">#REF!</definedName>
    <definedName name="KUSEN__PINTU__JENDELA__ALAT_ALAT_PENGGANTUNG_DAN_CURTAIN_WALL_1_6">#REF!</definedName>
    <definedName name="KUSEN__PINTU__JENDELA__ALAT_ALAT_PENGGANTUNG_DAN_CURTAIN_WALL_1_7">#REF!</definedName>
    <definedName name="KUSEN__PINTU__JENDELA__ALAT_ALAT_PENGGANTUNG_DAN_CURTAIN_WALL_15">#REF!</definedName>
    <definedName name="KUSEN__PINTU__JENDELA__ALAT_ALAT_PENGGANTUNG_DAN_CURTAIN_WALL_15_1">#REF!</definedName>
    <definedName name="KUSEN__PINTU__JENDELA__ALAT_ALAT_PENGGANTUNG_DAN_CURTAIN_WALL_15_16">#REF!</definedName>
    <definedName name="KUSEN__PINTU__JENDELA__ALAT_ALAT_PENGGANTUNG_DAN_CURTAIN_WALL_15_7">#REF!</definedName>
    <definedName name="KUSEN__PINTU__JENDELA__ALAT_ALAT_PENGGANTUNG_DAN_CURTAIN_WALL_16">#REF!</definedName>
    <definedName name="KUSEN__PINTU__JENDELA__ALAT_ALAT_PENGGANTUNG_DAN_CURTAIN_WALL_17">#REF!</definedName>
    <definedName name="KUSEN__PINTU__JENDELA__ALAT_ALAT_PENGGANTUNG_DAN_CURTAIN_WALL_2">#REF!</definedName>
    <definedName name="KUSEN__PINTU__JENDELA__ALAT_ALAT_PENGGANTUNG_DAN_CURTAIN_WALL_2_1">#REF!</definedName>
    <definedName name="KUSEN__PINTU__JENDELA__ALAT_ALAT_PENGGANTUNG_DAN_CURTAIN_WALL_2_1_6">#REF!</definedName>
    <definedName name="KUSEN__PINTU__JENDELA__ALAT_ALAT_PENGGANTUNG_DAN_CURTAIN_WALL_2_2">#REF!</definedName>
    <definedName name="KUSEN__PINTU__JENDELA__ALAT_ALAT_PENGGANTUNG_DAN_CURTAIN_WALL_2_2_6">#REF!</definedName>
    <definedName name="KUSEN__PINTU__JENDELA__ALAT_ALAT_PENGGANTUNG_DAN_CURTAIN_WALL_2_4">#REF!</definedName>
    <definedName name="KUSEN__PINTU__JENDELA__ALAT_ALAT_PENGGANTUNG_DAN_CURTAIN_WALL_2_5">#REF!</definedName>
    <definedName name="KUSEN__PINTU__JENDELA__ALAT_ALAT_PENGGANTUNG_DAN_CURTAIN_WALL_2_6">#REF!</definedName>
    <definedName name="KUSEN__PINTU__JENDELA__ALAT_ALAT_PENGGANTUNG_DAN_CURTAIN_WALL_2_7">#REF!</definedName>
    <definedName name="KUSEN__PINTU__JENDELA__ALAT_ALAT_PENGGANTUNG_DAN_CURTAIN_WALL_3">#REF!</definedName>
    <definedName name="KUSEN__PINTU__JENDELA__ALAT_ALAT_PENGGANTUNG_DAN_CURTAIN_WALL_3_2">#REF!</definedName>
    <definedName name="KUSEN__PINTU__JENDELA__ALAT_ALAT_PENGGANTUNG_DAN_CURTAIN_WALL_3_2_6">#REF!</definedName>
    <definedName name="KUSEN__PINTU__JENDELA__ALAT_ALAT_PENGGANTUNG_DAN_CURTAIN_WALL_3_4">#REF!</definedName>
    <definedName name="KUSEN__PINTU__JENDELA__ALAT_ALAT_PENGGANTUNG_DAN_CURTAIN_WALL_3_5">#REF!</definedName>
    <definedName name="KUSEN__PINTU__JENDELA__ALAT_ALAT_PENGGANTUNG_DAN_CURTAIN_WALL_3_6">#REF!</definedName>
    <definedName name="KUSEN__PINTU__JENDELA__ALAT_ALAT_PENGGANTUNG_DAN_CURTAIN_WALL_3_7">#REF!</definedName>
    <definedName name="KUSEN__PINTU__JENDELA__ALAT_ALAT_PENGGANTUNG_DAN_CURTAIN_WALL_4">#REF!</definedName>
    <definedName name="KUSEN__PINTU__JENDELA__ALAT_ALAT_PENGGANTUNG_DAN_CURTAIN_WALL_4_1">#REF!</definedName>
    <definedName name="KUSEN__PINTU__JENDELA__ALAT_ALAT_PENGGANTUNG_DAN_CURTAIN_WALL_4_2">#REF!</definedName>
    <definedName name="KUSEN__PINTU__JENDELA__ALAT_ALAT_PENGGANTUNG_DAN_CURTAIN_WALL_4_2_6">#REF!</definedName>
    <definedName name="KUSEN__PINTU__JENDELA__ALAT_ALAT_PENGGANTUNG_DAN_CURTAIN_WALL_4_4">#REF!</definedName>
    <definedName name="KUSEN__PINTU__JENDELA__ALAT_ALAT_PENGGANTUNG_DAN_CURTAIN_WALL_4_6">#REF!</definedName>
    <definedName name="KUSEN__PINTU__JENDELA__ALAT_ALAT_PENGGANTUNG_DAN_CURTAIN_WALL_4_7">#REF!</definedName>
    <definedName name="KUSEN__PINTU__JENDELA__ALAT_ALAT_PENGGANTUNG_DAN_CURTAIN_WALL_5">#REF!</definedName>
    <definedName name="KUSEN__PINTU__JENDELA__ALAT_ALAT_PENGGANTUNG_DAN_CURTAIN_WALL_5_2">#REF!</definedName>
    <definedName name="KUSEN__PINTU__JENDELA__ALAT_ALAT_PENGGANTUNG_DAN_CURTAIN_WALL_5_2_6">#REF!</definedName>
    <definedName name="KUSEN__PINTU__JENDELA__ALAT_ALAT_PENGGANTUNG_DAN_CURTAIN_WALL_5_4">#REF!</definedName>
    <definedName name="KUSEN__PINTU__JENDELA__ALAT_ALAT_PENGGANTUNG_DAN_CURTAIN_WALL_5_6">#REF!</definedName>
    <definedName name="KUSEN__PINTU__JENDELA__ALAT_ALAT_PENGGANTUNG_DAN_CURTAIN_WALL_5_7">#REF!</definedName>
    <definedName name="KUSEN__PINTU__JENDELA__ALAT_ALAT_PENGGANTUNG_DAN_CURTAIN_WALL_6">#REF!</definedName>
    <definedName name="KUSEN__PINTU__JENDELA__ALAT_ALAT_PENGGANTUNG_DAN_CURTAIN_WALL_6_1">#REF!</definedName>
    <definedName name="KUSEN__PINTU__JENDELA__ALAT_ALAT_PENGGANTUNG_DAN_CURTAIN_WALL_6_2">#REF!</definedName>
    <definedName name="KUSEN__PINTU__JENDELA__ALAT_ALAT_PENGGANTUNG_DAN_CURTAIN_WALL_6_2_6">#REF!</definedName>
    <definedName name="KUSEN__PINTU__JENDELA__ALAT_ALAT_PENGGANTUNG_DAN_CURTAIN_WALL_6_4">#REF!</definedName>
    <definedName name="KUSEN__PINTU__JENDELA__ALAT_ALAT_PENGGANTUNG_DAN_CURTAIN_WALL_6_6">#REF!</definedName>
    <definedName name="KUSEN__PINTU__JENDELA__ALAT_ALAT_PENGGANTUNG_DAN_CURTAIN_WALL_6_7">#REF!</definedName>
    <definedName name="KUSEN__PINTU__JENDELA__ALAT_ALAT_PENGGANTUNG_DAN_CURTAIN_WALL_7">#REF!</definedName>
    <definedName name="KUSEN__PINTU__JENDELA__ALAT_ALAT_PENGGANTUNG_DAN_CURTAIN_WALL_7_1">#REF!</definedName>
    <definedName name="KUSEN__PINTU__JENDELA__ALAT_ALAT_PENGGANTUNG_DAN_CURTAIN_WALL_7_6">#REF!</definedName>
    <definedName name="KUSEN__PINTU__JENDELA__ALAT_ALAT_PENGGANTUNG_DAN_CURTAIN_WALL_7_7">#REF!</definedName>
    <definedName name="KUSEN__PINTU__JENDELA__ALAT_ALAT_PENGGANTUNG_DAN_CURTAIN_WALL_8">#REF!</definedName>
    <definedName name="KUSEN__PINTU__JENDELA__ALAT_ALAT_PENGGANTUNG_DAN_CURTAIN_WALL_9">#REF!</definedName>
    <definedName name="KUSEN_A">#REF!</definedName>
    <definedName name="kusen_aluminium">#REF!</definedName>
    <definedName name="KUSEN_ALUMINIUM_3">#REF!</definedName>
    <definedName name="KUSEN_ALUMINIUM_4">#REF!</definedName>
    <definedName name="KUSEN_B">#REF!</definedName>
    <definedName name="KUSEN_BASE">#REF!</definedName>
    <definedName name="KUSEN_C">#REF!</definedName>
    <definedName name="KUSEN_PINTU_JENDELA_KAYU_KLS_I">#REF!</definedName>
    <definedName name="KUSEN_PINTU_JENDELA_KAYU_KLS_II_III">#REF!</definedName>
    <definedName name="kusenalmunium">#REF!</definedName>
    <definedName name="KUSENALUM">#REF!</definedName>
    <definedName name="kusenalum\nonjasa">#REF!</definedName>
    <definedName name="kusenalume3\nonojasa">#REF!</definedName>
    <definedName name="KUSENBAJA">#REF!</definedName>
    <definedName name="KUSENBAJA1">#REF!</definedName>
    <definedName name="KUSENBAJA2">#REF!</definedName>
    <definedName name="KusenBV3">#REF!</definedName>
    <definedName name="KusenJ4">#REF!</definedName>
    <definedName name="KusenJ5">#REF!</definedName>
    <definedName name="Kusenjati">#REF!</definedName>
    <definedName name="Kusenkamper">#REF!</definedName>
    <definedName name="kusenkayu\nonjasa">#REF!</definedName>
    <definedName name="kusenkls2">#REF!</definedName>
    <definedName name="KusenKmper">#REF!</definedName>
    <definedName name="KusenKmpr">#REF!</definedName>
    <definedName name="KusenLV3">#REF!</definedName>
    <definedName name="KusenP1">#REF!</definedName>
    <definedName name="KusenP2">#REF!</definedName>
    <definedName name="KusenPA1">#REF!</definedName>
    <definedName name="KusenPA2">#REF!</definedName>
    <definedName name="KusenPA3">#REF!</definedName>
    <definedName name="KusenPA4">#REF!</definedName>
    <definedName name="KusenPA5">#REF!</definedName>
    <definedName name="KusenPA6">#REF!</definedName>
    <definedName name="KusenPA7">#REF!</definedName>
    <definedName name="KusenPB1Besi">#REF!</definedName>
    <definedName name="kusenpintu1">#REF!</definedName>
    <definedName name="KusenPJ1">#REF!</definedName>
    <definedName name="KusenPJ2">#REF!</definedName>
    <definedName name="KusenPS">#REF!</definedName>
    <definedName name="kusensamar">#REF!</definedName>
    <definedName name="KUSENSIKU">#REF!</definedName>
    <definedName name="KUSENSIKU4">#REF!</definedName>
    <definedName name="KUSENSIKU5">#REF!</definedName>
    <definedName name="kUsukbekas">#REF!</definedName>
    <definedName name="kUsukkamper">#REF!</definedName>
    <definedName name="kUsukkmperketam">#REF!</definedName>
    <definedName name="kUsukkruing">#REF!</definedName>
    <definedName name="kUsukkruingrengkamper">#REF!</definedName>
    <definedName name="kutamanis">#REF!</definedName>
    <definedName name="kutp">#REF!</definedName>
    <definedName name="Kuz">#REF!</definedName>
    <definedName name="kv">#REF!</definedName>
    <definedName name="kvc">#REF!</definedName>
    <definedName name="kVernisKayu">#REF!</definedName>
    <definedName name="kwas">'[21]Harga Satuan Bahan'!$E$29</definedName>
    <definedName name="Kwas3">#REF!</definedName>
    <definedName name="kWastafel">#REF!</definedName>
    <definedName name="kwbro">#REF!</definedName>
    <definedName name="kwbtn">#REF!</definedName>
    <definedName name="kwdr">'[21]Harga Satuan Bahan'!#REF!</definedName>
    <definedName name="kwh1st">#REF!</definedName>
    <definedName name="kwh1st_1">#REF!</definedName>
    <definedName name="kwh1st_2">#REF!</definedName>
    <definedName name="kwh1st_2_1">#REF!</definedName>
    <definedName name="kwh1st_2_1_6">#REF!</definedName>
    <definedName name="kwh1st_2_6">#REF!</definedName>
    <definedName name="kwh1st_2_7">#REF!</definedName>
    <definedName name="kwh1st_3">#REF!</definedName>
    <definedName name="kwh1st_3_4">#REF!</definedName>
    <definedName name="kwh1st_3_6">#REF!</definedName>
    <definedName name="kwh1st_3_7">#REF!</definedName>
    <definedName name="kwh1st_4">#REF!</definedName>
    <definedName name="kwh1st_4_1">#REF!</definedName>
    <definedName name="kwh1st_4_2">#REF!</definedName>
    <definedName name="kwh1st_4_2_6">#REF!</definedName>
    <definedName name="kwh1st_4_4">#REF!</definedName>
    <definedName name="kwh1st_4_6">#REF!</definedName>
    <definedName name="kwh1st_4_7">#REF!</definedName>
    <definedName name="kwh1st_5">#REF!</definedName>
    <definedName name="kwh1st_5_2">#REF!</definedName>
    <definedName name="kwh1st_5_2_6">#REF!</definedName>
    <definedName name="kwh1st_5_4">#REF!</definedName>
    <definedName name="kwh1st_5_6">#REF!</definedName>
    <definedName name="kwh1st_5_7">#REF!</definedName>
    <definedName name="kwh1st_6">#REF!</definedName>
    <definedName name="kwh1st_6_1">#REF!</definedName>
    <definedName name="kwh1st_6_4">#REF!</definedName>
    <definedName name="kwh1st_6_6">#REF!</definedName>
    <definedName name="kwh1st_6_7">#REF!</definedName>
    <definedName name="kwh1st_7">#REF!</definedName>
    <definedName name="kwh3st">#REF!</definedName>
    <definedName name="kwh3st_1">#REF!</definedName>
    <definedName name="kwh3st_2">#REF!</definedName>
    <definedName name="kwh3st_2_1">#REF!</definedName>
    <definedName name="kwh3st_2_1_6">#REF!</definedName>
    <definedName name="kwh3st_2_6">#REF!</definedName>
    <definedName name="kwh3st_2_7">#REF!</definedName>
    <definedName name="kwh3st_3">#REF!</definedName>
    <definedName name="kwh3st_3_4">#REF!</definedName>
    <definedName name="kwh3st_3_6">#REF!</definedName>
    <definedName name="kwh3st_3_7">#REF!</definedName>
    <definedName name="kwh3st_4">#REF!</definedName>
    <definedName name="kwh3st_4_1">#REF!</definedName>
    <definedName name="kwh3st_4_2">#REF!</definedName>
    <definedName name="kwh3st_4_2_6">#REF!</definedName>
    <definedName name="kwh3st_4_4">#REF!</definedName>
    <definedName name="kwh3st_4_6">#REF!</definedName>
    <definedName name="kwh3st_4_7">#REF!</definedName>
    <definedName name="kwh3st_5">#REF!</definedName>
    <definedName name="kwh3st_5_2">#REF!</definedName>
    <definedName name="kwh3st_5_2_6">#REF!</definedName>
    <definedName name="kwh3st_5_4">#REF!</definedName>
    <definedName name="kwh3st_5_6">#REF!</definedName>
    <definedName name="kwh3st_5_7">#REF!</definedName>
    <definedName name="kwh3st_6">#REF!</definedName>
    <definedName name="kwh3st_6_1">#REF!</definedName>
    <definedName name="kwh3st_6_4">#REF!</definedName>
    <definedName name="kwh3st_6_6">#REF!</definedName>
    <definedName name="kwh3st_6_7">#REF!</definedName>
    <definedName name="kwh3st_7">#REF!</definedName>
    <definedName name="kwharm">'[21]Harga Satuan Bahan'!#REF!</definedName>
    <definedName name="KWI">#REF!</definedName>
    <definedName name="kwl.80hp">'[45]Sat~Bahu'!$G$94</definedName>
    <definedName name="kwp.5">'[45]Sat~Bahu'!$G$112</definedName>
    <definedName name="kws">'[15]2.1'!#REF!</definedName>
    <definedName name="kwt.60hp">'[45]Sat~Bahu'!$G$95</definedName>
    <definedName name="kwtbeton">#REF!</definedName>
    <definedName name="kwtbrj">#REF!</definedName>
    <definedName name="kwtbtn">#REF!</definedName>
    <definedName name="kwtbton">#REF!</definedName>
    <definedName name="kwtlas">#REF!</definedName>
    <definedName name="ky">#REF!</definedName>
    <definedName name="KY.JT.10001">#REF!</definedName>
    <definedName name="ky_1">#REF!</definedName>
    <definedName name="ky_2">#REF!</definedName>
    <definedName name="ky_2_1">#REF!</definedName>
    <definedName name="ky_3">#REF!</definedName>
    <definedName name="ky_3_2">#REF!</definedName>
    <definedName name="ky_3_4">#REF!</definedName>
    <definedName name="ky_3_6">#REF!</definedName>
    <definedName name="ky_3_7">#REF!</definedName>
    <definedName name="ky_4">#REF!</definedName>
    <definedName name="ky_4_1">#REF!</definedName>
    <definedName name="ky_4_2">#REF!</definedName>
    <definedName name="ky_4_4">#REF!</definedName>
    <definedName name="ky_4_6">#REF!</definedName>
    <definedName name="ky_4_7">#REF!</definedName>
    <definedName name="ky_5">#REF!</definedName>
    <definedName name="ky_5_2">#REF!</definedName>
    <definedName name="ky_5_4">#REF!</definedName>
    <definedName name="ky_5_6">#REF!</definedName>
    <definedName name="ky_5_7">#REF!</definedName>
    <definedName name="ky_6">#REF!</definedName>
    <definedName name="ky_6_1">#REF!</definedName>
    <definedName name="ky_6_2">#REF!</definedName>
    <definedName name="ky_6_4">#REF!</definedName>
    <definedName name="ky_6_6">#REF!</definedName>
    <definedName name="ky_6_7">#REF!</definedName>
    <definedName name="ky_7">#REF!</definedName>
    <definedName name="ky_7_1">#REF!</definedName>
    <definedName name="ky_besi_5_10">#REF!</definedName>
    <definedName name="ky_besi_5_5">#REF!</definedName>
    <definedName name="ky_matoa_2_20">#REF!</definedName>
    <definedName name="ky_matoa_5_10">#REF!</definedName>
    <definedName name="ky_matoa_5_5">#REF!</definedName>
    <definedName name="Ky_Profil">#REF!</definedName>
    <definedName name="KYB">#REF!</definedName>
    <definedName name="kydol">#REF!</definedName>
    <definedName name="kygelam">#REF!</definedName>
    <definedName name="KYK">#REF!</definedName>
    <definedName name="kyprch">#REF!</definedName>
    <definedName name="kyr">[80]DHSD!$G$12</definedName>
    <definedName name="Kytrt">#REF!</definedName>
    <definedName name="kyuborneo">#REF!</definedName>
    <definedName name="kyukmper">[83]Sheet1!$H$27</definedName>
    <definedName name="kz">[24]Analisa!#REF!</definedName>
    <definedName name="kzink">#REF!</definedName>
    <definedName name="kzinx">#REF!</definedName>
    <definedName name="L" hidden="1">#REF!</definedName>
    <definedName name="L.071">#REF!</definedName>
    <definedName name="L.072">#REF!</definedName>
    <definedName name="L.082">#REF!</definedName>
    <definedName name="L.089">#REF!</definedName>
    <definedName name="L.091">#REF!</definedName>
    <definedName name="L.092">#REF!</definedName>
    <definedName name="L.099">#REF!</definedName>
    <definedName name="L.1">#REF!</definedName>
    <definedName name="L.103">#REF!</definedName>
    <definedName name="L.11.">#REF!</definedName>
    <definedName name="L.12.">#REF!</definedName>
    <definedName name="L.12.a">#REF!</definedName>
    <definedName name="L.4">#REF!</definedName>
    <definedName name="L.4.">#REF!</definedName>
    <definedName name="L.5">#REF!</definedName>
    <definedName name="L.5.">#REF!</definedName>
    <definedName name="L.6.">#REF!</definedName>
    <definedName name="L.6.12">#REF!</definedName>
    <definedName name="L.7.">#REF!</definedName>
    <definedName name="L.8.">#REF!</definedName>
    <definedName name="L.9.">#REF!</definedName>
    <definedName name="L.SARI">#REF!</definedName>
    <definedName name="l.tl40">#REF!</definedName>
    <definedName name="l.xl40">#REF!</definedName>
    <definedName name="L_061">#REF!</definedName>
    <definedName name="L_071">#REF!</definedName>
    <definedName name="L_072">#REF!</definedName>
    <definedName name="L_073">#REF!</definedName>
    <definedName name="L_079">#REF!</definedName>
    <definedName name="L_081">#REF!</definedName>
    <definedName name="L_082">#REF!</definedName>
    <definedName name="L_089">#REF!</definedName>
    <definedName name="L_091">#REF!</definedName>
    <definedName name="L_092">#REF!</definedName>
    <definedName name="l_093">#REF!</definedName>
    <definedName name="L_099">#REF!</definedName>
    <definedName name="L_1">#REF!</definedName>
    <definedName name="L_10">#REF!</definedName>
    <definedName name="L_101">#REF!</definedName>
    <definedName name="L_103">#REF!</definedName>
    <definedName name="L_106">#REF!</definedName>
    <definedName name="L_11">#REF!</definedName>
    <definedName name="L_12">#REF!</definedName>
    <definedName name="L_13">#REF!</definedName>
    <definedName name="L_14">#REF!</definedName>
    <definedName name="L_15">#REF!</definedName>
    <definedName name="L_19">#REF!</definedName>
    <definedName name="l_2">#REF!</definedName>
    <definedName name="L_20">#REF!</definedName>
    <definedName name="L_21">#REF!</definedName>
    <definedName name="L_22">#REF!</definedName>
    <definedName name="L_23">#REF!</definedName>
    <definedName name="L_24">#REF!</definedName>
    <definedName name="L_25">#REF!</definedName>
    <definedName name="L_26">#REF!</definedName>
    <definedName name="L_27">#REF!</definedName>
    <definedName name="L_3">#REF!</definedName>
    <definedName name="L_A">#REF!</definedName>
    <definedName name="L_B">#REF!</definedName>
    <definedName name="L_BASE">#REF!</definedName>
    <definedName name="L_bowh_ø_2___maspion_D">#REF!</definedName>
    <definedName name="L_bowh_ø_4___maspion_D">#REF!</definedName>
    <definedName name="L_C">#REF!</definedName>
    <definedName name="l_pk5">#REF!</definedName>
    <definedName name="l1ti50">#REF!</definedName>
    <definedName name="l1ti50_1">#REF!</definedName>
    <definedName name="l1ti50_1_5">#REF!</definedName>
    <definedName name="l1ti50_2">#REF!</definedName>
    <definedName name="l1ti50_2_1">#REF!</definedName>
    <definedName name="l1ti50_2_1_1">#REF!</definedName>
    <definedName name="l1ti50_2_1_1_6">#REF!</definedName>
    <definedName name="l1ti50_2_1_6">#REF!</definedName>
    <definedName name="l1ti50_2_1_7">#REF!</definedName>
    <definedName name="l1ti50_2_6">#REF!</definedName>
    <definedName name="l1ti50_2_7">#REF!</definedName>
    <definedName name="l1ti50_3">#REF!</definedName>
    <definedName name="l1ti50_3_4">#REF!</definedName>
    <definedName name="l1ti50_3_6">#REF!</definedName>
    <definedName name="l1ti50_3_7">#REF!</definedName>
    <definedName name="l1ti50_4">#REF!</definedName>
    <definedName name="l1ti50_4_1">#REF!</definedName>
    <definedName name="l1ti50_4_2">#REF!</definedName>
    <definedName name="l1ti50_4_2_6">#REF!</definedName>
    <definedName name="l1ti50_4_4">#REF!</definedName>
    <definedName name="l1ti50_4_6">#REF!</definedName>
    <definedName name="l1ti50_4_7">#REF!</definedName>
    <definedName name="l1ti50_5">#REF!</definedName>
    <definedName name="l1ti50_5_2">#REF!</definedName>
    <definedName name="l1ti50_5_2_6">#REF!</definedName>
    <definedName name="l1ti50_5_4">#REF!</definedName>
    <definedName name="l1ti50_5_6">#REF!</definedName>
    <definedName name="l1ti50_5_7">#REF!</definedName>
    <definedName name="l1ti50_6">#REF!</definedName>
    <definedName name="l1ti50_6_1">#REF!</definedName>
    <definedName name="l1ti50_6_4">#REF!</definedName>
    <definedName name="l1ti50_6_6">#REF!</definedName>
    <definedName name="l1ti50_6_7">#REF!</definedName>
    <definedName name="l1ti50_7">#REF!</definedName>
    <definedName name="l1ti60">#REF!</definedName>
    <definedName name="l1ti60_1">#REF!</definedName>
    <definedName name="l1ti60_1_5">#REF!</definedName>
    <definedName name="l1ti60_2">#REF!</definedName>
    <definedName name="l1ti60_2_1">#REF!</definedName>
    <definedName name="l1ti60_2_1_1">#REF!</definedName>
    <definedName name="l1ti60_2_1_1_6">#REF!</definedName>
    <definedName name="l1ti60_2_1_6">#REF!</definedName>
    <definedName name="l1ti60_2_1_7">#REF!</definedName>
    <definedName name="l1ti60_2_6">#REF!</definedName>
    <definedName name="l1ti60_2_7">#REF!</definedName>
    <definedName name="l1ti60_3">#REF!</definedName>
    <definedName name="l1ti60_3_4">#REF!</definedName>
    <definedName name="l1ti60_3_6">#REF!</definedName>
    <definedName name="l1ti60_3_7">#REF!</definedName>
    <definedName name="l1ti60_4">#REF!</definedName>
    <definedName name="l1ti60_4_1">#REF!</definedName>
    <definedName name="l1ti60_4_2">#REF!</definedName>
    <definedName name="l1ti60_4_2_6">#REF!</definedName>
    <definedName name="l1ti60_4_4">#REF!</definedName>
    <definedName name="l1ti60_4_6">#REF!</definedName>
    <definedName name="l1ti60_4_7">#REF!</definedName>
    <definedName name="l1ti60_5">#REF!</definedName>
    <definedName name="l1ti60_5_2">#REF!</definedName>
    <definedName name="l1ti60_5_2_6">#REF!</definedName>
    <definedName name="l1ti60_5_4">#REF!</definedName>
    <definedName name="l1ti60_5_6">#REF!</definedName>
    <definedName name="l1ti60_5_7">#REF!</definedName>
    <definedName name="l1ti60_6">#REF!</definedName>
    <definedName name="l1ti60_6_1">#REF!</definedName>
    <definedName name="l1ti60_6_4">#REF!</definedName>
    <definedName name="l1ti60_6_6">#REF!</definedName>
    <definedName name="l1ti60_6_7">#REF!</definedName>
    <definedName name="l1ti60_7">#REF!</definedName>
    <definedName name="l3l100">#REF!</definedName>
    <definedName name="l3l100_1">#REF!</definedName>
    <definedName name="l3l100_1_5">#REF!</definedName>
    <definedName name="l3l100_2">#REF!</definedName>
    <definedName name="l3l100_2_1">#REF!</definedName>
    <definedName name="l3l100_2_1_1">#REF!</definedName>
    <definedName name="l3l100_2_1_1_6">#REF!</definedName>
    <definedName name="l3l100_2_1_6">#REF!</definedName>
    <definedName name="l3l100_2_1_7">#REF!</definedName>
    <definedName name="l3l100_2_6">#REF!</definedName>
    <definedName name="l3l100_2_7">#REF!</definedName>
    <definedName name="l3l100_3">#REF!</definedName>
    <definedName name="l3l100_3_4">#REF!</definedName>
    <definedName name="l3l100_3_6">#REF!</definedName>
    <definedName name="l3l100_3_7">#REF!</definedName>
    <definedName name="l3l100_4">#REF!</definedName>
    <definedName name="l3l100_4_1">#REF!</definedName>
    <definedName name="l3l100_4_2">#REF!</definedName>
    <definedName name="l3l100_4_2_6">#REF!</definedName>
    <definedName name="l3l100_4_4">#REF!</definedName>
    <definedName name="l3l100_4_6">#REF!</definedName>
    <definedName name="l3l100_4_7">#REF!</definedName>
    <definedName name="l3l100_5">#REF!</definedName>
    <definedName name="l3l100_5_2">#REF!</definedName>
    <definedName name="l3l100_5_2_6">#REF!</definedName>
    <definedName name="l3l100_5_4">#REF!</definedName>
    <definedName name="l3l100_5_6">#REF!</definedName>
    <definedName name="l3l100_5_7">#REF!</definedName>
    <definedName name="l3l100_6">#REF!</definedName>
    <definedName name="l3l100_6_1">#REF!</definedName>
    <definedName name="l3l100_6_4">#REF!</definedName>
    <definedName name="l3l100_6_6">#REF!</definedName>
    <definedName name="l3l100_6_7">#REF!</definedName>
    <definedName name="l3l100_7">#REF!</definedName>
    <definedName name="l3l50">#REF!</definedName>
    <definedName name="l3l50_1">#REF!</definedName>
    <definedName name="l3l50_1_5">#REF!</definedName>
    <definedName name="l3l50_2">#REF!</definedName>
    <definedName name="l3l50_2_1">#REF!</definedName>
    <definedName name="l3l50_2_1_1">#REF!</definedName>
    <definedName name="l3l50_2_1_1_6">#REF!</definedName>
    <definedName name="l3l50_2_1_6">#REF!</definedName>
    <definedName name="l3l50_2_1_7">#REF!</definedName>
    <definedName name="l3l50_2_6">#REF!</definedName>
    <definedName name="l3l50_2_7">#REF!</definedName>
    <definedName name="l3l50_3">#REF!</definedName>
    <definedName name="l3l50_3_4">#REF!</definedName>
    <definedName name="l3l50_3_6">#REF!</definedName>
    <definedName name="l3l50_3_7">#REF!</definedName>
    <definedName name="l3l50_4">#REF!</definedName>
    <definedName name="l3l50_4_1">#REF!</definedName>
    <definedName name="l3l50_4_2">#REF!</definedName>
    <definedName name="l3l50_4_2_6">#REF!</definedName>
    <definedName name="l3l50_4_4">#REF!</definedName>
    <definedName name="l3l50_4_6">#REF!</definedName>
    <definedName name="l3l50_4_7">#REF!</definedName>
    <definedName name="l3l50_5">#REF!</definedName>
    <definedName name="l3l50_5_2">#REF!</definedName>
    <definedName name="l3l50_5_2_6">#REF!</definedName>
    <definedName name="l3l50_5_4">#REF!</definedName>
    <definedName name="l3l50_5_6">#REF!</definedName>
    <definedName name="l3l50_5_7">#REF!</definedName>
    <definedName name="l3l50_6">#REF!</definedName>
    <definedName name="l3l50_6_1">#REF!</definedName>
    <definedName name="l3l50_6_4">#REF!</definedName>
    <definedName name="l3l50_6_6">#REF!</definedName>
    <definedName name="l3l50_6_7">#REF!</definedName>
    <definedName name="l3l50_7">#REF!</definedName>
    <definedName name="l3l60">#REF!</definedName>
    <definedName name="l3l60_1">#REF!</definedName>
    <definedName name="l3l60_1_5">#REF!</definedName>
    <definedName name="l3l60_2">#REF!</definedName>
    <definedName name="l3l60_2_1">#REF!</definedName>
    <definedName name="l3l60_2_1_1">#REF!</definedName>
    <definedName name="l3l60_2_1_1_6">#REF!</definedName>
    <definedName name="l3l60_2_1_6">#REF!</definedName>
    <definedName name="l3l60_2_1_7">#REF!</definedName>
    <definedName name="l3l60_2_6">#REF!</definedName>
    <definedName name="l3l60_2_7">#REF!</definedName>
    <definedName name="l3l60_3">#REF!</definedName>
    <definedName name="l3l60_3_4">#REF!</definedName>
    <definedName name="l3l60_3_6">#REF!</definedName>
    <definedName name="l3l60_3_7">#REF!</definedName>
    <definedName name="l3l60_4">#REF!</definedName>
    <definedName name="l3l60_4_1">#REF!</definedName>
    <definedName name="l3l60_4_2">#REF!</definedName>
    <definedName name="l3l60_4_2_6">#REF!</definedName>
    <definedName name="l3l60_4_4">#REF!</definedName>
    <definedName name="l3l60_4_6">#REF!</definedName>
    <definedName name="l3l60_4_7">#REF!</definedName>
    <definedName name="l3l60_5">#REF!</definedName>
    <definedName name="l3l60_5_2">#REF!</definedName>
    <definedName name="l3l60_5_2_6">#REF!</definedName>
    <definedName name="l3l60_5_4">#REF!</definedName>
    <definedName name="l3l60_5_6">#REF!</definedName>
    <definedName name="l3l60_5_7">#REF!</definedName>
    <definedName name="l3l60_6">#REF!</definedName>
    <definedName name="l3l60_6_1">#REF!</definedName>
    <definedName name="l3l60_6_4">#REF!</definedName>
    <definedName name="l3l60_6_6">#REF!</definedName>
    <definedName name="l3l60_6_7">#REF!</definedName>
    <definedName name="l3l60_7">#REF!</definedName>
    <definedName name="l3l70">#REF!</definedName>
    <definedName name="l3l70_1">#REF!</definedName>
    <definedName name="l3l70_1_5">#REF!</definedName>
    <definedName name="l3l70_2">#REF!</definedName>
    <definedName name="l3l70_2_1">#REF!</definedName>
    <definedName name="l3l70_2_1_1">#REF!</definedName>
    <definedName name="l3l70_2_1_1_6">#REF!</definedName>
    <definedName name="l3l70_2_1_6">#REF!</definedName>
    <definedName name="l3l70_2_1_7">#REF!</definedName>
    <definedName name="l3l70_2_6">#REF!</definedName>
    <definedName name="l3l70_2_7">#REF!</definedName>
    <definedName name="l3l70_3">#REF!</definedName>
    <definedName name="l3l70_3_4">#REF!</definedName>
    <definedName name="l3l70_3_6">#REF!</definedName>
    <definedName name="l3l70_3_7">#REF!</definedName>
    <definedName name="l3l70_4">#REF!</definedName>
    <definedName name="l3l70_4_1">#REF!</definedName>
    <definedName name="l3l70_4_2">#REF!</definedName>
    <definedName name="l3l70_4_2_6">#REF!</definedName>
    <definedName name="l3l70_4_4">#REF!</definedName>
    <definedName name="l3l70_4_6">#REF!</definedName>
    <definedName name="l3l70_4_7">#REF!</definedName>
    <definedName name="l3l70_5">#REF!</definedName>
    <definedName name="l3l70_5_2">#REF!</definedName>
    <definedName name="l3l70_5_2_6">#REF!</definedName>
    <definedName name="l3l70_5_4">#REF!</definedName>
    <definedName name="l3l70_5_6">#REF!</definedName>
    <definedName name="l3l70_5_7">#REF!</definedName>
    <definedName name="l3l70_6">#REF!</definedName>
    <definedName name="l3l70_6_1">#REF!</definedName>
    <definedName name="l3l70_6_4">#REF!</definedName>
    <definedName name="l3l70_6_6">#REF!</definedName>
    <definedName name="l3l70_6_7">#REF!</definedName>
    <definedName name="l3l70_7">#REF!</definedName>
    <definedName name="l3l80">#REF!</definedName>
    <definedName name="l3l80_1">#REF!</definedName>
    <definedName name="l3l80_1_5">#REF!</definedName>
    <definedName name="l3l80_2">#REF!</definedName>
    <definedName name="l3l80_2_1">#REF!</definedName>
    <definedName name="l3l80_2_1_1">#REF!</definedName>
    <definedName name="l3l80_2_1_1_6">#REF!</definedName>
    <definedName name="l3l80_2_1_6">#REF!</definedName>
    <definedName name="l3l80_2_1_7">#REF!</definedName>
    <definedName name="l3l80_2_6">#REF!</definedName>
    <definedName name="l3l80_2_7">#REF!</definedName>
    <definedName name="l3l80_3">#REF!</definedName>
    <definedName name="l3l80_3_4">#REF!</definedName>
    <definedName name="l3l80_3_6">#REF!</definedName>
    <definedName name="l3l80_3_7">#REF!</definedName>
    <definedName name="l3l80_4">#REF!</definedName>
    <definedName name="l3l80_4_1">#REF!</definedName>
    <definedName name="l3l80_4_2">#REF!</definedName>
    <definedName name="l3l80_4_2_6">#REF!</definedName>
    <definedName name="l3l80_4_4">#REF!</definedName>
    <definedName name="l3l80_4_6">#REF!</definedName>
    <definedName name="l3l80_4_7">#REF!</definedName>
    <definedName name="l3l80_5">#REF!</definedName>
    <definedName name="l3l80_5_2">#REF!</definedName>
    <definedName name="l3l80_5_2_6">#REF!</definedName>
    <definedName name="l3l80_5_4">#REF!</definedName>
    <definedName name="l3l80_5_6">#REF!</definedName>
    <definedName name="l3l80_5_7">#REF!</definedName>
    <definedName name="l3l80_6">#REF!</definedName>
    <definedName name="l3l80_6_1">#REF!</definedName>
    <definedName name="l3l80_6_4">#REF!</definedName>
    <definedName name="l3l80_6_6">#REF!</definedName>
    <definedName name="l3l80_6_7">#REF!</definedName>
    <definedName name="l3l80_7">#REF!</definedName>
    <definedName name="l3ld100">#REF!</definedName>
    <definedName name="l3ld100_1">#REF!</definedName>
    <definedName name="l3ld100_1_5">#REF!</definedName>
    <definedName name="l3ld100_2">#REF!</definedName>
    <definedName name="l3ld100_2_1">#REF!</definedName>
    <definedName name="l3ld100_2_1_1">#REF!</definedName>
    <definedName name="l3ld100_2_1_1_6">#REF!</definedName>
    <definedName name="l3ld100_2_1_6">#REF!</definedName>
    <definedName name="l3ld100_2_1_7">#REF!</definedName>
    <definedName name="l3ld100_2_6">#REF!</definedName>
    <definedName name="l3ld100_2_7">#REF!</definedName>
    <definedName name="l3ld100_3">#REF!</definedName>
    <definedName name="l3ld100_3_4">#REF!</definedName>
    <definedName name="l3ld100_3_6">#REF!</definedName>
    <definedName name="l3ld100_3_7">#REF!</definedName>
    <definedName name="l3ld100_4">#REF!</definedName>
    <definedName name="l3ld100_4_1">#REF!</definedName>
    <definedName name="l3ld100_4_2">#REF!</definedName>
    <definedName name="l3ld100_4_2_6">#REF!</definedName>
    <definedName name="l3ld100_4_4">#REF!</definedName>
    <definedName name="l3ld100_4_6">#REF!</definedName>
    <definedName name="l3ld100_4_7">#REF!</definedName>
    <definedName name="l3ld100_5">#REF!</definedName>
    <definedName name="l3ld100_5_2">#REF!</definedName>
    <definedName name="l3ld100_5_2_6">#REF!</definedName>
    <definedName name="l3ld100_5_4">#REF!</definedName>
    <definedName name="l3ld100_5_6">#REF!</definedName>
    <definedName name="l3ld100_5_7">#REF!</definedName>
    <definedName name="l3ld100_6">#REF!</definedName>
    <definedName name="l3ld100_6_1">#REF!</definedName>
    <definedName name="l3ld100_6_4">#REF!</definedName>
    <definedName name="l3ld100_6_6">#REF!</definedName>
    <definedName name="l3ld100_6_7">#REF!</definedName>
    <definedName name="l3ld100_7">#REF!</definedName>
    <definedName name="l3ld50">#REF!</definedName>
    <definedName name="l3ld50_1">#REF!</definedName>
    <definedName name="l3ld50_1_5">#REF!</definedName>
    <definedName name="l3ld50_2">#REF!</definedName>
    <definedName name="l3ld50_2_1">#REF!</definedName>
    <definedName name="l3ld50_2_1_1">#REF!</definedName>
    <definedName name="l3ld50_2_1_1_6">#REF!</definedName>
    <definedName name="l3ld50_2_1_6">#REF!</definedName>
    <definedName name="l3ld50_2_1_7">#REF!</definedName>
    <definedName name="l3ld50_2_6">#REF!</definedName>
    <definedName name="l3ld50_2_7">#REF!</definedName>
    <definedName name="l3ld50_3">#REF!</definedName>
    <definedName name="l3ld50_3_4">#REF!</definedName>
    <definedName name="l3ld50_3_6">#REF!</definedName>
    <definedName name="l3ld50_3_7">#REF!</definedName>
    <definedName name="l3ld50_4">#REF!</definedName>
    <definedName name="l3ld50_4_1">#REF!</definedName>
    <definedName name="l3ld50_4_2">#REF!</definedName>
    <definedName name="l3ld50_4_2_6">#REF!</definedName>
    <definedName name="l3ld50_4_4">#REF!</definedName>
    <definedName name="l3ld50_4_6">#REF!</definedName>
    <definedName name="l3ld50_4_7">#REF!</definedName>
    <definedName name="l3ld50_5">#REF!</definedName>
    <definedName name="l3ld50_5_2">#REF!</definedName>
    <definedName name="l3ld50_5_2_6">#REF!</definedName>
    <definedName name="l3ld50_5_4">#REF!</definedName>
    <definedName name="l3ld50_5_6">#REF!</definedName>
    <definedName name="l3ld50_5_7">#REF!</definedName>
    <definedName name="l3ld50_6">#REF!</definedName>
    <definedName name="l3ld50_6_1">#REF!</definedName>
    <definedName name="l3ld50_6_4">#REF!</definedName>
    <definedName name="l3ld50_6_6">#REF!</definedName>
    <definedName name="l3ld50_6_7">#REF!</definedName>
    <definedName name="l3ld50_7">#REF!</definedName>
    <definedName name="l3ld60">#REF!</definedName>
    <definedName name="l3ld60_1">#REF!</definedName>
    <definedName name="l3ld60_1_5">#REF!</definedName>
    <definedName name="l3ld60_2">#REF!</definedName>
    <definedName name="l3ld60_2_1">#REF!</definedName>
    <definedName name="l3ld60_2_1_1">#REF!</definedName>
    <definedName name="l3ld60_2_1_1_6">#REF!</definedName>
    <definedName name="l3ld60_2_1_6">#REF!</definedName>
    <definedName name="l3ld60_2_1_7">#REF!</definedName>
    <definedName name="l3ld60_2_6">#REF!</definedName>
    <definedName name="l3ld60_2_7">#REF!</definedName>
    <definedName name="l3ld60_3">#REF!</definedName>
    <definedName name="l3ld60_3_4">#REF!</definedName>
    <definedName name="l3ld60_3_6">#REF!</definedName>
    <definedName name="l3ld60_3_7">#REF!</definedName>
    <definedName name="l3ld60_4">#REF!</definedName>
    <definedName name="l3ld60_4_1">#REF!</definedName>
    <definedName name="l3ld60_4_2">#REF!</definedName>
    <definedName name="l3ld60_4_2_6">#REF!</definedName>
    <definedName name="l3ld60_4_4">#REF!</definedName>
    <definedName name="l3ld60_4_6">#REF!</definedName>
    <definedName name="l3ld60_4_7">#REF!</definedName>
    <definedName name="l3ld60_5">#REF!</definedName>
    <definedName name="l3ld60_5_2">#REF!</definedName>
    <definedName name="l3ld60_5_2_6">#REF!</definedName>
    <definedName name="l3ld60_5_4">#REF!</definedName>
    <definedName name="l3ld60_5_6">#REF!</definedName>
    <definedName name="l3ld60_5_7">#REF!</definedName>
    <definedName name="l3ld60_6">#REF!</definedName>
    <definedName name="l3ld60_6_1">#REF!</definedName>
    <definedName name="l3ld60_6_4">#REF!</definedName>
    <definedName name="l3ld60_6_6">#REF!</definedName>
    <definedName name="l3ld60_6_7">#REF!</definedName>
    <definedName name="l3ld60_7">#REF!</definedName>
    <definedName name="l3ld70">#REF!</definedName>
    <definedName name="l3ld70_1">#REF!</definedName>
    <definedName name="l3ld70_1_5">#REF!</definedName>
    <definedName name="l3ld70_2">#REF!</definedName>
    <definedName name="l3ld70_2_1">#REF!</definedName>
    <definedName name="l3ld70_2_1_1">#REF!</definedName>
    <definedName name="l3ld70_2_1_1_6">#REF!</definedName>
    <definedName name="l3ld70_2_1_6">#REF!</definedName>
    <definedName name="l3ld70_2_1_7">#REF!</definedName>
    <definedName name="l3ld70_2_6">#REF!</definedName>
    <definedName name="l3ld70_2_7">#REF!</definedName>
    <definedName name="l3ld70_3">#REF!</definedName>
    <definedName name="l3ld70_3_4">#REF!</definedName>
    <definedName name="l3ld70_3_6">#REF!</definedName>
    <definedName name="l3ld70_3_7">#REF!</definedName>
    <definedName name="l3ld70_4">#REF!</definedName>
    <definedName name="l3ld70_4_1">#REF!</definedName>
    <definedName name="l3ld70_4_2">#REF!</definedName>
    <definedName name="l3ld70_4_2_6">#REF!</definedName>
    <definedName name="l3ld70_4_4">#REF!</definedName>
    <definedName name="l3ld70_4_6">#REF!</definedName>
    <definedName name="l3ld70_4_7">#REF!</definedName>
    <definedName name="l3ld70_5">#REF!</definedName>
    <definedName name="l3ld70_5_2">#REF!</definedName>
    <definedName name="l3ld70_5_2_6">#REF!</definedName>
    <definedName name="l3ld70_5_4">#REF!</definedName>
    <definedName name="l3ld70_5_6">#REF!</definedName>
    <definedName name="l3ld70_5_7">#REF!</definedName>
    <definedName name="l3ld70_6">#REF!</definedName>
    <definedName name="l3ld70_6_1">#REF!</definedName>
    <definedName name="l3ld70_6_4">#REF!</definedName>
    <definedName name="l3ld70_6_6">#REF!</definedName>
    <definedName name="l3ld70_6_7">#REF!</definedName>
    <definedName name="l3ld70_7">#REF!</definedName>
    <definedName name="l3ld80">#REF!</definedName>
    <definedName name="l3ld80_1">#REF!</definedName>
    <definedName name="l3ld80_1_5">#REF!</definedName>
    <definedName name="l3ld80_2">#REF!</definedName>
    <definedName name="l3ld80_2_1">#REF!</definedName>
    <definedName name="l3ld80_2_1_1">#REF!</definedName>
    <definedName name="l3ld80_2_1_1_6">#REF!</definedName>
    <definedName name="l3ld80_2_1_6">#REF!</definedName>
    <definedName name="l3ld80_2_1_7">#REF!</definedName>
    <definedName name="l3ld80_2_6">#REF!</definedName>
    <definedName name="l3ld80_2_7">#REF!</definedName>
    <definedName name="l3ld80_3">#REF!</definedName>
    <definedName name="l3ld80_3_4">#REF!</definedName>
    <definedName name="l3ld80_3_6">#REF!</definedName>
    <definedName name="l3ld80_3_7">#REF!</definedName>
    <definedName name="l3ld80_4">#REF!</definedName>
    <definedName name="l3ld80_4_1">#REF!</definedName>
    <definedName name="l3ld80_4_2">#REF!</definedName>
    <definedName name="l3ld80_4_2_6">#REF!</definedName>
    <definedName name="l3ld80_4_4">#REF!</definedName>
    <definedName name="l3ld80_4_6">#REF!</definedName>
    <definedName name="l3ld80_4_7">#REF!</definedName>
    <definedName name="l3ld80_5">#REF!</definedName>
    <definedName name="l3ld80_5_2">#REF!</definedName>
    <definedName name="l3ld80_5_2_6">#REF!</definedName>
    <definedName name="l3ld80_5_4">#REF!</definedName>
    <definedName name="l3ld80_5_6">#REF!</definedName>
    <definedName name="l3ld80_5_7">#REF!</definedName>
    <definedName name="l3ld80_6">#REF!</definedName>
    <definedName name="l3ld80_6_1">#REF!</definedName>
    <definedName name="l3ld80_6_4">#REF!</definedName>
    <definedName name="l3ld80_6_6">#REF!</definedName>
    <definedName name="l3ld80_6_7">#REF!</definedName>
    <definedName name="l3ld80_7">#REF!</definedName>
    <definedName name="l3ti50">#REF!</definedName>
    <definedName name="l3ti50_1">#REF!</definedName>
    <definedName name="l3ti50_1_5">#REF!</definedName>
    <definedName name="l3ti50_2">#REF!</definedName>
    <definedName name="l3ti50_2_1">#REF!</definedName>
    <definedName name="l3ti50_2_1_1">#REF!</definedName>
    <definedName name="l3ti50_2_1_1_6">#REF!</definedName>
    <definedName name="l3ti50_2_1_6">#REF!</definedName>
    <definedName name="l3ti50_2_1_7">#REF!</definedName>
    <definedName name="l3ti50_2_6">#REF!</definedName>
    <definedName name="l3ti50_2_7">#REF!</definedName>
    <definedName name="l3ti50_3">#REF!</definedName>
    <definedName name="l3ti50_3_4">#REF!</definedName>
    <definedName name="l3ti50_3_6">#REF!</definedName>
    <definedName name="l3ti50_3_7">#REF!</definedName>
    <definedName name="l3ti50_4">#REF!</definedName>
    <definedName name="l3ti50_4_1">#REF!</definedName>
    <definedName name="l3ti50_4_2">#REF!</definedName>
    <definedName name="l3ti50_4_2_6">#REF!</definedName>
    <definedName name="l3ti50_4_4">#REF!</definedName>
    <definedName name="l3ti50_4_6">#REF!</definedName>
    <definedName name="l3ti50_4_7">#REF!</definedName>
    <definedName name="l3ti50_5">#REF!</definedName>
    <definedName name="l3ti50_5_2">#REF!</definedName>
    <definedName name="l3ti50_5_2_6">#REF!</definedName>
    <definedName name="l3ti50_5_4">#REF!</definedName>
    <definedName name="l3ti50_5_6">#REF!</definedName>
    <definedName name="l3ti50_5_7">#REF!</definedName>
    <definedName name="l3ti50_6">#REF!</definedName>
    <definedName name="l3ti50_6_1">#REF!</definedName>
    <definedName name="l3ti50_6_4">#REF!</definedName>
    <definedName name="l3ti50_6_6">#REF!</definedName>
    <definedName name="l3ti50_6_7">#REF!</definedName>
    <definedName name="l3ti50_7">#REF!</definedName>
    <definedName name="l3ti60">#REF!</definedName>
    <definedName name="l3ti60_1">#REF!</definedName>
    <definedName name="l3ti60_1_5">#REF!</definedName>
    <definedName name="l3ti60_2">#REF!</definedName>
    <definedName name="l3ti60_2_1">#REF!</definedName>
    <definedName name="l3ti60_2_1_1">#REF!</definedName>
    <definedName name="l3ti60_2_1_1_6">#REF!</definedName>
    <definedName name="l3ti60_2_1_6">#REF!</definedName>
    <definedName name="l3ti60_2_1_7">#REF!</definedName>
    <definedName name="l3ti60_2_6">#REF!</definedName>
    <definedName name="l3ti60_2_7">#REF!</definedName>
    <definedName name="l3ti60_3">#REF!</definedName>
    <definedName name="l3ti60_3_4">#REF!</definedName>
    <definedName name="l3ti60_3_6">#REF!</definedName>
    <definedName name="l3ti60_3_7">#REF!</definedName>
    <definedName name="l3ti60_4">#REF!</definedName>
    <definedName name="l3ti60_4_1">#REF!</definedName>
    <definedName name="l3ti60_4_2">#REF!</definedName>
    <definedName name="l3ti60_4_2_6">#REF!</definedName>
    <definedName name="l3ti60_4_4">#REF!</definedName>
    <definedName name="l3ti60_4_6">#REF!</definedName>
    <definedName name="l3ti60_4_7">#REF!</definedName>
    <definedName name="l3ti60_5">#REF!</definedName>
    <definedName name="l3ti60_5_2">#REF!</definedName>
    <definedName name="l3ti60_5_2_6">#REF!</definedName>
    <definedName name="l3ti60_5_4">#REF!</definedName>
    <definedName name="l3ti60_5_6">#REF!</definedName>
    <definedName name="l3ti60_5_7">#REF!</definedName>
    <definedName name="l3ti60_6">#REF!</definedName>
    <definedName name="l3ti60_6_1">#REF!</definedName>
    <definedName name="l3ti60_6_4">#REF!</definedName>
    <definedName name="l3ti60_6_6">#REF!</definedName>
    <definedName name="l3ti60_6_7">#REF!</definedName>
    <definedName name="l3ti60_7">#REF!</definedName>
    <definedName name="l3ti80">#REF!</definedName>
    <definedName name="l3ti80_1">#REF!</definedName>
    <definedName name="l3ti80_1_5">#REF!</definedName>
    <definedName name="l3ti80_2">#REF!</definedName>
    <definedName name="l3ti80_2_1">#REF!</definedName>
    <definedName name="l3ti80_2_1_1">#REF!</definedName>
    <definedName name="l3ti80_2_1_1_6">#REF!</definedName>
    <definedName name="l3ti80_2_1_6">#REF!</definedName>
    <definedName name="l3ti80_2_1_7">#REF!</definedName>
    <definedName name="l3ti80_2_6">#REF!</definedName>
    <definedName name="l3ti80_2_7">#REF!</definedName>
    <definedName name="l3ti80_3">#REF!</definedName>
    <definedName name="l3ti80_3_4">#REF!</definedName>
    <definedName name="l3ti80_3_6">#REF!</definedName>
    <definedName name="l3ti80_3_7">#REF!</definedName>
    <definedName name="l3ti80_4">#REF!</definedName>
    <definedName name="l3ti80_4_1">#REF!</definedName>
    <definedName name="l3ti80_4_2">#REF!</definedName>
    <definedName name="l3ti80_4_2_6">#REF!</definedName>
    <definedName name="l3ti80_4_4">#REF!</definedName>
    <definedName name="l3ti80_4_6">#REF!</definedName>
    <definedName name="l3ti80_4_7">#REF!</definedName>
    <definedName name="l3ti80_5">#REF!</definedName>
    <definedName name="l3ti80_5_2">#REF!</definedName>
    <definedName name="l3ti80_5_2_6">#REF!</definedName>
    <definedName name="l3ti80_5_4">#REF!</definedName>
    <definedName name="l3ti80_5_6">#REF!</definedName>
    <definedName name="l3ti80_5_7">#REF!</definedName>
    <definedName name="l3ti80_6">#REF!</definedName>
    <definedName name="l3ti80_6_1">#REF!</definedName>
    <definedName name="l3ti80_6_4">#REF!</definedName>
    <definedName name="l3ti80_6_6">#REF!</definedName>
    <definedName name="l3ti80_6_7">#REF!</definedName>
    <definedName name="l3ti80_7">#REF!</definedName>
    <definedName name="l3tisf50">#REF!</definedName>
    <definedName name="l3tisf50_1">#REF!</definedName>
    <definedName name="l3tisf50_1_5">#REF!</definedName>
    <definedName name="l3tisf50_2">#REF!</definedName>
    <definedName name="l3tisf50_2_1">#REF!</definedName>
    <definedName name="l3tisf50_2_1_1">#REF!</definedName>
    <definedName name="l3tisf50_2_1_1_6">#REF!</definedName>
    <definedName name="l3tisf50_2_1_6">#REF!</definedName>
    <definedName name="l3tisf50_2_1_7">#REF!</definedName>
    <definedName name="l3tisf50_2_6">#REF!</definedName>
    <definedName name="l3tisf50_3">#REF!</definedName>
    <definedName name="l3tisf50_3_4">#REF!</definedName>
    <definedName name="l3tisf50_3_6">#REF!</definedName>
    <definedName name="l3tisf50_3_7">#REF!</definedName>
    <definedName name="l3tisf50_4">#REF!</definedName>
    <definedName name="l3tisf50_4_1">#REF!</definedName>
    <definedName name="l3tisf50_4_2">#REF!</definedName>
    <definedName name="l3tisf50_4_2_6">#REF!</definedName>
    <definedName name="l3tisf50_4_4">#REF!</definedName>
    <definedName name="l3tisf50_4_6">#REF!</definedName>
    <definedName name="l3tisf50_4_7">#REF!</definedName>
    <definedName name="l3tisf50_5">#REF!</definedName>
    <definedName name="l3tisf50_5_2">#REF!</definedName>
    <definedName name="l3tisf50_5_2_6">#REF!</definedName>
    <definedName name="l3tisf50_5_4">#REF!</definedName>
    <definedName name="l3tisf50_5_6">#REF!</definedName>
    <definedName name="l3tisf50_5_7">#REF!</definedName>
    <definedName name="l3tisf50_6">#REF!</definedName>
    <definedName name="l3tisf50_6_1">#REF!</definedName>
    <definedName name="l3tisf50_6_4">#REF!</definedName>
    <definedName name="l3tisf50_6_6">#REF!</definedName>
    <definedName name="l3tisf50_6_7">#REF!</definedName>
    <definedName name="l3tisf50_7">#REF!</definedName>
    <definedName name="l3tisf60">#REF!</definedName>
    <definedName name="l3tisf60_1">#REF!</definedName>
    <definedName name="l3tisf60_1_5">#REF!</definedName>
    <definedName name="l3tisf60_2">#REF!</definedName>
    <definedName name="l3tisf60_2_1">#REF!</definedName>
    <definedName name="l3tisf60_2_1_1">#REF!</definedName>
    <definedName name="l3tisf60_2_1_1_6">#REF!</definedName>
    <definedName name="l3tisf60_2_1_6">#REF!</definedName>
    <definedName name="l3tisf60_2_1_7">#REF!</definedName>
    <definedName name="l3tisf60_2_6">#REF!</definedName>
    <definedName name="l3tisf60_3">#REF!</definedName>
    <definedName name="l3tisf60_3_4">#REF!</definedName>
    <definedName name="l3tisf60_3_6">#REF!</definedName>
    <definedName name="l3tisf60_3_7">#REF!</definedName>
    <definedName name="l3tisf60_4">#REF!</definedName>
    <definedName name="l3tisf60_4_1">#REF!</definedName>
    <definedName name="l3tisf60_4_2">#REF!</definedName>
    <definedName name="l3tisf60_4_2_6">#REF!</definedName>
    <definedName name="l3tisf60_4_4">#REF!</definedName>
    <definedName name="l3tisf60_4_6">#REF!</definedName>
    <definedName name="l3tisf60_4_7">#REF!</definedName>
    <definedName name="l3tisf60_5">#REF!</definedName>
    <definedName name="l3tisf60_5_2">#REF!</definedName>
    <definedName name="l3tisf60_5_2_6">#REF!</definedName>
    <definedName name="l3tisf60_5_4">#REF!</definedName>
    <definedName name="l3tisf60_5_6">#REF!</definedName>
    <definedName name="l3tisf60_5_7">#REF!</definedName>
    <definedName name="l3tisf60_6">#REF!</definedName>
    <definedName name="l3tisf60_6_1">#REF!</definedName>
    <definedName name="l3tisf60_6_4">#REF!</definedName>
    <definedName name="l3tisf60_6_6">#REF!</definedName>
    <definedName name="l3tisf60_6_7">#REF!</definedName>
    <definedName name="l3tisf60_7">#REF!</definedName>
    <definedName name="LAB">#REF!</definedName>
    <definedName name="LAB_SPRAYER">#REF!</definedName>
    <definedName name="laba">#REF!</definedName>
    <definedName name="labet12">#REF!</definedName>
    <definedName name="labforag">#REF!</definedName>
    <definedName name="labmacro">#REF!</definedName>
    <definedName name="labmilk">#REF!</definedName>
    <definedName name="labnutri">#REF!</definedName>
    <definedName name="LABO">#REF!</definedName>
    <definedName name="Labour">#REF!</definedName>
    <definedName name="LABOUR_CAMP">#REF!</definedName>
    <definedName name="Labour1">#REF!</definedName>
    <definedName name="labtekno">#REF!</definedName>
    <definedName name="Laburmowileks">#REF!</definedName>
    <definedName name="Lacak">#REF!</definedName>
    <definedName name="lad200x100">#REF!</definedName>
    <definedName name="lad300x100">#REF!</definedName>
    <definedName name="lad400x100">#REF!</definedName>
    <definedName name="lad500x100">#REF!</definedName>
    <definedName name="Ladder_Elbow_200x100">'[78]Harga Jasa dan Material'!$D$171</definedName>
    <definedName name="Ladder_Elbow_300x100">'[78]Harga Jasa dan Material'!$D$172</definedName>
    <definedName name="Ladder_Elbow_400x100">'[78]Harga Jasa dan Material'!$D$173</definedName>
    <definedName name="Ladder_Straight_200x100">'[78]Harga Jasa dan Material'!$D$167</definedName>
    <definedName name="Ladder_Straight_300x100">'[78]Harga Jasa dan Material'!$D$168</definedName>
    <definedName name="Ladder_Straight_400x100">'[78]Harga Jasa dan Material'!$D$169</definedName>
    <definedName name="Ladder_Tee_200x100">'[78]Harga Jasa dan Material'!$D$174</definedName>
    <definedName name="Ladder_Tee_300x100">'[78]Harga Jasa dan Material'!$D$175</definedName>
    <definedName name="Ladder_Tee_400x100">'[78]Harga Jasa dan Material'!$D$176</definedName>
    <definedName name="laflFLKlkfa">[0]!_210_S_3_6_1_1:[0]!_2127detib250_6_1</definedName>
    <definedName name="lahanb">#REF!</definedName>
    <definedName name="Lain">#REF!</definedName>
    <definedName name="LAIN_LAIN">[97]STRUKTUR!#REF!</definedName>
    <definedName name="Lain_lain___reinforced_plastic_hose">[153]ANALISA!#REF!</definedName>
    <definedName name="LAINLAIN" localSheetId="7">#REF!</definedName>
    <definedName name="LAINLAIN">#REF!</definedName>
    <definedName name="laker">#REF!</definedName>
    <definedName name="lalalala" hidden="1">{#N/A,#N/A,FALSE,"REK";#N/A,#N/A,FALSE,"rab"}</definedName>
    <definedName name="lamber.1">#REF!</definedName>
    <definedName name="lampdk">#REF!</definedName>
    <definedName name="lampu">#REF!</definedName>
    <definedName name="lampu.m">#REF!</definedName>
    <definedName name="Lampu_Ganda">#REF!</definedName>
    <definedName name="Lampu_Pijar_25_watt_philips">#REF!</definedName>
    <definedName name="Lampu_TL_20_watt">#REF!</definedName>
    <definedName name="Lampu_TL_40_watt">#REF!</definedName>
    <definedName name="Lampu_Tunggal">#REF!</definedName>
    <definedName name="lampu1">#REF!</definedName>
    <definedName name="LAMPUPHILIPS">#N/A</definedName>
    <definedName name="lampupijar">#REF!</definedName>
    <definedName name="lampupijar.25">#REF!</definedName>
    <definedName name="Lamputl10">#REF!</definedName>
    <definedName name="lamputl2.20watt">#REF!</definedName>
    <definedName name="Lamputl20">#REF!</definedName>
    <definedName name="lamtana">#N/A</definedName>
    <definedName name="lan12b145">#REF!</definedName>
    <definedName name="lan30b220">#REF!</definedName>
    <definedName name="land">#REF!</definedName>
    <definedName name="Land_clearing___perataan_lokasi_batchig_plant">#REF!</definedName>
    <definedName name="langitbaru">#REF!</definedName>
    <definedName name="langitulang">#REF!</definedName>
    <definedName name="lanker40">#REF!</definedName>
    <definedName name="LANTAI">[97]ARSITEKTUR!#REF!</definedName>
    <definedName name="lantai_beton">#REF!</definedName>
    <definedName name="LANTAI_K">#REF!</definedName>
    <definedName name="Lantai_kerja">#REF!</definedName>
    <definedName name="LANTAI_P3">#REF!</definedName>
    <definedName name="LANTAI_P3_1">#REF!</definedName>
    <definedName name="LANTAI_P3_1_5">#REF!</definedName>
    <definedName name="LANTAI_P3_2">#REF!</definedName>
    <definedName name="LANTAI_P3_2_1">#REF!</definedName>
    <definedName name="LANTAI_P3_2_1_1">#REF!</definedName>
    <definedName name="LANTAI_P3_2_1_1_6">#REF!</definedName>
    <definedName name="LANTAI_P3_2_1_6">#REF!</definedName>
    <definedName name="LANTAI_P3_2_1_7">#REF!</definedName>
    <definedName name="LANTAI_P3_2_6">#REF!</definedName>
    <definedName name="LANTAI_P3_2_7">#REF!</definedName>
    <definedName name="LANTAI_P3_3">#REF!</definedName>
    <definedName name="LANTAI_P3_3_4">#REF!</definedName>
    <definedName name="LANTAI_P3_3_6">#REF!</definedName>
    <definedName name="LANTAI_P3_3_7">#REF!</definedName>
    <definedName name="LANTAI_P3_4">#REF!</definedName>
    <definedName name="LANTAI_P3_4_1">#REF!</definedName>
    <definedName name="LANTAI_P3_4_2">#REF!</definedName>
    <definedName name="LANTAI_P3_4_2_6">#REF!</definedName>
    <definedName name="LANTAI_P3_4_4">#REF!</definedName>
    <definedName name="LANTAI_P3_4_6">#REF!</definedName>
    <definedName name="LANTAI_P3_4_7">#REF!</definedName>
    <definedName name="LANTAI_P3_5">#REF!</definedName>
    <definedName name="LANTAI_P3_5_2">#REF!</definedName>
    <definedName name="LANTAI_P3_5_2_6">#REF!</definedName>
    <definedName name="LANTAI_P3_5_4">#REF!</definedName>
    <definedName name="LANTAI_P3_5_6">#REF!</definedName>
    <definedName name="LANTAI_P3_5_7">#REF!</definedName>
    <definedName name="LANTAI_P3_6">#REF!</definedName>
    <definedName name="LANTAI_P3_6_1">#REF!</definedName>
    <definedName name="LANTAI_P3_6_4">#REF!</definedName>
    <definedName name="LANTAI_P3_6_6">#REF!</definedName>
    <definedName name="LANTAI_P3_6_7">#REF!</definedName>
    <definedName name="LANTAI_P3_7">#REF!</definedName>
    <definedName name="lantai1">#REF!</definedName>
    <definedName name="lantai30">#REF!</definedName>
    <definedName name="lantaibeton225">#REF!</definedName>
    <definedName name="lantaibtn225">#REF!</definedName>
    <definedName name="lantaikarpet">#REF!</definedName>
    <definedName name="lantaikeramik">#REF!</definedName>
    <definedName name="lantaikerja">#REF!</definedName>
    <definedName name="lantaikerjasloof">#REF!</definedName>
    <definedName name="lantkrj">#REF!</definedName>
    <definedName name="LAP._KARANG_1">#REF!</definedName>
    <definedName name="LAP._KARANG_10">#REF!</definedName>
    <definedName name="LAP._KARANG_12">#REF!</definedName>
    <definedName name="LAP._KARANG_7">#REF!</definedName>
    <definedName name="LAP._KARANG_8">#REF!</definedName>
    <definedName name="LAP._SIRTU_1">#REF!</definedName>
    <definedName name="LAP._SIRTU_10">#REF!</definedName>
    <definedName name="LAP._SIRTU_12">#REF!</definedName>
    <definedName name="LAP._SIRTU_7">#REF!</definedName>
    <definedName name="LAP._SIRTU_8">#REF!</definedName>
    <definedName name="Lap.Perekat">#REF!</definedName>
    <definedName name="Lap.Resap.Pengikat">#REF!</definedName>
    <definedName name="LapIjuk">#REF!</definedName>
    <definedName name="lapis.agg.klasB">#REF!</definedName>
    <definedName name="Lapis_Perekat">#REF!</definedName>
    <definedName name="Lapis_resap_pengikat">#REF!</definedName>
    <definedName name="lapisaggr.klasA">#REF!</definedName>
    <definedName name="LAPISAN_AUS_3">#REF!</definedName>
    <definedName name="lapisi">#REF!</definedName>
    <definedName name="LAPORAN__BULANAN_agustus">#REF!</definedName>
    <definedName name="las">#REF!</definedName>
    <definedName name="las.dop">#REF!</definedName>
    <definedName name="Lasdop">'[78]Harga Jasa dan Material'!$D$145</definedName>
    <definedName name="LasPancang">#REF!</definedName>
    <definedName name="Laston.AC">#REF!</definedName>
    <definedName name="laston.m2">#REF!</definedName>
    <definedName name="latab30">#REF!</definedName>
    <definedName name="latai">#REF!</definedName>
    <definedName name="latasir">#REF!</definedName>
    <definedName name="Lataston_Lapis_antara__AC___BC">#REF!</definedName>
    <definedName name="LaunchingBox">#REF!</definedName>
    <definedName name="lav">[34]harsat!$H$45</definedName>
    <definedName name="lavatory521">[93]Rekap!$H$51</definedName>
    <definedName name="lavatory830">[93]Rekap!$H$48</definedName>
    <definedName name="layout">#REF!</definedName>
    <definedName name="lbowpvc4">#REF!</definedName>
    <definedName name="LBP">#REF!</definedName>
    <definedName name="LBR">[98]PLUMBING!$F$2:$F$65536</definedName>
    <definedName name="lc">"$#REF!.$I$41"</definedName>
    <definedName name="lcf_p">[95]satuan_pek_ars!#REF!</definedName>
    <definedName name="lcf_s">[95]satuan_pek_ars!#REF!</definedName>
    <definedName name="LE">#REF!</definedName>
    <definedName name="LEAI">#REF!</definedName>
    <definedName name="leb">#REF!</definedName>
    <definedName name="leb_1">#REF!</definedName>
    <definedName name="leb_2">#REF!</definedName>
    <definedName name="leb_2_1">#REF!</definedName>
    <definedName name="leb_2_1_6">#REF!</definedName>
    <definedName name="leb_2_6">#REF!</definedName>
    <definedName name="leb_2_7">#REF!</definedName>
    <definedName name="leb_3">#REF!</definedName>
    <definedName name="leb_3_4">#REF!</definedName>
    <definedName name="leb_3_6">#REF!</definedName>
    <definedName name="leb_3_7">#REF!</definedName>
    <definedName name="leb_4">#REF!</definedName>
    <definedName name="leb_4_1">#REF!</definedName>
    <definedName name="leb_4_2">#REF!</definedName>
    <definedName name="leb_4_2_6">#REF!</definedName>
    <definedName name="leb_4_4">#REF!</definedName>
    <definedName name="leb_4_6">#REF!</definedName>
    <definedName name="leb_4_7">#REF!</definedName>
    <definedName name="leb_5">#REF!</definedName>
    <definedName name="leb_5_2">#REF!</definedName>
    <definedName name="leb_5_2_6">#REF!</definedName>
    <definedName name="leb_5_4">#REF!</definedName>
    <definedName name="leb_5_6">#REF!</definedName>
    <definedName name="leb_5_7">#REF!</definedName>
    <definedName name="leb_6">#REF!</definedName>
    <definedName name="leb_6_1">#REF!</definedName>
    <definedName name="leb_6_4">#REF!</definedName>
    <definedName name="leb_6_6">#REF!</definedName>
    <definedName name="leb_6_7">#REF!</definedName>
    <definedName name="leb_7">#REF!</definedName>
    <definedName name="led">#REF!</definedName>
    <definedName name="LEGAL_WELFARE">#REF!</definedName>
    <definedName name="lel90pvc10">#REF!</definedName>
    <definedName name="Lelco">#REF!</definedName>
    <definedName name="lem">#REF!</definedName>
    <definedName name="lem.c">#REF!</definedName>
    <definedName name="lem_aibon">#REF!</definedName>
    <definedName name="Lem_Fox">#REF!</definedName>
    <definedName name="Lem_putih__FOX">#REF!</definedName>
    <definedName name="Lemar">#REF!</definedName>
    <definedName name="Lemari">#REF!</definedName>
    <definedName name="Lembar">#REF!</definedName>
    <definedName name="Lembur_operator">#REF!</definedName>
    <definedName name="lemkayu">#REF!</definedName>
    <definedName name="LemKn">#REF!</definedName>
    <definedName name="lempar">'[21]Harga Satuan Bahan'!#REF!</definedName>
    <definedName name="Lempengan_Rumput">#REF!</definedName>
    <definedName name="Lempengan_rumput_biasa__teki">#REF!</definedName>
    <definedName name="LemPt">#REF!</definedName>
    <definedName name="lempvc">#REF!</definedName>
    <definedName name="lemrajawali">#REF!</definedName>
    <definedName name="LENGKAPSIPIL">#REF!</definedName>
    <definedName name="leni">#REF!</definedName>
    <definedName name="leniNovita">#REF!</definedName>
    <definedName name="Lett" hidden="1">#REF!</definedName>
    <definedName name="letter">#REF!</definedName>
    <definedName name="lf">#REF!</definedName>
    <definedName name="lg">#REF!</definedName>
    <definedName name="lg_4">#REF!</definedName>
    <definedName name="lg_5">#REF!</definedName>
    <definedName name="lg_7">#REF!</definedName>
    <definedName name="lgld100">#REF!</definedName>
    <definedName name="lgld100_1">#REF!</definedName>
    <definedName name="lgld100_1_5">#REF!</definedName>
    <definedName name="lgld100_2">#REF!</definedName>
    <definedName name="lgld100_2_1">#REF!</definedName>
    <definedName name="lgld100_2_1_1">#REF!</definedName>
    <definedName name="lgld100_2_1_1_6">#REF!</definedName>
    <definedName name="lgld100_2_1_6">#REF!</definedName>
    <definedName name="lgld100_2_1_7">#REF!</definedName>
    <definedName name="lgld100_2_6">#REF!</definedName>
    <definedName name="lgld100_2_7">#REF!</definedName>
    <definedName name="lgld100_3">#REF!</definedName>
    <definedName name="lgld100_3_4">#REF!</definedName>
    <definedName name="lgld100_3_6">#REF!</definedName>
    <definedName name="lgld100_3_7">#REF!</definedName>
    <definedName name="lgld100_4">#REF!</definedName>
    <definedName name="lgld100_4_1">#REF!</definedName>
    <definedName name="lgld100_4_2">#REF!</definedName>
    <definedName name="lgld100_4_2_6">#REF!</definedName>
    <definedName name="lgld100_4_4">#REF!</definedName>
    <definedName name="lgld100_4_6">#REF!</definedName>
    <definedName name="lgld100_4_7">#REF!</definedName>
    <definedName name="lgld100_5">#REF!</definedName>
    <definedName name="lgld100_5_2">#REF!</definedName>
    <definedName name="lgld100_5_2_6">#REF!</definedName>
    <definedName name="lgld100_5_4">#REF!</definedName>
    <definedName name="lgld100_5_6">#REF!</definedName>
    <definedName name="lgld100_5_7">#REF!</definedName>
    <definedName name="lgld100_6">#REF!</definedName>
    <definedName name="lgld100_6_1">#REF!</definedName>
    <definedName name="lgld100_6_4">#REF!</definedName>
    <definedName name="lgld100_6_6">#REF!</definedName>
    <definedName name="lgld100_6_7">#REF!</definedName>
    <definedName name="lgld100_7">#REF!</definedName>
    <definedName name="lgld70">#REF!</definedName>
    <definedName name="lgld70_1">#REF!</definedName>
    <definedName name="lgld70_1_5">#REF!</definedName>
    <definedName name="lgld70_2">#REF!</definedName>
    <definedName name="lgld70_2_1">#REF!</definedName>
    <definedName name="lgld70_2_1_1">#REF!</definedName>
    <definedName name="lgld70_2_1_1_6">#REF!</definedName>
    <definedName name="lgld70_2_1_6">#REF!</definedName>
    <definedName name="lgld70_2_1_7">#REF!</definedName>
    <definedName name="lgld70_2_6">#REF!</definedName>
    <definedName name="lgld70_2_7">#REF!</definedName>
    <definedName name="lgld70_3">#REF!</definedName>
    <definedName name="lgld70_3_4">#REF!</definedName>
    <definedName name="lgld70_3_6">#REF!</definedName>
    <definedName name="lgld70_3_7">#REF!</definedName>
    <definedName name="lgld70_4">#REF!</definedName>
    <definedName name="lgld70_4_1">#REF!</definedName>
    <definedName name="lgld70_4_2">#REF!</definedName>
    <definedName name="lgld70_4_2_6">#REF!</definedName>
    <definedName name="lgld70_4_4">#REF!</definedName>
    <definedName name="lgld70_4_6">#REF!</definedName>
    <definedName name="lgld70_4_7">#REF!</definedName>
    <definedName name="lgld70_5">#REF!</definedName>
    <definedName name="lgld70_5_2">#REF!</definedName>
    <definedName name="lgld70_5_2_6">#REF!</definedName>
    <definedName name="lgld70_5_4">#REF!</definedName>
    <definedName name="lgld70_5_6">#REF!</definedName>
    <definedName name="lgld70_5_7">#REF!</definedName>
    <definedName name="lgld70_6">#REF!</definedName>
    <definedName name="lgld70_6_1">#REF!</definedName>
    <definedName name="lgld70_6_4">#REF!</definedName>
    <definedName name="lgld70_6_6">#REF!</definedName>
    <definedName name="lgld70_6_7">#REF!</definedName>
    <definedName name="lgld70_7">#REF!</definedName>
    <definedName name="lgld80">#REF!</definedName>
    <definedName name="lgld80_1">#REF!</definedName>
    <definedName name="lgld80_1_5">#REF!</definedName>
    <definedName name="lgld80_2">#REF!</definedName>
    <definedName name="lgld80_2_1">#REF!</definedName>
    <definedName name="lgld80_2_1_1">#REF!</definedName>
    <definedName name="lgld80_2_1_1_6">#REF!</definedName>
    <definedName name="lgld80_2_1_6">#REF!</definedName>
    <definedName name="lgld80_2_1_7">#REF!</definedName>
    <definedName name="lgld80_2_6">#REF!</definedName>
    <definedName name="lgld80_2_7">#REF!</definedName>
    <definedName name="lgld80_3">#REF!</definedName>
    <definedName name="lgld80_3_4">#REF!</definedName>
    <definedName name="lgld80_3_6">#REF!</definedName>
    <definedName name="lgld80_3_7">#REF!</definedName>
    <definedName name="lgld80_4">#REF!</definedName>
    <definedName name="lgld80_4_1">#REF!</definedName>
    <definedName name="lgld80_4_2">#REF!</definedName>
    <definedName name="lgld80_4_2_6">#REF!</definedName>
    <definedName name="lgld80_4_4">#REF!</definedName>
    <definedName name="lgld80_4_6">#REF!</definedName>
    <definedName name="lgld80_4_7">#REF!</definedName>
    <definedName name="lgld80_5">#REF!</definedName>
    <definedName name="lgld80_5_2">#REF!</definedName>
    <definedName name="lgld80_5_2_6">#REF!</definedName>
    <definedName name="lgld80_5_4">#REF!</definedName>
    <definedName name="lgld80_5_6">#REF!</definedName>
    <definedName name="lgld80_5_7">#REF!</definedName>
    <definedName name="lgld80_6">#REF!</definedName>
    <definedName name="lgld80_6_1">#REF!</definedName>
    <definedName name="lgld80_6_4">#REF!</definedName>
    <definedName name="lgld80_6_6">#REF!</definedName>
    <definedName name="lgld80_6_7">#REF!</definedName>
    <definedName name="lgld80_7">#REF!</definedName>
    <definedName name="lgs">#REF!</definedName>
    <definedName name="lgti50">#REF!</definedName>
    <definedName name="lgti50_1">#REF!</definedName>
    <definedName name="lgti50_1_5">#REF!</definedName>
    <definedName name="lgti50_2">#REF!</definedName>
    <definedName name="lgti50_2_1">#REF!</definedName>
    <definedName name="lgti50_2_1_1">#REF!</definedName>
    <definedName name="lgti50_2_1_1_6">#REF!</definedName>
    <definedName name="lgti50_2_1_6">#REF!</definedName>
    <definedName name="lgti50_2_1_7">#REF!</definedName>
    <definedName name="lgti50_2_6">#REF!</definedName>
    <definedName name="lgti50_2_7">#REF!</definedName>
    <definedName name="lgti50_3">#REF!</definedName>
    <definedName name="lgti50_3_4">#REF!</definedName>
    <definedName name="lgti50_3_6">#REF!</definedName>
    <definedName name="lgti50_3_7">#REF!</definedName>
    <definedName name="lgti50_4">#REF!</definedName>
    <definedName name="lgti50_4_1">#REF!</definedName>
    <definedName name="lgti50_4_2">#REF!</definedName>
    <definedName name="lgti50_4_2_6">#REF!</definedName>
    <definedName name="lgti50_4_4">#REF!</definedName>
    <definedName name="lgti50_4_6">#REF!</definedName>
    <definedName name="lgti50_4_7">#REF!</definedName>
    <definedName name="lgti50_5">#REF!</definedName>
    <definedName name="lgti50_5_2">#REF!</definedName>
    <definedName name="lgti50_5_2_6">#REF!</definedName>
    <definedName name="lgti50_5_4">#REF!</definedName>
    <definedName name="lgti50_5_6">#REF!</definedName>
    <definedName name="lgti50_5_7">#REF!</definedName>
    <definedName name="lgti50_6">#REF!</definedName>
    <definedName name="lgti50_6_1">#REF!</definedName>
    <definedName name="lgti50_6_4">#REF!</definedName>
    <definedName name="lgti50_6_6">#REF!</definedName>
    <definedName name="lgti50_6_7">#REF!</definedName>
    <definedName name="lgti50_7">#REF!</definedName>
    <definedName name="lgti60">#REF!</definedName>
    <definedName name="lgti60_1">#REF!</definedName>
    <definedName name="lgti60_1_5">#REF!</definedName>
    <definedName name="lgti60_2">#REF!</definedName>
    <definedName name="lgti60_2_1">#REF!</definedName>
    <definedName name="lgti60_2_1_1">#REF!</definedName>
    <definedName name="lgti60_2_1_1_6">#REF!</definedName>
    <definedName name="lgti60_2_1_6">#REF!</definedName>
    <definedName name="lgti60_2_1_7">#REF!</definedName>
    <definedName name="lgti60_2_6">#REF!</definedName>
    <definedName name="lgti60_2_7">#REF!</definedName>
    <definedName name="lgti60_3">#REF!</definedName>
    <definedName name="lgti60_3_4">#REF!</definedName>
    <definedName name="lgti60_3_6">#REF!</definedName>
    <definedName name="lgti60_3_7">#REF!</definedName>
    <definedName name="lgti60_4">#REF!</definedName>
    <definedName name="lgti60_4_1">#REF!</definedName>
    <definedName name="lgti60_4_2">#REF!</definedName>
    <definedName name="lgti60_4_2_6">#REF!</definedName>
    <definedName name="lgti60_4_4">#REF!</definedName>
    <definedName name="lgti60_4_6">#REF!</definedName>
    <definedName name="lgti60_4_7">#REF!</definedName>
    <definedName name="lgti60_5">#REF!</definedName>
    <definedName name="lgti60_5_2">#REF!</definedName>
    <definedName name="lgti60_5_2_6">#REF!</definedName>
    <definedName name="lgti60_5_4">#REF!</definedName>
    <definedName name="lgti60_5_6">#REF!</definedName>
    <definedName name="lgti60_5_7">#REF!</definedName>
    <definedName name="lgti60_6">#REF!</definedName>
    <definedName name="lgti60_6_1">#REF!</definedName>
    <definedName name="lgti60_6_4">#REF!</definedName>
    <definedName name="lgti60_6_6">#REF!</definedName>
    <definedName name="lgti60_6_7">#REF!</definedName>
    <definedName name="lgti60_7">#REF!</definedName>
    <definedName name="lgti70">#REF!</definedName>
    <definedName name="lgti70_1">#REF!</definedName>
    <definedName name="lgti70_1_5">#REF!</definedName>
    <definedName name="lgti70_2">#REF!</definedName>
    <definedName name="lgti70_2_1">#REF!</definedName>
    <definedName name="lgti70_2_1_1">#REF!</definedName>
    <definedName name="lgti70_2_1_1_6">#REF!</definedName>
    <definedName name="lgti70_2_1_6">#REF!</definedName>
    <definedName name="lgti70_2_1_7">#REF!</definedName>
    <definedName name="lgti70_2_6">#REF!</definedName>
    <definedName name="lgti70_2_7">#REF!</definedName>
    <definedName name="lgti70_3">#REF!</definedName>
    <definedName name="lgti70_3_4">#REF!</definedName>
    <definedName name="lgti70_3_6">#REF!</definedName>
    <definedName name="lgti70_3_7">#REF!</definedName>
    <definedName name="lgti70_4">#REF!</definedName>
    <definedName name="lgti70_4_1">#REF!</definedName>
    <definedName name="lgti70_4_2">#REF!</definedName>
    <definedName name="lgti70_4_2_6">#REF!</definedName>
    <definedName name="lgti70_4_4">#REF!</definedName>
    <definedName name="lgti70_4_6">#REF!</definedName>
    <definedName name="lgti70_4_7">#REF!</definedName>
    <definedName name="lgti70_5">#REF!</definedName>
    <definedName name="lgti70_5_2">#REF!</definedName>
    <definedName name="lgti70_5_2_6">#REF!</definedName>
    <definedName name="lgti70_5_4">#REF!</definedName>
    <definedName name="lgti70_5_6">#REF!</definedName>
    <definedName name="lgti70_5_7">#REF!</definedName>
    <definedName name="lgti70_6">#REF!</definedName>
    <definedName name="lgti70_6_1">#REF!</definedName>
    <definedName name="lgti70_6_4">#REF!</definedName>
    <definedName name="lgti70_6_6">#REF!</definedName>
    <definedName name="lgti70_6_7">#REF!</definedName>
    <definedName name="lgti70_7">#REF!</definedName>
    <definedName name="lgtisf50">#REF!</definedName>
    <definedName name="lgtisf50_1">#REF!</definedName>
    <definedName name="lgtisf50_2">#REF!</definedName>
    <definedName name="lgtisf50_2_1">#REF!</definedName>
    <definedName name="lgtisf50_2_1_1">#REF!</definedName>
    <definedName name="lgtisf50_2_1_1_6">#REF!</definedName>
    <definedName name="lgtisf50_2_1_6">#REF!</definedName>
    <definedName name="lgtisf50_2_1_7">#REF!</definedName>
    <definedName name="lgtisf50_2_6">#REF!</definedName>
    <definedName name="lgtisf50_2_7">#REF!</definedName>
    <definedName name="lgtisf50_3">#REF!</definedName>
    <definedName name="lgtisf50_3_4">#REF!</definedName>
    <definedName name="lgtisf50_3_6">#REF!</definedName>
    <definedName name="lgtisf50_3_7">#REF!</definedName>
    <definedName name="lgtisf50_4">#REF!</definedName>
    <definedName name="lgtisf50_4_1">#REF!</definedName>
    <definedName name="lgtisf50_4_2">#REF!</definedName>
    <definedName name="lgtisf50_4_2_6">#REF!</definedName>
    <definedName name="lgtisf50_4_4">#REF!</definedName>
    <definedName name="lgtisf50_4_6">#REF!</definedName>
    <definedName name="lgtisf50_4_7">#REF!</definedName>
    <definedName name="lgtisf50_5">#REF!</definedName>
    <definedName name="lgtisf50_5_2">#REF!</definedName>
    <definedName name="lgtisf50_5_2_6">#REF!</definedName>
    <definedName name="lgtisf50_5_4">#REF!</definedName>
    <definedName name="lgtisf50_5_6">#REF!</definedName>
    <definedName name="lgtisf50_5_7">#REF!</definedName>
    <definedName name="lgtisf50_6">#REF!</definedName>
    <definedName name="lgtisf50_6_1">#REF!</definedName>
    <definedName name="lgtisf50_6_4">#REF!</definedName>
    <definedName name="lgtisf50_6_6">#REF!</definedName>
    <definedName name="lgtisf50_6_7">#REF!</definedName>
    <definedName name="lgtisf50_7">#REF!</definedName>
    <definedName name="lgtisf60">#REF!</definedName>
    <definedName name="lgtisf60_1">#REF!</definedName>
    <definedName name="lgtisf60_2">#REF!</definedName>
    <definedName name="lgtisf60_2_1">#REF!</definedName>
    <definedName name="lgtisf60_2_1_1">#REF!</definedName>
    <definedName name="lgtisf60_2_1_1_6">#REF!</definedName>
    <definedName name="lgtisf60_2_1_6">#REF!</definedName>
    <definedName name="lgtisf60_2_1_7">#REF!</definedName>
    <definedName name="lgtisf60_2_6">#REF!</definedName>
    <definedName name="lgtisf60_2_7">#REF!</definedName>
    <definedName name="lgtisf60_3">#REF!</definedName>
    <definedName name="lgtisf60_3_4">#REF!</definedName>
    <definedName name="lgtisf60_3_6">#REF!</definedName>
    <definedName name="lgtisf60_3_7">#REF!</definedName>
    <definedName name="lgtisf60_4">#REF!</definedName>
    <definedName name="lgtisf60_4_1">#REF!</definedName>
    <definedName name="lgtisf60_4_2">#REF!</definedName>
    <definedName name="lgtisf60_4_2_6">#REF!</definedName>
    <definedName name="lgtisf60_4_4">#REF!</definedName>
    <definedName name="lgtisf60_4_6">#REF!</definedName>
    <definedName name="lgtisf60_4_7">#REF!</definedName>
    <definedName name="lgtisf60_5">#REF!</definedName>
    <definedName name="lgtisf60_5_2">#REF!</definedName>
    <definedName name="lgtisf60_5_2_6">#REF!</definedName>
    <definedName name="lgtisf60_5_4">#REF!</definedName>
    <definedName name="lgtisf60_5_6">#REF!</definedName>
    <definedName name="lgtisf60_5_7">#REF!</definedName>
    <definedName name="lgtisf60_6">#REF!</definedName>
    <definedName name="lgtisf60_6_1">#REF!</definedName>
    <definedName name="lgtisf60_6_4">#REF!</definedName>
    <definedName name="lgtisf60_6_6">#REF!</definedName>
    <definedName name="lgtisf60_6_7">#REF!</definedName>
    <definedName name="lgtisf60_7">#REF!</definedName>
    <definedName name="Lheader_KodeBidang">[154]XLR_NoRangeSheet!$C$6</definedName>
    <definedName name="Lheader_KodeSatker">[154]XLR_NoRangeSheet!$G$6</definedName>
    <definedName name="Lheader_NamaBidang">[154]XLR_NoRangeSheet!$D$6</definedName>
    <definedName name="Lheader_NamaSatker">[154]XLR_NoRangeSheet!$H$6</definedName>
    <definedName name="Lheader_Tahun">[154]XLR_NoRangeSheet!$B$6</definedName>
    <definedName name="LIFT">#REF!</definedName>
    <definedName name="lightingp11m">#N/A</definedName>
    <definedName name="Lilin">#REF!</definedName>
    <definedName name="lima">#REF!</definedName>
    <definedName name="limbangan">#REF!</definedName>
    <definedName name="limestone">[93]Rekap!$H$63</definedName>
    <definedName name="LINE_1">#N/A</definedName>
    <definedName name="LINE_2">#REF!</definedName>
    <definedName name="Linelist">#REF!</definedName>
    <definedName name="LING">#REF!</definedName>
    <definedName name="lion">#N/A</definedName>
    <definedName name="LionM">#REF!</definedName>
    <definedName name="lis">#REF!</definedName>
    <definedName name="lis.g7">#REF!</definedName>
    <definedName name="LIS_GYPSUM_2x5">#REF!</definedName>
    <definedName name="LIS_GYPSUM_5">#REF!</definedName>
    <definedName name="LIS_GYPSUM_9">#REF!</definedName>
    <definedName name="Lis_Kayu_Profil">#REF!</definedName>
    <definedName name="LIS_KAYU_PROFIL_2x5">#REF!</definedName>
    <definedName name="LIS_KAYU_PROFIL_7cm">#REF!</definedName>
    <definedName name="LIS_KERAMIK_7X20">#REF!</definedName>
    <definedName name="LIS_KERAMIK_DINDING_5X20">#REF!</definedName>
    <definedName name="lis3.3">#REF!</definedName>
    <definedName name="Lisa" hidden="1">{#N/A,#N/A,FALSE,"REK-S-TPL";#N/A,#N/A,FALSE,"REK-TPML";#N/A,#N/A,FALSE,"RAB-TEMPEL"}</definedName>
    <definedName name="liskrm">#REF!</definedName>
    <definedName name="LISP1060">#REF!</definedName>
    <definedName name="lispl">#REF!</definedName>
    <definedName name="lisplang">#REF!</definedName>
    <definedName name="lisplank">#REF!</definedName>
    <definedName name="LISPLANK_KAYU_2x3x20">#REF!</definedName>
    <definedName name="LISPLANK_KAYU_3x20">#REF!</definedName>
    <definedName name="lisplankzincalume">#REF!</definedName>
    <definedName name="List">#REF!</definedName>
    <definedName name="LIST_1">#REF!</definedName>
    <definedName name="list_15">#REF!</definedName>
    <definedName name="LIST_2">#REF!</definedName>
    <definedName name="LIST_3">#REF!</definedName>
    <definedName name="list_6">#REF!</definedName>
    <definedName name="list_ab">#REF!</definedName>
    <definedName name="List_Givsum_12_12_cm">#REF!</definedName>
    <definedName name="List_Kayu_0_5_x_2_5_cm">#REF!</definedName>
    <definedName name="List_profil">#REF!</definedName>
    <definedName name="List_tengah">#REF!</definedName>
    <definedName name="list1">'[155]41,9&amp;36,3'!$B$11:$AK$96</definedName>
    <definedName name="List15">#REF!</definedName>
    <definedName name="list1533">[34]harsat!$H$21</definedName>
    <definedName name="list16.533">[34]harsat!$H$22</definedName>
    <definedName name="List34">#REF!</definedName>
    <definedName name="List35">#REF!</definedName>
    <definedName name="List4">#REF!</definedName>
    <definedName name="List5cm">#REF!</definedName>
    <definedName name="listgipsum">#REF!</definedName>
    <definedName name="listhsp">#REF!</definedName>
    <definedName name="listkaca">#REF!</definedName>
    <definedName name="Listkalor15">#REF!</definedName>
    <definedName name="Listkalor35">#REF!</definedName>
    <definedName name="LISTLOKASI">#REF!</definedName>
    <definedName name="listp">#REF!</definedName>
    <definedName name="listp1080">#REF!</definedName>
    <definedName name="listp10b161">#REF!</definedName>
    <definedName name="listp830">#REF!</definedName>
    <definedName name="listp840">#REF!</definedName>
    <definedName name="listpla">#REF!</definedName>
    <definedName name="ListPlaf15">#REF!</definedName>
    <definedName name="listplafond">#REF!</definedName>
    <definedName name="Listplank20">#REF!</definedName>
    <definedName name="Listplank2x20">#REF!</definedName>
    <definedName name="Listplank330">#REF!</definedName>
    <definedName name="ListplankKmpr">#REF!</definedName>
    <definedName name="listprofil">#REF!</definedName>
    <definedName name="listrik">#REF!</definedName>
    <definedName name="ListTatab">#REF!</definedName>
    <definedName name="ListTrip34">#REF!</definedName>
    <definedName name="Listtrip4">#REF!</definedName>
    <definedName name="ListTrip4cm">#REF!</definedName>
    <definedName name="ListTripl4">#REF!</definedName>
    <definedName name="Listtripleks34">#REF!</definedName>
    <definedName name="LJH">[0]!abgv40_4_11</definedName>
    <definedName name="ljk">#REF!</definedName>
    <definedName name="LK">#REF!</definedName>
    <definedName name="lk_0.03">#REF!</definedName>
    <definedName name="LK_PLASTIK">#REF!</definedName>
    <definedName name="lker20">#REF!</definedName>
    <definedName name="lker30">#REF!</definedName>
    <definedName name="lkerja">#REF!</definedName>
    <definedName name="lkjh" hidden="1">#REF!</definedName>
    <definedName name="lkjn">#N/A</definedName>
    <definedName name="lkmnbv">#N/A</definedName>
    <definedName name="lks">#REF!</definedName>
    <definedName name="LKUP_001">#REF!</definedName>
    <definedName name="LL" hidden="1">{"'Sheet1'!$A$1"}</definedName>
    <definedName name="LL_01">#REF!</definedName>
    <definedName name="LL_02">#REF!</definedName>
    <definedName name="LL_03">#REF!</definedName>
    <definedName name="LL_04">#REF!</definedName>
    <definedName name="LL_05">#REF!</definedName>
    <definedName name="LL_06">#REF!</definedName>
    <definedName name="LL_07">#REF!</definedName>
    <definedName name="LL_08">#REF!</definedName>
    <definedName name="LL_09">#REF!</definedName>
    <definedName name="LL_10">#REF!</definedName>
    <definedName name="llfoeo" hidden="1">#REF!</definedName>
    <definedName name="lljkh">#REF!</definedName>
    <definedName name="lll">#REF!</definedName>
    <definedName name="lllllllk">#REF!</definedName>
    <definedName name="lllllllllllllllllllllllll">#REF!</definedName>
    <definedName name="lluar">#N/A</definedName>
    <definedName name="lm">#REF!</definedName>
    <definedName name="LMAJOR">#REF!</definedName>
    <definedName name="Lmk">#REF!</definedName>
    <definedName name="lmp">#REF!</definedName>
    <definedName name="Lmp_CL_Led12W">'[78]Harga Jasa dan Material'!$D$158</definedName>
    <definedName name="Lmp_DL_4inch_8W">'[78]Harga Jasa dan Material'!$D$162</definedName>
    <definedName name="Lmp_DL_6inch_10W">'[78]Harga Jasa dan Material'!$D$161</definedName>
    <definedName name="Lmp_DL_7inch_16W">'[78]Harga Jasa dan Material'!$D$164</definedName>
    <definedName name="Lmp_RM_30x120">'[78]Harga Jasa dan Material'!$D$159</definedName>
    <definedName name="lmpp" hidden="1">#REF!</definedName>
    <definedName name="LNL">#REF!</definedName>
    <definedName name="LO">#REF!</definedName>
    <definedName name="Lo_apt">#REF!</definedName>
    <definedName name="LOAD">#REF!</definedName>
    <definedName name="LOAD_23">#REF!</definedName>
    <definedName name="LOAD_25">#REF!</definedName>
    <definedName name="LOADED_TOOL">#REF!</definedName>
    <definedName name="LOADER" localSheetId="7">[33]H_Dasar!#REF!</definedName>
    <definedName name="LOADER">#REF!</definedName>
    <definedName name="Loader_Ak">#REF!</definedName>
    <definedName name="loader115">#REF!</definedName>
    <definedName name="loaderwheel80hp">#REF!</definedName>
    <definedName name="LOBBY">#REF!</definedName>
    <definedName name="LOBBY_1">#REF!</definedName>
    <definedName name="LOBBY_1_2">#REF!</definedName>
    <definedName name="LOBBY_1_2_6">#REF!</definedName>
    <definedName name="LOBBY_1_4">#REF!</definedName>
    <definedName name="LOBBY_1_6">#REF!</definedName>
    <definedName name="LOBBY_1_7">#REF!</definedName>
    <definedName name="LOBBY_15">#REF!</definedName>
    <definedName name="LOBBY_15_1">#REF!</definedName>
    <definedName name="LOBBY_15_16">#REF!</definedName>
    <definedName name="LOBBY_15_7">#REF!</definedName>
    <definedName name="LOBBY_16">#REF!</definedName>
    <definedName name="LOBBY_17">#REF!</definedName>
    <definedName name="LOBBY_2">#REF!</definedName>
    <definedName name="LOBBY_2_1">#REF!</definedName>
    <definedName name="LOBBY_2_1_6">#REF!</definedName>
    <definedName name="LOBBY_2_2">#REF!</definedName>
    <definedName name="LOBBY_2_2_6">#REF!</definedName>
    <definedName name="LOBBY_2_4">#REF!</definedName>
    <definedName name="LOBBY_2_5">#REF!</definedName>
    <definedName name="LOBBY_2_6">#REF!</definedName>
    <definedName name="LOBBY_2_7">#REF!</definedName>
    <definedName name="LOBBY_3">#REF!</definedName>
    <definedName name="LOBBY_3_2">#REF!</definedName>
    <definedName name="LOBBY_3_2_6">#REF!</definedName>
    <definedName name="LOBBY_3_4">#REF!</definedName>
    <definedName name="LOBBY_3_5">#REF!</definedName>
    <definedName name="LOBBY_3_6">#REF!</definedName>
    <definedName name="LOBBY_3_7">#REF!</definedName>
    <definedName name="LOBBY_4">#REF!</definedName>
    <definedName name="LOBBY_4_1">#REF!</definedName>
    <definedName name="LOBBY_4_2">#REF!</definedName>
    <definedName name="LOBBY_4_2_6">#REF!</definedName>
    <definedName name="LOBBY_4_4">#REF!</definedName>
    <definedName name="LOBBY_4_6">#REF!</definedName>
    <definedName name="LOBBY_4_7">#REF!</definedName>
    <definedName name="LOBBY_5">#REF!</definedName>
    <definedName name="LOBBY_5_2">#REF!</definedName>
    <definedName name="LOBBY_5_2_6">#REF!</definedName>
    <definedName name="LOBBY_5_4">#REF!</definedName>
    <definedName name="LOBBY_5_6">#REF!</definedName>
    <definedName name="LOBBY_5_7">#REF!</definedName>
    <definedName name="LOBBY_6">#REF!</definedName>
    <definedName name="LOBBY_6_1">#REF!</definedName>
    <definedName name="LOBBY_6_2">#REF!</definedName>
    <definedName name="LOBBY_6_2_6">#REF!</definedName>
    <definedName name="LOBBY_6_4">#REF!</definedName>
    <definedName name="LOBBY_6_6">#REF!</definedName>
    <definedName name="LOBBY_6_7">#REF!</definedName>
    <definedName name="LOBBY_7">#REF!</definedName>
    <definedName name="LOBBY_7_1">#REF!</definedName>
    <definedName name="LOBBY_7_6">#REF!</definedName>
    <definedName name="LOBBY_7_7">#REF!</definedName>
    <definedName name="LOBBY_8">#REF!</definedName>
    <definedName name="LOBBY_9">#REF!</definedName>
    <definedName name="LOBY_A">#REF!</definedName>
    <definedName name="LOBY_B">#REF!</definedName>
    <definedName name="LOBY_BASE">#REF!</definedName>
    <definedName name="LOBY_C">#REF!</definedName>
    <definedName name="loc_b">#REF!</definedName>
    <definedName name="lockset">#REF!</definedName>
    <definedName name="Loco">#REF!</definedName>
    <definedName name="LOK">#REF!</definedName>
    <definedName name="LOK.1">#REF!</definedName>
    <definedName name="LOKASI">#REF!</definedName>
    <definedName name="loker">#REF!</definedName>
    <definedName name="LonstadAlat_sd_PeriodeLalu">#REF!</definedName>
    <definedName name="LonstadBahan_sd_PeriodeLalu">#REF!</definedName>
    <definedName name="LonstadBUL_sd_PeriodeLalu">#REF!</definedName>
    <definedName name="LonstadSUB_sd_PeriodeLalu">#REF!</definedName>
    <definedName name="LonstadUpah_sd_PeriodeLalu">#REF!</definedName>
    <definedName name="loooooooos">#REF!</definedName>
    <definedName name="Los_B">#REF!</definedName>
    <definedName name="LOSTER">#N/A</definedName>
    <definedName name="lp">#REF!</definedName>
    <definedName name="lp.25">#REF!</definedName>
    <definedName name="lp_1050">#REF!</definedName>
    <definedName name="lp100nb">#REF!</definedName>
    <definedName name="lp36nb">#REF!</definedName>
    <definedName name="LPA_Minor">#REF!</definedName>
    <definedName name="LPAA">#REF!</definedName>
    <definedName name="LPB_Minor">#REF!</definedName>
    <definedName name="LPBC">#REF!</definedName>
    <definedName name="LPG">#REF!</definedName>
    <definedName name="LPjr18">#REF!</definedName>
    <definedName name="LR">#REF!</definedName>
    <definedName name="lrev">#REF!</definedName>
    <definedName name="LRP">'[156]1b.bill'!#REF!</definedName>
    <definedName name="ls">#REF!</definedName>
    <definedName name="lsc">#REF!</definedName>
    <definedName name="lt">#N/A</definedName>
    <definedName name="Lt_Kerja135">#REF!</definedName>
    <definedName name="lt1smp">#REF!</definedName>
    <definedName name="lt1smu">#REF!</definedName>
    <definedName name="lt2smp">#REF!</definedName>
    <definedName name="lt2smu">#REF!</definedName>
    <definedName name="lt3smp">#REF!</definedName>
    <definedName name="lt3smu">#REF!</definedName>
    <definedName name="lta">#REF!</definedName>
    <definedName name="ltatapsmp">#REF!</definedName>
    <definedName name="ltatapsmu">#REF!</definedName>
    <definedName name="ltb_2020">#REF!</definedName>
    <definedName name="ltbatucandi">#REF!</definedName>
    <definedName name="ltdasarsmp">#REF!</definedName>
    <definedName name="ltdasarsmu">#REF!</definedName>
    <definedName name="ltkamarmandi">#REF!</definedName>
    <definedName name="ltkerja">#REF!</definedName>
    <definedName name="ltstrsmp">#REF!</definedName>
    <definedName name="Luar">#REF!</definedName>
    <definedName name="luas">"$#REF!.$S$33"</definedName>
    <definedName name="luas_a">#REF!</definedName>
    <definedName name="luas_atapmetal">#REF!</definedName>
    <definedName name="Luas_Bangunan">#REF!</definedName>
    <definedName name="Luas_Bangunan_1">#REF!</definedName>
    <definedName name="Luas_Bangunan_2">#REF!</definedName>
    <definedName name="Luas_Bangunan_2_1">#REF!</definedName>
    <definedName name="Luas_Bangunan_3">#REF!</definedName>
    <definedName name="Luas_Bangunan_3_2">#REF!</definedName>
    <definedName name="Luas_Bangunan_3_4">#REF!</definedName>
    <definedName name="Luas_Bangunan_3_6">#REF!</definedName>
    <definedName name="Luas_Bangunan_3_7">#REF!</definedName>
    <definedName name="Luas_Bangunan_4">#REF!</definedName>
    <definedName name="Luas_Bangunan_4_1">#REF!</definedName>
    <definedName name="Luas_Bangunan_4_2">#REF!</definedName>
    <definedName name="Luas_Bangunan_4_4">#REF!</definedName>
    <definedName name="Luas_Bangunan_4_6">#REF!</definedName>
    <definedName name="Luas_Bangunan_4_7">#REF!</definedName>
    <definedName name="Luas_Bangunan_5">#REF!</definedName>
    <definedName name="Luas_Bangunan_5_2">#REF!</definedName>
    <definedName name="Luas_Bangunan_5_4">#REF!</definedName>
    <definedName name="Luas_Bangunan_5_6">#REF!</definedName>
    <definedName name="Luas_Bangunan_5_7">#REF!</definedName>
    <definedName name="Luas_Bangunan_6">#REF!</definedName>
    <definedName name="Luas_Bangunan_6_1">#REF!</definedName>
    <definedName name="Luas_Bangunan_6_2">#REF!</definedName>
    <definedName name="Luas_Bangunan_6_4">#REF!</definedName>
    <definedName name="Luas_Bangunan_6_6">#REF!</definedName>
    <definedName name="Luas_Bangunan_6_7">#REF!</definedName>
    <definedName name="Luas_Bangunan_7">#REF!</definedName>
    <definedName name="Luas_Bangunan_7_1">#REF!</definedName>
    <definedName name="luas_s">#REF!</definedName>
    <definedName name="Luas_tripleks">#REF!</definedName>
    <definedName name="luasars">#REF!</definedName>
    <definedName name="luasbaja">#REF!</definedName>
    <definedName name="luaslantai1">#REF!</definedName>
    <definedName name="luasstr">#REF!</definedName>
    <definedName name="LUASTOTAL">#REF!</definedName>
    <definedName name="lulukSulistjowati">#REF!</definedName>
    <definedName name="lux">#REF!</definedName>
    <definedName name="lw526j">#REF!</definedName>
    <definedName name="ly">[80]DHSD!$G$13</definedName>
    <definedName name="m">#REF!</definedName>
    <definedName name="M.010">#REF!</definedName>
    <definedName name="M.011">#REF!</definedName>
    <definedName name="M.012">#REF!</definedName>
    <definedName name="M.0121">#REF!</definedName>
    <definedName name="M.0122">#REF!</definedName>
    <definedName name="M.013">#REF!</definedName>
    <definedName name="M.014">#REF!</definedName>
    <definedName name="M.021">#REF!</definedName>
    <definedName name="M.022">#REF!</definedName>
    <definedName name="M.023">#REF!</definedName>
    <definedName name="M.024">#REF!</definedName>
    <definedName name="M.025">#REF!</definedName>
    <definedName name="M.026">#REF!</definedName>
    <definedName name="M.031">#REF!</definedName>
    <definedName name="M.033">#REF!</definedName>
    <definedName name="M.035">#REF!</definedName>
    <definedName name="M.040">#REF!</definedName>
    <definedName name="M.041">#REF!</definedName>
    <definedName name="M.050">#REF!</definedName>
    <definedName name="M.061">#REF!</definedName>
    <definedName name="M.062">#REF!</definedName>
    <definedName name="M.063">#REF!</definedName>
    <definedName name="M.064">#REF!</definedName>
    <definedName name="M.065">#REF!</definedName>
    <definedName name="M.070">#REF!</definedName>
    <definedName name="M.081">#REF!</definedName>
    <definedName name="M.082">#REF!</definedName>
    <definedName name="M.090">#REF!</definedName>
    <definedName name="M.161">#REF!</definedName>
    <definedName name="M.162">#REF!</definedName>
    <definedName name="M.163">#REF!</definedName>
    <definedName name="M.164">#REF!</definedName>
    <definedName name="M.165">#REF!</definedName>
    <definedName name="M.166">#REF!</definedName>
    <definedName name="M.167">#REF!</definedName>
    <definedName name="M.168">#REF!</definedName>
    <definedName name="M.180">#REF!</definedName>
    <definedName name="M.181">#REF!</definedName>
    <definedName name="M.183">#REF!</definedName>
    <definedName name="M.184">#REF!</definedName>
    <definedName name="M.185">#REF!</definedName>
    <definedName name="m.2">#REF!</definedName>
    <definedName name="m.6">#REF!</definedName>
    <definedName name="M.6.35">#REF!</definedName>
    <definedName name="M.6.36">#REF!</definedName>
    <definedName name="M.6.39">#REF!</definedName>
    <definedName name="M.6.54">#REF!</definedName>
    <definedName name="m_0.4">[121]HDasar!$H$26</definedName>
    <definedName name="m_010">#REF!</definedName>
    <definedName name="M_013">#REF!</definedName>
    <definedName name="m_014">#REF!</definedName>
    <definedName name="M_020">#REF!</definedName>
    <definedName name="m_021">#REF!</definedName>
    <definedName name="m_022">#REF!</definedName>
    <definedName name="m_023">#REF!</definedName>
    <definedName name="M_023A">#REF!</definedName>
    <definedName name="m_024">#REF!</definedName>
    <definedName name="M_024A">#REF!</definedName>
    <definedName name="m_025">#REF!</definedName>
    <definedName name="M_025A">#REF!</definedName>
    <definedName name="m_026">#REF!</definedName>
    <definedName name="m_031">#REF!</definedName>
    <definedName name="m_033">#REF!</definedName>
    <definedName name="M_040">#REF!</definedName>
    <definedName name="M_041">#REF!</definedName>
    <definedName name="M_050">#REF!</definedName>
    <definedName name="M_061">#REF!</definedName>
    <definedName name="M_062">#REF!</definedName>
    <definedName name="M_065">#REF!</definedName>
    <definedName name="M_070">#REF!</definedName>
    <definedName name="M_080">#REF!</definedName>
    <definedName name="M_081">#REF!</definedName>
    <definedName name="M_090">#REF!</definedName>
    <definedName name="M_091">#REF!</definedName>
    <definedName name="m_1">[95]satuan_pek_ars!#REF!</definedName>
    <definedName name="M_100">#REF!</definedName>
    <definedName name="m_106">#REF!</definedName>
    <definedName name="M_12">#REF!</definedName>
    <definedName name="M_161">#REF!</definedName>
    <definedName name="M_162">#REF!</definedName>
    <definedName name="M_163">#REF!</definedName>
    <definedName name="M_164">#REF!</definedName>
    <definedName name="M_165">#REF!</definedName>
    <definedName name="M_166">#REF!</definedName>
    <definedName name="M_167">#REF!</definedName>
    <definedName name="M_168">#REF!</definedName>
    <definedName name="M_170">#REF!</definedName>
    <definedName name="M_180">#REF!</definedName>
    <definedName name="M_181">#REF!</definedName>
    <definedName name="M_183">#REF!</definedName>
    <definedName name="M_184">#REF!</definedName>
    <definedName name="M_185">#REF!</definedName>
    <definedName name="M_186">#REF!</definedName>
    <definedName name="M_188">#REF!</definedName>
    <definedName name="m_2">[95]satuan_pek_ars!#REF!</definedName>
    <definedName name="m_3">[95]satuan_pek_ars!#REF!</definedName>
    <definedName name="m_3030">[69]harsat!$H$48</definedName>
    <definedName name="m_4">[95]satuan_pek_ars!#REF!</definedName>
    <definedName name="M_5">#REF!</definedName>
    <definedName name="m_6060">[69]harsat!$H$47</definedName>
    <definedName name="m_9090">[69]harsat!$H$49</definedName>
    <definedName name="m_aci">#REF!</definedName>
    <definedName name="m_ACP">#REF!</definedName>
    <definedName name="m_alat">#REF!</definedName>
    <definedName name="m_alum2">#REF!</definedName>
    <definedName name="m_baja">#REF!</definedName>
    <definedName name="m_bata_merah">#REF!</definedName>
    <definedName name="m_bata_ringan">#REF!</definedName>
    <definedName name="m_Bekisting">#REF!</definedName>
    <definedName name="m_besi_beton">#REF!</definedName>
    <definedName name="m_bhn">#REF!</definedName>
    <definedName name="m_borepile">#REF!</definedName>
    <definedName name="m_c">[95]satuan_pek_ars!#REF!</definedName>
    <definedName name="m_carpet">#REF!</definedName>
    <definedName name="m_cat">#REF!</definedName>
    <definedName name="m_curtain_wall">#REF!</definedName>
    <definedName name="m_d">[95]satuan_pek_ars!#REF!</definedName>
    <definedName name="m_dewatering">#REF!</definedName>
    <definedName name="m_e">[95]satuan_pek_ars!#REF!</definedName>
    <definedName name="m_fee_management">#REF!</definedName>
    <definedName name="m_fee_SBO">#REF!</definedName>
    <definedName name="m_gaji">#REF!</definedName>
    <definedName name="m_grc">#REF!</definedName>
    <definedName name="m_HT">#REF!</definedName>
    <definedName name="m_Integral">#REF!</definedName>
    <definedName name="m_interior">#REF!</definedName>
    <definedName name="m_kaca">#REF!</definedName>
    <definedName name="m_keramik">#REF!</definedName>
    <definedName name="m_landscape">#REF!</definedName>
    <definedName name="m_lav6001000">[31]SENTUL!#REF!</definedName>
    <definedName name="m_lav6001100">[31]SENTUL!#REF!</definedName>
    <definedName name="m_lav6001700">[31]SENTUL!#REF!</definedName>
    <definedName name="m_lav6002000">[31]SENTUL!#REF!</definedName>
    <definedName name="m_marmer">#REF!</definedName>
    <definedName name="m_mep">#REF!</definedName>
    <definedName name="m_mobdemob">#REF!</definedName>
    <definedName name="m_nat">#REF!</definedName>
    <definedName name="m_pancang">#REF!</definedName>
    <definedName name="m_parquet">#REF!</definedName>
    <definedName name="m_paving">#REF!</definedName>
    <definedName name="m_pcrate">#REF!</definedName>
    <definedName name="m_pintu_alumunium">#REF!</definedName>
    <definedName name="m_pintu_besi">#REF!</definedName>
    <definedName name="m_pintu_kayu">#REF!</definedName>
    <definedName name="m_pkl">#REF!</definedName>
    <definedName name="m_pl">#REF!</definedName>
    <definedName name="m_plafond">#REF!</definedName>
    <definedName name="m_precast_beton">#REF!</definedName>
    <definedName name="m_prelim">#REF!</definedName>
    <definedName name="m_profit">#REF!</definedName>
    <definedName name="m_railling">#REF!</definedName>
    <definedName name="m_readymix_beton">#REF!</definedName>
    <definedName name="M_RP">#REF!</definedName>
    <definedName name="m_sanitair">#REF!</definedName>
    <definedName name="m_semen_instant">#REF!</definedName>
    <definedName name="m_signage">#REF!</definedName>
    <definedName name="m_subkon">#REF!</definedName>
    <definedName name="M_UP">[157]Elektrikal!#REF!</definedName>
    <definedName name="m_upah">#REF!</definedName>
    <definedName name="M_US">#REF!</definedName>
    <definedName name="m_waterproofing">#REF!</definedName>
    <definedName name="m_wiremesh">#REF!</definedName>
    <definedName name="M061A">#REF!</definedName>
    <definedName name="M1.18">#REF!</definedName>
    <definedName name="m102bnnc">'[18]lam-moi'!#REF!</definedName>
    <definedName name="m102bnvl">'[18]lam-moi'!#REF!</definedName>
    <definedName name="M10aa1p">#REF!</definedName>
    <definedName name="m10aamtc">'[18]t-h HA THE'!#REF!</definedName>
    <definedName name="m10aanc">'[18]lam-moi'!#REF!</definedName>
    <definedName name="m10aavl">'[18]lam-moi'!#REF!</definedName>
    <definedName name="m10anc">'[18]lam-moi'!#REF!</definedName>
    <definedName name="m10avl">'[18]lam-moi'!#REF!</definedName>
    <definedName name="m10banc">'[18]lam-moi'!#REF!</definedName>
    <definedName name="m10bavl">'[18]lam-moi'!#REF!</definedName>
    <definedName name="m122bnnc">'[18]lam-moi'!#REF!</definedName>
    <definedName name="m122bnvl">'[18]lam-moi'!#REF!</definedName>
    <definedName name="m12aanc">'[18]lam-moi'!#REF!</definedName>
    <definedName name="m12aavl">'[18]lam-moi'!#REF!</definedName>
    <definedName name="m12anc">'[18]lam-moi'!#REF!</definedName>
    <definedName name="m12avl">'[18]lam-moi'!#REF!</definedName>
    <definedName name="M12ba3p">#REF!</definedName>
    <definedName name="m12banc">'[18]lam-moi'!#REF!</definedName>
    <definedName name="m12bavl">'[18]lam-moi'!#REF!</definedName>
    <definedName name="M12bb1p">#REF!</definedName>
    <definedName name="m12bbnc">'[18]lam-moi'!#REF!</definedName>
    <definedName name="m12bbvl">'[18]lam-moi'!#REF!</definedName>
    <definedName name="M12bnnc">'[18]#REF'!#REF!</definedName>
    <definedName name="M12bnvl">'[18]#REF'!#REF!</definedName>
    <definedName name="M12cbnc">#REF!</definedName>
    <definedName name="M12cbvl">#REF!</definedName>
    <definedName name="M12L">[39]Elektronik!#REF!</definedName>
    <definedName name="m142bnnc">'[18]lam-moi'!#REF!</definedName>
    <definedName name="m142bnvl">'[18]lam-moi'!#REF!</definedName>
    <definedName name="M14bb1p">#REF!</definedName>
    <definedName name="m14bbnc">'[18]lam-moi'!#REF!</definedName>
    <definedName name="M14bbvc">'[18]CHITIET VL-NC-TT -1p'!#REF!</definedName>
    <definedName name="m14bbvl">'[18]lam-moi'!#REF!</definedName>
    <definedName name="M1H1">#REF!</definedName>
    <definedName name="M2.02">#REF!</definedName>
    <definedName name="M3.08_1_">#REF!</definedName>
    <definedName name="M3.08_8_">#REF!</definedName>
    <definedName name="M5.01">#REF!</definedName>
    <definedName name="M6.02_1_">#REF!</definedName>
    <definedName name="M6.02_2_">#REF!</definedName>
    <definedName name="M6.05">#REF!</definedName>
    <definedName name="M7.07_2_">#REF!</definedName>
    <definedName name="M7.08_2_">#REF!</definedName>
    <definedName name="M7.08_3_">#REF!</definedName>
    <definedName name="M7.09">#REF!</definedName>
    <definedName name="M7.10_2_">#REF!</definedName>
    <definedName name="M8.01_9_">#REF!</definedName>
    <definedName name="M8.02_13_">#REF!</definedName>
    <definedName name="M8.02_21_A">#REF!</definedName>
    <definedName name="M8.02_4_">#REF!</definedName>
    <definedName name="M8.03_1_">#REF!</definedName>
    <definedName name="M8.03_2_A">#REF!</definedName>
    <definedName name="M8.03_4_A">#REF!</definedName>
    <definedName name="M8.05_2_">#REF!</definedName>
    <definedName name="M8a">'[18]THPDMoi  (2)'!#REF!</definedName>
    <definedName name="M8aa">'[18]THPDMoi  (2)'!#REF!</definedName>
    <definedName name="m8aanc">#REF!</definedName>
    <definedName name="m8aavl">#REF!</definedName>
    <definedName name="m8amtc">'[18]t-h HA THE'!#REF!</definedName>
    <definedName name="m8anc">'[18]lam-moi'!#REF!</definedName>
    <definedName name="m8avl">'[18]lam-moi'!#REF!</definedName>
    <definedName name="M9.02">#REF!</definedName>
    <definedName name="M9.05_1_">#REF!</definedName>
    <definedName name="M9.09_1_">#REF!</definedName>
    <definedName name="ma">#REF!</definedName>
    <definedName name="ma3.240">#REF!</definedName>
    <definedName name="Ma3pnc">#REF!</definedName>
    <definedName name="Ma3pvl">#REF!</definedName>
    <definedName name="Maa3pnc">#REF!</definedName>
    <definedName name="Maa3pvl">#REF!</definedName>
    <definedName name="mabor">#REF!</definedName>
    <definedName name="Macadam">#N/A</definedName>
    <definedName name="madat">#REF!</definedName>
    <definedName name="mager">#REF!</definedName>
    <definedName name="magersel">#REF!</definedName>
    <definedName name="magne">#REF!</definedName>
    <definedName name="MAHKOTAGRC">#REF!</definedName>
    <definedName name="Mahony">#N/A</definedName>
    <definedName name="MAINTENANCE">#REF!</definedName>
    <definedName name="MAJOR">#REF!</definedName>
    <definedName name="MAKADAM">#REF!</definedName>
    <definedName name="makan">[75]GAJI!$AA$45</definedName>
    <definedName name="make">#REF!</definedName>
    <definedName name="mal">#REF!</definedName>
    <definedName name="malas">#REF!</definedName>
    <definedName name="malat">#REF!</definedName>
    <definedName name="mall">#REF!</definedName>
    <definedName name="malum">#REF!</definedName>
    <definedName name="man">#REF!</definedName>
    <definedName name="mand">#REF!</definedName>
    <definedName name="mandor">#REF!</definedName>
    <definedName name="MANDOR_23">#REF!</definedName>
    <definedName name="MANDOR_25">#REF!</definedName>
    <definedName name="MANDOR33">#REF!</definedName>
    <definedName name="MANDOR521">#REF!</definedName>
    <definedName name="MANDOR753">#REF!</definedName>
    <definedName name="mandr">#REF!</definedName>
    <definedName name="manhole">#REF!</definedName>
    <definedName name="Manhole1">#REF!</definedName>
    <definedName name="Manual_call">[39]Elektronik!#REF!</definedName>
    <definedName name="mar">#REF!</definedName>
    <definedName name="MARGA2">#REF!</definedName>
    <definedName name="margaluyu">#REF!</definedName>
    <definedName name="mark">#REF!</definedName>
    <definedName name="mark_up">#REF!</definedName>
    <definedName name="mark_up_1">#REF!</definedName>
    <definedName name="mark_up_16">#REF!</definedName>
    <definedName name="mark_up_2">#REF!</definedName>
    <definedName name="mark_up_2_1">#REF!</definedName>
    <definedName name="mark_up_2_1_6">#REF!</definedName>
    <definedName name="mark_up_2_6">#REF!</definedName>
    <definedName name="mark_up_2_7">#REF!</definedName>
    <definedName name="mark_up_3">#REF!</definedName>
    <definedName name="mark_up_3_4">#REF!</definedName>
    <definedName name="mark_up_3_6">#REF!</definedName>
    <definedName name="mark_up_3_7">#REF!</definedName>
    <definedName name="mark_up_4">#REF!</definedName>
    <definedName name="mark_up_4_1">#REF!</definedName>
    <definedName name="mark_up_4_2">#REF!</definedName>
    <definedName name="mark_up_4_2_6">#REF!</definedName>
    <definedName name="mark_up_4_4">#REF!</definedName>
    <definedName name="mark_up_4_6">#REF!</definedName>
    <definedName name="mark_up_4_7">#REF!</definedName>
    <definedName name="mark_up_5">#REF!</definedName>
    <definedName name="mark_up_5_2">#REF!</definedName>
    <definedName name="mark_up_5_2_6">#REF!</definedName>
    <definedName name="mark_up_5_4">#REF!</definedName>
    <definedName name="mark_up_5_6">#REF!</definedName>
    <definedName name="mark_up_5_7">#REF!</definedName>
    <definedName name="mark_up_6">#REF!</definedName>
    <definedName name="mark_up_6_1">#REF!</definedName>
    <definedName name="mark_up_6_4">#REF!</definedName>
    <definedName name="mark_up_6_6">#REF!</definedName>
    <definedName name="mark_up_6_7">#REF!</definedName>
    <definedName name="mark_up_7">#REF!</definedName>
    <definedName name="Mark_UpA">#REF!</definedName>
    <definedName name="Mark_UpB">#REF!</definedName>
    <definedName name="marka">#REF!</definedName>
    <definedName name="Marka_Jln">#REF!</definedName>
    <definedName name="markalat">#REF!</definedName>
    <definedName name="markbahan">#REF!</definedName>
    <definedName name="markbaja">#REF!</definedName>
    <definedName name="markbesi">#REF!</definedName>
    <definedName name="markbeton">#REF!</definedName>
    <definedName name="markdolar">#REF!</definedName>
    <definedName name="markelec">#REF!</definedName>
    <definedName name="Marketing">#REF!</definedName>
    <definedName name="MarketingBaru">#REF!</definedName>
    <definedName name="markidc">#REF!</definedName>
    <definedName name="markkonsul">#REF!</definedName>
    <definedName name="markls">#REF!</definedName>
    <definedName name="markmech">#REF!</definedName>
    <definedName name="markmember1">#REF!</definedName>
    <definedName name="markmember2">#REF!</definedName>
    <definedName name="markpabrik">#REF!</definedName>
    <definedName name="markpancang">#REF!</definedName>
    <definedName name="marksemen">#REF!</definedName>
    <definedName name="marksub">#REF!</definedName>
    <definedName name="marku">#REF!</definedName>
    <definedName name="MARKUP">#REF!</definedName>
    <definedName name="MARKUP_1">#REF!</definedName>
    <definedName name="MARKUP_2">#REF!</definedName>
    <definedName name="MARKUP_2_1">#REF!</definedName>
    <definedName name="MARKUP_2_1_6">#REF!</definedName>
    <definedName name="MARKUP_2_6">#REF!</definedName>
    <definedName name="MARKUP_3">#REF!</definedName>
    <definedName name="MARKUP_3_2">#REF!</definedName>
    <definedName name="MARKUP_3_2_6">#REF!</definedName>
    <definedName name="MARKUP_3_4">#REF!</definedName>
    <definedName name="MARKUP_3_6">#REF!</definedName>
    <definedName name="MARKUP_3_7">#REF!</definedName>
    <definedName name="MARKUP_4">#REF!</definedName>
    <definedName name="MARKUP_4_1">#REF!</definedName>
    <definedName name="MARKUP_4_2">#REF!</definedName>
    <definedName name="MARKUP_4_2_6">#REF!</definedName>
    <definedName name="MARKUP_4_4">#REF!</definedName>
    <definedName name="MARKUP_4_6">#REF!</definedName>
    <definedName name="MARKUP_4_7">#REF!</definedName>
    <definedName name="MARKUP_5">#REF!</definedName>
    <definedName name="MARKUP_5_2">#REF!</definedName>
    <definedName name="MARKUP_5_2_6">#REF!</definedName>
    <definedName name="MARKUP_5_4">#REF!</definedName>
    <definedName name="MARKUP_5_6">#REF!</definedName>
    <definedName name="MARKUP_5_7">#REF!</definedName>
    <definedName name="MARKUP_6">#REF!</definedName>
    <definedName name="MARKUP_6_1">#REF!</definedName>
    <definedName name="MARKUP_6_2">#REF!</definedName>
    <definedName name="MARKUP_6_2_6">#REF!</definedName>
    <definedName name="MARKUP_6_4">#REF!</definedName>
    <definedName name="MARKUP_6_6">#REF!</definedName>
    <definedName name="MARKUP_6_7">#REF!</definedName>
    <definedName name="MARKUP_7">#REF!</definedName>
    <definedName name="MARKUP_7_1">#REF!</definedName>
    <definedName name="MARKUP_7_6">#REF!</definedName>
    <definedName name="MARKUP_7_7">#REF!</definedName>
    <definedName name="Markup_Pek">#REF!</definedName>
    <definedName name="MARKUP_RP">#REF!</definedName>
    <definedName name="markup_STR">#REF!</definedName>
    <definedName name="Markup_Upah">#REF!</definedName>
    <definedName name="MARKUP_US">#REF!</definedName>
    <definedName name="markupah">#REF!</definedName>
    <definedName name="markupSTR">#REF!</definedName>
    <definedName name="MARM">#REF!</definedName>
    <definedName name="marmer">#REF!</definedName>
    <definedName name="marmer_40_60">#REF!</definedName>
    <definedName name="marmer_60_60">#REF!</definedName>
    <definedName name="marmer60ddbasah">#REF!</definedName>
    <definedName name="marmerlt">#REF!</definedName>
    <definedName name="marmerml">[71]harsat!#REF!</definedName>
    <definedName name="marmerujungpandang">#REF!</definedName>
    <definedName name="mars">#REF!</definedName>
    <definedName name="MAS">#REF!</definedName>
    <definedName name="MAS.01">#REF!</definedName>
    <definedName name="MAS.01B">#REF!</definedName>
    <definedName name="MAS.01G">#REF!</definedName>
    <definedName name="MAS.02">#REF!</definedName>
    <definedName name="MAS.02B">#REF!</definedName>
    <definedName name="MAS.02G">#REF!</definedName>
    <definedName name="MAS.03">#REF!</definedName>
    <definedName name="MAS.03B">#REF!</definedName>
    <definedName name="MAS.03G">#REF!</definedName>
    <definedName name="MAS.04">#REF!</definedName>
    <definedName name="MAS.04B">#REF!</definedName>
    <definedName name="MAS.04G">#REF!</definedName>
    <definedName name="MAS.05">#REF!</definedName>
    <definedName name="MAS.05B">#REF!</definedName>
    <definedName name="MAS.05G">#REF!</definedName>
    <definedName name="MAS.06">#REF!</definedName>
    <definedName name="MAS.06B">#REF!</definedName>
    <definedName name="MAS.06G">#REF!</definedName>
    <definedName name="MAS.07">#REF!</definedName>
    <definedName name="MAS.07B">#REF!</definedName>
    <definedName name="MAS.07G">#REF!</definedName>
    <definedName name="MAS.08">#REF!</definedName>
    <definedName name="MAS.08B">#REF!</definedName>
    <definedName name="MAS.08G">#REF!</definedName>
    <definedName name="MAS.09">#REF!</definedName>
    <definedName name="MAS.09B">#REF!</definedName>
    <definedName name="MAS.09G">#REF!</definedName>
    <definedName name="MAS.10">#REF!</definedName>
    <definedName name="MAS.10B">#REF!</definedName>
    <definedName name="MAS.10G">#REF!</definedName>
    <definedName name="MAS.11">#REF!</definedName>
    <definedName name="MAS.11B">#REF!</definedName>
    <definedName name="MAS.11G">#REF!</definedName>
    <definedName name="MAS.12">#REF!</definedName>
    <definedName name="MAS.12B">#REF!</definedName>
    <definedName name="MAS.12G">#REF!</definedName>
    <definedName name="MAS.13">#REF!</definedName>
    <definedName name="MAS.13B">#REF!</definedName>
    <definedName name="MAS.13G">#REF!</definedName>
    <definedName name="MasaPelaks">#REF!</definedName>
    <definedName name="MasaPemel">#REF!</definedName>
    <definedName name="MASASA">#N/A</definedName>
    <definedName name="masinis">#REF!</definedName>
    <definedName name="masjid">#REF!</definedName>
    <definedName name="masrur">#REF!</definedName>
    <definedName name="MASUK">#N/A</definedName>
    <definedName name="mat">#REF!</definedName>
    <definedName name="MAT.01">#REF!</definedName>
    <definedName name="MAT.01B">#REF!</definedName>
    <definedName name="MAT.01G">#REF!</definedName>
    <definedName name="MAT.02">#REF!</definedName>
    <definedName name="MAT.02B">#REF!</definedName>
    <definedName name="MAT.02G">#REF!</definedName>
    <definedName name="MAT.03">#REF!</definedName>
    <definedName name="MAT.03B">#REF!</definedName>
    <definedName name="MAT.03G">#REF!</definedName>
    <definedName name="MAT.04">#REF!</definedName>
    <definedName name="MAT.04B">#REF!</definedName>
    <definedName name="MAT.04G">#REF!</definedName>
    <definedName name="MAT.05">#REF!</definedName>
    <definedName name="MAT.05B">#REF!</definedName>
    <definedName name="MAT.05G">#REF!</definedName>
    <definedName name="MAT.06">#REF!</definedName>
    <definedName name="MAT.06B">#REF!</definedName>
    <definedName name="MAT.06G">#REF!</definedName>
    <definedName name="MAT.07">#REF!</definedName>
    <definedName name="MAT.07B">#REF!</definedName>
    <definedName name="MAT.07G">#REF!</definedName>
    <definedName name="MAT.08">#REF!</definedName>
    <definedName name="MAT.08B">#REF!</definedName>
    <definedName name="MAT.08G">#REF!</definedName>
    <definedName name="MAT.09">#REF!</definedName>
    <definedName name="MAT.09B">#REF!</definedName>
    <definedName name="MAT.09G">#REF!</definedName>
    <definedName name="MAT.10">#REF!</definedName>
    <definedName name="MAT.10B">#REF!</definedName>
    <definedName name="MAT.10G">#REF!</definedName>
    <definedName name="MAT.11">#REF!</definedName>
    <definedName name="MAT.11B">#REF!</definedName>
    <definedName name="MAT.11G">#REF!</definedName>
    <definedName name="MAT.12">#REF!</definedName>
    <definedName name="MAT.12B">#REF!</definedName>
    <definedName name="MAT.12G">#REF!</definedName>
    <definedName name="MAT.13">#REF!</definedName>
    <definedName name="MAT.13B">#REF!</definedName>
    <definedName name="MAT.13G">#REF!</definedName>
    <definedName name="MAT.14">#REF!</definedName>
    <definedName name="MAT.14B">#REF!</definedName>
    <definedName name="MAT.14G">#REF!</definedName>
    <definedName name="MAT.15">#REF!</definedName>
    <definedName name="MAT.15B">#REF!</definedName>
    <definedName name="MAT.15G">#REF!</definedName>
    <definedName name="MAT.16">#REF!</definedName>
    <definedName name="MAT.16B">#REF!</definedName>
    <definedName name="MAT.16G">#REF!</definedName>
    <definedName name="MAT.17">#REF!</definedName>
    <definedName name="MAT.17B">#REF!</definedName>
    <definedName name="MAT.17G">#REF!</definedName>
    <definedName name="MAT.18">#REF!</definedName>
    <definedName name="MAT.18B">#REF!</definedName>
    <definedName name="MAT.18G">#REF!</definedName>
    <definedName name="mat_1">#REF!</definedName>
    <definedName name="mat_2">#REF!</definedName>
    <definedName name="mat_2_1">#REF!</definedName>
    <definedName name="mat_3">#REF!</definedName>
    <definedName name="mat_3_2">#REF!</definedName>
    <definedName name="mat_3_4">#REF!</definedName>
    <definedName name="mat_3_6">#REF!</definedName>
    <definedName name="mat_3_7">#REF!</definedName>
    <definedName name="mat_4">#REF!</definedName>
    <definedName name="mat_4_1">#REF!</definedName>
    <definedName name="mat_4_2">#REF!</definedName>
    <definedName name="mat_4_4">#REF!</definedName>
    <definedName name="mat_4_6">#REF!</definedName>
    <definedName name="mat_4_7">#REF!</definedName>
    <definedName name="mat_5">#REF!</definedName>
    <definedName name="mat_5_2">#REF!</definedName>
    <definedName name="mat_5_4">#REF!</definedName>
    <definedName name="mat_5_6">#REF!</definedName>
    <definedName name="mat_5_7">#REF!</definedName>
    <definedName name="mat_6">#REF!</definedName>
    <definedName name="mat_6_1">#REF!</definedName>
    <definedName name="mat_6_2">#REF!</definedName>
    <definedName name="mat_6_4">#REF!</definedName>
    <definedName name="mat_6_6">#REF!</definedName>
    <definedName name="mat_6_7">#REF!</definedName>
    <definedName name="mat_7">#REF!</definedName>
    <definedName name="mat_7_1">#REF!</definedName>
    <definedName name="mat_on_site">#REF!</definedName>
    <definedName name="Mata_bor">#REF!</definedName>
    <definedName name="Mata_gergaji">#REF!</definedName>
    <definedName name="MATAKUCING" localSheetId="7">[33]H_Dasar!#REF!</definedName>
    <definedName name="MATAKUCING">[33]H_Dasar!#REF!</definedName>
    <definedName name="MATERIAL" localSheetId="7">'[37]Harga Alat'!#REF!</definedName>
    <definedName name="MATERIAL">#REF!</definedName>
    <definedName name="Material_List">#REF!</definedName>
    <definedName name="MATERIAL_RP">#REF!</definedName>
    <definedName name="MATERIAL_US">#REF!</definedName>
    <definedName name="Material1">#REF!</definedName>
    <definedName name="material2">#REF!</definedName>
    <definedName name="matger">#REF!</definedName>
    <definedName name="matim">#REF!</definedName>
    <definedName name="MATKLASA">#REF!</definedName>
    <definedName name="MATL_A02B">#N/A</definedName>
    <definedName name="MATL_A03">#REF!</definedName>
    <definedName name="matlaut">#REF!</definedName>
    <definedName name="matoa">#REF!</definedName>
    <definedName name="matrix">#REF!</definedName>
    <definedName name="matv">#REF!</definedName>
    <definedName name="MAX">#REF!</definedName>
    <definedName name="mb">#REF!</definedName>
    <definedName name="MB01A">#REF!</definedName>
    <definedName name="Mba1p">#REF!</definedName>
    <definedName name="Mba3p">#REF!</definedName>
    <definedName name="mbahan">#REF!</definedName>
    <definedName name="mbaja">#REF!</definedName>
    <definedName name="mbaja_6">#REF!</definedName>
    <definedName name="mbak">#REF!</definedName>
    <definedName name="mbb">#REF!</definedName>
    <definedName name="mbb_6">#REF!</definedName>
    <definedName name="Mbb3p">#REF!</definedName>
    <definedName name="mbbek">#REF!</definedName>
    <definedName name="mbbek_6">#REF!</definedName>
    <definedName name="MBBESI">#REF!</definedName>
    <definedName name="MBBESI_6">#REF!</definedName>
    <definedName name="mbbrick">#REF!</definedName>
    <definedName name="mbbrick_6">#REF!</definedName>
    <definedName name="mbbwat">#REF!</definedName>
    <definedName name="mbbwat_6">#REF!</definedName>
    <definedName name="mbekbal">#REF!</definedName>
    <definedName name="mbekmult">#REF!</definedName>
    <definedName name="mbekpan">#REF!</definedName>
    <definedName name="mbesi">#REF!</definedName>
    <definedName name="mbesi_6">#REF!</definedName>
    <definedName name="Mbeton">#N/A</definedName>
    <definedName name="mbg">#REF!</definedName>
    <definedName name="mbhn">#REF!</definedName>
    <definedName name="mbhn_6">#REF!</definedName>
    <definedName name="mbhn2">#REF!</definedName>
    <definedName name="MBHNQ">'[40]Har-mat'!#REF!</definedName>
    <definedName name="mbhnstr">#REF!</definedName>
    <definedName name="mbi">[136]harsat!$H$37</definedName>
    <definedName name="MBK.01">#REF!</definedName>
    <definedName name="MBK.01B">#REF!</definedName>
    <definedName name="MBK.01G">#REF!</definedName>
    <definedName name="MBK.02">#REF!</definedName>
    <definedName name="MBK.02B">#REF!</definedName>
    <definedName name="MBK.02G">#REF!</definedName>
    <definedName name="MBK.03">#REF!</definedName>
    <definedName name="MBK.03B">#REF!</definedName>
    <definedName name="MBK.03G">#REF!</definedName>
    <definedName name="MBK.04">#REF!</definedName>
    <definedName name="MBK.04B">#REF!</definedName>
    <definedName name="MBK.04G">#REF!</definedName>
    <definedName name="MBK.05">#REF!</definedName>
    <definedName name="MBK.05B">#REF!</definedName>
    <definedName name="MBK.05G">#REF!</definedName>
    <definedName name="MBK.06">#REF!</definedName>
    <definedName name="MBK.06B">#REF!</definedName>
    <definedName name="MBK.06G">#REF!</definedName>
    <definedName name="MBK.07">#REF!</definedName>
    <definedName name="MBK.07B">#REF!</definedName>
    <definedName name="MBK.07G">#REF!</definedName>
    <definedName name="MBK.08">#REF!</definedName>
    <definedName name="MBK.08B">#REF!</definedName>
    <definedName name="MBK.08G">#REF!</definedName>
    <definedName name="MBK.09">#REF!</definedName>
    <definedName name="MBK.09B">#REF!</definedName>
    <definedName name="MBK.09G">#REF!</definedName>
    <definedName name="MBK.10">#REF!</definedName>
    <definedName name="MBK.10B">#REF!</definedName>
    <definedName name="MBK.10G">#REF!</definedName>
    <definedName name="MBK.11">#REF!</definedName>
    <definedName name="MBK.11B">#REF!</definedName>
    <definedName name="MBK.11G">#REF!</definedName>
    <definedName name="mbm">[136]harsat!$H$30</definedName>
    <definedName name="Mbn1p">#REF!</definedName>
    <definedName name="mbnc">'[18]lam-moi'!#REF!</definedName>
    <definedName name="MBOT">#REF!</definedName>
    <definedName name="mbp">[136]harsat!$H$36</definedName>
    <definedName name="mbr">[158]Material!$J$8</definedName>
    <definedName name="MBR.01">#REF!</definedName>
    <definedName name="MBR.01B">#REF!</definedName>
    <definedName name="MBR.01G">#REF!</definedName>
    <definedName name="MBR.02">#REF!</definedName>
    <definedName name="MBR.02B">#REF!</definedName>
    <definedName name="MBR.02G">#REF!</definedName>
    <definedName name="MBR.03">#REF!</definedName>
    <definedName name="MBR.03B">#REF!</definedName>
    <definedName name="MBR.03G">#REF!</definedName>
    <definedName name="MBR.04">#REF!</definedName>
    <definedName name="MBR.04B">#REF!</definedName>
    <definedName name="MBR.04G">#REF!</definedName>
    <definedName name="MBR.05">#REF!</definedName>
    <definedName name="MBR.05B">#REF!</definedName>
    <definedName name="MBR.05G">#REF!</definedName>
    <definedName name="MBR.06">#REF!</definedName>
    <definedName name="MBR.06B">#REF!</definedName>
    <definedName name="MBR.06G">#REF!</definedName>
    <definedName name="MBR.07">#REF!</definedName>
    <definedName name="MBR.07B">#REF!</definedName>
    <definedName name="MBR.07G">#REF!</definedName>
    <definedName name="MBR.08">#REF!</definedName>
    <definedName name="MBR.08B">#REF!</definedName>
    <definedName name="MBR.08G">#REF!</definedName>
    <definedName name="MBR.09">#REF!</definedName>
    <definedName name="MBR.09B">#REF!</definedName>
    <definedName name="MBR.09G">#REF!</definedName>
    <definedName name="MBR.10">#REF!</definedName>
    <definedName name="MBR.10B">#REF!</definedName>
    <definedName name="MBR.10G">#REF!</definedName>
    <definedName name="MBR.11">#REF!</definedName>
    <definedName name="MBR.11B">#REF!</definedName>
    <definedName name="MBR.11G">#REF!</definedName>
    <definedName name="MBR.12">#REF!</definedName>
    <definedName name="MBR.12B">#REF!</definedName>
    <definedName name="MBR.12G">#REF!</definedName>
    <definedName name="MBR.13">#REF!</definedName>
    <definedName name="MBR.13B">#REF!</definedName>
    <definedName name="MBR.13G">#REF!</definedName>
    <definedName name="MBR.14">#REF!</definedName>
    <definedName name="MBR.14B">#REF!</definedName>
    <definedName name="MBR.14G">#REF!</definedName>
    <definedName name="MBR.15">#REF!</definedName>
    <definedName name="MBR.15B">#REF!</definedName>
    <definedName name="MBR.15G">#REF!</definedName>
    <definedName name="MBR.16">#REF!</definedName>
    <definedName name="MBR.16B">#REF!</definedName>
    <definedName name="MBR.16G">#REF!</definedName>
    <definedName name="MBR.17">#REF!</definedName>
    <definedName name="MBR.17B">#REF!</definedName>
    <definedName name="MBR.17G">#REF!</definedName>
    <definedName name="MBR.18">#REF!</definedName>
    <definedName name="MBR.18B">#REF!</definedName>
    <definedName name="MBR.18G">#REF!</definedName>
    <definedName name="MBR.19">#REF!</definedName>
    <definedName name="MBR.19B">#REF!</definedName>
    <definedName name="MBR.19G">#REF!</definedName>
    <definedName name="MBR.20">#REF!</definedName>
    <definedName name="MBR.20B">#REF!</definedName>
    <definedName name="MBR.20G">#REF!</definedName>
    <definedName name="mbrav">#REF!</definedName>
    <definedName name="MBS">#REF!</definedName>
    <definedName name="mbt">#REF!</definedName>
    <definedName name="MBT.01">#REF!</definedName>
    <definedName name="MBT.01B">#REF!</definedName>
    <definedName name="MBT.01G">#REF!</definedName>
    <definedName name="MBT.02">#REF!</definedName>
    <definedName name="MBT.02B">#REF!</definedName>
    <definedName name="MBT.02G">#REF!</definedName>
    <definedName name="MBT.03">#REF!</definedName>
    <definedName name="MBT.03B">#REF!</definedName>
    <definedName name="MBT.03G">#REF!</definedName>
    <definedName name="MBT.04">#REF!</definedName>
    <definedName name="MBT.04B">#REF!</definedName>
    <definedName name="MBT.04G">#REF!</definedName>
    <definedName name="MBT.05">#REF!</definedName>
    <definedName name="MBT.05B">#REF!</definedName>
    <definedName name="MBT.05G">#REF!</definedName>
    <definedName name="MBT.06">#REF!</definedName>
    <definedName name="MBT.06B">#REF!</definedName>
    <definedName name="MBT.06G">#REF!</definedName>
    <definedName name="MBT.07">#REF!</definedName>
    <definedName name="MBT.07B">#REF!</definedName>
    <definedName name="MBT.07G">#REF!</definedName>
    <definedName name="MBT.08">#REF!</definedName>
    <definedName name="MBT.08B">#REF!</definedName>
    <definedName name="MBT.08G">#REF!</definedName>
    <definedName name="MBT.09">#REF!</definedName>
    <definedName name="MBT.09B">#REF!</definedName>
    <definedName name="MBT.09G">#REF!</definedName>
    <definedName name="MBT.10">#REF!</definedName>
    <definedName name="MBT.10B">#REF!</definedName>
    <definedName name="MBT.10G">#REF!</definedName>
    <definedName name="MBT.11">#REF!</definedName>
    <definedName name="MBT.11B">#REF!</definedName>
    <definedName name="MBT.11G">#REF!</definedName>
    <definedName name="MBT.12">#REF!</definedName>
    <definedName name="MBT.12B">#REF!</definedName>
    <definedName name="MBT.12G">#REF!</definedName>
    <definedName name="MBT.13">#REF!</definedName>
    <definedName name="MBT.13B">#REF!</definedName>
    <definedName name="MBT.13G">#REF!</definedName>
    <definedName name="MBT.14">#REF!</definedName>
    <definedName name="MBT.14B">#REF!</definedName>
    <definedName name="MBT.14G">#REF!</definedName>
    <definedName name="MBT.15">#REF!</definedName>
    <definedName name="MBT.15B">#REF!</definedName>
    <definedName name="MBT.15G">#REF!</definedName>
    <definedName name="MBT.16">#REF!</definedName>
    <definedName name="MBT.16B">#REF!</definedName>
    <definedName name="MBT.16G">#REF!</definedName>
    <definedName name="MBT.17">#REF!</definedName>
    <definedName name="MBT.17B">#REF!</definedName>
    <definedName name="MBT.17G">#REF!</definedName>
    <definedName name="MBT.18">#REF!</definedName>
    <definedName name="MBT.18B">#REF!</definedName>
    <definedName name="MBT.18G">#REF!</definedName>
    <definedName name="MBT.19">#REF!</definedName>
    <definedName name="MBT.19B">#REF!</definedName>
    <definedName name="MBT.19G">#REF!</definedName>
    <definedName name="MBT.20">#REF!</definedName>
    <definedName name="MBT.20B">#REF!</definedName>
    <definedName name="MBT.20G">#REF!</definedName>
    <definedName name="MBT.21">#REF!</definedName>
    <definedName name="MBT.21B">#REF!</definedName>
    <definedName name="MBT.21G">#REF!</definedName>
    <definedName name="MBT.22">#REF!</definedName>
    <definedName name="MBT.22B">#REF!</definedName>
    <definedName name="MBT.22G">#REF!</definedName>
    <definedName name="mbtn">#REF!</definedName>
    <definedName name="mbtn_6">#REF!</definedName>
    <definedName name="mbttemp">#REF!</definedName>
    <definedName name="MBU">#REF!</definedName>
    <definedName name="mbvl">'[18]lam-moi'!#REF!</definedName>
    <definedName name="mbw">#REF!</definedName>
    <definedName name="MBW.01">#REF!</definedName>
    <definedName name="MBW.01B">#REF!</definedName>
    <definedName name="MBW.01G">#REF!</definedName>
    <definedName name="MBW.02">#REF!</definedName>
    <definedName name="MBW.02B">#REF!</definedName>
    <definedName name="MBW.02G">#REF!</definedName>
    <definedName name="MBW.03">#REF!</definedName>
    <definedName name="MBW.03B">#REF!</definedName>
    <definedName name="MBW.03G">#REF!</definedName>
    <definedName name="MBW.04">#REF!</definedName>
    <definedName name="MBW.04B">#REF!</definedName>
    <definedName name="MBW.04G">#REF!</definedName>
    <definedName name="MBW.05">#REF!</definedName>
    <definedName name="MBW.05B">#REF!</definedName>
    <definedName name="MBW.05G">#REF!</definedName>
    <definedName name="MBW.06">#REF!</definedName>
    <definedName name="MBW.06B">#REF!</definedName>
    <definedName name="MBW.06G">#REF!</definedName>
    <definedName name="MBW.07">#REF!</definedName>
    <definedName name="MBW.07B">#REF!</definedName>
    <definedName name="MBW.07G">#REF!</definedName>
    <definedName name="MBW.08">#REF!</definedName>
    <definedName name="MBW.08B">#REF!</definedName>
    <definedName name="MBW.08G">#REF!</definedName>
    <definedName name="MBW.09">#REF!</definedName>
    <definedName name="MBW.09B">#REF!</definedName>
    <definedName name="MBW.09G">#REF!</definedName>
    <definedName name="MBW.10">#REF!</definedName>
    <definedName name="MBW.10B">#REF!</definedName>
    <definedName name="MBW.10G">#REF!</definedName>
    <definedName name="MBW.11">#REF!</definedName>
    <definedName name="MBW.11B">#REF!</definedName>
    <definedName name="MBW.11G">#REF!</definedName>
    <definedName name="MBW.12">#REF!</definedName>
    <definedName name="MBW.12B">#REF!</definedName>
    <definedName name="MBW.12G">#REF!</definedName>
    <definedName name="MBW.13">#REF!</definedName>
    <definedName name="MBW.13B">#REF!</definedName>
    <definedName name="MBW.13G">#REF!</definedName>
    <definedName name="MBW.14">#REF!</definedName>
    <definedName name="MBW.14B">#REF!</definedName>
    <definedName name="MBW.14G">#REF!</definedName>
    <definedName name="MBW.15">#REF!</definedName>
    <definedName name="MBW.15B">#REF!</definedName>
    <definedName name="MBW.15G">#REF!</definedName>
    <definedName name="MBW.16">#REF!</definedName>
    <definedName name="MBW.16B">#REF!</definedName>
    <definedName name="MBW.16G">#REF!</definedName>
    <definedName name="MBW.17">#REF!</definedName>
    <definedName name="MBW.17B">#REF!</definedName>
    <definedName name="MBW.17G">#REF!</definedName>
    <definedName name="MBW.18">#REF!</definedName>
    <definedName name="MBW.18B">#REF!</definedName>
    <definedName name="MBW.18G">#REF!</definedName>
    <definedName name="MBW.19">#REF!</definedName>
    <definedName name="MBW.19B">#REF!</definedName>
    <definedName name="MBW.19G">#REF!</definedName>
    <definedName name="MBW.20">#REF!</definedName>
    <definedName name="MBW.20B">#REF!</definedName>
    <definedName name="MBW.20G">#REF!</definedName>
    <definedName name="MBW.21">#REF!</definedName>
    <definedName name="MBW.21B">#REF!</definedName>
    <definedName name="MBW.21G">#REF!</definedName>
    <definedName name="MBW.22">#REF!</definedName>
    <definedName name="MBW.22B">#REF!</definedName>
    <definedName name="MBW.22G">#REF!</definedName>
    <definedName name="MBW.23">#REF!</definedName>
    <definedName name="MBW.23B">#REF!</definedName>
    <definedName name="MBW.23G">#REF!</definedName>
    <definedName name="MBW.24">#REF!</definedName>
    <definedName name="MBW.24B">#REF!</definedName>
    <definedName name="MBW.24G">#REF!</definedName>
    <definedName name="MBW.25">#REF!</definedName>
    <definedName name="MBW.25B">#REF!</definedName>
    <definedName name="MBW.25G">#REF!</definedName>
    <definedName name="MBW.26">#REF!</definedName>
    <definedName name="MBW.26B">#REF!</definedName>
    <definedName name="MBW.26G">#REF!</definedName>
    <definedName name="MBW.27">#REF!</definedName>
    <definedName name="MBW.27B">#REF!</definedName>
    <definedName name="MBW.27G">#REF!</definedName>
    <definedName name="MBW.28">#REF!</definedName>
    <definedName name="MBW.28B">#REF!</definedName>
    <definedName name="MBW.28G">#REF!</definedName>
    <definedName name="MBW.29">#REF!</definedName>
    <definedName name="MBW.29B">#REF!</definedName>
    <definedName name="MBW.29G">#REF!</definedName>
    <definedName name="MBW.30">#REF!</definedName>
    <definedName name="MBW.30B">#REF!</definedName>
    <definedName name="MBW.30G">#REF!</definedName>
    <definedName name="mbw_6">#REF!</definedName>
    <definedName name="MC">[142]tifico!#REF!</definedName>
    <definedName name="mcat">#REF!</definedName>
    <definedName name="mcatbes">#REF!</definedName>
    <definedName name="mcatdal">#REF!</definedName>
    <definedName name="mcatkay">#REF!</definedName>
    <definedName name="mcatluar">#REF!</definedName>
    <definedName name="mcatplaf">#REF!</definedName>
    <definedName name="MCB">#REF!</definedName>
    <definedName name="mcb.4">#REF!</definedName>
    <definedName name="mcb.6">#REF!</definedName>
    <definedName name="mccb.250">#REF!</definedName>
    <definedName name="mccb.80">#REF!</definedName>
    <definedName name="mcfa">#REF!</definedName>
    <definedName name="mci_1515">#REF!</definedName>
    <definedName name="mci_88">#REF!</definedName>
    <definedName name="mcian">#REF!</definedName>
    <definedName name="mcp">[136]harsat!$H$39</definedName>
    <definedName name="mcrane">#REF!</definedName>
    <definedName name="mcs">#REF!</definedName>
    <definedName name="MCT">#REF!</definedName>
    <definedName name="MCT.01">#REF!</definedName>
    <definedName name="MCT.01B">#REF!</definedName>
    <definedName name="MCT.01G">#REF!</definedName>
    <definedName name="MCT.02">#REF!</definedName>
    <definedName name="MCT.02B">#REF!</definedName>
    <definedName name="MCT.02G">#REF!</definedName>
    <definedName name="MCT.03">#REF!</definedName>
    <definedName name="MCT.03B">#REF!</definedName>
    <definedName name="MCT.03G">#REF!</definedName>
    <definedName name="MCT.04">#REF!</definedName>
    <definedName name="MCT.04B">#REF!</definedName>
    <definedName name="MCT.04G">#REF!</definedName>
    <definedName name="MCT.05">#REF!</definedName>
    <definedName name="MCT.05B">#REF!</definedName>
    <definedName name="MCT.05G">#REF!</definedName>
    <definedName name="MCT.06">#REF!</definedName>
    <definedName name="MCT.06B">#REF!</definedName>
    <definedName name="MCT.06G">#REF!</definedName>
    <definedName name="MCT.07">#REF!</definedName>
    <definedName name="MCT.07B">#REF!</definedName>
    <definedName name="MCT.07G">#REF!</definedName>
    <definedName name="MCT.08">#REF!</definedName>
    <definedName name="MCT.08B">#REF!</definedName>
    <definedName name="MCT.08G">#REF!</definedName>
    <definedName name="MCT.09">#REF!</definedName>
    <definedName name="MCT.09B">#REF!</definedName>
    <definedName name="MCT.09G">#REF!</definedName>
    <definedName name="MCT.10">#REF!</definedName>
    <definedName name="MCT.10B">#REF!</definedName>
    <definedName name="MCT.10G">#REF!</definedName>
    <definedName name="MCT.11">#REF!</definedName>
    <definedName name="MCT.11B">#REF!</definedName>
    <definedName name="MCT.11G">#REF!</definedName>
    <definedName name="MCT.12">#REF!</definedName>
    <definedName name="MCT.12B">#REF!</definedName>
    <definedName name="MCT.12G">#REF!</definedName>
    <definedName name="MCT.13">#REF!</definedName>
    <definedName name="MCT.13B">#REF!</definedName>
    <definedName name="MCT.13G">#REF!</definedName>
    <definedName name="MCT.14">#REF!</definedName>
    <definedName name="MCT.14B">#REF!</definedName>
    <definedName name="MCT.14G">#REF!</definedName>
    <definedName name="MCT.15">#REF!</definedName>
    <definedName name="MCT.15B">#REF!</definedName>
    <definedName name="MCT.15G">#REF!</definedName>
    <definedName name="MCT.16">#REF!</definedName>
    <definedName name="MCT.16B">#REF!</definedName>
    <definedName name="MCT.16G">#REF!</definedName>
    <definedName name="MCT.17">#REF!</definedName>
    <definedName name="MCT.17B">#REF!</definedName>
    <definedName name="MCT.17G">#REF!</definedName>
    <definedName name="MCT.18">#REF!</definedName>
    <definedName name="MCT.18B">#REF!</definedName>
    <definedName name="MCT.18G">#REF!</definedName>
    <definedName name="MCT.19">#REF!</definedName>
    <definedName name="MCT.19B">#REF!</definedName>
    <definedName name="MCT.19G">#REF!</definedName>
    <definedName name="MCT.20">#REF!</definedName>
    <definedName name="MCT.20B">#REF!</definedName>
    <definedName name="MCT.20G">#REF!</definedName>
    <definedName name="MCT.21">#REF!</definedName>
    <definedName name="MCT.21B">#REF!</definedName>
    <definedName name="MCT.21G">#REF!</definedName>
    <definedName name="MCT.22">#REF!</definedName>
    <definedName name="MCT.22B">#REF!</definedName>
    <definedName name="MCT.22G">#REF!</definedName>
    <definedName name="MCT.23">#REF!</definedName>
    <definedName name="MCT.23B">#REF!</definedName>
    <definedName name="MCT.23G">#REF!</definedName>
    <definedName name="MCT.24">#REF!</definedName>
    <definedName name="MCT.24B">#REF!</definedName>
    <definedName name="MCT.24G">#REF!</definedName>
    <definedName name="MCT.25">#REF!</definedName>
    <definedName name="MCT.25B">#REF!</definedName>
    <definedName name="MCT.25G">#REF!</definedName>
    <definedName name="MCT.26">#REF!</definedName>
    <definedName name="MCT.26B">#REF!</definedName>
    <definedName name="MCT.26G">#REF!</definedName>
    <definedName name="Mcurtain">[159]Hargamat!#REF!</definedName>
    <definedName name="md">#REF!</definedName>
    <definedName name="mde">[136]harsat!$H$23</definedName>
    <definedName name="mde011a">#REF!</definedName>
    <definedName name="mde013a">#REF!</definedName>
    <definedName name="mde015a">#REF!</definedName>
    <definedName name="mde01a">#REF!</definedName>
    <definedName name="mde03a">#REF!</definedName>
    <definedName name="mde04a">#REF!</definedName>
    <definedName name="mde05a">#REF!</definedName>
    <definedName name="mde06a">#REF!</definedName>
    <definedName name="mde07a">#REF!</definedName>
    <definedName name="mde07b">#REF!</definedName>
    <definedName name="mde08a">#REF!</definedName>
    <definedName name="mde09a">#REF!</definedName>
    <definedName name="mde10a">#REF!</definedName>
    <definedName name="mde12a">#REF!</definedName>
    <definedName name="mde16a">#REF!</definedName>
    <definedName name="mde17a">#REF!</definedName>
    <definedName name="mde18a">#REF!</definedName>
    <definedName name="mde20a">#REF!</definedName>
    <definedName name="mde21a">#REF!</definedName>
    <definedName name="mde22a">#REF!</definedName>
    <definedName name="mde23a">#REF!</definedName>
    <definedName name="mde24a">#REF!</definedName>
    <definedName name="mde25a">#REF!</definedName>
    <definedName name="mde26a">#REF!</definedName>
    <definedName name="mde27a">#REF!</definedName>
    <definedName name="mde28a">#REF!</definedName>
    <definedName name="mde29a">#REF!</definedName>
    <definedName name="mde30a">#REF!</definedName>
    <definedName name="mde31a">#REF!</definedName>
    <definedName name="mde32a">#REF!</definedName>
    <definedName name="mde33a">#REF!</definedName>
    <definedName name="mde34a">#REF!</definedName>
    <definedName name="mdea4a">#REF!</definedName>
    <definedName name="mdea9a">#REF!</definedName>
    <definedName name="mdffa">#REF!</definedName>
    <definedName name="mdfts">#REF!</definedName>
    <definedName name="mdolar">#REF!</definedName>
    <definedName name="MDP">#REF!</definedName>
    <definedName name="mdr">#REF!</definedName>
    <definedName name="mdrj">[160]HSD!$H$46</definedName>
    <definedName name="me">#REF!</definedName>
    <definedName name="ME_1">#REF!</definedName>
    <definedName name="ME_2">#REF!</definedName>
    <definedName name="ME_2_1">#REF!</definedName>
    <definedName name="ME_3">#REF!</definedName>
    <definedName name="ME_3_4">#REF!</definedName>
    <definedName name="ME_3_6">#REF!</definedName>
    <definedName name="ME_3_7">#REF!</definedName>
    <definedName name="ME_4">#REF!</definedName>
    <definedName name="ME_4_1">#REF!</definedName>
    <definedName name="ME_4_2">#REF!</definedName>
    <definedName name="ME_4_4">#REF!</definedName>
    <definedName name="ME_4_6">#REF!</definedName>
    <definedName name="ME_4_7">#REF!</definedName>
    <definedName name="ME_5">#REF!</definedName>
    <definedName name="ME_5_2">#REF!</definedName>
    <definedName name="ME_5_4">#REF!</definedName>
    <definedName name="ME_5_6">#REF!</definedName>
    <definedName name="ME_5_7">#REF!</definedName>
    <definedName name="me_6">#REF!</definedName>
    <definedName name="ME_6_1">#REF!</definedName>
    <definedName name="ME_6_4">#REF!</definedName>
    <definedName name="ME_6_6">#REF!</definedName>
    <definedName name="ME_6_7">#REF!</definedName>
    <definedName name="ME_7">#REF!</definedName>
    <definedName name="me_by_owner">#REF!</definedName>
    <definedName name="me_fisik">#REF!</definedName>
    <definedName name="me01a">#REF!</definedName>
    <definedName name="me02a">#REF!</definedName>
    <definedName name="me03a">#REF!</definedName>
    <definedName name="me04a">#REF!</definedName>
    <definedName name="me05a">#REF!</definedName>
    <definedName name="me06a">#REF!</definedName>
    <definedName name="me07a">#REF!</definedName>
    <definedName name="me08a">#REF!</definedName>
    <definedName name="me09a">#REF!</definedName>
    <definedName name="me10a">#REF!</definedName>
    <definedName name="me11a">#REF!</definedName>
    <definedName name="me12a">#REF!</definedName>
    <definedName name="me13a">#REF!</definedName>
    <definedName name="me14a">#REF!</definedName>
    <definedName name="me15a">#REF!</definedName>
    <definedName name="me16a">#REF!</definedName>
    <definedName name="me17a">#REF!</definedName>
    <definedName name="me18a">#REF!</definedName>
    <definedName name="me19a">#REF!</definedName>
    <definedName name="me20a">#REF!</definedName>
    <definedName name="me21a">#REF!</definedName>
    <definedName name="me22a">#REF!</definedName>
    <definedName name="me23a">#REF!</definedName>
    <definedName name="me24a">#REF!</definedName>
    <definedName name="me25a">#REF!</definedName>
    <definedName name="me26a">#REF!</definedName>
    <definedName name="me27a">#REF!</definedName>
    <definedName name="me28a">#REF!</definedName>
    <definedName name="me29a">#REF!</definedName>
    <definedName name="me30a">#REF!</definedName>
    <definedName name="me31a">#REF!</definedName>
    <definedName name="me32a">#REF!</definedName>
    <definedName name="me33a">#REF!</definedName>
    <definedName name="me34a">#REF!</definedName>
    <definedName name="mebor">#REF!</definedName>
    <definedName name="medan3.4">#REF!</definedName>
    <definedName name="medan5.10">#REF!</definedName>
    <definedName name="medan5.7">#REF!</definedName>
    <definedName name="medan6.12">#REF!</definedName>
    <definedName name="medan8.15">#REF!</definedName>
    <definedName name="mede02b">#REF!</definedName>
    <definedName name="meger">#REF!</definedName>
    <definedName name="meja">#REF!</definedName>
    <definedName name="Mejabelajar">#REF!</definedName>
    <definedName name="mejadapur">#REF!</definedName>
    <definedName name="Mejaguru">#REF!</definedName>
    <definedName name="MejaSiswaGanda">#REF!</definedName>
    <definedName name="mejgra">#REF!</definedName>
    <definedName name="mejmar">#REF!</definedName>
    <definedName name="mek">{"Book1","4.09 FLORA DAN FAUNA.xls","4.22 PERLENGKAPAN SEKOLAH.xls"}</definedName>
    <definedName name="meka">#REF!</definedName>
    <definedName name="Mekanik">#REF!</definedName>
    <definedName name="MEKANIKAL">#REF!</definedName>
    <definedName name="MEKANIKTERLATIH">#REF!</definedName>
    <definedName name="mel">[76]Hargamat!#REF!</definedName>
    <definedName name="mel.">#REF!</definedName>
    <definedName name="melamik">#REF!</definedName>
    <definedName name="melamik\nonjasa">#REF!</definedName>
    <definedName name="melas">#REF!</definedName>
    <definedName name="melec">#REF!</definedName>
    <definedName name="memaku">#REF!</definedName>
    <definedName name="memancang">#REF!</definedName>
    <definedName name="memancangpapanbendung">#REF!</definedName>
    <definedName name="membrane">"$#REF!.$H$12"</definedName>
    <definedName name="memec">#REF!</definedName>
    <definedName name="MEMEK">#REF!</definedName>
    <definedName name="MenempatkanBesiBeton">#REF!</definedName>
    <definedName name="MENI">#REF!</definedName>
    <definedName name="meni.b">#REF!</definedName>
    <definedName name="meni.k">#REF!</definedName>
    <definedName name="meni.kayu">#REF!</definedName>
    <definedName name="meni_kayu">#REF!</definedName>
    <definedName name="menib">#REF!</definedName>
    <definedName name="MeniBaja">#REF!</definedName>
    <definedName name="menibesi">#REF!</definedName>
    <definedName name="menie_kayu">#REF!</definedName>
    <definedName name="menik">#REF!</definedName>
    <definedName name="MENIKAYU">#N/A</definedName>
    <definedName name="MENU">#N/A</definedName>
    <definedName name="MENU2">#REF!</definedName>
    <definedName name="MENU3">#REF!</definedName>
    <definedName name="MENUAL">#REF!</definedName>
    <definedName name="MENUBOQ">#REF!</definedName>
    <definedName name="MENUD2">#REF!</definedName>
    <definedName name="MENUD2F">#REF!</definedName>
    <definedName name="MENUD2F2">#REF!</definedName>
    <definedName name="MENUD2U">#REF!</definedName>
    <definedName name="MENUD2U2">#REF!</definedName>
    <definedName name="mep">#REF!</definedName>
    <definedName name="mepo">#REF!</definedName>
    <definedName name="mer">#REF!</definedName>
    <definedName name="merah.1">#REF!</definedName>
    <definedName name="meranti">#REF!</definedName>
    <definedName name="meranti.3">#REF!</definedName>
    <definedName name="meranti4.6">#REF!</definedName>
    <definedName name="meranti5.7">#REF!</definedName>
    <definedName name="meranti6.10">#REF!</definedName>
    <definedName name="meranti6.12">#REF!</definedName>
    <definedName name="meranti8.10">#REF!</definedName>
    <definedName name="meranti8.12">#REF!</definedName>
    <definedName name="merantibalok">#REF!</definedName>
    <definedName name="merantipapan3x20">#REF!</definedName>
    <definedName name="meruncing">#REF!</definedName>
    <definedName name="mesger">#REF!</definedName>
    <definedName name="Mesh">#N/A</definedName>
    <definedName name="Mesh10">#N/A</definedName>
    <definedName name="Mesh4">#N/A</definedName>
    <definedName name="Mesh5">#N/A</definedName>
    <definedName name="Mesh6">#N/A</definedName>
    <definedName name="Mesh8">#N/A</definedName>
    <definedName name="Mesin_bor">#REF!</definedName>
    <definedName name="Mesin_gergaji">#REF!</definedName>
    <definedName name="Mesin_las">#REF!</definedName>
    <definedName name="Mesin_Potong_ChainShaw">#REF!</definedName>
    <definedName name="Mesin_potong_plat">#REF!</definedName>
    <definedName name="mesingilas3roda">#REF!</definedName>
    <definedName name="mesingilaskaret">#REF!</definedName>
    <definedName name="mesingilastendem">#REF!</definedName>
    <definedName name="MESS_JAKARTA">#REF!</definedName>
    <definedName name="MESS_U.PANDANG">#REF!</definedName>
    <definedName name="MESSAGE1">#REF!</definedName>
    <definedName name="metal">#REF!</definedName>
    <definedName name="metalf">#REF!</definedName>
    <definedName name="METODA">#REF!</definedName>
    <definedName name="metode">[161]XL4Test5!$A$33</definedName>
    <definedName name="MetodeHrs">[162]STAF!#REF!</definedName>
    <definedName name="mezanin">#N/A</definedName>
    <definedName name="mezz">#N/A</definedName>
    <definedName name="mf_28">"'file://SERVER3/har-data/STRUCTURE PRICE OF BQ KOMPAS GRAMEDIA.xls'#$analisa.$#REF!$#REF!"</definedName>
    <definedName name="mff">#N/A</definedName>
    <definedName name="MFFIT">#REF!</definedName>
    <definedName name="MFFIT1">#REF!</definedName>
    <definedName name="MFVLV">#REF!</definedName>
    <definedName name="MFVLV1">#REF!</definedName>
    <definedName name="MFVLV2">#REF!</definedName>
    <definedName name="MFVLV3">#REF!</definedName>
    <definedName name="mg">#REF!</definedName>
    <definedName name="mg.3r">'[45]Sat~Bahu'!$C$96</definedName>
    <definedName name="mgb">'[45]Sat~Bahu'!$C$98</definedName>
    <definedName name="mgi">[136]harsat!$H$29</definedName>
    <definedName name="MGRADER" localSheetId="7">#REF!</definedName>
    <definedName name="MGRADER">#REF!</definedName>
    <definedName name="mgrk">'[45]Sat~Bahu'!$C$99</definedName>
    <definedName name="mgt">'[45]Sat~Bahu'!$C$97</definedName>
    <definedName name="MI">#REF!</definedName>
    <definedName name="MIBE">[10]Material!#REF!</definedName>
    <definedName name="mibe1">[150]Material!#REF!</definedName>
    <definedName name="midc">#REF!</definedName>
    <definedName name="MILYAR">#REF!</definedName>
    <definedName name="mingguan" hidden="1">#REF!</definedName>
    <definedName name="MingguKe">#REF!</definedName>
    <definedName name="mini_2525">[65]satuan_pek_str!#REF!</definedName>
    <definedName name="Minivibro">#REF!</definedName>
    <definedName name="MINOR" localSheetId="7">#REF!</definedName>
    <definedName name="MINOR">#REF!</definedName>
    <definedName name="minya.c">#REF!</definedName>
    <definedName name="minyak">#REF!</definedName>
    <definedName name="Minyak_Cat">#REF!</definedName>
    <definedName name="Minyak_Rem">#REF!</definedName>
    <definedName name="minyakbekisting">#REF!</definedName>
    <definedName name="MINYAKBSUPIORI">#REF!</definedName>
    <definedName name="MINYAKCAT">#N/A</definedName>
    <definedName name="minyakpelumas">#REF!</definedName>
    <definedName name="Minyaktanah" localSheetId="7">#REF!</definedName>
    <definedName name="Minyaktanah">#REF!</definedName>
    <definedName name="mir">[136]harsat!$H$32</definedName>
    <definedName name="MISC">#REF!</definedName>
    <definedName name="MISC._FEILD_EXP">#REF!</definedName>
    <definedName name="MISC._TEMP">#REF!</definedName>
    <definedName name="MiSol">#REF!</definedName>
    <definedName name="MISTIL">#REF!</definedName>
    <definedName name="MIT">#N/A</definedName>
    <definedName name="MIXER" localSheetId="7">[33]H_Dasar!#REF!</definedName>
    <definedName name="MIXER">#REF!</definedName>
    <definedName name="MIXERKCL" localSheetId="7">[33]H_Dasar!#REF!</definedName>
    <definedName name="MIXERKCL">[33]H_Dasar!#REF!</definedName>
    <definedName name="MIXERMOBIL" localSheetId="7">[33]H_Dasar!#REF!</definedName>
    <definedName name="MIXERMOBIL">[33]H_Dasar!#REF!</definedName>
    <definedName name="MJ">#REF!</definedName>
    <definedName name="mjasa">#N/A</definedName>
    <definedName name="mk">#REF!</definedName>
    <definedName name="MKC.01">#REF!</definedName>
    <definedName name="MKC.01B">#REF!</definedName>
    <definedName name="MKC.01G">#REF!</definedName>
    <definedName name="MKC.02">#REF!</definedName>
    <definedName name="MKC.02B">#REF!</definedName>
    <definedName name="MKC.02G">#REF!</definedName>
    <definedName name="MKC.03">#REF!</definedName>
    <definedName name="MKC.03B">#REF!</definedName>
    <definedName name="MKC.03G">#REF!</definedName>
    <definedName name="MKC.04">#REF!</definedName>
    <definedName name="MKC.04B">#REF!</definedName>
    <definedName name="MKC.04G">#REF!</definedName>
    <definedName name="MKC.05">#REF!</definedName>
    <definedName name="MKC.05B">#REF!</definedName>
    <definedName name="MKC.05G">#REF!</definedName>
    <definedName name="MKC.06">#REF!</definedName>
    <definedName name="MKC.06B">#REF!</definedName>
    <definedName name="MKC.06G">#REF!</definedName>
    <definedName name="MKC.07">#REF!</definedName>
    <definedName name="MKC.07B">#REF!</definedName>
    <definedName name="MKC.07G">#REF!</definedName>
    <definedName name="MKC.08">#REF!</definedName>
    <definedName name="MKC.08B">#REF!</definedName>
    <definedName name="MKC.08G">#REF!</definedName>
    <definedName name="MKC.09">#REF!</definedName>
    <definedName name="MKC.09B">#REF!</definedName>
    <definedName name="MKC.09G">#REF!</definedName>
    <definedName name="MKC.10">#REF!</definedName>
    <definedName name="MKC.10B">#REF!</definedName>
    <definedName name="MKC.10G">#REF!</definedName>
    <definedName name="MKC.11">#REF!</definedName>
    <definedName name="MKC.11B">#REF!</definedName>
    <definedName name="MKC.11G">#REF!</definedName>
    <definedName name="MKC.12">#REF!</definedName>
    <definedName name="MKC.12B">#REF!</definedName>
    <definedName name="MKC.12G">#REF!</definedName>
    <definedName name="MKC.13">#REF!</definedName>
    <definedName name="MKC.13B">#REF!</definedName>
    <definedName name="MKC.13G">#REF!</definedName>
    <definedName name="MKC.14">#REF!</definedName>
    <definedName name="MKC.14B">#REF!</definedName>
    <definedName name="MKC.14G">#REF!</definedName>
    <definedName name="MKC.15">#REF!</definedName>
    <definedName name="MKC.15B">#REF!</definedName>
    <definedName name="MKC.15G">#REF!</definedName>
    <definedName name="MKC.16">#REF!</definedName>
    <definedName name="MKC.16B">#REF!</definedName>
    <definedName name="MKC.16G">#REF!</definedName>
    <definedName name="mker20">#REF!</definedName>
    <definedName name="mker30">#REF!</definedName>
    <definedName name="mkeram">#REF!</definedName>
    <definedName name="mkol15">#REF!</definedName>
    <definedName name="mkonsul">#REF!</definedName>
    <definedName name="MKY.01">#REF!</definedName>
    <definedName name="MKY.01B">#REF!</definedName>
    <definedName name="MKY.01G">#REF!</definedName>
    <definedName name="MKY.02">#REF!</definedName>
    <definedName name="MKY.02B">#REF!</definedName>
    <definedName name="MKY.02G">#REF!</definedName>
    <definedName name="MKY.03">#REF!</definedName>
    <definedName name="MKY.03B">#REF!</definedName>
    <definedName name="MKY.03G">#REF!</definedName>
    <definedName name="MKY.04">#REF!</definedName>
    <definedName name="MKY.04B">#REF!</definedName>
    <definedName name="MKY.04G">#REF!</definedName>
    <definedName name="MKY.05">#REF!</definedName>
    <definedName name="MKY.05B">#REF!</definedName>
    <definedName name="MKY.05G">#REF!</definedName>
    <definedName name="MKY.06">#REF!</definedName>
    <definedName name="MKY.06B">#REF!</definedName>
    <definedName name="MKY.06G">#REF!</definedName>
    <definedName name="MKY.07">#REF!</definedName>
    <definedName name="MKY.07B">#REF!</definedName>
    <definedName name="MKY.07G">#REF!</definedName>
    <definedName name="MKY.08">#REF!</definedName>
    <definedName name="MKY.08B">#REF!</definedName>
    <definedName name="MKY.08G">#REF!</definedName>
    <definedName name="MKY.09">#REF!</definedName>
    <definedName name="MKY.09B">#REF!</definedName>
    <definedName name="MKY.09G">#REF!</definedName>
    <definedName name="MKY.10">#REF!</definedName>
    <definedName name="MKY.10B">#REF!</definedName>
    <definedName name="MKY.10G">#REF!</definedName>
    <definedName name="MKY.11">#REF!</definedName>
    <definedName name="MKY.11B">#REF!</definedName>
    <definedName name="MKY.11G">#REF!</definedName>
    <definedName name="MKY.12">#REF!</definedName>
    <definedName name="MKY.12B">#REF!</definedName>
    <definedName name="MKY.12G">#REF!</definedName>
    <definedName name="MKY.13">#REF!</definedName>
    <definedName name="MKY.13B">#REF!</definedName>
    <definedName name="MKY.13G">#REF!</definedName>
    <definedName name="MKY.14">#REF!</definedName>
    <definedName name="MKY.14B">#REF!</definedName>
    <definedName name="MKY.14G">#REF!</definedName>
    <definedName name="MKY.15">#REF!</definedName>
    <definedName name="MKY.15B">#REF!</definedName>
    <definedName name="MKY.15G">#REF!</definedName>
    <definedName name="MKY.16">#REF!</definedName>
    <definedName name="MKY.16B">#REF!</definedName>
    <definedName name="MKY.16G">#REF!</definedName>
    <definedName name="MKY.17">#REF!</definedName>
    <definedName name="MKY.17B">#REF!</definedName>
    <definedName name="MKY.17G">#REF!</definedName>
    <definedName name="MKY.18">#REF!</definedName>
    <definedName name="MKY.18B">#REF!</definedName>
    <definedName name="MKY.18G">#REF!</definedName>
    <definedName name="MKY.19">#REF!</definedName>
    <definedName name="MKY.19B">#REF!</definedName>
    <definedName name="MKY.19G">#REF!</definedName>
    <definedName name="MKY.20">#REF!</definedName>
    <definedName name="MKY.20B">#REF!</definedName>
    <definedName name="MKY.20G">#REF!</definedName>
    <definedName name="MKY.21">#REF!</definedName>
    <definedName name="MKY.21B">#REF!</definedName>
    <definedName name="MKY.21G">#REF!</definedName>
    <definedName name="MKY.22">#REF!</definedName>
    <definedName name="MKY.22B">#REF!</definedName>
    <definedName name="MKY.22G">#REF!</definedName>
    <definedName name="ML">#REF!</definedName>
    <definedName name="ml_25255">#REF!</definedName>
    <definedName name="ml_25355">#REF!</definedName>
    <definedName name="ml_3.9">#REF!</definedName>
    <definedName name="ml_3.924">#REF!</definedName>
    <definedName name="ml_3011">#REF!</definedName>
    <definedName name="ml_30115">#REF!</definedName>
    <definedName name="ml_30145">#REF!</definedName>
    <definedName name="ml_3015">#REF!</definedName>
    <definedName name="ml_3019">#REF!</definedName>
    <definedName name="ml_3075">#REF!</definedName>
    <definedName name="ml_30800">#REF!</definedName>
    <definedName name="ml_3090">#REF!</definedName>
    <definedName name="ml_4">#REF!</definedName>
    <definedName name="ml_40115">#REF!</definedName>
    <definedName name="ml_4025">#REF!</definedName>
    <definedName name="ml_6.17">#REF!</definedName>
    <definedName name="ml_60">#REF!</definedName>
    <definedName name="ml_60100">#REF!</definedName>
    <definedName name="ml_6011">#REF!</definedName>
    <definedName name="ml_6015">#REF!</definedName>
    <definedName name="ml_6018">#REF!</definedName>
    <definedName name="ml_60195">#REF!</definedName>
    <definedName name="ml_60250">#REF!</definedName>
    <definedName name="ml_60315">#REF!</definedName>
    <definedName name="ml_60335">#REF!</definedName>
    <definedName name="ml_604">#REF!</definedName>
    <definedName name="ml_6042">#REF!</definedName>
    <definedName name="ml_6050">#REF!</definedName>
    <definedName name="ml_60545">#REF!</definedName>
    <definedName name="mlaker">#REF!</definedName>
    <definedName name="mlasjam">#REF!</definedName>
    <definedName name="mlasunit">#REF!</definedName>
    <definedName name="MLEFT">#REF!</definedName>
    <definedName name="mlex.w">#REF!</definedName>
    <definedName name="MLL.01">#REF!</definedName>
    <definedName name="MLL.01B">#REF!</definedName>
    <definedName name="MLL.01G">#REF!</definedName>
    <definedName name="MLL.02">#REF!</definedName>
    <definedName name="MLL.02B">#REF!</definedName>
    <definedName name="MLL.02G">#REF!</definedName>
    <definedName name="MLL.03">#REF!</definedName>
    <definedName name="MLL.03B">#REF!</definedName>
    <definedName name="MLL.03G">#REF!</definedName>
    <definedName name="MLL.04">#REF!</definedName>
    <definedName name="MLL.04B">#REF!</definedName>
    <definedName name="MLL.04G">#REF!</definedName>
    <definedName name="MLL.05">#REF!</definedName>
    <definedName name="MLL.05B">#REF!</definedName>
    <definedName name="MLL.05G">#REF!</definedName>
    <definedName name="MLL.06">#REF!</definedName>
    <definedName name="MLL.06B">#REF!</definedName>
    <definedName name="MLL.06G">#REF!</definedName>
    <definedName name="MLL.07">#REF!</definedName>
    <definedName name="MLL.07B">#REF!</definedName>
    <definedName name="MLL.07G">#REF!</definedName>
    <definedName name="MLL.08">#REF!</definedName>
    <definedName name="MLL.08B">#REF!</definedName>
    <definedName name="MLL.08G">#REF!</definedName>
    <definedName name="MLL.09">#REF!</definedName>
    <definedName name="MLL.09B">#REF!</definedName>
    <definedName name="MLL.09G">#REF!</definedName>
    <definedName name="MLL.10">#REF!</definedName>
    <definedName name="MLL.10B">#REF!</definedName>
    <definedName name="MLL.10G">#REF!</definedName>
    <definedName name="MLL.11">#REF!</definedName>
    <definedName name="MLL.11B">#REF!</definedName>
    <definedName name="MLL.11G">#REF!</definedName>
    <definedName name="MLL.12">#REF!</definedName>
    <definedName name="MLL.12B">#REF!</definedName>
    <definedName name="MLL.12G">#REF!</definedName>
    <definedName name="MLL.13">#REF!</definedName>
    <definedName name="MLL.13B">#REF!</definedName>
    <definedName name="MLL.13G">#REF!</definedName>
    <definedName name="MLL.14">#REF!</definedName>
    <definedName name="MLL.14B">#REF!</definedName>
    <definedName name="MLL.14G">#REF!</definedName>
    <definedName name="MLL.15">#REF!</definedName>
    <definedName name="MLL.15B">#REF!</definedName>
    <definedName name="MLL.15G">#REF!</definedName>
    <definedName name="MLL.16">#REF!</definedName>
    <definedName name="MLL.16B">#REF!</definedName>
    <definedName name="MLL.16G">#REF!</definedName>
    <definedName name="MLL.17">#REF!</definedName>
    <definedName name="MLL.17B">#REF!</definedName>
    <definedName name="MLL.17G">#REF!</definedName>
    <definedName name="MLL.18">#REF!</definedName>
    <definedName name="MLL.18B">#REF!</definedName>
    <definedName name="MLL.18G">#REF!</definedName>
    <definedName name="MLL.19">#REF!</definedName>
    <definedName name="MLL.19B">#REF!</definedName>
    <definedName name="MLL.19G">#REF!</definedName>
    <definedName name="MLL.20">#REF!</definedName>
    <definedName name="MLL.20B">#REF!</definedName>
    <definedName name="MLL.20G">#REF!</definedName>
    <definedName name="MLL.21">#REF!</definedName>
    <definedName name="MLL.21B">#REF!</definedName>
    <definedName name="MLL.21G">#REF!</definedName>
    <definedName name="MLL.22">#REF!</definedName>
    <definedName name="MLL.22B">#REF!</definedName>
    <definedName name="MLL.22G">#REF!</definedName>
    <definedName name="MLL.23">#REF!</definedName>
    <definedName name="MLL.23B">#REF!</definedName>
    <definedName name="MLL.23G">#REF!</definedName>
    <definedName name="MLL.24">#REF!</definedName>
    <definedName name="MLL.24B">#REF!</definedName>
    <definedName name="MLL.24G">#REF!</definedName>
    <definedName name="MLL.25">#REF!</definedName>
    <definedName name="MLL.25B">#REF!</definedName>
    <definedName name="MLL.25G">#REF!</definedName>
    <definedName name="MLL.26">#REF!</definedName>
    <definedName name="MLL.26B">#REF!</definedName>
    <definedName name="MLL.26G">#REF!</definedName>
    <definedName name="MLL.27">#REF!</definedName>
    <definedName name="MLL.27B">#REF!</definedName>
    <definedName name="MLL.27G">#REF!</definedName>
    <definedName name="MLL.28">#REF!</definedName>
    <definedName name="MLL.28B">#REF!</definedName>
    <definedName name="MLL.28G">#REF!</definedName>
    <definedName name="MLL.29">#REF!</definedName>
    <definedName name="MLL.29B">#REF!</definedName>
    <definedName name="MLL.29G">#REF!</definedName>
    <definedName name="MLL.30">#REF!</definedName>
    <definedName name="MLL.30B">#REF!</definedName>
    <definedName name="MLL.30G">#REF!</definedName>
    <definedName name="MLL.31">#REF!</definedName>
    <definedName name="MLL.31B">#REF!</definedName>
    <definedName name="MLL.31G">#REF!</definedName>
    <definedName name="MLL.32">#REF!</definedName>
    <definedName name="MLL.32B">#REF!</definedName>
    <definedName name="MLL.32G">#REF!</definedName>
    <definedName name="MLL.33">#REF!</definedName>
    <definedName name="MLL.33B">#REF!</definedName>
    <definedName name="MLL.33G">#REF!</definedName>
    <definedName name="MLL.34">#REF!</definedName>
    <definedName name="MLL.34B">#REF!</definedName>
    <definedName name="MLL.34G">#REF!</definedName>
    <definedName name="MLL.35">#REF!</definedName>
    <definedName name="MLL.35B">#REF!</definedName>
    <definedName name="MLL.35G">#REF!</definedName>
    <definedName name="MLL.36">#REF!</definedName>
    <definedName name="MLL.36B">#REF!</definedName>
    <definedName name="MLL.36G">#REF!</definedName>
    <definedName name="MLL.37">#REF!</definedName>
    <definedName name="MLL.37B">#REF!</definedName>
    <definedName name="MLL.37G">#REF!</definedName>
    <definedName name="MLL.38">#REF!</definedName>
    <definedName name="MLL.38B">#REF!</definedName>
    <definedName name="MLL.38G">#REF!</definedName>
    <definedName name="MLL.39">#REF!</definedName>
    <definedName name="MLL.39B">#REF!</definedName>
    <definedName name="MLL.39G">#REF!</definedName>
    <definedName name="MLL.40">#REF!</definedName>
    <definedName name="MLL.40B">#REF!</definedName>
    <definedName name="MLL.40G">#REF!</definedName>
    <definedName name="MLL.41">#REF!</definedName>
    <definedName name="MLL.41B">#REF!</definedName>
    <definedName name="MLL.41G">#REF!</definedName>
    <definedName name="MLL.42">#REF!</definedName>
    <definedName name="MLL.42B">#REF!</definedName>
    <definedName name="MLL.42G">#REF!</definedName>
    <definedName name="MLL.43">#REF!</definedName>
    <definedName name="MLL.43B">#REF!</definedName>
    <definedName name="MLL.43G">#REF!</definedName>
    <definedName name="MLL.44">#REF!</definedName>
    <definedName name="MLL.44B">#REF!</definedName>
    <definedName name="MLL.44G">#REF!</definedName>
    <definedName name="MLL.45">#REF!</definedName>
    <definedName name="MLL.45B">#REF!</definedName>
    <definedName name="MLL.45G">#REF!</definedName>
    <definedName name="MLL.46">#REF!</definedName>
    <definedName name="MLL.46B">#REF!</definedName>
    <definedName name="MLL.46G">#REF!</definedName>
    <definedName name="MLL.47">#REF!</definedName>
    <definedName name="MLL.47B">#REF!</definedName>
    <definedName name="MLL.47G">#REF!</definedName>
    <definedName name="MLL.48">#REF!</definedName>
    <definedName name="MLL.48B">#REF!</definedName>
    <definedName name="MLL.48G">#REF!</definedName>
    <definedName name="MLL.49">#REF!</definedName>
    <definedName name="MLL.49B">#REF!</definedName>
    <definedName name="MLL.49G">#REF!</definedName>
    <definedName name="MLL.50">#REF!</definedName>
    <definedName name="MLL.50B">#REF!</definedName>
    <definedName name="MLL.50G">#REF!</definedName>
    <definedName name="MLL.51">#REF!</definedName>
    <definedName name="MLL.51B">#REF!</definedName>
    <definedName name="MLL.51G">#REF!</definedName>
    <definedName name="MLL.52">#REF!</definedName>
    <definedName name="MLL.52B">#REF!</definedName>
    <definedName name="MLL.52G">#REF!</definedName>
    <definedName name="MLL.53">#REF!</definedName>
    <definedName name="MLL.53B">#REF!</definedName>
    <definedName name="MLL.53G">#REF!</definedName>
    <definedName name="MLL.54">#REF!</definedName>
    <definedName name="MLL.54B">#REF!</definedName>
    <definedName name="MLL.54G">#REF!</definedName>
    <definedName name="MLL.55">#REF!</definedName>
    <definedName name="MLL.55B">#REF!</definedName>
    <definedName name="MLL.55G">#REF!</definedName>
    <definedName name="Mlmik">#REF!</definedName>
    <definedName name="MLT.01">#REF!</definedName>
    <definedName name="MLT.01B">#REF!</definedName>
    <definedName name="MLT.01G">#REF!</definedName>
    <definedName name="MLT.02">#REF!</definedName>
    <definedName name="MLT.02B">#REF!</definedName>
    <definedName name="MLT.02G">#REF!</definedName>
    <definedName name="MLT.03">#REF!</definedName>
    <definedName name="MLT.03B">#REF!</definedName>
    <definedName name="MLT.03G">#REF!</definedName>
    <definedName name="MLT.04">#REF!</definedName>
    <definedName name="MLT.04B">#REF!</definedName>
    <definedName name="MLT.04G">#REF!</definedName>
    <definedName name="MLT.05">#REF!</definedName>
    <definedName name="MLT.05B">#REF!</definedName>
    <definedName name="MLT.05G">#REF!</definedName>
    <definedName name="MLT.06">#REF!</definedName>
    <definedName name="MLT.06B">#REF!</definedName>
    <definedName name="MLT.06G">#REF!</definedName>
    <definedName name="MLT.07">#REF!</definedName>
    <definedName name="MLT.07B">#REF!</definedName>
    <definedName name="MLT.07G">#REF!</definedName>
    <definedName name="MLT.08">#REF!</definedName>
    <definedName name="MLT.08B">#REF!</definedName>
    <definedName name="MLT.08G">#REF!</definedName>
    <definedName name="MLT.09">#REF!</definedName>
    <definedName name="MLT.09B">#REF!</definedName>
    <definedName name="MLT.09G">#REF!</definedName>
    <definedName name="MLT.10">#REF!</definedName>
    <definedName name="MLT.10B">#REF!</definedName>
    <definedName name="MLT.10G">#REF!</definedName>
    <definedName name="MLT.11">#REF!</definedName>
    <definedName name="MLT.11B">#REF!</definedName>
    <definedName name="MLT.11G">#REF!</definedName>
    <definedName name="MLT.12">#REF!</definedName>
    <definedName name="MLT.12B">#REF!</definedName>
    <definedName name="MLT.12G">#REF!</definedName>
    <definedName name="MLT.13">#REF!</definedName>
    <definedName name="MLT.13B">#REF!</definedName>
    <definedName name="MLT.13G">#REF!</definedName>
    <definedName name="MLT.14">#REF!</definedName>
    <definedName name="MLT.14B">#REF!</definedName>
    <definedName name="MLT.14G">#REF!</definedName>
    <definedName name="MLT.15">#REF!</definedName>
    <definedName name="MLT.15B">#REF!</definedName>
    <definedName name="MLT.15G">#REF!</definedName>
    <definedName name="MLT.16">#REF!</definedName>
    <definedName name="MLT.16B">#REF!</definedName>
    <definedName name="MLT.16G">#REF!</definedName>
    <definedName name="MLT.17">#REF!</definedName>
    <definedName name="MLT.17B">#REF!</definedName>
    <definedName name="MLT.17G">#REF!</definedName>
    <definedName name="MLT.18">#REF!</definedName>
    <definedName name="MLT.18B">#REF!</definedName>
    <definedName name="MLT.18G">#REF!</definedName>
    <definedName name="MLT.19">#REF!</definedName>
    <definedName name="MLT.19B">#REF!</definedName>
    <definedName name="MLT.19G">#REF!</definedName>
    <definedName name="MLT.20">#REF!</definedName>
    <definedName name="MLT.20B">#REF!</definedName>
    <definedName name="MLT.20G">#REF!</definedName>
    <definedName name="MLT.21">#REF!</definedName>
    <definedName name="MLT.21B">#REF!</definedName>
    <definedName name="MLT.21G">#REF!</definedName>
    <definedName name="MLT.22">#REF!</definedName>
    <definedName name="MLT.22B">#REF!</definedName>
    <definedName name="MLT.22G">#REF!</definedName>
    <definedName name="MLT.23">#REF!</definedName>
    <definedName name="MLT.23B">#REF!</definedName>
    <definedName name="MLT.23G">#REF!</definedName>
    <definedName name="MLT.24">#REF!</definedName>
    <definedName name="MLT.24B">#REF!</definedName>
    <definedName name="MLT.24G">#REF!</definedName>
    <definedName name="MLT.25">#REF!</definedName>
    <definedName name="MLT.25B">#REF!</definedName>
    <definedName name="MLT.25G">#REF!</definedName>
    <definedName name="MLT.26">#REF!</definedName>
    <definedName name="MLT.26B">#REF!</definedName>
    <definedName name="MLT.26G">#REF!</definedName>
    <definedName name="MLT.27">#REF!</definedName>
    <definedName name="MLT.27B">#REF!</definedName>
    <definedName name="MLT.27G">#REF!</definedName>
    <definedName name="MLT.28">#REF!</definedName>
    <definedName name="MLT.28B">#REF!</definedName>
    <definedName name="MLT.28G">#REF!</definedName>
    <definedName name="MLT.29">#REF!</definedName>
    <definedName name="MLT.29B">#REF!</definedName>
    <definedName name="MLT.29G">#REF!</definedName>
    <definedName name="MLT.30">#REF!</definedName>
    <definedName name="MLT.30B">#REF!</definedName>
    <definedName name="MLT.30G">#REF!</definedName>
    <definedName name="MLT.31">#REF!</definedName>
    <definedName name="MLT.31B">#REF!</definedName>
    <definedName name="MLT.31G">#REF!</definedName>
    <definedName name="MLT.32">#REF!</definedName>
    <definedName name="MLT.32B">#REF!</definedName>
    <definedName name="MLT.32G">#REF!</definedName>
    <definedName name="MLT.33">#REF!</definedName>
    <definedName name="MLT.33B">#REF!</definedName>
    <definedName name="MLT.33G">#REF!</definedName>
    <definedName name="MLT.34">#REF!</definedName>
    <definedName name="MLT.34B">#REF!</definedName>
    <definedName name="MLT.34G">#REF!</definedName>
    <definedName name="MLT.35">#REF!</definedName>
    <definedName name="MLT.35B">#REF!</definedName>
    <definedName name="MLT.35G">#REF!</definedName>
    <definedName name="MLT.36">#REF!</definedName>
    <definedName name="MLT.36B">#REF!</definedName>
    <definedName name="MLT.36G">#REF!</definedName>
    <definedName name="MLT.37">#REF!</definedName>
    <definedName name="MLT.37B">#REF!</definedName>
    <definedName name="MLT.37G">#REF!</definedName>
    <definedName name="MLT.38">#REF!</definedName>
    <definedName name="MLT.38B">#REF!</definedName>
    <definedName name="MLT.38G">#REF!</definedName>
    <definedName name="mm">#REF!</definedName>
    <definedName name="MM_00">#REF!</definedName>
    <definedName name="MM_01">#REF!</definedName>
    <definedName name="MM_02">#REF!</definedName>
    <definedName name="MM_03">#REF!</definedName>
    <definedName name="MM_04">#REF!</definedName>
    <definedName name="MM_05">#REF!</definedName>
    <definedName name="MM_06">#REF!</definedName>
    <definedName name="MM_07">#REF!</definedName>
    <definedName name="MM_08">#REF!</definedName>
    <definedName name="MM_09">#REF!</definedName>
    <definedName name="mm_1">#REF!</definedName>
    <definedName name="MM_10">#REF!</definedName>
    <definedName name="MM_11">#REF!</definedName>
    <definedName name="MM_12">#REF!</definedName>
    <definedName name="MM_13">#REF!</definedName>
    <definedName name="MM_14">#REF!</definedName>
    <definedName name="MM_15">#REF!</definedName>
    <definedName name="MM_16">#REF!</definedName>
    <definedName name="MM_17">#REF!</definedName>
    <definedName name="MM_19">#REF!</definedName>
    <definedName name="mm_2">#REF!</definedName>
    <definedName name="mm_2_1">#REF!</definedName>
    <definedName name="mm_2_1_6">#REF!</definedName>
    <definedName name="mm_2_6">#REF!</definedName>
    <definedName name="MM_20">#REF!</definedName>
    <definedName name="MM_21">#REF!</definedName>
    <definedName name="MM_22">#REF!</definedName>
    <definedName name="MM_23">#REF!</definedName>
    <definedName name="MM_24">#REF!</definedName>
    <definedName name="MM_25">#REF!</definedName>
    <definedName name="MM_26">#REF!</definedName>
    <definedName name="mm_3">#REF!</definedName>
    <definedName name="mm_3_6">#REF!</definedName>
    <definedName name="mm_3_7">#REF!</definedName>
    <definedName name="mm_4">#REF!</definedName>
    <definedName name="mm_5">#REF!</definedName>
    <definedName name="mm_6">#REF!</definedName>
    <definedName name="mm_6_1">#REF!</definedName>
    <definedName name="mm_6_6">#REF!</definedName>
    <definedName name="mm_6_7">#REF!</definedName>
    <definedName name="mm_7">#REF!</definedName>
    <definedName name="MM01A">#REF!</definedName>
    <definedName name="MM03A">#REF!</definedName>
    <definedName name="mmc" hidden="1">{#N/A,#N/A,TRUE,"Front";#N/A,#N/A,TRUE,"Simple Letter";#N/A,#N/A,TRUE,"Inside";#N/A,#N/A,TRUE,"Contents";#N/A,#N/A,TRUE,"Basis";#N/A,#N/A,TRUE,"Inclusions";#N/A,#N/A,TRUE,"Exclusions";#N/A,#N/A,TRUE,"Areas";#N/A,#N/A,TRUE,"Summary";#N/A,#N/A,TRUE,"Detail"}</definedName>
    <definedName name="mme">#N/A</definedName>
    <definedName name="mmember1">#REF!</definedName>
    <definedName name="mmember2">#REF!</definedName>
    <definedName name="mmet">[76]Hargamat!#REF!</definedName>
    <definedName name="MMM">#REF!</definedName>
    <definedName name="MMM17A" localSheetId="7">'[37]Harga Alat'!#REF!</definedName>
    <definedName name="MMM17A">#REF!</definedName>
    <definedName name="MMM35A">#REF!</definedName>
    <definedName name="mmmertwetwe">'[163]4-Basic Price'!$F$139</definedName>
    <definedName name="MMMMM">#REF!</definedName>
    <definedName name="MMMS">#REF!</definedName>
    <definedName name="mnb">#REF!</definedName>
    <definedName name="MNDR">#REF!</definedName>
    <definedName name="MNL">#REF!</definedName>
    <definedName name="MNM">#REF!</definedName>
    <definedName name="mnp">[136]harsat!$H$35</definedName>
    <definedName name="mob">#REF!</definedName>
    <definedName name="mob_demob_pancang10">#REF!</definedName>
    <definedName name="MOBIL">#REF!</definedName>
    <definedName name="MOBILISASI" localSheetId="7">#REF!</definedName>
    <definedName name="MOBILISASI">#REF!</definedName>
    <definedName name="Mobilization">#REF!</definedName>
    <definedName name="MOC">#REF!</definedName>
    <definedName name="model">#REF!</definedName>
    <definedName name="modul">#REF!</definedName>
    <definedName name="Mokjin">'[164]BIIL ASLI'!$M$45</definedName>
    <definedName name="MOL">#REF!</definedName>
    <definedName name="molen">#REF!</definedName>
    <definedName name="Molen_Mixer">#REF!</definedName>
    <definedName name="molenbeton">#REF!</definedName>
    <definedName name="molenunit">#REF!</definedName>
    <definedName name="Month1">#REF!</definedName>
    <definedName name="Month10">#REF!</definedName>
    <definedName name="Month12">#REF!</definedName>
    <definedName name="Month13">#REF!</definedName>
    <definedName name="Month14">#REF!</definedName>
    <definedName name="Month15">#REF!</definedName>
    <definedName name="Month16">#REF!</definedName>
    <definedName name="Month17">#REF!</definedName>
    <definedName name="Month18">#REF!</definedName>
    <definedName name="Month19">#REF!</definedName>
    <definedName name="Month2">#REF!</definedName>
    <definedName name="Month20">#REF!</definedName>
    <definedName name="Month21">#REF!</definedName>
    <definedName name="Month22">#REF!</definedName>
    <definedName name="Month24">#REF!</definedName>
    <definedName name="Month25">#REF!</definedName>
    <definedName name="Month26">#REF!</definedName>
    <definedName name="Month27">#REF!</definedName>
    <definedName name="Month28">#REF!</definedName>
    <definedName name="Month29">#REF!</definedName>
    <definedName name="Month3">#REF!</definedName>
    <definedName name="Month30">#REF!</definedName>
    <definedName name="Month31">#REF!</definedName>
    <definedName name="Month32">#REF!</definedName>
    <definedName name="Month33">#REF!</definedName>
    <definedName name="Month4">#REF!</definedName>
    <definedName name="Month5">#REF!</definedName>
    <definedName name="Month6">#REF!</definedName>
    <definedName name="Month7">#REF!</definedName>
    <definedName name="Month8">#REF!</definedName>
    <definedName name="Month9">#REF!</definedName>
    <definedName name="monyet">#REF!</definedName>
    <definedName name="MOOI">[10]Material!$F$59</definedName>
    <definedName name="mor">'[35]Harga Satuan Bahan'!$E$156</definedName>
    <definedName name="morandowarna">#REF!</definedName>
    <definedName name="morgls">'[21]Harga Satuan Bahan'!#REF!</definedName>
    <definedName name="Mortar">#REF!</definedName>
    <definedName name="mortar13">"'file://SERVER3/har-data/STRUCTURE PRICE OF BQ KOMPAS GRAMEDIA.xls'#$analisa.$#REF!$#REF!"</definedName>
    <definedName name="mortared">#N/A</definedName>
    <definedName name="MOS">#REF!</definedName>
    <definedName name="MOS_15">#REF!</definedName>
    <definedName name="MOS_16">#REF!</definedName>
    <definedName name="mosok">#REF!</definedName>
    <definedName name="Motor_Grader">#REF!</definedName>
    <definedName name="MOTORGRADER">#REF!</definedName>
    <definedName name="MOTORGRADER33">#REF!</definedName>
    <definedName name="MOTORGRADER511">#REF!</definedName>
    <definedName name="MOTORGRADER512">#REF!</definedName>
    <definedName name="MOTORGRADER521">#REF!</definedName>
    <definedName name="mould_oil">#REF!</definedName>
    <definedName name="MOVE">#REF!</definedName>
    <definedName name="mow">#REF!</definedName>
    <definedName name="mowi.w.shield">#REF!</definedName>
    <definedName name="mowi.ws">#REF!</definedName>
    <definedName name="moz">#REF!</definedName>
    <definedName name="MP">#REF!</definedName>
    <definedName name="mp.182">'[45]Sat~Bahu'!$C$104</definedName>
    <definedName name="MP_21">#REF!</definedName>
    <definedName name="MP_221">#REF!</definedName>
    <definedName name="MP_222">#REF!</definedName>
    <definedName name="MP_311">#REF!</definedName>
    <definedName name="MP_311a">#REF!</definedName>
    <definedName name="MP_312">#REF!</definedName>
    <definedName name="MP_312b">#REF!</definedName>
    <definedName name="MP_321">#REF!</definedName>
    <definedName name="MP_322">#REF!</definedName>
    <definedName name="MP_33">#REF!</definedName>
    <definedName name="MP_511">#REF!</definedName>
    <definedName name="MP_512">#REF!</definedName>
    <definedName name="MP_513">#REF!</definedName>
    <definedName name="MP_52">#REF!</definedName>
    <definedName name="MP_55">#REF!</definedName>
    <definedName name="MP_7121">[165]D7!#REF!</definedName>
    <definedName name="MP_717">[165]D7!#REF!</definedName>
    <definedName name="mp1x25">'[18]dongia (2)'!#REF!</definedName>
    <definedName name="mpa">#REF!</definedName>
    <definedName name="mpabrik">#REF!</definedName>
    <definedName name="mpan">#REF!</definedName>
    <definedName name="mpancang">#REF!</definedName>
    <definedName name="mpasbk5">#REF!</definedName>
    <definedName name="mpasbm3">#REF!</definedName>
    <definedName name="mpasbm5">#REF!</definedName>
    <definedName name="mpb">#REF!</definedName>
    <definedName name="mpcp">[76]Hargamat!#REF!</definedName>
    <definedName name="mper">#REF!</definedName>
    <definedName name="mpile">[76]Hargamat!#REF!</definedName>
    <definedName name="mpj">#REF!</definedName>
    <definedName name="mpl">#N/A</definedName>
    <definedName name="MPL.01">#REF!</definedName>
    <definedName name="MPL.01B">#REF!</definedName>
    <definedName name="MPL.01G">#REF!</definedName>
    <definedName name="MPL.02">#REF!</definedName>
    <definedName name="MPL.02B">#REF!</definedName>
    <definedName name="MPL.02G">#REF!</definedName>
    <definedName name="MPL.03">#REF!</definedName>
    <definedName name="MPL.03B">#REF!</definedName>
    <definedName name="MPL.03G">#REF!</definedName>
    <definedName name="MPL.04">#REF!</definedName>
    <definedName name="MPL.04B">#REF!</definedName>
    <definedName name="MPL.04G">#REF!</definedName>
    <definedName name="MPL.05">#REF!</definedName>
    <definedName name="MPL.05B">#REF!</definedName>
    <definedName name="MPL.05G">#REF!</definedName>
    <definedName name="MPL.06">#REF!</definedName>
    <definedName name="MPL.06B">#REF!</definedName>
    <definedName name="MPL.06G">#REF!</definedName>
    <definedName name="MPL.07">#REF!</definedName>
    <definedName name="MPL.07B">#REF!</definedName>
    <definedName name="MPL.07G">#REF!</definedName>
    <definedName name="MPL.08">#REF!</definedName>
    <definedName name="MPL.08B">#REF!</definedName>
    <definedName name="MPL.08G">#REF!</definedName>
    <definedName name="MPL.09">#REF!</definedName>
    <definedName name="MPL.09B">#REF!</definedName>
    <definedName name="MPL.09G">#REF!</definedName>
    <definedName name="MPL.10">#REF!</definedName>
    <definedName name="MPL.10B">#REF!</definedName>
    <definedName name="MPL.10G">#REF!</definedName>
    <definedName name="MPL.11">#REF!</definedName>
    <definedName name="MPL.11B">#REF!</definedName>
    <definedName name="MPL.11G">#REF!</definedName>
    <definedName name="MPL.12">#REF!</definedName>
    <definedName name="MPL.12B">#REF!</definedName>
    <definedName name="MPL.12G">#REF!</definedName>
    <definedName name="MPL.13">#REF!</definedName>
    <definedName name="MPL.13B">#REF!</definedName>
    <definedName name="MPL.13G">#REF!</definedName>
    <definedName name="MPL.14">#REF!</definedName>
    <definedName name="MPL.14B">#REF!</definedName>
    <definedName name="MPL.14G">#REF!</definedName>
    <definedName name="MPL.15">#REF!</definedName>
    <definedName name="MPL.15B">#REF!</definedName>
    <definedName name="MPL.15G">#REF!</definedName>
    <definedName name="MPL.16">#REF!</definedName>
    <definedName name="MPL.16B">#REF!</definedName>
    <definedName name="MPL.16G">#REF!</definedName>
    <definedName name="MPL.17">#REF!</definedName>
    <definedName name="MPL.17B">#REF!</definedName>
    <definedName name="MPL.17G">#REF!</definedName>
    <definedName name="MPL.18">#REF!</definedName>
    <definedName name="MPL.18B">#REF!</definedName>
    <definedName name="MPL.18G">#REF!</definedName>
    <definedName name="MPL.19">#REF!</definedName>
    <definedName name="MPL.19B">#REF!</definedName>
    <definedName name="MPL.19G">#REF!</definedName>
    <definedName name="MPL.20">#REF!</definedName>
    <definedName name="MPL.20B">#REF!</definedName>
    <definedName name="MPL.20G">#REF!</definedName>
    <definedName name="MPL.21">#REF!</definedName>
    <definedName name="MPL.21B">#REF!</definedName>
    <definedName name="MPL.21G">#REF!</definedName>
    <definedName name="MPL.22">#REF!</definedName>
    <definedName name="MPL.22B">#REF!</definedName>
    <definedName name="MPL.22G">#REF!</definedName>
    <definedName name="MPL.23">#REF!</definedName>
    <definedName name="MPL.23B">#REF!</definedName>
    <definedName name="MPL.23G">#REF!</definedName>
    <definedName name="MPL.24">#REF!</definedName>
    <definedName name="MPL.24B">#REF!</definedName>
    <definedName name="MPL.24G">#REF!</definedName>
    <definedName name="MPL.25">#REF!</definedName>
    <definedName name="MPL.25B">#REF!</definedName>
    <definedName name="MPL.25G">#REF!</definedName>
    <definedName name="MPL.26">#REF!</definedName>
    <definedName name="MPL.26B">#REF!</definedName>
    <definedName name="MPL.26G">#REF!</definedName>
    <definedName name="MPL.27">#REF!</definedName>
    <definedName name="MPL.27B">#REF!</definedName>
    <definedName name="MPL.27G">#REF!</definedName>
    <definedName name="MPL.28">#REF!</definedName>
    <definedName name="MPL.28B">#REF!</definedName>
    <definedName name="MPL.28G">#REF!</definedName>
    <definedName name="MPL.29">#REF!</definedName>
    <definedName name="MPL.29B">#REF!</definedName>
    <definedName name="MPL.29G">#REF!</definedName>
    <definedName name="MPL.30">#REF!</definedName>
    <definedName name="MPL.30B">#REF!</definedName>
    <definedName name="MPL.30G">#REF!</definedName>
    <definedName name="MPL.31">#REF!</definedName>
    <definedName name="MPL.31B">#REF!</definedName>
    <definedName name="MPL.31G">#REF!</definedName>
    <definedName name="MPL.32">#REF!</definedName>
    <definedName name="MPL.32B">#REF!</definedName>
    <definedName name="MPL.32G">#REF!</definedName>
    <definedName name="mplek12">#REF!</definedName>
    <definedName name="mplek9">#REF!</definedName>
    <definedName name="mplest3">#REF!</definedName>
    <definedName name="mplest5">#REF!</definedName>
    <definedName name="mpon">#REF!</definedName>
    <definedName name="mpond">#REF!</definedName>
    <definedName name="MPP.01">#REF!</definedName>
    <definedName name="MPP.01B">#REF!</definedName>
    <definedName name="MPP.01G">#REF!</definedName>
    <definedName name="MPP.02">#REF!</definedName>
    <definedName name="MPP.02B">#REF!</definedName>
    <definedName name="MPP.02G">#REF!</definedName>
    <definedName name="MPP.03">#REF!</definedName>
    <definedName name="MPP.03B">#REF!</definedName>
    <definedName name="MPP.03G">#REF!</definedName>
    <definedName name="MPP.04">#REF!</definedName>
    <definedName name="MPP.04B">#REF!</definedName>
    <definedName name="MPP.04G">#REF!</definedName>
    <definedName name="MPP.05">#REF!</definedName>
    <definedName name="MPP.05B">#REF!</definedName>
    <definedName name="MPP.05G">#REF!</definedName>
    <definedName name="MPP.06">#REF!</definedName>
    <definedName name="MPP.06B">#REF!</definedName>
    <definedName name="MPP.06G">#REF!</definedName>
    <definedName name="MPP.07">#REF!</definedName>
    <definedName name="MPP.07B">#REF!</definedName>
    <definedName name="MPP.07G">#REF!</definedName>
    <definedName name="MPP.08">#REF!</definedName>
    <definedName name="MPP.08B">#REF!</definedName>
    <definedName name="MPP.08G">#REF!</definedName>
    <definedName name="MPP.09">#REF!</definedName>
    <definedName name="MPP.09B">#REF!</definedName>
    <definedName name="MPP.09G">#REF!</definedName>
    <definedName name="MPP.10">#REF!</definedName>
    <definedName name="MPP.10B">#REF!</definedName>
    <definedName name="MPP.10G">#REF!</definedName>
    <definedName name="MPP.11">#REF!</definedName>
    <definedName name="MPP.11B">#REF!</definedName>
    <definedName name="MPP.11G">#REF!</definedName>
    <definedName name="MPP.12">#REF!</definedName>
    <definedName name="MPP.12B">#REF!</definedName>
    <definedName name="MPP.12G">#REF!</definedName>
    <definedName name="MPP.13">#REF!</definedName>
    <definedName name="MPP.13B">#REF!</definedName>
    <definedName name="MPP.13G">#REF!</definedName>
    <definedName name="MPP.14">#REF!</definedName>
    <definedName name="MPP.14B">#REF!</definedName>
    <definedName name="MPP.14G">#REF!</definedName>
    <definedName name="MPP.15">#REF!</definedName>
    <definedName name="MPP.15B">#REF!</definedName>
    <definedName name="MPP.15G">#REF!</definedName>
    <definedName name="MPP.16">#REF!</definedName>
    <definedName name="MPP.16B">#REF!</definedName>
    <definedName name="MPP.16G">#REF!</definedName>
    <definedName name="MPP.17">#REF!</definedName>
    <definedName name="MPP.17B">#REF!</definedName>
    <definedName name="MPP.17G">#REF!</definedName>
    <definedName name="MPP.18">#REF!</definedName>
    <definedName name="MPP.18B">#REF!</definedName>
    <definedName name="MPP.18G">#REF!</definedName>
    <definedName name="MPP.19">#REF!</definedName>
    <definedName name="MPP.19B">#REF!</definedName>
    <definedName name="MPP.19G">#REF!</definedName>
    <definedName name="MPP.20">#REF!</definedName>
    <definedName name="MPP.20B">#REF!</definedName>
    <definedName name="MPP.20G">#REF!</definedName>
    <definedName name="MPP.21">#REF!</definedName>
    <definedName name="MPP.21B">#REF!</definedName>
    <definedName name="MPP.21G">#REF!</definedName>
    <definedName name="mpre">#REF!</definedName>
    <definedName name="mprel">#REF!</definedName>
    <definedName name="mprel_6">#REF!</definedName>
    <definedName name="Mpres">"mt"</definedName>
    <definedName name="mprt">#REF!</definedName>
    <definedName name="mprt_6">#REF!</definedName>
    <definedName name="MPS.01">#REF!</definedName>
    <definedName name="MPS.01B">#REF!</definedName>
    <definedName name="MPS.01G">#REF!</definedName>
    <definedName name="MPS.02">#REF!</definedName>
    <definedName name="MPS.02B">#REF!</definedName>
    <definedName name="MPS.02G">#REF!</definedName>
    <definedName name="MPS.03">#REF!</definedName>
    <definedName name="MPS.03B">#REF!</definedName>
    <definedName name="MPS.03G">#REF!</definedName>
    <definedName name="MPS.04">#REF!</definedName>
    <definedName name="MPS.04B">#REF!</definedName>
    <definedName name="MPS.04G">#REF!</definedName>
    <definedName name="MPS.05">#REF!</definedName>
    <definedName name="MPS.05B">#REF!</definedName>
    <definedName name="MPS.05G">#REF!</definedName>
    <definedName name="MPS.06">#REF!</definedName>
    <definedName name="MPS.06B">#REF!</definedName>
    <definedName name="MPS.06G">#REF!</definedName>
    <definedName name="MPV.01">#REF!</definedName>
    <definedName name="MPV.01B">#REF!</definedName>
    <definedName name="MPV.01G">#REF!</definedName>
    <definedName name="MPV.02">#REF!</definedName>
    <definedName name="MPV.02B">#REF!</definedName>
    <definedName name="MPV.02G">#REF!</definedName>
    <definedName name="MPV.03">#REF!</definedName>
    <definedName name="MPV.03B">#REF!</definedName>
    <definedName name="MPV.03G">#REF!</definedName>
    <definedName name="MPV.04">#REF!</definedName>
    <definedName name="MPV.04B">#REF!</definedName>
    <definedName name="MPV.04G">#REF!</definedName>
    <definedName name="mr_1">[121]HDasar!$H$24</definedName>
    <definedName name="MR_12">#REF!</definedName>
    <definedName name="mR_42">#REF!</definedName>
    <definedName name="mra">[136]harsat!$H$71</definedName>
    <definedName name="mrab">#REF!</definedName>
    <definedName name="mrabat">#REF!</definedName>
    <definedName name="mrantiblk">#REF!</definedName>
    <definedName name="mrantippn">#REF!</definedName>
    <definedName name="mreserv">#REF!</definedName>
    <definedName name="mrev2">#REF!</definedName>
    <definedName name="mrev3">#REF!</definedName>
    <definedName name="MRIGHT">#REF!</definedName>
    <definedName name="mrp">[136]harsat!$H$38</definedName>
    <definedName name="MRP_NONSTANDARD">#REF!</definedName>
    <definedName name="MRP_STANDARD">#REF!</definedName>
    <definedName name="mrs">[136]harsat!$H$31</definedName>
    <definedName name="MRT">#REF!</definedName>
    <definedName name="MRT_MCB">#REF!</definedName>
    <definedName name="MRT_MCP">#REF!</definedName>
    <definedName name="mrtl">#REF!</definedName>
    <definedName name="mrtr">"'file://SERVER3/har-data/STRUCTURE PRICE OF BQ KOMPAS GRAMEDIA.xls'#$analisa.$#REF!$#REF!"</definedName>
    <definedName name="ms">#REF!</definedName>
    <definedName name="ms_0.7">[121]HDasar!$H$25</definedName>
    <definedName name="ms_3">#REF!</definedName>
    <definedName name="ms_30145">#REF!</definedName>
    <definedName name="ms_60185">#REF!</definedName>
    <definedName name="ms_6019">#REF!</definedName>
    <definedName name="ms_6020">#REF!</definedName>
    <definedName name="ms_60205">#REF!</definedName>
    <definedName name="ms_60235">#REF!</definedName>
    <definedName name="ms_60245">#REF!</definedName>
    <definedName name="ms_6030">#REF!</definedName>
    <definedName name="ms_6031">#REF!</definedName>
    <definedName name="ms_60315">#REF!</definedName>
    <definedName name="ms_6035">#REF!</definedName>
    <definedName name="ms_604.2">#REF!</definedName>
    <definedName name="ms_6042">#REF!</definedName>
    <definedName name="msani">#REF!</definedName>
    <definedName name="msanit">#REF!</definedName>
    <definedName name="msemen">#REF!</definedName>
    <definedName name="mseptick">#REF!</definedName>
    <definedName name="MSN.01">#REF!</definedName>
    <definedName name="MSN.01B">#REF!</definedName>
    <definedName name="MSN.01F">#REF!</definedName>
    <definedName name="MSN.01G">#REF!</definedName>
    <definedName name="MSN.02">#REF!</definedName>
    <definedName name="MSN.02B">#REF!</definedName>
    <definedName name="MSN.02F">#REF!</definedName>
    <definedName name="MSN.02G">#REF!</definedName>
    <definedName name="MSN.03">#REF!</definedName>
    <definedName name="MSN.03B">#REF!</definedName>
    <definedName name="MSN.03F">#REF!</definedName>
    <definedName name="MSN.03G">#REF!</definedName>
    <definedName name="MSN.04">#REF!</definedName>
    <definedName name="MSN.04B">#REF!</definedName>
    <definedName name="MSN.04F">#REF!</definedName>
    <definedName name="MSN.04G">#REF!</definedName>
    <definedName name="MSN.05">#REF!</definedName>
    <definedName name="MSN.05B">#REF!</definedName>
    <definedName name="MSN.05F">#REF!</definedName>
    <definedName name="MSN.05G">#REF!</definedName>
    <definedName name="MSN.06">#REF!</definedName>
    <definedName name="MSN.06B">#REF!</definedName>
    <definedName name="MSN.06G">#REF!</definedName>
    <definedName name="MSN.07">#REF!</definedName>
    <definedName name="MSN.07B">#REF!</definedName>
    <definedName name="MSN.07G">#REF!</definedName>
    <definedName name="MSN.08">#REF!</definedName>
    <definedName name="MSN.08B">#REF!</definedName>
    <definedName name="MSN.08G">#REF!</definedName>
    <definedName name="MSS_3.11">#REF!</definedName>
    <definedName name="MSS_8.01_1_">#REF!</definedName>
    <definedName name="MSS_8.01_11_A">#REF!</definedName>
    <definedName name="MSS_8.01_2_">#REF!</definedName>
    <definedName name="MSS_8.01_3_">#REF!</definedName>
    <definedName name="MSS_8.04_1_A">#REF!</definedName>
    <definedName name="MSS_9.05_3_">#REF!</definedName>
    <definedName name="MST.01">#REF!</definedName>
    <definedName name="MST.01B">#REF!</definedName>
    <definedName name="MST.01G">#REF!</definedName>
    <definedName name="MST.02">#REF!</definedName>
    <definedName name="MST.02B">#REF!</definedName>
    <definedName name="MST.02G">#REF!</definedName>
    <definedName name="MST.03">#REF!</definedName>
    <definedName name="MST.03B">#REF!</definedName>
    <definedName name="MST.03G">#REF!</definedName>
    <definedName name="MST.04">#REF!</definedName>
    <definedName name="MST.04B">#REF!</definedName>
    <definedName name="MST.04G">#REF!</definedName>
    <definedName name="MST.05">#REF!</definedName>
    <definedName name="MST.05B">#REF!</definedName>
    <definedName name="MST.05G">#REF!</definedName>
    <definedName name="MST.06">#REF!</definedName>
    <definedName name="MST.06B">#REF!</definedName>
    <definedName name="MST.06G">#REF!</definedName>
    <definedName name="MST.07">#REF!</definedName>
    <definedName name="MST.07B">#REF!</definedName>
    <definedName name="MST.07G">#REF!</definedName>
    <definedName name="MST.08">#REF!</definedName>
    <definedName name="MST.08B">#REF!</definedName>
    <definedName name="MST.08G">#REF!</definedName>
    <definedName name="MST.09">#REF!</definedName>
    <definedName name="MST.09B">#REF!</definedName>
    <definedName name="MST.09G">#REF!</definedName>
    <definedName name="MST.10">#REF!</definedName>
    <definedName name="MST.10B">#REF!</definedName>
    <definedName name="MST.10G">#REF!</definedName>
    <definedName name="MST.11">#REF!</definedName>
    <definedName name="MST.11B">#REF!</definedName>
    <definedName name="MST.11G">#REF!</definedName>
    <definedName name="MST.12">#REF!</definedName>
    <definedName name="MST.12B">#REF!</definedName>
    <definedName name="MST.12G">#REF!</definedName>
    <definedName name="mstamp">#REF!</definedName>
    <definedName name="mstr">#REF!</definedName>
    <definedName name="mstruk">#REF!</definedName>
    <definedName name="msub">#REF!</definedName>
    <definedName name="msy">[136]harsat!$H$22</definedName>
    <definedName name="MT">#REF!</definedName>
    <definedName name="MTB">#REF!</definedName>
    <definedName name="MTC1P">'[18]TONG HOP VL-NC TT'!#REF!</definedName>
    <definedName name="MTC3P">'[18]TONG HOP VL-NC TT'!#REF!</definedName>
    <definedName name="MTCHC">#REF!</definedName>
    <definedName name="MTCMB">'[18]#REF'!#REF!</definedName>
    <definedName name="MTG">#REF!</definedName>
    <definedName name="MTMAC12">#REF!</definedName>
    <definedName name="MTO">#REF!</definedName>
    <definedName name="MTOP">#REF!</definedName>
    <definedName name="MTP">#REF!</definedName>
    <definedName name="MTP.01">#REF!</definedName>
    <definedName name="MTP.01B">#REF!</definedName>
    <definedName name="MTP.01G">#REF!</definedName>
    <definedName name="MTP.02">#REF!</definedName>
    <definedName name="MTP.02B">#REF!</definedName>
    <definedName name="MTP.02G">#REF!</definedName>
    <definedName name="MTP.03">#REF!</definedName>
    <definedName name="MTP.03B">#REF!</definedName>
    <definedName name="MTP.03G">#REF!</definedName>
    <definedName name="MTP.04">#REF!</definedName>
    <definedName name="MTP.04B">#REF!</definedName>
    <definedName name="MTP.04G">#REF!</definedName>
    <definedName name="MTP.05">#REF!</definedName>
    <definedName name="MTP.05B">#REF!</definedName>
    <definedName name="MTP.05G">#REF!</definedName>
    <definedName name="MTP.06">#REF!</definedName>
    <definedName name="MTP.06B">#REF!</definedName>
    <definedName name="MTP.06G">#REF!</definedName>
    <definedName name="MTP.07">#REF!</definedName>
    <definedName name="MTP.07B">#REF!</definedName>
    <definedName name="MTP.07G">#REF!</definedName>
    <definedName name="MTP.08">#REF!</definedName>
    <definedName name="MTP.08B">#REF!</definedName>
    <definedName name="MTP.08G">#REF!</definedName>
    <definedName name="MTP.09">#REF!</definedName>
    <definedName name="MTP.09B">#REF!</definedName>
    <definedName name="MTP.09G">#REF!</definedName>
    <definedName name="MTP.10">#REF!</definedName>
    <definedName name="MTP.10B">#REF!</definedName>
    <definedName name="MTP.10G">#REF!</definedName>
    <definedName name="mtp15mm">'[48]HARGA SATUAN'!$G$28</definedName>
    <definedName name="mtp18mm">'[48]HARGA SATUAN'!#REF!</definedName>
    <definedName name="mtr">'[18]TH XL'!#REF!</definedName>
    <definedName name="mtram">#REF!</definedName>
    <definedName name="mts">#REF!</definedName>
    <definedName name="MTX">#REF!</definedName>
    <definedName name="mu">#REF!</definedName>
    <definedName name="mu_200">#REF!</definedName>
    <definedName name="mu_6">#REF!</definedName>
    <definedName name="MU_alat">#REF!</definedName>
    <definedName name="MU_ARS">#REF!</definedName>
    <definedName name="MU_bahan">#REF!</definedName>
    <definedName name="MU_STR">#REF!</definedName>
    <definedName name="MU_upah">#REF!</definedName>
    <definedName name="mua">#REF!</definedName>
    <definedName name="mua_6">#REF!</definedName>
    <definedName name="mualat">#REF!</definedName>
    <definedName name="mualat_6">#REF!</definedName>
    <definedName name="muars">#REF!</definedName>
    <definedName name="MUB">#REF!</definedName>
    <definedName name="mubesi">#REF!</definedName>
    <definedName name="mubhn">#REF!</definedName>
    <definedName name="mubtn">#REF!</definedName>
    <definedName name="muc">#REF!</definedName>
    <definedName name="muga">#REF!</definedName>
    <definedName name="muinterior">#REF!</definedName>
    <definedName name="mult12">#REF!</definedName>
    <definedName name="mult9">#REF!</definedName>
    <definedName name="multi.18">#REF!</definedName>
    <definedName name="multi.4">#REF!</definedName>
    <definedName name="multi.6">#REF!</definedName>
    <definedName name="multi.9">#REF!</definedName>
    <definedName name="multi_15">[68]HSATUAN!$H$46</definedName>
    <definedName name="multi_4">[146]harsat!$H$15</definedName>
    <definedName name="multi12">#REF!</definedName>
    <definedName name="multi15">#REF!</definedName>
    <definedName name="multicolour">#REF!</definedName>
    <definedName name="multiplek_12">#REF!</definedName>
    <definedName name="Multiplek_12_mm">#REF!</definedName>
    <definedName name="Multiplek_12_mm__2_x_pakai__75">#REF!</definedName>
    <definedName name="multiplek_12mm">#REF!</definedName>
    <definedName name="multiplek_15">#REF!</definedName>
    <definedName name="multiplek_18">#REF!</definedName>
    <definedName name="multiplek_4mm">#REF!</definedName>
    <definedName name="Multiplek_6_mm">#REF!</definedName>
    <definedName name="multiplek_6mm">#REF!</definedName>
    <definedName name="multiplek_9">#REF!</definedName>
    <definedName name="Multiplek_9_mm__2_x_pakai__75">#REF!</definedName>
    <definedName name="multiplek_9mm">#REF!</definedName>
    <definedName name="multiplek12mm">#REF!</definedName>
    <definedName name="multiplek18mm">#REF!</definedName>
    <definedName name="multiplek6mm">#REF!</definedName>
    <definedName name="multiplek9">'[87]DAF-BAHAN'!#REF!</definedName>
    <definedName name="multiplek9mm">#REF!</definedName>
    <definedName name="MULTIPLEKS">#N/A</definedName>
    <definedName name="multiplex">#REF!</definedName>
    <definedName name="MULTIPLEX_4MM">#REF!</definedName>
    <definedName name="MULTIPLEX_9MM">#REF!</definedName>
    <definedName name="mulyo">#REF!</definedName>
    <definedName name="mum">#REF!</definedName>
    <definedName name="mume">#REF!</definedName>
    <definedName name="mume_6">#REF!</definedName>
    <definedName name="mup">#REF!</definedName>
    <definedName name="mup_6">#REF!</definedName>
    <definedName name="mupah">#REF!</definedName>
    <definedName name="mupahstr">#REF!</definedName>
    <definedName name="mupan">#REF!</definedName>
    <definedName name="mupek">#REF!</definedName>
    <definedName name="Muph">#N/A</definedName>
    <definedName name="mupond">#REF!</definedName>
    <definedName name="mupre">#REF!</definedName>
    <definedName name="mupre2">#REF!</definedName>
    <definedName name="muprel">#REF!</definedName>
    <definedName name="mupres">#REF!</definedName>
    <definedName name="murbaut12">#REF!</definedName>
    <definedName name="murbaut16">#REF!</definedName>
    <definedName name="murbaut19">#REF!</definedName>
    <definedName name="murbaut22">#REF!</definedName>
    <definedName name="murbautklem">#REF!</definedName>
    <definedName name="Murda">#REF!</definedName>
    <definedName name="MURDA_FIBER">#REF!</definedName>
    <definedName name="MURDA_PARAS">#REF!</definedName>
    <definedName name="murug">#REF!</definedName>
    <definedName name="mus">#REF!</definedName>
    <definedName name="MUS_NONSTANDARD">#REF!</definedName>
    <definedName name="MUS_STANDARD">#REF!</definedName>
    <definedName name="musan">#REF!</definedName>
    <definedName name="MUSLIMIN">#REF!</definedName>
    <definedName name="MUSTIKA">#REF!</definedName>
    <definedName name="mustr">#REF!</definedName>
    <definedName name="musub">#REF!</definedName>
    <definedName name="muupah">#REF!</definedName>
    <definedName name="mvd0.75">#REF!</definedName>
    <definedName name="mvd1.25">#REF!</definedName>
    <definedName name="mvd1.5">#REF!</definedName>
    <definedName name="mvd2.5">#REF!</definedName>
    <definedName name="mvp">[136]harsat!$H$34</definedName>
    <definedName name="MW">#REF!</definedName>
    <definedName name="mwater">#REF!</definedName>
    <definedName name="mwf">#REF!</definedName>
    <definedName name="mws">[136]harsat!$H$41</definedName>
    <definedName name="mykbegisting">#REF!</definedName>
    <definedName name="n">#REF!</definedName>
    <definedName name="N.1">#REF!</definedName>
    <definedName name="n.16">#REF!</definedName>
    <definedName name="n.18">#REF!</definedName>
    <definedName name="N.2">#REF!</definedName>
    <definedName name="N.4">#REF!</definedName>
    <definedName name="N.5">#REF!</definedName>
    <definedName name="N.6">#REF!</definedName>
    <definedName name="N.6.14">#REF!</definedName>
    <definedName name="N.7">#REF!</definedName>
    <definedName name="N.8">#REF!</definedName>
    <definedName name="N.9">#REF!</definedName>
    <definedName name="N_12">#REF!</definedName>
    <definedName name="N_22">#REF!</definedName>
    <definedName name="N_321">#REF!</definedName>
    <definedName name="N_33">#REF!</definedName>
    <definedName name="N_34">#REF!</definedName>
    <definedName name="N_511">#REF!</definedName>
    <definedName name="N_74">#REF!</definedName>
    <definedName name="n_8a">#REF!</definedName>
    <definedName name="n_ke11">#REF!</definedName>
    <definedName name="n_ke5">#REF!</definedName>
    <definedName name="n_ke6">#REF!</definedName>
    <definedName name="n_ke8">#REF!</definedName>
    <definedName name="N1IN">#REF!</definedName>
    <definedName name="n1pig">#REF!</definedName>
    <definedName name="n1pignc">'[18]lam-moi'!#REF!</definedName>
    <definedName name="n1pigvl">'[18]lam-moi'!#REF!</definedName>
    <definedName name="n1pind">#REF!</definedName>
    <definedName name="n1pindnc">'[18]lam-moi'!#REF!</definedName>
    <definedName name="n1pindvl">'[18]lam-moi'!#REF!</definedName>
    <definedName name="n1ping">#REF!</definedName>
    <definedName name="n1pingnc">'[18]lam-moi'!#REF!</definedName>
    <definedName name="n1pingvl">'[18]lam-moi'!#REF!</definedName>
    <definedName name="n1pint">#REF!</definedName>
    <definedName name="n1pintnc">'[18]lam-moi'!#REF!</definedName>
    <definedName name="n1pintvl">'[18]lam-moi'!#REF!</definedName>
    <definedName name="n24nc">'[18]lam-moi'!#REF!</definedName>
    <definedName name="n24vl">'[18]lam-moi'!#REF!</definedName>
    <definedName name="n2mignc">'[18]lam-moi'!#REF!</definedName>
    <definedName name="n2migvl">'[18]lam-moi'!#REF!</definedName>
    <definedName name="n2min1nc">'[18]lam-moi'!#REF!</definedName>
    <definedName name="n2min1vl">'[18]lam-moi'!#REF!</definedName>
    <definedName name="NA">#REF!</definedName>
    <definedName name="naco">#REF!</definedName>
    <definedName name="Naga">'[164]BIIL ASLI'!$M$48</definedName>
    <definedName name="NAIL">#REF!</definedName>
    <definedName name="nako">#REF!</definedName>
    <definedName name="nam">#REF!</definedName>
    <definedName name="NAMA">#REF!</definedName>
    <definedName name="NAMA_PAKET">#REF!</definedName>
    <definedName name="Nama_Proyek">#REF!</definedName>
    <definedName name="Nama1">#REF!</definedName>
    <definedName name="Nama2">#REF!</definedName>
    <definedName name="Nama3">#REF!</definedName>
    <definedName name="Nama4">#REF!</definedName>
    <definedName name="NamaAkun">#REF!</definedName>
    <definedName name="namaatas">[93]Rekap!$H$141</definedName>
    <definedName name="namabawah">[93]Rekap!$H$142</definedName>
    <definedName name="NamaKonsultan">#REF!</definedName>
    <definedName name="NamaOwner1">#REF!</definedName>
    <definedName name="NamaOwner2">#REF!</definedName>
    <definedName name="namapaket">[99]ch!$E$3</definedName>
    <definedName name="NamaProyek">#REF!</definedName>
    <definedName name="NAME">#REF!</definedName>
    <definedName name="NAMPRO">#REF!</definedName>
    <definedName name="Nas">#REF!</definedName>
    <definedName name="natimah">#REF!</definedName>
    <definedName name="natural">#REF!</definedName>
    <definedName name="nb">#REF!</definedName>
    <definedName name="nbm">#REF!</definedName>
    <definedName name="nc">#REF!</definedName>
    <definedName name="nc1nc">'[18]lam-moi'!#REF!</definedName>
    <definedName name="nc1p">#REF!</definedName>
    <definedName name="nc1vl">'[18]lam-moi'!#REF!</definedName>
    <definedName name="nc24nc">'[18]lam-moi'!#REF!</definedName>
    <definedName name="nc24vl">'[18]lam-moi'!#REF!</definedName>
    <definedName name="nc3p">#REF!</definedName>
    <definedName name="NCBD100">#REF!</definedName>
    <definedName name="NCBD200">#REF!</definedName>
    <definedName name="NCBD250">#REF!</definedName>
    <definedName name="ncdd">'[18]TH XL'!#REF!</definedName>
    <definedName name="NCDD2">'[18]TH XL'!#REF!</definedName>
    <definedName name="NCHC">#REF!</definedName>
    <definedName name="nctr">'[18]TH XL'!#REF!</definedName>
    <definedName name="nctram">#REF!</definedName>
    <definedName name="NCVC100">#REF!</definedName>
    <definedName name="NCVC200">#REF!</definedName>
    <definedName name="NCVC250">#REF!</definedName>
    <definedName name="NCVC3P">#REF!</definedName>
    <definedName name="ndakyo">#REF!</definedName>
    <definedName name="ndgnd">[80]DHSD!$G$37</definedName>
    <definedName name="neglasari">#REF!</definedName>
    <definedName name="nero">[93]Rekap!$H$40</definedName>
    <definedName name="NEVER">#REF!</definedName>
    <definedName name="new">#N/A</definedName>
    <definedName name="newb">#N/A</definedName>
    <definedName name="NGESU" hidden="1">{#N/A,#N/A,FALSE,"REK-S-TPL";#N/A,#N/A,FALSE,"REK-TPML";#N/A,#N/A,FALSE,"RAB-TEMPEL"}</definedName>
    <definedName name="ngfjg">#REF!</definedName>
    <definedName name="NGFN">#REF!</definedName>
    <definedName name="NGRA">#REF!</definedName>
    <definedName name="nhn">#REF!</definedName>
    <definedName name="nhnnc">'[18]lam-moi'!#REF!</definedName>
    <definedName name="nhnvl">'[18]lam-moi'!#REF!</definedName>
    <definedName name="nig">#REF!</definedName>
    <definedName name="NIG13p">#REF!</definedName>
    <definedName name="nig1p">#REF!</definedName>
    <definedName name="nig3p">#REF!</definedName>
    <definedName name="nightnc">[18]gtrinh!#REF!</definedName>
    <definedName name="nightvl">[18]gtrinh!#REF!</definedName>
    <definedName name="nignc1p">#REF!</definedName>
    <definedName name="nignc3p">#REF!</definedName>
    <definedName name="nigvl1p">#REF!</definedName>
    <definedName name="nigvl3p">#REF!</definedName>
    <definedName name="Nilai">#REF!</definedName>
    <definedName name="Nilai_Kontrak">#REF!</definedName>
    <definedName name="NilaiExt">#REF!</definedName>
    <definedName name="NilaiFisik">#REF!</definedName>
    <definedName name="NILAIKONTRAK">#REF!</definedName>
    <definedName name="NilaiRAP">#REF!</definedName>
    <definedName name="nilkon">#REF!</definedName>
    <definedName name="nin">#REF!</definedName>
    <definedName name="nin14nc3p">#REF!</definedName>
    <definedName name="nin14vl3p">#REF!</definedName>
    <definedName name="nin1903p">#REF!</definedName>
    <definedName name="nin190nc">'[18]lam-moi'!#REF!</definedName>
    <definedName name="nin190nc3p">#REF!</definedName>
    <definedName name="nin190vl">'[18]lam-moi'!#REF!</definedName>
    <definedName name="nin190vl3p">#REF!</definedName>
    <definedName name="nin1pnc">'[18]lam-moi'!#REF!</definedName>
    <definedName name="nin1pvl">'[18]lam-moi'!#REF!</definedName>
    <definedName name="nin2903p">#REF!</definedName>
    <definedName name="nin290nc3p">#REF!</definedName>
    <definedName name="nin290vl3p">#REF!</definedName>
    <definedName name="nin3p">#REF!</definedName>
    <definedName name="nind">#REF!</definedName>
    <definedName name="nind1p">#REF!</definedName>
    <definedName name="nind3p">#REF!</definedName>
    <definedName name="nindnc">'[18]lam-moi'!#REF!</definedName>
    <definedName name="nindnc1p">#REF!</definedName>
    <definedName name="nindnc3p">#REF!</definedName>
    <definedName name="nindvl">'[18]lam-moi'!#REF!</definedName>
    <definedName name="nindvl1p">#REF!</definedName>
    <definedName name="nindvl3p">#REF!</definedName>
    <definedName name="ning1p">#REF!</definedName>
    <definedName name="ningnc1p">#REF!</definedName>
    <definedName name="ningvl1p">#REF!</definedName>
    <definedName name="ninnc">'[18]lam-moi'!#REF!</definedName>
    <definedName name="ninnc3p">#REF!</definedName>
    <definedName name="nint1p">#REF!</definedName>
    <definedName name="nintnc1p">#REF!</definedName>
    <definedName name="nintvl1p">#REF!</definedName>
    <definedName name="ninvl">'[18]lam-moi'!#REF!</definedName>
    <definedName name="ninvl3p">#REF!</definedName>
    <definedName name="NIT">#REF!</definedName>
    <definedName name="NK">#REF!</definedName>
    <definedName name="nkeramik">[69]harsat!$H$36</definedName>
    <definedName name="nl">#REF!</definedName>
    <definedName name="NL12nc">'[18]#REF'!#REF!</definedName>
    <definedName name="NL12vl">'[18]#REF'!#REF!</definedName>
    <definedName name="nl1p">#REF!</definedName>
    <definedName name="nl3p">#REF!</definedName>
    <definedName name="nlht">'[18]THPDMoi  (2)'!#REF!</definedName>
    <definedName name="nlmtc">'[18]t-h HA THE'!#REF!</definedName>
    <definedName name="nlnc">'[18]lam-moi'!#REF!</definedName>
    <definedName name="nlnc3p">#REF!</definedName>
    <definedName name="nlnc3pha">#REF!</definedName>
    <definedName name="NLTK1p">#REF!</definedName>
    <definedName name="nlvl">'[18]lam-moi'!#REF!</definedName>
    <definedName name="nlvl1">#REF!</definedName>
    <definedName name="nlvl3p">#REF!</definedName>
    <definedName name="nm">[9]Ch!$A$11</definedName>
    <definedName name="NMN">#REF!</definedName>
    <definedName name="NMPAKET">[3]CH!$C$8</definedName>
    <definedName name="nn">"'file://SERVER3/har-data/STRUCTURE PRICE OF BQ KOMPAS GRAMEDIA.xls'#$analisa.$#REF!$#REF!"</definedName>
    <definedName name="NN_01">#REF!</definedName>
    <definedName name="NN_01A">#REF!</definedName>
    <definedName name="NN_02">#REF!</definedName>
    <definedName name="NN_03">#REF!</definedName>
    <definedName name="NN_04">#REF!</definedName>
    <definedName name="NN_05">#REF!</definedName>
    <definedName name="NN_06">#REF!</definedName>
    <definedName name="NN_07">#REF!</definedName>
    <definedName name="NN_08">#REF!</definedName>
    <definedName name="nn1p">#REF!</definedName>
    <definedName name="nn3p">#REF!</definedName>
    <definedName name="NNL">#REF!</definedName>
    <definedName name="nnnc">'[18]lam-moi'!#REF!</definedName>
    <definedName name="nnnc3p">#REF!</definedName>
    <definedName name="nnvl">'[18]lam-moi'!#REF!</definedName>
    <definedName name="nnvl3p">#REF!</definedName>
    <definedName name="no" hidden="1">{#N/A,#N/A,TRUE,"Front";#N/A,#N/A,TRUE,"Simple Letter";#N/A,#N/A,TRUE,"Inside";#N/A,#N/A,TRUE,"Contents";#N/A,#N/A,TRUE,"Basis";#N/A,#N/A,TRUE,"Inclusions";#N/A,#N/A,TRUE,"Exclusions";#N/A,#N/A,TRUE,"Areas";#N/A,#N/A,TRUE,"Summary";#N/A,#N/A,TRUE,"Detail"}</definedName>
    <definedName name="NO.">#REF!</definedName>
    <definedName name="NO._MATA_PEMBAYARAN">#REF!</definedName>
    <definedName name="No_Addendum">#REF!</definedName>
    <definedName name="No_BAEvaluasi">#REF!</definedName>
    <definedName name="No_BAFisik">#REF!</definedName>
    <definedName name="No_BAPeriksa">#REF!</definedName>
    <definedName name="No_CCO">#REF!</definedName>
    <definedName name="No_FHO">#REF!</definedName>
    <definedName name="No_Kontrak">#REF!</definedName>
    <definedName name="No_paket">#REF!</definedName>
    <definedName name="No_PHO">#REF!</definedName>
    <definedName name="No_Rek">#REF!</definedName>
    <definedName name="No_SrtEvaluasiCCO">#REF!</definedName>
    <definedName name="No_SrtHasilEvaluasi">#REF!</definedName>
    <definedName name="No_SrtKeputusanCCO">#REF!</definedName>
    <definedName name="No_SrtKeputusanPHO_FHO">#REF!</definedName>
    <definedName name="No_SrtKonsultan">#REF!</definedName>
    <definedName name="No_SrtLapPelakanaanPekerjaan">#REF!</definedName>
    <definedName name="No_SrtPenilaianFHO">#REF!</definedName>
    <definedName name="No_SrtPenilaianPHO">#REF!</definedName>
    <definedName name="No_SrtPenyampaianEvaluasi">#REF!</definedName>
    <definedName name="No_SrtPermhnanCCO">#REF!</definedName>
    <definedName name="No_SrtPermhnanCCO2">#REF!</definedName>
    <definedName name="No_SrtPermhnanFHO">#REF!</definedName>
    <definedName name="No_SrtPermhnanPHO">#REF!</definedName>
    <definedName name="No_SrtPersetujuanCCO">#REF!</definedName>
    <definedName name="No_SrtPersetujuanCCO2">#REF!</definedName>
    <definedName name="No_SrtPropPerubahanRAP">#REF!</definedName>
    <definedName name="nock_genteng_beton">#REF!</definedName>
    <definedName name="nohmi">#REF!</definedName>
    <definedName name="NOIFS">#REF!</definedName>
    <definedName name="NOIP">#REF!</definedName>
    <definedName name="NOIT">#REF!</definedName>
    <definedName name="nok">#REF!</definedName>
    <definedName name="nok_sd">#REF!</definedName>
    <definedName name="NOKARDEKS">#N/A</definedName>
    <definedName name="NOKARDEKSGEN">#N/A</definedName>
    <definedName name="noker">#REF!</definedName>
    <definedName name="NokGentengMetal">#REF!</definedName>
    <definedName name="nokk">'[21]Harga Satuan Bahan'!#REF!</definedName>
    <definedName name="noknat">'[21]Harga Satuan Bahan'!#REF!</definedName>
    <definedName name="NOKONTRAK">#REF!</definedName>
    <definedName name="NokSeng">#REF!</definedName>
    <definedName name="NokSirap">#REF!</definedName>
    <definedName name="nokstel">#REF!</definedName>
    <definedName name="NOKU">#REF!</definedName>
    <definedName name="nokwr">'[21]Harga Satuan Bahan'!#REF!</definedName>
    <definedName name="NOMFS">#REF!</definedName>
    <definedName name="Nomor">#REF!</definedName>
    <definedName name="NOMOR1">#REF!</definedName>
    <definedName name="NOMOR14">#REF!</definedName>
    <definedName name="NOMP">#REF!</definedName>
    <definedName name="NOMT">#REF!</definedName>
    <definedName name="none">#REF!:#REF!</definedName>
    <definedName name="NOPAKET">[3]CH!$C$7</definedName>
    <definedName name="NoProyek">#REF!</definedName>
    <definedName name="nopy105">#REF!</definedName>
    <definedName name="nopy10b105">#REF!</definedName>
    <definedName name="nopy2025">#REF!</definedName>
    <definedName name="NOPY85">#REF!</definedName>
    <definedName name="normal" hidden="1">#REF!</definedName>
    <definedName name="nosing">#REF!</definedName>
    <definedName name="nosing1020">#REF!</definedName>
    <definedName name="NOSPK">#REF!</definedName>
    <definedName name="nosurat">[3]CH!$C$38</definedName>
    <definedName name="notes">#REF!</definedName>
    <definedName name="NOUM">[10]Material!#REF!</definedName>
    <definedName name="np">#REF!</definedName>
    <definedName name="NPG">#REF!</definedName>
    <definedName name="NPWP">#REF!</definedName>
    <definedName name="nst">#REF!</definedName>
    <definedName name="NSTD">#REF!</definedName>
    <definedName name="NSTDR">#REF!</definedName>
    <definedName name="Number_of_Payments" localSheetId="16">MATCH(0.01,End_Bal,-1)+1</definedName>
    <definedName name="Number_of_Payments">MATCH(0.01,End_Bal,-1)+1</definedName>
    <definedName name="nuoc">#REF!</definedName>
    <definedName name="nurulfalah">#REF!</definedName>
    <definedName name="nurulhuda">#REF!</definedName>
    <definedName name="Nusagolfres">#N/A</definedName>
    <definedName name="nx">'[18]THPDMoi  (2)'!#REF!</definedName>
    <definedName name="nxmtc">'[18]t-h HA THE'!#REF!</definedName>
    <definedName name="NYA">#REF!</definedName>
    <definedName name="nya.25">#REF!</definedName>
    <definedName name="nya1.5">#REF!</definedName>
    <definedName name="NYA1C">#REF!</definedName>
    <definedName name="nya2.5">#REF!</definedName>
    <definedName name="NYFGBY">#REF!</definedName>
    <definedName name="NYFGbY_4x10mm">'[166]Harga Jasa dan Material'!$D$82</definedName>
    <definedName name="Nyfgby_4x120">'[78]Harga Jasa dan Material'!$D$102</definedName>
    <definedName name="Nyfgby_4x16">'[78]Harga Jasa dan Material'!$D$101</definedName>
    <definedName name="Nyfgby_4x6">'[78]Harga Jasa dan Material'!$D$99</definedName>
    <definedName name="nyfgby21.5">#REF!</definedName>
    <definedName name="nyfgby210">#REF!</definedName>
    <definedName name="nyfgby216">#REF!</definedName>
    <definedName name="nyfgby22.5">#REF!</definedName>
    <definedName name="nyfgby24">#REF!</definedName>
    <definedName name="nyfgby26">#REF!</definedName>
    <definedName name="nyfgby31.5">#REF!</definedName>
    <definedName name="nyfgby310">#REF!</definedName>
    <definedName name="nyfgby316">#REF!</definedName>
    <definedName name="nyfgby32.5">#REF!</definedName>
    <definedName name="nyfgby325">#REF!</definedName>
    <definedName name="nyfgby335">#REF!</definedName>
    <definedName name="nyfgby34">#REF!</definedName>
    <definedName name="nyfgby350">#REF!</definedName>
    <definedName name="nyfgby36">#REF!</definedName>
    <definedName name="nyfgby3x6lt">#REF!</definedName>
    <definedName name="nyfgby3x6lt_1">#REF!</definedName>
    <definedName name="nyfgby3x6lt_2">#REF!</definedName>
    <definedName name="nyfgby3x6lt_2_1">#REF!</definedName>
    <definedName name="nyfgby3x6lt_2_1_6">#REF!</definedName>
    <definedName name="nyfgby3x6lt_2_6">#REF!</definedName>
    <definedName name="nyfgby3x6lt_2_7">#REF!</definedName>
    <definedName name="nyfgby3x6lt_3">#REF!</definedName>
    <definedName name="nyfgby3x6lt_3_4">#REF!</definedName>
    <definedName name="nyfgby3x6lt_3_6">#REF!</definedName>
    <definedName name="nyfgby3x6lt_3_7">#REF!</definedName>
    <definedName name="nyfgby3x6lt_4">#REF!</definedName>
    <definedName name="nyfgby3x6lt_4_1">#REF!</definedName>
    <definedName name="nyfgby3x6lt_4_2">#REF!</definedName>
    <definedName name="nyfgby3x6lt_4_2_6">#REF!</definedName>
    <definedName name="nyfgby3x6lt_4_4">#REF!</definedName>
    <definedName name="nyfgby3x6lt_4_6">#REF!</definedName>
    <definedName name="nyfgby3x6lt_4_7">#REF!</definedName>
    <definedName name="nyfgby3x6lt_5">#REF!</definedName>
    <definedName name="nyfgby3x6lt_5_2">#REF!</definedName>
    <definedName name="nyfgby3x6lt_5_2_6">#REF!</definedName>
    <definedName name="nyfgby3x6lt_5_4">#REF!</definedName>
    <definedName name="nyfgby3x6lt_5_6">#REF!</definedName>
    <definedName name="nyfgby3x6lt_5_7">#REF!</definedName>
    <definedName name="nyfgby3x6lt_6">#REF!</definedName>
    <definedName name="nyfgby3x6lt_6_1">#REF!</definedName>
    <definedName name="nyfgby3x6lt_6_4">#REF!</definedName>
    <definedName name="nyfgby3x6lt_6_6">#REF!</definedName>
    <definedName name="nyfgby3x6lt_6_7">#REF!</definedName>
    <definedName name="nyfgby3x6lt_7">#REF!</definedName>
    <definedName name="nyfgby41.5">#REF!</definedName>
    <definedName name="nyfgby410">#REF!</definedName>
    <definedName name="nyfgby4120">#REF!</definedName>
    <definedName name="nyfgby4150">#REF!</definedName>
    <definedName name="nyfgby416">#REF!</definedName>
    <definedName name="nyfgby4185">#REF!</definedName>
    <definedName name="nyfgby42.5">#REF!</definedName>
    <definedName name="nyfgby4240">#REF!</definedName>
    <definedName name="nyfgby425">#REF!</definedName>
    <definedName name="nyfgby4300">#REF!</definedName>
    <definedName name="nyfgby435">#REF!</definedName>
    <definedName name="nyfgby44">#REF!</definedName>
    <definedName name="nyfgby450">#REF!</definedName>
    <definedName name="nyfgby46">#REF!</definedName>
    <definedName name="nyfgby470">#REF!</definedName>
    <definedName name="nyfgby495">#REF!</definedName>
    <definedName name="nyfgby4x6lt">#REF!</definedName>
    <definedName name="nyfgby4x6lt_1">#REF!</definedName>
    <definedName name="nyfgby4x6lt_2">#REF!</definedName>
    <definedName name="nyfgby4x6lt_2_1">#REF!</definedName>
    <definedName name="nyfgby4x6lt_2_1_6">#REF!</definedName>
    <definedName name="nyfgby4x6lt_2_6">#REF!</definedName>
    <definedName name="nyfgby4x6lt_2_7">#REF!</definedName>
    <definedName name="nyfgby4x6lt_3">#REF!</definedName>
    <definedName name="nyfgby4x6lt_3_4">#REF!</definedName>
    <definedName name="nyfgby4x6lt_3_6">#REF!</definedName>
    <definedName name="nyfgby4x6lt_3_7">#REF!</definedName>
    <definedName name="nyfgby4x6lt_4">#REF!</definedName>
    <definedName name="nyfgby4x6lt_4_1">#REF!</definedName>
    <definedName name="nyfgby4x6lt_4_2">#REF!</definedName>
    <definedName name="nyfgby4x6lt_4_2_6">#REF!</definedName>
    <definedName name="nyfgby4x6lt_4_4">#REF!</definedName>
    <definedName name="nyfgby4x6lt_4_6">#REF!</definedName>
    <definedName name="nyfgby4x6lt_4_7">#REF!</definedName>
    <definedName name="nyfgby4x6lt_5">#REF!</definedName>
    <definedName name="nyfgby4x6lt_5_2">#REF!</definedName>
    <definedName name="nyfgby4x6lt_5_2_6">#REF!</definedName>
    <definedName name="nyfgby4x6lt_5_4">#REF!</definedName>
    <definedName name="nyfgby4x6lt_5_6">#REF!</definedName>
    <definedName name="nyfgby4x6lt_5_7">#REF!</definedName>
    <definedName name="nyfgby4x6lt_6">#REF!</definedName>
    <definedName name="nyfgby4x6lt_6_1">#REF!</definedName>
    <definedName name="nyfgby4x6lt_6_4">#REF!</definedName>
    <definedName name="nyfgby4x6lt_6_6">#REF!</definedName>
    <definedName name="nyfgby4x6lt_6_7">#REF!</definedName>
    <definedName name="nyfgby4x6lt_7">#REF!</definedName>
    <definedName name="nyfgby4x95">#REF!</definedName>
    <definedName name="nyfgby4x95_1">#REF!</definedName>
    <definedName name="nyfgby4x95_2">#REF!</definedName>
    <definedName name="nyfgby4x95_2_1">#REF!</definedName>
    <definedName name="nyfgby4x95_2_1_6">#REF!</definedName>
    <definedName name="nyfgby4x95_2_6">#REF!</definedName>
    <definedName name="nyfgby4x95_2_7">#REF!</definedName>
    <definedName name="nyfgby4x95_3">#REF!</definedName>
    <definedName name="nyfgby4x95_3_4">#REF!</definedName>
    <definedName name="nyfgby4x95_3_6">#REF!</definedName>
    <definedName name="nyfgby4x95_3_7">#REF!</definedName>
    <definedName name="nyfgby4x95_4">#REF!</definedName>
    <definedName name="nyfgby4x95_4_1">#REF!</definedName>
    <definedName name="nyfgby4x95_4_2">#REF!</definedName>
    <definedName name="nyfgby4x95_4_2_6">#REF!</definedName>
    <definedName name="nyfgby4x95_4_4">#REF!</definedName>
    <definedName name="nyfgby4x95_4_6">#REF!</definedName>
    <definedName name="nyfgby4x95_4_7">#REF!</definedName>
    <definedName name="nyfgby4x95_5">#REF!</definedName>
    <definedName name="nyfgby4x95_5_2">#REF!</definedName>
    <definedName name="nyfgby4x95_5_2_6">#REF!</definedName>
    <definedName name="nyfgby4x95_5_4">#REF!</definedName>
    <definedName name="nyfgby4x95_5_6">#REF!</definedName>
    <definedName name="nyfgby4x95_5_7">#REF!</definedName>
    <definedName name="nyfgby4x95_6">#REF!</definedName>
    <definedName name="nyfgby4x95_6_1">#REF!</definedName>
    <definedName name="nyfgby4x95_6_4">#REF!</definedName>
    <definedName name="nyfgby4x95_6_6">#REF!</definedName>
    <definedName name="nyfgby4x95_6_7">#REF!</definedName>
    <definedName name="nyfgby4x95_7">#REF!</definedName>
    <definedName name="nyfgby5x6lt">#REF!</definedName>
    <definedName name="nyfgby5x6lt_1">#REF!</definedName>
    <definedName name="nyfgby5x6lt_2">#REF!</definedName>
    <definedName name="nyfgby5x6lt_2_1">#REF!</definedName>
    <definedName name="nyfgby5x6lt_2_1_6">#REF!</definedName>
    <definedName name="nyfgby5x6lt_2_6">#REF!</definedName>
    <definedName name="nyfgby5x6lt_2_7">#REF!</definedName>
    <definedName name="nyfgby5x6lt_3">#REF!</definedName>
    <definedName name="nyfgby5x6lt_3_4">#REF!</definedName>
    <definedName name="nyfgby5x6lt_3_6">#REF!</definedName>
    <definedName name="nyfgby5x6lt_3_7">#REF!</definedName>
    <definedName name="nyfgby5x6lt_4">#REF!</definedName>
    <definedName name="nyfgby5x6lt_4_1">#REF!</definedName>
    <definedName name="nyfgby5x6lt_4_2">#REF!</definedName>
    <definedName name="nyfgby5x6lt_4_2_6">#REF!</definedName>
    <definedName name="nyfgby5x6lt_4_4">#REF!</definedName>
    <definedName name="nyfgby5x6lt_4_6">#REF!</definedName>
    <definedName name="nyfgby5x6lt_4_7">#REF!</definedName>
    <definedName name="nyfgby5x6lt_5">#REF!</definedName>
    <definedName name="nyfgby5x6lt_5_2">#REF!</definedName>
    <definedName name="nyfgby5x6lt_5_2_6">#REF!</definedName>
    <definedName name="nyfgby5x6lt_5_4">#REF!</definedName>
    <definedName name="nyfgby5x6lt_5_6">#REF!</definedName>
    <definedName name="nyfgby5x6lt_5_7">#REF!</definedName>
    <definedName name="nyfgby5x6lt_6">#REF!</definedName>
    <definedName name="nyfgby5x6lt_6_1">#REF!</definedName>
    <definedName name="nyfgby5x6lt_6_4">#REF!</definedName>
    <definedName name="nyfgby5x6lt_6_6">#REF!</definedName>
    <definedName name="nyfgby5x6lt_6_7">#REF!</definedName>
    <definedName name="nyfgby5x6lt_7">#REF!</definedName>
    <definedName name="NYM_3x2.5">'[78]Harga Jasa dan Material'!$D$124</definedName>
    <definedName name="nym21.5">#REF!</definedName>
    <definedName name="nym21_5">#REF!</definedName>
    <definedName name="nym22.5">#REF!</definedName>
    <definedName name="nym22_5">#REF!</definedName>
    <definedName name="NYM2C">#REF!</definedName>
    <definedName name="nym31.5">#REF!</definedName>
    <definedName name="nym31_5">#REF!</definedName>
    <definedName name="nym32.5">#REF!</definedName>
    <definedName name="nym32.5con">#REF!</definedName>
    <definedName name="nym32_5">#REF!</definedName>
    <definedName name="nym34con">#REF!</definedName>
    <definedName name="nym3x2.5flt">#REF!</definedName>
    <definedName name="nym3x2.5flt_1">#REF!</definedName>
    <definedName name="nym3x2.5flt_2">#REF!</definedName>
    <definedName name="nym3x2.5flt_2_1">#REF!</definedName>
    <definedName name="nym3x2.5flt_2_1_6">#REF!</definedName>
    <definedName name="nym3x2.5flt_2_6">#REF!</definedName>
    <definedName name="nym3x2.5flt_2_7">#REF!</definedName>
    <definedName name="nym3x2.5flt_3">#REF!</definedName>
    <definedName name="nym3x2.5flt_3_4">#REF!</definedName>
    <definedName name="nym3x2.5flt_3_6">#REF!</definedName>
    <definedName name="nym3x2.5flt_3_7">#REF!</definedName>
    <definedName name="nym3x2.5flt_4">#REF!</definedName>
    <definedName name="nym3x2.5flt_4_1">#REF!</definedName>
    <definedName name="nym3x2.5flt_4_2">#REF!</definedName>
    <definedName name="nym3x2.5flt_4_2_6">#REF!</definedName>
    <definedName name="nym3x2.5flt_4_4">#REF!</definedName>
    <definedName name="nym3x2.5flt_4_6">#REF!</definedName>
    <definedName name="nym3x2.5flt_4_7">#REF!</definedName>
    <definedName name="nym3x2.5flt_5">#REF!</definedName>
    <definedName name="nym3x2.5flt_5_2">#REF!</definedName>
    <definedName name="nym3x2.5flt_5_2_6">#REF!</definedName>
    <definedName name="nym3x2.5flt_5_4">#REF!</definedName>
    <definedName name="nym3x2.5flt_5_6">#REF!</definedName>
    <definedName name="nym3x2.5flt_5_7">#REF!</definedName>
    <definedName name="nym3x2.5flt_6">#REF!</definedName>
    <definedName name="nym3x2.5flt_6_1">#REF!</definedName>
    <definedName name="nym3x2.5flt_6_4">#REF!</definedName>
    <definedName name="nym3x2.5flt_6_6">#REF!</definedName>
    <definedName name="nym3x2.5flt_6_7">#REF!</definedName>
    <definedName name="nym3x2.5flt_7">#REF!</definedName>
    <definedName name="NYM3x25">#REF!</definedName>
    <definedName name="NYM3x4">#REF!</definedName>
    <definedName name="nym41.5">#REF!</definedName>
    <definedName name="nym41_5">#REF!</definedName>
    <definedName name="nym42.5">#REF!</definedName>
    <definedName name="nym42_5">#REF!</definedName>
    <definedName name="nymhy">#REF!</definedName>
    <definedName name="NYMHY_3x1.5">'[78]Harga Jasa dan Material'!$D$132</definedName>
    <definedName name="NYMHY_3x2.5">'[78]Harga Jasa dan Material'!$D$133</definedName>
    <definedName name="nymhy51.5con">#REF!</definedName>
    <definedName name="NYY">#REF!</definedName>
    <definedName name="nyy.3.2">#REF!</definedName>
    <definedName name="nyy.4.16">#REF!</definedName>
    <definedName name="NYY_4x10">'[78]Harga Jasa dan Material'!$D$84</definedName>
    <definedName name="NYY_4x120">'[78]Harga Jasa dan Material'!$D$91</definedName>
    <definedName name="NYY_4x150">'[78]Harga Jasa dan Material'!$D$92</definedName>
    <definedName name="NYY_4x16">'[78]Harga Jasa dan Material'!$D$85</definedName>
    <definedName name="NYY_4x185">'[78]Harga Jasa dan Material'!$D$93</definedName>
    <definedName name="NYY_4x240">'[78]Harga Jasa dan Material'!$D$94</definedName>
    <definedName name="NYY_4x25">'[78]Harga Jasa dan Material'!$D$86</definedName>
    <definedName name="NYY_4x300">'[78]Harga Jasa dan Material'!$D$95</definedName>
    <definedName name="NYY_4x35">'[78]Harga Jasa dan Material'!$D$87</definedName>
    <definedName name="NYY_4x4">'[78]Harga Jasa dan Material'!$D$82</definedName>
    <definedName name="NYY_4x50">'[78]Harga Jasa dan Material'!$D$88</definedName>
    <definedName name="NYY_4x6">'[78]Harga Jasa dan Material'!$D$83</definedName>
    <definedName name="NYY_4x70">'[78]Harga Jasa dan Material'!$D$89</definedName>
    <definedName name="NYY_4x95">'[78]Harga Jasa dan Material'!$D$90</definedName>
    <definedName name="nyy11x1x500">#REF!</definedName>
    <definedName name="nyy11x1x500_1">#REF!</definedName>
    <definedName name="nyy11x1x500_2">#REF!</definedName>
    <definedName name="nyy11x1x500_2_1">#REF!</definedName>
    <definedName name="nyy11x1x500_2_1_6">#REF!</definedName>
    <definedName name="nyy11x1x500_2_6">#REF!</definedName>
    <definedName name="nyy11x1x500_2_7">#REF!</definedName>
    <definedName name="nyy11x1x500_3">#REF!</definedName>
    <definedName name="nyy11x1x500_3_4">#REF!</definedName>
    <definedName name="nyy11x1x500_3_6">#REF!</definedName>
    <definedName name="nyy11x1x500_3_7">#REF!</definedName>
    <definedName name="nyy11x1x500_4">#REF!</definedName>
    <definedName name="nyy11x1x500_4_1">#REF!</definedName>
    <definedName name="nyy11x1x500_4_2">#REF!</definedName>
    <definedName name="nyy11x1x500_4_2_6">#REF!</definedName>
    <definedName name="nyy11x1x500_4_4">#REF!</definedName>
    <definedName name="nyy11x1x500_4_6">#REF!</definedName>
    <definedName name="nyy11x1x500_4_7">#REF!</definedName>
    <definedName name="nyy11x1x500_5">#REF!</definedName>
    <definedName name="nyy11x1x500_5_2">#REF!</definedName>
    <definedName name="nyy11x1x500_5_2_6">#REF!</definedName>
    <definedName name="nyy11x1x500_5_4">#REF!</definedName>
    <definedName name="nyy11x1x500_5_6">#REF!</definedName>
    <definedName name="nyy11x1x500_5_7">#REF!</definedName>
    <definedName name="nyy11x1x500_6">#REF!</definedName>
    <definedName name="nyy11x1x500_6_1">#REF!</definedName>
    <definedName name="nyy11x1x500_6_4">#REF!</definedName>
    <definedName name="nyy11x1x500_6_6">#REF!</definedName>
    <definedName name="nyy11x1x500_6_7">#REF!</definedName>
    <definedName name="nyy11x1x500_7">#REF!</definedName>
    <definedName name="nyy14x1x500">#REF!</definedName>
    <definedName name="nyy14x1x500_1">#REF!</definedName>
    <definedName name="nyy14x1x500_2">#REF!</definedName>
    <definedName name="nyy14x1x500_2_1">#REF!</definedName>
    <definedName name="nyy14x1x500_2_1_6">#REF!</definedName>
    <definedName name="nyy14x1x500_2_6">#REF!</definedName>
    <definedName name="nyy14x1x500_2_7">#REF!</definedName>
    <definedName name="nyy14x1x500_3">#REF!</definedName>
    <definedName name="nyy14x1x500_3_4">#REF!</definedName>
    <definedName name="nyy14x1x500_3_6">#REF!</definedName>
    <definedName name="nyy14x1x500_3_7">#REF!</definedName>
    <definedName name="nyy14x1x500_4">#REF!</definedName>
    <definedName name="nyy14x1x500_4_1">#REF!</definedName>
    <definedName name="nyy14x1x500_4_2">#REF!</definedName>
    <definedName name="nyy14x1x500_4_2_6">#REF!</definedName>
    <definedName name="nyy14x1x500_4_4">#REF!</definedName>
    <definedName name="nyy14x1x500_4_6">#REF!</definedName>
    <definedName name="nyy14x1x500_4_7">#REF!</definedName>
    <definedName name="nyy14x1x500_5">#REF!</definedName>
    <definedName name="nyy14x1x500_5_2">#REF!</definedName>
    <definedName name="nyy14x1x500_5_2_6">#REF!</definedName>
    <definedName name="nyy14x1x500_5_4">#REF!</definedName>
    <definedName name="nyy14x1x500_5_6">#REF!</definedName>
    <definedName name="nyy14x1x500_5_7">#REF!</definedName>
    <definedName name="nyy14x1x500_6">#REF!</definedName>
    <definedName name="nyy14x1x500_6_1">#REF!</definedName>
    <definedName name="nyy14x1x500_6_4">#REF!</definedName>
    <definedName name="nyy14x1x500_6_6">#REF!</definedName>
    <definedName name="nyy14x1x500_6_7">#REF!</definedName>
    <definedName name="nyy14x1x500_7">#REF!</definedName>
    <definedName name="nyy16x1x500">#REF!</definedName>
    <definedName name="nyy16x1x500_1">#REF!</definedName>
    <definedName name="nyy16x1x500_2">#REF!</definedName>
    <definedName name="nyy16x1x500_2_1">#REF!</definedName>
    <definedName name="nyy16x1x500_2_1_6">#REF!</definedName>
    <definedName name="nyy16x1x500_2_6">#REF!</definedName>
    <definedName name="nyy16x1x500_2_7">#REF!</definedName>
    <definedName name="nyy16x1x500_3">#REF!</definedName>
    <definedName name="nyy16x1x500_3_4">#REF!</definedName>
    <definedName name="nyy16x1x500_3_6">#REF!</definedName>
    <definedName name="nyy16x1x500_3_7">#REF!</definedName>
    <definedName name="nyy16x1x500_4">#REF!</definedName>
    <definedName name="nyy16x1x500_4_1">#REF!</definedName>
    <definedName name="nyy16x1x500_4_2">#REF!</definedName>
    <definedName name="nyy16x1x500_4_2_6">#REF!</definedName>
    <definedName name="nyy16x1x500_4_4">#REF!</definedName>
    <definedName name="nyy16x1x500_4_6">#REF!</definedName>
    <definedName name="nyy16x1x500_4_7">#REF!</definedName>
    <definedName name="nyy16x1x500_5">#REF!</definedName>
    <definedName name="nyy16x1x500_5_2">#REF!</definedName>
    <definedName name="nyy16x1x500_5_2_6">#REF!</definedName>
    <definedName name="nyy16x1x500_5_4">#REF!</definedName>
    <definedName name="nyy16x1x500_5_6">#REF!</definedName>
    <definedName name="nyy16x1x500_5_7">#REF!</definedName>
    <definedName name="nyy16x1x500_6">#REF!</definedName>
    <definedName name="nyy16x1x500_6_1">#REF!</definedName>
    <definedName name="nyy16x1x500_6_4">#REF!</definedName>
    <definedName name="nyy16x1x500_6_6">#REF!</definedName>
    <definedName name="nyy16x1x500_6_7">#REF!</definedName>
    <definedName name="nyy16x1x500_7">#REF!</definedName>
    <definedName name="nyy18x1x500">#REF!</definedName>
    <definedName name="nyy18x1x500_1">#REF!</definedName>
    <definedName name="nyy18x1x500_2">#REF!</definedName>
    <definedName name="nyy18x1x500_2_1">#REF!</definedName>
    <definedName name="nyy18x1x500_2_1_6">#REF!</definedName>
    <definedName name="nyy18x1x500_2_6">#REF!</definedName>
    <definedName name="nyy18x1x500_2_7">#REF!</definedName>
    <definedName name="nyy18x1x500_3">#REF!</definedName>
    <definedName name="nyy18x1x500_3_4">#REF!</definedName>
    <definedName name="nyy18x1x500_3_6">#REF!</definedName>
    <definedName name="nyy18x1x500_3_7">#REF!</definedName>
    <definedName name="nyy18x1x500_4">#REF!</definedName>
    <definedName name="nyy18x1x500_4_1">#REF!</definedName>
    <definedName name="nyy18x1x500_4_2">#REF!</definedName>
    <definedName name="nyy18x1x500_4_2_6">#REF!</definedName>
    <definedName name="nyy18x1x500_4_4">#REF!</definedName>
    <definedName name="nyy18x1x500_4_6">#REF!</definedName>
    <definedName name="nyy18x1x500_4_7">#REF!</definedName>
    <definedName name="nyy18x1x500_5">#REF!</definedName>
    <definedName name="nyy18x1x500_5_2">#REF!</definedName>
    <definedName name="nyy18x1x500_5_2_6">#REF!</definedName>
    <definedName name="nyy18x1x500_5_4">#REF!</definedName>
    <definedName name="nyy18x1x500_5_6">#REF!</definedName>
    <definedName name="nyy18x1x500_5_7">#REF!</definedName>
    <definedName name="nyy18x1x500_6">#REF!</definedName>
    <definedName name="nyy18x1x500_6_1">#REF!</definedName>
    <definedName name="nyy18x1x500_6_4">#REF!</definedName>
    <definedName name="nyy18x1x500_6_6">#REF!</definedName>
    <definedName name="nyy18x1x500_6_7">#REF!</definedName>
    <definedName name="nyy18x1x500_7">#REF!</definedName>
    <definedName name="nyy2.40.1_5">#REF!</definedName>
    <definedName name="nyy21.5">#REF!</definedName>
    <definedName name="nyy21x1x500">#REF!</definedName>
    <definedName name="nyy21x1x500_1">#REF!</definedName>
    <definedName name="nyy21x1x500_2">#REF!</definedName>
    <definedName name="nyy21x1x500_2_1">#REF!</definedName>
    <definedName name="nyy21x1x500_2_1_6">#REF!</definedName>
    <definedName name="nyy21x1x500_2_6">#REF!</definedName>
    <definedName name="nyy21x1x500_2_7">#REF!</definedName>
    <definedName name="nyy21x1x500_3">#REF!</definedName>
    <definedName name="nyy21x1x500_3_4">#REF!</definedName>
    <definedName name="nyy21x1x500_3_6">#REF!</definedName>
    <definedName name="nyy21x1x500_3_7">#REF!</definedName>
    <definedName name="nyy21x1x500_4">#REF!</definedName>
    <definedName name="nyy21x1x500_4_1">#REF!</definedName>
    <definedName name="nyy21x1x500_4_2">#REF!</definedName>
    <definedName name="nyy21x1x500_4_2_6">#REF!</definedName>
    <definedName name="nyy21x1x500_4_4">#REF!</definedName>
    <definedName name="nyy21x1x500_4_6">#REF!</definedName>
    <definedName name="nyy21x1x500_4_7">#REF!</definedName>
    <definedName name="nyy21x1x500_5">#REF!</definedName>
    <definedName name="nyy21x1x500_5_2">#REF!</definedName>
    <definedName name="nyy21x1x500_5_2_6">#REF!</definedName>
    <definedName name="nyy21x1x500_5_4">#REF!</definedName>
    <definedName name="nyy21x1x500_5_6">#REF!</definedName>
    <definedName name="nyy21x1x500_5_7">#REF!</definedName>
    <definedName name="nyy21x1x500_6">#REF!</definedName>
    <definedName name="nyy21x1x500_6_1">#REF!</definedName>
    <definedName name="nyy21x1x500_6_4">#REF!</definedName>
    <definedName name="nyy21x1x500_6_6">#REF!</definedName>
    <definedName name="nyy21x1x500_6_7">#REF!</definedName>
    <definedName name="nyy21x1x500_7">#REF!</definedName>
    <definedName name="nyy22.5">#REF!</definedName>
    <definedName name="nyy2415070">#REF!</definedName>
    <definedName name="nyy25x1x500">#REF!</definedName>
    <definedName name="nyy25x1x500_1">#REF!</definedName>
    <definedName name="nyy25x1x500_2">#REF!</definedName>
    <definedName name="nyy25x1x500_2_1">#REF!</definedName>
    <definedName name="nyy25x1x500_2_1_6">#REF!</definedName>
    <definedName name="nyy25x1x500_2_6">#REF!</definedName>
    <definedName name="nyy25x1x500_2_7">#REF!</definedName>
    <definedName name="nyy25x1x500_3">#REF!</definedName>
    <definedName name="nyy25x1x500_3_4">#REF!</definedName>
    <definedName name="nyy25x1x500_3_6">#REF!</definedName>
    <definedName name="nyy25x1x500_3_7">#REF!</definedName>
    <definedName name="nyy25x1x500_4">#REF!</definedName>
    <definedName name="nyy25x1x500_4_1">#REF!</definedName>
    <definedName name="nyy25x1x500_4_2">#REF!</definedName>
    <definedName name="nyy25x1x500_4_2_6">#REF!</definedName>
    <definedName name="nyy25x1x500_4_4">#REF!</definedName>
    <definedName name="nyy25x1x500_4_6">#REF!</definedName>
    <definedName name="nyy25x1x500_4_7">#REF!</definedName>
    <definedName name="nyy25x1x500_5">#REF!</definedName>
    <definedName name="nyy25x1x500_5_2">#REF!</definedName>
    <definedName name="nyy25x1x500_5_2_6">#REF!</definedName>
    <definedName name="nyy25x1x500_5_4">#REF!</definedName>
    <definedName name="nyy25x1x500_5_6">#REF!</definedName>
    <definedName name="nyy25x1x500_5_7">#REF!</definedName>
    <definedName name="nyy25x1x500_6">#REF!</definedName>
    <definedName name="nyy25x1x500_6_1">#REF!</definedName>
    <definedName name="nyy25x1x500_6_4">#REF!</definedName>
    <definedName name="nyy25x1x500_6_6">#REF!</definedName>
    <definedName name="nyy25x1x500_6_7">#REF!</definedName>
    <definedName name="nyy25x1x500_7">#REF!</definedName>
    <definedName name="nyy2x4x16">#REF!</definedName>
    <definedName name="nyy2x4x16_1">#REF!</definedName>
    <definedName name="nyy2x4x16_2">#REF!</definedName>
    <definedName name="nyy2x4x16_2_1">#REF!</definedName>
    <definedName name="nyy2x4x16_2_1_6">#REF!</definedName>
    <definedName name="nyy2x4x16_2_6">#REF!</definedName>
    <definedName name="nyy2x4x16_2_7">#REF!</definedName>
    <definedName name="nyy2x4x16_3">#REF!</definedName>
    <definedName name="nyy2x4x16_3_4">#REF!</definedName>
    <definedName name="nyy2x4x16_3_6">#REF!</definedName>
    <definedName name="nyy2x4x16_3_7">#REF!</definedName>
    <definedName name="nyy2x4x16_4">#REF!</definedName>
    <definedName name="nyy2x4x16_4_1">#REF!</definedName>
    <definedName name="nyy2x4x16_4_2">#REF!</definedName>
    <definedName name="nyy2x4x16_4_2_6">#REF!</definedName>
    <definedName name="nyy2x4x16_4_4">#REF!</definedName>
    <definedName name="nyy2x4x16_4_6">#REF!</definedName>
    <definedName name="nyy2x4x16_4_7">#REF!</definedName>
    <definedName name="nyy2x4x16_5">#REF!</definedName>
    <definedName name="nyy2x4x16_5_2">#REF!</definedName>
    <definedName name="nyy2x4x16_5_2_6">#REF!</definedName>
    <definedName name="nyy2x4x16_5_4">#REF!</definedName>
    <definedName name="nyy2x4x16_5_6">#REF!</definedName>
    <definedName name="nyy2x4x16_5_7">#REF!</definedName>
    <definedName name="nyy2x4x16_6">#REF!</definedName>
    <definedName name="nyy2x4x16_6_1">#REF!</definedName>
    <definedName name="nyy2x4x16_6_4">#REF!</definedName>
    <definedName name="nyy2x4x16_6_6">#REF!</definedName>
    <definedName name="nyy2x4x16_6_7">#REF!</definedName>
    <definedName name="nyy2x4x16_7">#REF!</definedName>
    <definedName name="nyy3.2_5">#REF!</definedName>
    <definedName name="nyy31.5">#REF!</definedName>
    <definedName name="nyy31_5">#REF!</definedName>
    <definedName name="nyy32.5">#REF!</definedName>
    <definedName name="nyy32_5">#REF!</definedName>
    <definedName name="nyy34con">#REF!</definedName>
    <definedName name="nyy3x10">#REF!</definedName>
    <definedName name="nyy3x6">#REF!</definedName>
    <definedName name="nyy3x6_1">#REF!</definedName>
    <definedName name="nyy3x6_2">#REF!</definedName>
    <definedName name="nyy3x6_2_1">#REF!</definedName>
    <definedName name="nyy3x6_2_1_6">#REF!</definedName>
    <definedName name="nyy3x6_2_6">#REF!</definedName>
    <definedName name="nyy3x6_2_7">#REF!</definedName>
    <definedName name="nyy3x6_3">#REF!</definedName>
    <definedName name="nyy3x6_3_4">#REF!</definedName>
    <definedName name="nyy3x6_3_6">#REF!</definedName>
    <definedName name="nyy3x6_3_7">#REF!</definedName>
    <definedName name="nyy3x6_4">#REF!</definedName>
    <definedName name="nyy3x6_4_1">#REF!</definedName>
    <definedName name="nyy3x6_4_2">#REF!</definedName>
    <definedName name="nyy3x6_4_2_6">#REF!</definedName>
    <definedName name="nyy3x6_4_4">#REF!</definedName>
    <definedName name="nyy3x6_4_6">#REF!</definedName>
    <definedName name="nyy3x6_4_7">#REF!</definedName>
    <definedName name="nyy3x6_5">#REF!</definedName>
    <definedName name="nyy3x6_5_2">#REF!</definedName>
    <definedName name="nyy3x6_5_2_6">#REF!</definedName>
    <definedName name="nyy3x6_5_4">#REF!</definedName>
    <definedName name="nyy3x6_5_6">#REF!</definedName>
    <definedName name="nyy3x6_5_7">#REF!</definedName>
    <definedName name="nyy3x6_6">#REF!</definedName>
    <definedName name="nyy3x6_6_1">#REF!</definedName>
    <definedName name="nyy3x6_6_4">#REF!</definedName>
    <definedName name="nyy3x6_6_6">#REF!</definedName>
    <definedName name="nyy3x6_6_7">#REF!</definedName>
    <definedName name="nyy3x6_7">#REF!</definedName>
    <definedName name="nyy41.5">#REF!</definedName>
    <definedName name="nyy41_5">#REF!</definedName>
    <definedName name="nyy410nya10">#REF!</definedName>
    <definedName name="nyy4120nya70">#REF!</definedName>
    <definedName name="nyy41240nya120">#REF!</definedName>
    <definedName name="nyy416nya16">#REF!</definedName>
    <definedName name="nyy42.5">#REF!</definedName>
    <definedName name="nyy42.5nya2.5">#REF!</definedName>
    <definedName name="nyy42_5">#REF!</definedName>
    <definedName name="nyy42115070">#REF!</definedName>
    <definedName name="nyy4212470">#REF!</definedName>
    <definedName name="nyy435nya35">#REF!</definedName>
    <definedName name="nyy44nya4">#REF!</definedName>
    <definedName name="nyy46nya6">#REF!</definedName>
    <definedName name="nyy4x10">#REF!</definedName>
    <definedName name="nyy4x10_1">#REF!</definedName>
    <definedName name="nyy4x10_2">#REF!</definedName>
    <definedName name="nyy4x10_2_1">#REF!</definedName>
    <definedName name="nyy4x10_2_1_6">#REF!</definedName>
    <definedName name="nyy4x10_2_6">#REF!</definedName>
    <definedName name="nyy4x10_2_7">#REF!</definedName>
    <definedName name="nyy4x10_3">#REF!</definedName>
    <definedName name="nyy4x10_3_4">#REF!</definedName>
    <definedName name="nyy4x10_3_6">#REF!</definedName>
    <definedName name="nyy4x10_3_7">#REF!</definedName>
    <definedName name="nyy4x10_4">#REF!</definedName>
    <definedName name="nyy4x10_4_1">#REF!</definedName>
    <definedName name="nyy4x10_4_2">#REF!</definedName>
    <definedName name="nyy4x10_4_2_6">#REF!</definedName>
    <definedName name="nyy4x10_4_4">#REF!</definedName>
    <definedName name="nyy4x10_4_6">#REF!</definedName>
    <definedName name="nyy4x10_4_7">#REF!</definedName>
    <definedName name="nyy4x10_5">#REF!</definedName>
    <definedName name="nyy4x10_5_2">#REF!</definedName>
    <definedName name="nyy4x10_5_2_6">#REF!</definedName>
    <definedName name="nyy4x10_5_4">#REF!</definedName>
    <definedName name="nyy4x10_5_6">#REF!</definedName>
    <definedName name="nyy4x10_5_7">#REF!</definedName>
    <definedName name="nyy4x10_6">#REF!</definedName>
    <definedName name="nyy4x10_6_1">#REF!</definedName>
    <definedName name="nyy4x10_6_4">#REF!</definedName>
    <definedName name="nyy4x10_6_6">#REF!</definedName>
    <definedName name="nyy4x10_6_7">#REF!</definedName>
    <definedName name="nyy4x10_7">#REF!</definedName>
    <definedName name="nyy4x120">#REF!</definedName>
    <definedName name="nyy4x120_1">#REF!</definedName>
    <definedName name="nyy4x120_2">#REF!</definedName>
    <definedName name="nyy4x120_2_1">#REF!</definedName>
    <definedName name="nyy4x120_2_1_6">#REF!</definedName>
    <definedName name="nyy4x120_2_6">#REF!</definedName>
    <definedName name="nyy4x120_2_7">#REF!</definedName>
    <definedName name="nyy4x120_3">#REF!</definedName>
    <definedName name="nyy4x120_3_4">#REF!</definedName>
    <definedName name="nyy4x120_3_6">#REF!</definedName>
    <definedName name="nyy4x120_3_7">#REF!</definedName>
    <definedName name="nyy4x120_4">#REF!</definedName>
    <definedName name="nyy4x120_4_1">#REF!</definedName>
    <definedName name="nyy4x120_4_2">#REF!</definedName>
    <definedName name="nyy4x120_4_2_6">#REF!</definedName>
    <definedName name="nyy4x120_4_4">#REF!</definedName>
    <definedName name="nyy4x120_4_6">#REF!</definedName>
    <definedName name="nyy4x120_4_7">#REF!</definedName>
    <definedName name="nyy4x120_5">#REF!</definedName>
    <definedName name="nyy4x120_5_2">#REF!</definedName>
    <definedName name="nyy4x120_5_2_6">#REF!</definedName>
    <definedName name="nyy4x120_5_4">#REF!</definedName>
    <definedName name="nyy4x120_5_6">#REF!</definedName>
    <definedName name="nyy4x120_5_7">#REF!</definedName>
    <definedName name="nyy4x120_6">#REF!</definedName>
    <definedName name="nyy4x120_6_1">#REF!</definedName>
    <definedName name="nyy4x120_6_4">#REF!</definedName>
    <definedName name="nyy4x120_6_6">#REF!</definedName>
    <definedName name="nyy4x120_6_7">#REF!</definedName>
    <definedName name="nyy4x120_7">#REF!</definedName>
    <definedName name="nyy4x16">#REF!</definedName>
    <definedName name="nyy4x16_1">#REF!</definedName>
    <definedName name="nyy4x16_2">#REF!</definedName>
    <definedName name="nyy4x16_2_1">#REF!</definedName>
    <definedName name="nyy4x16_2_1_6">#REF!</definedName>
    <definedName name="nyy4x16_2_6">#REF!</definedName>
    <definedName name="nyy4x16_2_7">#REF!</definedName>
    <definedName name="nyy4x16_3">#REF!</definedName>
    <definedName name="nyy4x16_3_4">#REF!</definedName>
    <definedName name="nyy4x16_3_6">#REF!</definedName>
    <definedName name="nyy4x16_3_7">#REF!</definedName>
    <definedName name="nyy4x16_4">#REF!</definedName>
    <definedName name="nyy4x16_4_1">#REF!</definedName>
    <definedName name="nyy4x16_4_2">#REF!</definedName>
    <definedName name="nyy4x16_4_2_6">#REF!</definedName>
    <definedName name="nyy4x16_4_4">#REF!</definedName>
    <definedName name="nyy4x16_4_6">#REF!</definedName>
    <definedName name="nyy4x16_4_7">#REF!</definedName>
    <definedName name="nyy4x16_5">#REF!</definedName>
    <definedName name="nyy4x16_5_2">#REF!</definedName>
    <definedName name="nyy4x16_5_2_6">#REF!</definedName>
    <definedName name="nyy4x16_5_4">#REF!</definedName>
    <definedName name="nyy4x16_5_6">#REF!</definedName>
    <definedName name="nyy4x16_5_7">#REF!</definedName>
    <definedName name="nyy4x16_6">#REF!</definedName>
    <definedName name="nyy4x16_6_1">#REF!</definedName>
    <definedName name="nyy4x16_6_4">#REF!</definedName>
    <definedName name="nyy4x16_6_6">#REF!</definedName>
    <definedName name="nyy4x16_6_7">#REF!</definedName>
    <definedName name="nyy4x16_7">#REF!</definedName>
    <definedName name="nyy4x185">#REF!</definedName>
    <definedName name="nyy4x185_1">#REF!</definedName>
    <definedName name="nyy4x185_2">#REF!</definedName>
    <definedName name="nyy4x185_2_1">#REF!</definedName>
    <definedName name="nyy4x185_2_1_6">#REF!</definedName>
    <definedName name="nyy4x185_2_6">#REF!</definedName>
    <definedName name="nyy4x185_2_7">#REF!</definedName>
    <definedName name="nyy4x185_3">#REF!</definedName>
    <definedName name="nyy4x185_3_4">#REF!</definedName>
    <definedName name="nyy4x185_3_6">#REF!</definedName>
    <definedName name="nyy4x185_3_7">#REF!</definedName>
    <definedName name="nyy4x185_4">#REF!</definedName>
    <definedName name="nyy4x185_4_1">#REF!</definedName>
    <definedName name="nyy4x185_4_2">#REF!</definedName>
    <definedName name="nyy4x185_4_2_6">#REF!</definedName>
    <definedName name="nyy4x185_4_4">#REF!</definedName>
    <definedName name="nyy4x185_4_6">#REF!</definedName>
    <definedName name="nyy4x185_4_7">#REF!</definedName>
    <definedName name="nyy4x185_5">#REF!</definedName>
    <definedName name="nyy4x185_5_2">#REF!</definedName>
    <definedName name="nyy4x185_5_2_6">#REF!</definedName>
    <definedName name="nyy4x185_5_4">#REF!</definedName>
    <definedName name="nyy4x185_5_6">#REF!</definedName>
    <definedName name="nyy4x185_5_7">#REF!</definedName>
    <definedName name="nyy4x185_6">#REF!</definedName>
    <definedName name="nyy4x185_6_1">#REF!</definedName>
    <definedName name="nyy4x185_6_4">#REF!</definedName>
    <definedName name="nyy4x185_6_6">#REF!</definedName>
    <definedName name="nyy4x185_6_7">#REF!</definedName>
    <definedName name="nyy4x185_7">#REF!</definedName>
    <definedName name="nyy4x1x300">#REF!</definedName>
    <definedName name="nyy4x1x300_1">#REF!</definedName>
    <definedName name="nyy4x1x300_2">#REF!</definedName>
    <definedName name="nyy4x1x300_2_1">#REF!</definedName>
    <definedName name="nyy4x1x300_2_1_6">#REF!</definedName>
    <definedName name="nyy4x1x300_2_6">#REF!</definedName>
    <definedName name="nyy4x1x300_2_7">#REF!</definedName>
    <definedName name="nyy4x1x300_3">#REF!</definedName>
    <definedName name="nyy4x1x300_3_4">#REF!</definedName>
    <definedName name="nyy4x1x300_3_6">#REF!</definedName>
    <definedName name="nyy4x1x300_3_7">#REF!</definedName>
    <definedName name="nyy4x1x300_4">#REF!</definedName>
    <definedName name="nyy4x1x300_4_1">#REF!</definedName>
    <definedName name="nyy4x1x300_4_2">#REF!</definedName>
    <definedName name="nyy4x1x300_4_2_6">#REF!</definedName>
    <definedName name="nyy4x1x300_4_4">#REF!</definedName>
    <definedName name="nyy4x1x300_4_6">#REF!</definedName>
    <definedName name="nyy4x1x300_4_7">#REF!</definedName>
    <definedName name="nyy4x1x300_5">#REF!</definedName>
    <definedName name="nyy4x1x300_5_2">#REF!</definedName>
    <definedName name="nyy4x1x300_5_2_6">#REF!</definedName>
    <definedName name="nyy4x1x300_5_4">#REF!</definedName>
    <definedName name="nyy4x1x300_5_6">#REF!</definedName>
    <definedName name="nyy4x1x300_5_7">#REF!</definedName>
    <definedName name="nyy4x1x300_6">#REF!</definedName>
    <definedName name="nyy4x1x300_6_1">#REF!</definedName>
    <definedName name="nyy4x1x300_6_4">#REF!</definedName>
    <definedName name="nyy4x1x300_6_6">#REF!</definedName>
    <definedName name="nyy4x1x300_6_7">#REF!</definedName>
    <definedName name="nyy4x1x300_7">#REF!</definedName>
    <definedName name="nyy4x1x400">#REF!</definedName>
    <definedName name="nyy4x1x400_1">#REF!</definedName>
    <definedName name="nyy4x1x400_2">#REF!</definedName>
    <definedName name="nyy4x1x400_2_1">#REF!</definedName>
    <definedName name="nyy4x1x400_2_1_6">#REF!</definedName>
    <definedName name="nyy4x1x400_2_6">#REF!</definedName>
    <definedName name="nyy4x1x400_2_7">#REF!</definedName>
    <definedName name="nyy4x1x400_3">#REF!</definedName>
    <definedName name="nyy4x1x400_3_4">#REF!</definedName>
    <definedName name="nyy4x1x400_3_6">#REF!</definedName>
    <definedName name="nyy4x1x400_3_7">#REF!</definedName>
    <definedName name="nyy4x1x400_4">#REF!</definedName>
    <definedName name="nyy4x1x400_4_1">#REF!</definedName>
    <definedName name="nyy4x1x400_4_2">#REF!</definedName>
    <definedName name="nyy4x1x400_4_2_6">#REF!</definedName>
    <definedName name="nyy4x1x400_4_4">#REF!</definedName>
    <definedName name="nyy4x1x400_4_6">#REF!</definedName>
    <definedName name="nyy4x1x400_4_7">#REF!</definedName>
    <definedName name="nyy4x1x400_5">#REF!</definedName>
    <definedName name="nyy4x1x400_5_2">#REF!</definedName>
    <definedName name="nyy4x1x400_5_2_6">#REF!</definedName>
    <definedName name="nyy4x1x400_5_4">#REF!</definedName>
    <definedName name="nyy4x1x400_5_6">#REF!</definedName>
    <definedName name="nyy4x1x400_5_7">#REF!</definedName>
    <definedName name="nyy4x1x400_6">#REF!</definedName>
    <definedName name="nyy4x1x400_6_1">#REF!</definedName>
    <definedName name="nyy4x1x400_6_4">#REF!</definedName>
    <definedName name="nyy4x1x400_6_6">#REF!</definedName>
    <definedName name="nyy4x1x400_6_7">#REF!</definedName>
    <definedName name="nyy4x1x400_7">#REF!</definedName>
    <definedName name="nyy4x1x500">#REF!</definedName>
    <definedName name="nyy4x1x500_1">#REF!</definedName>
    <definedName name="nyy4x1x500_2">#REF!</definedName>
    <definedName name="nyy4x1x500_2_1">#REF!</definedName>
    <definedName name="nyy4x1x500_2_1_6">#REF!</definedName>
    <definedName name="nyy4x1x500_2_6">#REF!</definedName>
    <definedName name="nyy4x1x500_2_7">#REF!</definedName>
    <definedName name="nyy4x1x500_3">#REF!</definedName>
    <definedName name="nyy4x1x500_3_4">#REF!</definedName>
    <definedName name="nyy4x1x500_3_6">#REF!</definedName>
    <definedName name="nyy4x1x500_3_7">#REF!</definedName>
    <definedName name="nyy4x1x500_4">#REF!</definedName>
    <definedName name="nyy4x1x500_4_1">#REF!</definedName>
    <definedName name="nyy4x1x500_4_2">#REF!</definedName>
    <definedName name="nyy4x1x500_4_2_6">#REF!</definedName>
    <definedName name="nyy4x1x500_4_4">#REF!</definedName>
    <definedName name="nyy4x1x500_4_6">#REF!</definedName>
    <definedName name="nyy4x1x500_4_7">#REF!</definedName>
    <definedName name="nyy4x1x500_5">#REF!</definedName>
    <definedName name="nyy4x1x500_5_2">#REF!</definedName>
    <definedName name="nyy4x1x500_5_2_6">#REF!</definedName>
    <definedName name="nyy4x1x500_5_4">#REF!</definedName>
    <definedName name="nyy4x1x500_5_6">#REF!</definedName>
    <definedName name="nyy4x1x500_5_7">#REF!</definedName>
    <definedName name="nyy4x1x500_6">#REF!</definedName>
    <definedName name="nyy4x1x500_6_1">#REF!</definedName>
    <definedName name="nyy4x1x500_6_4">#REF!</definedName>
    <definedName name="nyy4x1x500_6_6">#REF!</definedName>
    <definedName name="nyy4x1x500_6_7">#REF!</definedName>
    <definedName name="nyy4x1x500_7">#REF!</definedName>
    <definedName name="nyy4x25">#REF!</definedName>
    <definedName name="nyy4x25_1">#REF!</definedName>
    <definedName name="nyy4x25_2">#REF!</definedName>
    <definedName name="nyy4x25_2_1">#REF!</definedName>
    <definedName name="nyy4x25_2_1_6">#REF!</definedName>
    <definedName name="nyy4x25_2_6">#REF!</definedName>
    <definedName name="nyy4x25_2_7">#REF!</definedName>
    <definedName name="nyy4x25_3">#REF!</definedName>
    <definedName name="nyy4x25_3_4">#REF!</definedName>
    <definedName name="nyy4x25_3_6">#REF!</definedName>
    <definedName name="nyy4x25_3_7">#REF!</definedName>
    <definedName name="nyy4x25_4">#REF!</definedName>
    <definedName name="nyy4x25_4_1">#REF!</definedName>
    <definedName name="nyy4x25_4_2">#REF!</definedName>
    <definedName name="nyy4x25_4_2_6">#REF!</definedName>
    <definedName name="nyy4x25_4_4">#REF!</definedName>
    <definedName name="nyy4x25_4_6">#REF!</definedName>
    <definedName name="nyy4x25_4_7">#REF!</definedName>
    <definedName name="nyy4x25_5">#REF!</definedName>
    <definedName name="nyy4x25_5_2">#REF!</definedName>
    <definedName name="nyy4x25_5_2_6">#REF!</definedName>
    <definedName name="nyy4x25_5_4">#REF!</definedName>
    <definedName name="nyy4x25_5_6">#REF!</definedName>
    <definedName name="nyy4x25_5_7">#REF!</definedName>
    <definedName name="nyy4x25_6">#REF!</definedName>
    <definedName name="nyy4x25_6_1">#REF!</definedName>
    <definedName name="nyy4x25_6_4">#REF!</definedName>
    <definedName name="nyy4x25_6_6">#REF!</definedName>
    <definedName name="nyy4x25_6_7">#REF!</definedName>
    <definedName name="nyy4x25_7">#REF!</definedName>
    <definedName name="nyy4x50">#REF!</definedName>
    <definedName name="nyy4x50_1">#REF!</definedName>
    <definedName name="nyy4x50_2">#REF!</definedName>
    <definedName name="nyy4x50_2_1">#REF!</definedName>
    <definedName name="nyy4x50_2_1_6">#REF!</definedName>
    <definedName name="nyy4x50_2_6">#REF!</definedName>
    <definedName name="nyy4x50_2_7">#REF!</definedName>
    <definedName name="nyy4x50_3">#REF!</definedName>
    <definedName name="nyy4x50_3_4">#REF!</definedName>
    <definedName name="nyy4x50_3_6">#REF!</definedName>
    <definedName name="nyy4x50_3_7">#REF!</definedName>
    <definedName name="nyy4x50_4">#REF!</definedName>
    <definedName name="nyy4x50_4_1">#REF!</definedName>
    <definedName name="nyy4x50_4_2">#REF!</definedName>
    <definedName name="nyy4x50_4_2_6">#REF!</definedName>
    <definedName name="nyy4x50_4_4">#REF!</definedName>
    <definedName name="nyy4x50_4_6">#REF!</definedName>
    <definedName name="nyy4x50_4_7">#REF!</definedName>
    <definedName name="nyy4x50_5">#REF!</definedName>
    <definedName name="nyy4x50_5_2">#REF!</definedName>
    <definedName name="nyy4x50_5_2_6">#REF!</definedName>
    <definedName name="nyy4x50_5_4">#REF!</definedName>
    <definedName name="nyy4x50_5_6">#REF!</definedName>
    <definedName name="nyy4x50_5_7">#REF!</definedName>
    <definedName name="nyy4x50_6">#REF!</definedName>
    <definedName name="nyy4x50_6_1">#REF!</definedName>
    <definedName name="nyy4x50_6_4">#REF!</definedName>
    <definedName name="nyy4x50_6_6">#REF!</definedName>
    <definedName name="nyy4x50_6_7">#REF!</definedName>
    <definedName name="nyy4x50_7">#REF!</definedName>
    <definedName name="nyy4x70">#REF!</definedName>
    <definedName name="nyy4x70_1">#REF!</definedName>
    <definedName name="nyy4x70_2">#REF!</definedName>
    <definedName name="nyy4x70_2_1">#REF!</definedName>
    <definedName name="nyy4x70_2_1_6">#REF!</definedName>
    <definedName name="nyy4x70_2_6">#REF!</definedName>
    <definedName name="nyy4x70_2_7">#REF!</definedName>
    <definedName name="nyy4x70_3">#REF!</definedName>
    <definedName name="nyy4x70_3_4">#REF!</definedName>
    <definedName name="nyy4x70_3_6">#REF!</definedName>
    <definedName name="nyy4x70_3_7">#REF!</definedName>
    <definedName name="nyy4x70_4">#REF!</definedName>
    <definedName name="nyy4x70_4_1">#REF!</definedName>
    <definedName name="nyy4x70_4_2">#REF!</definedName>
    <definedName name="nyy4x70_4_2_6">#REF!</definedName>
    <definedName name="nyy4x70_4_4">#REF!</definedName>
    <definedName name="nyy4x70_4_6">#REF!</definedName>
    <definedName name="nyy4x70_4_7">#REF!</definedName>
    <definedName name="nyy4x70_5">#REF!</definedName>
    <definedName name="nyy4x70_5_2">#REF!</definedName>
    <definedName name="nyy4x70_5_2_6">#REF!</definedName>
    <definedName name="nyy4x70_5_4">#REF!</definedName>
    <definedName name="nyy4x70_5_6">#REF!</definedName>
    <definedName name="nyy4x70_5_7">#REF!</definedName>
    <definedName name="nyy4x70_6">#REF!</definedName>
    <definedName name="nyy4x70_6_1">#REF!</definedName>
    <definedName name="nyy4x70_6_4">#REF!</definedName>
    <definedName name="nyy4x70_6_6">#REF!</definedName>
    <definedName name="nyy4x70_6_7">#REF!</definedName>
    <definedName name="nyy4x70_7">#REF!</definedName>
    <definedName name="nyy4x95">#REF!</definedName>
    <definedName name="nyy4x95_1">#REF!</definedName>
    <definedName name="nyy4x95_2">#REF!</definedName>
    <definedName name="nyy4x95_2_1">#REF!</definedName>
    <definedName name="nyy4x95_2_1_6">#REF!</definedName>
    <definedName name="nyy4x95_2_6">#REF!</definedName>
    <definedName name="nyy4x95_2_7">#REF!</definedName>
    <definedName name="nyy4x95_3">#REF!</definedName>
    <definedName name="nyy4x95_3_4">#REF!</definedName>
    <definedName name="nyy4x95_3_6">#REF!</definedName>
    <definedName name="nyy4x95_3_7">#REF!</definedName>
    <definedName name="nyy4x95_4">#REF!</definedName>
    <definedName name="nyy4x95_4_1">#REF!</definedName>
    <definedName name="nyy4x95_4_2">#REF!</definedName>
    <definedName name="nyy4x95_4_2_6">#REF!</definedName>
    <definedName name="nyy4x95_4_4">#REF!</definedName>
    <definedName name="nyy4x95_4_6">#REF!</definedName>
    <definedName name="nyy4x95_4_7">#REF!</definedName>
    <definedName name="nyy4x95_5">#REF!</definedName>
    <definedName name="nyy4x95_5_2">#REF!</definedName>
    <definedName name="nyy4x95_5_2_6">#REF!</definedName>
    <definedName name="nyy4x95_5_4">#REF!</definedName>
    <definedName name="nyy4x95_5_6">#REF!</definedName>
    <definedName name="nyy4x95_5_7">#REF!</definedName>
    <definedName name="nyy4x95_6">#REF!</definedName>
    <definedName name="nyy4x95_6_1">#REF!</definedName>
    <definedName name="nyy4x95_6_4">#REF!</definedName>
    <definedName name="nyy4x95_6_6">#REF!</definedName>
    <definedName name="nyy4x95_6_7">#REF!</definedName>
    <definedName name="nyy4x95_7">#REF!</definedName>
    <definedName name="nyy5x4">#REF!</definedName>
    <definedName name="nyy5x4_1">#REF!</definedName>
    <definedName name="nyy5x4_2">#REF!</definedName>
    <definedName name="nyy5x4_2_1">#REF!</definedName>
    <definedName name="nyy5x4_2_1_6">#REF!</definedName>
    <definedName name="nyy5x4_2_6">#REF!</definedName>
    <definedName name="nyy5x4_2_7">#REF!</definedName>
    <definedName name="nyy5x4_3">#REF!</definedName>
    <definedName name="nyy5x4_3_4">#REF!</definedName>
    <definedName name="nyy5x4_3_6">#REF!</definedName>
    <definedName name="nyy5x4_3_7">#REF!</definedName>
    <definedName name="nyy5x4_4">#REF!</definedName>
    <definedName name="nyy5x4_4_1">#REF!</definedName>
    <definedName name="nyy5x4_4_2">#REF!</definedName>
    <definedName name="nyy5x4_4_2_6">#REF!</definedName>
    <definedName name="nyy5x4_4_4">#REF!</definedName>
    <definedName name="nyy5x4_4_6">#REF!</definedName>
    <definedName name="nyy5x4_4_7">#REF!</definedName>
    <definedName name="nyy5x4_5">#REF!</definedName>
    <definedName name="nyy5x4_5_2">#REF!</definedName>
    <definedName name="nyy5x4_5_2_6">#REF!</definedName>
    <definedName name="nyy5x4_5_4">#REF!</definedName>
    <definedName name="nyy5x4_5_6">#REF!</definedName>
    <definedName name="nyy5x4_5_7">#REF!</definedName>
    <definedName name="nyy5x4_6">#REF!</definedName>
    <definedName name="nyy5x4_6_1">#REF!</definedName>
    <definedName name="nyy5x4_6_4">#REF!</definedName>
    <definedName name="nyy5x4_6_6">#REF!</definedName>
    <definedName name="nyy5x4_6_7">#REF!</definedName>
    <definedName name="nyy5x4_7">#REF!</definedName>
    <definedName name="nyy5x6">#REF!</definedName>
    <definedName name="nyy5x6_1">#REF!</definedName>
    <definedName name="nyy5x6_2">#REF!</definedName>
    <definedName name="nyy5x6_2_1">#REF!</definedName>
    <definedName name="nyy5x6_2_1_6">#REF!</definedName>
    <definedName name="nyy5x6_2_6">#REF!</definedName>
    <definedName name="nyy5x6_2_7">#REF!</definedName>
    <definedName name="nyy5x6_3">#REF!</definedName>
    <definedName name="nyy5x6_3_4">#REF!</definedName>
    <definedName name="nyy5x6_3_6">#REF!</definedName>
    <definedName name="nyy5x6_3_7">#REF!</definedName>
    <definedName name="nyy5x6_4">#REF!</definedName>
    <definedName name="nyy5x6_4_1">#REF!</definedName>
    <definedName name="nyy5x6_4_2">#REF!</definedName>
    <definedName name="nyy5x6_4_2_6">#REF!</definedName>
    <definedName name="nyy5x6_4_4">#REF!</definedName>
    <definedName name="nyy5x6_4_6">#REF!</definedName>
    <definedName name="nyy5x6_4_7">#REF!</definedName>
    <definedName name="nyy5x6_5">#REF!</definedName>
    <definedName name="nyy5x6_5_2">#REF!</definedName>
    <definedName name="nyy5x6_5_2_6">#REF!</definedName>
    <definedName name="nyy5x6_5_4">#REF!</definedName>
    <definedName name="nyy5x6_5_6">#REF!</definedName>
    <definedName name="nyy5x6_5_7">#REF!</definedName>
    <definedName name="nyy5x6_6">#REF!</definedName>
    <definedName name="nyy5x6_6_1">#REF!</definedName>
    <definedName name="nyy5x6_6_4">#REF!</definedName>
    <definedName name="nyy5x6_6_6">#REF!</definedName>
    <definedName name="nyy5x6_6_7">#REF!</definedName>
    <definedName name="nyy5x6_7">#REF!</definedName>
    <definedName name="nyy7x1x300">#REF!</definedName>
    <definedName name="nyy7x1x300_1">#REF!</definedName>
    <definedName name="nyy7x1x300_2">#REF!</definedName>
    <definedName name="nyy7x1x300_2_1">#REF!</definedName>
    <definedName name="nyy7x1x300_2_1_6">#REF!</definedName>
    <definedName name="nyy7x1x300_2_6">#REF!</definedName>
    <definedName name="nyy7x1x300_2_7">#REF!</definedName>
    <definedName name="nyy7x1x300_3">#REF!</definedName>
    <definedName name="nyy7x1x300_3_4">#REF!</definedName>
    <definedName name="nyy7x1x300_3_6">#REF!</definedName>
    <definedName name="nyy7x1x300_3_7">#REF!</definedName>
    <definedName name="nyy7x1x300_4">#REF!</definedName>
    <definedName name="nyy7x1x300_4_1">#REF!</definedName>
    <definedName name="nyy7x1x300_4_2">#REF!</definedName>
    <definedName name="nyy7x1x300_4_2_6">#REF!</definedName>
    <definedName name="nyy7x1x300_4_4">#REF!</definedName>
    <definedName name="nyy7x1x300_4_6">#REF!</definedName>
    <definedName name="nyy7x1x300_4_7">#REF!</definedName>
    <definedName name="nyy7x1x300_5">#REF!</definedName>
    <definedName name="nyy7x1x300_5_2">#REF!</definedName>
    <definedName name="nyy7x1x300_5_2_6">#REF!</definedName>
    <definedName name="nyy7x1x300_5_4">#REF!</definedName>
    <definedName name="nyy7x1x300_5_6">#REF!</definedName>
    <definedName name="nyy7x1x300_5_7">#REF!</definedName>
    <definedName name="nyy7x1x300_6">#REF!</definedName>
    <definedName name="nyy7x1x300_6_1">#REF!</definedName>
    <definedName name="nyy7x1x300_6_4">#REF!</definedName>
    <definedName name="nyy7x1x300_6_6">#REF!</definedName>
    <definedName name="nyy7x1x300_6_7">#REF!</definedName>
    <definedName name="nyy7x1x300_7">#REF!</definedName>
    <definedName name="nyy7x1x500">#REF!</definedName>
    <definedName name="nyy7x1x500_1">#REF!</definedName>
    <definedName name="nyy7x1x500_2">#REF!</definedName>
    <definedName name="nyy7x1x500_2_1">#REF!</definedName>
    <definedName name="nyy7x1x500_2_1_6">#REF!</definedName>
    <definedName name="nyy7x1x500_2_6">#REF!</definedName>
    <definedName name="nyy7x1x500_2_7">#REF!</definedName>
    <definedName name="nyy7x1x500_3">#REF!</definedName>
    <definedName name="nyy7x1x500_3_4">#REF!</definedName>
    <definedName name="nyy7x1x500_3_6">#REF!</definedName>
    <definedName name="nyy7x1x500_3_7">#REF!</definedName>
    <definedName name="nyy7x1x500_4">#REF!</definedName>
    <definedName name="nyy7x1x500_4_1">#REF!</definedName>
    <definedName name="nyy7x1x500_4_2">#REF!</definedName>
    <definedName name="nyy7x1x500_4_2_6">#REF!</definedName>
    <definedName name="nyy7x1x500_4_4">#REF!</definedName>
    <definedName name="nyy7x1x500_4_6">#REF!</definedName>
    <definedName name="nyy7x1x500_4_7">#REF!</definedName>
    <definedName name="nyy7x1x500_5">#REF!</definedName>
    <definedName name="nyy7x1x500_5_2">#REF!</definedName>
    <definedName name="nyy7x1x500_5_2_6">#REF!</definedName>
    <definedName name="nyy7x1x500_5_4">#REF!</definedName>
    <definedName name="nyy7x1x500_5_6">#REF!</definedName>
    <definedName name="nyy7x1x500_5_7">#REF!</definedName>
    <definedName name="nyy7x1x500_6">#REF!</definedName>
    <definedName name="nyy7x1x500_6_1">#REF!</definedName>
    <definedName name="nyy7x1x500_6_4">#REF!</definedName>
    <definedName name="nyy7x1x500_6_6">#REF!</definedName>
    <definedName name="nyy7x1x500_6_7">#REF!</definedName>
    <definedName name="nyy7x1x500_7">#REF!</definedName>
    <definedName name="O">#REF!</definedName>
    <definedName name="O.1">#REF!</definedName>
    <definedName name="o_1015">#REF!</definedName>
    <definedName name="o_1502125">#REF!</definedName>
    <definedName name="o_1502600">#REF!</definedName>
    <definedName name="o_1515">#REF!</definedName>
    <definedName name="o_1527">#REF!</definedName>
    <definedName name="O_1a">#REF!</definedName>
    <definedName name="o_20115">#REF!</definedName>
    <definedName name="o_2027">#REF!</definedName>
    <definedName name="o_3027">#REF!</definedName>
    <definedName name="o_400650">#REF!</definedName>
    <definedName name="o_500700">#REF!</definedName>
    <definedName name="o_500750">#REF!</definedName>
    <definedName name="o_5252125">#REF!</definedName>
    <definedName name="o_5501100">#REF!</definedName>
    <definedName name="o_700750">#REF!</definedName>
    <definedName name="o_700800">#REF!</definedName>
    <definedName name="o_700850">#REF!</definedName>
    <definedName name="o_9001450">#REF!</definedName>
    <definedName name="Ø10">#REF!</definedName>
    <definedName name="Ø12">#REF!</definedName>
    <definedName name="Ø6">#REF!</definedName>
    <definedName name="Ø8">#REF!</definedName>
    <definedName name="oa">#REF!</definedName>
    <definedName name="oag">#REF!</definedName>
    <definedName name="obeam1">#REF!</definedName>
    <definedName name="obeam10">#REF!</definedName>
    <definedName name="obeam11">#REF!</definedName>
    <definedName name="obeam12">#REF!</definedName>
    <definedName name="obeam13">#REF!</definedName>
    <definedName name="obeam14">#REF!</definedName>
    <definedName name="obeam15">#REF!</definedName>
    <definedName name="obeam2">#REF!</definedName>
    <definedName name="obeam3">#REF!</definedName>
    <definedName name="obeam4">#REF!</definedName>
    <definedName name="obeam5">#REF!</definedName>
    <definedName name="obeam6">#REF!</definedName>
    <definedName name="obeam7">#REF!</definedName>
    <definedName name="obeam8">#REF!</definedName>
    <definedName name="obeam9">#REF!</definedName>
    <definedName name="ocol1">#REF!</definedName>
    <definedName name="ocol10">#REF!</definedName>
    <definedName name="ocol11">#REF!</definedName>
    <definedName name="ocol12">#REF!</definedName>
    <definedName name="ocol13">#REF!</definedName>
    <definedName name="ocol14">#REF!</definedName>
    <definedName name="ocol15">#REF!</definedName>
    <definedName name="ocol2">#REF!</definedName>
    <definedName name="ocol3">#REF!</definedName>
    <definedName name="ocol4">#REF!</definedName>
    <definedName name="ocol5">#REF!</definedName>
    <definedName name="ocol6">#REF!</definedName>
    <definedName name="ocol7">#REF!</definedName>
    <definedName name="ocol8">#REF!</definedName>
    <definedName name="ocol9">#REF!</definedName>
    <definedName name="OE">#REF!</definedName>
    <definedName name="OE.1">#REF!</definedName>
    <definedName name="oef">[167]divII!$I$1</definedName>
    <definedName name="OFFICE">[16]prelim!#REF!</definedName>
    <definedName name="OFFICE_SUPPLY">#REF!</definedName>
    <definedName name="ofoot1">#REF!</definedName>
    <definedName name="ofoot10">#REF!</definedName>
    <definedName name="ofoot2">#REF!</definedName>
    <definedName name="ofoot3">#REF!</definedName>
    <definedName name="ofoot4">#REF!</definedName>
    <definedName name="ofoot5">#REF!</definedName>
    <definedName name="ofoot6">#REF!</definedName>
    <definedName name="ofoot7">#REF!</definedName>
    <definedName name="ofoot8">#REF!</definedName>
    <definedName name="ofoot9">#REF!</definedName>
    <definedName name="ofset">#REF!</definedName>
    <definedName name="ohp">#REF!</definedName>
    <definedName name="oi">#REF!</definedName>
    <definedName name="OIL">[16]prelim!#REF!</definedName>
    <definedName name="OIL___FUEL">#REF!</definedName>
    <definedName name="ok">#REF!</definedName>
    <definedName name="oke" hidden="1">#REF!</definedName>
    <definedName name="Oker">#REF!</definedName>
    <definedName name="Oker_">#REF!</definedName>
    <definedName name="okok">#REF!</definedName>
    <definedName name="oksand">#REF!</definedName>
    <definedName name="oksi">#REF!</definedName>
    <definedName name="oksigen">'[48]HARGA SATUAN'!#REF!</definedName>
    <definedName name="OKT">'[45]Sat~Bahu'!$C$12</definedName>
    <definedName name="old">#REF!</definedName>
    <definedName name="OLF" hidden="1">#REF!</definedName>
    <definedName name="oli">#REF!</definedName>
    <definedName name="Oli_10">#REF!</definedName>
    <definedName name="Oli_30">#REF!</definedName>
    <definedName name="Oli_mesin_40">#REF!</definedName>
    <definedName name="Olie">#REF!</definedName>
    <definedName name="OLP">#REF!</definedName>
    <definedName name="OMC" hidden="1">{#N/A,#N/A,TRUE,"Front";#N/A,#N/A,TRUE,"Simple Letter";#N/A,#N/A,TRUE,"Inside";#N/A,#N/A,TRUE,"Contents";#N/A,#N/A,TRUE,"Basis";#N/A,#N/A,TRUE,"Inclusions";#N/A,#N/A,TRUE,"Exclusions";#N/A,#N/A,TRUE,"Areas";#N/A,#N/A,TRUE,"Summary";#N/A,#N/A,TRUE,"Detail"}</definedName>
    <definedName name="onderlaght">#REF!</definedName>
    <definedName name="ono">#REF!</definedName>
    <definedName name="ONSITE">#REF!</definedName>
    <definedName name="oo">"'file://SERVER3/har-data/STRUCTURE PRICE OF BQ KOMPAS GRAMEDIA.xls'#$analisa.$#REF!$#REF!"</definedName>
    <definedName name="OO_01">#REF!</definedName>
    <definedName name="OO_02">#REF!</definedName>
    <definedName name="OO_03">#REF!</definedName>
    <definedName name="OO_04">#REF!</definedName>
    <definedName name="OO_05">#REF!</definedName>
    <definedName name="OO_06">#REF!</definedName>
    <definedName name="OO_07">#REF!</definedName>
    <definedName name="oon" hidden="1">{#N/A,#N/A,FALSE,"REK";#N/A,#N/A,FALSE,"rab"}</definedName>
    <definedName name="oooooo">#REF!</definedName>
    <definedName name="ooyup">[80]DHSD!$G$18</definedName>
    <definedName name="OP">#REF!</definedName>
    <definedName name="opalatberat">'[85]Sat Upah'!$I$20</definedName>
    <definedName name="operasi">#REF!</definedName>
    <definedName name="OPERATING_EQUIPMENT">#REF!</definedName>
    <definedName name="OPERATING_EQUIPMENT_1">#REF!</definedName>
    <definedName name="OPERATING_EQUIPMENT_1_2">#REF!</definedName>
    <definedName name="OPERATING_EQUIPMENT_1_2_6">#REF!</definedName>
    <definedName name="OPERATING_EQUIPMENT_1_4">#REF!</definedName>
    <definedName name="OPERATING_EQUIPMENT_1_6">#REF!</definedName>
    <definedName name="OPERATING_EQUIPMENT_1_7">#REF!</definedName>
    <definedName name="OPERATING_EQUIPMENT_15">#REF!</definedName>
    <definedName name="OPERATING_EQUIPMENT_15_1">#REF!</definedName>
    <definedName name="OPERATING_EQUIPMENT_15_16">#REF!</definedName>
    <definedName name="OPERATING_EQUIPMENT_15_7">#REF!</definedName>
    <definedName name="OPERATING_EQUIPMENT_16">#REF!</definedName>
    <definedName name="OPERATING_EQUIPMENT_17">#REF!</definedName>
    <definedName name="OPERATING_EQUIPMENT_2">#REF!</definedName>
    <definedName name="OPERATING_EQUIPMENT_2_1">#REF!</definedName>
    <definedName name="OPERATING_EQUIPMENT_2_1_6">#REF!</definedName>
    <definedName name="OPERATING_EQUIPMENT_2_2">#REF!</definedName>
    <definedName name="OPERATING_EQUIPMENT_2_2_6">#REF!</definedName>
    <definedName name="OPERATING_EQUIPMENT_2_4">#REF!</definedName>
    <definedName name="OPERATING_EQUIPMENT_2_5">#REF!</definedName>
    <definedName name="OPERATING_EQUIPMENT_2_6">#REF!</definedName>
    <definedName name="OPERATING_EQUIPMENT_2_7">#REF!</definedName>
    <definedName name="OPERATING_EQUIPMENT_3">#REF!</definedName>
    <definedName name="OPERATING_EQUIPMENT_3_1">#REF!</definedName>
    <definedName name="OPERATING_EQUIPMENT_3_2">#REF!</definedName>
    <definedName name="OPERATING_EQUIPMENT_3_2_6">#REF!</definedName>
    <definedName name="OPERATING_EQUIPMENT_3_4">#REF!</definedName>
    <definedName name="OPERATING_EQUIPMENT_3_5">#REF!</definedName>
    <definedName name="OPERATING_EQUIPMENT_3_6">#REF!</definedName>
    <definedName name="OPERATING_EQUIPMENT_3_7">#REF!</definedName>
    <definedName name="OPERATING_EQUIPMENT_4">#REF!</definedName>
    <definedName name="OPERATING_EQUIPMENT_4_1">#REF!</definedName>
    <definedName name="OPERATING_EQUIPMENT_4_2">#REF!</definedName>
    <definedName name="OPERATING_EQUIPMENT_4_2_6">#REF!</definedName>
    <definedName name="OPERATING_EQUIPMENT_4_4">#REF!</definedName>
    <definedName name="OPERATING_EQUIPMENT_4_6">#REF!</definedName>
    <definedName name="OPERATING_EQUIPMENT_4_7">#REF!</definedName>
    <definedName name="OPERATING_EQUIPMENT_5">#REF!</definedName>
    <definedName name="OPERATING_EQUIPMENT_5_2">#REF!</definedName>
    <definedName name="OPERATING_EQUIPMENT_5_2_6">#REF!</definedName>
    <definedName name="OPERATING_EQUIPMENT_5_4">#REF!</definedName>
    <definedName name="OPERATING_EQUIPMENT_5_6">#REF!</definedName>
    <definedName name="OPERATING_EQUIPMENT_5_7">#REF!</definedName>
    <definedName name="OPERATING_EQUIPMENT_6">#REF!</definedName>
    <definedName name="OPERATING_EQUIPMENT_6_1">#REF!</definedName>
    <definedName name="OPERATING_EQUIPMENT_6_2">#REF!</definedName>
    <definedName name="OPERATING_EQUIPMENT_6_2_6">#REF!</definedName>
    <definedName name="OPERATING_EQUIPMENT_6_4">#REF!</definedName>
    <definedName name="OPERATING_EQUIPMENT_6_6">#REF!</definedName>
    <definedName name="OPERATING_EQUIPMENT_6_7">#REF!</definedName>
    <definedName name="OPERATING_EQUIPMENT_7">#REF!</definedName>
    <definedName name="OPERATING_EQUIPMENT_7_1">#REF!</definedName>
    <definedName name="OPERATING_EQUIPMENT_7_6">#REF!</definedName>
    <definedName name="OPERATING_EQUIPMENT_7_7">#REF!</definedName>
    <definedName name="OPERATING_EQUIPMENT_8">#REF!</definedName>
    <definedName name="OPERATING_EQUIPMENT_9">#REF!</definedName>
    <definedName name="OPERATION_COST">#REF!</definedName>
    <definedName name="operator">#REF!</definedName>
    <definedName name="OPERATOR_ALAT_BESAR">#REF!</definedName>
    <definedName name="OPERATOR_ALAT_BESAR_23">#REF!</definedName>
    <definedName name="OPERATOR_ALAT_BESAR_25">#REF!</definedName>
    <definedName name="opr">#REF!</definedName>
    <definedName name="oprpt1">#REF!</definedName>
    <definedName name="oprpt10">#REF!</definedName>
    <definedName name="oprpt2">#REF!</definedName>
    <definedName name="oprpt3">#REF!</definedName>
    <definedName name="oprpt4">#REF!</definedName>
    <definedName name="oprpt5">#REF!</definedName>
    <definedName name="oprpt6">#REF!</definedName>
    <definedName name="oprpt7">#REF!</definedName>
    <definedName name="oprpt8">#REF!</definedName>
    <definedName name="oprpt9">#REF!</definedName>
    <definedName name="OPU">#N/A</definedName>
    <definedName name="OrderTable" hidden="1">#REF!</definedName>
    <definedName name="Org_Hari">#REF!</definedName>
    <definedName name="OriginalDuration">#REF!</definedName>
    <definedName name="ORNAMEN">#REF!</definedName>
    <definedName name="ornamenpuncak">#REF!</definedName>
    <definedName name="ornamensmu">#REF!</definedName>
    <definedName name="ornamerstrsmp">#REF!</definedName>
    <definedName name="OSAE4">#REF!</definedName>
    <definedName name="osc">'[18]THPDMoi  (2)'!#REF!</definedName>
    <definedName name="oslab1">#REF!</definedName>
    <definedName name="oslab10">#REF!</definedName>
    <definedName name="oslab11">#REF!</definedName>
    <definedName name="oslab12">#REF!</definedName>
    <definedName name="oslab13">#REF!</definedName>
    <definedName name="oslab14">#REF!</definedName>
    <definedName name="oslab15">#REF!</definedName>
    <definedName name="oslab2">#REF!</definedName>
    <definedName name="oslab3">#REF!</definedName>
    <definedName name="oslab4">#REF!</definedName>
    <definedName name="oslab5">#REF!</definedName>
    <definedName name="oslab6">#REF!</definedName>
    <definedName name="oslab7">#REF!</definedName>
    <definedName name="oslab8">#REF!</definedName>
    <definedName name="oslab9">#REF!</definedName>
    <definedName name="ot">#REF!</definedName>
    <definedName name="ot_1">#REF!</definedName>
    <definedName name="ot_2">#REF!</definedName>
    <definedName name="ot_2_1">#REF!</definedName>
    <definedName name="ot_2_6">#REF!</definedName>
    <definedName name="ot_3">#REF!</definedName>
    <definedName name="ot_3_2">#REF!</definedName>
    <definedName name="ot_3_2_6">#REF!</definedName>
    <definedName name="ot_3_4">#REF!</definedName>
    <definedName name="ot_3_6">#REF!</definedName>
    <definedName name="ot_3_7">#REF!</definedName>
    <definedName name="ot_4">#REF!</definedName>
    <definedName name="ot_4_1">#REF!</definedName>
    <definedName name="ot_4_2">#REF!</definedName>
    <definedName name="ot_4_2_6">#REF!</definedName>
    <definedName name="ot_4_4">#REF!</definedName>
    <definedName name="ot_4_6">#REF!</definedName>
    <definedName name="ot_4_7">#REF!</definedName>
    <definedName name="ot_5">#REF!</definedName>
    <definedName name="ot_5_2">#REF!</definedName>
    <definedName name="ot_5_2_6">#REF!</definedName>
    <definedName name="ot_5_4">#REF!</definedName>
    <definedName name="ot_5_6">#REF!</definedName>
    <definedName name="ot_5_7">#REF!</definedName>
    <definedName name="ot_6">#REF!</definedName>
    <definedName name="ot_6_1">#REF!</definedName>
    <definedName name="ot_6_2">#REF!</definedName>
    <definedName name="ot_6_2_6">#REF!</definedName>
    <definedName name="ot_6_4">#REF!</definedName>
    <definedName name="ot_6_6">#REF!</definedName>
    <definedName name="ot_6_7">#REF!</definedName>
    <definedName name="ot_7">#REF!</definedName>
    <definedName name="ot_7_1">#REF!</definedName>
    <definedName name="ot_7_6">#REF!</definedName>
    <definedName name="ot_7_7">#REF!</definedName>
    <definedName name="OTOK" hidden="1">{#N/A,#N/A,FALSE,"REK";#N/A,#N/A,FALSE,"Bq-ARS"}</definedName>
    <definedName name="otttr">[80]DHSD!$G$20</definedName>
    <definedName name="OUT">#REF!</definedName>
    <definedName name="Outlet">#REF!</definedName>
    <definedName name="Outlet_berker">[39]Electrikal!#REF!</definedName>
    <definedName name="outv">#REF!</definedName>
    <definedName name="outvl">#REF!</definedName>
    <definedName name="over">'[168]Tie Beam GN'!$O$4</definedName>
    <definedName name="OverH">#REF!</definedName>
    <definedName name="OverH1">#REF!</definedName>
    <definedName name="overpal">#REF!</definedName>
    <definedName name="overtime">#REF!</definedName>
    <definedName name="owall1">#REF!</definedName>
    <definedName name="owall10">#REF!</definedName>
    <definedName name="owall2">#REF!</definedName>
    <definedName name="owall3">#REF!</definedName>
    <definedName name="owall4">#REF!</definedName>
    <definedName name="owall5">#REF!</definedName>
    <definedName name="owall6">#REF!</definedName>
    <definedName name="owall7">#REF!</definedName>
    <definedName name="owall8">#REF!</definedName>
    <definedName name="owall9">#REF!</definedName>
    <definedName name="OWARI">#REF!</definedName>
    <definedName name="owell">#REF!</definedName>
    <definedName name="Owner1">#REF!</definedName>
    <definedName name="Owner1b">#REF!</definedName>
    <definedName name="Owner1c">#REF!</definedName>
    <definedName name="Owner1d">#REF!</definedName>
    <definedName name="Owner2">#REF!</definedName>
    <definedName name="Oxigen">#REF!</definedName>
    <definedName name="p">#REF!</definedName>
    <definedName name="P.01">#REF!</definedName>
    <definedName name="P.01_30">#REF!</definedName>
    <definedName name="P.02">#REF!</definedName>
    <definedName name="P.02_30">#REF!</definedName>
    <definedName name="P.03">#REF!</definedName>
    <definedName name="P.03_30">#REF!</definedName>
    <definedName name="P.04">#REF!</definedName>
    <definedName name="P.04_30">#REF!</definedName>
    <definedName name="P.05">#REF!</definedName>
    <definedName name="P.05_30">#REF!</definedName>
    <definedName name="P.06">#REF!</definedName>
    <definedName name="P.06_30">#REF!</definedName>
    <definedName name="P.07">#REF!</definedName>
    <definedName name="P.07_30">#REF!</definedName>
    <definedName name="P.1">#REF!</definedName>
    <definedName name="P.10\10aksen">#REF!</definedName>
    <definedName name="P.11">#REF!</definedName>
    <definedName name="P.12">#REF!</definedName>
    <definedName name="P.13">#REF!</definedName>
    <definedName name="P.14">#REF!</definedName>
    <definedName name="P.15">#REF!</definedName>
    <definedName name="P.16">#REF!</definedName>
    <definedName name="P.17">#REF!</definedName>
    <definedName name="P.18">#REF!</definedName>
    <definedName name="P.19">#REF!</definedName>
    <definedName name="P.2">#REF!</definedName>
    <definedName name="P.20">#REF!</definedName>
    <definedName name="P.21">#REF!</definedName>
    <definedName name="P.22">#REF!</definedName>
    <definedName name="P.23">#REF!</definedName>
    <definedName name="P.24">#REF!</definedName>
    <definedName name="P.25">#REF!</definedName>
    <definedName name="P.26">#REF!</definedName>
    <definedName name="P.27">#REF!</definedName>
    <definedName name="P.28">#REF!</definedName>
    <definedName name="P.3">#REF!</definedName>
    <definedName name="P.4">#REF!</definedName>
    <definedName name="P.5">#REF!</definedName>
    <definedName name="P.6">#REF!</definedName>
    <definedName name="P.6aksen">#REF!</definedName>
    <definedName name="P.9">#REF!</definedName>
    <definedName name="P.9aksen">#REF!</definedName>
    <definedName name="P.aksen">#REF!</definedName>
    <definedName name="P.BAJAHOL">#REF!</definedName>
    <definedName name="P.BAJASIKU">#REF!</definedName>
    <definedName name="p.bI">#REF!</definedName>
    <definedName name="P.KACAALUM">#REF!</definedName>
    <definedName name="P.KACAKAYU">#REF!</definedName>
    <definedName name="p.klas1">#REF!</definedName>
    <definedName name="p.klas2">#REF!</definedName>
    <definedName name="p.klas3">#REF!</definedName>
    <definedName name="p.kmp.smrd.3.20">#REF!</definedName>
    <definedName name="p.l">#REF!</definedName>
    <definedName name="p.meka">#REF!</definedName>
    <definedName name="p.petir">#REF!</definedName>
    <definedName name="P.S4">#REF!</definedName>
    <definedName name="p.triplek">#REF!</definedName>
    <definedName name="P_10">#REF!</definedName>
    <definedName name="p_12">[65]harsat!$I$18</definedName>
    <definedName name="p_150">[121]HDasar!$H$34</definedName>
    <definedName name="P_19">#REF!</definedName>
    <definedName name="p_200">[121]HDasar!$H$35</definedName>
    <definedName name="P_23">#REF!</definedName>
    <definedName name="p_300">[121]HDasar!$H$36</definedName>
    <definedName name="p_40">"'file://SERVER3/har-data/STRUCTURE PRICE OF BQ KOMPAS GRAMEDIA.xls'#$analisa.$#REF!$#REF!"</definedName>
    <definedName name="p_500">[121]HDasar!$H$37</definedName>
    <definedName name="p_ab">#REF!</definedName>
    <definedName name="p_b">[31]ARTAGDING!#REF!</definedName>
    <definedName name="p_ba">#REF!</definedName>
    <definedName name="p_bkl">#REF!</definedName>
    <definedName name="p_blh">#REF!</definedName>
    <definedName name="P_C">'[169]PAD-F'!$B$10:$F$12</definedName>
    <definedName name="p_cc">#REF!</definedName>
    <definedName name="p_d">#REF!</definedName>
    <definedName name="p_d1">#REF!</definedName>
    <definedName name="p_hy">#REF!</definedName>
    <definedName name="p_lks">#REF!</definedName>
    <definedName name="p_m_rk">#REF!</definedName>
    <definedName name="p_psg">#REF!</definedName>
    <definedName name="p_trafo">#REF!</definedName>
    <definedName name="p_urug">#REF!</definedName>
    <definedName name="p1_g">#REF!</definedName>
    <definedName name="p1_h">#REF!</definedName>
    <definedName name="p1_i">#REF!</definedName>
    <definedName name="p1_j">#REF!</definedName>
    <definedName name="p1_k">#REF!</definedName>
    <definedName name="p1_l">#REF!</definedName>
    <definedName name="p1_m">#REF!</definedName>
    <definedName name="p1_n">#REF!</definedName>
    <definedName name="p1ti50">#REF!</definedName>
    <definedName name="p1ti50_1">#REF!</definedName>
    <definedName name="p1ti50_1_5">#REF!</definedName>
    <definedName name="p1ti50_2">#REF!</definedName>
    <definedName name="p1ti50_2_1">#REF!</definedName>
    <definedName name="p1ti50_2_1_1">#REF!</definedName>
    <definedName name="p1ti50_2_1_1_6">#REF!</definedName>
    <definedName name="p1ti50_2_1_6">#REF!</definedName>
    <definedName name="p1ti50_2_1_7">#REF!</definedName>
    <definedName name="p1ti50_2_6">#REF!</definedName>
    <definedName name="p1ti50_2_7">#REF!</definedName>
    <definedName name="p1ti50_3">#REF!</definedName>
    <definedName name="p1ti50_3_4">#REF!</definedName>
    <definedName name="p1ti50_3_6">#REF!</definedName>
    <definedName name="p1ti50_3_7">#REF!</definedName>
    <definedName name="p1ti50_4">#REF!</definedName>
    <definedName name="p1ti50_4_1">#REF!</definedName>
    <definedName name="p1ti50_4_2">#REF!</definedName>
    <definedName name="p1ti50_4_2_6">#REF!</definedName>
    <definedName name="p1ti50_4_4">#REF!</definedName>
    <definedName name="p1ti50_4_6">#REF!</definedName>
    <definedName name="p1ti50_4_7">#REF!</definedName>
    <definedName name="p1ti50_5">#REF!</definedName>
    <definedName name="p1ti50_5_2">#REF!</definedName>
    <definedName name="p1ti50_5_2_6">#REF!</definedName>
    <definedName name="p1ti50_5_4">#REF!</definedName>
    <definedName name="p1ti50_5_6">#REF!</definedName>
    <definedName name="p1ti50_5_7">#REF!</definedName>
    <definedName name="p1ti50_6">#REF!</definedName>
    <definedName name="p1ti50_6_1">#REF!</definedName>
    <definedName name="p1ti50_6_4">#REF!</definedName>
    <definedName name="p1ti50_6_6">#REF!</definedName>
    <definedName name="p1ti50_6_7">#REF!</definedName>
    <definedName name="p1ti50_7">#REF!</definedName>
    <definedName name="p1ti60">#REF!</definedName>
    <definedName name="p1ti60_1">#REF!</definedName>
    <definedName name="p1ti60_1_5">#REF!</definedName>
    <definedName name="p1ti60_2">#REF!</definedName>
    <definedName name="p1ti60_2_1">#REF!</definedName>
    <definedName name="p1ti60_2_1_1">#REF!</definedName>
    <definedName name="p1ti60_2_1_1_6">#REF!</definedName>
    <definedName name="p1ti60_2_1_6">#REF!</definedName>
    <definedName name="p1ti60_2_1_7">#REF!</definedName>
    <definedName name="p1ti60_2_6">#REF!</definedName>
    <definedName name="p1ti60_2_7">#REF!</definedName>
    <definedName name="p1ti60_3">#REF!</definedName>
    <definedName name="p1ti60_3_4">#REF!</definedName>
    <definedName name="p1ti60_3_6">#REF!</definedName>
    <definedName name="p1ti60_3_7">#REF!</definedName>
    <definedName name="p1ti60_4">#REF!</definedName>
    <definedName name="p1ti60_4_1">#REF!</definedName>
    <definedName name="p1ti60_4_2">#REF!</definedName>
    <definedName name="p1ti60_4_2_6">#REF!</definedName>
    <definedName name="p1ti60_4_4">#REF!</definedName>
    <definedName name="p1ti60_4_6">#REF!</definedName>
    <definedName name="p1ti60_4_7">#REF!</definedName>
    <definedName name="p1ti60_5">#REF!</definedName>
    <definedName name="p1ti60_5_2">#REF!</definedName>
    <definedName name="p1ti60_5_2_6">#REF!</definedName>
    <definedName name="p1ti60_5_4">#REF!</definedName>
    <definedName name="p1ti60_5_6">#REF!</definedName>
    <definedName name="p1ti60_5_7">#REF!</definedName>
    <definedName name="p1ti60_6">#REF!</definedName>
    <definedName name="p1ti60_6_1">#REF!</definedName>
    <definedName name="p1ti60_6_4">#REF!</definedName>
    <definedName name="p1ti60_6_6">#REF!</definedName>
    <definedName name="p1ti60_6_7">#REF!</definedName>
    <definedName name="p1ti60_7">#REF!</definedName>
    <definedName name="p1ti70">#REF!</definedName>
    <definedName name="p1ti70_1">#REF!</definedName>
    <definedName name="p1ti70_1_5">#REF!</definedName>
    <definedName name="p1ti70_2">#REF!</definedName>
    <definedName name="p1ti70_2_1">#REF!</definedName>
    <definedName name="p1ti70_2_1_1">#REF!</definedName>
    <definedName name="p1ti70_2_1_1_6">#REF!</definedName>
    <definedName name="p1ti70_2_1_6">#REF!</definedName>
    <definedName name="p1ti70_2_1_7">#REF!</definedName>
    <definedName name="p1ti70_2_6">#REF!</definedName>
    <definedName name="p1ti70_2_7">#REF!</definedName>
    <definedName name="p1ti70_3">#REF!</definedName>
    <definedName name="p1ti70_3_4">#REF!</definedName>
    <definedName name="p1ti70_3_6">#REF!</definedName>
    <definedName name="p1ti70_3_7">#REF!</definedName>
    <definedName name="p1ti70_4">#REF!</definedName>
    <definedName name="p1ti70_4_1">#REF!</definedName>
    <definedName name="p1ti70_4_2">#REF!</definedName>
    <definedName name="p1ti70_4_2_6">#REF!</definedName>
    <definedName name="p1ti70_4_4">#REF!</definedName>
    <definedName name="p1ti70_4_6">#REF!</definedName>
    <definedName name="p1ti70_4_7">#REF!</definedName>
    <definedName name="p1ti70_5">#REF!</definedName>
    <definedName name="p1ti70_5_2">#REF!</definedName>
    <definedName name="p1ti70_5_2_6">#REF!</definedName>
    <definedName name="p1ti70_5_4">#REF!</definedName>
    <definedName name="p1ti70_5_6">#REF!</definedName>
    <definedName name="p1ti70_5_7">#REF!</definedName>
    <definedName name="p1ti70_6">#REF!</definedName>
    <definedName name="p1ti70_6_1">#REF!</definedName>
    <definedName name="p1ti70_6_4">#REF!</definedName>
    <definedName name="p1ti70_6_6">#REF!</definedName>
    <definedName name="p1ti70_6_7">#REF!</definedName>
    <definedName name="p1ti70_7">#REF!</definedName>
    <definedName name="p1ti80">#REF!</definedName>
    <definedName name="p1ti80_1">#REF!</definedName>
    <definedName name="p1ti80_1_5">#REF!</definedName>
    <definedName name="p1ti80_2">#REF!</definedName>
    <definedName name="p1ti80_2_1">#REF!</definedName>
    <definedName name="p1ti80_2_1_1">#REF!</definedName>
    <definedName name="p1ti80_2_1_1_6">#REF!</definedName>
    <definedName name="p1ti80_2_1_6">#REF!</definedName>
    <definedName name="p1ti80_2_1_7">#REF!</definedName>
    <definedName name="p1ti80_2_6">#REF!</definedName>
    <definedName name="p1ti80_2_7">#REF!</definedName>
    <definedName name="p1ti80_3">#REF!</definedName>
    <definedName name="p1ti80_3_4">#REF!</definedName>
    <definedName name="p1ti80_3_6">#REF!</definedName>
    <definedName name="p1ti80_3_7">#REF!</definedName>
    <definedName name="p1ti80_4">#REF!</definedName>
    <definedName name="p1ti80_4_1">#REF!</definedName>
    <definedName name="p1ti80_4_2">#REF!</definedName>
    <definedName name="p1ti80_4_2_6">#REF!</definedName>
    <definedName name="p1ti80_4_4">#REF!</definedName>
    <definedName name="p1ti80_4_6">#REF!</definedName>
    <definedName name="p1ti80_4_7">#REF!</definedName>
    <definedName name="p1ti80_5">#REF!</definedName>
    <definedName name="p1ti80_5_2">#REF!</definedName>
    <definedName name="p1ti80_5_2_6">#REF!</definedName>
    <definedName name="p1ti80_5_4">#REF!</definedName>
    <definedName name="p1ti80_5_6">#REF!</definedName>
    <definedName name="p1ti80_5_7">#REF!</definedName>
    <definedName name="p1ti80_6">#REF!</definedName>
    <definedName name="p1ti80_6_1">#REF!</definedName>
    <definedName name="p1ti80_6_4">#REF!</definedName>
    <definedName name="p1ti80_6_6">#REF!</definedName>
    <definedName name="p1ti80_6_7">#REF!</definedName>
    <definedName name="p1ti80_7">#REF!</definedName>
    <definedName name="p1tif50">#REF!</definedName>
    <definedName name="p1tif50_1">#REF!</definedName>
    <definedName name="p1tif50_1_5">#REF!</definedName>
    <definedName name="p1tif50_2">#REF!</definedName>
    <definedName name="p1tif50_2_1">#REF!</definedName>
    <definedName name="p1tif50_2_1_1">#REF!</definedName>
    <definedName name="p1tif50_2_1_1_6">#REF!</definedName>
    <definedName name="p1tif50_2_1_6">#REF!</definedName>
    <definedName name="p1tif50_2_1_7">#REF!</definedName>
    <definedName name="p1tif50_2_6">#REF!</definedName>
    <definedName name="p1tif50_2_7">#REF!</definedName>
    <definedName name="p1tif50_3">#REF!</definedName>
    <definedName name="p1tif50_3_4">#REF!</definedName>
    <definedName name="p1tif50_3_6">#REF!</definedName>
    <definedName name="p1tif50_3_7">#REF!</definedName>
    <definedName name="p1tif50_4">#REF!</definedName>
    <definedName name="p1tif50_4_1">#REF!</definedName>
    <definedName name="p1tif50_4_2">#REF!</definedName>
    <definedName name="p1tif50_4_2_6">#REF!</definedName>
    <definedName name="p1tif50_4_4">#REF!</definedName>
    <definedName name="p1tif50_4_6">#REF!</definedName>
    <definedName name="p1tif50_4_7">#REF!</definedName>
    <definedName name="p1tif50_5">#REF!</definedName>
    <definedName name="p1tif50_5_2">#REF!</definedName>
    <definedName name="p1tif50_5_2_6">#REF!</definedName>
    <definedName name="p1tif50_5_4">#REF!</definedName>
    <definedName name="p1tif50_5_6">#REF!</definedName>
    <definedName name="p1tif50_5_7">#REF!</definedName>
    <definedName name="p1tif50_6">#REF!</definedName>
    <definedName name="p1tif50_6_1">#REF!</definedName>
    <definedName name="p1tif50_6_4">#REF!</definedName>
    <definedName name="p1tif50_6_6">#REF!</definedName>
    <definedName name="p1tif50_6_7">#REF!</definedName>
    <definedName name="p1tif50_7">#REF!</definedName>
    <definedName name="p2ti50">#REF!</definedName>
    <definedName name="p2ti50_1">#REF!</definedName>
    <definedName name="p2ti50_1_5">#REF!</definedName>
    <definedName name="p2ti50_2">#REF!</definedName>
    <definedName name="p2ti50_2_1">#REF!</definedName>
    <definedName name="p2ti50_2_1_1">#REF!</definedName>
    <definedName name="p2ti50_2_1_1_6">#REF!</definedName>
    <definedName name="p2ti50_2_1_6">#REF!</definedName>
    <definedName name="p2ti50_2_1_7">#REF!</definedName>
    <definedName name="p2ti50_2_6">#REF!</definedName>
    <definedName name="p2ti50_2_7">#REF!</definedName>
    <definedName name="p2ti50_3">#REF!</definedName>
    <definedName name="p2ti50_3_4">#REF!</definedName>
    <definedName name="p2ti50_3_6">#REF!</definedName>
    <definedName name="p2ti50_3_7">#REF!</definedName>
    <definedName name="p2ti50_4">#REF!</definedName>
    <definedName name="p2ti50_4_1">#REF!</definedName>
    <definedName name="p2ti50_4_2">#REF!</definedName>
    <definedName name="p2ti50_4_2_6">#REF!</definedName>
    <definedName name="p2ti50_4_4">#REF!</definedName>
    <definedName name="p2ti50_4_6">#REF!</definedName>
    <definedName name="p2ti50_4_7">#REF!</definedName>
    <definedName name="p2ti50_5">#REF!</definedName>
    <definedName name="p2ti50_5_2">#REF!</definedName>
    <definedName name="p2ti50_5_2_6">#REF!</definedName>
    <definedName name="p2ti50_5_4">#REF!</definedName>
    <definedName name="p2ti50_5_6">#REF!</definedName>
    <definedName name="p2ti50_5_7">#REF!</definedName>
    <definedName name="p2ti50_6">#REF!</definedName>
    <definedName name="p2ti50_6_1">#REF!</definedName>
    <definedName name="p2ti50_6_4">#REF!</definedName>
    <definedName name="p2ti50_6_6">#REF!</definedName>
    <definedName name="p2ti50_6_7">#REF!</definedName>
    <definedName name="p2ti50_7">#REF!</definedName>
    <definedName name="p2ti60">#REF!</definedName>
    <definedName name="p2ti60_1">#REF!</definedName>
    <definedName name="p2ti60_1_5">#REF!</definedName>
    <definedName name="p2ti60_2">#REF!</definedName>
    <definedName name="p2ti60_2_1">#REF!</definedName>
    <definedName name="p2ti60_2_1_1">#REF!</definedName>
    <definedName name="p2ti60_2_1_1_6">#REF!</definedName>
    <definedName name="p2ti60_2_1_6">#REF!</definedName>
    <definedName name="p2ti60_2_1_7">#REF!</definedName>
    <definedName name="p2ti60_2_6">#REF!</definedName>
    <definedName name="p2ti60_2_7">#REF!</definedName>
    <definedName name="p2ti60_3">#REF!</definedName>
    <definedName name="p2ti60_3_4">#REF!</definedName>
    <definedName name="p2ti60_3_6">#REF!</definedName>
    <definedName name="p2ti60_3_7">#REF!</definedName>
    <definedName name="p2ti60_4">#REF!</definedName>
    <definedName name="p2ti60_4_1">#REF!</definedName>
    <definedName name="p2ti60_4_2">#REF!</definedName>
    <definedName name="p2ti60_4_2_6">#REF!</definedName>
    <definedName name="p2ti60_4_4">#REF!</definedName>
    <definedName name="p2ti60_4_6">#REF!</definedName>
    <definedName name="p2ti60_4_7">#REF!</definedName>
    <definedName name="p2ti60_5">#REF!</definedName>
    <definedName name="p2ti60_5_2">#REF!</definedName>
    <definedName name="p2ti60_5_2_6">#REF!</definedName>
    <definedName name="p2ti60_5_4">#REF!</definedName>
    <definedName name="p2ti60_5_6">#REF!</definedName>
    <definedName name="p2ti60_5_7">#REF!</definedName>
    <definedName name="p2ti60_6">#REF!</definedName>
    <definedName name="p2ti60_6_1">#REF!</definedName>
    <definedName name="p2ti60_6_4">#REF!</definedName>
    <definedName name="p2ti60_6_6">#REF!</definedName>
    <definedName name="p2ti60_6_7">#REF!</definedName>
    <definedName name="p2ti60_7">#REF!</definedName>
    <definedName name="p2ti70">#REF!</definedName>
    <definedName name="p2ti70_1">#REF!</definedName>
    <definedName name="p2ti70_1_5">#REF!</definedName>
    <definedName name="p2ti70_2">#REF!</definedName>
    <definedName name="p2ti70_2_1">#REF!</definedName>
    <definedName name="p2ti70_2_1_1">#REF!</definedName>
    <definedName name="p2ti70_2_1_1_6">#REF!</definedName>
    <definedName name="p2ti70_2_1_6">#REF!</definedName>
    <definedName name="p2ti70_2_1_7">#REF!</definedName>
    <definedName name="p2ti70_2_6">#REF!</definedName>
    <definedName name="p2ti70_2_7">#REF!</definedName>
    <definedName name="p2ti70_3">#REF!</definedName>
    <definedName name="p2ti70_3_4">#REF!</definedName>
    <definedName name="p2ti70_3_6">#REF!</definedName>
    <definedName name="p2ti70_3_7">#REF!</definedName>
    <definedName name="p2ti70_4">#REF!</definedName>
    <definedName name="p2ti70_4_1">#REF!</definedName>
    <definedName name="p2ti70_4_2">#REF!</definedName>
    <definedName name="p2ti70_4_2_6">#REF!</definedName>
    <definedName name="p2ti70_4_4">#REF!</definedName>
    <definedName name="p2ti70_4_6">#REF!</definedName>
    <definedName name="p2ti70_4_7">#REF!</definedName>
    <definedName name="p2ti70_5">#REF!</definedName>
    <definedName name="p2ti70_5_2">#REF!</definedName>
    <definedName name="p2ti70_5_2_6">#REF!</definedName>
    <definedName name="p2ti70_5_4">#REF!</definedName>
    <definedName name="p2ti70_5_6">#REF!</definedName>
    <definedName name="p2ti70_5_7">#REF!</definedName>
    <definedName name="p2ti70_6">#REF!</definedName>
    <definedName name="p2ti70_6_1">#REF!</definedName>
    <definedName name="p2ti70_6_4">#REF!</definedName>
    <definedName name="p2ti70_6_6">#REF!</definedName>
    <definedName name="p2ti70_6_7">#REF!</definedName>
    <definedName name="p2ti70_7">#REF!</definedName>
    <definedName name="p2ti80">#REF!</definedName>
    <definedName name="p2ti80_1">#REF!</definedName>
    <definedName name="p2ti80_1_5">#REF!</definedName>
    <definedName name="p2ti80_2">#REF!</definedName>
    <definedName name="p2ti80_2_1">#REF!</definedName>
    <definedName name="p2ti80_2_1_1">#REF!</definedName>
    <definedName name="p2ti80_2_1_1_6">#REF!</definedName>
    <definedName name="p2ti80_2_1_6">#REF!</definedName>
    <definedName name="p2ti80_2_1_7">#REF!</definedName>
    <definedName name="p2ti80_2_6">#REF!</definedName>
    <definedName name="p2ti80_2_7">#REF!</definedName>
    <definedName name="p2ti80_3">#REF!</definedName>
    <definedName name="p2ti80_3_4">#REF!</definedName>
    <definedName name="p2ti80_3_6">#REF!</definedName>
    <definedName name="p2ti80_3_7">#REF!</definedName>
    <definedName name="p2ti80_4">#REF!</definedName>
    <definedName name="p2ti80_4_1">#REF!</definedName>
    <definedName name="p2ti80_4_2">#REF!</definedName>
    <definedName name="p2ti80_4_2_6">#REF!</definedName>
    <definedName name="p2ti80_4_4">#REF!</definedName>
    <definedName name="p2ti80_4_6">#REF!</definedName>
    <definedName name="p2ti80_4_7">#REF!</definedName>
    <definedName name="p2ti80_5">#REF!</definedName>
    <definedName name="p2ti80_5_2">#REF!</definedName>
    <definedName name="p2ti80_5_2_6">#REF!</definedName>
    <definedName name="p2ti80_5_4">#REF!</definedName>
    <definedName name="p2ti80_5_6">#REF!</definedName>
    <definedName name="p2ti80_5_7">#REF!</definedName>
    <definedName name="p2ti80_6">#REF!</definedName>
    <definedName name="p2ti80_6_1">#REF!</definedName>
    <definedName name="p2ti80_6_4">#REF!</definedName>
    <definedName name="p2ti80_6_6">#REF!</definedName>
    <definedName name="p2ti80_6_7">#REF!</definedName>
    <definedName name="p2ti80_7">#REF!</definedName>
    <definedName name="p2tif50">#REF!</definedName>
    <definedName name="p2tif50_1">#REF!</definedName>
    <definedName name="p2tif50_1_5">#REF!</definedName>
    <definedName name="p2tif50_2">#REF!</definedName>
    <definedName name="p2tif50_2_1">#REF!</definedName>
    <definedName name="p2tif50_2_1_1">#REF!</definedName>
    <definedName name="p2tif50_2_1_1_6">#REF!</definedName>
    <definedName name="p2tif50_2_1_6">#REF!</definedName>
    <definedName name="p2tif50_2_1_7">#REF!</definedName>
    <definedName name="p2tif50_2_6">#REF!</definedName>
    <definedName name="p2tif50_2_7">#REF!</definedName>
    <definedName name="p2tif50_3">#REF!</definedName>
    <definedName name="p2tif50_3_4">#REF!</definedName>
    <definedName name="p2tif50_3_6">#REF!</definedName>
    <definedName name="p2tif50_3_7">#REF!</definedName>
    <definedName name="p2tif50_4">#REF!</definedName>
    <definedName name="p2tif50_4_1">#REF!</definedName>
    <definedName name="p2tif50_4_2">#REF!</definedName>
    <definedName name="p2tif50_4_2_6">#REF!</definedName>
    <definedName name="p2tif50_4_4">#REF!</definedName>
    <definedName name="p2tif50_4_6">#REF!</definedName>
    <definedName name="p2tif50_4_7">#REF!</definedName>
    <definedName name="p2tif50_5">#REF!</definedName>
    <definedName name="p2tif50_5_2">#REF!</definedName>
    <definedName name="p2tif50_5_2_6">#REF!</definedName>
    <definedName name="p2tif50_5_4">#REF!</definedName>
    <definedName name="p2tif50_5_6">#REF!</definedName>
    <definedName name="p2tif50_5_7">#REF!</definedName>
    <definedName name="p2tif50_6">#REF!</definedName>
    <definedName name="p2tif50_6_1">#REF!</definedName>
    <definedName name="p2tif50_6_4">#REF!</definedName>
    <definedName name="p2tif50_6_6">#REF!</definedName>
    <definedName name="p2tif50_6_7">#REF!</definedName>
    <definedName name="p2tif50_7">#REF!</definedName>
    <definedName name="p3al50">#REF!</definedName>
    <definedName name="p3al50_1">#REF!</definedName>
    <definedName name="p3al50_1_5">#REF!</definedName>
    <definedName name="p3al50_2">#REF!</definedName>
    <definedName name="p3al50_2_1">#REF!</definedName>
    <definedName name="p3al50_2_1_1">#REF!</definedName>
    <definedName name="p3al50_2_1_1_6">#REF!</definedName>
    <definedName name="p3al50_2_1_6">#REF!</definedName>
    <definedName name="p3al50_2_1_7">#REF!</definedName>
    <definedName name="p3al50_2_6">#REF!</definedName>
    <definedName name="p3al50_2_7">#REF!</definedName>
    <definedName name="p3al50_3">#REF!</definedName>
    <definedName name="p3al50_3_4">#REF!</definedName>
    <definedName name="p3al50_3_6">#REF!</definedName>
    <definedName name="p3al50_3_7">#REF!</definedName>
    <definedName name="p3al50_4">#REF!</definedName>
    <definedName name="p3al50_4_1">#REF!</definedName>
    <definedName name="p3al50_4_2">#REF!</definedName>
    <definedName name="p3al50_4_2_6">#REF!</definedName>
    <definedName name="p3al50_4_4">#REF!</definedName>
    <definedName name="p3al50_4_6">#REF!</definedName>
    <definedName name="p3al50_4_7">#REF!</definedName>
    <definedName name="p3al50_5">#REF!</definedName>
    <definedName name="p3al50_5_2">#REF!</definedName>
    <definedName name="p3al50_5_2_6">#REF!</definedName>
    <definedName name="p3al50_5_4">#REF!</definedName>
    <definedName name="p3al50_5_6">#REF!</definedName>
    <definedName name="p3al50_5_7">#REF!</definedName>
    <definedName name="p3al50_6">#REF!</definedName>
    <definedName name="p3al50_6_1">#REF!</definedName>
    <definedName name="p3al50_6_4">#REF!</definedName>
    <definedName name="p3al50_6_6">#REF!</definedName>
    <definedName name="p3al50_6_7">#REF!</definedName>
    <definedName name="p3al50_7">#REF!</definedName>
    <definedName name="p3al60">#REF!</definedName>
    <definedName name="p3al60_1">#REF!</definedName>
    <definedName name="p3al60_1_5">#REF!</definedName>
    <definedName name="p3al60_2">#REF!</definedName>
    <definedName name="p3al60_2_1">#REF!</definedName>
    <definedName name="p3al60_2_1_1">#REF!</definedName>
    <definedName name="p3al60_2_1_1_6">#REF!</definedName>
    <definedName name="p3al60_2_1_6">#REF!</definedName>
    <definedName name="p3al60_2_1_7">#REF!</definedName>
    <definedName name="p3al60_2_6">#REF!</definedName>
    <definedName name="p3al60_2_7">#REF!</definedName>
    <definedName name="p3al60_3">#REF!</definedName>
    <definedName name="p3al60_3_4">#REF!</definedName>
    <definedName name="p3al60_3_6">#REF!</definedName>
    <definedName name="p3al60_3_7">#REF!</definedName>
    <definedName name="p3al60_4">#REF!</definedName>
    <definedName name="p3al60_4_1">#REF!</definedName>
    <definedName name="p3al60_4_2">#REF!</definedName>
    <definedName name="p3al60_4_2_6">#REF!</definedName>
    <definedName name="p3al60_4_4">#REF!</definedName>
    <definedName name="p3al60_4_6">#REF!</definedName>
    <definedName name="p3al60_4_7">#REF!</definedName>
    <definedName name="p3al60_5">#REF!</definedName>
    <definedName name="p3al60_5_2">#REF!</definedName>
    <definedName name="p3al60_5_2_6">#REF!</definedName>
    <definedName name="p3al60_5_4">#REF!</definedName>
    <definedName name="p3al60_5_6">#REF!</definedName>
    <definedName name="p3al60_5_7">#REF!</definedName>
    <definedName name="p3al60_6">#REF!</definedName>
    <definedName name="p3al60_6_1">#REF!</definedName>
    <definedName name="p3al60_6_4">#REF!</definedName>
    <definedName name="p3al60_6_6">#REF!</definedName>
    <definedName name="p3al60_6_7">#REF!</definedName>
    <definedName name="p3al60_7">#REF!</definedName>
    <definedName name="p3al70">#REF!</definedName>
    <definedName name="p3al70_1">#REF!</definedName>
    <definedName name="p3al70_1_5">#REF!</definedName>
    <definedName name="p3al70_2">#REF!</definedName>
    <definedName name="p3al70_2_1">#REF!</definedName>
    <definedName name="p3al70_2_1_1">#REF!</definedName>
    <definedName name="p3al70_2_1_1_6">#REF!</definedName>
    <definedName name="p3al70_2_1_6">#REF!</definedName>
    <definedName name="p3al70_2_1_7">#REF!</definedName>
    <definedName name="p3al70_2_6">#REF!</definedName>
    <definedName name="p3al70_2_7">#REF!</definedName>
    <definedName name="p3al70_3">#REF!</definedName>
    <definedName name="p3al70_3_4">#REF!</definedName>
    <definedName name="p3al70_3_6">#REF!</definedName>
    <definedName name="p3al70_3_7">#REF!</definedName>
    <definedName name="p3al70_4">#REF!</definedName>
    <definedName name="p3al70_4_1">#REF!</definedName>
    <definedName name="p3al70_4_2">#REF!</definedName>
    <definedName name="p3al70_4_2_6">#REF!</definedName>
    <definedName name="p3al70_4_4">#REF!</definedName>
    <definedName name="p3al70_4_6">#REF!</definedName>
    <definedName name="p3al70_4_7">#REF!</definedName>
    <definedName name="p3al70_5">#REF!</definedName>
    <definedName name="p3al70_5_2">#REF!</definedName>
    <definedName name="p3al70_5_2_6">#REF!</definedName>
    <definedName name="p3al70_5_4">#REF!</definedName>
    <definedName name="p3al70_5_6">#REF!</definedName>
    <definedName name="p3al70_5_7">#REF!</definedName>
    <definedName name="p3al70_6">#REF!</definedName>
    <definedName name="p3al70_6_1">#REF!</definedName>
    <definedName name="p3al70_6_4">#REF!</definedName>
    <definedName name="p3al70_6_6">#REF!</definedName>
    <definedName name="p3al70_6_7">#REF!</definedName>
    <definedName name="p3al70_7">#REF!</definedName>
    <definedName name="p3al80">#REF!</definedName>
    <definedName name="p3al80_1">#REF!</definedName>
    <definedName name="p3al80_1_5">#REF!</definedName>
    <definedName name="p3al80_2">#REF!</definedName>
    <definedName name="p3al80_2_1">#REF!</definedName>
    <definedName name="p3al80_2_1_1">#REF!</definedName>
    <definedName name="p3al80_2_1_1_6">#REF!</definedName>
    <definedName name="p3al80_2_1_6">#REF!</definedName>
    <definedName name="p3al80_2_1_7">#REF!</definedName>
    <definedName name="p3al80_2_6">#REF!</definedName>
    <definedName name="p3al80_2_7">#REF!</definedName>
    <definedName name="p3al80_3">#REF!</definedName>
    <definedName name="p3al80_3_4">#REF!</definedName>
    <definedName name="p3al80_3_6">#REF!</definedName>
    <definedName name="p3al80_3_7">#REF!</definedName>
    <definedName name="p3al80_4">#REF!</definedName>
    <definedName name="p3al80_4_1">#REF!</definedName>
    <definedName name="p3al80_4_2">#REF!</definedName>
    <definedName name="p3al80_4_2_6">#REF!</definedName>
    <definedName name="p3al80_4_4">#REF!</definedName>
    <definedName name="p3al80_4_6">#REF!</definedName>
    <definedName name="p3al80_4_7">#REF!</definedName>
    <definedName name="p3al80_5">#REF!</definedName>
    <definedName name="p3al80_5_2">#REF!</definedName>
    <definedName name="p3al80_5_2_6">#REF!</definedName>
    <definedName name="p3al80_5_4">#REF!</definedName>
    <definedName name="p3al80_5_6">#REF!</definedName>
    <definedName name="p3al80_5_7">#REF!</definedName>
    <definedName name="p3al80_6">#REF!</definedName>
    <definedName name="p3al80_6_1">#REF!</definedName>
    <definedName name="p3al80_6_4">#REF!</definedName>
    <definedName name="p3al80_6_6">#REF!</definedName>
    <definedName name="p3al80_6_7">#REF!</definedName>
    <definedName name="p3al80_7">#REF!</definedName>
    <definedName name="p3ati50">#REF!</definedName>
    <definedName name="p3ati50_1">#REF!</definedName>
    <definedName name="p3ati50_1_5">#REF!</definedName>
    <definedName name="p3ati50_2">#REF!</definedName>
    <definedName name="p3ati50_2_1">#REF!</definedName>
    <definedName name="p3ati50_2_1_1">#REF!</definedName>
    <definedName name="p3ati50_2_1_1_6">#REF!</definedName>
    <definedName name="p3ati50_2_1_6">#REF!</definedName>
    <definedName name="p3ati50_2_1_7">#REF!</definedName>
    <definedName name="p3ati50_2_6">#REF!</definedName>
    <definedName name="p3ati50_2_7">#REF!</definedName>
    <definedName name="p3ati50_3">#REF!</definedName>
    <definedName name="p3ati50_3_4">#REF!</definedName>
    <definedName name="p3ati50_3_6">#REF!</definedName>
    <definedName name="p3ati50_3_7">#REF!</definedName>
    <definedName name="p3ati50_4">#REF!</definedName>
    <definedName name="p3ati50_4_1">#REF!</definedName>
    <definedName name="p3ati50_4_2">#REF!</definedName>
    <definedName name="p3ati50_4_2_6">#REF!</definedName>
    <definedName name="p3ati50_4_4">#REF!</definedName>
    <definedName name="p3ati50_4_6">#REF!</definedName>
    <definedName name="p3ati50_4_7">#REF!</definedName>
    <definedName name="p3ati50_5">#REF!</definedName>
    <definedName name="p3ati50_5_2">#REF!</definedName>
    <definedName name="p3ati50_5_2_6">#REF!</definedName>
    <definedName name="p3ati50_5_4">#REF!</definedName>
    <definedName name="p3ati50_5_6">#REF!</definedName>
    <definedName name="p3ati50_5_7">#REF!</definedName>
    <definedName name="p3ati50_6">#REF!</definedName>
    <definedName name="p3ati50_6_1">#REF!</definedName>
    <definedName name="p3ati50_6_4">#REF!</definedName>
    <definedName name="p3ati50_6_6">#REF!</definedName>
    <definedName name="p3ati50_6_7">#REF!</definedName>
    <definedName name="p3ati50_7">#REF!</definedName>
    <definedName name="p3ati60">#REF!</definedName>
    <definedName name="p3ati60_1">#REF!</definedName>
    <definedName name="p3ati60_1_5">#REF!</definedName>
    <definedName name="p3ati60_2">#REF!</definedName>
    <definedName name="p3ati60_2_1">#REF!</definedName>
    <definedName name="p3ati60_2_1_1">#REF!</definedName>
    <definedName name="p3ati60_2_1_1_6">#REF!</definedName>
    <definedName name="p3ati60_2_1_6">#REF!</definedName>
    <definedName name="p3ati60_2_1_7">#REF!</definedName>
    <definedName name="p3ati60_2_6">#REF!</definedName>
    <definedName name="p3ati60_2_7">#REF!</definedName>
    <definedName name="p3ati60_3">#REF!</definedName>
    <definedName name="p3ati60_3_4">#REF!</definedName>
    <definedName name="p3ati60_3_6">#REF!</definedName>
    <definedName name="p3ati60_3_7">#REF!</definedName>
    <definedName name="p3ati60_4">#REF!</definedName>
    <definedName name="p3ati60_4_1">#REF!</definedName>
    <definedName name="p3ati60_4_2">#REF!</definedName>
    <definedName name="p3ati60_4_2_6">#REF!</definedName>
    <definedName name="p3ati60_4_4">#REF!</definedName>
    <definedName name="p3ati60_4_6">#REF!</definedName>
    <definedName name="p3ati60_4_7">#REF!</definedName>
    <definedName name="p3ati60_5">#REF!</definedName>
    <definedName name="p3ati60_5_2">#REF!</definedName>
    <definedName name="p3ati60_5_2_6">#REF!</definedName>
    <definedName name="p3ati60_5_4">#REF!</definedName>
    <definedName name="p3ati60_5_6">#REF!</definedName>
    <definedName name="p3ati60_5_7">#REF!</definedName>
    <definedName name="p3ati60_6">#REF!</definedName>
    <definedName name="p3ati60_6_1">#REF!</definedName>
    <definedName name="p3ati60_6_4">#REF!</definedName>
    <definedName name="p3ati60_6_6">#REF!</definedName>
    <definedName name="p3ati60_6_7">#REF!</definedName>
    <definedName name="p3ati60_7">#REF!</definedName>
    <definedName name="p3atif50">#REF!</definedName>
    <definedName name="p3atif50_1">#REF!</definedName>
    <definedName name="p3atif50_1_5">#REF!</definedName>
    <definedName name="p3atif50_2">#REF!</definedName>
    <definedName name="p3atif50_2_1">#REF!</definedName>
    <definedName name="p3atif50_2_1_1">#REF!</definedName>
    <definedName name="p3atif50_2_1_1_6">#REF!</definedName>
    <definedName name="p3atif50_2_1_6">#REF!</definedName>
    <definedName name="p3atif50_2_1_7">#REF!</definedName>
    <definedName name="p3atif50_2_6">#REF!</definedName>
    <definedName name="p3atif50_2_7">#REF!</definedName>
    <definedName name="p3atif50_3">#REF!</definedName>
    <definedName name="p3atif50_3_4">#REF!</definedName>
    <definedName name="p3atif50_3_6">#REF!</definedName>
    <definedName name="p3atif50_3_7">#REF!</definedName>
    <definedName name="p3atif50_4">#REF!</definedName>
    <definedName name="p3atif50_4_1">#REF!</definedName>
    <definedName name="p3atif50_4_2">#REF!</definedName>
    <definedName name="p3atif50_4_2_6">#REF!</definedName>
    <definedName name="p3atif50_4_4">#REF!</definedName>
    <definedName name="p3atif50_4_6">#REF!</definedName>
    <definedName name="p3atif50_4_7">#REF!</definedName>
    <definedName name="p3atif50_5">#REF!</definedName>
    <definedName name="p3atif50_5_2">#REF!</definedName>
    <definedName name="p3atif50_5_2_6">#REF!</definedName>
    <definedName name="p3atif50_5_4">#REF!</definedName>
    <definedName name="p3atif50_5_6">#REF!</definedName>
    <definedName name="p3atif50_5_7">#REF!</definedName>
    <definedName name="p3atif50_6">#REF!</definedName>
    <definedName name="p3atif50_6_1">#REF!</definedName>
    <definedName name="p3atif50_6_4">#REF!</definedName>
    <definedName name="p3atif50_6_6">#REF!</definedName>
    <definedName name="p3atif50_6_7">#REF!</definedName>
    <definedName name="p3atif50_7">#REF!</definedName>
    <definedName name="p3atifr50">#REF!</definedName>
    <definedName name="p3atifr50_1">#REF!</definedName>
    <definedName name="p3atifr50_1_5">#REF!</definedName>
    <definedName name="p3atifr50_2">#REF!</definedName>
    <definedName name="p3atifr50_2_1">#REF!</definedName>
    <definedName name="p3atifr50_2_1_1">#REF!</definedName>
    <definedName name="p3atifr50_2_1_1_6">#REF!</definedName>
    <definedName name="p3atifr50_2_1_6">#REF!</definedName>
    <definedName name="p3atifr50_2_1_7">#REF!</definedName>
    <definedName name="p3atifr50_2_6">#REF!</definedName>
    <definedName name="p3atifr50_2_7">#REF!</definedName>
    <definedName name="p3atifr50_3">#REF!</definedName>
    <definedName name="p3atifr50_3_4">#REF!</definedName>
    <definedName name="p3atifr50_3_6">#REF!</definedName>
    <definedName name="p3atifr50_3_7">#REF!</definedName>
    <definedName name="p3atifr50_4">#REF!</definedName>
    <definedName name="p3atifr50_4_1">#REF!</definedName>
    <definedName name="p3atifr50_4_2">#REF!</definedName>
    <definedName name="p3atifr50_4_2_6">#REF!</definedName>
    <definedName name="p3atifr50_4_4">#REF!</definedName>
    <definedName name="p3atifr50_4_6">#REF!</definedName>
    <definedName name="p3atifr50_4_7">#REF!</definedName>
    <definedName name="p3atifr50_5">#REF!</definedName>
    <definedName name="p3atifr50_5_2">#REF!</definedName>
    <definedName name="p3atifr50_5_2_6">#REF!</definedName>
    <definedName name="p3atifr50_5_4">#REF!</definedName>
    <definedName name="p3atifr50_5_6">#REF!</definedName>
    <definedName name="p3atifr50_5_7">#REF!</definedName>
    <definedName name="p3atifr50_6">#REF!</definedName>
    <definedName name="p3atifr50_6_1">#REF!</definedName>
    <definedName name="p3atifr50_6_4">#REF!</definedName>
    <definedName name="p3atifr50_6_6">#REF!</definedName>
    <definedName name="p3atifr50_6_7">#REF!</definedName>
    <definedName name="p3atifr50_7">#REF!</definedName>
    <definedName name="p3atifr60">#REF!</definedName>
    <definedName name="p3atifr60_1">#REF!</definedName>
    <definedName name="p3atifr60_1_5">#REF!</definedName>
    <definedName name="p3atifr60_2">#REF!</definedName>
    <definedName name="p3atifr60_2_1">#REF!</definedName>
    <definedName name="p3atifr60_2_1_1">#REF!</definedName>
    <definedName name="p3atifr60_2_1_1_6">#REF!</definedName>
    <definedName name="p3atifr60_2_1_6">#REF!</definedName>
    <definedName name="p3atifr60_2_1_7">#REF!</definedName>
    <definedName name="p3atifr60_2_6">#REF!</definedName>
    <definedName name="p3atifr60_2_7">#REF!</definedName>
    <definedName name="p3atifr60_3">#REF!</definedName>
    <definedName name="p3atifr60_3_4">#REF!</definedName>
    <definedName name="p3atifr60_3_6">#REF!</definedName>
    <definedName name="p3atifr60_3_7">#REF!</definedName>
    <definedName name="p3atifr60_4">#REF!</definedName>
    <definedName name="p3atifr60_4_1">#REF!</definedName>
    <definedName name="p3atifr60_4_2">#REF!</definedName>
    <definedName name="p3atifr60_4_2_6">#REF!</definedName>
    <definedName name="p3atifr60_4_4">#REF!</definedName>
    <definedName name="p3atifr60_4_6">#REF!</definedName>
    <definedName name="p3atifr60_4_7">#REF!</definedName>
    <definedName name="p3atifr60_5">#REF!</definedName>
    <definedName name="p3atifr60_5_2">#REF!</definedName>
    <definedName name="p3atifr60_5_2_6">#REF!</definedName>
    <definedName name="p3atifr60_5_4">#REF!</definedName>
    <definedName name="p3atifr60_5_6">#REF!</definedName>
    <definedName name="p3atifr60_5_7">#REF!</definedName>
    <definedName name="p3atifr60_6">#REF!</definedName>
    <definedName name="p3atifr60_6_1">#REF!</definedName>
    <definedName name="p3atifr60_6_4">#REF!</definedName>
    <definedName name="p3atifr60_6_6">#REF!</definedName>
    <definedName name="p3atifr60_6_7">#REF!</definedName>
    <definedName name="p3atifr60_7">#REF!</definedName>
    <definedName name="p3ti50">#REF!</definedName>
    <definedName name="p3ti50_1">#REF!</definedName>
    <definedName name="p3ti50_1_5">#REF!</definedName>
    <definedName name="p3ti50_2">#REF!</definedName>
    <definedName name="p3ti50_2_1">#REF!</definedName>
    <definedName name="p3ti50_2_1_1">#REF!</definedName>
    <definedName name="p3ti50_2_1_1_6">#REF!</definedName>
    <definedName name="p3ti50_2_1_6">#REF!</definedName>
    <definedName name="p3ti50_2_1_7">#REF!</definedName>
    <definedName name="p3ti50_2_6">#REF!</definedName>
    <definedName name="p3ti50_2_7">#REF!</definedName>
    <definedName name="p3ti50_3">#REF!</definedName>
    <definedName name="p3ti50_3_4">#REF!</definedName>
    <definedName name="p3ti50_3_6">#REF!</definedName>
    <definedName name="p3ti50_3_7">#REF!</definedName>
    <definedName name="p3ti50_4">#REF!</definedName>
    <definedName name="p3ti50_4_1">#REF!</definedName>
    <definedName name="p3ti50_4_2">#REF!</definedName>
    <definedName name="p3ti50_4_2_6">#REF!</definedName>
    <definedName name="p3ti50_4_4">#REF!</definedName>
    <definedName name="p3ti50_4_6">#REF!</definedName>
    <definedName name="p3ti50_4_7">#REF!</definedName>
    <definedName name="p3ti50_5">#REF!</definedName>
    <definedName name="p3ti50_5_2">#REF!</definedName>
    <definedName name="p3ti50_5_2_6">#REF!</definedName>
    <definedName name="p3ti50_5_4">#REF!</definedName>
    <definedName name="p3ti50_5_6">#REF!</definedName>
    <definedName name="p3ti50_5_7">#REF!</definedName>
    <definedName name="p3ti50_6">#REF!</definedName>
    <definedName name="p3ti50_6_1">#REF!</definedName>
    <definedName name="p3ti50_6_4">#REF!</definedName>
    <definedName name="p3ti50_6_6">#REF!</definedName>
    <definedName name="p3ti50_6_7">#REF!</definedName>
    <definedName name="p3ti50_7">#REF!</definedName>
    <definedName name="p3ti60">#REF!</definedName>
    <definedName name="p3ti60_1">#REF!</definedName>
    <definedName name="p3ti60_1_5">#REF!</definedName>
    <definedName name="p3ti60_2">#REF!</definedName>
    <definedName name="p3ti60_2_1">#REF!</definedName>
    <definedName name="p3ti60_2_1_1">#REF!</definedName>
    <definedName name="p3ti60_2_1_1_6">#REF!</definedName>
    <definedName name="p3ti60_2_1_6">#REF!</definedName>
    <definedName name="p3ti60_2_1_7">#REF!</definedName>
    <definedName name="p3ti60_2_6">#REF!</definedName>
    <definedName name="p3ti60_2_7">#REF!</definedName>
    <definedName name="p3ti60_3">#REF!</definedName>
    <definedName name="p3ti60_3_4">#REF!</definedName>
    <definedName name="p3ti60_3_6">#REF!</definedName>
    <definedName name="p3ti60_3_7">#REF!</definedName>
    <definedName name="p3ti60_4">#REF!</definedName>
    <definedName name="p3ti60_4_1">#REF!</definedName>
    <definedName name="p3ti60_4_2">#REF!</definedName>
    <definedName name="p3ti60_4_2_6">#REF!</definedName>
    <definedName name="p3ti60_4_4">#REF!</definedName>
    <definedName name="p3ti60_4_6">#REF!</definedName>
    <definedName name="p3ti60_4_7">#REF!</definedName>
    <definedName name="p3ti60_5">#REF!</definedName>
    <definedName name="p3ti60_5_2">#REF!</definedName>
    <definedName name="p3ti60_5_2_6">#REF!</definedName>
    <definedName name="p3ti60_5_4">#REF!</definedName>
    <definedName name="p3ti60_5_6">#REF!</definedName>
    <definedName name="p3ti60_5_7">#REF!</definedName>
    <definedName name="p3ti60_6">#REF!</definedName>
    <definedName name="p3ti60_6_1">#REF!</definedName>
    <definedName name="p3ti60_6_4">#REF!</definedName>
    <definedName name="p3ti60_6_6">#REF!</definedName>
    <definedName name="p3ti60_6_7">#REF!</definedName>
    <definedName name="p3ti60_7">#REF!</definedName>
    <definedName name="p3ti70">#REF!</definedName>
    <definedName name="p3ti70_1">#REF!</definedName>
    <definedName name="p3ti70_1_5">#REF!</definedName>
    <definedName name="p3ti70_2">#REF!</definedName>
    <definedName name="p3ti70_2_1">#REF!</definedName>
    <definedName name="p3ti70_2_1_1">#REF!</definedName>
    <definedName name="p3ti70_2_1_1_6">#REF!</definedName>
    <definedName name="p3ti70_2_1_6">#REF!</definedName>
    <definedName name="p3ti70_2_1_7">#REF!</definedName>
    <definedName name="p3ti70_2_6">#REF!</definedName>
    <definedName name="p3ti70_2_7">#REF!</definedName>
    <definedName name="p3ti70_3">#REF!</definedName>
    <definedName name="p3ti70_3_4">#REF!</definedName>
    <definedName name="p3ti70_3_6">#REF!</definedName>
    <definedName name="p3ti70_3_7">#REF!</definedName>
    <definedName name="p3ti70_4">#REF!</definedName>
    <definedName name="p3ti70_4_1">#REF!</definedName>
    <definedName name="p3ti70_4_2">#REF!</definedName>
    <definedName name="p3ti70_4_2_6">#REF!</definedName>
    <definedName name="p3ti70_4_4">#REF!</definedName>
    <definedName name="p3ti70_4_6">#REF!</definedName>
    <definedName name="p3ti70_4_7">#REF!</definedName>
    <definedName name="p3ti70_5">#REF!</definedName>
    <definedName name="p3ti70_5_2">#REF!</definedName>
    <definedName name="p3ti70_5_2_6">#REF!</definedName>
    <definedName name="p3ti70_5_4">#REF!</definedName>
    <definedName name="p3ti70_5_6">#REF!</definedName>
    <definedName name="p3ti70_5_7">#REF!</definedName>
    <definedName name="p3ti70_6">#REF!</definedName>
    <definedName name="p3ti70_6_1">#REF!</definedName>
    <definedName name="p3ti70_6_4">#REF!</definedName>
    <definedName name="p3ti70_6_6">#REF!</definedName>
    <definedName name="p3ti70_6_7">#REF!</definedName>
    <definedName name="p3ti70_7">#REF!</definedName>
    <definedName name="p3ti80">#REF!</definedName>
    <definedName name="p3ti80_1">#REF!</definedName>
    <definedName name="p3ti80_1_5">#REF!</definedName>
    <definedName name="p3ti80_2">#REF!</definedName>
    <definedName name="p3ti80_2_1">#REF!</definedName>
    <definedName name="p3ti80_2_1_1">#REF!</definedName>
    <definedName name="p3ti80_2_1_1_6">#REF!</definedName>
    <definedName name="p3ti80_2_1_6">#REF!</definedName>
    <definedName name="p3ti80_2_1_7">#REF!</definedName>
    <definedName name="p3ti80_2_6">#REF!</definedName>
    <definedName name="p3ti80_2_7">#REF!</definedName>
    <definedName name="p3ti80_3">#REF!</definedName>
    <definedName name="p3ti80_3_4">#REF!</definedName>
    <definedName name="p3ti80_3_6">#REF!</definedName>
    <definedName name="p3ti80_3_7">#REF!</definedName>
    <definedName name="p3ti80_4">#REF!</definedName>
    <definedName name="p3ti80_4_1">#REF!</definedName>
    <definedName name="p3ti80_4_2">#REF!</definedName>
    <definedName name="p3ti80_4_2_6">#REF!</definedName>
    <definedName name="p3ti80_4_4">#REF!</definedName>
    <definedName name="p3ti80_4_6">#REF!</definedName>
    <definedName name="p3ti80_4_7">#REF!</definedName>
    <definedName name="p3ti80_5">#REF!</definedName>
    <definedName name="p3ti80_5_2">#REF!</definedName>
    <definedName name="p3ti80_5_2_6">#REF!</definedName>
    <definedName name="p3ti80_5_4">#REF!</definedName>
    <definedName name="p3ti80_5_6">#REF!</definedName>
    <definedName name="p3ti80_5_7">#REF!</definedName>
    <definedName name="p3ti80_6">#REF!</definedName>
    <definedName name="p3ti80_6_1">#REF!</definedName>
    <definedName name="p3ti80_6_4">#REF!</definedName>
    <definedName name="p3ti80_6_6">#REF!</definedName>
    <definedName name="p3ti80_6_7">#REF!</definedName>
    <definedName name="p3ti80_7">#REF!</definedName>
    <definedName name="p3tif50">#REF!</definedName>
    <definedName name="p3tif50_1">#REF!</definedName>
    <definedName name="p3tif50_1_5">#REF!</definedName>
    <definedName name="p3tif50_2">#REF!</definedName>
    <definedName name="p3tif50_2_1">#REF!</definedName>
    <definedName name="p3tif50_2_1_1">#REF!</definedName>
    <definedName name="p3tif50_2_1_1_6">#REF!</definedName>
    <definedName name="p3tif50_2_1_6">#REF!</definedName>
    <definedName name="p3tif50_2_1_7">#REF!</definedName>
    <definedName name="p3tif50_2_6">#REF!</definedName>
    <definedName name="p3tif50_2_7">#REF!</definedName>
    <definedName name="p3tif50_3">#REF!</definedName>
    <definedName name="p3tif50_3_4">#REF!</definedName>
    <definedName name="p3tif50_3_6">#REF!</definedName>
    <definedName name="p3tif50_3_7">#REF!</definedName>
    <definedName name="p3tif50_4">#REF!</definedName>
    <definedName name="p3tif50_4_1">#REF!</definedName>
    <definedName name="p3tif50_4_2">#REF!</definedName>
    <definedName name="p3tif50_4_2_6">#REF!</definedName>
    <definedName name="p3tif50_4_4">#REF!</definedName>
    <definedName name="p3tif50_4_6">#REF!</definedName>
    <definedName name="p3tif50_4_7">#REF!</definedName>
    <definedName name="p3tif50_5">#REF!</definedName>
    <definedName name="p3tif50_5_2">#REF!</definedName>
    <definedName name="p3tif50_5_2_6">#REF!</definedName>
    <definedName name="p3tif50_5_4">#REF!</definedName>
    <definedName name="p3tif50_5_6">#REF!</definedName>
    <definedName name="p3tif50_5_7">#REF!</definedName>
    <definedName name="p3tif50_6">#REF!</definedName>
    <definedName name="p3tif50_6_1">#REF!</definedName>
    <definedName name="p3tif50_6_4">#REF!</definedName>
    <definedName name="p3tif50_6_6">#REF!</definedName>
    <definedName name="p3tif50_6_7">#REF!</definedName>
    <definedName name="p3tif50_7">#REF!</definedName>
    <definedName name="pa">#REF!</definedName>
    <definedName name="pa_4">[95]satuan_pek_ars!#REF!</definedName>
    <definedName name="pa_5">[95]satuan_pek_ars!#REF!</definedName>
    <definedName name="pa_7a">[95]satuan_pek_ars!#REF!</definedName>
    <definedName name="PA_TR">#REF!</definedName>
    <definedName name="pa6.240">#REF!</definedName>
    <definedName name="PA6A">#REF!</definedName>
    <definedName name="Paanstm">#REF!</definedName>
    <definedName name="pab100_1">#REF!</definedName>
    <definedName name="pab100_1_5">#REF!</definedName>
    <definedName name="pab100_2">#REF!</definedName>
    <definedName name="pab100_2_1">#REF!</definedName>
    <definedName name="pab100_2_1_1">#REF!</definedName>
    <definedName name="pab100_2_1_1_6">#REF!</definedName>
    <definedName name="pab100_2_1_6">#REF!</definedName>
    <definedName name="pab100_2_1_7">#REF!</definedName>
    <definedName name="pab100_2_6">#REF!</definedName>
    <definedName name="pab100_3">#REF!</definedName>
    <definedName name="pab100_3_1">#REF!</definedName>
    <definedName name="pab100_3_2">#REF!</definedName>
    <definedName name="pab100_3_4">#REF!</definedName>
    <definedName name="pab100_3_6">#REF!</definedName>
    <definedName name="pab100_3_7">#REF!</definedName>
    <definedName name="pab100_4">#REF!</definedName>
    <definedName name="pab100_4_1">#REF!</definedName>
    <definedName name="pab100_4_2">#REF!</definedName>
    <definedName name="pab100_4_2_6">#REF!</definedName>
    <definedName name="pab100_4_4">#REF!</definedName>
    <definedName name="pab100_4_6">#REF!</definedName>
    <definedName name="pab100_4_7">#REF!</definedName>
    <definedName name="pab100_5">#REF!</definedName>
    <definedName name="pab100_5_2">#REF!</definedName>
    <definedName name="pab100_5_2_6">#REF!</definedName>
    <definedName name="pab100_5_4">#REF!</definedName>
    <definedName name="pab100_5_6">#REF!</definedName>
    <definedName name="pab100_5_7">#REF!</definedName>
    <definedName name="pab100_6">#REF!</definedName>
    <definedName name="pab100_6_1">#REF!</definedName>
    <definedName name="pab100_6_4">#REF!</definedName>
    <definedName name="pab100_6_6">#REF!</definedName>
    <definedName name="pab100_6_7">#REF!</definedName>
    <definedName name="pab100_7">#REF!</definedName>
    <definedName name="pab125_1">#REF!</definedName>
    <definedName name="pab125_1_5">#REF!</definedName>
    <definedName name="pab125_2">#REF!</definedName>
    <definedName name="pab125_2_1">#REF!</definedName>
    <definedName name="pab125_2_1_1">#REF!</definedName>
    <definedName name="pab125_2_1_1_6">#REF!</definedName>
    <definedName name="pab125_2_1_6">#REF!</definedName>
    <definedName name="pab125_2_1_7">#REF!</definedName>
    <definedName name="pab125_2_6">#REF!</definedName>
    <definedName name="pab125_2_7">#REF!</definedName>
    <definedName name="pab125_3">#REF!</definedName>
    <definedName name="pab125_3_4">#REF!</definedName>
    <definedName name="pab125_3_6">#REF!</definedName>
    <definedName name="pab125_3_7">#REF!</definedName>
    <definedName name="pab125_4">#REF!</definedName>
    <definedName name="pab125_4_1">#REF!</definedName>
    <definedName name="pab125_4_2">#REF!</definedName>
    <definedName name="pab125_4_2_6">#REF!</definedName>
    <definedName name="pab125_4_4">#REF!</definedName>
    <definedName name="pab125_4_6">#REF!</definedName>
    <definedName name="pab125_4_7">#REF!</definedName>
    <definedName name="pab125_5">#REF!</definedName>
    <definedName name="pab125_5_2">#REF!</definedName>
    <definedName name="pab125_5_2_6">#REF!</definedName>
    <definedName name="pab125_5_4">#REF!</definedName>
    <definedName name="pab125_5_6">#REF!</definedName>
    <definedName name="pab125_5_7">#REF!</definedName>
    <definedName name="pab125_6">#REF!</definedName>
    <definedName name="pab125_6_1">#REF!</definedName>
    <definedName name="pab125_6_4">#REF!</definedName>
    <definedName name="pab125_6_6">#REF!</definedName>
    <definedName name="pab125_6_7">#REF!</definedName>
    <definedName name="pab125_7">#REF!</definedName>
    <definedName name="pab15_1">#REF!</definedName>
    <definedName name="pab15_1_5">#REF!</definedName>
    <definedName name="pab15_2">#REF!</definedName>
    <definedName name="pab15_2_1">#REF!</definedName>
    <definedName name="pab15_2_1_1">#REF!</definedName>
    <definedName name="pab15_2_1_1_6">#REF!</definedName>
    <definedName name="pab15_2_1_6">#REF!</definedName>
    <definedName name="pab15_2_1_7">#REF!</definedName>
    <definedName name="pab15_2_6">#REF!</definedName>
    <definedName name="pab15_2_7">#REF!</definedName>
    <definedName name="pab15_3">#REF!</definedName>
    <definedName name="pab15_3_1">#REF!</definedName>
    <definedName name="pab15_3_2">#REF!</definedName>
    <definedName name="pab15_3_4">#REF!</definedName>
    <definedName name="pab15_3_6">#REF!</definedName>
    <definedName name="pab15_3_7">#REF!</definedName>
    <definedName name="pab15_4">#REF!</definedName>
    <definedName name="pab15_4_1">#REF!</definedName>
    <definedName name="pab15_4_2">#REF!</definedName>
    <definedName name="pab15_4_2_6">#REF!</definedName>
    <definedName name="pab15_4_4">#REF!</definedName>
    <definedName name="pab15_4_6">#REF!</definedName>
    <definedName name="pab15_4_7">#REF!</definedName>
    <definedName name="pab15_5">#REF!</definedName>
    <definedName name="pab15_5_2">#REF!</definedName>
    <definedName name="pab15_5_2_6">#REF!</definedName>
    <definedName name="pab15_5_4">#REF!</definedName>
    <definedName name="pab15_5_6">#REF!</definedName>
    <definedName name="pab15_5_7">#REF!</definedName>
    <definedName name="pab15_6">#REF!</definedName>
    <definedName name="pab15_6_1">#REF!</definedName>
    <definedName name="pab15_6_4">#REF!</definedName>
    <definedName name="pab15_6_6">#REF!</definedName>
    <definedName name="pab15_6_7">#REF!</definedName>
    <definedName name="pab15_7">#REF!</definedName>
    <definedName name="pab150_1">#REF!</definedName>
    <definedName name="pab150_1_5">#REF!</definedName>
    <definedName name="pab150_2">#REF!</definedName>
    <definedName name="pab150_2_1">#REF!</definedName>
    <definedName name="pab150_2_1_1">#REF!</definedName>
    <definedName name="pab150_2_1_1_6">#REF!</definedName>
    <definedName name="pab150_2_1_6">#REF!</definedName>
    <definedName name="pab150_2_1_7">#REF!</definedName>
    <definedName name="pab150_2_6">#REF!</definedName>
    <definedName name="pab150_2_7">#REF!</definedName>
    <definedName name="pab150_3">#REF!</definedName>
    <definedName name="pab150_3_1">#REF!</definedName>
    <definedName name="pab150_3_2">#REF!</definedName>
    <definedName name="pab150_3_4">#REF!</definedName>
    <definedName name="pab150_3_6">#REF!</definedName>
    <definedName name="pab150_3_7">#REF!</definedName>
    <definedName name="pab150_4">#REF!</definedName>
    <definedName name="pab150_4_1">#REF!</definedName>
    <definedName name="pab150_4_2">#REF!</definedName>
    <definedName name="pab150_4_2_6">#REF!</definedName>
    <definedName name="pab150_4_4">#REF!</definedName>
    <definedName name="pab150_4_6">#REF!</definedName>
    <definedName name="pab150_4_7">#REF!</definedName>
    <definedName name="pab150_5">#REF!</definedName>
    <definedName name="pab150_5_2">#REF!</definedName>
    <definedName name="pab150_5_2_6">#REF!</definedName>
    <definedName name="pab150_5_4">#REF!</definedName>
    <definedName name="pab150_5_6">#REF!</definedName>
    <definedName name="pab150_5_7">#REF!</definedName>
    <definedName name="pab150_6">#REF!</definedName>
    <definedName name="pab150_6_1">#REF!</definedName>
    <definedName name="pab150_6_4">#REF!</definedName>
    <definedName name="pab150_6_6">#REF!</definedName>
    <definedName name="pab150_6_7">#REF!</definedName>
    <definedName name="pab150_7">#REF!</definedName>
    <definedName name="pab2_1">#REF!</definedName>
    <definedName name="pab2_1_5">#REF!</definedName>
    <definedName name="pab2_2">#REF!</definedName>
    <definedName name="pab2_2_1">#REF!</definedName>
    <definedName name="pab2_2_1_1">#REF!</definedName>
    <definedName name="pab2_2_1_1_6">#REF!</definedName>
    <definedName name="pab2_2_1_6">#REF!</definedName>
    <definedName name="pab2_2_1_7">#REF!</definedName>
    <definedName name="pab2_2_6">#REF!</definedName>
    <definedName name="pab2_3">#REF!</definedName>
    <definedName name="pab2_3_1">#REF!</definedName>
    <definedName name="pab2_3_2">#REF!</definedName>
    <definedName name="pab2_3_4">#REF!</definedName>
    <definedName name="pab2_3_6">#REF!</definedName>
    <definedName name="pab2_3_7">#REF!</definedName>
    <definedName name="pab2_4">#REF!</definedName>
    <definedName name="pab2_4_1">#REF!</definedName>
    <definedName name="pab2_4_2">#REF!</definedName>
    <definedName name="pab2_4_2_6">#REF!</definedName>
    <definedName name="pab2_4_4">#REF!</definedName>
    <definedName name="pab2_4_6">#REF!</definedName>
    <definedName name="pab2_4_7">#REF!</definedName>
    <definedName name="pab2_5">#REF!</definedName>
    <definedName name="pab2_5_2">#REF!</definedName>
    <definedName name="pab2_5_2_6">#REF!</definedName>
    <definedName name="pab2_5_4">#REF!</definedName>
    <definedName name="pab2_5_6">#REF!</definedName>
    <definedName name="pab2_5_7">#REF!</definedName>
    <definedName name="pab2_6">#REF!</definedName>
    <definedName name="pab2_6_1">#REF!</definedName>
    <definedName name="pab2_6_4">#REF!</definedName>
    <definedName name="pab2_6_6">#REF!</definedName>
    <definedName name="pab2_6_7">#REF!</definedName>
    <definedName name="pab2_7">#REF!</definedName>
    <definedName name="pab20_1">#REF!</definedName>
    <definedName name="pab20_1_5">#REF!</definedName>
    <definedName name="pab20_2">#REF!</definedName>
    <definedName name="pab20_2_1">#REF!</definedName>
    <definedName name="pab20_2_1_1">#REF!</definedName>
    <definedName name="pab20_2_1_1_6">#REF!</definedName>
    <definedName name="pab20_2_1_6">#REF!</definedName>
    <definedName name="pab20_2_1_7">#REF!</definedName>
    <definedName name="pab20_2_6">#REF!</definedName>
    <definedName name="pab20_2_7">#REF!</definedName>
    <definedName name="pab20_3">#REF!</definedName>
    <definedName name="pab20_3_1">#REF!</definedName>
    <definedName name="pab20_3_2">#REF!</definedName>
    <definedName name="pab20_3_4">#REF!</definedName>
    <definedName name="pab20_3_6">#REF!</definedName>
    <definedName name="pab20_3_7">#REF!</definedName>
    <definedName name="pab20_4">#REF!</definedName>
    <definedName name="pab20_4_1">#REF!</definedName>
    <definedName name="pab20_4_2">#REF!</definedName>
    <definedName name="pab20_4_2_6">#REF!</definedName>
    <definedName name="pab20_4_4">#REF!</definedName>
    <definedName name="pab20_4_6">#REF!</definedName>
    <definedName name="pab20_4_7">#REF!</definedName>
    <definedName name="pab20_5">#REF!</definedName>
    <definedName name="pab20_5_2">#REF!</definedName>
    <definedName name="pab20_5_2_6">#REF!</definedName>
    <definedName name="pab20_5_4">#REF!</definedName>
    <definedName name="pab20_5_6">#REF!</definedName>
    <definedName name="pab20_5_7">#REF!</definedName>
    <definedName name="pab20_6">#REF!</definedName>
    <definedName name="pab20_6_1">#REF!</definedName>
    <definedName name="pab20_6_4">#REF!</definedName>
    <definedName name="pab20_6_6">#REF!</definedName>
    <definedName name="pab20_6_7">#REF!</definedName>
    <definedName name="pab20_7">#REF!</definedName>
    <definedName name="pab25_1">#REF!</definedName>
    <definedName name="pab25_1_5">#REF!</definedName>
    <definedName name="pab25_2">#REF!</definedName>
    <definedName name="pab25_2_1">#REF!</definedName>
    <definedName name="pab25_2_1_1">#REF!</definedName>
    <definedName name="pab25_2_1_1_6">#REF!</definedName>
    <definedName name="pab25_2_1_6">#REF!</definedName>
    <definedName name="pab25_2_1_7">#REF!</definedName>
    <definedName name="pab25_2_6">#REF!</definedName>
    <definedName name="pab25_2_7">#REF!</definedName>
    <definedName name="pab25_3">#REF!</definedName>
    <definedName name="pab25_3_1">#REF!</definedName>
    <definedName name="pab25_3_2">#REF!</definedName>
    <definedName name="pab25_3_4">#REF!</definedName>
    <definedName name="pab25_3_6">#REF!</definedName>
    <definedName name="pab25_3_7">#REF!</definedName>
    <definedName name="pab25_4">#REF!</definedName>
    <definedName name="pab25_4_1">#REF!</definedName>
    <definedName name="pab25_4_2">#REF!</definedName>
    <definedName name="pab25_4_2_6">#REF!</definedName>
    <definedName name="pab25_4_4">#REF!</definedName>
    <definedName name="pab25_4_6">#REF!</definedName>
    <definedName name="pab25_4_7">#REF!</definedName>
    <definedName name="pab25_5">#REF!</definedName>
    <definedName name="pab25_5_2">#REF!</definedName>
    <definedName name="pab25_5_2_6">#REF!</definedName>
    <definedName name="pab25_5_4">#REF!</definedName>
    <definedName name="pab25_5_6">#REF!</definedName>
    <definedName name="pab25_5_7">#REF!</definedName>
    <definedName name="pab25_6">#REF!</definedName>
    <definedName name="pab25_6_1">#REF!</definedName>
    <definedName name="pab25_6_4">#REF!</definedName>
    <definedName name="pab25_6_6">#REF!</definedName>
    <definedName name="pab25_6_7">#REF!</definedName>
    <definedName name="pab25_7">#REF!</definedName>
    <definedName name="pab32_1">#REF!</definedName>
    <definedName name="pab32_1_5">#REF!</definedName>
    <definedName name="pab32_2">#REF!</definedName>
    <definedName name="pab32_2_1">#REF!</definedName>
    <definedName name="pab32_2_1_1">#REF!</definedName>
    <definedName name="pab32_2_1_1_6">#REF!</definedName>
    <definedName name="pab32_2_1_6">#REF!</definedName>
    <definedName name="pab32_2_1_7">#REF!</definedName>
    <definedName name="pab32_2_6">#REF!</definedName>
    <definedName name="pab32_2_7">#REF!</definedName>
    <definedName name="pab32_3">#REF!</definedName>
    <definedName name="pab32_3_1">#REF!</definedName>
    <definedName name="pab32_3_2">#REF!</definedName>
    <definedName name="pab32_3_4">#REF!</definedName>
    <definedName name="pab32_3_6">#REF!</definedName>
    <definedName name="pab32_3_7">#REF!</definedName>
    <definedName name="pab32_4">#REF!</definedName>
    <definedName name="pab32_4_1">#REF!</definedName>
    <definedName name="pab32_4_2">#REF!</definedName>
    <definedName name="pab32_4_2_6">#REF!</definedName>
    <definedName name="pab32_4_4">#REF!</definedName>
    <definedName name="pab32_4_6">#REF!</definedName>
    <definedName name="pab32_4_7">#REF!</definedName>
    <definedName name="pab32_5">#REF!</definedName>
    <definedName name="pab32_5_2">#REF!</definedName>
    <definedName name="pab32_5_2_6">#REF!</definedName>
    <definedName name="pab32_5_4">#REF!</definedName>
    <definedName name="pab32_5_6">#REF!</definedName>
    <definedName name="pab32_5_7">#REF!</definedName>
    <definedName name="pab32_6">#REF!</definedName>
    <definedName name="pab32_6_1">#REF!</definedName>
    <definedName name="pab32_6_4">#REF!</definedName>
    <definedName name="pab32_6_6">#REF!</definedName>
    <definedName name="pab32_6_7">#REF!</definedName>
    <definedName name="pab32_7">#REF!</definedName>
    <definedName name="pab4_1">#REF!</definedName>
    <definedName name="pab4_1_5">#REF!</definedName>
    <definedName name="pab4_2">#REF!</definedName>
    <definedName name="pab4_2_1">#REF!</definedName>
    <definedName name="pab4_2_1_1">#REF!</definedName>
    <definedName name="pab4_2_1_1_6">#REF!</definedName>
    <definedName name="pab4_2_1_6">#REF!</definedName>
    <definedName name="pab4_2_1_7">#REF!</definedName>
    <definedName name="pab4_2_6">#REF!</definedName>
    <definedName name="pab4_3">#REF!</definedName>
    <definedName name="pab4_3_1">#REF!</definedName>
    <definedName name="pab4_3_2">#REF!</definedName>
    <definedName name="pab4_3_4">#REF!</definedName>
    <definedName name="pab4_3_6">#REF!</definedName>
    <definedName name="pab4_3_7">#REF!</definedName>
    <definedName name="pab4_4">#REF!</definedName>
    <definedName name="pab4_4_1">#REF!</definedName>
    <definedName name="pab4_4_2">#REF!</definedName>
    <definedName name="pab4_4_2_6">#REF!</definedName>
    <definedName name="pab4_4_4">#REF!</definedName>
    <definedName name="pab4_4_6">#REF!</definedName>
    <definedName name="pab4_4_7">#REF!</definedName>
    <definedName name="pab4_5">#REF!</definedName>
    <definedName name="pab4_5_2">#REF!</definedName>
    <definedName name="pab4_5_2_6">#REF!</definedName>
    <definedName name="pab4_5_4">#REF!</definedName>
    <definedName name="pab4_5_6">#REF!</definedName>
    <definedName name="pab4_5_7">#REF!</definedName>
    <definedName name="pab4_6">#REF!</definedName>
    <definedName name="pab4_6_1">#REF!</definedName>
    <definedName name="pab4_6_4">#REF!</definedName>
    <definedName name="pab4_6_6">#REF!</definedName>
    <definedName name="pab4_6_7">#REF!</definedName>
    <definedName name="pab4_7">#REF!</definedName>
    <definedName name="pab40_1">#REF!</definedName>
    <definedName name="pab40_1_5">#REF!</definedName>
    <definedName name="pab40_2">#REF!</definedName>
    <definedName name="pab40_2_1">#REF!</definedName>
    <definedName name="pab40_2_1_1">#REF!</definedName>
    <definedName name="pab40_2_1_1_6">#REF!</definedName>
    <definedName name="pab40_2_1_6">#REF!</definedName>
    <definedName name="pab40_2_1_7">#REF!</definedName>
    <definedName name="pab40_2_6">#REF!</definedName>
    <definedName name="pab40_2_7">#REF!</definedName>
    <definedName name="pab40_3">#REF!</definedName>
    <definedName name="pab40_3_1">#REF!</definedName>
    <definedName name="pab40_3_2">#REF!</definedName>
    <definedName name="pab40_3_4">#REF!</definedName>
    <definedName name="pab40_3_6">#REF!</definedName>
    <definedName name="pab40_3_7">#REF!</definedName>
    <definedName name="pab40_4">#REF!</definedName>
    <definedName name="pab40_4_1">#REF!</definedName>
    <definedName name="pab40_4_2">#REF!</definedName>
    <definedName name="pab40_4_2_6">#REF!</definedName>
    <definedName name="pab40_4_4">#REF!</definedName>
    <definedName name="pab40_4_6">#REF!</definedName>
    <definedName name="pab40_4_7">#REF!</definedName>
    <definedName name="pab40_5">#REF!</definedName>
    <definedName name="pab40_5_2">#REF!</definedName>
    <definedName name="pab40_5_2_6">#REF!</definedName>
    <definedName name="pab40_5_4">#REF!</definedName>
    <definedName name="pab40_5_6">#REF!</definedName>
    <definedName name="pab40_5_7">#REF!</definedName>
    <definedName name="pab40_6">#REF!</definedName>
    <definedName name="pab40_6_1">#REF!</definedName>
    <definedName name="pab40_6_4">#REF!</definedName>
    <definedName name="pab40_6_6">#REF!</definedName>
    <definedName name="pab40_6_7">#REF!</definedName>
    <definedName name="pab40_7">#REF!</definedName>
    <definedName name="pab50_1">#REF!</definedName>
    <definedName name="pab50_1_5">#REF!</definedName>
    <definedName name="pab50_2">#REF!</definedName>
    <definedName name="pab50_2_1">#REF!</definedName>
    <definedName name="pab50_2_1_1">#REF!</definedName>
    <definedName name="pab50_2_1_1_6">#REF!</definedName>
    <definedName name="pab50_2_1_6">#REF!</definedName>
    <definedName name="pab50_2_1_7">#REF!</definedName>
    <definedName name="pab50_2_6">#REF!</definedName>
    <definedName name="pab50_3">#REF!</definedName>
    <definedName name="pab50_3_1">#REF!</definedName>
    <definedName name="pab50_3_2">#REF!</definedName>
    <definedName name="pab50_3_4">#REF!</definedName>
    <definedName name="pab50_3_6">#REF!</definedName>
    <definedName name="pab50_3_7">#REF!</definedName>
    <definedName name="pab50_4">#REF!</definedName>
    <definedName name="pab50_4_1">#REF!</definedName>
    <definedName name="pab50_4_2">#REF!</definedName>
    <definedName name="pab50_4_2_6">#REF!</definedName>
    <definedName name="pab50_4_4">#REF!</definedName>
    <definedName name="pab50_4_6">#REF!</definedName>
    <definedName name="pab50_4_7">#REF!</definedName>
    <definedName name="pab50_5">#REF!</definedName>
    <definedName name="pab50_5_2">#REF!</definedName>
    <definedName name="pab50_5_2_6">#REF!</definedName>
    <definedName name="pab50_5_4">#REF!</definedName>
    <definedName name="pab50_5_6">#REF!</definedName>
    <definedName name="pab50_5_7">#REF!</definedName>
    <definedName name="pab50_6">#REF!</definedName>
    <definedName name="pab50_6_1">#REF!</definedName>
    <definedName name="pab50_6_4">#REF!</definedName>
    <definedName name="pab50_6_6">#REF!</definedName>
    <definedName name="pab50_6_7">#REF!</definedName>
    <definedName name="pab50_7">#REF!</definedName>
    <definedName name="pab6_1">#REF!</definedName>
    <definedName name="pab6_1_5">#REF!</definedName>
    <definedName name="pab6_2">#REF!</definedName>
    <definedName name="pab6_2_1">#REF!</definedName>
    <definedName name="pab6_2_1_1">#REF!</definedName>
    <definedName name="pab6_2_1_1_6">#REF!</definedName>
    <definedName name="pab6_2_1_6">#REF!</definedName>
    <definedName name="pab6_2_1_7">#REF!</definedName>
    <definedName name="pab6_2_6">#REF!</definedName>
    <definedName name="pab6_2_7">#REF!</definedName>
    <definedName name="pab6_3">#REF!</definedName>
    <definedName name="pab6_3_1">#REF!</definedName>
    <definedName name="pab6_3_2">#REF!</definedName>
    <definedName name="pab6_3_4">#REF!</definedName>
    <definedName name="pab6_3_6">#REF!</definedName>
    <definedName name="pab6_3_7">#REF!</definedName>
    <definedName name="pab6_4">#REF!</definedName>
    <definedName name="pab6_4_1">#REF!</definedName>
    <definedName name="pab6_4_2">#REF!</definedName>
    <definedName name="pab6_4_2_6">#REF!</definedName>
    <definedName name="pab6_4_4">#REF!</definedName>
    <definedName name="pab6_4_6">#REF!</definedName>
    <definedName name="pab6_4_7">#REF!</definedName>
    <definedName name="pab6_5">#REF!</definedName>
    <definedName name="pab6_5_2">#REF!</definedName>
    <definedName name="pab6_5_2_6">#REF!</definedName>
    <definedName name="pab6_5_4">#REF!</definedName>
    <definedName name="pab6_5_6">#REF!</definedName>
    <definedName name="pab6_5_7">#REF!</definedName>
    <definedName name="pab6_6">#REF!</definedName>
    <definedName name="pab6_6_1">#REF!</definedName>
    <definedName name="pab6_6_4">#REF!</definedName>
    <definedName name="pab6_6_6">#REF!</definedName>
    <definedName name="pab6_6_7">#REF!</definedName>
    <definedName name="pab6_7">#REF!</definedName>
    <definedName name="pab65_1">#REF!</definedName>
    <definedName name="pab65_1_5">#REF!</definedName>
    <definedName name="pab65_2">#REF!</definedName>
    <definedName name="pab65_2_1">#REF!</definedName>
    <definedName name="pab65_2_1_1">#REF!</definedName>
    <definedName name="pab65_2_1_1_6">#REF!</definedName>
    <definedName name="pab65_2_1_6">#REF!</definedName>
    <definedName name="pab65_2_1_7">#REF!</definedName>
    <definedName name="pab65_2_6">#REF!</definedName>
    <definedName name="pab65_2_7">#REF!</definedName>
    <definedName name="pab65_3">#REF!</definedName>
    <definedName name="pab65_3_4">#REF!</definedName>
    <definedName name="pab65_3_6">#REF!</definedName>
    <definedName name="pab65_3_7">#REF!</definedName>
    <definedName name="pab65_4">#REF!</definedName>
    <definedName name="pab65_4_1">#REF!</definedName>
    <definedName name="pab65_4_2">#REF!</definedName>
    <definedName name="pab65_4_2_6">#REF!</definedName>
    <definedName name="pab65_4_4">#REF!</definedName>
    <definedName name="pab65_4_6">#REF!</definedName>
    <definedName name="pab65_4_7">#REF!</definedName>
    <definedName name="pab65_5">#REF!</definedName>
    <definedName name="pab65_5_2">#REF!</definedName>
    <definedName name="pab65_5_2_6">#REF!</definedName>
    <definedName name="pab65_5_4">#REF!</definedName>
    <definedName name="pab65_5_6">#REF!</definedName>
    <definedName name="pab65_5_7">#REF!</definedName>
    <definedName name="pab65_6">#REF!</definedName>
    <definedName name="pab65_6_1">#REF!</definedName>
    <definedName name="pab65_6_4">#REF!</definedName>
    <definedName name="pab65_6_6">#REF!</definedName>
    <definedName name="pab65_6_7">#REF!</definedName>
    <definedName name="pab65_7">#REF!</definedName>
    <definedName name="pab80_1">#REF!</definedName>
    <definedName name="pab80_1_5">#REF!</definedName>
    <definedName name="pab80_2">#REF!</definedName>
    <definedName name="pab80_2_1">#REF!</definedName>
    <definedName name="pab80_2_1_1">#REF!</definedName>
    <definedName name="pab80_2_1_1_6">#REF!</definedName>
    <definedName name="pab80_2_1_6">#REF!</definedName>
    <definedName name="pab80_2_1_7">#REF!</definedName>
    <definedName name="pab80_2_6">#REF!</definedName>
    <definedName name="pab80_2_7">#REF!</definedName>
    <definedName name="pab80_3">#REF!</definedName>
    <definedName name="pab80_3_1">#REF!</definedName>
    <definedName name="pab80_3_2">#REF!</definedName>
    <definedName name="pab80_3_4">#REF!</definedName>
    <definedName name="pab80_3_6">#REF!</definedName>
    <definedName name="pab80_3_7">#REF!</definedName>
    <definedName name="pab80_4">#REF!</definedName>
    <definedName name="pab80_4_1">#REF!</definedName>
    <definedName name="pab80_4_2">#REF!</definedName>
    <definedName name="pab80_4_2_6">#REF!</definedName>
    <definedName name="pab80_4_4">#REF!</definedName>
    <definedName name="pab80_4_6">#REF!</definedName>
    <definedName name="pab80_4_7">#REF!</definedName>
    <definedName name="pab80_5">#REF!</definedName>
    <definedName name="pab80_5_2">#REF!</definedName>
    <definedName name="pab80_5_2_6">#REF!</definedName>
    <definedName name="pab80_5_4">#REF!</definedName>
    <definedName name="pab80_5_6">#REF!</definedName>
    <definedName name="pab80_5_7">#REF!</definedName>
    <definedName name="pab80_6">#REF!</definedName>
    <definedName name="pab80_6_1">#REF!</definedName>
    <definedName name="pab80_6_4">#REF!</definedName>
    <definedName name="pab80_6_6">#REF!</definedName>
    <definedName name="pab80_6_7">#REF!</definedName>
    <definedName name="pab80_7">#REF!</definedName>
    <definedName name="PABE">#REF!</definedName>
    <definedName name="pabet">#REF!</definedName>
    <definedName name="pabf100">#REF!</definedName>
    <definedName name="pabf100_1">#REF!</definedName>
    <definedName name="pabf100_1_5">#REF!</definedName>
    <definedName name="pabf100_2">#REF!</definedName>
    <definedName name="pabf100_2_1">#REF!</definedName>
    <definedName name="pabf100_2_1_1">#REF!</definedName>
    <definedName name="pabf100_2_1_1_6">#REF!</definedName>
    <definedName name="pabf100_2_1_7">#REF!</definedName>
    <definedName name="pabf100_2_6">#REF!</definedName>
    <definedName name="pabf100_3">#REF!</definedName>
    <definedName name="pabf100_3_1">#REF!</definedName>
    <definedName name="pabf100_3_2">#REF!</definedName>
    <definedName name="pabf100_3_4">#REF!</definedName>
    <definedName name="pabf100_3_6">#REF!</definedName>
    <definedName name="pabf100_3_7">#REF!</definedName>
    <definedName name="pabf100_4">#REF!</definedName>
    <definedName name="pabf100_4_1">#REF!</definedName>
    <definedName name="pabf100_4_2">#REF!</definedName>
    <definedName name="pabf100_4_2_6">#REF!</definedName>
    <definedName name="pabf100_4_4">#REF!</definedName>
    <definedName name="pabf100_4_6">#REF!</definedName>
    <definedName name="pabf100_4_7">#REF!</definedName>
    <definedName name="pabf100_5">#REF!</definedName>
    <definedName name="pabf100_5_2">#REF!</definedName>
    <definedName name="pabf100_5_2_6">#REF!</definedName>
    <definedName name="pabf100_5_4">#REF!</definedName>
    <definedName name="pabf100_5_6">#REF!</definedName>
    <definedName name="pabf100_5_7">#REF!</definedName>
    <definedName name="pabf100_6">#REF!</definedName>
    <definedName name="pabf100_6_1">#REF!</definedName>
    <definedName name="pabf100_6_4">#REF!</definedName>
    <definedName name="pabf100_6_6">#REF!</definedName>
    <definedName name="pabf100_6_7">#REF!</definedName>
    <definedName name="pabf100_7">#REF!</definedName>
    <definedName name="pabf125">#REF!</definedName>
    <definedName name="pabf125_1">#REF!</definedName>
    <definedName name="pabf125_1_5">#REF!</definedName>
    <definedName name="pabf125_2">#REF!</definedName>
    <definedName name="pabf125_2_1">#REF!</definedName>
    <definedName name="pabf125_2_1_1">#REF!</definedName>
    <definedName name="pabf125_2_1_1_6">#REF!</definedName>
    <definedName name="pabf125_2_1_6">#REF!</definedName>
    <definedName name="pabf125_2_1_7">#REF!</definedName>
    <definedName name="pabf125_2_6">#REF!</definedName>
    <definedName name="pabf125_2_7">#REF!</definedName>
    <definedName name="pabf125_3">#REF!</definedName>
    <definedName name="pabf125_3_4">#REF!</definedName>
    <definedName name="pabf125_3_6">#REF!</definedName>
    <definedName name="pabf125_3_7">#REF!</definedName>
    <definedName name="pabf125_4">#REF!</definedName>
    <definedName name="pabf125_4_1">#REF!</definedName>
    <definedName name="pabf125_4_2">#REF!</definedName>
    <definedName name="pabf125_4_2_6">#REF!</definedName>
    <definedName name="pabf125_4_4">#REF!</definedName>
    <definedName name="pabf125_4_6">#REF!</definedName>
    <definedName name="pabf125_4_7">#REF!</definedName>
    <definedName name="pabf125_5">#REF!</definedName>
    <definedName name="pabf125_5_2">#REF!</definedName>
    <definedName name="pabf125_5_2_6">#REF!</definedName>
    <definedName name="pabf125_5_4">#REF!</definedName>
    <definedName name="pabf125_5_6">#REF!</definedName>
    <definedName name="pabf125_5_7">#REF!</definedName>
    <definedName name="pabf125_6">#REF!</definedName>
    <definedName name="pabf125_6_1">#REF!</definedName>
    <definedName name="pabf125_6_4">#REF!</definedName>
    <definedName name="pabf125_6_6">#REF!</definedName>
    <definedName name="pabf125_6_7">#REF!</definedName>
    <definedName name="pabf125_7">#REF!</definedName>
    <definedName name="pabf150">#REF!</definedName>
    <definedName name="pabf150_1">#REF!</definedName>
    <definedName name="pabf150_1_5">#REF!</definedName>
    <definedName name="pabf150_2">#REF!</definedName>
    <definedName name="pabf150_2_1">#REF!</definedName>
    <definedName name="pabf150_2_1_1">#REF!</definedName>
    <definedName name="pabf150_2_1_1_6">#REF!</definedName>
    <definedName name="pabf150_2_1_6">#REF!</definedName>
    <definedName name="pabf150_2_1_7">#REF!</definedName>
    <definedName name="pabf150_2_6">#REF!</definedName>
    <definedName name="pabf150_2_7">#REF!</definedName>
    <definedName name="pabf150_3">#REF!</definedName>
    <definedName name="pabf150_3_1">#REF!</definedName>
    <definedName name="pabf150_3_2">#REF!</definedName>
    <definedName name="pabf150_3_4">#REF!</definedName>
    <definedName name="pabf150_3_6">#REF!</definedName>
    <definedName name="pabf150_3_7">#REF!</definedName>
    <definedName name="pabf150_4">#REF!</definedName>
    <definedName name="pabf150_4_1">#REF!</definedName>
    <definedName name="pabf150_4_2">#REF!</definedName>
    <definedName name="pabf150_4_2_6">#REF!</definedName>
    <definedName name="pabf150_4_4">#REF!</definedName>
    <definedName name="pabf150_4_6">#REF!</definedName>
    <definedName name="pabf150_4_7">#REF!</definedName>
    <definedName name="pabf150_5">#REF!</definedName>
    <definedName name="pabf150_5_2">#REF!</definedName>
    <definedName name="pabf150_5_2_6">#REF!</definedName>
    <definedName name="pabf150_5_4">#REF!</definedName>
    <definedName name="pabf150_5_6">#REF!</definedName>
    <definedName name="pabf150_5_7">#REF!</definedName>
    <definedName name="pabf150_6">#REF!</definedName>
    <definedName name="pabf150_6_1">#REF!</definedName>
    <definedName name="pabf150_6_4">#REF!</definedName>
    <definedName name="pabf150_6_6">#REF!</definedName>
    <definedName name="pabf150_6_7">#REF!</definedName>
    <definedName name="pabf150_7">#REF!</definedName>
    <definedName name="pabf4">#REF!</definedName>
    <definedName name="pabf4_1">#REF!</definedName>
    <definedName name="pabf4_1_5">#REF!</definedName>
    <definedName name="pabf4_2">#REF!</definedName>
    <definedName name="pabf4_2_1">#REF!</definedName>
    <definedName name="pabf4_2_1_1">#REF!</definedName>
    <definedName name="pabf4_2_1_1_6">#REF!</definedName>
    <definedName name="pabf4_2_1_7">#REF!</definedName>
    <definedName name="pabf4_2_6">#REF!</definedName>
    <definedName name="pabf4_3">#REF!</definedName>
    <definedName name="pabf4_3_1">#REF!</definedName>
    <definedName name="pabf4_3_2">#REF!</definedName>
    <definedName name="pabf4_3_4">#REF!</definedName>
    <definedName name="pabf4_3_6">#REF!</definedName>
    <definedName name="pabf4_3_7">#REF!</definedName>
    <definedName name="pabf4_4">#REF!</definedName>
    <definedName name="pabf4_4_1">#REF!</definedName>
    <definedName name="pabf4_4_2">#REF!</definedName>
    <definedName name="pabf4_4_2_6">#REF!</definedName>
    <definedName name="pabf4_4_4">#REF!</definedName>
    <definedName name="pabf4_4_6">#REF!</definedName>
    <definedName name="pabf4_4_7">#REF!</definedName>
    <definedName name="pabf4_5">#REF!</definedName>
    <definedName name="pabf4_5_2">#REF!</definedName>
    <definedName name="pabf4_5_2_6">#REF!</definedName>
    <definedName name="pabf4_5_4">#REF!</definedName>
    <definedName name="pabf4_5_6">#REF!</definedName>
    <definedName name="pabf4_5_7">#REF!</definedName>
    <definedName name="pabf4_6">#REF!</definedName>
    <definedName name="pabf4_6_1">#REF!</definedName>
    <definedName name="pabf4_6_4">#REF!</definedName>
    <definedName name="pabf4_6_6">#REF!</definedName>
    <definedName name="pabf4_6_7">#REF!</definedName>
    <definedName name="pabf4_7">#REF!</definedName>
    <definedName name="pabf6">#REF!</definedName>
    <definedName name="pabf6_1">#REF!</definedName>
    <definedName name="pabf6_1_5">#REF!</definedName>
    <definedName name="pabf6_2">#REF!</definedName>
    <definedName name="pabf6_2_1">#REF!</definedName>
    <definedName name="pabf6_2_1_1">#REF!</definedName>
    <definedName name="pabf6_2_1_1_6">#REF!</definedName>
    <definedName name="pabf6_2_1_6">#REF!</definedName>
    <definedName name="pabf6_2_1_7">#REF!</definedName>
    <definedName name="pabf6_2_6">#REF!</definedName>
    <definedName name="pabf6_2_7">#REF!</definedName>
    <definedName name="pabf6_3">#REF!</definedName>
    <definedName name="pabf6_3_1">#REF!</definedName>
    <definedName name="pabf6_3_2">#REF!</definedName>
    <definedName name="pabf6_3_4">#REF!</definedName>
    <definedName name="pabf6_3_6">#REF!</definedName>
    <definedName name="pabf6_3_7">#REF!</definedName>
    <definedName name="pabf6_4">#REF!</definedName>
    <definedName name="pabf6_4_1">#REF!</definedName>
    <definedName name="pabf6_4_2">#REF!</definedName>
    <definedName name="pabf6_4_2_6">#REF!</definedName>
    <definedName name="pabf6_4_4">#REF!</definedName>
    <definedName name="pabf6_4_6">#REF!</definedName>
    <definedName name="pabf6_4_7">#REF!</definedName>
    <definedName name="pabf6_5">#REF!</definedName>
    <definedName name="pabf6_5_2">#REF!</definedName>
    <definedName name="pabf6_5_2_6">#REF!</definedName>
    <definedName name="pabf6_5_4">#REF!</definedName>
    <definedName name="pabf6_5_6">#REF!</definedName>
    <definedName name="pabf6_5_7">#REF!</definedName>
    <definedName name="pabf6_6">#REF!</definedName>
    <definedName name="pabf6_6_1">#REF!</definedName>
    <definedName name="pabf6_6_4">#REF!</definedName>
    <definedName name="pabf6_6_6">#REF!</definedName>
    <definedName name="pabf6_6_7">#REF!</definedName>
    <definedName name="pabf6_7">#REF!</definedName>
    <definedName name="pabf65">#REF!</definedName>
    <definedName name="pabf65_1">#REF!</definedName>
    <definedName name="pabf65_1_5">#REF!</definedName>
    <definedName name="pabf65_2">#REF!</definedName>
    <definedName name="pabf65_2_1">#REF!</definedName>
    <definedName name="pabf65_2_1_1">#REF!</definedName>
    <definedName name="pabf65_2_1_1_6">#REF!</definedName>
    <definedName name="pabf65_2_1_6">#REF!</definedName>
    <definedName name="pabf65_2_1_7">#REF!</definedName>
    <definedName name="pabf65_2_6">#REF!</definedName>
    <definedName name="pabf65_2_7">#REF!</definedName>
    <definedName name="pabf65_3">#REF!</definedName>
    <definedName name="pabf65_3_4">#REF!</definedName>
    <definedName name="pabf65_3_6">#REF!</definedName>
    <definedName name="pabf65_3_7">#REF!</definedName>
    <definedName name="pabf65_4">#REF!</definedName>
    <definedName name="pabf65_4_1">#REF!</definedName>
    <definedName name="pabf65_4_2">#REF!</definedName>
    <definedName name="pabf65_4_2_6">#REF!</definedName>
    <definedName name="pabf65_4_4">#REF!</definedName>
    <definedName name="pabf65_4_6">#REF!</definedName>
    <definedName name="pabf65_4_7">#REF!</definedName>
    <definedName name="pabf65_5">#REF!</definedName>
    <definedName name="pabf65_5_2">#REF!</definedName>
    <definedName name="pabf65_5_2_6">#REF!</definedName>
    <definedName name="pabf65_5_4">#REF!</definedName>
    <definedName name="pabf65_5_6">#REF!</definedName>
    <definedName name="pabf65_5_7">#REF!</definedName>
    <definedName name="pabf65_6">#REF!</definedName>
    <definedName name="pabf65_6_1">#REF!</definedName>
    <definedName name="pabf65_6_4">#REF!</definedName>
    <definedName name="pabf65_6_6">#REF!</definedName>
    <definedName name="pabf65_6_7">#REF!</definedName>
    <definedName name="pabf65_7">#REF!</definedName>
    <definedName name="pabf80">#REF!</definedName>
    <definedName name="pabf80_1">#REF!</definedName>
    <definedName name="pabf80_1_5">#REF!</definedName>
    <definedName name="pabf80_2">#REF!</definedName>
    <definedName name="pabf80_2_1">#REF!</definedName>
    <definedName name="pabf80_2_1_1">#REF!</definedName>
    <definedName name="pabf80_2_1_1_6">#REF!</definedName>
    <definedName name="pabf80_2_1_6">#REF!</definedName>
    <definedName name="pabf80_2_1_7">#REF!</definedName>
    <definedName name="pabf80_2_6">#REF!</definedName>
    <definedName name="pabf80_2_7">#REF!</definedName>
    <definedName name="pabf80_3">#REF!</definedName>
    <definedName name="pabf80_3_1">#REF!</definedName>
    <definedName name="pabf80_3_2">#REF!</definedName>
    <definedName name="pabf80_3_4">#REF!</definedName>
    <definedName name="pabf80_3_6">#REF!</definedName>
    <definedName name="pabf80_3_7">#REF!</definedName>
    <definedName name="pabf80_4">#REF!</definedName>
    <definedName name="pabf80_4_1">#REF!</definedName>
    <definedName name="pabf80_4_2">#REF!</definedName>
    <definedName name="pabf80_4_2_6">#REF!</definedName>
    <definedName name="pabf80_4_4">#REF!</definedName>
    <definedName name="pabf80_4_6">#REF!</definedName>
    <definedName name="pabf80_4_7">#REF!</definedName>
    <definedName name="pabf80_5">#REF!</definedName>
    <definedName name="pabf80_5_2">#REF!</definedName>
    <definedName name="pabf80_5_2_6">#REF!</definedName>
    <definedName name="pabf80_5_4">#REF!</definedName>
    <definedName name="pabf80_5_6">#REF!</definedName>
    <definedName name="pabf80_5_7">#REF!</definedName>
    <definedName name="pabf80_6">#REF!</definedName>
    <definedName name="pabf80_6_1">#REF!</definedName>
    <definedName name="pabf80_6_4">#REF!</definedName>
    <definedName name="pabf80_6_6">#REF!</definedName>
    <definedName name="pabf80_6_7">#REF!</definedName>
    <definedName name="pabf80_7">#REF!</definedName>
    <definedName name="PABL_1">[10]Material!#REF!</definedName>
    <definedName name="PABL_2">[10]Material!#REF!</definedName>
    <definedName name="pabl2a">[150]Material!#REF!</definedName>
    <definedName name="PABO">#REF!</definedName>
    <definedName name="pabx">#REF!</definedName>
    <definedName name="PAC">#REF!</definedName>
    <definedName name="PAC0Q2">#REF!</definedName>
    <definedName name="PAciDd">#REF!</definedName>
    <definedName name="pacr">#REF!</definedName>
    <definedName name="padat">[30]S.UPAH!$J$25</definedName>
    <definedName name="PAGAR_CARPORT">#REF!</definedName>
    <definedName name="Pagar_Proyek">#REF!</definedName>
    <definedName name="pagaraman">#REF!</definedName>
    <definedName name="pagarbrc">#REF!</definedName>
    <definedName name="PAGARDEPAN">#REF!</definedName>
    <definedName name="PAGARSAMPING">#REF!</definedName>
    <definedName name="PagarSementara">#REF!</definedName>
    <definedName name="paglasblock1.3">#REF!</definedName>
    <definedName name="pagyp">#REF!</definedName>
    <definedName name="pah150_1">#REF!</definedName>
    <definedName name="pah150_1_5">#REF!</definedName>
    <definedName name="pah150_2">#REF!</definedName>
    <definedName name="pah150_2_1">#REF!</definedName>
    <definedName name="pah150_2_1_1">#REF!</definedName>
    <definedName name="pah150_2_1_1_6">#REF!</definedName>
    <definedName name="pah150_2_1_6">#REF!</definedName>
    <definedName name="pah150_2_1_7">#REF!</definedName>
    <definedName name="pah150_2_6">#REF!</definedName>
    <definedName name="pah150_2_7">#REF!</definedName>
    <definedName name="pah150_3">#REF!</definedName>
    <definedName name="pah150_3_1">#REF!</definedName>
    <definedName name="pah150_3_2">#REF!</definedName>
    <definedName name="pah150_3_4">#REF!</definedName>
    <definedName name="pah150_3_6">#REF!</definedName>
    <definedName name="pah150_3_7">#REF!</definedName>
    <definedName name="pah150_4">#REF!</definedName>
    <definedName name="pah150_4_1">#REF!</definedName>
    <definedName name="pah150_4_2">#REF!</definedName>
    <definedName name="pah150_4_2_6">#REF!</definedName>
    <definedName name="pah150_4_4">#REF!</definedName>
    <definedName name="pah150_4_6">#REF!</definedName>
    <definedName name="pah150_4_7">#REF!</definedName>
    <definedName name="pah150_5">#REF!</definedName>
    <definedName name="pah150_5_2">#REF!</definedName>
    <definedName name="pah150_5_2_6">#REF!</definedName>
    <definedName name="pah150_5_4">#REF!</definedName>
    <definedName name="pah150_5_6">#REF!</definedName>
    <definedName name="pah150_5_7">#REF!</definedName>
    <definedName name="pah150_6">#REF!</definedName>
    <definedName name="pah150_6_1">#REF!</definedName>
    <definedName name="pah150_6_4">#REF!</definedName>
    <definedName name="pah150_6_6">#REF!</definedName>
    <definedName name="pah150_6_7">#REF!</definedName>
    <definedName name="pah150_7">#REF!</definedName>
    <definedName name="PAIN">#REF!</definedName>
    <definedName name="pair10">#REF!</definedName>
    <definedName name="pajak">#REF!</definedName>
    <definedName name="pak100_1">#REF!</definedName>
    <definedName name="pak100_1_5">#REF!</definedName>
    <definedName name="pak100_2">#REF!</definedName>
    <definedName name="pak100_2_1">#REF!</definedName>
    <definedName name="pak100_2_1_1">#REF!</definedName>
    <definedName name="pak100_2_1_1_6">#REF!</definedName>
    <definedName name="pak100_2_1_6">#REF!</definedName>
    <definedName name="pak100_2_1_7">#REF!</definedName>
    <definedName name="pak100_2_6">#REF!</definedName>
    <definedName name="pak100_2_7">#REF!</definedName>
    <definedName name="pak100_3">#REF!</definedName>
    <definedName name="pak100_3_1">#REF!</definedName>
    <definedName name="pak100_3_2">#REF!</definedName>
    <definedName name="pak100_3_4">#REF!</definedName>
    <definedName name="pak100_3_6">#REF!</definedName>
    <definedName name="pak100_3_7">#REF!</definedName>
    <definedName name="pak100_4">#REF!</definedName>
    <definedName name="pak100_4_1">#REF!</definedName>
    <definedName name="pak100_4_2">#REF!</definedName>
    <definedName name="pak100_4_2_6">#REF!</definedName>
    <definedName name="pak100_4_4">#REF!</definedName>
    <definedName name="pak100_4_6">#REF!</definedName>
    <definedName name="pak100_4_7">#REF!</definedName>
    <definedName name="pak100_5">#REF!</definedName>
    <definedName name="pak100_5_2">#REF!</definedName>
    <definedName name="pak100_5_2_6">#REF!</definedName>
    <definedName name="pak100_5_4">#REF!</definedName>
    <definedName name="pak100_5_6">#REF!</definedName>
    <definedName name="pak100_5_7">#REF!</definedName>
    <definedName name="pak100_6">#REF!</definedName>
    <definedName name="pak100_6_1">#REF!</definedName>
    <definedName name="pak100_6_4">#REF!</definedName>
    <definedName name="pak100_6_6">#REF!</definedName>
    <definedName name="pak100_6_7">#REF!</definedName>
    <definedName name="pak100_7">#REF!</definedName>
    <definedName name="pak150_1">#REF!</definedName>
    <definedName name="pak150_1_5">#REF!</definedName>
    <definedName name="pak150_2">#REF!</definedName>
    <definedName name="pak150_2_1">#REF!</definedName>
    <definedName name="pak150_2_1_1">#REF!</definedName>
    <definedName name="pak150_2_1_1_6">#REF!</definedName>
    <definedName name="pak150_2_1_6">#REF!</definedName>
    <definedName name="pak150_2_1_7">#REF!</definedName>
    <definedName name="pak150_2_6">#REF!</definedName>
    <definedName name="pak150_2_7">#REF!</definedName>
    <definedName name="pak150_3">#REF!</definedName>
    <definedName name="pak150_3_1">#REF!</definedName>
    <definedName name="pak150_3_2">#REF!</definedName>
    <definedName name="pak150_3_4">#REF!</definedName>
    <definedName name="pak150_3_6">#REF!</definedName>
    <definedName name="pak150_3_7">#REF!</definedName>
    <definedName name="pak150_4">#REF!</definedName>
    <definedName name="pak150_4_1">#REF!</definedName>
    <definedName name="pak150_4_2">#REF!</definedName>
    <definedName name="pak150_4_2_6">#REF!</definedName>
    <definedName name="pak150_4_4">#REF!</definedName>
    <definedName name="pak150_4_6">#REF!</definedName>
    <definedName name="pak150_4_7">#REF!</definedName>
    <definedName name="pak150_5">#REF!</definedName>
    <definedName name="pak150_5_2">#REF!</definedName>
    <definedName name="pak150_5_2_6">#REF!</definedName>
    <definedName name="pak150_5_4">#REF!</definedName>
    <definedName name="pak150_5_6">#REF!</definedName>
    <definedName name="pak150_5_7">#REF!</definedName>
    <definedName name="pak150_6">#REF!</definedName>
    <definedName name="pak150_6_1">#REF!</definedName>
    <definedName name="pak150_6_4">#REF!</definedName>
    <definedName name="pak150_6_6">#REF!</definedName>
    <definedName name="pak150_6_7">#REF!</definedName>
    <definedName name="pak150_7">#REF!</definedName>
    <definedName name="pak50_1">#REF!</definedName>
    <definedName name="pak50_1_5">#REF!</definedName>
    <definedName name="pak50_2">#REF!</definedName>
    <definedName name="pak50_2_1">#REF!</definedName>
    <definedName name="pak50_2_1_1">#REF!</definedName>
    <definedName name="pak50_2_1_1_6">#REF!</definedName>
    <definedName name="pak50_2_1_6">#REF!</definedName>
    <definedName name="pak50_2_1_7">#REF!</definedName>
    <definedName name="pak50_2_6">#REF!</definedName>
    <definedName name="pak50_2_7">#REF!</definedName>
    <definedName name="pak50_3">#REF!</definedName>
    <definedName name="pak50_3_1">#REF!</definedName>
    <definedName name="pak50_3_2">#REF!</definedName>
    <definedName name="pak50_3_4">#REF!</definedName>
    <definedName name="pak50_3_6">#REF!</definedName>
    <definedName name="pak50_3_7">#REF!</definedName>
    <definedName name="pak50_4">#REF!</definedName>
    <definedName name="pak50_4_1">#REF!</definedName>
    <definedName name="pak50_4_2">#REF!</definedName>
    <definedName name="pak50_4_2_6">#REF!</definedName>
    <definedName name="pak50_4_4">#REF!</definedName>
    <definedName name="pak50_4_6">#REF!</definedName>
    <definedName name="pak50_4_7">#REF!</definedName>
    <definedName name="pak50_5">#REF!</definedName>
    <definedName name="pak50_5_2">#REF!</definedName>
    <definedName name="pak50_5_2_6">#REF!</definedName>
    <definedName name="pak50_5_4">#REF!</definedName>
    <definedName name="pak50_5_6">#REF!</definedName>
    <definedName name="pak50_5_7">#REF!</definedName>
    <definedName name="pak50_6">#REF!</definedName>
    <definedName name="pak50_6_1">#REF!</definedName>
    <definedName name="pak50_6_4">#REF!</definedName>
    <definedName name="pak50_6_6">#REF!</definedName>
    <definedName name="pak50_6_7">#REF!</definedName>
    <definedName name="pak50_7">#REF!</definedName>
    <definedName name="pak80_1">#REF!</definedName>
    <definedName name="pak80_1_5">#REF!</definedName>
    <definedName name="pak80_2">#REF!</definedName>
    <definedName name="pak80_2_1">#REF!</definedName>
    <definedName name="pak80_2_1_1">#REF!</definedName>
    <definedName name="pak80_2_1_1_6">#REF!</definedName>
    <definedName name="pak80_2_1_6">#REF!</definedName>
    <definedName name="pak80_2_1_7">#REF!</definedName>
    <definedName name="pak80_2_6">#REF!</definedName>
    <definedName name="pak80_2_7">#REF!</definedName>
    <definedName name="pak80_3">#REF!</definedName>
    <definedName name="pak80_3_1">#REF!</definedName>
    <definedName name="pak80_3_2">#REF!</definedName>
    <definedName name="pak80_3_4">#REF!</definedName>
    <definedName name="pak80_3_6">#REF!</definedName>
    <definedName name="pak80_3_7">#REF!</definedName>
    <definedName name="pak80_4">#REF!</definedName>
    <definedName name="pak80_4_1">#REF!</definedName>
    <definedName name="pak80_4_2">#REF!</definedName>
    <definedName name="pak80_4_2_6">#REF!</definedName>
    <definedName name="pak80_4_4">#REF!</definedName>
    <definedName name="pak80_4_6">#REF!</definedName>
    <definedName name="pak80_4_7">#REF!</definedName>
    <definedName name="pak80_5">#REF!</definedName>
    <definedName name="pak80_5_2">#REF!</definedName>
    <definedName name="pak80_5_2_6">#REF!</definedName>
    <definedName name="pak80_5_4">#REF!</definedName>
    <definedName name="pak80_5_6">#REF!</definedName>
    <definedName name="pak80_5_7">#REF!</definedName>
    <definedName name="pak80_6">#REF!</definedName>
    <definedName name="pak80_6_1">#REF!</definedName>
    <definedName name="pak80_6_4">#REF!</definedName>
    <definedName name="pak80_6_6">#REF!</definedName>
    <definedName name="pak80_6_7">#REF!</definedName>
    <definedName name="pak80_7">#REF!</definedName>
    <definedName name="PAKET">#REF!</definedName>
    <definedName name="PAKET_1">#REF!</definedName>
    <definedName name="PAKET_1_1">#REF!</definedName>
    <definedName name="PAKET_2">#REF!</definedName>
    <definedName name="PAKET_2_1">#REF!</definedName>
    <definedName name="PAKET_2_1_6">#REF!</definedName>
    <definedName name="PAKET_2_6">#REF!</definedName>
    <definedName name="PAKET_2_7">#REF!</definedName>
    <definedName name="PAKET_3">#REF!</definedName>
    <definedName name="paket_3_4">#REF!</definedName>
    <definedName name="paket_3_4_6">#REF!</definedName>
    <definedName name="paket_3_6">#REF!</definedName>
    <definedName name="PAKET_3_7">#REF!</definedName>
    <definedName name="PAKET_4">#REF!</definedName>
    <definedName name="PAKET_4_1">#REF!</definedName>
    <definedName name="PAKET_4_1_6">#REF!</definedName>
    <definedName name="PAKET_4_2">#REF!</definedName>
    <definedName name="PAKET_4_2_6">#REF!</definedName>
    <definedName name="PAKET_4_4">#REF!</definedName>
    <definedName name="PAKET_4_6">#REF!</definedName>
    <definedName name="PAKET_4_7">#REF!</definedName>
    <definedName name="PAKET_5">#REF!</definedName>
    <definedName name="PAKET_5_2">#REF!</definedName>
    <definedName name="PAKET_5_2_6">#REF!</definedName>
    <definedName name="PAKET_5_4">#REF!</definedName>
    <definedName name="PAKET_5_6">#REF!</definedName>
    <definedName name="PAKET_5_7">#REF!</definedName>
    <definedName name="PAKET_6">#REF!</definedName>
    <definedName name="PAKET_6_1">#REF!</definedName>
    <definedName name="PAKET_6_4">#REF!</definedName>
    <definedName name="PAKET_6_6">#REF!</definedName>
    <definedName name="PAKET_6_7">#REF!</definedName>
    <definedName name="PAKET_7">#REF!</definedName>
    <definedName name="PAKET_NO">#REF!</definedName>
    <definedName name="pakf100">#REF!</definedName>
    <definedName name="pakf100_1">#REF!</definedName>
    <definedName name="pakf100_1_5">#REF!</definedName>
    <definedName name="pakf100_2">#REF!</definedName>
    <definedName name="pakf100_2_1">#REF!</definedName>
    <definedName name="pakf100_2_1_1">#REF!</definedName>
    <definedName name="pakf100_2_1_1_6">#REF!</definedName>
    <definedName name="pakf100_2_1_6">#REF!</definedName>
    <definedName name="pakf100_2_1_7">#REF!</definedName>
    <definedName name="pakf100_2_6">#REF!</definedName>
    <definedName name="pakf100_2_7">#REF!</definedName>
    <definedName name="pakf100_3">#REF!</definedName>
    <definedName name="pakf100_3_1">#REF!</definedName>
    <definedName name="pakf100_3_2">#REF!</definedName>
    <definedName name="pakf100_3_4">#REF!</definedName>
    <definedName name="pakf100_3_6">#REF!</definedName>
    <definedName name="pakf100_3_7">#REF!</definedName>
    <definedName name="pakf100_4">#REF!</definedName>
    <definedName name="pakf100_4_1">#REF!</definedName>
    <definedName name="pakf100_4_2">#REF!</definedName>
    <definedName name="pakf100_4_2_6">#REF!</definedName>
    <definedName name="pakf100_4_4">#REF!</definedName>
    <definedName name="pakf100_4_6">#REF!</definedName>
    <definedName name="pakf100_4_7">#REF!</definedName>
    <definedName name="pakf100_5">#REF!</definedName>
    <definedName name="pakf100_5_2">#REF!</definedName>
    <definedName name="pakf100_5_2_6">#REF!</definedName>
    <definedName name="pakf100_5_4">#REF!</definedName>
    <definedName name="pakf100_5_6">#REF!</definedName>
    <definedName name="pakf100_5_7">#REF!</definedName>
    <definedName name="pakf100_6">#REF!</definedName>
    <definedName name="pakf100_6_1">#REF!</definedName>
    <definedName name="pakf100_6_4">#REF!</definedName>
    <definedName name="pakf100_6_6">#REF!</definedName>
    <definedName name="pakf100_6_7">#REF!</definedName>
    <definedName name="pakf100_7">#REF!</definedName>
    <definedName name="pakf150">#REF!</definedName>
    <definedName name="pakf150_1">#REF!</definedName>
    <definedName name="pakf150_1_5">#REF!</definedName>
    <definedName name="pakf150_2">#REF!</definedName>
    <definedName name="pakf150_2_1">#REF!</definedName>
    <definedName name="pakf150_2_1_1">#REF!</definedName>
    <definedName name="pakf150_2_1_1_6">#REF!</definedName>
    <definedName name="pakf150_2_1_6">#REF!</definedName>
    <definedName name="pakf150_2_1_7">#REF!</definedName>
    <definedName name="pakf150_2_6">#REF!</definedName>
    <definedName name="pakf150_2_7">#REF!</definedName>
    <definedName name="pakf150_3">#REF!</definedName>
    <definedName name="pakf150_3_1">#REF!</definedName>
    <definedName name="pakf150_3_2">#REF!</definedName>
    <definedName name="pakf150_3_4">#REF!</definedName>
    <definedName name="pakf150_3_6">#REF!</definedName>
    <definedName name="pakf150_3_7">#REF!</definedName>
    <definedName name="pakf150_4">#REF!</definedName>
    <definedName name="pakf150_4_1">#REF!</definedName>
    <definedName name="pakf150_4_2">#REF!</definedName>
    <definedName name="pakf150_4_2_6">#REF!</definedName>
    <definedName name="pakf150_4_4">#REF!</definedName>
    <definedName name="pakf150_4_6">#REF!</definedName>
    <definedName name="pakf150_4_7">#REF!</definedName>
    <definedName name="pakf150_5">#REF!</definedName>
    <definedName name="pakf150_5_2">#REF!</definedName>
    <definedName name="pakf150_5_2_6">#REF!</definedName>
    <definedName name="pakf150_5_4">#REF!</definedName>
    <definedName name="pakf150_5_6">#REF!</definedName>
    <definedName name="pakf150_5_7">#REF!</definedName>
    <definedName name="pakf150_6">#REF!</definedName>
    <definedName name="pakf150_6_1">#REF!</definedName>
    <definedName name="pakf150_6_4">#REF!</definedName>
    <definedName name="pakf150_6_6">#REF!</definedName>
    <definedName name="pakf150_6_7">#REF!</definedName>
    <definedName name="pakf150_7">#REF!</definedName>
    <definedName name="pakf80">#REF!</definedName>
    <definedName name="pakf80_1">#REF!</definedName>
    <definedName name="pakf80_1_5">#REF!</definedName>
    <definedName name="pakf80_2">#REF!</definedName>
    <definedName name="pakf80_2_1">#REF!</definedName>
    <definedName name="pakf80_2_1_1">#REF!</definedName>
    <definedName name="pakf80_2_1_1_6">#REF!</definedName>
    <definedName name="pakf80_2_1_6">#REF!</definedName>
    <definedName name="pakf80_2_1_7">#REF!</definedName>
    <definedName name="pakf80_2_6">#REF!</definedName>
    <definedName name="pakf80_2_7">#REF!</definedName>
    <definedName name="pakf80_3">#REF!</definedName>
    <definedName name="pakf80_3_1">#REF!</definedName>
    <definedName name="pakf80_3_2">#REF!</definedName>
    <definedName name="pakf80_3_4">#REF!</definedName>
    <definedName name="pakf80_3_6">#REF!</definedName>
    <definedName name="pakf80_3_7">#REF!</definedName>
    <definedName name="pakf80_4">#REF!</definedName>
    <definedName name="pakf80_4_1">#REF!</definedName>
    <definedName name="pakf80_4_2">#REF!</definedName>
    <definedName name="pakf80_4_2_6">#REF!</definedName>
    <definedName name="pakf80_4_4">#REF!</definedName>
    <definedName name="pakf80_4_6">#REF!</definedName>
    <definedName name="pakf80_4_7">#REF!</definedName>
    <definedName name="pakf80_5">#REF!</definedName>
    <definedName name="pakf80_5_2">#REF!</definedName>
    <definedName name="pakf80_5_2_6">#REF!</definedName>
    <definedName name="pakf80_5_4">#REF!</definedName>
    <definedName name="pakf80_5_6">#REF!</definedName>
    <definedName name="pakf80_5_7">#REF!</definedName>
    <definedName name="pakf80_6">#REF!</definedName>
    <definedName name="pakf80_6_1">#REF!</definedName>
    <definedName name="pakf80_6_4">#REF!</definedName>
    <definedName name="pakf80_6_6">#REF!</definedName>
    <definedName name="pakf80_6_7">#REF!</definedName>
    <definedName name="pakf80_7">#REF!</definedName>
    <definedName name="pakf81">#REF!</definedName>
    <definedName name="paku">#REF!</definedName>
    <definedName name="paku.1">#REF!</definedName>
    <definedName name="paku.4">#REF!</definedName>
    <definedName name="paku.as">#REF!</definedName>
    <definedName name="paku.k">#REF!</definedName>
    <definedName name="paku.kal">#REF!</definedName>
    <definedName name="paku.mtl">#REF!</definedName>
    <definedName name="paku.s">#REF!</definedName>
    <definedName name="Paku_5_7__10__12">'[72]Daftar Harga'!$G$209</definedName>
    <definedName name="Paku_Kayu">#REF!</definedName>
    <definedName name="Paku_payung">#REF!</definedName>
    <definedName name="paku_peluru">#REF!</definedName>
    <definedName name="Paku_sekrup">#REF!</definedName>
    <definedName name="Paku_Seng">#REF!</definedName>
    <definedName name="paku_triplek">#REF!</definedName>
    <definedName name="Paku_Ulin">#REF!</definedName>
    <definedName name="Paku_Ulir">#REF!</definedName>
    <definedName name="Paku_Ulir_Primadeck">#REF!</definedName>
    <definedName name="Paku1">#REF!</definedName>
    <definedName name="paku2">#REF!</definedName>
    <definedName name="Paku4">#REF!</definedName>
    <definedName name="paku5.7.10">#REF!</definedName>
    <definedName name="PAKU57SUPIORI">#REF!</definedName>
    <definedName name="Paku8">#REF!</definedName>
    <definedName name="pakualumunium">#REF!</definedName>
    <definedName name="PAKUARDEKS">#N/A</definedName>
    <definedName name="pakuasb">#REF!</definedName>
    <definedName name="pakuatap">#REF!</definedName>
    <definedName name="PAKUB25SUPIORI">#REF!</definedName>
    <definedName name="PAKUCAMPURAN">#N/A</definedName>
    <definedName name="pakukayu">#REF!</definedName>
    <definedName name="pakukayubesar">#REF!</definedName>
    <definedName name="pakukayukecil">#REF!</definedName>
    <definedName name="pakupancing">#REF!</definedName>
    <definedName name="pakupayung">#REF!</definedName>
    <definedName name="pakusekrup">#REF!</definedName>
    <definedName name="pakuseng">#REF!</definedName>
    <definedName name="pakutri">#REF!</definedName>
    <definedName name="PAKUTRIPLEKS">#N/A</definedName>
    <definedName name="palatlisplank">#REF!</definedName>
    <definedName name="palemkomedoria">#REF!</definedName>
    <definedName name="palemsadeng">#REF!</definedName>
    <definedName name="pali">#REF!</definedName>
    <definedName name="palm">#REF!</definedName>
    <definedName name="pamf">#REF!</definedName>
    <definedName name="PAN">#REF!</definedName>
    <definedName name="panama">#REF!</definedName>
    <definedName name="pancang">#REF!</definedName>
    <definedName name="Pancang_Ulin">#REF!</definedName>
    <definedName name="PANCANG30">[33]H_Dasar!#REF!</definedName>
    <definedName name="PANCANG40">[33]H_Dasar!#REF!</definedName>
    <definedName name="pancang450">#REF!</definedName>
    <definedName name="pancang600">#REF!</definedName>
    <definedName name="Pancangsheet">#REF!</definedName>
    <definedName name="panci">#REF!</definedName>
    <definedName name="pandanbali">#REF!</definedName>
    <definedName name="panel">#REF!</definedName>
    <definedName name="PANIKI">#REF!</definedName>
    <definedName name="PanilBenkirai">#REF!</definedName>
    <definedName name="PanilBngkrai">#REF!</definedName>
    <definedName name="Paniljati">#REF!</definedName>
    <definedName name="PanilKamper">#REF!</definedName>
    <definedName name="PANJ">#REF!</definedName>
    <definedName name="PANJANG">[3]CH!$C$13</definedName>
    <definedName name="panjang_besi">#REF!</definedName>
    <definedName name="Panjang_Jangkar">0.48</definedName>
    <definedName name="Panjang_Kait">0.1</definedName>
    <definedName name="PAPA">#REF!</definedName>
    <definedName name="papan">#REF!</definedName>
    <definedName name="papan.1">#REF!</definedName>
    <definedName name="papan.klas1">#REF!</definedName>
    <definedName name="papan.m.3.20">#REF!</definedName>
    <definedName name="papan_3_30_kamperoven">#REF!</definedName>
    <definedName name="papan_bekisting_20_20">#REF!</definedName>
    <definedName name="Papan_Jbt">#REF!</definedName>
    <definedName name="Papan_Kayu_kls._II">#REF!</definedName>
    <definedName name="Papan_Listplank">#REF!</definedName>
    <definedName name="papan_nama">#REF!</definedName>
    <definedName name="Papan_Raider">#REF!</definedName>
    <definedName name="Papan_terentang__2_x_pakai__75">#REF!</definedName>
    <definedName name="papanbegesting">#REF!</definedName>
    <definedName name="papanbengkirai">#REF!</definedName>
    <definedName name="papanjatibojonegoro">#REF!</definedName>
    <definedName name="papanjatimalang">#REF!</definedName>
    <definedName name="PAPANK3SUPIORI">#REF!</definedName>
    <definedName name="papank4">#REF!</definedName>
    <definedName name="papankam">#REF!</definedName>
    <definedName name="papankamper">#REF!</definedName>
    <definedName name="papankayuborneo">#REF!</definedName>
    <definedName name="papankayutahun">#REF!</definedName>
    <definedName name="papanklas1">#REF!</definedName>
    <definedName name="papanklas3">#REF!</definedName>
    <definedName name="papanmer">#REF!</definedName>
    <definedName name="papannama">#REF!</definedName>
    <definedName name="PapanRuiter">#REF!</definedName>
    <definedName name="papas">#REF!</definedName>
    <definedName name="papbor">#N/A</definedName>
    <definedName name="paper">#REF!</definedName>
    <definedName name="par">#REF!</definedName>
    <definedName name="para">#REF!</definedName>
    <definedName name="para1">#REF!</definedName>
    <definedName name="para2">#REF!</definedName>
    <definedName name="para3">#REF!</definedName>
    <definedName name="para4">#REF!</definedName>
    <definedName name="para5">#REF!</definedName>
    <definedName name="parang">#REF!</definedName>
    <definedName name="paras">#REF!</definedName>
    <definedName name="Parasbtgogokukir">#REF!</definedName>
    <definedName name="parasbtgosokkerobk">#REF!</definedName>
    <definedName name="Parasbtgosokkerobokan">#REF!</definedName>
    <definedName name="parasbtgosokukir">#REF!</definedName>
    <definedName name="Paraskerobk">#REF!</definedName>
    <definedName name="ParasKerobokan">#REF!</definedName>
    <definedName name="ParasNusa">#REF!</definedName>
    <definedName name="Paraspalimanan">#REF!</definedName>
    <definedName name="PARS">#REF!</definedName>
    <definedName name="PART">#REF!</definedName>
    <definedName name="PARTISI">#REF!</definedName>
    <definedName name="PartisiPly">#REF!</definedName>
    <definedName name="parts">#REF!</definedName>
    <definedName name="parug">#N/A</definedName>
    <definedName name="pas">#N/A</definedName>
    <definedName name="Pas.Batu.Mekanik">#REF!</definedName>
    <definedName name="pas.batudnmortar">#REF!</definedName>
    <definedName name="Pas.Kaca">#REF!</definedName>
    <definedName name="Pas.Kaca5">#REF!</definedName>
    <definedName name="pas_bata_14">#REF!</definedName>
    <definedName name="Pas_Batu">#REF!</definedName>
    <definedName name="Pas_Batu_Kali15">#REF!</definedName>
    <definedName name="Pas_Batu_Mortar">#REF!</definedName>
    <definedName name="Pas_bouw_pagr">#REF!</definedName>
    <definedName name="Pas_bouwp">#REF!</definedName>
    <definedName name="Pas_bouwplank_baru">#REF!</definedName>
    <definedName name="Pas_Bt_Kosong">#REF!</definedName>
    <definedName name="Pas_Bt_Mrh_Ppalihan">#REF!</definedName>
    <definedName name="Pas_Bt_Mrh15">#REF!</definedName>
    <definedName name="Pas_Kembali_Btmerah">#REF!</definedName>
    <definedName name="Pas_kembali_kuda">#REF!</definedName>
    <definedName name="Pas_Trsm_Bt_Merah12">#REF!</definedName>
    <definedName name="Pasang">#REF!</definedName>
    <definedName name="pasang.bt.adukan">#REF!</definedName>
    <definedName name="PASANG_ENGSEL_JENDELA">#REF!</definedName>
    <definedName name="PASANG_KIPAS_ANGIN_CEILING">#REF!</definedName>
    <definedName name="PASANG_KIPAS_ANGIN_WALLSWING">#REF!</definedName>
    <definedName name="PASANG_LAMPU_RMI_2X18WATT">#REF!</definedName>
    <definedName name="PASANG_LAMPU_RMI_2X36WATT">#REF!</definedName>
    <definedName name="PASANG_LAMPU_SL_23WATT">#REF!</definedName>
    <definedName name="PASANG_LAMPU_SL_8WATT">#REF!</definedName>
    <definedName name="PASANG_OUTLET_TELEPON">#REF!</definedName>
    <definedName name="PASANG_OUTLET_TV">#REF!</definedName>
    <definedName name="PASANG_SAKLAR_GANDA">#REF!</definedName>
    <definedName name="PASANG_SAKLAR_TUNGGAL">#REF!</definedName>
    <definedName name="PASANG_STOP_KONTAK">#REF!</definedName>
    <definedName name="PASANG_STOP_KONTAK_AC">#REF!</definedName>
    <definedName name="pasanganbatu">#REF!</definedName>
    <definedName name="PasAtapAsbes">#REF!</definedName>
    <definedName name="PasAtapGenteng">#REF!</definedName>
    <definedName name="pasbamer3">#REF!</definedName>
    <definedName name="pasbamer5">#REF!</definedName>
    <definedName name="pasbat1.5">#REF!</definedName>
    <definedName name="pasbata1.3">#REF!</definedName>
    <definedName name="PASBATA13">#REF!</definedName>
    <definedName name="PASBATA15">#REF!</definedName>
    <definedName name="pasbatako">#REF!</definedName>
    <definedName name="PASBATU">#REF!</definedName>
    <definedName name="PASBATU_PLESTER">#REF!</definedName>
    <definedName name="pasbatukali">"'file://SERVER3/har-data/STRUCTURE PRICE OF BQ KOMPAS GRAMEDIA.xls'#$analisa.$#REF!$#REF!"</definedName>
    <definedName name="PasBouwp">#REF!</definedName>
    <definedName name="pasbs4">#REF!</definedName>
    <definedName name="pasbt12">#REF!</definedName>
    <definedName name="pasbt14">#REF!</definedName>
    <definedName name="pasbtempel">#REF!</definedName>
    <definedName name="PasBtGunung15">#REF!</definedName>
    <definedName name="PasBtKl">#REF!</definedName>
    <definedName name="pasbtpilah">#REF!</definedName>
    <definedName name="pasbttuk">#REF!</definedName>
    <definedName name="pascl">#REF!</definedName>
    <definedName name="pasdingran">#REF!</definedName>
    <definedName name="PasDrainPVC3">#REF!</definedName>
    <definedName name="pasgran30">#REF!</definedName>
    <definedName name="pasgran40">#REF!</definedName>
    <definedName name="pasgranit">#REF!</definedName>
    <definedName name="PASIR">#REF!</definedName>
    <definedName name="pasir.pasang">#REF!</definedName>
    <definedName name="pasir.u">#REF!</definedName>
    <definedName name="Pasir_B">#REF!</definedName>
    <definedName name="Pasir_Beton">#REF!</definedName>
    <definedName name="PASIR_COR">#REF!</definedName>
    <definedName name="Pasir_kasar_ayak">#REF!</definedName>
    <definedName name="Pasir_P">#REF!</definedName>
    <definedName name="Pasir_Pasang">#REF!</definedName>
    <definedName name="Pasir_pasangan">#REF!</definedName>
    <definedName name="Pasir_u">#REF!</definedName>
    <definedName name="pasir_urug">#REF!</definedName>
    <definedName name="pasir1">#REF!</definedName>
    <definedName name="pasirayakkasar">#REF!</definedName>
    <definedName name="PASIRBCAMP">#REF!</definedName>
    <definedName name="Pasirbeton">#REF!</definedName>
    <definedName name="pasirbtn">#REF!</definedName>
    <definedName name="Pasircor">#REF!</definedName>
    <definedName name="PASIRHALUS">#REF!</definedName>
    <definedName name="pasirp">#REF!</definedName>
    <definedName name="PASIRPADAT">#REF!</definedName>
    <definedName name="Pasirpas">#REF!</definedName>
    <definedName name="Pasirpasang">#REF!</definedName>
    <definedName name="pasirpsg">#REF!</definedName>
    <definedName name="pasirtbn">#REF!</definedName>
    <definedName name="PASIRTIMBUN">#REF!</definedName>
    <definedName name="Pasirton">#REF!</definedName>
    <definedName name="pasiru">#REF!</definedName>
    <definedName name="PASIRURUG">#REF!</definedName>
    <definedName name="PasKacaeskapur">#REF!</definedName>
    <definedName name="PasKacaMati">#REF!</definedName>
    <definedName name="PasKaretPacking">#REF!</definedName>
    <definedName name="Paskembali_Atpgenteng">#REF!</definedName>
    <definedName name="PasKembaliKuda2Kamper">#REF!</definedName>
    <definedName name="PasKembaliKuda2Kruing">#REF!</definedName>
    <definedName name="PasKembaliKusen">#REF!</definedName>
    <definedName name="PasKemBongkarDJ">#REF!</definedName>
    <definedName name="PasKemKusen">#REF!</definedName>
    <definedName name="paskeramik30x30">#REF!</definedName>
    <definedName name="pasloster">#REF!</definedName>
    <definedName name="paspaving">#REF!</definedName>
    <definedName name="PasPk">#REF!</definedName>
    <definedName name="pasr.1">#REF!</definedName>
    <definedName name="Pasurug">[31]ARTAGDING!#REF!</definedName>
    <definedName name="patok_km">#REF!</definedName>
    <definedName name="patokpengarah">#REF!</definedName>
    <definedName name="PATUNG">#REF!</definedName>
    <definedName name="paur">#REF!</definedName>
    <definedName name="Pauto">#REF!</definedName>
    <definedName name="pav">#REF!</definedName>
    <definedName name="pav_hek">#REF!</definedName>
    <definedName name="pavabu6">#REF!</definedName>
    <definedName name="pavabu8">#REF!</definedName>
    <definedName name="pavblock6">#REF!</definedName>
    <definedName name="pavblock8">#REF!</definedName>
    <definedName name="paving">#REF!</definedName>
    <definedName name="paving.b">#REF!</definedName>
    <definedName name="Paving_Block">#REF!</definedName>
    <definedName name="paving_block_8cm">#REF!</definedName>
    <definedName name="PAVING_BLOK_20x20_T6CM_K175">#REF!</definedName>
    <definedName name="PAVING_BLOK_20x20_T6CM_K225">#REF!</definedName>
    <definedName name="PAVING_BLOK_20x20_T8CM_K175">#REF!</definedName>
    <definedName name="PAVING_BLOK_20x20_T8CM_K225">#REF!</definedName>
    <definedName name="Paving_tebal_8_cm">#REF!</definedName>
    <definedName name="paving6">#REF!</definedName>
    <definedName name="Paving6cm">#REF!</definedName>
    <definedName name="Paving8">#REF!</definedName>
    <definedName name="Paving8cm">#REF!</definedName>
    <definedName name="pavingblock">#REF!</definedName>
    <definedName name="Pavn6">#REF!</definedName>
    <definedName name="Pavn8">#REF!</definedName>
    <definedName name="pavnat6">'[35]Harga Satuan Bahan'!$E$87</definedName>
    <definedName name="pavnat8">'[35]Harga Satuan Bahan'!$E$88</definedName>
    <definedName name="Pavw6">#REF!</definedName>
    <definedName name="Pavw8">#REF!</definedName>
    <definedName name="pavwr6">'[35]Harga Satuan Bahan'!$E$89</definedName>
    <definedName name="pavwr8">'[35]Harga Satuan Bahan'!$E$90</definedName>
    <definedName name="Payment_Date" localSheetId="16">DATE(YEAR(Loan_Start),MONTH(Loan_Start)+Payment_Number,DAY(Loan_Start))</definedName>
    <definedName name="Payment_Date">DATE(YEAR(Loan_Start),MONTH(Loan_Start)+Payment_Number,DAY(Loan_Start))</definedName>
    <definedName name="payung">#REF!</definedName>
    <definedName name="PB">#REF!</definedName>
    <definedName name="pb.125">'[45]Sat~Bahu'!$C$109</definedName>
    <definedName name="pb.200hp">'[45]Sat~Bahu'!$C$93</definedName>
    <definedName name="pb.500">'[45]Sat~Bahu'!$C$110</definedName>
    <definedName name="pb_1">#REF!</definedName>
    <definedName name="pb_1.5">#REF!</definedName>
    <definedName name="pb_10">#REF!</definedName>
    <definedName name="pb_13">#REF!</definedName>
    <definedName name="pb_131">#REF!</definedName>
    <definedName name="pb_2">#REF!</definedName>
    <definedName name="pb_3">#REF!</definedName>
    <definedName name="pb_4">[95]satuan_pek_ars!#REF!</definedName>
    <definedName name="pb_40">[65]satuan_pek_str!#REF!</definedName>
    <definedName name="pb_5">[95]satuan_pek_ars!#REF!</definedName>
    <definedName name="pb_8">[95]satuan_pek_ars!#REF!</definedName>
    <definedName name="pb_af">#REF!</definedName>
    <definedName name="PB_BAK">#REF!</definedName>
    <definedName name="PB_CO">#REF!</definedName>
    <definedName name="PB_GIP">#REF!</definedName>
    <definedName name="PB_METER">#REF!</definedName>
    <definedName name="PB_POMPA">#REF!</definedName>
    <definedName name="PB_PVC">#REF!</definedName>
    <definedName name="PB_RD">#REF!</definedName>
    <definedName name="PB_VCHECK">#REF!</definedName>
    <definedName name="PB_VENT">#REF!</definedName>
    <definedName name="PB_VFLEX">#REF!</definedName>
    <definedName name="PB_VFOOT">#REF!</definedName>
    <definedName name="PB_VGATE">#REF!</definedName>
    <definedName name="PB_VSTRAINER">#REF!</definedName>
    <definedName name="pb0.5">#REF!</definedName>
    <definedName name="pb1.25">#REF!</definedName>
    <definedName name="pb1.5">#REF!</definedName>
    <definedName name="pb2.5">#REF!</definedName>
    <definedName name="pb8abu">#REF!</definedName>
    <definedName name="pbat">#REF!</definedName>
    <definedName name="pbata">#REF!</definedName>
    <definedName name="pbata3">#REF!</definedName>
    <definedName name="pbb">#REF!</definedName>
    <definedName name="PBBu24">#REF!</definedName>
    <definedName name="PBBU39">#REF!</definedName>
    <definedName name="PBekM">#REF!</definedName>
    <definedName name="PBekP">#REF!</definedName>
    <definedName name="PBetBks">#REF!</definedName>
    <definedName name="PBetFun">#REF!</definedName>
    <definedName name="pbeton">#REF!</definedName>
    <definedName name="pbeton100">#REF!</definedName>
    <definedName name="pbeton30">#REF!</definedName>
    <definedName name="pbeton40">#REF!</definedName>
    <definedName name="pbeton60">#REF!</definedName>
    <definedName name="pbeton80">#REF!</definedName>
    <definedName name="PBetPl">#REF!</definedName>
    <definedName name="PBetPr">#REF!</definedName>
    <definedName name="PBetStr">#REF!</definedName>
    <definedName name="pbf2.5">#REF!</definedName>
    <definedName name="pbi">#REF!</definedName>
    <definedName name="pbk">#REF!</definedName>
    <definedName name="pbkp">#REF!</definedName>
    <definedName name="pbondek">#REF!</definedName>
    <definedName name="PBouwp">#REF!</definedName>
    <definedName name="pbp">#REF!</definedName>
    <definedName name="PBRC_M4">#REF!</definedName>
    <definedName name="PBRC_M5">#REF!</definedName>
    <definedName name="pbs100_1">#REF!</definedName>
    <definedName name="pbs100_1_5">#REF!</definedName>
    <definedName name="pbs100_2">#REF!</definedName>
    <definedName name="pbs100_2_1">#REF!</definedName>
    <definedName name="pbs100_2_1_1">#REF!</definedName>
    <definedName name="pbs100_2_1_1_6">#REF!</definedName>
    <definedName name="pbs100_2_1_6">#REF!</definedName>
    <definedName name="pbs100_2_1_7">#REF!</definedName>
    <definedName name="pbs100_2_6">#REF!</definedName>
    <definedName name="pbs100_2_7">#REF!</definedName>
    <definedName name="pbs100_3">#REF!</definedName>
    <definedName name="pbs100_3_4">#REF!</definedName>
    <definedName name="pbs100_3_6">#REF!</definedName>
    <definedName name="pbs100_3_7">#REF!</definedName>
    <definedName name="pbs100_4">#REF!</definedName>
    <definedName name="pbs100_4_1">#REF!</definedName>
    <definedName name="pbs100_4_2">#REF!</definedName>
    <definedName name="pbs100_4_2_6">#REF!</definedName>
    <definedName name="pbs100_4_4">#REF!</definedName>
    <definedName name="pbs100_4_6">#REF!</definedName>
    <definedName name="pbs100_4_7">#REF!</definedName>
    <definedName name="pbs100_5">#REF!</definedName>
    <definedName name="pbs100_5_2">#REF!</definedName>
    <definedName name="pbs100_5_2_6">#REF!</definedName>
    <definedName name="pbs100_5_4">#REF!</definedName>
    <definedName name="pbs100_5_6">#REF!</definedName>
    <definedName name="pbs100_5_7">#REF!</definedName>
    <definedName name="pbs100_6">#REF!</definedName>
    <definedName name="pbs100_6_1">#REF!</definedName>
    <definedName name="pbs100_6_4">#REF!</definedName>
    <definedName name="pbs100_6_6">#REF!</definedName>
    <definedName name="pbs100_6_7">#REF!</definedName>
    <definedName name="pbs100_7">#REF!</definedName>
    <definedName name="pbs15_1">#REF!</definedName>
    <definedName name="pbs15_1_5">#REF!</definedName>
    <definedName name="pbs15_2">#REF!</definedName>
    <definedName name="pbs15_2_1">#REF!</definedName>
    <definedName name="pbs15_2_1_1">#REF!</definedName>
    <definedName name="pbs15_2_1_1_6">#REF!</definedName>
    <definedName name="pbs15_2_1_6">#REF!</definedName>
    <definedName name="pbs15_2_1_7">#REF!</definedName>
    <definedName name="pbs15_2_6">#REF!</definedName>
    <definedName name="pbs15_2_7">#REF!</definedName>
    <definedName name="pbs15_3">#REF!</definedName>
    <definedName name="pbs15_3_4">#REF!</definedName>
    <definedName name="pbs15_3_6">#REF!</definedName>
    <definedName name="pbs15_3_7">#REF!</definedName>
    <definedName name="pbs15_4">#REF!</definedName>
    <definedName name="pbs15_4_1">#REF!</definedName>
    <definedName name="pbs15_4_2">#REF!</definedName>
    <definedName name="pbs15_4_2_6">#REF!</definedName>
    <definedName name="pbs15_4_4">#REF!</definedName>
    <definedName name="pbs15_4_6">#REF!</definedName>
    <definedName name="pbs15_4_7">#REF!</definedName>
    <definedName name="pbs15_5">#REF!</definedName>
    <definedName name="pbs15_5_2">#REF!</definedName>
    <definedName name="pbs15_5_2_6">#REF!</definedName>
    <definedName name="pbs15_5_4">#REF!</definedName>
    <definedName name="pbs15_5_6">#REF!</definedName>
    <definedName name="pbs15_5_7">#REF!</definedName>
    <definedName name="pbs15_6">#REF!</definedName>
    <definedName name="pbs15_6_1">#REF!</definedName>
    <definedName name="pbs15_6_4">#REF!</definedName>
    <definedName name="pbs15_6_6">#REF!</definedName>
    <definedName name="pbs15_6_7">#REF!</definedName>
    <definedName name="pbs15_7">#REF!</definedName>
    <definedName name="pbs150_1">#REF!</definedName>
    <definedName name="pbs150_1_5">#REF!</definedName>
    <definedName name="pbs150_2">#REF!</definedName>
    <definedName name="pbs150_2_1">#REF!</definedName>
    <definedName name="pbs150_2_1_1">#REF!</definedName>
    <definedName name="pbs150_2_1_1_6">#REF!</definedName>
    <definedName name="pbs150_2_1_6">#REF!</definedName>
    <definedName name="pbs150_2_1_7">#REF!</definedName>
    <definedName name="pbs150_2_6">#REF!</definedName>
    <definedName name="pbs150_2_7">#REF!</definedName>
    <definedName name="pbs150_3">#REF!</definedName>
    <definedName name="pbs150_3_4">#REF!</definedName>
    <definedName name="pbs150_3_6">#REF!</definedName>
    <definedName name="pbs150_3_7">#REF!</definedName>
    <definedName name="pbs150_4">#REF!</definedName>
    <definedName name="pbs150_4_1">#REF!</definedName>
    <definedName name="pbs150_4_2">#REF!</definedName>
    <definedName name="pbs150_4_2_6">#REF!</definedName>
    <definedName name="pbs150_4_4">#REF!</definedName>
    <definedName name="pbs150_4_6">#REF!</definedName>
    <definedName name="pbs150_4_7">#REF!</definedName>
    <definedName name="pbs150_5">#REF!</definedName>
    <definedName name="pbs150_5_2">#REF!</definedName>
    <definedName name="pbs150_5_2_6">#REF!</definedName>
    <definedName name="pbs150_5_4">#REF!</definedName>
    <definedName name="pbs150_5_6">#REF!</definedName>
    <definedName name="pbs150_5_7">#REF!</definedName>
    <definedName name="pbs150_6">#REF!</definedName>
    <definedName name="pbs150_6_1">#REF!</definedName>
    <definedName name="pbs150_6_4">#REF!</definedName>
    <definedName name="pbs150_6_6">#REF!</definedName>
    <definedName name="pbs150_6_7">#REF!</definedName>
    <definedName name="pbs150_7">#REF!</definedName>
    <definedName name="pbs40_1">#REF!</definedName>
    <definedName name="pbs40_1_5">#REF!</definedName>
    <definedName name="pbs40_2">#REF!</definedName>
    <definedName name="pbs40_2_1">#REF!</definedName>
    <definedName name="pbs40_2_1_1">#REF!</definedName>
    <definedName name="pbs40_2_1_1_6">#REF!</definedName>
    <definedName name="pbs40_2_1_6">#REF!</definedName>
    <definedName name="pbs40_2_1_7">#REF!</definedName>
    <definedName name="pbs40_2_6">#REF!</definedName>
    <definedName name="pbs40_2_7">#REF!</definedName>
    <definedName name="pbs40_3">#REF!</definedName>
    <definedName name="pbs40_3_4">#REF!</definedName>
    <definedName name="pbs40_3_6">#REF!</definedName>
    <definedName name="pbs40_3_7">#REF!</definedName>
    <definedName name="pbs40_4">#REF!</definedName>
    <definedName name="pbs40_4_1">#REF!</definedName>
    <definedName name="pbs40_4_2">#REF!</definedName>
    <definedName name="pbs40_4_2_6">#REF!</definedName>
    <definedName name="pbs40_4_4">#REF!</definedName>
    <definedName name="pbs40_4_6">#REF!</definedName>
    <definedName name="pbs40_4_7">#REF!</definedName>
    <definedName name="pbs40_5">#REF!</definedName>
    <definedName name="pbs40_5_2">#REF!</definedName>
    <definedName name="pbs40_5_2_6">#REF!</definedName>
    <definedName name="pbs40_5_4">#REF!</definedName>
    <definedName name="pbs40_5_6">#REF!</definedName>
    <definedName name="pbs40_5_7">#REF!</definedName>
    <definedName name="pbs40_6">#REF!</definedName>
    <definedName name="pbs40_6_1">#REF!</definedName>
    <definedName name="pbs40_6_4">#REF!</definedName>
    <definedName name="pbs40_6_6">#REF!</definedName>
    <definedName name="pbs40_6_7">#REF!</definedName>
    <definedName name="pbs40_7">#REF!</definedName>
    <definedName name="pbs50_1">#REF!</definedName>
    <definedName name="pbs50_1_5">#REF!</definedName>
    <definedName name="pbs50_2">#REF!</definedName>
    <definedName name="pbs50_2_1">#REF!</definedName>
    <definedName name="pbs50_2_1_1">#REF!</definedName>
    <definedName name="pbs50_2_1_1_6">#REF!</definedName>
    <definedName name="pbs50_2_1_6">#REF!</definedName>
    <definedName name="pbs50_2_1_7">#REF!</definedName>
    <definedName name="pbs50_2_6">#REF!</definedName>
    <definedName name="pbs50_2_7">#REF!</definedName>
    <definedName name="pbs50_3">#REF!</definedName>
    <definedName name="pbs50_3_4">#REF!</definedName>
    <definedName name="pbs50_3_6">#REF!</definedName>
    <definedName name="pbs50_3_7">#REF!</definedName>
    <definedName name="pbs50_4">#REF!</definedName>
    <definedName name="pbs50_4_1">#REF!</definedName>
    <definedName name="pbs50_4_2">#REF!</definedName>
    <definedName name="pbs50_4_2_6">#REF!</definedName>
    <definedName name="pbs50_4_4">#REF!</definedName>
    <definedName name="pbs50_4_6">#REF!</definedName>
    <definedName name="pbs50_4_7">#REF!</definedName>
    <definedName name="pbs50_5">#REF!</definedName>
    <definedName name="pbs50_5_2">#REF!</definedName>
    <definedName name="pbs50_5_2_6">#REF!</definedName>
    <definedName name="pbs50_5_4">#REF!</definedName>
    <definedName name="pbs50_5_6">#REF!</definedName>
    <definedName name="pbs50_5_7">#REF!</definedName>
    <definedName name="pbs50_6">#REF!</definedName>
    <definedName name="pbs50_6_1">#REF!</definedName>
    <definedName name="pbs50_6_4">#REF!</definedName>
    <definedName name="pbs50_6_6">#REF!</definedName>
    <definedName name="pbs50_6_7">#REF!</definedName>
    <definedName name="pbs50_7">#REF!</definedName>
    <definedName name="pbs65_1">#REF!</definedName>
    <definedName name="pbs65_1_5">#REF!</definedName>
    <definedName name="pbs65_2">#REF!</definedName>
    <definedName name="pbs65_2_1">#REF!</definedName>
    <definedName name="pbs65_2_1_1">#REF!</definedName>
    <definedName name="pbs65_2_1_1_6">#REF!</definedName>
    <definedName name="pbs65_2_1_6">#REF!</definedName>
    <definedName name="pbs65_2_1_7">#REF!</definedName>
    <definedName name="pbs65_2_6">#REF!</definedName>
    <definedName name="pbs65_2_7">#REF!</definedName>
    <definedName name="pbs65_3">#REF!</definedName>
    <definedName name="pbs65_3_4">#REF!</definedName>
    <definedName name="pbs65_3_6">#REF!</definedName>
    <definedName name="pbs65_3_7">#REF!</definedName>
    <definedName name="pbs65_4">#REF!</definedName>
    <definedName name="pbs65_4_1">#REF!</definedName>
    <definedName name="pbs65_4_2">#REF!</definedName>
    <definedName name="pbs65_4_2_6">#REF!</definedName>
    <definedName name="pbs65_4_4">#REF!</definedName>
    <definedName name="pbs65_4_6">#REF!</definedName>
    <definedName name="pbs65_4_7">#REF!</definedName>
    <definedName name="pbs65_5">#REF!</definedName>
    <definedName name="pbs65_5_2">#REF!</definedName>
    <definedName name="pbs65_5_2_6">#REF!</definedName>
    <definedName name="pbs65_5_4">#REF!</definedName>
    <definedName name="pbs65_5_6">#REF!</definedName>
    <definedName name="pbs65_5_7">#REF!</definedName>
    <definedName name="pbs65_6">#REF!</definedName>
    <definedName name="pbs65_6_1">#REF!</definedName>
    <definedName name="pbs65_6_4">#REF!</definedName>
    <definedName name="pbs65_6_6">#REF!</definedName>
    <definedName name="pbs65_6_7">#REF!</definedName>
    <definedName name="pbs65_7">#REF!</definedName>
    <definedName name="pbs80_1">#REF!</definedName>
    <definedName name="pbs80_1_5">#REF!</definedName>
    <definedName name="pbs80_2">#REF!</definedName>
    <definedName name="pbs80_2_1">#REF!</definedName>
    <definedName name="pbs80_2_1_1">#REF!</definedName>
    <definedName name="pbs80_2_1_1_6">#REF!</definedName>
    <definedName name="pbs80_2_1_6">#REF!</definedName>
    <definedName name="pbs80_2_1_7">#REF!</definedName>
    <definedName name="pbs80_2_6">#REF!</definedName>
    <definedName name="pbs80_2_7">#REF!</definedName>
    <definedName name="pbs80_3">#REF!</definedName>
    <definedName name="pbs80_3_4">#REF!</definedName>
    <definedName name="pbs80_3_6">#REF!</definedName>
    <definedName name="pbs80_3_7">#REF!</definedName>
    <definedName name="pbs80_4">#REF!</definedName>
    <definedName name="pbs80_4_1">#REF!</definedName>
    <definedName name="pbs80_4_2">#REF!</definedName>
    <definedName name="pbs80_4_2_6">#REF!</definedName>
    <definedName name="pbs80_4_4">#REF!</definedName>
    <definedName name="pbs80_4_6">#REF!</definedName>
    <definedName name="pbs80_4_7">#REF!</definedName>
    <definedName name="pbs80_5">#REF!</definedName>
    <definedName name="pbs80_5_2">#REF!</definedName>
    <definedName name="pbs80_5_2_6">#REF!</definedName>
    <definedName name="pbs80_5_4">#REF!</definedName>
    <definedName name="pbs80_5_6">#REF!</definedName>
    <definedName name="pbs80_5_7">#REF!</definedName>
    <definedName name="pbs80_6">#REF!</definedName>
    <definedName name="pbs80_6_1">#REF!</definedName>
    <definedName name="pbs80_6_4">#REF!</definedName>
    <definedName name="pbs80_6_6">#REF!</definedName>
    <definedName name="pbs80_6_7">#REF!</definedName>
    <definedName name="pbs80_7">#REF!</definedName>
    <definedName name="pbsf100">#REF!</definedName>
    <definedName name="pbsf100_1">#REF!</definedName>
    <definedName name="pbsf100_1_5">#REF!</definedName>
    <definedName name="pbsf100_2">#REF!</definedName>
    <definedName name="pbsf100_2_1">#REF!</definedName>
    <definedName name="pbsf100_2_1_1">#REF!</definedName>
    <definedName name="pbsf100_2_1_1_6">#REF!</definedName>
    <definedName name="pbsf100_2_1_6">#REF!</definedName>
    <definedName name="pbsf100_2_1_7">#REF!</definedName>
    <definedName name="pbsf100_2_6">#REF!</definedName>
    <definedName name="pbsf100_2_7">#REF!</definedName>
    <definedName name="pbsf100_3">#REF!</definedName>
    <definedName name="pbsf100_3_4">#REF!</definedName>
    <definedName name="pbsf100_3_6">#REF!</definedName>
    <definedName name="pbsf100_3_7">#REF!</definedName>
    <definedName name="pbsf100_4">#REF!</definedName>
    <definedName name="pbsf100_4_1">#REF!</definedName>
    <definedName name="pbsf100_4_2">#REF!</definedName>
    <definedName name="pbsf100_4_2_6">#REF!</definedName>
    <definedName name="pbsf100_4_4">#REF!</definedName>
    <definedName name="pbsf100_4_6">#REF!</definedName>
    <definedName name="pbsf100_4_7">#REF!</definedName>
    <definedName name="pbsf100_5">#REF!</definedName>
    <definedName name="pbsf100_5_2">#REF!</definedName>
    <definedName name="pbsf100_5_2_6">#REF!</definedName>
    <definedName name="pbsf100_5_4">#REF!</definedName>
    <definedName name="pbsf100_5_6">#REF!</definedName>
    <definedName name="pbsf100_5_7">#REF!</definedName>
    <definedName name="pbsf100_6">#REF!</definedName>
    <definedName name="pbsf100_6_1">#REF!</definedName>
    <definedName name="pbsf100_6_4">#REF!</definedName>
    <definedName name="pbsf100_6_6">#REF!</definedName>
    <definedName name="pbsf100_6_7">#REF!</definedName>
    <definedName name="pbsf100_7">#REF!</definedName>
    <definedName name="pbsf101">#REF!</definedName>
    <definedName name="pbsf150">#REF!</definedName>
    <definedName name="pbsf150_1">#REF!</definedName>
    <definedName name="pbsf150_1_5">#REF!</definedName>
    <definedName name="pbsf150_2">#REF!</definedName>
    <definedName name="pbsf150_2_1">#REF!</definedName>
    <definedName name="pbsf150_2_1_1">#REF!</definedName>
    <definedName name="pbsf150_2_1_1_6">#REF!</definedName>
    <definedName name="pbsf150_2_1_6">#REF!</definedName>
    <definedName name="pbsf150_2_1_7">#REF!</definedName>
    <definedName name="pbsf150_2_6">#REF!</definedName>
    <definedName name="pbsf150_2_7">#REF!</definedName>
    <definedName name="pbsf150_3">#REF!</definedName>
    <definedName name="pbsf150_3_4">#REF!</definedName>
    <definedName name="pbsf150_3_6">#REF!</definedName>
    <definedName name="pbsf150_3_7">#REF!</definedName>
    <definedName name="pbsf150_4">#REF!</definedName>
    <definedName name="pbsf150_4_1">#REF!</definedName>
    <definedName name="pbsf150_4_2">#REF!</definedName>
    <definedName name="pbsf150_4_2_6">#REF!</definedName>
    <definedName name="pbsf150_4_4">#REF!</definedName>
    <definedName name="pbsf150_4_6">#REF!</definedName>
    <definedName name="pbsf150_4_7">#REF!</definedName>
    <definedName name="pbsf150_5">#REF!</definedName>
    <definedName name="pbsf150_5_2">#REF!</definedName>
    <definedName name="pbsf150_5_2_6">#REF!</definedName>
    <definedName name="pbsf150_5_4">#REF!</definedName>
    <definedName name="pbsf150_5_6">#REF!</definedName>
    <definedName name="pbsf150_5_7">#REF!</definedName>
    <definedName name="pbsf150_6">#REF!</definedName>
    <definedName name="pbsf150_6_1">#REF!</definedName>
    <definedName name="pbsf150_6_4">#REF!</definedName>
    <definedName name="pbsf150_6_6">#REF!</definedName>
    <definedName name="pbsf150_6_7">#REF!</definedName>
    <definedName name="pbsf150_7">#REF!</definedName>
    <definedName name="pbsf152">#REF!</definedName>
    <definedName name="pbsf65">#REF!</definedName>
    <definedName name="pbsf65_1">#REF!</definedName>
    <definedName name="pbsf65_1_5">#REF!</definedName>
    <definedName name="pbsf65_2">#REF!</definedName>
    <definedName name="pbsf65_2_1">#REF!</definedName>
    <definedName name="pbsf65_2_1_1">#REF!</definedName>
    <definedName name="pbsf65_2_1_1_6">#REF!</definedName>
    <definedName name="pbsf65_2_1_6">#REF!</definedName>
    <definedName name="pbsf65_2_1_7">#REF!</definedName>
    <definedName name="pbsf65_2_6">#REF!</definedName>
    <definedName name="pbsf65_2_7">#REF!</definedName>
    <definedName name="pbsf65_3">#REF!</definedName>
    <definedName name="pbsf65_3_4">#REF!</definedName>
    <definedName name="pbsf65_3_6">#REF!</definedName>
    <definedName name="pbsf65_3_7">#REF!</definedName>
    <definedName name="pbsf65_4">#REF!</definedName>
    <definedName name="pbsf65_4_1">#REF!</definedName>
    <definedName name="pbsf65_4_2">#REF!</definedName>
    <definedName name="pbsf65_4_2_6">#REF!</definedName>
    <definedName name="pbsf65_4_4">#REF!</definedName>
    <definedName name="pbsf65_4_6">#REF!</definedName>
    <definedName name="pbsf65_4_7">#REF!</definedName>
    <definedName name="pbsf65_5">#REF!</definedName>
    <definedName name="pbsf65_5_2">#REF!</definedName>
    <definedName name="pbsf65_5_2_6">#REF!</definedName>
    <definedName name="pbsf65_5_4">#REF!</definedName>
    <definedName name="pbsf65_5_6">#REF!</definedName>
    <definedName name="pbsf65_5_7">#REF!</definedName>
    <definedName name="pbsf65_6">#REF!</definedName>
    <definedName name="pbsf65_6_1">#REF!</definedName>
    <definedName name="pbsf65_6_4">#REF!</definedName>
    <definedName name="pbsf65_6_6">#REF!</definedName>
    <definedName name="pbsf65_6_7">#REF!</definedName>
    <definedName name="pbsf65_7">#REF!</definedName>
    <definedName name="pbsf80">#REF!</definedName>
    <definedName name="pbsf80_1">#REF!</definedName>
    <definedName name="pbsf80_1_5">#REF!</definedName>
    <definedName name="pbsf80_2">#REF!</definedName>
    <definedName name="pbsf80_2_1">#REF!</definedName>
    <definedName name="pbsf80_2_1_1">#REF!</definedName>
    <definedName name="pbsf80_2_1_1_6">#REF!</definedName>
    <definedName name="pbsf80_2_1_6">#REF!</definedName>
    <definedName name="pbsf80_2_1_7">#REF!</definedName>
    <definedName name="pbsf80_2_6">#REF!</definedName>
    <definedName name="pbsf80_2_7">#REF!</definedName>
    <definedName name="pbsf80_3">#REF!</definedName>
    <definedName name="pbsf80_3_4">#REF!</definedName>
    <definedName name="pbsf80_3_6">#REF!</definedName>
    <definedName name="pbsf80_3_7">#REF!</definedName>
    <definedName name="pbsf80_4">#REF!</definedName>
    <definedName name="pbsf80_4_1">#REF!</definedName>
    <definedName name="pbsf80_4_2">#REF!</definedName>
    <definedName name="pbsf80_4_2_6">#REF!</definedName>
    <definedName name="pbsf80_4_4">#REF!</definedName>
    <definedName name="pbsf80_4_6">#REF!</definedName>
    <definedName name="pbsf80_4_7">#REF!</definedName>
    <definedName name="pbsf80_5">#REF!</definedName>
    <definedName name="pbsf80_5_2">#REF!</definedName>
    <definedName name="pbsf80_5_2_6">#REF!</definedName>
    <definedName name="pbsf80_5_4">#REF!</definedName>
    <definedName name="pbsf80_5_6">#REF!</definedName>
    <definedName name="pbsf80_5_7">#REF!</definedName>
    <definedName name="pbsf80_6">#REF!</definedName>
    <definedName name="pbsf80_6_1">#REF!</definedName>
    <definedName name="pbsf80_6_4">#REF!</definedName>
    <definedName name="pbsf80_6_6">#REF!</definedName>
    <definedName name="pbsf80_6_7">#REF!</definedName>
    <definedName name="pbsf80_7">#REF!</definedName>
    <definedName name="PBSiku">#REF!</definedName>
    <definedName name="PBTempel">#REF!</definedName>
    <definedName name="pbtk14">#REF!</definedName>
    <definedName name="pbtki14">#REF!</definedName>
    <definedName name="PBtKl14">#REF!</definedName>
    <definedName name="PBtKl15">#REF!</definedName>
    <definedName name="PBtM2">#REF!</definedName>
    <definedName name="PBtM2K">#REF!</definedName>
    <definedName name="PBtM3">#REF!</definedName>
    <definedName name="PBtM3K">#REF!</definedName>
    <definedName name="PBtM4">#REF!</definedName>
    <definedName name="PBtM4K">#REF!</definedName>
    <definedName name="PBtX4">#REF!</definedName>
    <definedName name="pc">#REF!</definedName>
    <definedName name="pc.40">#REF!</definedName>
    <definedName name="pc.50">#REF!</definedName>
    <definedName name="Pc.G">#REF!</definedName>
    <definedName name="pc.wr">#REF!</definedName>
    <definedName name="PC__50__Kg">#REF!</definedName>
    <definedName name="PC__50_Kg">#REF!</definedName>
    <definedName name="PC_1">#REF!</definedName>
    <definedName name="PC_2">#REF!</definedName>
    <definedName name="PC_3">#REF!</definedName>
    <definedName name="pc_35">[121]HDasar!$H$10</definedName>
    <definedName name="PC_3C">#REF!</definedName>
    <definedName name="pc_40">[121]HDasar!$H$11</definedName>
    <definedName name="Pc_50_Kg">#REF!</definedName>
    <definedName name="PC_DOLK">#REF!</definedName>
    <definedName name="pc0.75">#REF!</definedName>
    <definedName name="pc1.25">#REF!</definedName>
    <definedName name="pc1.5">#REF!</definedName>
    <definedName name="pc2.2">#REF!</definedName>
    <definedName name="pc2.5">#REF!</definedName>
    <definedName name="PC450B">#REF!</definedName>
    <definedName name="PC450U">#REF!</definedName>
    <definedName name="pc50_1">#REF!</definedName>
    <definedName name="pc50_1_5">#REF!</definedName>
    <definedName name="pc50_2">#REF!</definedName>
    <definedName name="pc50_2_1">#REF!</definedName>
    <definedName name="pc50_2_1_1">#REF!</definedName>
    <definedName name="pc50_2_1_1_6">#REF!</definedName>
    <definedName name="pc50_2_1_6">#REF!</definedName>
    <definedName name="pc50_2_1_7">#REF!</definedName>
    <definedName name="pc50_2_6">#REF!</definedName>
    <definedName name="pc50_2_7">#REF!</definedName>
    <definedName name="pc50_3">#REF!</definedName>
    <definedName name="pc50_3_1">#REF!</definedName>
    <definedName name="pc50_3_2">#REF!</definedName>
    <definedName name="pc50_3_4">#REF!</definedName>
    <definedName name="pc50_3_6">#REF!</definedName>
    <definedName name="pc50_3_7">#REF!</definedName>
    <definedName name="pc50_4">#REF!</definedName>
    <definedName name="pc50_4_1">#REF!</definedName>
    <definedName name="pc50_4_2">#REF!</definedName>
    <definedName name="pc50_4_2_6">#REF!</definedName>
    <definedName name="pc50_4_4">#REF!</definedName>
    <definedName name="pc50_4_6">#REF!</definedName>
    <definedName name="pc50_4_7">#REF!</definedName>
    <definedName name="pc50_5">#REF!</definedName>
    <definedName name="pc50_5_2">#REF!</definedName>
    <definedName name="pc50_5_2_6">#REF!</definedName>
    <definedName name="pc50_5_4">#REF!</definedName>
    <definedName name="pc50_5_6">#REF!</definedName>
    <definedName name="pc50_5_7">#REF!</definedName>
    <definedName name="pc50_6">#REF!</definedName>
    <definedName name="pc50_6_1">#REF!</definedName>
    <definedName name="pc50_6_4">#REF!</definedName>
    <definedName name="pc50_6_6">#REF!</definedName>
    <definedName name="pc50_6_7">#REF!</definedName>
    <definedName name="pc50_7">#REF!</definedName>
    <definedName name="PC600B">#REF!</definedName>
    <definedName name="PC600U">#REF!</definedName>
    <definedName name="pc80_1">#REF!</definedName>
    <definedName name="pc80_1_5">#REF!</definedName>
    <definedName name="pc80_2">#REF!</definedName>
    <definedName name="pc80_2_1">#REF!</definedName>
    <definedName name="pc80_2_1_1">#REF!</definedName>
    <definedName name="pc80_2_1_1_6">#REF!</definedName>
    <definedName name="pc80_2_1_6">#REF!</definedName>
    <definedName name="pc80_2_1_7">#REF!</definedName>
    <definedName name="pc80_2_6">#REF!</definedName>
    <definedName name="pc80_2_7">#REF!</definedName>
    <definedName name="pc80_3">#REF!</definedName>
    <definedName name="pc80_3_1">#REF!</definedName>
    <definedName name="pc80_3_2">#REF!</definedName>
    <definedName name="pc80_3_4">#REF!</definedName>
    <definedName name="pc80_3_6">#REF!</definedName>
    <definedName name="pc80_3_7">#REF!</definedName>
    <definedName name="pc80_4">#REF!</definedName>
    <definedName name="pc80_4_1">#REF!</definedName>
    <definedName name="pc80_4_2">#REF!</definedName>
    <definedName name="pc80_4_2_6">#REF!</definedName>
    <definedName name="pc80_4_4">#REF!</definedName>
    <definedName name="pc80_4_6">#REF!</definedName>
    <definedName name="pc80_4_7">#REF!</definedName>
    <definedName name="pc80_5">#REF!</definedName>
    <definedName name="pc80_5_2">#REF!</definedName>
    <definedName name="pc80_5_2_6">#REF!</definedName>
    <definedName name="pc80_5_4">#REF!</definedName>
    <definedName name="pc80_5_6">#REF!</definedName>
    <definedName name="pc80_5_7">#REF!</definedName>
    <definedName name="pc80_6">#REF!</definedName>
    <definedName name="pc80_6_1">#REF!</definedName>
    <definedName name="pc80_6_4">#REF!</definedName>
    <definedName name="pc80_6_6">#REF!</definedName>
    <definedName name="pc80_6_7">#REF!</definedName>
    <definedName name="pc80_7">#REF!</definedName>
    <definedName name="pcabuabu20">#REF!</definedName>
    <definedName name="pcabuabu30">#REF!</definedName>
    <definedName name="PCatIC">#REF!</definedName>
    <definedName name="PCatKy">#REF!</definedName>
    <definedName name="PCatVn">#REF!</definedName>
    <definedName name="pcb_3">#REF!</definedName>
    <definedName name="pcb10b85">#REF!</definedName>
    <definedName name="PCcurb">#REF!</definedName>
    <definedName name="pcf2.5">#REF!</definedName>
    <definedName name="pcf80_1">#REF!</definedName>
    <definedName name="pcf80_1_5">#REF!</definedName>
    <definedName name="pcf80_2">#REF!</definedName>
    <definedName name="pcf80_2_1">#REF!</definedName>
    <definedName name="pcf80_2_1_1">#REF!</definedName>
    <definedName name="pcf80_2_1_1_6">#REF!</definedName>
    <definedName name="pcf80_2_1_6">#REF!</definedName>
    <definedName name="pcf80_2_1_7">#REF!</definedName>
    <definedName name="pcf80_2_6">#REF!</definedName>
    <definedName name="pcf80_3">#REF!</definedName>
    <definedName name="pcf80_3_1">#REF!</definedName>
    <definedName name="pcf80_3_2">#REF!</definedName>
    <definedName name="pcf80_3_4">#REF!</definedName>
    <definedName name="pcf80_3_6">#REF!</definedName>
    <definedName name="pcf80_3_7">#REF!</definedName>
    <definedName name="pcf80_4">#REF!</definedName>
    <definedName name="pcf80_4_1">#REF!</definedName>
    <definedName name="pcf80_4_2">#REF!</definedName>
    <definedName name="pcf80_4_2_6">#REF!</definedName>
    <definedName name="pcf80_4_4">#REF!</definedName>
    <definedName name="pcf80_4_6">#REF!</definedName>
    <definedName name="pcf80_4_7">#REF!</definedName>
    <definedName name="pcf80_5">#REF!</definedName>
    <definedName name="pcf80_5_2">#REF!</definedName>
    <definedName name="pcf80_5_2_6">#REF!</definedName>
    <definedName name="pcf80_5_4">#REF!</definedName>
    <definedName name="pcf80_5_6">#REF!</definedName>
    <definedName name="pcf80_5_7">#REF!</definedName>
    <definedName name="pcf80_6">#REF!</definedName>
    <definedName name="pcf80_6_1">#REF!</definedName>
    <definedName name="pcf80_6_4">#REF!</definedName>
    <definedName name="pcf80_6_6">#REF!</definedName>
    <definedName name="pcf80_6_7">#REF!</definedName>
    <definedName name="pcf80_7">#REF!</definedName>
    <definedName name="PCGR">[10]Material!$F$30</definedName>
    <definedName name="Pchb">#REF!</definedName>
    <definedName name="pckg">#REF!</definedName>
    <definedName name="Pcmtr">#REF!</definedName>
    <definedName name="Pcmwr">#REF!</definedName>
    <definedName name="PCNO">#REF!</definedName>
    <definedName name="pcputih">#REF!</definedName>
    <definedName name="pcwarna20">#REF!</definedName>
    <definedName name="pcwarna30">#REF!</definedName>
    <definedName name="pcwrn">#REF!</definedName>
    <definedName name="PD">#REF!</definedName>
    <definedName name="PD.PR.101">#REF!</definedName>
    <definedName name="PD.PR.101B">#REF!</definedName>
    <definedName name="PD.PR.101E">#REF!</definedName>
    <definedName name="PD.PR.102">#REF!</definedName>
    <definedName name="PD.PR.102B">#REF!</definedName>
    <definedName name="PD.PR.102E">#REF!</definedName>
    <definedName name="PD.PR.103">#REF!</definedName>
    <definedName name="PD.PR.103B">#REF!</definedName>
    <definedName name="PD.PR.103E">#REF!</definedName>
    <definedName name="PD.PR.104">#REF!</definedName>
    <definedName name="PD.PR.104B">#REF!</definedName>
    <definedName name="PD.PR.104E">#REF!</definedName>
    <definedName name="PD.PR.105">#REF!</definedName>
    <definedName name="PD.PR.105B">#REF!</definedName>
    <definedName name="PD.PR.105E">#REF!</definedName>
    <definedName name="PD.PR.106">#REF!</definedName>
    <definedName name="PD.PR.106B">#REF!</definedName>
    <definedName name="PD.PR.106E">#REF!</definedName>
    <definedName name="pd_22">#REF!</definedName>
    <definedName name="pd_35">[121]HDasar!$H$82</definedName>
    <definedName name="pd_40">[121]HDasar!$H$83</definedName>
    <definedName name="PD_TR">#REF!</definedName>
    <definedName name="pd0.75">#REF!</definedName>
    <definedName name="pd1.25">#REF!</definedName>
    <definedName name="pd1.5">#REF!</definedName>
    <definedName name="PDAM">#REF!</definedName>
    <definedName name="PDnKc">#REF!</definedName>
    <definedName name="PDnKcJt">#REF!</definedName>
    <definedName name="PDoublePly">#REF!</definedName>
    <definedName name="pds">[24]Analisa!#REF!</definedName>
    <definedName name="pdt">#REF!</definedName>
    <definedName name="PDU">#REF!</definedName>
    <definedName name="PE">#REF!</definedName>
    <definedName name="pecah1015">'[74]Harga Satuan'!$G$41</definedName>
    <definedName name="pecah1020">'[74]Harga Satuan'!$G$42</definedName>
    <definedName name="PECF">#REF!</definedName>
    <definedName name="PECL">#REF!</definedName>
    <definedName name="pedang">#REF!</definedName>
    <definedName name="pedestarian">#N/A</definedName>
    <definedName name="PEDESTRI">[55]URAI!$L$1525</definedName>
    <definedName name="Pedestrian">#REF!</definedName>
    <definedName name="PEDESTRIANROLLER">#REF!</definedName>
    <definedName name="PeganganPintu">#REF!</definedName>
    <definedName name="PEK">#REF!</definedName>
    <definedName name="PEK.1">#REF!</definedName>
    <definedName name="PEK_1">#REF!</definedName>
    <definedName name="PEK_1_3">#REF!</definedName>
    <definedName name="PEK_1_3_6">#REF!</definedName>
    <definedName name="PEK_1_3_7">#REF!</definedName>
    <definedName name="PEK_1_6">#REF!</definedName>
    <definedName name="PEK_1_6_6">#REF!</definedName>
    <definedName name="PEK_1_6_7">#REF!</definedName>
    <definedName name="PEK_1_7">#REF!</definedName>
    <definedName name="pek_2">#REF!</definedName>
    <definedName name="pek_2_1">#REF!</definedName>
    <definedName name="pek_2_1_6">#REF!</definedName>
    <definedName name="PEK_2_6">#REF!</definedName>
    <definedName name="pek_2_7">#REF!</definedName>
    <definedName name="pek_3">#REF!</definedName>
    <definedName name="PEK_3_1">#REF!</definedName>
    <definedName name="PEK_3_1_6">#REF!</definedName>
    <definedName name="PEK_3_1_7">#REF!</definedName>
    <definedName name="pek_3_2">#REF!</definedName>
    <definedName name="pek_3_2_6">#REF!</definedName>
    <definedName name="PEK_3_3">#REF!</definedName>
    <definedName name="PEK_3_3_6">#REF!</definedName>
    <definedName name="PEK_3_3_7">#REF!</definedName>
    <definedName name="PEK_3_4">#REF!</definedName>
    <definedName name="pek_3_5">#REF!</definedName>
    <definedName name="PEK_3_6">#REF!</definedName>
    <definedName name="PEK_3_6_1">#REF!</definedName>
    <definedName name="PEK_3_6_6">#REF!</definedName>
    <definedName name="PEK_3_6_7">#REF!</definedName>
    <definedName name="PEK_3_7">#REF!</definedName>
    <definedName name="PEK_4">#REF!</definedName>
    <definedName name="PEK_4_1">#REF!</definedName>
    <definedName name="PEK_4_2">#REF!</definedName>
    <definedName name="PEK_4_2_6">#REF!</definedName>
    <definedName name="PEK_4_3">#REF!</definedName>
    <definedName name="PEK_4_3_6">#REF!</definedName>
    <definedName name="PEK_4_3_7">#REF!</definedName>
    <definedName name="PEK_4_4">#REF!</definedName>
    <definedName name="PEK_4_6">#REF!</definedName>
    <definedName name="PEK_4_6_1">#REF!</definedName>
    <definedName name="PEK_4_6_6">#REF!</definedName>
    <definedName name="PEK_4_6_7">#REF!</definedName>
    <definedName name="PEK_4_7">#REF!</definedName>
    <definedName name="PEK_5">#REF!</definedName>
    <definedName name="PEK_5_2">#REF!</definedName>
    <definedName name="PEK_5_2_6">#REF!</definedName>
    <definedName name="PEK_5_3">#REF!</definedName>
    <definedName name="PEK_5_3_6">#REF!</definedName>
    <definedName name="PEK_5_3_7">#REF!</definedName>
    <definedName name="PEK_5_4">#REF!</definedName>
    <definedName name="PEK_5_6">#REF!</definedName>
    <definedName name="PEK_5_6_1">#REF!</definedName>
    <definedName name="PEK_5_6_6">#REF!</definedName>
    <definedName name="PEK_5_6_7">#REF!</definedName>
    <definedName name="PEK_5_7">#REF!</definedName>
    <definedName name="pek_6">#REF!</definedName>
    <definedName name="PEK_6_1">#REF!</definedName>
    <definedName name="pek_6_2">#REF!</definedName>
    <definedName name="pek_6_2_6">#REF!</definedName>
    <definedName name="PEK_6_4">#REF!</definedName>
    <definedName name="PEK_6_6">#REF!</definedName>
    <definedName name="PEK_6_7">#REF!</definedName>
    <definedName name="pek_7">#REF!</definedName>
    <definedName name="pek_7_1">#REF!</definedName>
    <definedName name="pek_7_6">#REF!</definedName>
    <definedName name="pek_7_7">#REF!</definedName>
    <definedName name="PEK_MINOR">#REF!</definedName>
    <definedName name="pek_pembersihan">#REF!</definedName>
    <definedName name="PEKAC">#N/A</definedName>
    <definedName name="Pekbegesting">#REF!</definedName>
    <definedName name="PekBesibeton">#REF!</definedName>
    <definedName name="pekbeton">#REF!</definedName>
    <definedName name="PEKBONGKAR">#REF!</definedName>
    <definedName name="pekcatdalam">#REF!</definedName>
    <definedName name="pekcatluar">#REF!</definedName>
    <definedName name="PEKDINDING">#REF!</definedName>
    <definedName name="PEKE">#REF!</definedName>
    <definedName name="pekerj">#REF!</definedName>
    <definedName name="Pekerja">#REF!</definedName>
    <definedName name="Pekerja.1">#REF!</definedName>
    <definedName name="Pekerja.b">#REF!</definedName>
    <definedName name="Pekerja.t">#REF!</definedName>
    <definedName name="PEKERJA_23">#REF!</definedName>
    <definedName name="PEKERJA_25">#REF!</definedName>
    <definedName name="PEKERJA_SETENGAH_TERAMPIL">#REF!</definedName>
    <definedName name="PEKERJA_SETENGAH_TERAMPIL_23">#REF!</definedName>
    <definedName name="PEKERJA_SETENGAH_TERAMPIL_25">#REF!</definedName>
    <definedName name="PEKERJA_TERAMPIL">#REF!</definedName>
    <definedName name="PEKERJA_TERAMPIL_23">#REF!</definedName>
    <definedName name="PEKERJA_TERAMPIL_25">#REF!</definedName>
    <definedName name="Pekerja_Terlatih___Tukang">#REF!</definedName>
    <definedName name="pekerja1">#REF!</definedName>
    <definedName name="PEKERJA33">#REF!</definedName>
    <definedName name="PEKERJA521">#REF!</definedName>
    <definedName name="PEKERJA753">#REF!</definedName>
    <definedName name="PEKERJAAN">#REF!</definedName>
    <definedName name="PEKERJAAN__A_C">#REF!</definedName>
    <definedName name="PEKERJAAN__A_C_1">#REF!</definedName>
    <definedName name="PEKERJAAN__A_C_1_2">#REF!</definedName>
    <definedName name="PEKERJAAN__A_C_1_2_6">#REF!</definedName>
    <definedName name="PEKERJAAN__A_C_1_4">#REF!</definedName>
    <definedName name="PEKERJAAN__A_C_1_6">#REF!</definedName>
    <definedName name="PEKERJAAN__A_C_1_7">#REF!</definedName>
    <definedName name="PEKERJAAN__A_C_15">#REF!</definedName>
    <definedName name="PEKERJAAN__A_C_15_1">#REF!</definedName>
    <definedName name="PEKERJAAN__A_C_15_16">#REF!</definedName>
    <definedName name="PEKERJAAN__A_C_15_7">#REF!</definedName>
    <definedName name="PEKERJAAN__A_C_16">#REF!</definedName>
    <definedName name="PEKERJAAN__A_C_17">#REF!</definedName>
    <definedName name="PEKERJAAN__A_C_2">#REF!</definedName>
    <definedName name="PEKERJAAN__A_C_2_1">#REF!</definedName>
    <definedName name="PEKERJAAN__A_C_2_1_6">#REF!</definedName>
    <definedName name="PEKERJAAN__A_C_2_2">#REF!</definedName>
    <definedName name="PEKERJAAN__A_C_2_2_6">#REF!</definedName>
    <definedName name="PEKERJAAN__A_C_2_4">#REF!</definedName>
    <definedName name="PEKERJAAN__A_C_2_5">#REF!</definedName>
    <definedName name="PEKERJAAN__A_C_2_6">#REF!</definedName>
    <definedName name="PEKERJAAN__A_C_2_7">#REF!</definedName>
    <definedName name="PEKERJAAN__A_C_3">#REF!</definedName>
    <definedName name="PEKERJAAN__A_C_3_2">#REF!</definedName>
    <definedName name="PEKERJAAN__A_C_3_2_6">#REF!</definedName>
    <definedName name="PEKERJAAN__A_C_3_4">#REF!</definedName>
    <definedName name="PEKERJAAN__A_C_3_5">#REF!</definedName>
    <definedName name="PEKERJAAN__A_C_3_6">#REF!</definedName>
    <definedName name="PEKERJAAN__A_C_3_7">#REF!</definedName>
    <definedName name="PEKERJAAN__A_C_4">#REF!</definedName>
    <definedName name="PEKERJAAN__A_C_4_1">#REF!</definedName>
    <definedName name="PEKERJAAN__A_C_4_2">#REF!</definedName>
    <definedName name="PEKERJAAN__A_C_4_2_6">#REF!</definedName>
    <definedName name="PEKERJAAN__A_C_4_4">#REF!</definedName>
    <definedName name="PEKERJAAN__A_C_4_6">#REF!</definedName>
    <definedName name="PEKERJAAN__A_C_4_7">#REF!</definedName>
    <definedName name="PEKERJAAN__A_C_5">#REF!</definedName>
    <definedName name="PEKERJAAN__A_C_5_2">#REF!</definedName>
    <definedName name="PEKERJAAN__A_C_5_2_6">#REF!</definedName>
    <definedName name="PEKERJAAN__A_C_5_4">#REF!</definedName>
    <definedName name="PEKERJAAN__A_C_5_6">#REF!</definedName>
    <definedName name="PEKERJAAN__A_C_5_7">#REF!</definedName>
    <definedName name="PEKERJAAN__A_C_6">#REF!</definedName>
    <definedName name="PEKERJAAN__A_C_6_1">#REF!</definedName>
    <definedName name="PEKERJAAN__A_C_6_2">#REF!</definedName>
    <definedName name="PEKERJAAN__A_C_6_2_6">#REF!</definedName>
    <definedName name="PEKERJAAN__A_C_6_4">#REF!</definedName>
    <definedName name="PEKERJAAN__A_C_6_6">#REF!</definedName>
    <definedName name="PEKERJAAN__A_C_6_7">#REF!</definedName>
    <definedName name="PEKERJAAN__A_C_7">#REF!</definedName>
    <definedName name="PEKERJAAN__A_C_7_1">#REF!</definedName>
    <definedName name="PEKERJAAN__A_C_7_6">#REF!</definedName>
    <definedName name="PEKERJAAN__A_C_7_7">#REF!</definedName>
    <definedName name="PEKERJAAN__A_C_8">#REF!</definedName>
    <definedName name="PEKERJAAN__A_C_9">#REF!</definedName>
    <definedName name="PEKERJAAN_1">#REF!</definedName>
    <definedName name="PEKERJAAN_2">#REF!</definedName>
    <definedName name="PEKERJAAN_CAT">#REF!</definedName>
    <definedName name="PEKERJAAN_CAT_1">#REF!</definedName>
    <definedName name="PEKERJAAN_CAT_1_2">#REF!</definedName>
    <definedName name="PEKERJAAN_CAT_1_2_6">#REF!</definedName>
    <definedName name="PEKERJAAN_CAT_1_4">#REF!</definedName>
    <definedName name="PEKERJAAN_CAT_1_6">#REF!</definedName>
    <definedName name="PEKERJAAN_CAT_1_7">#REF!</definedName>
    <definedName name="PEKERJAAN_CAT_15">#REF!</definedName>
    <definedName name="PEKERJAAN_CAT_15_1">#REF!</definedName>
    <definedName name="PEKERJAAN_CAT_15_16">#REF!</definedName>
    <definedName name="PEKERJAAN_CAT_15_7">#REF!</definedName>
    <definedName name="PEKERJAAN_CAT_16">#REF!</definedName>
    <definedName name="PEKERJAAN_CAT_17">#REF!</definedName>
    <definedName name="PEKERJAAN_CAT_2">#REF!</definedName>
    <definedName name="PEKERJAAN_CAT_2_1">#REF!</definedName>
    <definedName name="PEKERJAAN_CAT_2_1_6">#REF!</definedName>
    <definedName name="PEKERJAAN_CAT_2_2">#REF!</definedName>
    <definedName name="PEKERJAAN_CAT_2_2_6">#REF!</definedName>
    <definedName name="PEKERJAAN_CAT_2_4">#REF!</definedName>
    <definedName name="PEKERJAAN_CAT_2_5">#REF!</definedName>
    <definedName name="PEKERJAAN_CAT_2_6">#REF!</definedName>
    <definedName name="PEKERJAAN_CAT_2_7">#REF!</definedName>
    <definedName name="PEKERJAAN_CAT_3">#REF!</definedName>
    <definedName name="PEKERJAAN_CAT_3_2">#REF!</definedName>
    <definedName name="PEKERJAAN_CAT_3_2_6">#REF!</definedName>
    <definedName name="PEKERJAAN_CAT_3_4">#REF!</definedName>
    <definedName name="PEKERJAAN_CAT_3_5">#REF!</definedName>
    <definedName name="PEKERJAAN_CAT_3_6">#REF!</definedName>
    <definedName name="PEKERJAAN_CAT_3_7">#REF!</definedName>
    <definedName name="PEKERJAAN_CAT_4">#REF!</definedName>
    <definedName name="PEKERJAAN_CAT_4_1">#REF!</definedName>
    <definedName name="PEKERJAAN_CAT_4_2">#REF!</definedName>
    <definedName name="PEKERJAAN_CAT_4_2_6">#REF!</definedName>
    <definedName name="PEKERJAAN_CAT_4_4">#REF!</definedName>
    <definedName name="PEKERJAAN_CAT_4_6">#REF!</definedName>
    <definedName name="PEKERJAAN_CAT_4_7">#REF!</definedName>
    <definedName name="PEKERJAAN_CAT_5">#REF!</definedName>
    <definedName name="PEKERJAAN_CAT_5_2">#REF!</definedName>
    <definedName name="PEKERJAAN_CAT_5_2_6">#REF!</definedName>
    <definedName name="PEKERJAAN_CAT_5_4">#REF!</definedName>
    <definedName name="PEKERJAAN_CAT_5_6">#REF!</definedName>
    <definedName name="PEKERJAAN_CAT_5_7">#REF!</definedName>
    <definedName name="PEKERJAAN_CAT_6">#REF!</definedName>
    <definedName name="PEKERJAAN_CAT_6_1">#REF!</definedName>
    <definedName name="PEKERJAAN_CAT_6_2">#REF!</definedName>
    <definedName name="PEKERJAAN_CAT_6_2_6">#REF!</definedName>
    <definedName name="PEKERJAAN_CAT_6_4">#REF!</definedName>
    <definedName name="PEKERJAAN_CAT_6_6">#REF!</definedName>
    <definedName name="PEKERJAAN_CAT_6_7">#REF!</definedName>
    <definedName name="PEKERJAAN_CAT_7">#REF!</definedName>
    <definedName name="PEKERJAAN_CAT_7_1">#REF!</definedName>
    <definedName name="PEKERJAAN_CAT_7_6">#REF!</definedName>
    <definedName name="PEKERJAAN_CAT_7_7">#REF!</definedName>
    <definedName name="PEKERJAAN_CAT_8">#REF!</definedName>
    <definedName name="PEKERJAAN_CAT_9">#REF!</definedName>
    <definedName name="PEKERJAAN_CCTV__SOUND_SYSTEM____MATV">#REF!</definedName>
    <definedName name="PEKERJAAN_CCTV__SOUND_SYSTEM____MATV_1">#REF!</definedName>
    <definedName name="PEKERJAAN_CCTV__SOUND_SYSTEM____MATV_1_2">#REF!</definedName>
    <definedName name="PEKERJAAN_CCTV__SOUND_SYSTEM____MATV_1_2_6">#REF!</definedName>
    <definedName name="PEKERJAAN_CCTV__SOUND_SYSTEM____MATV_1_4">#REF!</definedName>
    <definedName name="PEKERJAAN_CCTV__SOUND_SYSTEM____MATV_1_6">#REF!</definedName>
    <definedName name="PEKERJAAN_CCTV__SOUND_SYSTEM____MATV_1_7">#REF!</definedName>
    <definedName name="PEKERJAAN_CCTV__SOUND_SYSTEM____MATV_15">#REF!</definedName>
    <definedName name="PEKERJAAN_CCTV__SOUND_SYSTEM____MATV_15_1">#REF!</definedName>
    <definedName name="PEKERJAAN_CCTV__SOUND_SYSTEM____MATV_15_16">#REF!</definedName>
    <definedName name="PEKERJAAN_CCTV__SOUND_SYSTEM____MATV_15_7">#REF!</definedName>
    <definedName name="PEKERJAAN_CCTV__SOUND_SYSTEM____MATV_16">#REF!</definedName>
    <definedName name="PEKERJAAN_CCTV__SOUND_SYSTEM____MATV_17">#REF!</definedName>
    <definedName name="PEKERJAAN_CCTV__SOUND_SYSTEM____MATV_2">#REF!</definedName>
    <definedName name="PEKERJAAN_CCTV__SOUND_SYSTEM____MATV_2_1">#REF!</definedName>
    <definedName name="PEKERJAAN_CCTV__SOUND_SYSTEM____MATV_2_1_6">#REF!</definedName>
    <definedName name="PEKERJAAN_CCTV__SOUND_SYSTEM____MATV_2_2">#REF!</definedName>
    <definedName name="PEKERJAAN_CCTV__SOUND_SYSTEM____MATV_2_2_6">#REF!</definedName>
    <definedName name="PEKERJAAN_CCTV__SOUND_SYSTEM____MATV_2_4">#REF!</definedName>
    <definedName name="PEKERJAAN_CCTV__SOUND_SYSTEM____MATV_2_5">#REF!</definedName>
    <definedName name="PEKERJAAN_CCTV__SOUND_SYSTEM____MATV_2_6">#REF!</definedName>
    <definedName name="PEKERJAAN_CCTV__SOUND_SYSTEM____MATV_2_7">#REF!</definedName>
    <definedName name="PEKERJAAN_CCTV__SOUND_SYSTEM____MATV_3">#REF!</definedName>
    <definedName name="PEKERJAAN_CCTV__SOUND_SYSTEM____MATV_3_2">#REF!</definedName>
    <definedName name="PEKERJAAN_CCTV__SOUND_SYSTEM____MATV_3_2_6">#REF!</definedName>
    <definedName name="PEKERJAAN_CCTV__SOUND_SYSTEM____MATV_3_4">#REF!</definedName>
    <definedName name="PEKERJAAN_CCTV__SOUND_SYSTEM____MATV_3_5">#REF!</definedName>
    <definedName name="PEKERJAAN_CCTV__SOUND_SYSTEM____MATV_3_6">#REF!</definedName>
    <definedName name="PEKERJAAN_CCTV__SOUND_SYSTEM____MATV_3_7">#REF!</definedName>
    <definedName name="PEKERJAAN_CCTV__SOUND_SYSTEM____MATV_4">#REF!</definedName>
    <definedName name="PEKERJAAN_CCTV__SOUND_SYSTEM____MATV_4_1">#REF!</definedName>
    <definedName name="PEKERJAAN_CCTV__SOUND_SYSTEM____MATV_4_2">#REF!</definedName>
    <definedName name="PEKERJAAN_CCTV__SOUND_SYSTEM____MATV_4_2_6">#REF!</definedName>
    <definedName name="PEKERJAAN_CCTV__SOUND_SYSTEM____MATV_4_4">#REF!</definedName>
    <definedName name="PEKERJAAN_CCTV__SOUND_SYSTEM____MATV_4_6">#REF!</definedName>
    <definedName name="PEKERJAAN_CCTV__SOUND_SYSTEM____MATV_4_7">#REF!</definedName>
    <definedName name="PEKERJAAN_CCTV__SOUND_SYSTEM____MATV_5">#REF!</definedName>
    <definedName name="PEKERJAAN_CCTV__SOUND_SYSTEM____MATV_5_2">#REF!</definedName>
    <definedName name="PEKERJAAN_CCTV__SOUND_SYSTEM____MATV_5_2_6">#REF!</definedName>
    <definedName name="PEKERJAAN_CCTV__SOUND_SYSTEM____MATV_5_4">#REF!</definedName>
    <definedName name="PEKERJAAN_CCTV__SOUND_SYSTEM____MATV_5_6">#REF!</definedName>
    <definedName name="PEKERJAAN_CCTV__SOUND_SYSTEM____MATV_5_7">#REF!</definedName>
    <definedName name="PEKERJAAN_CCTV__SOUND_SYSTEM____MATV_6">#REF!</definedName>
    <definedName name="PEKERJAAN_CCTV__SOUND_SYSTEM____MATV_6_1">#REF!</definedName>
    <definedName name="PEKERJAAN_CCTV__SOUND_SYSTEM____MATV_6_2">#REF!</definedName>
    <definedName name="PEKERJAAN_CCTV__SOUND_SYSTEM____MATV_6_2_6">#REF!</definedName>
    <definedName name="PEKERJAAN_CCTV__SOUND_SYSTEM____MATV_6_4">#REF!</definedName>
    <definedName name="PEKERJAAN_CCTV__SOUND_SYSTEM____MATV_6_6">#REF!</definedName>
    <definedName name="PEKERJAAN_CCTV__SOUND_SYSTEM____MATV_6_7">#REF!</definedName>
    <definedName name="PEKERJAAN_CCTV__SOUND_SYSTEM____MATV_7">#REF!</definedName>
    <definedName name="PEKERJAAN_CCTV__SOUND_SYSTEM____MATV_7_1">#REF!</definedName>
    <definedName name="PEKERJAAN_CCTV__SOUND_SYSTEM____MATV_7_6">#REF!</definedName>
    <definedName name="PEKERJAAN_CCTV__SOUND_SYSTEM____MATV_7_7">#REF!</definedName>
    <definedName name="PEKERJAAN_CCTV__SOUND_SYSTEM____MATV_8">#REF!</definedName>
    <definedName name="PEKERJAAN_CCTV__SOUND_SYSTEM____MATV_9">#REF!</definedName>
    <definedName name="PEKERJAAN_DINDING_DAN_FINISHING_DINDING">#REF!</definedName>
    <definedName name="PEKERJAAN_DINDING_DAN_FINISHING_DINDING_1">#REF!</definedName>
    <definedName name="PEKERJAAN_DINDING_DAN_FINISHING_DINDING_1_2">#REF!</definedName>
    <definedName name="PEKERJAAN_DINDING_DAN_FINISHING_DINDING_1_2_6">#REF!</definedName>
    <definedName name="PEKERJAAN_DINDING_DAN_FINISHING_DINDING_1_4">#REF!</definedName>
    <definedName name="PEKERJAAN_DINDING_DAN_FINISHING_DINDING_1_6">#REF!</definedName>
    <definedName name="PEKERJAAN_DINDING_DAN_FINISHING_DINDING_1_7">#REF!</definedName>
    <definedName name="PEKERJAAN_DINDING_DAN_FINISHING_DINDING_15">#REF!</definedName>
    <definedName name="PEKERJAAN_DINDING_DAN_FINISHING_DINDING_15_1">#REF!</definedName>
    <definedName name="PEKERJAAN_DINDING_DAN_FINISHING_DINDING_15_16">#REF!</definedName>
    <definedName name="PEKERJAAN_DINDING_DAN_FINISHING_DINDING_15_7">#REF!</definedName>
    <definedName name="PEKERJAAN_DINDING_DAN_FINISHING_DINDING_16">#REF!</definedName>
    <definedName name="PEKERJAAN_DINDING_DAN_FINISHING_DINDING_17">#REF!</definedName>
    <definedName name="PEKERJAAN_DINDING_DAN_FINISHING_DINDING_2">#REF!</definedName>
    <definedName name="PEKERJAAN_DINDING_DAN_FINISHING_DINDING_2_1">#REF!</definedName>
    <definedName name="PEKERJAAN_DINDING_DAN_FINISHING_DINDING_2_1_6">#REF!</definedName>
    <definedName name="PEKERJAAN_DINDING_DAN_FINISHING_DINDING_2_2">#REF!</definedName>
    <definedName name="PEKERJAAN_DINDING_DAN_FINISHING_DINDING_2_4">#REF!</definedName>
    <definedName name="PEKERJAAN_DINDING_DAN_FINISHING_DINDING_2_5">#REF!</definedName>
    <definedName name="PEKERJAAN_DINDING_DAN_FINISHING_DINDING_2_6">#REF!</definedName>
    <definedName name="PEKERJAAN_DINDING_DAN_FINISHING_DINDING_2_7">#REF!</definedName>
    <definedName name="PEKERJAAN_DINDING_DAN_FINISHING_DINDING_3">#REF!</definedName>
    <definedName name="PEKERJAAN_DINDING_DAN_FINISHING_DINDING_3_2">#REF!</definedName>
    <definedName name="PEKERJAAN_DINDING_DAN_FINISHING_DINDING_3_2_6">#REF!</definedName>
    <definedName name="PEKERJAAN_DINDING_DAN_FINISHING_DINDING_3_4">#REF!</definedName>
    <definedName name="PEKERJAAN_DINDING_DAN_FINISHING_DINDING_3_5">#REF!</definedName>
    <definedName name="PEKERJAAN_DINDING_DAN_FINISHING_DINDING_3_6">#REF!</definedName>
    <definedName name="PEKERJAAN_DINDING_DAN_FINISHING_DINDING_3_7">#REF!</definedName>
    <definedName name="PEKERJAAN_DINDING_DAN_FINISHING_DINDING_4">#REF!</definedName>
    <definedName name="PEKERJAAN_DINDING_DAN_FINISHING_DINDING_4_1">#REF!</definedName>
    <definedName name="PEKERJAAN_DINDING_DAN_FINISHING_DINDING_4_2">#REF!</definedName>
    <definedName name="PEKERJAAN_DINDING_DAN_FINISHING_DINDING_4_2_6">#REF!</definedName>
    <definedName name="PEKERJAAN_DINDING_DAN_FINISHING_DINDING_4_4">#REF!</definedName>
    <definedName name="PEKERJAAN_DINDING_DAN_FINISHING_DINDING_4_6">#REF!</definedName>
    <definedName name="PEKERJAAN_DINDING_DAN_FINISHING_DINDING_4_7">#REF!</definedName>
    <definedName name="PEKERJAAN_DINDING_DAN_FINISHING_DINDING_5">#REF!</definedName>
    <definedName name="PEKERJAAN_DINDING_DAN_FINISHING_DINDING_5_2">#REF!</definedName>
    <definedName name="PEKERJAAN_DINDING_DAN_FINISHING_DINDING_5_2_6">#REF!</definedName>
    <definedName name="PEKERJAAN_DINDING_DAN_FINISHING_DINDING_5_4">#REF!</definedName>
    <definedName name="PEKERJAAN_DINDING_DAN_FINISHING_DINDING_5_6">#REF!</definedName>
    <definedName name="PEKERJAAN_DINDING_DAN_FINISHING_DINDING_5_7">#REF!</definedName>
    <definedName name="PEKERJAAN_DINDING_DAN_FINISHING_DINDING_6">#REF!</definedName>
    <definedName name="PEKERJAAN_DINDING_DAN_FINISHING_DINDING_6_1">#REF!</definedName>
    <definedName name="PEKERJAAN_DINDING_DAN_FINISHING_DINDING_6_2">#REF!</definedName>
    <definedName name="PEKERJAAN_DINDING_DAN_FINISHING_DINDING_6_2_6">#REF!</definedName>
    <definedName name="PEKERJAAN_DINDING_DAN_FINISHING_DINDING_6_4">#REF!</definedName>
    <definedName name="PEKERJAAN_DINDING_DAN_FINISHING_DINDING_6_6">#REF!</definedName>
    <definedName name="PEKERJAAN_DINDING_DAN_FINISHING_DINDING_6_7">#REF!</definedName>
    <definedName name="PEKERJAAN_DINDING_DAN_FINISHING_DINDING_7">#REF!</definedName>
    <definedName name="PEKERJAAN_DINDING_DAN_FINISHING_DINDING_7_1">#REF!</definedName>
    <definedName name="PEKERJAAN_DINDING_DAN_FINISHING_DINDING_7_6">#REF!</definedName>
    <definedName name="PEKERJAAN_DINDING_DAN_FINISHING_DINDING_7_7">#REF!</definedName>
    <definedName name="PEKERJAAN_DINDING_DAN_FINISHING_DINDING_8">#REF!</definedName>
    <definedName name="PEKERJAAN_DINDING_DAN_FINISHING_DINDING_9">#REF!</definedName>
    <definedName name="PEKERJAAN_FINISHING_LANTAI">#REF!</definedName>
    <definedName name="PEKERJAAN_FINISHING_LANTAI_1">#REF!</definedName>
    <definedName name="PEKERJAAN_FINISHING_LANTAI_1_2">#REF!</definedName>
    <definedName name="PEKERJAAN_FINISHING_LANTAI_1_2_6">#REF!</definedName>
    <definedName name="PEKERJAAN_FINISHING_LANTAI_1_4">#REF!</definedName>
    <definedName name="PEKERJAAN_FINISHING_LANTAI_1_6">#REF!</definedName>
    <definedName name="PEKERJAAN_FINISHING_LANTAI_1_7">#REF!</definedName>
    <definedName name="PEKERJAAN_FINISHING_LANTAI_15">#REF!</definedName>
    <definedName name="PEKERJAAN_FINISHING_LANTAI_15_1">#REF!</definedName>
    <definedName name="PEKERJAAN_FINISHING_LANTAI_15_16">#REF!</definedName>
    <definedName name="PEKERJAAN_FINISHING_LANTAI_15_7">#REF!</definedName>
    <definedName name="PEKERJAAN_FINISHING_LANTAI_16">#REF!</definedName>
    <definedName name="PEKERJAAN_FINISHING_LANTAI_17">#REF!</definedName>
    <definedName name="PEKERJAAN_FINISHING_LANTAI_2">#REF!</definedName>
    <definedName name="PEKERJAAN_FINISHING_LANTAI_2_1">#REF!</definedName>
    <definedName name="PEKERJAAN_FINISHING_LANTAI_2_1_6">#REF!</definedName>
    <definedName name="PEKERJAAN_FINISHING_LANTAI_2_2">#REF!</definedName>
    <definedName name="PEKERJAAN_FINISHING_LANTAI_2_2_6">#REF!</definedName>
    <definedName name="PEKERJAAN_FINISHING_LANTAI_2_4">#REF!</definedName>
    <definedName name="PEKERJAAN_FINISHING_LANTAI_2_5">#REF!</definedName>
    <definedName name="PEKERJAAN_FINISHING_LANTAI_2_6">#REF!</definedName>
    <definedName name="PEKERJAAN_FINISHING_LANTAI_2_7">#REF!</definedName>
    <definedName name="PEKERJAAN_FINISHING_LANTAI_3">#REF!</definedName>
    <definedName name="PEKERJAAN_FINISHING_LANTAI_3_2">#REF!</definedName>
    <definedName name="PEKERJAAN_FINISHING_LANTAI_3_2_6">#REF!</definedName>
    <definedName name="PEKERJAAN_FINISHING_LANTAI_3_4">#REF!</definedName>
    <definedName name="PEKERJAAN_FINISHING_LANTAI_3_5">#REF!</definedName>
    <definedName name="PEKERJAAN_FINISHING_LANTAI_3_6">#REF!</definedName>
    <definedName name="PEKERJAAN_FINISHING_LANTAI_3_7">#REF!</definedName>
    <definedName name="PEKERJAAN_FINISHING_LANTAI_4">#REF!</definedName>
    <definedName name="PEKERJAAN_FINISHING_LANTAI_4_1">#REF!</definedName>
    <definedName name="PEKERJAAN_FINISHING_LANTAI_4_2">#REF!</definedName>
    <definedName name="PEKERJAAN_FINISHING_LANTAI_4_2_6">#REF!</definedName>
    <definedName name="PEKERJAAN_FINISHING_LANTAI_4_4">#REF!</definedName>
    <definedName name="PEKERJAAN_FINISHING_LANTAI_4_6">#REF!</definedName>
    <definedName name="PEKERJAAN_FINISHING_LANTAI_4_7">#REF!</definedName>
    <definedName name="PEKERJAAN_FINISHING_LANTAI_5">#REF!</definedName>
    <definedName name="PEKERJAAN_FINISHING_LANTAI_5_2">#REF!</definedName>
    <definedName name="PEKERJAAN_FINISHING_LANTAI_5_2_6">#REF!</definedName>
    <definedName name="PEKERJAAN_FINISHING_LANTAI_5_4">#REF!</definedName>
    <definedName name="PEKERJAAN_FINISHING_LANTAI_5_6">#REF!</definedName>
    <definedName name="PEKERJAAN_FINISHING_LANTAI_5_7">#REF!</definedName>
    <definedName name="PEKERJAAN_FINISHING_LANTAI_6">#REF!</definedName>
    <definedName name="PEKERJAAN_FINISHING_LANTAI_6_1">#REF!</definedName>
    <definedName name="PEKERJAAN_FINISHING_LANTAI_6_2">#REF!</definedName>
    <definedName name="PEKERJAAN_FINISHING_LANTAI_6_2_6">#REF!</definedName>
    <definedName name="PEKERJAAN_FINISHING_LANTAI_6_4">#REF!</definedName>
    <definedName name="PEKERJAAN_FINISHING_LANTAI_6_6">#REF!</definedName>
    <definedName name="PEKERJAAN_FINISHING_LANTAI_6_7">#REF!</definedName>
    <definedName name="PEKERJAAN_FINISHING_LANTAI_7">#REF!</definedName>
    <definedName name="PEKERJAAN_FINISHING_LANTAI_7_1">#REF!</definedName>
    <definedName name="PEKERJAAN_FINISHING_LANTAI_7_6">#REF!</definedName>
    <definedName name="PEKERJAAN_FINISHING_LANTAI_7_7">#REF!</definedName>
    <definedName name="PEKERJAAN_FINISHING_LANTAI_8">#REF!</definedName>
    <definedName name="PEKERJAAN_FINISHING_LANTAI_9">#REF!</definedName>
    <definedName name="PEKERJAAN_GONDOLA">#REF!</definedName>
    <definedName name="PEKERJAAN_GONDOLA_1">#REF!</definedName>
    <definedName name="PEKERJAAN_GONDOLA_1_2">#REF!</definedName>
    <definedName name="PEKERJAAN_GONDOLA_1_2_6">#REF!</definedName>
    <definedName name="PEKERJAAN_GONDOLA_1_4">#REF!</definedName>
    <definedName name="PEKERJAAN_GONDOLA_1_6">#REF!</definedName>
    <definedName name="PEKERJAAN_GONDOLA_1_7">#REF!</definedName>
    <definedName name="PEKERJAAN_GONDOLA_15">#REF!</definedName>
    <definedName name="PEKERJAAN_GONDOLA_15_1">#REF!</definedName>
    <definedName name="PEKERJAAN_GONDOLA_15_16">#REF!</definedName>
    <definedName name="PEKERJAAN_GONDOLA_15_7">#REF!</definedName>
    <definedName name="PEKERJAAN_GONDOLA_16">#REF!</definedName>
    <definedName name="PEKERJAAN_GONDOLA_17">#REF!</definedName>
    <definedName name="PEKERJAAN_GONDOLA_2">#REF!</definedName>
    <definedName name="PEKERJAAN_GONDOLA_2_1">#REF!</definedName>
    <definedName name="PEKERJAAN_GONDOLA_2_1_6">#REF!</definedName>
    <definedName name="PEKERJAAN_GONDOLA_2_2">#REF!</definedName>
    <definedName name="PEKERJAAN_GONDOLA_2_2_6">#REF!</definedName>
    <definedName name="PEKERJAAN_GONDOLA_2_4">#REF!</definedName>
    <definedName name="PEKERJAAN_GONDOLA_2_5">#REF!</definedName>
    <definedName name="PEKERJAAN_GONDOLA_2_6">#REF!</definedName>
    <definedName name="PEKERJAAN_GONDOLA_2_7">#REF!</definedName>
    <definedName name="PEKERJAAN_GONDOLA_3">#REF!</definedName>
    <definedName name="PEKERJAAN_GONDOLA_3_2">#REF!</definedName>
    <definedName name="PEKERJAAN_GONDOLA_3_2_6">#REF!</definedName>
    <definedName name="PEKERJAAN_GONDOLA_3_4">#REF!</definedName>
    <definedName name="PEKERJAAN_GONDOLA_3_5">#REF!</definedName>
    <definedName name="PEKERJAAN_GONDOLA_3_6">#REF!</definedName>
    <definedName name="PEKERJAAN_GONDOLA_3_7">#REF!</definedName>
    <definedName name="PEKERJAAN_GONDOLA_4">#REF!</definedName>
    <definedName name="PEKERJAAN_GONDOLA_4_1">#REF!</definedName>
    <definedName name="PEKERJAAN_GONDOLA_4_2">#REF!</definedName>
    <definedName name="PEKERJAAN_GONDOLA_4_2_6">#REF!</definedName>
    <definedName name="PEKERJAAN_GONDOLA_4_4">#REF!</definedName>
    <definedName name="PEKERJAAN_GONDOLA_4_6">#REF!</definedName>
    <definedName name="PEKERJAAN_GONDOLA_4_7">#REF!</definedName>
    <definedName name="PEKERJAAN_GONDOLA_5">#REF!</definedName>
    <definedName name="PEKERJAAN_GONDOLA_5_2">#REF!</definedName>
    <definedName name="PEKERJAAN_GONDOLA_5_2_6">#REF!</definedName>
    <definedName name="PEKERJAAN_GONDOLA_5_4">#REF!</definedName>
    <definedName name="PEKERJAAN_GONDOLA_5_6">#REF!</definedName>
    <definedName name="PEKERJAAN_GONDOLA_5_7">#REF!</definedName>
    <definedName name="PEKERJAAN_GONDOLA_6">#REF!</definedName>
    <definedName name="PEKERJAAN_GONDOLA_6_1">#REF!</definedName>
    <definedName name="PEKERJAAN_GONDOLA_6_2">#REF!</definedName>
    <definedName name="PEKERJAAN_GONDOLA_6_2_6">#REF!</definedName>
    <definedName name="PEKERJAAN_GONDOLA_6_4">#REF!</definedName>
    <definedName name="PEKERJAAN_GONDOLA_6_6">#REF!</definedName>
    <definedName name="PEKERJAAN_GONDOLA_6_7">#REF!</definedName>
    <definedName name="PEKERJAAN_GONDOLA_7">#REF!</definedName>
    <definedName name="PEKERJAAN_GONDOLA_7_1">#REF!</definedName>
    <definedName name="PEKERJAAN_GONDOLA_7_6">#REF!</definedName>
    <definedName name="PEKERJAAN_GONDOLA_7_7">#REF!</definedName>
    <definedName name="PEKERJAAN_GONDOLA_8">#REF!</definedName>
    <definedName name="PEKERJAAN_GONDOLA_9">#REF!</definedName>
    <definedName name="PEKERJAAN_LIFT_ex_KOREA">#REF!</definedName>
    <definedName name="PEKERJAAN_LIFT_ex_KOREA_1">#REF!</definedName>
    <definedName name="PEKERJAAN_LIFT_ex_KOREA_1_2">#REF!</definedName>
    <definedName name="PEKERJAAN_LIFT_ex_KOREA_1_2_6">#REF!</definedName>
    <definedName name="PEKERJAAN_LIFT_ex_KOREA_1_4">#REF!</definedName>
    <definedName name="PEKERJAAN_LIFT_ex_KOREA_1_6">#REF!</definedName>
    <definedName name="PEKERJAAN_LIFT_ex_KOREA_1_7">#REF!</definedName>
    <definedName name="PEKERJAAN_LIFT_ex_KOREA_15">#REF!</definedName>
    <definedName name="PEKERJAAN_LIFT_ex_KOREA_15_1">#REF!</definedName>
    <definedName name="PEKERJAAN_LIFT_ex_KOREA_15_16">#REF!</definedName>
    <definedName name="PEKERJAAN_LIFT_ex_KOREA_15_7">#REF!</definedName>
    <definedName name="PEKERJAAN_LIFT_ex_KOREA_16">#REF!</definedName>
    <definedName name="PEKERJAAN_LIFT_ex_KOREA_17">#REF!</definedName>
    <definedName name="PEKERJAAN_LIFT_ex_KOREA_2">#REF!</definedName>
    <definedName name="PEKERJAAN_LIFT_ex_KOREA_2_1">#REF!</definedName>
    <definedName name="PEKERJAAN_LIFT_ex_KOREA_2_1_6">#REF!</definedName>
    <definedName name="PEKERJAAN_LIFT_ex_KOREA_2_2">#REF!</definedName>
    <definedName name="PEKERJAAN_LIFT_ex_KOREA_2_2_6">#REF!</definedName>
    <definedName name="PEKERJAAN_LIFT_ex_KOREA_2_4">#REF!</definedName>
    <definedName name="PEKERJAAN_LIFT_ex_KOREA_2_5">#REF!</definedName>
    <definedName name="PEKERJAAN_LIFT_ex_KOREA_2_6">#REF!</definedName>
    <definedName name="PEKERJAAN_LIFT_ex_KOREA_2_7">#REF!</definedName>
    <definedName name="PEKERJAAN_LIFT_ex_KOREA_3">#REF!</definedName>
    <definedName name="PEKERJAAN_LIFT_ex_KOREA_3_2">#REF!</definedName>
    <definedName name="PEKERJAAN_LIFT_ex_KOREA_3_2_6">#REF!</definedName>
    <definedName name="PEKERJAAN_LIFT_ex_KOREA_3_4">#REF!</definedName>
    <definedName name="PEKERJAAN_LIFT_ex_KOREA_3_5">#REF!</definedName>
    <definedName name="PEKERJAAN_LIFT_ex_KOREA_3_6">#REF!</definedName>
    <definedName name="PEKERJAAN_LIFT_ex_KOREA_3_7">#REF!</definedName>
    <definedName name="PEKERJAAN_LIFT_ex_KOREA_4">#REF!</definedName>
    <definedName name="PEKERJAAN_LIFT_ex_KOREA_4_1">#REF!</definedName>
    <definedName name="PEKERJAAN_LIFT_ex_KOREA_4_2">#REF!</definedName>
    <definedName name="PEKERJAAN_LIFT_ex_KOREA_4_2_6">#REF!</definedName>
    <definedName name="PEKERJAAN_LIFT_ex_KOREA_4_4">#REF!</definedName>
    <definedName name="PEKERJAAN_LIFT_ex_KOREA_4_6">#REF!</definedName>
    <definedName name="PEKERJAAN_LIFT_ex_KOREA_4_7">#REF!</definedName>
    <definedName name="PEKERJAAN_LIFT_ex_KOREA_5">#REF!</definedName>
    <definedName name="PEKERJAAN_LIFT_ex_KOREA_5_2">#REF!</definedName>
    <definedName name="PEKERJAAN_LIFT_ex_KOREA_5_2_6">#REF!</definedName>
    <definedName name="PEKERJAAN_LIFT_ex_KOREA_5_4">#REF!</definedName>
    <definedName name="PEKERJAAN_LIFT_ex_KOREA_5_6">#REF!</definedName>
    <definedName name="PEKERJAAN_LIFT_ex_KOREA_5_7">#REF!</definedName>
    <definedName name="PEKERJAAN_LIFT_ex_KOREA_6">#REF!</definedName>
    <definedName name="PEKERJAAN_LIFT_ex_KOREA_6_1">#REF!</definedName>
    <definedName name="PEKERJAAN_LIFT_ex_KOREA_6_2">#REF!</definedName>
    <definedName name="PEKERJAAN_LIFT_ex_KOREA_6_2_6">#REF!</definedName>
    <definedName name="PEKERJAAN_LIFT_ex_KOREA_6_4">#REF!</definedName>
    <definedName name="PEKERJAAN_LIFT_ex_KOREA_6_6">#REF!</definedName>
    <definedName name="PEKERJAAN_LIFT_ex_KOREA_6_7">#REF!</definedName>
    <definedName name="PEKERJAAN_LIFT_ex_KOREA_7">#REF!</definedName>
    <definedName name="PEKERJAAN_LIFT_ex_KOREA_7_1">#REF!</definedName>
    <definedName name="PEKERJAAN_LIFT_ex_KOREA_7_6">#REF!</definedName>
    <definedName name="PEKERJAAN_LIFT_ex_KOREA_7_7">#REF!</definedName>
    <definedName name="PEKERJAAN_LIFT_ex_KOREA_8">#REF!</definedName>
    <definedName name="PEKERJAAN_LIFT_ex_KOREA_9">#REF!</definedName>
    <definedName name="PEKERJAAN_LISTRIK___GENSET">#REF!</definedName>
    <definedName name="PEKERJAAN_LISTRIK___GENSET_1">#REF!</definedName>
    <definedName name="PEKERJAAN_LISTRIK___GENSET_1_2">#REF!</definedName>
    <definedName name="PEKERJAAN_LISTRIK___GENSET_1_2_6">#REF!</definedName>
    <definedName name="PEKERJAAN_LISTRIK___GENSET_1_4">#REF!</definedName>
    <definedName name="PEKERJAAN_LISTRIK___GENSET_1_6">#REF!</definedName>
    <definedName name="PEKERJAAN_LISTRIK___GENSET_1_7">#REF!</definedName>
    <definedName name="PEKERJAAN_LISTRIK___GENSET_15">#REF!</definedName>
    <definedName name="PEKERJAAN_LISTRIK___GENSET_15_1">#REF!</definedName>
    <definedName name="PEKERJAAN_LISTRIK___GENSET_15_16">#REF!</definedName>
    <definedName name="PEKERJAAN_LISTRIK___GENSET_15_7">#REF!</definedName>
    <definedName name="PEKERJAAN_LISTRIK___GENSET_16">#REF!</definedName>
    <definedName name="PEKERJAAN_LISTRIK___GENSET_17">#REF!</definedName>
    <definedName name="PEKERJAAN_LISTRIK___GENSET_2">#REF!</definedName>
    <definedName name="PEKERJAAN_LISTRIK___GENSET_2_1">#REF!</definedName>
    <definedName name="PEKERJAAN_LISTRIK___GENSET_2_1_6">#REF!</definedName>
    <definedName name="PEKERJAAN_LISTRIK___GENSET_2_2">#REF!</definedName>
    <definedName name="PEKERJAAN_LISTRIK___GENSET_2_2_6">#REF!</definedName>
    <definedName name="PEKERJAAN_LISTRIK___GENSET_2_4">#REF!</definedName>
    <definedName name="PEKERJAAN_LISTRIK___GENSET_2_5">#REF!</definedName>
    <definedName name="PEKERJAAN_LISTRIK___GENSET_2_6">#REF!</definedName>
    <definedName name="PEKERJAAN_LISTRIK___GENSET_2_7">#REF!</definedName>
    <definedName name="PEKERJAAN_LISTRIK___GENSET_3">#REF!</definedName>
    <definedName name="PEKERJAAN_LISTRIK___GENSET_3_2">#REF!</definedName>
    <definedName name="PEKERJAAN_LISTRIK___GENSET_3_2_6">#REF!</definedName>
    <definedName name="PEKERJAAN_LISTRIK___GENSET_3_4">#REF!</definedName>
    <definedName name="PEKERJAAN_LISTRIK___GENSET_3_5">#REF!</definedName>
    <definedName name="PEKERJAAN_LISTRIK___GENSET_3_6">#REF!</definedName>
    <definedName name="PEKERJAAN_LISTRIK___GENSET_3_7">#REF!</definedName>
    <definedName name="PEKERJAAN_LISTRIK___GENSET_4">#REF!</definedName>
    <definedName name="PEKERJAAN_LISTRIK___GENSET_4_1">#REF!</definedName>
    <definedName name="PEKERJAAN_LISTRIK___GENSET_4_2">#REF!</definedName>
    <definedName name="PEKERJAAN_LISTRIK___GENSET_4_2_6">#REF!</definedName>
    <definedName name="PEKERJAAN_LISTRIK___GENSET_4_4">#REF!</definedName>
    <definedName name="PEKERJAAN_LISTRIK___GENSET_4_6">#REF!</definedName>
    <definedName name="PEKERJAAN_LISTRIK___GENSET_4_7">#REF!</definedName>
    <definedName name="PEKERJAAN_LISTRIK___GENSET_5">#REF!</definedName>
    <definedName name="PEKERJAAN_LISTRIK___GENSET_5_2">#REF!</definedName>
    <definedName name="PEKERJAAN_LISTRIK___GENSET_5_2_6">#REF!</definedName>
    <definedName name="PEKERJAAN_LISTRIK___GENSET_5_4">#REF!</definedName>
    <definedName name="PEKERJAAN_LISTRIK___GENSET_5_6">#REF!</definedName>
    <definedName name="PEKERJAAN_LISTRIK___GENSET_5_7">#REF!</definedName>
    <definedName name="PEKERJAAN_LISTRIK___GENSET_6">#REF!</definedName>
    <definedName name="PEKERJAAN_LISTRIK___GENSET_6_1">#REF!</definedName>
    <definedName name="PEKERJAAN_LISTRIK___GENSET_6_2">#REF!</definedName>
    <definedName name="PEKERJAAN_LISTRIK___GENSET_6_2_6">#REF!</definedName>
    <definedName name="PEKERJAAN_LISTRIK___GENSET_6_4">#REF!</definedName>
    <definedName name="PEKERJAAN_LISTRIK___GENSET_6_6">#REF!</definedName>
    <definedName name="PEKERJAAN_LISTRIK___GENSET_6_7">#REF!</definedName>
    <definedName name="PEKERJAAN_LISTRIK___GENSET_7">#REF!</definedName>
    <definedName name="PEKERJAAN_LISTRIK___GENSET_7_1">#REF!</definedName>
    <definedName name="PEKERJAAN_LISTRIK___GENSET_7_6">#REF!</definedName>
    <definedName name="PEKERJAAN_LISTRIK___GENSET_7_7">#REF!</definedName>
    <definedName name="PEKERJAAN_LISTRIK___GENSET_8">#REF!</definedName>
    <definedName name="PEKERJAAN_LISTRIK___GENSET_9">#REF!</definedName>
    <definedName name="PEKERJAAN_LUAR">#REF!</definedName>
    <definedName name="PEKERJAAN_LUAR_1">#REF!</definedName>
    <definedName name="PEKERJAAN_LUAR_1_2">#REF!</definedName>
    <definedName name="PEKERJAAN_LUAR_1_2_6">#REF!</definedName>
    <definedName name="PEKERJAAN_LUAR_1_4">#REF!</definedName>
    <definedName name="PEKERJAAN_LUAR_1_6">#REF!</definedName>
    <definedName name="PEKERJAAN_LUAR_1_7">#REF!</definedName>
    <definedName name="PEKERJAAN_LUAR_15">#REF!</definedName>
    <definedName name="PEKERJAAN_LUAR_15_1">#REF!</definedName>
    <definedName name="PEKERJAAN_LUAR_15_16">#REF!</definedName>
    <definedName name="PEKERJAAN_LUAR_15_7">#REF!</definedName>
    <definedName name="PEKERJAAN_LUAR_16">#REF!</definedName>
    <definedName name="PEKERJAAN_LUAR_17">#REF!</definedName>
    <definedName name="PEKERJAAN_LUAR_2">#REF!</definedName>
    <definedName name="PEKERJAAN_LUAR_2_1">#REF!</definedName>
    <definedName name="PEKERJAAN_LUAR_2_1_6">#REF!</definedName>
    <definedName name="PEKERJAAN_LUAR_2_2">#REF!</definedName>
    <definedName name="PEKERJAAN_LUAR_2_2_6">#REF!</definedName>
    <definedName name="PEKERJAAN_LUAR_2_4">#REF!</definedName>
    <definedName name="PEKERJAAN_LUAR_2_5">#REF!</definedName>
    <definedName name="PEKERJAAN_LUAR_2_6">#REF!</definedName>
    <definedName name="PEKERJAAN_LUAR_2_7">#REF!</definedName>
    <definedName name="PEKERJAAN_LUAR_3">#REF!</definedName>
    <definedName name="PEKERJAAN_LUAR_3_1">#REF!</definedName>
    <definedName name="PEKERJAAN_LUAR_3_2">#REF!</definedName>
    <definedName name="PEKERJAAN_LUAR_3_2_6">#REF!</definedName>
    <definedName name="PEKERJAAN_LUAR_3_4">#REF!</definedName>
    <definedName name="PEKERJAAN_LUAR_3_5">#REF!</definedName>
    <definedName name="PEKERJAAN_LUAR_3_6">#REF!</definedName>
    <definedName name="PEKERJAAN_LUAR_3_7">#REF!</definedName>
    <definedName name="PEKERJAAN_LUAR_4">#REF!</definedName>
    <definedName name="PEKERJAAN_LUAR_4_1">#REF!</definedName>
    <definedName name="PEKERJAAN_LUAR_4_2">#REF!</definedName>
    <definedName name="PEKERJAAN_LUAR_4_2_6">#REF!</definedName>
    <definedName name="PEKERJAAN_LUAR_4_4">#REF!</definedName>
    <definedName name="PEKERJAAN_LUAR_4_6">#REF!</definedName>
    <definedName name="PEKERJAAN_LUAR_4_7">#REF!</definedName>
    <definedName name="PEKERJAAN_LUAR_5">#REF!</definedName>
    <definedName name="PEKERJAAN_LUAR_5_2">#REF!</definedName>
    <definedName name="PEKERJAAN_LUAR_5_2_6">#REF!</definedName>
    <definedName name="PEKERJAAN_LUAR_5_4">#REF!</definedName>
    <definedName name="PEKERJAAN_LUAR_5_6">#REF!</definedName>
    <definedName name="PEKERJAAN_LUAR_5_7">#REF!</definedName>
    <definedName name="PEKERJAAN_LUAR_6">#REF!</definedName>
    <definedName name="PEKERJAAN_LUAR_6_1">#REF!</definedName>
    <definedName name="PEKERJAAN_LUAR_6_2">#REF!</definedName>
    <definedName name="PEKERJAAN_LUAR_6_2_6">#REF!</definedName>
    <definedName name="PEKERJAAN_LUAR_6_4">#REF!</definedName>
    <definedName name="PEKERJAAN_LUAR_6_6">#REF!</definedName>
    <definedName name="PEKERJAAN_LUAR_6_7">#REF!</definedName>
    <definedName name="PEKERJAAN_LUAR_7">#REF!</definedName>
    <definedName name="PEKERJAAN_LUAR_7_1">#REF!</definedName>
    <definedName name="PEKERJAAN_LUAR_7_6">#REF!</definedName>
    <definedName name="PEKERJAAN_LUAR_7_7">#REF!</definedName>
    <definedName name="PEKERJAAN_LUAR_8">#REF!</definedName>
    <definedName name="PEKERJAAN_LUAR_9">#REF!</definedName>
    <definedName name="PEKERJAAN_PLAFOND">#REF!</definedName>
    <definedName name="PEKERJAAN_PLAFOND_1">#REF!</definedName>
    <definedName name="PEKERJAAN_PLAFOND_1_2">#REF!</definedName>
    <definedName name="PEKERJAAN_PLAFOND_1_2_6">#REF!</definedName>
    <definedName name="PEKERJAAN_PLAFOND_1_4">#REF!</definedName>
    <definedName name="PEKERJAAN_PLAFOND_1_6">#REF!</definedName>
    <definedName name="PEKERJAAN_PLAFOND_1_7">#REF!</definedName>
    <definedName name="PEKERJAAN_PLAFOND_15">#REF!</definedName>
    <definedName name="PEKERJAAN_PLAFOND_15_1">#REF!</definedName>
    <definedName name="PEKERJAAN_PLAFOND_15_16">#REF!</definedName>
    <definedName name="PEKERJAAN_PLAFOND_15_7">#REF!</definedName>
    <definedName name="PEKERJAAN_PLAFOND_16">#REF!</definedName>
    <definedName name="PEKERJAAN_PLAFOND_17">#REF!</definedName>
    <definedName name="PEKERJAAN_PLAFOND_2">#REF!</definedName>
    <definedName name="PEKERJAAN_PLAFOND_2_1">#REF!</definedName>
    <definedName name="PEKERJAAN_PLAFOND_2_1_6">#REF!</definedName>
    <definedName name="PEKERJAAN_PLAFOND_2_2">#REF!</definedName>
    <definedName name="PEKERJAAN_PLAFOND_2_2_6">#REF!</definedName>
    <definedName name="PEKERJAAN_PLAFOND_2_4">#REF!</definedName>
    <definedName name="PEKERJAAN_PLAFOND_2_5">#REF!</definedName>
    <definedName name="PEKERJAAN_PLAFOND_2_6">#REF!</definedName>
    <definedName name="PEKERJAAN_PLAFOND_2_7">#REF!</definedName>
    <definedName name="PEKERJAAN_PLAFOND_3">#REF!</definedName>
    <definedName name="PEKERJAAN_PLAFOND_3_2">#REF!</definedName>
    <definedName name="PEKERJAAN_PLAFOND_3_2_6">#REF!</definedName>
    <definedName name="PEKERJAAN_PLAFOND_3_4">#REF!</definedName>
    <definedName name="PEKERJAAN_PLAFOND_3_5">#REF!</definedName>
    <definedName name="PEKERJAAN_PLAFOND_3_6">#REF!</definedName>
    <definedName name="PEKERJAAN_PLAFOND_3_7">#REF!</definedName>
    <definedName name="PEKERJAAN_PLAFOND_4">#REF!</definedName>
    <definedName name="PEKERJAAN_PLAFOND_4_1">#REF!</definedName>
    <definedName name="PEKERJAAN_PLAFOND_4_2">#REF!</definedName>
    <definedName name="PEKERJAAN_PLAFOND_4_2_6">#REF!</definedName>
    <definedName name="PEKERJAAN_PLAFOND_4_4">#REF!</definedName>
    <definedName name="PEKERJAAN_PLAFOND_4_6">#REF!</definedName>
    <definedName name="PEKERJAAN_PLAFOND_4_7">#REF!</definedName>
    <definedName name="PEKERJAAN_PLAFOND_5">#REF!</definedName>
    <definedName name="PEKERJAAN_PLAFOND_5_2">#REF!</definedName>
    <definedName name="PEKERJAAN_PLAFOND_5_2_6">#REF!</definedName>
    <definedName name="PEKERJAAN_PLAFOND_5_4">#REF!</definedName>
    <definedName name="PEKERJAAN_PLAFOND_5_6">#REF!</definedName>
    <definedName name="PEKERJAAN_PLAFOND_5_7">#REF!</definedName>
    <definedName name="PEKERJAAN_PLAFOND_6">#REF!</definedName>
    <definedName name="PEKERJAAN_PLAFOND_6_1">#REF!</definedName>
    <definedName name="PEKERJAAN_PLAFOND_6_2">#REF!</definedName>
    <definedName name="PEKERJAAN_PLAFOND_6_2_6">#REF!</definedName>
    <definedName name="PEKERJAAN_PLAFOND_6_4">#REF!</definedName>
    <definedName name="PEKERJAAN_PLAFOND_6_6">#REF!</definedName>
    <definedName name="PEKERJAAN_PLAFOND_6_7">#REF!</definedName>
    <definedName name="PEKERJAAN_PLAFOND_7">#REF!</definedName>
    <definedName name="PEKERJAAN_PLAFOND_7_1">#REF!</definedName>
    <definedName name="PEKERJAAN_PLAFOND_7_6">#REF!</definedName>
    <definedName name="PEKERJAAN_PLAFOND_7_7">#REF!</definedName>
    <definedName name="PEKERJAAN_PLAFOND_8">#REF!</definedName>
    <definedName name="PEKERJAAN_PLAFOND_9">#REF!</definedName>
    <definedName name="PEKERJAAN_PLUMBING___SANITARY">#REF!</definedName>
    <definedName name="PEKERJAAN_PLUMBING___SANITARY_1">#REF!</definedName>
    <definedName name="PEKERJAAN_PLUMBING___SANITARY_1_2">#REF!</definedName>
    <definedName name="PEKERJAAN_PLUMBING___SANITARY_1_2_6">#REF!</definedName>
    <definedName name="PEKERJAAN_PLUMBING___SANITARY_1_4">#REF!</definedName>
    <definedName name="PEKERJAAN_PLUMBING___SANITARY_1_6">#REF!</definedName>
    <definedName name="PEKERJAAN_PLUMBING___SANITARY_1_7">#REF!</definedName>
    <definedName name="PEKERJAAN_PLUMBING___SANITARY_15">#REF!</definedName>
    <definedName name="PEKERJAAN_PLUMBING___SANITARY_15_1">#REF!</definedName>
    <definedName name="PEKERJAAN_PLUMBING___SANITARY_15_16">#REF!</definedName>
    <definedName name="PEKERJAAN_PLUMBING___SANITARY_15_7">#REF!</definedName>
    <definedName name="PEKERJAAN_PLUMBING___SANITARY_16">#REF!</definedName>
    <definedName name="PEKERJAAN_PLUMBING___SANITARY_17">#REF!</definedName>
    <definedName name="PEKERJAAN_PLUMBING___SANITARY_2">#REF!</definedName>
    <definedName name="PEKERJAAN_PLUMBING___SANITARY_2_1">#REF!</definedName>
    <definedName name="PEKERJAAN_PLUMBING___SANITARY_2_1_6">#REF!</definedName>
    <definedName name="PEKERJAAN_PLUMBING___SANITARY_2_2">#REF!</definedName>
    <definedName name="PEKERJAAN_PLUMBING___SANITARY_2_2_6">#REF!</definedName>
    <definedName name="PEKERJAAN_PLUMBING___SANITARY_2_4">#REF!</definedName>
    <definedName name="PEKERJAAN_PLUMBING___SANITARY_2_5">#REF!</definedName>
    <definedName name="PEKERJAAN_PLUMBING___SANITARY_2_6">#REF!</definedName>
    <definedName name="PEKERJAAN_PLUMBING___SANITARY_2_7">#REF!</definedName>
    <definedName name="PEKERJAAN_PLUMBING___SANITARY_3">#REF!</definedName>
    <definedName name="PEKERJAAN_PLUMBING___SANITARY_3_2">#REF!</definedName>
    <definedName name="PEKERJAAN_PLUMBING___SANITARY_3_2_6">#REF!</definedName>
    <definedName name="PEKERJAAN_PLUMBING___SANITARY_3_4">#REF!</definedName>
    <definedName name="PEKERJAAN_PLUMBING___SANITARY_3_5">#REF!</definedName>
    <definedName name="PEKERJAAN_PLUMBING___SANITARY_3_6">#REF!</definedName>
    <definedName name="PEKERJAAN_PLUMBING___SANITARY_3_7">#REF!</definedName>
    <definedName name="PEKERJAAN_PLUMBING___SANITARY_4">#REF!</definedName>
    <definedName name="PEKERJAAN_PLUMBING___SANITARY_4_1">#REF!</definedName>
    <definedName name="PEKERJAAN_PLUMBING___SANITARY_4_2">#REF!</definedName>
    <definedName name="PEKERJAAN_PLUMBING___SANITARY_4_2_6">#REF!</definedName>
    <definedName name="PEKERJAAN_PLUMBING___SANITARY_4_4">#REF!</definedName>
    <definedName name="PEKERJAAN_PLUMBING___SANITARY_4_6">#REF!</definedName>
    <definedName name="PEKERJAAN_PLUMBING___SANITARY_4_7">#REF!</definedName>
    <definedName name="PEKERJAAN_PLUMBING___SANITARY_5">#REF!</definedName>
    <definedName name="PEKERJAAN_PLUMBING___SANITARY_5_2">#REF!</definedName>
    <definedName name="PEKERJAAN_PLUMBING___SANITARY_5_2_6">#REF!</definedName>
    <definedName name="PEKERJAAN_PLUMBING___SANITARY_5_4">#REF!</definedName>
    <definedName name="PEKERJAAN_PLUMBING___SANITARY_5_6">#REF!</definedName>
    <definedName name="PEKERJAAN_PLUMBING___SANITARY_5_7">#REF!</definedName>
    <definedName name="PEKERJAAN_PLUMBING___SANITARY_6">#REF!</definedName>
    <definedName name="PEKERJAAN_PLUMBING___SANITARY_6_1">#REF!</definedName>
    <definedName name="PEKERJAAN_PLUMBING___SANITARY_6_2">#REF!</definedName>
    <definedName name="PEKERJAAN_PLUMBING___SANITARY_6_2_6">#REF!</definedName>
    <definedName name="PEKERJAAN_PLUMBING___SANITARY_6_4">#REF!</definedName>
    <definedName name="PEKERJAAN_PLUMBING___SANITARY_6_6">#REF!</definedName>
    <definedName name="PEKERJAAN_PLUMBING___SANITARY_6_7">#REF!</definedName>
    <definedName name="PEKERJAAN_PLUMBING___SANITARY_7">#REF!</definedName>
    <definedName name="PEKERJAAN_PLUMBING___SANITARY_7_1">#REF!</definedName>
    <definedName name="PEKERJAAN_PLUMBING___SANITARY_7_6">#REF!</definedName>
    <definedName name="PEKERJAAN_PLUMBING___SANITARY_7_7">#REF!</definedName>
    <definedName name="PEKERJAAN_PLUMBING___SANITARY_8">#REF!</definedName>
    <definedName name="PEKERJAAN_PLUMBING___SANITARY_9">#REF!</definedName>
    <definedName name="PEKERJAAN_PONDASI">#REF!</definedName>
    <definedName name="PEKERJAAN_PONDASI_1">#REF!</definedName>
    <definedName name="PEKERJAAN_PONDASI_1_2">#REF!</definedName>
    <definedName name="PEKERJAAN_PONDASI_1_4">#REF!</definedName>
    <definedName name="PEKERJAAN_PONDASI_1_6">#REF!</definedName>
    <definedName name="PEKERJAAN_PONDASI_1_7">#REF!</definedName>
    <definedName name="PEKERJAAN_PONDASI_17">#REF!</definedName>
    <definedName name="PEKERJAAN_PONDASI_2">#REF!</definedName>
    <definedName name="PEKERJAAN_PONDASI_2_1">#REF!</definedName>
    <definedName name="PEKERJAAN_PONDASI_2_1_6">#REF!</definedName>
    <definedName name="PEKERJAAN_PONDASI_2_2">#REF!</definedName>
    <definedName name="PEKERJAAN_PONDASI_2_4">#REF!</definedName>
    <definedName name="PEKERJAAN_PONDASI_2_6">#REF!</definedName>
    <definedName name="PEKERJAAN_PONDASI_2_7">#REF!</definedName>
    <definedName name="PEKERJAAN_PONDASI_3">#REF!</definedName>
    <definedName name="PEKERJAAN_PONDASI_3_2">#REF!</definedName>
    <definedName name="PEKERJAAN_PONDASI_3_4">#REF!</definedName>
    <definedName name="PEKERJAAN_PONDASI_3_6">#REF!</definedName>
    <definedName name="PEKERJAAN_PONDASI_3_7">#REF!</definedName>
    <definedName name="PEKERJAAN_PONDASI_4">#REF!</definedName>
    <definedName name="PEKERJAAN_PONDASI_4_1">#REF!</definedName>
    <definedName name="PEKERJAAN_PONDASI_4_2">#REF!</definedName>
    <definedName name="PEKERJAAN_PONDASI_4_4">#REF!</definedName>
    <definedName name="PEKERJAAN_PONDASI_4_6">#REF!</definedName>
    <definedName name="PEKERJAAN_PONDASI_4_7">#REF!</definedName>
    <definedName name="PEKERJAAN_PONDASI_5">#REF!</definedName>
    <definedName name="PEKERJAAN_PONDASI_5_2">#REF!</definedName>
    <definedName name="PEKERJAAN_PONDASI_5_4">#REF!</definedName>
    <definedName name="PEKERJAAN_PONDASI_5_6">#REF!</definedName>
    <definedName name="PEKERJAAN_PONDASI_5_7">#REF!</definedName>
    <definedName name="PEKERJAAN_PONDASI_6">#REF!</definedName>
    <definedName name="PEKERJAAN_PONDASI_6_1">#REF!</definedName>
    <definedName name="PEKERJAAN_PONDASI_6_2">#REF!</definedName>
    <definedName name="PEKERJAAN_PONDASI_6_4">#REF!</definedName>
    <definedName name="PEKERJAAN_PONDASI_6_6">#REF!</definedName>
    <definedName name="PEKERJAAN_PONDASI_6_7">#REF!</definedName>
    <definedName name="PEKERJAAN_PONDASI_7">#REF!</definedName>
    <definedName name="PEKERJAAN_PONDASI_7_1">#REF!</definedName>
    <definedName name="PEKERJAAN_PONDASI_8">#REF!</definedName>
    <definedName name="PEKERJAAN_PONDASI_9">#REF!</definedName>
    <definedName name="PEKERJAAN_RAILING_DAN_LAIN___LAIN">#REF!</definedName>
    <definedName name="PEKERJAAN_RAILING_DAN_LAIN___LAIN_1">#REF!</definedName>
    <definedName name="PEKERJAAN_RAILING_DAN_LAIN___LAIN_1_2">#REF!</definedName>
    <definedName name="PEKERJAAN_RAILING_DAN_LAIN___LAIN_1_2_6">#REF!</definedName>
    <definedName name="PEKERJAAN_RAILING_DAN_LAIN___LAIN_1_4">#REF!</definedName>
    <definedName name="PEKERJAAN_RAILING_DAN_LAIN___LAIN_1_6">#REF!</definedName>
    <definedName name="PEKERJAAN_RAILING_DAN_LAIN___LAIN_1_7">#REF!</definedName>
    <definedName name="PEKERJAAN_RAILING_DAN_LAIN___LAIN_15">#REF!</definedName>
    <definedName name="PEKERJAAN_RAILING_DAN_LAIN___LAIN_15_1">#REF!</definedName>
    <definedName name="PEKERJAAN_RAILING_DAN_LAIN___LAIN_15_16">#REF!</definedName>
    <definedName name="PEKERJAAN_RAILING_DAN_LAIN___LAIN_15_7">#REF!</definedName>
    <definedName name="PEKERJAAN_RAILING_DAN_LAIN___LAIN_16">#REF!</definedName>
    <definedName name="PEKERJAAN_RAILING_DAN_LAIN___LAIN_17">#REF!</definedName>
    <definedName name="PEKERJAAN_RAILING_DAN_LAIN___LAIN_2">#REF!</definedName>
    <definedName name="PEKERJAAN_RAILING_DAN_LAIN___LAIN_2_1">#REF!</definedName>
    <definedName name="PEKERJAAN_RAILING_DAN_LAIN___LAIN_2_1_6">#REF!</definedName>
    <definedName name="PEKERJAAN_RAILING_DAN_LAIN___LAIN_2_2">#REF!</definedName>
    <definedName name="PEKERJAAN_RAILING_DAN_LAIN___LAIN_2_2_6">#REF!</definedName>
    <definedName name="PEKERJAAN_RAILING_DAN_LAIN___LAIN_2_4">#REF!</definedName>
    <definedName name="PEKERJAAN_RAILING_DAN_LAIN___LAIN_2_5">#REF!</definedName>
    <definedName name="PEKERJAAN_RAILING_DAN_LAIN___LAIN_2_6">#REF!</definedName>
    <definedName name="PEKERJAAN_RAILING_DAN_LAIN___LAIN_2_7">#REF!</definedName>
    <definedName name="PEKERJAAN_RAILING_DAN_LAIN___LAIN_3">#REF!</definedName>
    <definedName name="PEKERJAAN_RAILING_DAN_LAIN___LAIN_3_2">#REF!</definedName>
    <definedName name="PEKERJAAN_RAILING_DAN_LAIN___LAIN_3_2_6">#REF!</definedName>
    <definedName name="PEKERJAAN_RAILING_DAN_LAIN___LAIN_3_4">#REF!</definedName>
    <definedName name="PEKERJAAN_RAILING_DAN_LAIN___LAIN_3_5">#REF!</definedName>
    <definedName name="PEKERJAAN_RAILING_DAN_LAIN___LAIN_3_6">#REF!</definedName>
    <definedName name="PEKERJAAN_RAILING_DAN_LAIN___LAIN_3_7">#REF!</definedName>
    <definedName name="PEKERJAAN_RAILING_DAN_LAIN___LAIN_4">#REF!</definedName>
    <definedName name="PEKERJAAN_RAILING_DAN_LAIN___LAIN_4_1">#REF!</definedName>
    <definedName name="PEKERJAAN_RAILING_DAN_LAIN___LAIN_4_2">#REF!</definedName>
    <definedName name="PEKERJAAN_RAILING_DAN_LAIN___LAIN_4_2_6">#REF!</definedName>
    <definedName name="PEKERJAAN_RAILING_DAN_LAIN___LAIN_4_4">#REF!</definedName>
    <definedName name="PEKERJAAN_RAILING_DAN_LAIN___LAIN_4_6">#REF!</definedName>
    <definedName name="PEKERJAAN_RAILING_DAN_LAIN___LAIN_4_7">#REF!</definedName>
    <definedName name="PEKERJAAN_RAILING_DAN_LAIN___LAIN_5">#REF!</definedName>
    <definedName name="PEKERJAAN_RAILING_DAN_LAIN___LAIN_5_2">#REF!</definedName>
    <definedName name="PEKERJAAN_RAILING_DAN_LAIN___LAIN_5_2_6">#REF!</definedName>
    <definedName name="PEKERJAAN_RAILING_DAN_LAIN___LAIN_5_4">#REF!</definedName>
    <definedName name="PEKERJAAN_RAILING_DAN_LAIN___LAIN_5_6">#REF!</definedName>
    <definedName name="PEKERJAAN_RAILING_DAN_LAIN___LAIN_5_7">#REF!</definedName>
    <definedName name="PEKERJAAN_RAILING_DAN_LAIN___LAIN_6">#REF!</definedName>
    <definedName name="PEKERJAAN_RAILING_DAN_LAIN___LAIN_6_1">#REF!</definedName>
    <definedName name="PEKERJAAN_RAILING_DAN_LAIN___LAIN_6_2">#REF!</definedName>
    <definedName name="PEKERJAAN_RAILING_DAN_LAIN___LAIN_6_2_6">#REF!</definedName>
    <definedName name="PEKERJAAN_RAILING_DAN_LAIN___LAIN_6_4">#REF!</definedName>
    <definedName name="PEKERJAAN_RAILING_DAN_LAIN___LAIN_6_6">#REF!</definedName>
    <definedName name="PEKERJAAN_RAILING_DAN_LAIN___LAIN_6_7">#REF!</definedName>
    <definedName name="PEKERJAAN_RAILING_DAN_LAIN___LAIN_7">#REF!</definedName>
    <definedName name="PEKERJAAN_RAILING_DAN_LAIN___LAIN_7_1">#REF!</definedName>
    <definedName name="PEKERJAAN_RAILING_DAN_LAIN___LAIN_7_6">#REF!</definedName>
    <definedName name="PEKERJAAN_RAILING_DAN_LAIN___LAIN_7_7">#REF!</definedName>
    <definedName name="PEKERJAAN_RAILING_DAN_LAIN___LAIN_8">#REF!</definedName>
    <definedName name="PEKERJAAN_RAILING_DAN_LAIN___LAIN_9">#REF!</definedName>
    <definedName name="PEKERJAAN_SPRINKLER___FIRE_FIGHTING">#REF!</definedName>
    <definedName name="PEKERJAAN_SPRINKLER___FIRE_FIGHTING_1">#REF!</definedName>
    <definedName name="PEKERJAAN_SPRINKLER___FIRE_FIGHTING_1_2">#REF!</definedName>
    <definedName name="PEKERJAAN_SPRINKLER___FIRE_FIGHTING_1_2_6">#REF!</definedName>
    <definedName name="PEKERJAAN_SPRINKLER___FIRE_FIGHTING_1_4">#REF!</definedName>
    <definedName name="PEKERJAAN_SPRINKLER___FIRE_FIGHTING_1_6">#REF!</definedName>
    <definedName name="PEKERJAAN_SPRINKLER___FIRE_FIGHTING_1_7">#REF!</definedName>
    <definedName name="PEKERJAAN_SPRINKLER___FIRE_FIGHTING_15">#REF!</definedName>
    <definedName name="PEKERJAAN_SPRINKLER___FIRE_FIGHTING_15_1">#REF!</definedName>
    <definedName name="PEKERJAAN_SPRINKLER___FIRE_FIGHTING_15_16">#REF!</definedName>
    <definedName name="PEKERJAAN_SPRINKLER___FIRE_FIGHTING_15_7">#REF!</definedName>
    <definedName name="PEKERJAAN_SPRINKLER___FIRE_FIGHTING_16">#REF!</definedName>
    <definedName name="PEKERJAAN_SPRINKLER___FIRE_FIGHTING_17">#REF!</definedName>
    <definedName name="PEKERJAAN_SPRINKLER___FIRE_FIGHTING_2">#REF!</definedName>
    <definedName name="PEKERJAAN_SPRINKLER___FIRE_FIGHTING_2_1">#REF!</definedName>
    <definedName name="PEKERJAAN_SPRINKLER___FIRE_FIGHTING_2_1_6">#REF!</definedName>
    <definedName name="PEKERJAAN_SPRINKLER___FIRE_FIGHTING_2_2">#REF!</definedName>
    <definedName name="PEKERJAAN_SPRINKLER___FIRE_FIGHTING_2_2_6">#REF!</definedName>
    <definedName name="PEKERJAAN_SPRINKLER___FIRE_FIGHTING_2_4">#REF!</definedName>
    <definedName name="PEKERJAAN_SPRINKLER___FIRE_FIGHTING_2_5">#REF!</definedName>
    <definedName name="PEKERJAAN_SPRINKLER___FIRE_FIGHTING_2_6">#REF!</definedName>
    <definedName name="PEKERJAAN_SPRINKLER___FIRE_FIGHTING_2_7">#REF!</definedName>
    <definedName name="PEKERJAAN_SPRINKLER___FIRE_FIGHTING_3">#REF!</definedName>
    <definedName name="PEKERJAAN_SPRINKLER___FIRE_FIGHTING_3_2">#REF!</definedName>
    <definedName name="PEKERJAAN_SPRINKLER___FIRE_FIGHTING_3_2_6">#REF!</definedName>
    <definedName name="PEKERJAAN_SPRINKLER___FIRE_FIGHTING_3_4">#REF!</definedName>
    <definedName name="PEKERJAAN_SPRINKLER___FIRE_FIGHTING_3_5">#REF!</definedName>
    <definedName name="PEKERJAAN_SPRINKLER___FIRE_FIGHTING_3_6">#REF!</definedName>
    <definedName name="PEKERJAAN_SPRINKLER___FIRE_FIGHTING_3_7">#REF!</definedName>
    <definedName name="PEKERJAAN_SPRINKLER___FIRE_FIGHTING_4">#REF!</definedName>
    <definedName name="PEKERJAAN_SPRINKLER___FIRE_FIGHTING_4_1">#REF!</definedName>
    <definedName name="PEKERJAAN_SPRINKLER___FIRE_FIGHTING_4_2">#REF!</definedName>
    <definedName name="PEKERJAAN_SPRINKLER___FIRE_FIGHTING_4_2_6">#REF!</definedName>
    <definedName name="PEKERJAAN_SPRINKLER___FIRE_FIGHTING_4_4">#REF!</definedName>
    <definedName name="PEKERJAAN_SPRINKLER___FIRE_FIGHTING_4_6">#REF!</definedName>
    <definedName name="PEKERJAAN_SPRINKLER___FIRE_FIGHTING_4_7">#REF!</definedName>
    <definedName name="PEKERJAAN_SPRINKLER___FIRE_FIGHTING_5">#REF!</definedName>
    <definedName name="PEKERJAAN_SPRINKLER___FIRE_FIGHTING_5_2">#REF!</definedName>
    <definedName name="PEKERJAAN_SPRINKLER___FIRE_FIGHTING_5_2_6">#REF!</definedName>
    <definedName name="PEKERJAAN_SPRINKLER___FIRE_FIGHTING_5_4">#REF!</definedName>
    <definedName name="PEKERJAAN_SPRINKLER___FIRE_FIGHTING_5_6">#REF!</definedName>
    <definedName name="PEKERJAAN_SPRINKLER___FIRE_FIGHTING_5_7">#REF!</definedName>
    <definedName name="PEKERJAAN_SPRINKLER___FIRE_FIGHTING_6">#REF!</definedName>
    <definedName name="PEKERJAAN_SPRINKLER___FIRE_FIGHTING_6_1">#REF!</definedName>
    <definedName name="PEKERJAAN_SPRINKLER___FIRE_FIGHTING_6_2">#REF!</definedName>
    <definedName name="PEKERJAAN_SPRINKLER___FIRE_FIGHTING_6_2_6">#REF!</definedName>
    <definedName name="PEKERJAAN_SPRINKLER___FIRE_FIGHTING_6_4">#REF!</definedName>
    <definedName name="PEKERJAAN_SPRINKLER___FIRE_FIGHTING_6_6">#REF!</definedName>
    <definedName name="PEKERJAAN_SPRINKLER___FIRE_FIGHTING_6_7">#REF!</definedName>
    <definedName name="PEKERJAAN_SPRINKLER___FIRE_FIGHTING_7">#REF!</definedName>
    <definedName name="PEKERJAAN_SPRINKLER___FIRE_FIGHTING_7_1">#REF!</definedName>
    <definedName name="PEKERJAAN_SPRINKLER___FIRE_FIGHTING_7_6">#REF!</definedName>
    <definedName name="PEKERJAAN_SPRINKLER___FIRE_FIGHTING_7_7">#REF!</definedName>
    <definedName name="PEKERJAAN_SPRINKLER___FIRE_FIGHTING_8">#REF!</definedName>
    <definedName name="PEKERJAAN_SPRINKLER___FIRE_FIGHTING_9">#REF!</definedName>
    <definedName name="PEKERJAAN_STRUKTUR_ATAS_DAN_ATAP">#REF!</definedName>
    <definedName name="PEKERJAAN_STRUKTUR_ATAS_DAN_ATAP_1">#REF!</definedName>
    <definedName name="PEKERJAAN_STRUKTUR_ATAS_DAN_ATAP_1_2">#REF!</definedName>
    <definedName name="PEKERJAAN_STRUKTUR_ATAS_DAN_ATAP_1_2_6">#REF!</definedName>
    <definedName name="PEKERJAAN_STRUKTUR_ATAS_DAN_ATAP_1_4">#REF!</definedName>
    <definedName name="PEKERJAAN_STRUKTUR_ATAS_DAN_ATAP_1_6">#REF!</definedName>
    <definedName name="PEKERJAAN_STRUKTUR_ATAS_DAN_ATAP_1_7">#REF!</definedName>
    <definedName name="PEKERJAAN_STRUKTUR_ATAS_DAN_ATAP_15">#REF!</definedName>
    <definedName name="PEKERJAAN_STRUKTUR_ATAS_DAN_ATAP_15_1">#REF!</definedName>
    <definedName name="PEKERJAAN_STRUKTUR_ATAS_DAN_ATAP_15_16">#REF!</definedName>
    <definedName name="PEKERJAAN_STRUKTUR_ATAS_DAN_ATAP_15_7">#REF!</definedName>
    <definedName name="PEKERJAAN_STRUKTUR_ATAS_DAN_ATAP_16">#REF!</definedName>
    <definedName name="PEKERJAAN_STRUKTUR_ATAS_DAN_ATAP_17">#REF!</definedName>
    <definedName name="PEKERJAAN_STRUKTUR_ATAS_DAN_ATAP_2">#REF!</definedName>
    <definedName name="PEKERJAAN_STRUKTUR_ATAS_DAN_ATAP_2_1">#REF!</definedName>
    <definedName name="PEKERJAAN_STRUKTUR_ATAS_DAN_ATAP_2_1_6">#REF!</definedName>
    <definedName name="PEKERJAAN_STRUKTUR_ATAS_DAN_ATAP_2_2">#REF!</definedName>
    <definedName name="PEKERJAAN_STRUKTUR_ATAS_DAN_ATAP_2_2_6">#REF!</definedName>
    <definedName name="PEKERJAAN_STRUKTUR_ATAS_DAN_ATAP_2_4">#REF!</definedName>
    <definedName name="PEKERJAAN_STRUKTUR_ATAS_DAN_ATAP_2_5">#REF!</definedName>
    <definedName name="PEKERJAAN_STRUKTUR_ATAS_DAN_ATAP_2_6">#REF!</definedName>
    <definedName name="PEKERJAAN_STRUKTUR_ATAS_DAN_ATAP_2_7">#REF!</definedName>
    <definedName name="PEKERJAAN_STRUKTUR_ATAS_DAN_ATAP_3">#REF!</definedName>
    <definedName name="PEKERJAAN_STRUKTUR_ATAS_DAN_ATAP_3_2">#REF!</definedName>
    <definedName name="PEKERJAAN_STRUKTUR_ATAS_DAN_ATAP_3_2_6">#REF!</definedName>
    <definedName name="PEKERJAAN_STRUKTUR_ATAS_DAN_ATAP_3_4">#REF!</definedName>
    <definedName name="PEKERJAAN_STRUKTUR_ATAS_DAN_ATAP_3_5">#REF!</definedName>
    <definedName name="PEKERJAAN_STRUKTUR_ATAS_DAN_ATAP_3_6">#REF!</definedName>
    <definedName name="PEKERJAAN_STRUKTUR_ATAS_DAN_ATAP_3_7">#REF!</definedName>
    <definedName name="PEKERJAAN_STRUKTUR_ATAS_DAN_ATAP_4">#REF!</definedName>
    <definedName name="PEKERJAAN_STRUKTUR_ATAS_DAN_ATAP_4_1">#REF!</definedName>
    <definedName name="PEKERJAAN_STRUKTUR_ATAS_DAN_ATAP_4_2">#REF!</definedName>
    <definedName name="PEKERJAAN_STRUKTUR_ATAS_DAN_ATAP_4_2_6">#REF!</definedName>
    <definedName name="PEKERJAAN_STRUKTUR_ATAS_DAN_ATAP_4_4">#REF!</definedName>
    <definedName name="PEKERJAAN_STRUKTUR_ATAS_DAN_ATAP_4_6">#REF!</definedName>
    <definedName name="PEKERJAAN_STRUKTUR_ATAS_DAN_ATAP_4_7">#REF!</definedName>
    <definedName name="PEKERJAAN_STRUKTUR_ATAS_DAN_ATAP_5">#REF!</definedName>
    <definedName name="PEKERJAAN_STRUKTUR_ATAS_DAN_ATAP_5_2">#REF!</definedName>
    <definedName name="PEKERJAAN_STRUKTUR_ATAS_DAN_ATAP_5_2_6">#REF!</definedName>
    <definedName name="PEKERJAAN_STRUKTUR_ATAS_DAN_ATAP_5_4">#REF!</definedName>
    <definedName name="PEKERJAAN_STRUKTUR_ATAS_DAN_ATAP_5_6">#REF!</definedName>
    <definedName name="PEKERJAAN_STRUKTUR_ATAS_DAN_ATAP_5_7">#REF!</definedName>
    <definedName name="PEKERJAAN_STRUKTUR_ATAS_DAN_ATAP_6">#REF!</definedName>
    <definedName name="PEKERJAAN_STRUKTUR_ATAS_DAN_ATAP_6_1">#REF!</definedName>
    <definedName name="PEKERJAAN_STRUKTUR_ATAS_DAN_ATAP_6_2">#REF!</definedName>
    <definedName name="PEKERJAAN_STRUKTUR_ATAS_DAN_ATAP_6_2_6">#REF!</definedName>
    <definedName name="PEKERJAAN_STRUKTUR_ATAS_DAN_ATAP_6_4">#REF!</definedName>
    <definedName name="PEKERJAAN_STRUKTUR_ATAS_DAN_ATAP_6_6">#REF!</definedName>
    <definedName name="PEKERJAAN_STRUKTUR_ATAS_DAN_ATAP_6_7">#REF!</definedName>
    <definedName name="PEKERJAAN_STRUKTUR_ATAS_DAN_ATAP_7">#REF!</definedName>
    <definedName name="PEKERJAAN_STRUKTUR_ATAS_DAN_ATAP_7_1">#REF!</definedName>
    <definedName name="PEKERJAAN_STRUKTUR_ATAS_DAN_ATAP_7_6">#REF!</definedName>
    <definedName name="PEKERJAAN_STRUKTUR_ATAS_DAN_ATAP_7_7">#REF!</definedName>
    <definedName name="PEKERJAAN_STRUKTUR_ATAS_DAN_ATAP_8">#REF!</definedName>
    <definedName name="PEKERJAAN_STRUKTUR_ATAS_DAN_ATAP_9">#REF!</definedName>
    <definedName name="PEKERJAAN_SUB_STRUKTUR">#REF!</definedName>
    <definedName name="PEKERJAAN_SUB_STRUKTUR_1">#REF!</definedName>
    <definedName name="PEKERJAAN_SUB_STRUKTUR_1_2">#REF!</definedName>
    <definedName name="PEKERJAAN_SUB_STRUKTUR_1_2_6">#REF!</definedName>
    <definedName name="PEKERJAAN_SUB_STRUKTUR_1_4">#REF!</definedName>
    <definedName name="PEKERJAAN_SUB_STRUKTUR_1_6">#REF!</definedName>
    <definedName name="PEKERJAAN_SUB_STRUKTUR_1_7">#REF!</definedName>
    <definedName name="PEKERJAAN_SUB_STRUKTUR_17">#REF!</definedName>
    <definedName name="PEKERJAAN_SUB_STRUKTUR_2">#REF!</definedName>
    <definedName name="PEKERJAAN_SUB_STRUKTUR_2_1">#REF!</definedName>
    <definedName name="PEKERJAAN_SUB_STRUKTUR_2_1_6">#REF!</definedName>
    <definedName name="PEKERJAAN_SUB_STRUKTUR_2_2">#REF!</definedName>
    <definedName name="PEKERJAAN_SUB_STRUKTUR_2_4">#REF!</definedName>
    <definedName name="PEKERJAAN_SUB_STRUKTUR_2_6">#REF!</definedName>
    <definedName name="PEKERJAAN_SUB_STRUKTUR_2_7">#REF!</definedName>
    <definedName name="PEKERJAAN_SUB_STRUKTUR_3">#REF!</definedName>
    <definedName name="PEKERJAAN_SUB_STRUKTUR_3_2">#REF!</definedName>
    <definedName name="PEKERJAAN_SUB_STRUKTUR_3_2_6">#REF!</definedName>
    <definedName name="PEKERJAAN_SUB_STRUKTUR_3_4">#REF!</definedName>
    <definedName name="PEKERJAAN_SUB_STRUKTUR_3_6">#REF!</definedName>
    <definedName name="PEKERJAAN_SUB_STRUKTUR_3_7">#REF!</definedName>
    <definedName name="PEKERJAAN_SUB_STRUKTUR_4">#REF!</definedName>
    <definedName name="PEKERJAAN_SUB_STRUKTUR_4_1">#REF!</definedName>
    <definedName name="PEKERJAAN_SUB_STRUKTUR_4_2">#REF!</definedName>
    <definedName name="PEKERJAAN_SUB_STRUKTUR_4_2_6">#REF!</definedName>
    <definedName name="PEKERJAAN_SUB_STRUKTUR_4_4">#REF!</definedName>
    <definedName name="PEKERJAAN_SUB_STRUKTUR_4_6">#REF!</definedName>
    <definedName name="PEKERJAAN_SUB_STRUKTUR_4_7">#REF!</definedName>
    <definedName name="PEKERJAAN_SUB_STRUKTUR_5">#REF!</definedName>
    <definedName name="PEKERJAAN_SUB_STRUKTUR_5_2">#REF!</definedName>
    <definedName name="PEKERJAAN_SUB_STRUKTUR_5_2_6">#REF!</definedName>
    <definedName name="PEKERJAAN_SUB_STRUKTUR_5_4">#REF!</definedName>
    <definedName name="PEKERJAAN_SUB_STRUKTUR_5_6">#REF!</definedName>
    <definedName name="PEKERJAAN_SUB_STRUKTUR_5_7">#REF!</definedName>
    <definedName name="PEKERJAAN_SUB_STRUKTUR_6">#REF!</definedName>
    <definedName name="PEKERJAAN_SUB_STRUKTUR_6_1">#REF!</definedName>
    <definedName name="PEKERJAAN_SUB_STRUKTUR_6_2">#REF!</definedName>
    <definedName name="PEKERJAAN_SUB_STRUKTUR_6_2_6">#REF!</definedName>
    <definedName name="PEKERJAAN_SUB_STRUKTUR_6_4">#REF!</definedName>
    <definedName name="PEKERJAAN_SUB_STRUKTUR_6_6">#REF!</definedName>
    <definedName name="PEKERJAAN_SUB_STRUKTUR_6_7">#REF!</definedName>
    <definedName name="PEKERJAAN_SUB_STRUKTUR_7">#REF!</definedName>
    <definedName name="PEKERJAAN_SUB_STRUKTUR_7_1">#REF!</definedName>
    <definedName name="PEKERJAAN_SUB_STRUKTUR_7_6">#REF!</definedName>
    <definedName name="PEKERJAAN_SUB_STRUKTUR_7_7">#REF!</definedName>
    <definedName name="PEKERJAAN_SUB_STRUKTUR_8">#REF!</definedName>
    <definedName name="PEKERJAAN_SUB_STRUKTUR_9">#REF!</definedName>
    <definedName name="PEKERJAAN_TANAH">#REF!</definedName>
    <definedName name="PEKERJAAN_TANAH_1">#REF!</definedName>
    <definedName name="PEKERJAAN_TANAH_1_2">#REF!</definedName>
    <definedName name="PEKERJAAN_TANAH_1_4">#REF!</definedName>
    <definedName name="PEKERJAAN_TANAH_1_6">#REF!</definedName>
    <definedName name="PEKERJAAN_TANAH_2">#REF!</definedName>
    <definedName name="PEKERJAAN_TANAH_2_1">#REF!</definedName>
    <definedName name="PEKERJAAN_TANAH_2_1_6">#REF!</definedName>
    <definedName name="PEKERJAAN_TANAH_2_2">#REF!</definedName>
    <definedName name="PEKERJAAN_TANAH_2_4">#REF!</definedName>
    <definedName name="PEKERJAAN_TANAH_2_6">#REF!</definedName>
    <definedName name="PEKERJAAN_TANAH_3">#REF!</definedName>
    <definedName name="PEKERJAAN_TANAH_3_2">#REF!</definedName>
    <definedName name="PEKERJAAN_TANAH_3_4">#REF!</definedName>
    <definedName name="PEKERJAAN_TANAH_3_6">#REF!</definedName>
    <definedName name="PEKERJAAN_TANAH_4">#REF!</definedName>
    <definedName name="PEKERJAAN_TANAH_4_1">#REF!</definedName>
    <definedName name="PEKERJAAN_TANAH_4_2">#REF!</definedName>
    <definedName name="PEKERJAAN_TANAH_4_4">#REF!</definedName>
    <definedName name="PEKERJAAN_TANAH_4_6">#REF!</definedName>
    <definedName name="PEKERJAAN_TANAH_5">#REF!</definedName>
    <definedName name="PEKERJAAN_TANAH_5_2">#REF!</definedName>
    <definedName name="PEKERJAAN_TANAH_5_4">#REF!</definedName>
    <definedName name="PEKERJAAN_TANAH_5_6">#REF!</definedName>
    <definedName name="PEKERJAAN_TANAH_6">#REF!</definedName>
    <definedName name="PEKERJAAN_TANAH_6_1">#REF!</definedName>
    <definedName name="PEKERJAAN_TANAH_6_2">#REF!</definedName>
    <definedName name="PEKERJAAN_TANAH_6_4">#REF!</definedName>
    <definedName name="PEKERJAAN_TANAH_6_6">#REF!</definedName>
    <definedName name="PEKERJAAN_TANAH_6_7">#REF!</definedName>
    <definedName name="PEKERJAAN_TANAH_7">#REF!</definedName>
    <definedName name="PEKERJAAN_TELEPON">#REF!</definedName>
    <definedName name="PEKERJAAN_TELEPON_1">#REF!</definedName>
    <definedName name="PEKERJAAN_TELEPON_1_2">#REF!</definedName>
    <definedName name="PEKERJAAN_TELEPON_1_2_6">#REF!</definedName>
    <definedName name="PEKERJAAN_TELEPON_1_4">#REF!</definedName>
    <definedName name="PEKERJAAN_TELEPON_1_6">#REF!</definedName>
    <definedName name="PEKERJAAN_TELEPON_1_7">#REF!</definedName>
    <definedName name="PEKERJAAN_TELEPON_15">#REF!</definedName>
    <definedName name="PEKERJAAN_TELEPON_15_1">#REF!</definedName>
    <definedName name="PEKERJAAN_TELEPON_15_16">#REF!</definedName>
    <definedName name="PEKERJAAN_TELEPON_15_7">#REF!</definedName>
    <definedName name="PEKERJAAN_TELEPON_16">#REF!</definedName>
    <definedName name="PEKERJAAN_TELEPON_17">#REF!</definedName>
    <definedName name="PEKERJAAN_TELEPON_2">#REF!</definedName>
    <definedName name="PEKERJAAN_TELEPON_2_1">#REF!</definedName>
    <definedName name="PEKERJAAN_TELEPON_2_1_6">#REF!</definedName>
    <definedName name="PEKERJAAN_TELEPON_2_2">#REF!</definedName>
    <definedName name="PEKERJAAN_TELEPON_2_2_6">#REF!</definedName>
    <definedName name="PEKERJAAN_TELEPON_2_4">#REF!</definedName>
    <definedName name="PEKERJAAN_TELEPON_2_5">#REF!</definedName>
    <definedName name="PEKERJAAN_TELEPON_2_6">#REF!</definedName>
    <definedName name="PEKERJAAN_TELEPON_2_7">#REF!</definedName>
    <definedName name="PEKERJAAN_TELEPON_3">#REF!</definedName>
    <definedName name="PEKERJAAN_TELEPON_3_2">#REF!</definedName>
    <definedName name="PEKERJAAN_TELEPON_3_2_6">#REF!</definedName>
    <definedName name="PEKERJAAN_TELEPON_3_4">#REF!</definedName>
    <definedName name="PEKERJAAN_TELEPON_3_5">#REF!</definedName>
    <definedName name="PEKERJAAN_TELEPON_3_6">#REF!</definedName>
    <definedName name="PEKERJAAN_TELEPON_3_7">#REF!</definedName>
    <definedName name="PEKERJAAN_TELEPON_4">#REF!</definedName>
    <definedName name="PEKERJAAN_TELEPON_4_1">#REF!</definedName>
    <definedName name="PEKERJAAN_TELEPON_4_2">#REF!</definedName>
    <definedName name="PEKERJAAN_TELEPON_4_2_6">#REF!</definedName>
    <definedName name="PEKERJAAN_TELEPON_4_4">#REF!</definedName>
    <definedName name="PEKERJAAN_TELEPON_4_6">#REF!</definedName>
    <definedName name="PEKERJAAN_TELEPON_4_7">#REF!</definedName>
    <definedName name="PEKERJAAN_TELEPON_5">#REF!</definedName>
    <definedName name="PEKERJAAN_TELEPON_5_2">#REF!</definedName>
    <definedName name="PEKERJAAN_TELEPON_5_2_6">#REF!</definedName>
    <definedName name="PEKERJAAN_TELEPON_5_4">#REF!</definedName>
    <definedName name="PEKERJAAN_TELEPON_5_6">#REF!</definedName>
    <definedName name="PEKERJAAN_TELEPON_5_7">#REF!</definedName>
    <definedName name="PEKERJAAN_TELEPON_6">#REF!</definedName>
    <definedName name="PEKERJAAN_TELEPON_6_1">#REF!</definedName>
    <definedName name="PEKERJAAN_TELEPON_6_2">#REF!</definedName>
    <definedName name="PEKERJAAN_TELEPON_6_2_6">#REF!</definedName>
    <definedName name="PEKERJAAN_TELEPON_6_4">#REF!</definedName>
    <definedName name="PEKERJAAN_TELEPON_6_6">#REF!</definedName>
    <definedName name="PEKERJAAN_TELEPON_6_7">#REF!</definedName>
    <definedName name="PEKERJAAN_TELEPON_7">#REF!</definedName>
    <definedName name="PEKERJAAN_TELEPON_7_1">#REF!</definedName>
    <definedName name="PEKERJAAN_TELEPON_7_6">#REF!</definedName>
    <definedName name="PEKERJAAN_TELEPON_7_7">#REF!</definedName>
    <definedName name="PEKERJAAN_TELEPON_8">#REF!</definedName>
    <definedName name="PEKERJAAN_TELEPON_9">#REF!</definedName>
    <definedName name="Pekerjaan1">#REF!</definedName>
    <definedName name="Pekerjaan2">#REF!</definedName>
    <definedName name="pekerjaanluarbanmgunan">#REF!</definedName>
    <definedName name="PekerjaanME.luarbanguan">#REF!</definedName>
    <definedName name="pekerjabiasa">#REF!</definedName>
    <definedName name="PekerjaT">#REF!</definedName>
    <definedName name="PEKKAYU">#REF!</definedName>
    <definedName name="peklas">#REF!</definedName>
    <definedName name="PekPBronjong">#REF!</definedName>
    <definedName name="PEKPENUTUPATAP">#N/A</definedName>
    <definedName name="PEKPERSIAPAN">#REF!</definedName>
    <definedName name="PEKPLESTERAN">#N/A</definedName>
    <definedName name="PEKPONDASI">#REF!</definedName>
    <definedName name="peksalur">#REF!</definedName>
    <definedName name="PEKSANITASI">#REF!</definedName>
    <definedName name="peksloof">#REF!</definedName>
    <definedName name="PEKTANAH">#REF!</definedName>
    <definedName name="PekWaterproof">#REF!</definedName>
    <definedName name="PekWatrproff">#REF!</definedName>
    <definedName name="pelaik">#REF!</definedName>
    <definedName name="pelaksana">#REF!</definedName>
    <definedName name="Pelamur_Tembok">#REF!</definedName>
    <definedName name="PelatFe100">#REF!</definedName>
    <definedName name="PelatFe110">#REF!</definedName>
    <definedName name="PelatFe120">#REF!</definedName>
    <definedName name="PelatFe125">#REF!</definedName>
    <definedName name="PelatFe130">#REF!</definedName>
    <definedName name="PelatFe150">#REF!</definedName>
    <definedName name="PelatFe60">#REF!</definedName>
    <definedName name="PelatFe70">#REF!</definedName>
    <definedName name="PelatFe80">#REF!</definedName>
    <definedName name="PELATRAMBU">#REF!</definedName>
    <definedName name="Pelayan">#REF!</definedName>
    <definedName name="Peldya">#REF!</definedName>
    <definedName name="PELER">#REF!</definedName>
    <definedName name="Pelesteran">#REF!</definedName>
    <definedName name="Peli">#REF!</definedName>
    <definedName name="PELIHARA">[3]CH!$C$17</definedName>
    <definedName name="Pelmud">#REF!</definedName>
    <definedName name="PELUMAS">#REF!</definedName>
    <definedName name="Pelumashidrolis" localSheetId="7">#REF!</definedName>
    <definedName name="Pelumashidrolis">#REF!</definedName>
    <definedName name="Pelumasmesin" localSheetId="7">#REF!</definedName>
    <definedName name="Pelumasmesin">#REF!</definedName>
    <definedName name="Pelut">#REF!</definedName>
    <definedName name="PEMADATAN_TANAH">#REF!</definedName>
    <definedName name="pemadatantanah">#REF!</definedName>
    <definedName name="PemadatanTnh">#REF!</definedName>
    <definedName name="PemadtTanah">#REF!</definedName>
    <definedName name="PemakaianBahan">#REF!</definedName>
    <definedName name="Pemancangan">#REF!</definedName>
    <definedName name="Pemancangan_Ø400">#REF!</definedName>
    <definedName name="Pemancangan_Ø500">#REF!</definedName>
    <definedName name="pemb.sop">#REF!</definedName>
    <definedName name="pemb24">#REF!</definedName>
    <definedName name="pemb39">#REF!</definedName>
    <definedName name="PEMBAGI">#REF!</definedName>
    <definedName name="Pembantu_Operator">#REF!</definedName>
    <definedName name="PEMBANTU_OPERATOR___MEKANIK">#REF!</definedName>
    <definedName name="PEMBANTU_OPERATOR___MEKANIK_23">#REF!</definedName>
    <definedName name="PEMBANTU_OPERATOR___MEKANIK_25">#REF!</definedName>
    <definedName name="pembantuoperator">#REF!</definedName>
    <definedName name="PEMBANTUTUKANG">#N/A</definedName>
    <definedName name="PembBedeng">#REF!</definedName>
    <definedName name="pembersihan">#REF!</definedName>
    <definedName name="PEMBERSIHAN_LAHAN">#REF!</definedName>
    <definedName name="Pembersihan_puing_puing_pada_jembatan_darurat">#REF!</definedName>
    <definedName name="PembersihanLap">#REF!</definedName>
    <definedName name="pembesian">#REF!</definedName>
    <definedName name="PembGudang">#REF!</definedName>
    <definedName name="PembKantor">#REF!</definedName>
    <definedName name="Pembongkaran" localSheetId="5">[170]NP!$L$841:$V$901</definedName>
    <definedName name="Pembongkaran" localSheetId="7">[170]NP!$L$841:$V$901</definedName>
    <definedName name="Pembongkaran">#REF!</definedName>
    <definedName name="Pembongkaran_Bt">#REF!</definedName>
    <definedName name="Pembongkaran_jembatan_kayu">#REF!</definedName>
    <definedName name="Pembongkaran_Pas">#REF!</definedName>
    <definedName name="Pembongkaran_Rangka_Baja">#REF!</definedName>
    <definedName name="Pembongkaran_Total">#REF!</definedName>
    <definedName name="pembort">[171]Upah!$G$14</definedName>
    <definedName name="PembRmhJaga">#REF!</definedName>
    <definedName name="pembsian">#REF!</definedName>
    <definedName name="pembt">#REF!</definedName>
    <definedName name="Pembulatan">#REF!</definedName>
    <definedName name="Pembulatan_US">#REF!</definedName>
    <definedName name="Pemeliharaan_rutin_jembatan">#REF!</definedName>
    <definedName name="Pemeliharaan_rutin_perkerasan">#REF!</definedName>
    <definedName name="Pemeliharaan_rutin_perlengkapan_jalan">#REF!</definedName>
    <definedName name="Pemeliharaan_rutin_selokan_dll">#REF!</definedName>
    <definedName name="Pemeliharaan_rutinbahu_jalan">#REF!</definedName>
    <definedName name="PemelJbtSmntr">#REF!</definedName>
    <definedName name="PemelLalin">#REF!</definedName>
    <definedName name="pemisah">#REF!</definedName>
    <definedName name="pemmekanik">#REF!</definedName>
    <definedName name="pemsopir">#REF!</definedName>
    <definedName name="PemubugBentala">#REF!</definedName>
    <definedName name="PEN">#REF!</definedName>
    <definedName name="pen_exppn_19">"'file:///media/sda2/nUGerOHo/@PROJECT/GRAHA SANTIKA-MEDAN/bcts/Graha Santika Medan/Perhitungan/Perhitungan Tender/BQ/RAB TERPAKAI/BQ Graha Utomo ( DC revisi  penawaran REAL new ).xls'#$Dashboard.$#REF!$#REF!"</definedName>
    <definedName name="penawar">[172]ch!$D$6</definedName>
    <definedName name="Penawaran">#REF!</definedName>
    <definedName name="penetrasi">#REF!</definedName>
    <definedName name="peng">#REF!</definedName>
    <definedName name="PengadaanBahan">#REF!</definedName>
    <definedName name="pengadaanulin">#REF!</definedName>
    <definedName name="pengaruh_DH">#REF!</definedName>
    <definedName name="PENGARUH_SUD_PARK">#REF!</definedName>
    <definedName name="PENGECATAN">#REF!</definedName>
    <definedName name="PENGECATAN1">#REF!</definedName>
    <definedName name="Pengendalian_lalu_lintas">#REF!</definedName>
    <definedName name="Pengendalian_LL">#REF!</definedName>
    <definedName name="PengeringanDgnPompa">#REF!</definedName>
    <definedName name="PengeringanPompa">#REF!</definedName>
    <definedName name="Pengesahan.">#REF!</definedName>
    <definedName name="Pengetesan">#REF!</definedName>
    <definedName name="penghampar">#REF!</definedName>
    <definedName name="PENGKAPURAN">#REF!</definedName>
    <definedName name="pengki">#REF!</definedName>
    <definedName name="PENGUKURAN_BOUWPLANK">#REF!</definedName>
    <definedName name="Pengupasan_Plesteran">#REF!</definedName>
    <definedName name="Penjaga">#REF!</definedName>
    <definedName name="PENJAGA_MALAM">#REF!</definedName>
    <definedName name="PENJAGA_MALAM_23">#REF!</definedName>
    <definedName name="PENJAGA_MALAM_25">#REF!</definedName>
    <definedName name="Penjaga_Malam_Satpam">#REF!</definedName>
    <definedName name="PENJUMLAHAN">HAJIME:OWARI</definedName>
    <definedName name="penlubang">#REF!</definedName>
    <definedName name="peno" hidden="1">{#N/A,#N/A,FALSE,"REK";#N/A,#N/A,FALSE,"Bq-ARS"}</definedName>
    <definedName name="pensld">#N/A</definedName>
    <definedName name="pensls">#N/A</definedName>
    <definedName name="pentin">#REF!</definedName>
    <definedName name="pentul" hidden="1">{#N/A,#N/A,FALSE,"REK-S-TPL";#N/A,#N/A,FALSE,"REK-TPML";#N/A,#N/A,FALSE,"RAB-TEMPEL"}</definedName>
    <definedName name="penyaring">#REF!</definedName>
    <definedName name="penyekata100">#REF!</definedName>
    <definedName name="penyemprot1000">#REF!</definedName>
    <definedName name="Penyiapan_BJ">#REF!</definedName>
    <definedName name="PepalihanBwhKusen">#REF!</definedName>
    <definedName name="PepalihanPintu">#REF!</definedName>
    <definedName name="PepalihanPlin">#REF!</definedName>
    <definedName name="PeplihanKOlom">#REF!</definedName>
    <definedName name="per">#REF!</definedName>
    <definedName name="peralatan">#REF!</definedName>
    <definedName name="Peralatan_baja_IWF_Ex_DN">#REF!</definedName>
    <definedName name="perancah">#REF!</definedName>
    <definedName name="Perancah_Kayu">'[84]Anal-2'!$G$306</definedName>
    <definedName name="perancahlaut">#REF!</definedName>
    <definedName name="perataan">#REF!</definedName>
    <definedName name="perbaikanducting">#REF!</definedName>
    <definedName name="PErcB">#REF!</definedName>
    <definedName name="PERCENT">#REF!</definedName>
    <definedName name="PEREKAMAN_ANALISA_MASING___MASING_HARGA_SATUAN">#REF!</definedName>
    <definedName name="perekat">#REF!</definedName>
    <definedName name="PERHITSEWA">#REF!</definedName>
    <definedName name="PerincianUPAH">#REF!</definedName>
    <definedName name="PeriodeBulan">#REF!</definedName>
    <definedName name="PeriodeBulanan">#REF!</definedName>
    <definedName name="PeriodeBulananMC">#REF!</definedName>
    <definedName name="PeriodeBulanLapEkstern">#REF!</definedName>
    <definedName name="PeriodeBulanMC">#REF!</definedName>
    <definedName name="PeriodeKumulatifBulan">#REF!</definedName>
    <definedName name="PeriodeKumulatifBulanLapEkstern">#REF!</definedName>
    <definedName name="PeriodeLapBulanan">#REF!</definedName>
    <definedName name="PeriodeLapK5">#REF!</definedName>
    <definedName name="PeriodeMinggu">#REF!</definedName>
    <definedName name="PeriodeMingguan">#REF!</definedName>
    <definedName name="PeriodePerubRAP">#REF!</definedName>
    <definedName name="PERLENGKAPAN1">#REF!</definedName>
    <definedName name="permanent">#N/A</definedName>
    <definedName name="persenbahan">#REF!</definedName>
    <definedName name="persenupah">#REF!</definedName>
    <definedName name="persiapan">#REF!</definedName>
    <definedName name="persiapansmp">#REF!</definedName>
    <definedName name="persiapansmu">#REF!</definedName>
    <definedName name="personil">#REF!</definedName>
    <definedName name="PerubahanRAP">#REF!</definedName>
    <definedName name="pesd">#REF!</definedName>
    <definedName name="pet">#REF!</definedName>
    <definedName name="PETC">#REF!</definedName>
    <definedName name="peter">#REF!</definedName>
    <definedName name="pf">#REF!</definedName>
    <definedName name="PF__Upah">#N/A</definedName>
    <definedName name="PF_Matrial">#N/A</definedName>
    <definedName name="PF_S">#REF!</definedName>
    <definedName name="PFM">#REF!</definedName>
    <definedName name="PFMAT">#REF!</definedName>
    <definedName name="PFRP">#REF!</definedName>
    <definedName name="PFU">#REF!</definedName>
    <definedName name="PFUNIT">#REF!</definedName>
    <definedName name="PFUPAH">#REF!</definedName>
    <definedName name="PFUS">#REF!</definedName>
    <definedName name="pg">#REF!</definedName>
    <definedName name="PG.1">#REF!</definedName>
    <definedName name="PG.2">#REF!</definedName>
    <definedName name="pg_12d">#REF!</definedName>
    <definedName name="pg_12h">#REF!</definedName>
    <definedName name="pg_9">[24]Analisa!#REF!</definedName>
    <definedName name="pg_9wp">[24]Analisa!#REF!</definedName>
    <definedName name="pg_rmf_9">#REF!</definedName>
    <definedName name="pgal">#REF!</definedName>
    <definedName name="pgal25">#REF!</definedName>
    <definedName name="pgal5">#REF!</definedName>
    <definedName name="PGaliB">#REF!</definedName>
    <definedName name="PGaliD">#REF!</definedName>
    <definedName name="pgc">#REF!</definedName>
    <definedName name="pgc_1">#REF!</definedName>
    <definedName name="pgc_1_5">#REF!</definedName>
    <definedName name="pgc_2">#REF!</definedName>
    <definedName name="pgc_2_1">#REF!</definedName>
    <definedName name="pgc_2_1_1">#REF!</definedName>
    <definedName name="pgc_2_1_1_6">#REF!</definedName>
    <definedName name="pgc_2_1_6">#REF!</definedName>
    <definedName name="pgc_2_1_7">#REF!</definedName>
    <definedName name="pgc_2_6">#REF!</definedName>
    <definedName name="pgc_2_7">#REF!</definedName>
    <definedName name="pgc_3">#REF!</definedName>
    <definedName name="pgc_3_4">#REF!</definedName>
    <definedName name="pgc_3_6">#REF!</definedName>
    <definedName name="pgc_3_7">#REF!</definedName>
    <definedName name="pgc_4">#REF!</definedName>
    <definedName name="pgc_4_1">#REF!</definedName>
    <definedName name="pgc_4_2">#REF!</definedName>
    <definedName name="pgc_4_2_6">#REF!</definedName>
    <definedName name="pgc_4_4">#REF!</definedName>
    <definedName name="pgc_4_6">#REF!</definedName>
    <definedName name="pgc_4_7">#REF!</definedName>
    <definedName name="pgc_5">#REF!</definedName>
    <definedName name="pgc_5_2">#REF!</definedName>
    <definedName name="pgc_5_2_6">#REF!</definedName>
    <definedName name="pgc_5_4">#REF!</definedName>
    <definedName name="pgc_5_6">#REF!</definedName>
    <definedName name="pgc_5_7">#REF!</definedName>
    <definedName name="pgc_6">#REF!</definedName>
    <definedName name="pgc_6_1">#REF!</definedName>
    <definedName name="pgc_6_4">#REF!</definedName>
    <definedName name="pgc_6_6">#REF!</definedName>
    <definedName name="pgc_6_7">#REF!</definedName>
    <definedName name="pgc_7">#REF!</definedName>
    <definedName name="PGL">#REF!</definedName>
    <definedName name="pgrab">#REF!</definedName>
    <definedName name="Pgravel">#REF!</definedName>
    <definedName name="ph">#REF!</definedName>
    <definedName name="ph_35">[121]HDasar!$H$84</definedName>
    <definedName name="ph_40">[121]HDasar!$H$85</definedName>
    <definedName name="ph_4040">#REF!</definedName>
    <definedName name="ph_tx">#REF!</definedName>
    <definedName name="ph100_1">#REF!</definedName>
    <definedName name="ph100_1_5">#REF!</definedName>
    <definedName name="ph100_2">#REF!</definedName>
    <definedName name="ph100_2_1">#REF!</definedName>
    <definedName name="ph100_2_1_1">#REF!</definedName>
    <definedName name="ph100_2_1_1_6">#REF!</definedName>
    <definedName name="ph100_2_1_6">#REF!</definedName>
    <definedName name="ph100_2_1_7">#REF!</definedName>
    <definedName name="ph100_2_6">#REF!</definedName>
    <definedName name="ph100_2_7">#REF!</definedName>
    <definedName name="ph100_3">#REF!</definedName>
    <definedName name="ph100_3_1">#REF!</definedName>
    <definedName name="ph100_3_2">#REF!</definedName>
    <definedName name="ph100_3_4">#REF!</definedName>
    <definedName name="ph100_3_6">#REF!</definedName>
    <definedName name="ph100_3_7">#REF!</definedName>
    <definedName name="ph100_4">#REF!</definedName>
    <definedName name="ph100_4_1">#REF!</definedName>
    <definedName name="ph100_4_2">#REF!</definedName>
    <definedName name="ph100_4_2_6">#REF!</definedName>
    <definedName name="ph100_4_4">#REF!</definedName>
    <definedName name="ph100_4_6">#REF!</definedName>
    <definedName name="ph100_4_7">#REF!</definedName>
    <definedName name="ph100_5">#REF!</definedName>
    <definedName name="ph100_5_2">#REF!</definedName>
    <definedName name="ph100_5_2_6">#REF!</definedName>
    <definedName name="ph100_5_4">#REF!</definedName>
    <definedName name="ph100_5_6">#REF!</definedName>
    <definedName name="ph100_5_7">#REF!</definedName>
    <definedName name="ph100_6">#REF!</definedName>
    <definedName name="ph100_6_1">#REF!</definedName>
    <definedName name="ph100_6_4">#REF!</definedName>
    <definedName name="ph100_6_6">#REF!</definedName>
    <definedName name="ph100_6_7">#REF!</definedName>
    <definedName name="ph100_7">#REF!</definedName>
    <definedName name="ph150_1">#REF!</definedName>
    <definedName name="ph150_1_5">#REF!</definedName>
    <definedName name="ph150_2">#REF!</definedName>
    <definedName name="ph150_2_1">#REF!</definedName>
    <definedName name="ph150_2_1_1">#REF!</definedName>
    <definedName name="ph150_2_1_1_6">#REF!</definedName>
    <definedName name="ph150_2_1_6">#REF!</definedName>
    <definedName name="ph150_2_1_7">#REF!</definedName>
    <definedName name="ph150_2_6">#REF!</definedName>
    <definedName name="ph150_2_7">#REF!</definedName>
    <definedName name="ph150_3">#REF!</definedName>
    <definedName name="ph150_3_1">#REF!</definedName>
    <definedName name="ph150_3_2">#REF!</definedName>
    <definedName name="ph150_3_4">#REF!</definedName>
    <definedName name="ph150_3_6">#REF!</definedName>
    <definedName name="ph150_3_7">#REF!</definedName>
    <definedName name="ph150_4">#REF!</definedName>
    <definedName name="ph150_4_1">#REF!</definedName>
    <definedName name="ph150_4_2">#REF!</definedName>
    <definedName name="ph150_4_2_6">#REF!</definedName>
    <definedName name="ph150_4_4">#REF!</definedName>
    <definedName name="ph150_4_6">#REF!</definedName>
    <definedName name="ph150_4_7">#REF!</definedName>
    <definedName name="ph150_5">#REF!</definedName>
    <definedName name="ph150_5_2">#REF!</definedName>
    <definedName name="ph150_5_2_6">#REF!</definedName>
    <definedName name="ph150_5_4">#REF!</definedName>
    <definedName name="ph150_5_6">#REF!</definedName>
    <definedName name="ph150_5_7">#REF!</definedName>
    <definedName name="ph150_6">#REF!</definedName>
    <definedName name="ph150_6_1">#REF!</definedName>
    <definedName name="ph150_6_4">#REF!</definedName>
    <definedName name="ph150_6_6">#REF!</definedName>
    <definedName name="ph150_6_7">#REF!</definedName>
    <definedName name="ph150_7">#REF!</definedName>
    <definedName name="pheno12">#N/A</definedName>
    <definedName name="phf100_1">#REF!</definedName>
    <definedName name="phf100_1_5">#REF!</definedName>
    <definedName name="phf100_2">#REF!</definedName>
    <definedName name="phf100_2_1">#REF!</definedName>
    <definedName name="phf100_2_1_1">#REF!</definedName>
    <definedName name="phf100_2_1_1_6">#REF!</definedName>
    <definedName name="phf100_2_1_6">#REF!</definedName>
    <definedName name="phf100_2_1_7">#REF!</definedName>
    <definedName name="phf100_2_6">#REF!</definedName>
    <definedName name="phf100_2_7">#REF!</definedName>
    <definedName name="phf100_3">#REF!</definedName>
    <definedName name="phf100_3_1">#REF!</definedName>
    <definedName name="phf100_3_2">#REF!</definedName>
    <definedName name="phf100_3_4">#REF!</definedName>
    <definedName name="phf100_3_6">#REF!</definedName>
    <definedName name="phf100_3_7">#REF!</definedName>
    <definedName name="phf100_4">#REF!</definedName>
    <definedName name="phf100_4_1">#REF!</definedName>
    <definedName name="phf100_4_2">#REF!</definedName>
    <definedName name="phf100_4_2_6">#REF!</definedName>
    <definedName name="phf100_4_4">#REF!</definedName>
    <definedName name="phf100_4_6">#REF!</definedName>
    <definedName name="phf100_4_7">#REF!</definedName>
    <definedName name="phf100_5">#REF!</definedName>
    <definedName name="phf100_5_2">#REF!</definedName>
    <definedName name="phf100_5_2_6">#REF!</definedName>
    <definedName name="phf100_5_4">#REF!</definedName>
    <definedName name="phf100_5_6">#REF!</definedName>
    <definedName name="phf100_5_7">#REF!</definedName>
    <definedName name="phf100_6">#REF!</definedName>
    <definedName name="phf100_6_1">#REF!</definedName>
    <definedName name="phf100_6_4">#REF!</definedName>
    <definedName name="phf100_6_6">#REF!</definedName>
    <definedName name="phf100_6_7">#REF!</definedName>
    <definedName name="phf100_7">#REF!</definedName>
    <definedName name="phf150_1">#REF!</definedName>
    <definedName name="phf150_1_5">#REF!</definedName>
    <definedName name="phf150_2">#REF!</definedName>
    <definedName name="phf150_2_1">#REF!</definedName>
    <definedName name="phf150_2_1_1">#REF!</definedName>
    <definedName name="phf150_2_1_1_6">#REF!</definedName>
    <definedName name="phf150_2_1_6">#REF!</definedName>
    <definedName name="phf150_2_1_7">#REF!</definedName>
    <definedName name="phf150_2_6">#REF!</definedName>
    <definedName name="phf150_2_7">#REF!</definedName>
    <definedName name="phf150_3">#REF!</definedName>
    <definedName name="phf150_3_1">#REF!</definedName>
    <definedName name="phf150_3_2">#REF!</definedName>
    <definedName name="phf150_3_4">#REF!</definedName>
    <definedName name="phf150_3_6">#REF!</definedName>
    <definedName name="phf150_3_7">#REF!</definedName>
    <definedName name="phf150_4">#REF!</definedName>
    <definedName name="phf150_4_1">#REF!</definedName>
    <definedName name="phf150_4_2">#REF!</definedName>
    <definedName name="phf150_4_2_6">#REF!</definedName>
    <definedName name="phf150_4_4">#REF!</definedName>
    <definedName name="phf150_4_6">#REF!</definedName>
    <definedName name="phf150_4_7">#REF!</definedName>
    <definedName name="phf150_5">#REF!</definedName>
    <definedName name="phf150_5_2">#REF!</definedName>
    <definedName name="phf150_5_2_6">#REF!</definedName>
    <definedName name="phf150_5_4">#REF!</definedName>
    <definedName name="phf150_5_6">#REF!</definedName>
    <definedName name="phf150_5_7">#REF!</definedName>
    <definedName name="phf150_6">#REF!</definedName>
    <definedName name="phf150_6_1">#REF!</definedName>
    <definedName name="phf150_6_4">#REF!</definedName>
    <definedName name="phf150_6_6">#REF!</definedName>
    <definedName name="phf150_6_7">#REF!</definedName>
    <definedName name="phf150_7">#REF!</definedName>
    <definedName name="Phil">#REF!</definedName>
    <definedName name="Philip" hidden="1">{#N/A,#N/A,FALSE,"REK-S-TPL";#N/A,#N/A,FALSE,"REK-TPML";#N/A,#N/A,FALSE,"RAB-TEMPEL"}</definedName>
    <definedName name="Phone">#REF!</definedName>
    <definedName name="phouse">#REF!</definedName>
    <definedName name="PHYD">#REF!</definedName>
    <definedName name="PICK">#REF!</definedName>
    <definedName name="Pick_Up_Truck__1_T">#REF!</definedName>
    <definedName name="PICKUP">[33]H_Dasar!#REF!</definedName>
    <definedName name="PIDET">#REF!</definedName>
    <definedName name="pijar">#REF!</definedName>
    <definedName name="pijar25WD">#REF!</definedName>
    <definedName name="PIJAR60WATT">#N/A</definedName>
    <definedName name="pijsak">#REF!</definedName>
    <definedName name="PIL">#REF!</definedName>
    <definedName name="PIL_NEW">#REF!</definedName>
    <definedName name="pile">#REF!</definedName>
    <definedName name="Pile_Test">#REF!</definedName>
    <definedName name="pile32">#REF!</definedName>
    <definedName name="pilecap">#REF!</definedName>
    <definedName name="piles">#REF!</definedName>
    <definedName name="Pilihan">#REF!</definedName>
    <definedName name="PILIHSTATUS">#REF!</definedName>
    <definedName name="PILMEN1">#REF!</definedName>
    <definedName name="PILMEN2">#REF!</definedName>
    <definedName name="Pin">#REF!</definedName>
    <definedName name="pinbes">#N/A</definedName>
    <definedName name="PINPA1">#REF!</definedName>
    <definedName name="PINPA2">#REF!</definedName>
    <definedName name="PINPA3">#REF!</definedName>
    <definedName name="PINPB1">#REF!</definedName>
    <definedName name="PINPD1">#REF!</definedName>
    <definedName name="PINPJA1">#REF!</definedName>
    <definedName name="PINPK1">#REF!</definedName>
    <definedName name="PINPK2">#REF!</definedName>
    <definedName name="PINPK3">#REF!</definedName>
    <definedName name="PINPK4">#REF!</definedName>
    <definedName name="PINPV1">#REF!</definedName>
    <definedName name="pintac">#N/A</definedName>
    <definedName name="Pintu">#REF!</definedName>
    <definedName name="PINTU_A">#REF!</definedName>
    <definedName name="PINTU_B">#REF!</definedName>
    <definedName name="PINTU_BASE">#REF!</definedName>
    <definedName name="PINTU_C">#REF!</definedName>
    <definedName name="Pintu_Card_Lock">#REF!</definedName>
    <definedName name="Pintu_Kmr_Mandi_Sliding">#REF!</definedName>
    <definedName name="Pintu_Kmr_Mandi_Swing">#REF!</definedName>
    <definedName name="Pintu_Shaft_Double_non_Security">#REF!</definedName>
    <definedName name="Pintu_Shaft_Double_Security">#REF!</definedName>
    <definedName name="Pintu_Shaft_Single_non_Security">#REF!</definedName>
    <definedName name="Pintu_Shaft_Single_Security">#REF!</definedName>
    <definedName name="Pintu_Teakwood">#REF!</definedName>
    <definedName name="Pintu_Teakwood_Sliding">#REF!</definedName>
    <definedName name="Pintu_Utama">#REF!</definedName>
    <definedName name="pintu1">#REF!</definedName>
    <definedName name="pintu2">#REF!</definedName>
    <definedName name="pintu3">#REF!</definedName>
    <definedName name="Pintu8">#REF!</definedName>
    <definedName name="pintualmunium">#REF!</definedName>
    <definedName name="pintualumrangkakaca\nonjasa">#REF!</definedName>
    <definedName name="pintubesiharmonika">#REF!</definedName>
    <definedName name="PINTUHARMONIKA">#N/A</definedName>
    <definedName name="PINTUKACA">#REF!</definedName>
    <definedName name="PINTUKACAALUM">#REF!</definedName>
    <definedName name="PINTUKACAKAYU">#REF!</definedName>
    <definedName name="pintupanel">#REF!</definedName>
    <definedName name="PintuPlyAl">#REF!</definedName>
    <definedName name="PintuPlyDbl">#REF!</definedName>
    <definedName name="pintuplywood">#REF!</definedName>
    <definedName name="pinturangkakacakayu\nonjasa">#REF!</definedName>
    <definedName name="pinturollingdoor">#REF!</definedName>
    <definedName name="pintutriplekmelamin\nonjasa">#REF!</definedName>
    <definedName name="PINTUTRIPLEMELAMINTO">#REF!</definedName>
    <definedName name="PINTUUKIR">#REF!</definedName>
    <definedName name="PIP">#REF!</definedName>
    <definedName name="PIPA">#REF!</definedName>
    <definedName name="pipa.3">#REF!</definedName>
    <definedName name="pipa.4">#REF!</definedName>
    <definedName name="pipa.6">#REF!</definedName>
    <definedName name="Pipa.l">#REF!</definedName>
    <definedName name="Pipa__pvc_maspion_D_ø_2">#REF!</definedName>
    <definedName name="Pipa__pvc_maspion_ø_4">#REF!</definedName>
    <definedName name="Pipa_beton_bertulang">#REF!</definedName>
    <definedName name="PIPA_GALVANIS_0.5">#REF!</definedName>
    <definedName name="PIPA_GALVANIS_0.75">#REF!</definedName>
    <definedName name="PIPA_GALVANIS_1.25">#REF!</definedName>
    <definedName name="PIPA_GALVANIS_1.5">#REF!</definedName>
    <definedName name="PIPA_GALVANIS_2">#REF!</definedName>
    <definedName name="Pipa_Galvanis_Ø_3">#REF!</definedName>
    <definedName name="Pipa_GI_ø_1">#REF!</definedName>
    <definedName name="Pipa_GI_ø_1_1_2">#REF!</definedName>
    <definedName name="Pipa_GI_ø_1_1_4">#REF!</definedName>
    <definedName name="Pipa_GI_ø_1_2">#REF!</definedName>
    <definedName name="Pipa_GI_ø_2">#REF!</definedName>
    <definedName name="Pipa_GI_ø_2_1_2">#REF!</definedName>
    <definedName name="Pipa_GI_ø_3">#REF!</definedName>
    <definedName name="Pipa_GI_ø_3_4">#REF!</definedName>
    <definedName name="pipa_gip_2">#REF!</definedName>
    <definedName name="pipa_gip_3">#REF!</definedName>
    <definedName name="Pipa_GIP_ø_1_1_2__medium_class">#REF!</definedName>
    <definedName name="PIPA_PVC_0.5">#REF!</definedName>
    <definedName name="PIPA_PVC_0.75">#REF!</definedName>
    <definedName name="PIPA_PVC_1">#REF!</definedName>
    <definedName name="PIPA_PVC_1.5">#REF!</definedName>
    <definedName name="PIPA_PVC_1_1_2_">#REF!</definedName>
    <definedName name="PIPA_PVC_2">#REF!</definedName>
    <definedName name="PIPA_PVC_2.5">#REF!</definedName>
    <definedName name="PIPA_PVC_3">#REF!</definedName>
    <definedName name="PIPA_PVC_4">#REF!</definedName>
    <definedName name="pipa_pvc6inc">#REF!</definedName>
    <definedName name="Pipa_rilling_steinles_steel_ø_2">#REF!</definedName>
    <definedName name="Pipa_Utilitas">#REF!</definedName>
    <definedName name="Pipa_variasi_rilling_steinles_steel_ø_3_4">#REF!</definedName>
    <definedName name="pipa1.2">#REF!</definedName>
    <definedName name="PIPA100">#REF!</definedName>
    <definedName name="PIPA100L">#REF!</definedName>
    <definedName name="pipa12">#REF!</definedName>
    <definedName name="PIPA125">#REF!</definedName>
    <definedName name="PIPA150">#REF!</definedName>
    <definedName name="PIPA20">#REF!</definedName>
    <definedName name="PIPA200">#REF!</definedName>
    <definedName name="PIPA25">#REF!</definedName>
    <definedName name="PIPA300">#REF!</definedName>
    <definedName name="PIPA300_5">#REF!</definedName>
    <definedName name="PIPA300_6">#REF!</definedName>
    <definedName name="PIPA300_7">#REF!</definedName>
    <definedName name="PIPA32">#REF!</definedName>
    <definedName name="PIPA40">#REF!</definedName>
    <definedName name="PIPA50">#REF!</definedName>
    <definedName name="PIPA65">#REF!</definedName>
    <definedName name="PIPA65_5">#REF!</definedName>
    <definedName name="PIPA65_6">#REF!</definedName>
    <definedName name="PIPA65_7">#REF!</definedName>
    <definedName name="PIPA80">#REF!</definedName>
    <definedName name="pipaaaaaa">#REF!</definedName>
    <definedName name="PipaBesi">#REF!</definedName>
    <definedName name="pipabeton60">#REF!</definedName>
    <definedName name="PIPABS">#N/A</definedName>
    <definedName name="pipabs2">#REF!</definedName>
    <definedName name="pipabs40">#REF!</definedName>
    <definedName name="PipaBSdia25">#REF!</definedName>
    <definedName name="PipaBSdia3">#REF!</definedName>
    <definedName name="PipaBSdia4">#REF!</definedName>
    <definedName name="PipaGalv">#REF!</definedName>
    <definedName name="PipaGalv153">#REF!</definedName>
    <definedName name="PIPAGALVANIS">#REF!</definedName>
    <definedName name="pipagalvanis1">#REF!</definedName>
    <definedName name="pipagalvanis1.1.5">#REF!</definedName>
    <definedName name="pipagalvanis3">#REF!</definedName>
    <definedName name="pipagalvanis4">#REF!</definedName>
    <definedName name="pipagi1.2">#REF!</definedName>
    <definedName name="pipagip05">#REF!</definedName>
    <definedName name="pipagip1">#REF!</definedName>
    <definedName name="pipagip34">#REF!</definedName>
    <definedName name="pipagorong">#REF!</definedName>
    <definedName name="pipagsp">#REF!</definedName>
    <definedName name="pipapvc10">#REF!</definedName>
    <definedName name="pipapvc5">#REF!</definedName>
    <definedName name="pipapvc5.8">#REF!</definedName>
    <definedName name="piparel25">#REF!</definedName>
    <definedName name="Pipasparing">#REF!</definedName>
    <definedName name="pipastainlees">#REF!</definedName>
    <definedName name="PIPE">#REF!</definedName>
    <definedName name="PIPE_4_">#REF!</definedName>
    <definedName name="PIPE_SMLS_CS_A106_B_SCH80_T_C_SRL">#REF!</definedName>
    <definedName name="pipin">#REF!</definedName>
    <definedName name="pipo">#REF!</definedName>
    <definedName name="PIUTANGHOTMIX">#REF!</definedName>
    <definedName name="pj">#REF!</definedName>
    <definedName name="PJ.5">#REF!</definedName>
    <definedName name="PJ.6">#REF!</definedName>
    <definedName name="pj_a1">[95]satuan_pek_ars!#REF!</definedName>
    <definedName name="pja_1a">[95]satuan_pek_ars!#REF!</definedName>
    <definedName name="pja_4">[95]satuan_pek_ars!#REF!</definedName>
    <definedName name="pja_5">[95]satuan_pek_ars!#REF!</definedName>
    <definedName name="pja_6">[95]satuan_pek_ars!#REF!</definedName>
    <definedName name="pja_7a">[95]satuan_pek_ars!#REF!</definedName>
    <definedName name="PJG">#REF!</definedName>
    <definedName name="PJJalusiKamper">#REF!</definedName>
    <definedName name="pjk">#REF!</definedName>
    <definedName name="PJKacaKamper">#REF!</definedName>
    <definedName name="PJKrepyak">#REF!</definedName>
    <definedName name="Pk">#REF!</definedName>
    <definedName name="PK.01">#REF!</definedName>
    <definedName name="PK.01B">#REF!</definedName>
    <definedName name="PK.01G">#REF!</definedName>
    <definedName name="PK.02">#REF!</definedName>
    <definedName name="PK.02B">#REF!</definedName>
    <definedName name="PK.02G">#REF!</definedName>
    <definedName name="PK.03">#REF!</definedName>
    <definedName name="PK.03B">#REF!</definedName>
    <definedName name="PK.03G">#REF!</definedName>
    <definedName name="PK.04">#REF!</definedName>
    <definedName name="PK.04B">#REF!</definedName>
    <definedName name="PK.04G">#REF!</definedName>
    <definedName name="PK.05">#REF!</definedName>
    <definedName name="PK.05B">#REF!</definedName>
    <definedName name="PK.05G">#REF!</definedName>
    <definedName name="PK.06">#REF!</definedName>
    <definedName name="PK.06B">#REF!</definedName>
    <definedName name="PK.06G">#REF!</definedName>
    <definedName name="PK.07">#REF!</definedName>
    <definedName name="PK.07B">#REF!</definedName>
    <definedName name="PK.07G">#REF!</definedName>
    <definedName name="PK.08">#REF!</definedName>
    <definedName name="PK.08B">#REF!</definedName>
    <definedName name="PK.08G">#REF!</definedName>
    <definedName name="PK.09">#REF!</definedName>
    <definedName name="PK.09B">#REF!</definedName>
    <definedName name="PK.09G">#REF!</definedName>
    <definedName name="PK.10">#REF!</definedName>
    <definedName name="PK.10B">#REF!</definedName>
    <definedName name="PK.10G">#REF!</definedName>
    <definedName name="PK.11">#REF!</definedName>
    <definedName name="PK.11B">#REF!</definedName>
    <definedName name="PK.11G">#REF!</definedName>
    <definedName name="PK.12">#REF!</definedName>
    <definedName name="PK.12B">#REF!</definedName>
    <definedName name="PK.12G">#REF!</definedName>
    <definedName name="PK.13">#REF!</definedName>
    <definedName name="PK.13B">#REF!</definedName>
    <definedName name="PK.13G">#REF!</definedName>
    <definedName name="PK.14">#REF!</definedName>
    <definedName name="PK.14B">#REF!</definedName>
    <definedName name="PK.14G">#REF!</definedName>
    <definedName name="PK.15">#REF!</definedName>
    <definedName name="PK.15B">#REF!</definedName>
    <definedName name="PK.15G">#REF!</definedName>
    <definedName name="PK.16">#REF!</definedName>
    <definedName name="PK.16B">#REF!</definedName>
    <definedName name="PK.16G">#REF!</definedName>
    <definedName name="PK.17">#REF!</definedName>
    <definedName name="PK.17B">#REF!</definedName>
    <definedName name="PK.17G">#REF!</definedName>
    <definedName name="PK.18">#REF!</definedName>
    <definedName name="PK.18B">#REF!</definedName>
    <definedName name="PK.18G">#REF!</definedName>
    <definedName name="PK.19">#REF!</definedName>
    <definedName name="PK.19B">#REF!</definedName>
    <definedName name="PK.19G">#REF!</definedName>
    <definedName name="PK.20">#REF!</definedName>
    <definedName name="PK.20B">#REF!</definedName>
    <definedName name="PK.20G">#REF!</definedName>
    <definedName name="PK.21">#REF!</definedName>
    <definedName name="PK.21B">#REF!</definedName>
    <definedName name="PK.21G">#REF!</definedName>
    <definedName name="PK.22">#REF!</definedName>
    <definedName name="PK.22B">#REF!</definedName>
    <definedName name="PK.22G">#REF!</definedName>
    <definedName name="PK.23">#REF!</definedName>
    <definedName name="PK.23B">#REF!</definedName>
    <definedName name="PK.23G">#REF!</definedName>
    <definedName name="PK.24">#REF!</definedName>
    <definedName name="PK.24B">#REF!</definedName>
    <definedName name="PK.24G">#REF!</definedName>
    <definedName name="PK.25">#REF!</definedName>
    <definedName name="PK.25B">#REF!</definedName>
    <definedName name="PK.25G">#REF!</definedName>
    <definedName name="PK.26">#REF!</definedName>
    <definedName name="PK.26B">#REF!</definedName>
    <definedName name="PK.26G">#REF!</definedName>
    <definedName name="PK.27">#REF!</definedName>
    <definedName name="PK.27B">#REF!</definedName>
    <definedName name="PK.27G">#REF!</definedName>
    <definedName name="PK.28">#REF!</definedName>
    <definedName name="PK.28B">#REF!</definedName>
    <definedName name="PK.28G">#REF!</definedName>
    <definedName name="pk_1011">#REF!</definedName>
    <definedName name="pk_1012">#REF!</definedName>
    <definedName name="pk_1013">#REF!</definedName>
    <definedName name="pk_10a">#REF!</definedName>
    <definedName name="pk_10c">#REF!</definedName>
    <definedName name="pk_10e">#REF!</definedName>
    <definedName name="pk_1a">[95]satuan_pek_ars!#REF!</definedName>
    <definedName name="pk_2">[95]satuan_pek_ars!#REF!</definedName>
    <definedName name="pk_21">#REF!</definedName>
    <definedName name="pk_22">#REF!</definedName>
    <definedName name="pk_22_manual">#REF!</definedName>
    <definedName name="pk_22_mekanik">#REF!</definedName>
    <definedName name="pk_233">#REF!</definedName>
    <definedName name="pk_3">[95]satuan_pek_ars!#REF!</definedName>
    <definedName name="pk_311">#REF!</definedName>
    <definedName name="pk_312">#REF!</definedName>
    <definedName name="pk_313">#REF!</definedName>
    <definedName name="pk_321">#REF!</definedName>
    <definedName name="pk_322">#REF!</definedName>
    <definedName name="pk_322_b2">#REF!</definedName>
    <definedName name="pk_322_karang">#REF!</definedName>
    <definedName name="pk_33">#REF!</definedName>
    <definedName name="pk_4">[95]satuan_pek_ars!#REF!</definedName>
    <definedName name="pk_412">#REF!</definedName>
    <definedName name="pk_428">#REF!</definedName>
    <definedName name="pk_5">[95]satuan_pek_ars!#REF!</definedName>
    <definedName name="pk_511">#REF!</definedName>
    <definedName name="pk_512">#REF!</definedName>
    <definedName name="pk_522">#REF!</definedName>
    <definedName name="pk_541">#REF!</definedName>
    <definedName name="pk_541b">#REF!</definedName>
    <definedName name="pk_542">#REF!</definedName>
    <definedName name="pk_5a">[95]satuan_pek_ars!#REF!</definedName>
    <definedName name="pk_6">[95]satuan_pek_ars!#REF!</definedName>
    <definedName name="pk_611">#REF!</definedName>
    <definedName name="pk_612">#REF!</definedName>
    <definedName name="pk_631">#REF!</definedName>
    <definedName name="pk_631_man">#REF!</definedName>
    <definedName name="pk_632">#REF!</definedName>
    <definedName name="pk_633">#REF!</definedName>
    <definedName name="pk_66">#REF!</definedName>
    <definedName name="pk_66_permukaan">#REF!</definedName>
    <definedName name="pk_7">[95]satuan_pek_ars!#REF!</definedName>
    <definedName name="pk_7103">#REF!</definedName>
    <definedName name="pk_7110">#REF!</definedName>
    <definedName name="pk_713">#REF!</definedName>
    <definedName name="pk_715">#REF!</definedName>
    <definedName name="pk_715b">#REF!</definedName>
    <definedName name="pk_718">#REF!</definedName>
    <definedName name="pk_719">#REF!</definedName>
    <definedName name="pk_731">#REF!</definedName>
    <definedName name="pk_741">#REF!</definedName>
    <definedName name="pk_751">#REF!</definedName>
    <definedName name="pk_752">#REF!</definedName>
    <definedName name="pk_7612">#REF!</definedName>
    <definedName name="pk_768">#REF!</definedName>
    <definedName name="pk_79_mekanik">#REF!</definedName>
    <definedName name="pk_7a">[95]satuan_pek_ars!#REF!</definedName>
    <definedName name="pk_811">#REF!</definedName>
    <definedName name="pk_812">#REF!</definedName>
    <definedName name="pk_817">#REF!</definedName>
    <definedName name="pk_845">#REF!</definedName>
    <definedName name="pk_852a">#REF!</definedName>
    <definedName name="pk_852b">#REF!</definedName>
    <definedName name="PK_FE">#REF!</definedName>
    <definedName name="PK_GIP_40">#REF!</definedName>
    <definedName name="PK_HEAD">#REF!</definedName>
    <definedName name="pk_TPancang">#REF!</definedName>
    <definedName name="pkb_1020">#REF!</definedName>
    <definedName name="pkb_10202">#REF!</definedName>
    <definedName name="pkb_1030">#REF!</definedName>
    <definedName name="PKC">#REF!</definedName>
    <definedName name="pkd_2020">#REF!</definedName>
    <definedName name="pkd_3030">#REF!</definedName>
    <definedName name="PKD12p">#REF!</definedName>
    <definedName name="PKD12w">#REF!</definedName>
    <definedName name="pkhr">[160]HSD!$H$45</definedName>
    <definedName name="pkj">#REF!</definedName>
    <definedName name="pkl_2020">#REF!</definedName>
    <definedName name="pkl_3030">#REF!</definedName>
    <definedName name="pkl_3333">#REF!</definedName>
    <definedName name="pkl_4040">#REF!</definedName>
    <definedName name="pkl_6060">#REF!</definedName>
    <definedName name="PKL33p">#REF!</definedName>
    <definedName name="PKL33w">#REF!</definedName>
    <definedName name="pklsi">#REF!</definedName>
    <definedName name="PKmpS">#REF!</definedName>
    <definedName name="pkp">#REF!</definedName>
    <definedName name="pkpmp">#REF!</definedName>
    <definedName name="PKRJ">#REF!</definedName>
    <definedName name="pkst">#REF!</definedName>
    <definedName name="Pku">#REF!</definedName>
    <definedName name="PL">#REF!</definedName>
    <definedName name="pl_13">#REF!</definedName>
    <definedName name="PlafAsbes">#REF!</definedName>
    <definedName name="PlafEternit">#REF!</definedName>
    <definedName name="PlafGedeg">#REF!</definedName>
    <definedName name="PlafGedegExpose">#REF!</definedName>
    <definedName name="plafgrc6">#REF!</definedName>
    <definedName name="plafgyp9">#REF!</definedName>
    <definedName name="PlafGypsum">#REF!</definedName>
    <definedName name="PlafKalsiboard">#REF!</definedName>
    <definedName name="plafond">#REF!</definedName>
    <definedName name="PLAFOND_EXPOSE">#REF!</definedName>
    <definedName name="PLAFOND_GYPSUM_METALFURING">#REF!</definedName>
    <definedName name="plafond_gyptile">#REF!</definedName>
    <definedName name="PLAFOND_KALSIBOARD_RANGKA_METALFURING">#REF!</definedName>
    <definedName name="PLAFOND_LAMBRIZIRING_KAYU">#REF!</definedName>
    <definedName name="PLAFOND_LAMBRIZIRING_RANGKA_KAYU">#REF!</definedName>
    <definedName name="PLAFOND1">#REF!</definedName>
    <definedName name="plafond9">[31]ARTAGDING!#REF!</definedName>
    <definedName name="PlafondCalsibord">#REF!</definedName>
    <definedName name="plafondcalsium">#REF!</definedName>
    <definedName name="Plafondeternit">#REF!</definedName>
    <definedName name="Plafondgedeg">#REF!</definedName>
    <definedName name="PlafondGRC4mm">#REF!</definedName>
    <definedName name="plafondgrcmotif">#REF!</definedName>
    <definedName name="plafondgyp10">[34]harsat!$H$134</definedName>
    <definedName name="plafondgyp9">[34]harsat!$H$133</definedName>
    <definedName name="plafondgypsum9mm">#REF!</definedName>
    <definedName name="PlafondGypsumRHollow">#REF!</definedName>
    <definedName name="plafondgypwp9">[34]harsat!$H$135</definedName>
    <definedName name="plafondplywood">#REF!</definedName>
    <definedName name="plafondreider">#REF!</definedName>
    <definedName name="Plafondtripekspose">#REF!</definedName>
    <definedName name="Plafondtriplek">#REF!</definedName>
    <definedName name="PlafPlyrangka">#REF!</definedName>
    <definedName name="PlafTripleks">#REF!</definedName>
    <definedName name="plagyp">#REF!</definedName>
    <definedName name="plagyp9">#REF!</definedName>
    <definedName name="PlAl3">#REF!</definedName>
    <definedName name="PLAM">[10]Material!$F$45</definedName>
    <definedName name="plamir">'[21]Harga Satuan Bahan'!$E$25</definedName>
    <definedName name="plamir.k">#REF!</definedName>
    <definedName name="plamir.t">#REF!</definedName>
    <definedName name="Plamir_tembok">#REF!</definedName>
    <definedName name="plamirkayu">#REF!</definedName>
    <definedName name="plamirtbk">#REF!</definedName>
    <definedName name="plamur">#REF!</definedName>
    <definedName name="plamur.matex">#REF!</definedName>
    <definedName name="plamur_kayu">#REF!</definedName>
    <definedName name="plamur_tembok">#REF!</definedName>
    <definedName name="plamurkayu">#REF!</definedName>
    <definedName name="plamurtembok">#REF!</definedName>
    <definedName name="PLAMUUR">#N/A</definedName>
    <definedName name="PLANT1">#REF!</definedName>
    <definedName name="PLANT10">#REF!</definedName>
    <definedName name="PLANT100">#REF!</definedName>
    <definedName name="PLANT101">#REF!</definedName>
    <definedName name="PLANT102">#REF!</definedName>
    <definedName name="PLANT103">#REF!</definedName>
    <definedName name="PLANT104">#REF!</definedName>
    <definedName name="PLANT105">#REF!</definedName>
    <definedName name="PLANT106">#REF!</definedName>
    <definedName name="PLANT107">#REF!</definedName>
    <definedName name="PLANT108">#REF!</definedName>
    <definedName name="PLANT109">#REF!</definedName>
    <definedName name="PLANT11">#REF!</definedName>
    <definedName name="PLANT110">#REF!</definedName>
    <definedName name="PLANT111">#REF!</definedName>
    <definedName name="PLANT112">#REF!</definedName>
    <definedName name="PLANT113">#REF!</definedName>
    <definedName name="PLANT114">#REF!</definedName>
    <definedName name="PLANT115">#REF!</definedName>
    <definedName name="PLANT116">#REF!</definedName>
    <definedName name="PLANT12">#REF!</definedName>
    <definedName name="PLANT13">#REF!</definedName>
    <definedName name="PLANT14">#REF!</definedName>
    <definedName name="PLANT15">#REF!</definedName>
    <definedName name="PLANT16">#REF!</definedName>
    <definedName name="PLANT17">#REF!</definedName>
    <definedName name="PLANT18">#REF!</definedName>
    <definedName name="PLANT19">#REF!</definedName>
    <definedName name="PLANT2">#REF!</definedName>
    <definedName name="PLANT20">#REF!</definedName>
    <definedName name="PLANT21">#REF!</definedName>
    <definedName name="PLANT22">#REF!</definedName>
    <definedName name="PLANT23">#REF!</definedName>
    <definedName name="PLANT24">#REF!</definedName>
    <definedName name="PLANT25">#REF!</definedName>
    <definedName name="PLANT26">#REF!</definedName>
    <definedName name="PLANT27">#REF!</definedName>
    <definedName name="PLANT28">#REF!</definedName>
    <definedName name="PLANT29">#REF!</definedName>
    <definedName name="PLANT3">#REF!</definedName>
    <definedName name="PLANT30">#REF!</definedName>
    <definedName name="PLANT31">#REF!</definedName>
    <definedName name="PLANT32">#REF!</definedName>
    <definedName name="PLANT33">#REF!</definedName>
    <definedName name="PLANT34">#REF!</definedName>
    <definedName name="PLANT35">#REF!</definedName>
    <definedName name="PLANT36">#REF!</definedName>
    <definedName name="PLANT37">#REF!</definedName>
    <definedName name="PLANT38">#REF!</definedName>
    <definedName name="PLANT39">#REF!</definedName>
    <definedName name="PLANT4">#REF!</definedName>
    <definedName name="PLANT40">#REF!</definedName>
    <definedName name="PLANT41">#REF!</definedName>
    <definedName name="PLANT42">#REF!</definedName>
    <definedName name="PLANT43">#REF!</definedName>
    <definedName name="PLANT44">#REF!</definedName>
    <definedName name="PLANT45">#REF!</definedName>
    <definedName name="PLANT46">#REF!</definedName>
    <definedName name="PLANT47">#REF!</definedName>
    <definedName name="PLANT48">#REF!</definedName>
    <definedName name="PLANT49">#REF!</definedName>
    <definedName name="PLANT5">#REF!</definedName>
    <definedName name="PLANT50">#REF!</definedName>
    <definedName name="PLANT51">#REF!</definedName>
    <definedName name="PLANT52">#REF!</definedName>
    <definedName name="PLANT53">#REF!</definedName>
    <definedName name="PLANT54">#REF!</definedName>
    <definedName name="PLANT55">#REF!</definedName>
    <definedName name="PLANT56">#REF!</definedName>
    <definedName name="PLANT57">#REF!</definedName>
    <definedName name="PLANT58">#REF!</definedName>
    <definedName name="PLANT59">#REF!</definedName>
    <definedName name="PLANT6">#REF!</definedName>
    <definedName name="PLANT60">#REF!</definedName>
    <definedName name="PLANT61">#REF!</definedName>
    <definedName name="PLANT62">#REF!</definedName>
    <definedName name="PLANT63">#REF!</definedName>
    <definedName name="PLANT64">#REF!</definedName>
    <definedName name="PLANT65">#REF!</definedName>
    <definedName name="PLANT66">#REF!</definedName>
    <definedName name="PLANT67">#REF!</definedName>
    <definedName name="PLANT68">#REF!</definedName>
    <definedName name="PLANT69">#REF!</definedName>
    <definedName name="PLANT7">#REF!</definedName>
    <definedName name="PLANT70">#REF!</definedName>
    <definedName name="PLANT71">#REF!</definedName>
    <definedName name="PLANT72">#REF!</definedName>
    <definedName name="PLANT73">#REF!</definedName>
    <definedName name="PLANT74">#REF!</definedName>
    <definedName name="PLANT75">#REF!</definedName>
    <definedName name="PLANT76">#REF!</definedName>
    <definedName name="PLANT77">#REF!</definedName>
    <definedName name="PLANT78">#REF!</definedName>
    <definedName name="PLANT79">#REF!</definedName>
    <definedName name="PLANT8">#REF!</definedName>
    <definedName name="PLANT81">#REF!</definedName>
    <definedName name="PLANT82">#REF!</definedName>
    <definedName name="PLANT83">#REF!</definedName>
    <definedName name="PLANT84">#REF!</definedName>
    <definedName name="PLANT85">#REF!</definedName>
    <definedName name="PLANT86">#REF!</definedName>
    <definedName name="PLANT87">#REF!</definedName>
    <definedName name="PLANT88">#REF!</definedName>
    <definedName name="PLANT89">#REF!</definedName>
    <definedName name="PLANT9">#REF!</definedName>
    <definedName name="PLANT90">#REF!</definedName>
    <definedName name="PLANT91">#REF!</definedName>
    <definedName name="PLANT92">#REF!</definedName>
    <definedName name="PLANT93">#REF!</definedName>
    <definedName name="PLANT94">#REF!</definedName>
    <definedName name="PLANT95">#REF!</definedName>
    <definedName name="PLANT96">#REF!</definedName>
    <definedName name="PLANT97">#REF!</definedName>
    <definedName name="PLANT98">#REF!</definedName>
    <definedName name="PLANT99">#REF!</definedName>
    <definedName name="Plants">#REF!</definedName>
    <definedName name="Plants1">#REF!</definedName>
    <definedName name="plantshurb">#REF!</definedName>
    <definedName name="planttree">#REF!</definedName>
    <definedName name="Plap">#REF!</definedName>
    <definedName name="plapla">#REF!</definedName>
    <definedName name="plaponcalci">#REF!</definedName>
    <definedName name="plapondsuspen">#REF!</definedName>
    <definedName name="plapongrc">#REF!</definedName>
    <definedName name="plapongyf">#REF!</definedName>
    <definedName name="PLas">#REF!</definedName>
    <definedName name="plaster13">[24]Analisa!#REF!</definedName>
    <definedName name="plaster14">[31]SEMANAN!$I$265</definedName>
    <definedName name="plaster15">'[148]FLAF&amp;PARTSI'!#REF!</definedName>
    <definedName name="PLASTIK">#REF!</definedName>
    <definedName name="Plastik_cor">#REF!</definedName>
    <definedName name="PLAT">#REF!</definedName>
    <definedName name="PLAT_15">#REF!</definedName>
    <definedName name="Plat_Bed_Truck">#REF!</definedName>
    <definedName name="PLAT_D">#REF!</definedName>
    <definedName name="Plat_lantai______t_20_cm">#N/A</definedName>
    <definedName name="Plat_lantai______t_20_cm_19">"$#REF!.$#REF!$#REF!"</definedName>
    <definedName name="PLAT_LANTAI_100KG">#REF!</definedName>
    <definedName name="PLAT_LANTAI_110KG">#REF!</definedName>
    <definedName name="PLAT_LANTAI_120KG">#REF!</definedName>
    <definedName name="PLAT_LANTAI_130KG">#REF!</definedName>
    <definedName name="PLAT_LANTAI_140KG">#REF!</definedName>
    <definedName name="PLAT_LANTAI_150KG">#REF!</definedName>
    <definedName name="PLAT_LANTAI_160KG">#REF!</definedName>
    <definedName name="PLAT_LANTAI_170KG">#REF!</definedName>
    <definedName name="PLAT_LANTAI_180KG">#REF!</definedName>
    <definedName name="PLAT_LANTAI_190KG">#REF!</definedName>
    <definedName name="PLAT_LANTAI_200KG">#REF!</definedName>
    <definedName name="PLAT_TANGGA_100KG">#REF!</definedName>
    <definedName name="PLAT_TANGGA_110KG">#REF!</definedName>
    <definedName name="PLAT_TANGGA_120KG">#REF!</definedName>
    <definedName name="PLAT_TANGGA_130KG">#REF!</definedName>
    <definedName name="PLAT_TANGGA_140KG">#REF!</definedName>
    <definedName name="PLAT_TANGGA_150KG">#REF!</definedName>
    <definedName name="PLAT_TANGGA_160KG">#REF!</definedName>
    <definedName name="PLAT_TANGGA_170KG">#REF!</definedName>
    <definedName name="PLAT_TANGGA_180KG">#REF!</definedName>
    <definedName name="PLAT_TANGGA_190KG">#REF!</definedName>
    <definedName name="PLAT_TANGGA_200KG">#REF!</definedName>
    <definedName name="PLAT10">#REF!</definedName>
    <definedName name="PLAT12">#REF!</definedName>
    <definedName name="PLAT12_1">#REF!</definedName>
    <definedName name="PLAT12_MZ">#REF!</definedName>
    <definedName name="PLAT15">#REF!</definedName>
    <definedName name="PLAT20">#REF!</definedName>
    <definedName name="PLAT8">#REF!</definedName>
    <definedName name="platbordes">#REF!</definedName>
    <definedName name="PLATD">#REF!</definedName>
    <definedName name="plate">#REF!</definedName>
    <definedName name="platkopel">#REF!</definedName>
    <definedName name="Platkuda2">#REF!</definedName>
    <definedName name="Platlantaimesh2lps">#REF!</definedName>
    <definedName name="PLATPEBGAKU">#N/A</definedName>
    <definedName name="PLATSAMBUNGANT10MM">#REF!</definedName>
    <definedName name="platseng60">#REF!</definedName>
    <definedName name="plaza">#REF!</definedName>
    <definedName name="plb">#REF!</definedName>
    <definedName name="plbh123">#REF!</definedName>
    <definedName name="PLBS">#REF!</definedName>
    <definedName name="PLBSM">#REF!</definedName>
    <definedName name="PLD">#REF!</definedName>
    <definedName name="Ples_Ppalihn">#REF!</definedName>
    <definedName name="Ples12">#REF!</definedName>
    <definedName name="ples13">#REF!</definedName>
    <definedName name="Ples13_15cm">#REF!</definedName>
    <definedName name="Ples15">#REF!</definedName>
    <definedName name="Ples15_15cm">#REF!</definedName>
    <definedName name="Ples15pepalihan">#REF!</definedName>
    <definedName name="Ples16">#REF!</definedName>
    <definedName name="Ples16_15cm">#REF!</definedName>
    <definedName name="PlesBtn13_15cm">#REF!</definedName>
    <definedName name="PlesDD14">#REF!</definedName>
    <definedName name="pleser14">#REF!</definedName>
    <definedName name="plest">#REF!</definedName>
    <definedName name="Plest_Screet13_35cm">#REF!</definedName>
    <definedName name="plest16">#REF!</definedName>
    <definedName name="plest3">#REF!</definedName>
    <definedName name="plest5">#REF!</definedName>
    <definedName name="pleste">#REF!</definedName>
    <definedName name="PLESTER">#REF!</definedName>
    <definedName name="PLESTER_1_2">#REF!</definedName>
    <definedName name="PLESTER_1_3">#REF!</definedName>
    <definedName name="PLESTER_1_5">#REF!</definedName>
    <definedName name="PLESTER_SIAR_1_2">#REF!</definedName>
    <definedName name="plester12">#REF!</definedName>
    <definedName name="PLESTER13">#REF!</definedName>
    <definedName name="plester14">#REF!</definedName>
    <definedName name="PLESTER15">#REF!</definedName>
    <definedName name="plester3">#REF!</definedName>
    <definedName name="plester4">#REF!</definedName>
    <definedName name="plester5">#REF!</definedName>
    <definedName name="PLESTERAN">[97]ARSITEKTUR!#REF!</definedName>
    <definedName name="PLESTERAN_1_3_1">#REF!</definedName>
    <definedName name="PLESTERAN_1_3_10">#REF!</definedName>
    <definedName name="PLESTERAN_1_3_12">#REF!</definedName>
    <definedName name="PLESTERAN_1_3_7">#REF!</definedName>
    <definedName name="PLESTERAN_1_3_8">#REF!</definedName>
    <definedName name="Plesteran_1_4">#REF!</definedName>
    <definedName name="plesteran1.3">#REF!</definedName>
    <definedName name="plesteran1.5">#REF!</definedName>
    <definedName name="Plesteran13">#REF!</definedName>
    <definedName name="Plesteran15">#REF!</definedName>
    <definedName name="PlesteranSiaran12">#REF!</definedName>
    <definedName name="plesterbeton">#REF!</definedName>
    <definedName name="plestrpepalihan">#REF!</definedName>
    <definedName name="plestsim">#REF!</definedName>
    <definedName name="PlfnGdgExpos">#REF!</definedName>
    <definedName name="PlfondEternitbaru">#REF!</definedName>
    <definedName name="Plfondgedegekspose">#REF!</definedName>
    <definedName name="PLIN">#REF!</definedName>
    <definedName name="PLINGRA">#REF!</definedName>
    <definedName name="plinkeramik10x40">#REF!</definedName>
    <definedName name="plint">#REF!</definedName>
    <definedName name="PLINT_10x30">#REF!</definedName>
    <definedName name="PLINT_10x40">#REF!</definedName>
    <definedName name="PLINT_10X50">#REF!</definedName>
    <definedName name="plint_keramik_10_20">#REF!</definedName>
    <definedName name="plint_keramik_10_30">#REF!</definedName>
    <definedName name="Plint1030">#REF!</definedName>
    <definedName name="plint1040">#REF!</definedName>
    <definedName name="plint20">#REF!</definedName>
    <definedName name="plint30">#REF!</definedName>
    <definedName name="plint30polis">#REF!</definedName>
    <definedName name="plint40">#REF!</definedName>
    <definedName name="plintessenza1040">#REF!</definedName>
    <definedName name="plintgranit1060">#REF!</definedName>
    <definedName name="plinthomo1060">#REF!</definedName>
    <definedName name="plintk">#REF!</definedName>
    <definedName name="PlintKayu">#REF!</definedName>
    <definedName name="plintkayujati">#REF!</definedName>
    <definedName name="Plintkeramik">#REF!</definedName>
    <definedName name="plintkeramik1030">#REF!</definedName>
    <definedName name="plintkr">#REF!</definedName>
    <definedName name="plintvinyl">[93]Rekap!$H$42</definedName>
    <definedName name="plit">#REF!</definedName>
    <definedName name="plitur">#REF!</definedName>
    <definedName name="PLK">#REF!</definedName>
    <definedName name="PLKerja">#REF!</definedName>
    <definedName name="pllla">#REF!</definedName>
    <definedName name="plm_1560">#REF!</definedName>
    <definedName name="plm_d">#REF!</definedName>
    <definedName name="plms">'[35]Harga Satuan Bahan'!$E$41</definedName>
    <definedName name="Plmtb">#REF!</definedName>
    <definedName name="PLP">#REF!</definedName>
    <definedName name="PLT">#REF!</definedName>
    <definedName name="PLT.LT.101">#REF!</definedName>
    <definedName name="PLT.LT.101B">#REF!</definedName>
    <definedName name="PLT.LT.101E">#REF!</definedName>
    <definedName name="PLT.LT.102">#REF!</definedName>
    <definedName name="PLT.LT.102B">#REF!</definedName>
    <definedName name="PLT.LT.102E">#REF!</definedName>
    <definedName name="PLT.LT.103">#REF!</definedName>
    <definedName name="PLT.LT.103B">#REF!</definedName>
    <definedName name="PLT.LT.103E">#REF!</definedName>
    <definedName name="PLT.LT.104">#REF!</definedName>
    <definedName name="PLT.LT.104B">#REF!</definedName>
    <definedName name="PLT.LT.104E">#REF!</definedName>
    <definedName name="pltg">'[21]Harga Satuan Bahan'!$E$155</definedName>
    <definedName name="pltgkb">'[21]Harga Satuan Bahan'!#REF!</definedName>
    <definedName name="pltgls">'[21]Harga Satuan Bahan'!#REF!</definedName>
    <definedName name="pltgwr10">'[21]Harga Satuan Bahan'!#REF!</definedName>
    <definedName name="pltgwr15">'[21]Harga Satuan Bahan'!#REF!</definedName>
    <definedName name="plum">#REF!</definedName>
    <definedName name="plum_1">#REF!</definedName>
    <definedName name="plum_2">#REF!</definedName>
    <definedName name="plum_2_1">#REF!</definedName>
    <definedName name="plum_3">#REF!</definedName>
    <definedName name="plum_3_4">#REF!</definedName>
    <definedName name="plum_3_6">#REF!</definedName>
    <definedName name="plum_3_7">#REF!</definedName>
    <definedName name="plum_4">#REF!</definedName>
    <definedName name="plum_4_1">#REF!</definedName>
    <definedName name="plum_4_2">#REF!</definedName>
    <definedName name="plum_4_4">#REF!</definedName>
    <definedName name="plum_4_6">#REF!</definedName>
    <definedName name="plum_4_7">#REF!</definedName>
    <definedName name="plum_5">#REF!</definedName>
    <definedName name="plum_5_2">#REF!</definedName>
    <definedName name="plum_5_4">#REF!</definedName>
    <definedName name="plum_5_6">#REF!</definedName>
    <definedName name="plum_5_7">#REF!</definedName>
    <definedName name="plum_6">#REF!</definedName>
    <definedName name="plum_6_1">#REF!</definedName>
    <definedName name="plum_6_4">#REF!</definedName>
    <definedName name="plum_6_6">#REF!</definedName>
    <definedName name="plum_6_7">#REF!</definedName>
    <definedName name="plum_7">#REF!</definedName>
    <definedName name="plus">[168]PileCap!$S$1</definedName>
    <definedName name="PLY_10">#REF!</definedName>
    <definedName name="PLY_6">#REF!</definedName>
    <definedName name="ply18_4x8_1">#REF!</definedName>
    <definedName name="ply18_4x8_2">#REF!</definedName>
    <definedName name="ply4_4x8">#REF!</definedName>
    <definedName name="PlyAlum">#REF!</definedName>
    <definedName name="plyw18">[83]Sheet1!$H$31</definedName>
    <definedName name="plywood_9mm">#REF!</definedName>
    <definedName name="Plywood15">#REF!</definedName>
    <definedName name="plywood4">#REF!</definedName>
    <definedName name="plywood4mm">#REF!</definedName>
    <definedName name="plywood9">#REF!</definedName>
    <definedName name="plywood9mm">#REF!</definedName>
    <definedName name="PM">#REF!</definedName>
    <definedName name="pmalam">#REF!</definedName>
    <definedName name="pmbttkg">#REF!</definedName>
    <definedName name="pmeranti">#REF!</definedName>
    <definedName name="pml_6060">#REF!</definedName>
    <definedName name="Pmlm">#REF!</definedName>
    <definedName name="pmp">#REF!</definedName>
    <definedName name="pmunding">#REF!</definedName>
    <definedName name="PMUP">#REF!</definedName>
    <definedName name="PN">#REF!</definedName>
    <definedName name="pn10sd0.5">#REF!</definedName>
    <definedName name="pn10sd0.75">#REF!</definedName>
    <definedName name="pn10sd1">#REF!</definedName>
    <definedName name="pn10sd1.25">#REF!</definedName>
    <definedName name="pn10sd1.5">#REF!</definedName>
    <definedName name="pn10sd2">#REF!</definedName>
    <definedName name="pn10sd2.5">#REF!</definedName>
    <definedName name="pn10sd3">#REF!</definedName>
    <definedName name="pn10sd4">#REF!</definedName>
    <definedName name="pn20sd0.5">#REF!</definedName>
    <definedName name="pn20sd0.75">#REF!</definedName>
    <definedName name="pn20sd1">#REF!</definedName>
    <definedName name="pn20sd1.25">#REF!</definedName>
    <definedName name="pn20sd1.5">#REF!</definedName>
    <definedName name="pn20sd2">#REF!</definedName>
    <definedName name="pn20sd2.5">#REF!</definedName>
    <definedName name="pn20sd3">#REF!</definedName>
    <definedName name="pn20sd4">#REF!</definedName>
    <definedName name="pnc_1030">#REF!</definedName>
    <definedName name="pnepiezo">#REF!</definedName>
    <definedName name="Pneumatic_Jack_Hummer">#REF!</definedName>
    <definedName name="Pneumatic_Tyre_Roller">#REF!</definedName>
    <definedName name="PNL">#REF!</definedName>
    <definedName name="pntbs">#REF!</definedName>
    <definedName name="Pnyatoh">#REF!</definedName>
    <definedName name="PO">'[45]Sat~Bahu'!$C$13</definedName>
    <definedName name="POCE">#REF!</definedName>
    <definedName name="PODetail">#REF!</definedName>
    <definedName name="PODIUMBLOCK">#REF!</definedName>
    <definedName name="POER">#REF!</definedName>
    <definedName name="poerp1">#REF!</definedName>
    <definedName name="poerp2">#REF!</definedName>
    <definedName name="poerp3">#REF!</definedName>
    <definedName name="poerp4">#REF!</definedName>
    <definedName name="poerp5">#REF!</definedName>
    <definedName name="poerp6">#REF!</definedName>
    <definedName name="poerp8">#REF!</definedName>
    <definedName name="poerp9">#REF!</definedName>
    <definedName name="Pohon">#REF!</definedName>
    <definedName name="pohonbambukuning\unit">#REF!</definedName>
    <definedName name="pohoncemara\unit">#REF!</definedName>
    <definedName name="pohonketapang\unit">#REF!</definedName>
    <definedName name="pohonlantana\unit">#REF!</definedName>
    <definedName name="pohonmanggis\unit">#REF!</definedName>
    <definedName name="pohonpalemraja\unit">#REF!</definedName>
    <definedName name="pohonthetehan\unit">#REF!</definedName>
    <definedName name="pol">#REF!</definedName>
    <definedName name="pol.clr">#REF!</definedName>
    <definedName name="polamarmerlt">#REF!</definedName>
    <definedName name="polised33x33">#REF!</definedName>
    <definedName name="POLITUR">#REF!</definedName>
    <definedName name="Polituran">#REF!</definedName>
    <definedName name="PolituranKayu">#REF!</definedName>
    <definedName name="PoliturMejaKursi">#N/A</definedName>
    <definedName name="polol">#REF!</definedName>
    <definedName name="polos">#REF!</definedName>
    <definedName name="poly">#REF!</definedName>
    <definedName name="poly_6">[24]Analisa!#REF!</definedName>
    <definedName name="poly_r">#REF!</definedName>
    <definedName name="polycarbonat">#REF!</definedName>
    <definedName name="polyet">#REF!</definedName>
    <definedName name="pomc" hidden="1">{#N/A,#N/A,TRUE,"Front";#N/A,#N/A,TRUE,"Simple Letter";#N/A,#N/A,TRUE,"Inside";#N/A,#N/A,TRUE,"Contents";#N/A,#N/A,TRUE,"Basis";#N/A,#N/A,TRUE,"Inclusions";#N/A,#N/A,TRUE,"Exclusions";#N/A,#N/A,TRUE,"Areas";#N/A,#N/A,TRUE,"Summary";#N/A,#N/A,TRUE,"Detail"}</definedName>
    <definedName name="pompa">#REF!</definedName>
    <definedName name="Pompa_Dev">'[66]Analisa Harga Satuan'!$G$1823</definedName>
    <definedName name="Pompa_zet_pump_ex._sanyo">#REF!</definedName>
    <definedName name="POMPAAIR">#REF!</definedName>
    <definedName name="pompabeton">'[87]DAF-UPAH'!$E$16</definedName>
    <definedName name="POMPASANYO">#N/A</definedName>
    <definedName name="pond.bt.kl">#REF!</definedName>
    <definedName name="Pond.Klas.A">#REF!</definedName>
    <definedName name="Pond.Klas.B">#REF!</definedName>
    <definedName name="pondada">#REF!</definedName>
    <definedName name="pondasi">{"Book1","4.09 FLORA DAN FAUNA.xls","4.22 PERLENGKAPAN SEKOLAH.xls"}</definedName>
    <definedName name="PONDASI_100KG">#REF!</definedName>
    <definedName name="PONDASI_110KG">#REF!</definedName>
    <definedName name="PONDASI_120KG">#REF!</definedName>
    <definedName name="PONDASI_130KG">#REF!</definedName>
    <definedName name="PONDASI_140KG">#REF!</definedName>
    <definedName name="PONDASI_150KG">#REF!</definedName>
    <definedName name="PONDASI_160KG">#REF!</definedName>
    <definedName name="PONDASI_170KG">#REF!</definedName>
    <definedName name="PONDASI_180KG">#REF!</definedName>
    <definedName name="PONDASI_190KG">#REF!</definedName>
    <definedName name="PONDASI_200KG">#REF!</definedName>
    <definedName name="PONDASI_BATU_KALI_1_5">#REF!</definedName>
    <definedName name="pondasi225">#REF!</definedName>
    <definedName name="pondasibatu">#REF!</definedName>
    <definedName name="PONDASIBATUKALI">#REF!</definedName>
    <definedName name="PondasiFe100">#REF!</definedName>
    <definedName name="PondasiFe110">#REF!</definedName>
    <definedName name="PondasiFe120">#REF!</definedName>
    <definedName name="PondasiFe125">#REF!</definedName>
    <definedName name="PondasiFe130">#REF!</definedName>
    <definedName name="PondasiFe140">#REF!</definedName>
    <definedName name="PondasiFe150">#REF!</definedName>
    <definedName name="PondasiFe160">#REF!</definedName>
    <definedName name="PondasiFe170">#REF!</definedName>
    <definedName name="PondasiFe175">#REF!</definedName>
    <definedName name="PondasiFe180">#REF!</definedName>
    <definedName name="PondasiFe190">#REF!</definedName>
    <definedName name="PondasiFe200">#REF!</definedName>
    <definedName name="PondasiFe210">#REF!</definedName>
    <definedName name="PondasiFe220">#REF!</definedName>
    <definedName name="PondasiFe230">#REF!</definedName>
    <definedName name="PondasiFe240">#REF!</definedName>
    <definedName name="PondasiFe250">#REF!</definedName>
    <definedName name="PondasiFe260">#REF!</definedName>
    <definedName name="PondasiFe270">#REF!</definedName>
    <definedName name="PondasiFe280">#REF!</definedName>
    <definedName name="PondasiFe300">#REF!</definedName>
    <definedName name="PondasiFe80">#REF!</definedName>
    <definedName name="PondasiFe90">#REF!</definedName>
    <definedName name="pondasiKSLL">#REF!</definedName>
    <definedName name="pondljr">#REF!</definedName>
    <definedName name="PondSumuran">#REF!</definedName>
    <definedName name="pondum">#REF!</definedName>
    <definedName name="Ponton">#REF!</definedName>
    <definedName name="pool">#REF!</definedName>
    <definedName name="pop">#REF!</definedName>
    <definedName name="popon">#REF!</definedName>
    <definedName name="porous">#REF!</definedName>
    <definedName name="Porous_Mat">#REF!</definedName>
    <definedName name="PORS">#REF!</definedName>
    <definedName name="Porselin_11_x_11_cm_kw._I">#REF!</definedName>
    <definedName name="Portal">#REF!</definedName>
    <definedName name="Portland_Cement__tiga_roda___50kg">'[72]Daftar Harga'!$G$30</definedName>
    <definedName name="pos">#REF!</definedName>
    <definedName name="POSISI">#REF!</definedName>
    <definedName name="pot">#REF!</definedName>
    <definedName name="pot_tiang">#REF!</definedName>
    <definedName name="potong">#REF!</definedName>
    <definedName name="potongpnc45">#REF!</definedName>
    <definedName name="potongtiang">#REF!</definedName>
    <definedName name="Pout">#REF!</definedName>
    <definedName name="POW">"$#REF!.$G$3946"</definedName>
    <definedName name="POWDER">#REF!</definedName>
    <definedName name="power">#REF!</definedName>
    <definedName name="POWERHOUSE">#REF!</definedName>
    <definedName name="PP" hidden="1">{"'Sheet1'!$A$1"}</definedName>
    <definedName name="PP_01">#REF!</definedName>
    <definedName name="PP_02">#REF!</definedName>
    <definedName name="PP_03">#REF!</definedName>
    <definedName name="PP_03A">#REF!</definedName>
    <definedName name="PP_04">#REF!</definedName>
    <definedName name="PP_05">#REF!</definedName>
    <definedName name="PP_06">#REF!</definedName>
    <definedName name="PP_07">#REF!</definedName>
    <definedName name="PPA">#REF!</definedName>
    <definedName name="Ppadat">#REF!</definedName>
    <definedName name="ppalm">[24]Analisa!#REF!</definedName>
    <definedName name="ppasang">#REF!</definedName>
    <definedName name="Ppdl">#REF!</definedName>
    <definedName name="pph">#REF!</definedName>
    <definedName name="pph_1">#REF!</definedName>
    <definedName name="pph_1_2">#REF!</definedName>
    <definedName name="pph_1_2_6">#REF!</definedName>
    <definedName name="pph_2">#REF!</definedName>
    <definedName name="pph_2_1">#REF!</definedName>
    <definedName name="pph_2_2">#REF!</definedName>
    <definedName name="pph_2_6">#REF!</definedName>
    <definedName name="pph_3">#REF!</definedName>
    <definedName name="pph_3_2">#REF!</definedName>
    <definedName name="pph_3_2_6">#REF!</definedName>
    <definedName name="pph_4">#REF!</definedName>
    <definedName name="pph_4_2">#REF!</definedName>
    <definedName name="pph_4_2_6">#REF!</definedName>
    <definedName name="pph_5">#REF!</definedName>
    <definedName name="pph_5_2">#REF!</definedName>
    <definedName name="pph_5_2_6">#REF!</definedName>
    <definedName name="pph_6">#REF!</definedName>
    <definedName name="pph_6_2">#REF!</definedName>
    <definedName name="pph_6_2_6">#REF!</definedName>
    <definedName name="pph_7">#REF!</definedName>
    <definedName name="pph_7_6">#REF!</definedName>
    <definedName name="pph_7_7">#REF!</definedName>
    <definedName name="PPI">#REF!</definedName>
    <definedName name="PPlaB">#REF!</definedName>
    <definedName name="PPlaf6">#REF!</definedName>
    <definedName name="PPlGyp">#REF!</definedName>
    <definedName name="PPls2">#REF!</definedName>
    <definedName name="PPls3">#REF!</definedName>
    <definedName name="PPls4">#REF!</definedName>
    <definedName name="ppn">#REF!</definedName>
    <definedName name="ppn.m.3.20.serut">#REF!</definedName>
    <definedName name="ppn_1">#REF!</definedName>
    <definedName name="ppn_1_2">#REF!</definedName>
    <definedName name="ppn_1_2_6">#REF!</definedName>
    <definedName name="ppn_2">#REF!</definedName>
    <definedName name="ppn_2_1">#REF!</definedName>
    <definedName name="ppn_2_2">#REF!</definedName>
    <definedName name="ppn_2_6">#REF!</definedName>
    <definedName name="ppn_3">#REF!</definedName>
    <definedName name="ppn_3_2">#REF!</definedName>
    <definedName name="ppn_3_2_6">#REF!</definedName>
    <definedName name="ppn_4">#REF!</definedName>
    <definedName name="ppn_4_2">#REF!</definedName>
    <definedName name="ppn_4_2_6">#REF!</definedName>
    <definedName name="ppn_5">#REF!</definedName>
    <definedName name="ppn_5_2">#REF!</definedName>
    <definedName name="ppn_5_2_6">#REF!</definedName>
    <definedName name="ppn_6">#REF!</definedName>
    <definedName name="ppn_6_2">#REF!</definedName>
    <definedName name="ppn_6_2_6">#REF!</definedName>
    <definedName name="ppn_7">#REF!</definedName>
    <definedName name="ppn_7_6">#REF!</definedName>
    <definedName name="ppn_7_7">#REF!</definedName>
    <definedName name="ppn2.30">#REF!</definedName>
    <definedName name="ppn3.30">#REF!</definedName>
    <definedName name="ppnbek">#REF!</definedName>
    <definedName name="ppnbjr">#REF!</definedName>
    <definedName name="ppnbor">#REF!</definedName>
    <definedName name="ppnborneo">[83]Sheet1!$H$25</definedName>
    <definedName name="PpnBr">#REF!</definedName>
    <definedName name="ppnht1">'[21]Harga Satuan Bahan'!$E$50</definedName>
    <definedName name="ppnht2">#REF!</definedName>
    <definedName name="PpnKb">#REF!</definedName>
    <definedName name="ppnkmp">#REF!</definedName>
    <definedName name="PpnKs">#REF!</definedName>
    <definedName name="ppnras">'[21]Harga Satuan Bahan'!$E$48</definedName>
    <definedName name="ppnsam">#REF!</definedName>
    <definedName name="PPntDt">#REF!</definedName>
    <definedName name="PPntJt">#REF!</definedName>
    <definedName name="PPntKS">#REF!</definedName>
    <definedName name="PPntPJt">#REF!</definedName>
    <definedName name="PPntPt">#REF!</definedName>
    <definedName name="PPO">#REF!</definedName>
    <definedName name="ppppp">#REF!</definedName>
    <definedName name="PPR">#REF!</definedName>
    <definedName name="ppr_10_0.5">'[78]Harga Jasa dan Material'!$D$273</definedName>
    <definedName name="ppr_10_0.75">'[78]Harga Jasa dan Material'!$D$274</definedName>
    <definedName name="ppr_10_1">'[78]Harga Jasa dan Material'!$D$275</definedName>
    <definedName name="ppr_10_1.25">'[78]Harga Jasa dan Material'!$D$276</definedName>
    <definedName name="ppr_10_1.5">'[78]Harga Jasa dan Material'!$D$277</definedName>
    <definedName name="ppr_10_2">'[78]Harga Jasa dan Material'!$D$278</definedName>
    <definedName name="ppr_10_2.5">'[78]Harga Jasa dan Material'!$D$279</definedName>
    <definedName name="ppr_10_3">'[78]Harga Jasa dan Material'!$D$280</definedName>
    <definedName name="ppr_10_4">'[78]Harga Jasa dan Material'!$D$281</definedName>
    <definedName name="ppr_10_6">'[78]Harga Jasa dan Material'!$D$282</definedName>
    <definedName name="PPR_PN10">#REF!</definedName>
    <definedName name="PPR_PN16">#REF!</definedName>
    <definedName name="PPR_PN20">#REF!</definedName>
    <definedName name="PPs">#N/A</definedName>
    <definedName name="ppvc_4">[24]Analisa!#REF!</definedName>
    <definedName name="pr">[173]Meto!#REF!</definedName>
    <definedName name="PR.01">#REF!</definedName>
    <definedName name="PR.01B">#REF!</definedName>
    <definedName name="PR.01G">#REF!</definedName>
    <definedName name="PR.02">#REF!</definedName>
    <definedName name="PR.02B">#REF!</definedName>
    <definedName name="PR.02G">#REF!</definedName>
    <definedName name="PR.03">#REF!</definedName>
    <definedName name="PR.03B">#REF!</definedName>
    <definedName name="PR.03G">#REF!</definedName>
    <definedName name="PR.04">#REF!</definedName>
    <definedName name="PR.04B">#REF!</definedName>
    <definedName name="PR.04G">#REF!</definedName>
    <definedName name="PR.05">#REF!</definedName>
    <definedName name="PR.05B">#REF!</definedName>
    <definedName name="PR.05G">#REF!</definedName>
    <definedName name="PR.06">#REF!</definedName>
    <definedName name="PR.06B">#REF!</definedName>
    <definedName name="PR.06G">#REF!</definedName>
    <definedName name="PR.07">#REF!</definedName>
    <definedName name="PR.07B">#REF!</definedName>
    <definedName name="PR.07G">#REF!</definedName>
    <definedName name="PR.08">#REF!</definedName>
    <definedName name="PR.08B">#REF!</definedName>
    <definedName name="PR.08G">#REF!</definedName>
    <definedName name="PR.09">#REF!</definedName>
    <definedName name="PR.09B">#REF!</definedName>
    <definedName name="PR.09G">#REF!</definedName>
    <definedName name="PR.10">#REF!</definedName>
    <definedName name="PR.10B">#REF!</definedName>
    <definedName name="PR.10G">#REF!</definedName>
    <definedName name="PR.11">#REF!</definedName>
    <definedName name="PR.11B">#REF!</definedName>
    <definedName name="PR.11G">#REF!</definedName>
    <definedName name="PR.12">#REF!</definedName>
    <definedName name="PR.12B">#REF!</definedName>
    <definedName name="PR.12G">#REF!</definedName>
    <definedName name="PR.13">#REF!</definedName>
    <definedName name="PR.13B">#REF!</definedName>
    <definedName name="PR.13G">#REF!</definedName>
    <definedName name="PR.14">#REF!</definedName>
    <definedName name="PR.14B">#REF!</definedName>
    <definedName name="PR.14G">#REF!</definedName>
    <definedName name="PR.15">#REF!</definedName>
    <definedName name="PR.15B">#REF!</definedName>
    <definedName name="PR.15G">#REF!</definedName>
    <definedName name="PR.16">#REF!</definedName>
    <definedName name="PR.16B">#REF!</definedName>
    <definedName name="PR.16G">#REF!</definedName>
    <definedName name="PR.17">#REF!</definedName>
    <definedName name="PR.17B">#REF!</definedName>
    <definedName name="PR.17G">#REF!</definedName>
    <definedName name="PR.18">#REF!</definedName>
    <definedName name="PR.18B">#REF!</definedName>
    <definedName name="PR.18G">#REF!</definedName>
    <definedName name="PR.19">#REF!</definedName>
    <definedName name="PR.19B">#REF!</definedName>
    <definedName name="PR.19G">#REF!</definedName>
    <definedName name="PR.20">#REF!</definedName>
    <definedName name="PR.20B">#REF!</definedName>
    <definedName name="PR.20G">#REF!</definedName>
    <definedName name="PR.21">#REF!</definedName>
    <definedName name="PR.21B">#REF!</definedName>
    <definedName name="PR.21G">#REF!</definedName>
    <definedName name="PR.22">#REF!</definedName>
    <definedName name="PR.22B">#REF!</definedName>
    <definedName name="PR.22G">#REF!</definedName>
    <definedName name="PR.23">#REF!</definedName>
    <definedName name="PR.23B">#REF!</definedName>
    <definedName name="PR.23G">#REF!</definedName>
    <definedName name="PR.24">#REF!</definedName>
    <definedName name="PR.24B">#REF!</definedName>
    <definedName name="PR.24G">#REF!</definedName>
    <definedName name="PR.25">#REF!</definedName>
    <definedName name="PR.25B">#REF!</definedName>
    <definedName name="PR.25G">#REF!</definedName>
    <definedName name="PR.26">#REF!</definedName>
    <definedName name="PR.26B">#REF!</definedName>
    <definedName name="PR.26G">#REF!</definedName>
    <definedName name="PR.27">#REF!</definedName>
    <definedName name="PR.27B">#REF!</definedName>
    <definedName name="PR.27G">#REF!</definedName>
    <definedName name="PR.28">#REF!</definedName>
    <definedName name="PR.28B">#REF!</definedName>
    <definedName name="PR.28G">#REF!</definedName>
    <definedName name="PR.29">#REF!</definedName>
    <definedName name="PR.29B">#REF!</definedName>
    <definedName name="PR.29G">#REF!</definedName>
    <definedName name="PR.30">#REF!</definedName>
    <definedName name="PR.30B">#REF!</definedName>
    <definedName name="PR.30G">#REF!</definedName>
    <definedName name="PR.31">#REF!</definedName>
    <definedName name="PR.31B">#REF!</definedName>
    <definedName name="PR.31G">#REF!</definedName>
    <definedName name="PR.32">#REF!</definedName>
    <definedName name="PR.32B">#REF!</definedName>
    <definedName name="PR.32G">#REF!</definedName>
    <definedName name="PR.33">#REF!</definedName>
    <definedName name="PR.33B">#REF!</definedName>
    <definedName name="PR.33G">#REF!</definedName>
    <definedName name="PR.34">#REF!</definedName>
    <definedName name="PR.34B">#REF!</definedName>
    <definedName name="PR.34G">#REF!</definedName>
    <definedName name="PR.35">#REF!</definedName>
    <definedName name="PR.35B">#REF!</definedName>
    <definedName name="PR.35G">#REF!</definedName>
    <definedName name="PR.36">#REF!</definedName>
    <definedName name="PR.36B">#REF!</definedName>
    <definedName name="PR.36G">#REF!</definedName>
    <definedName name="PR.37">#REF!</definedName>
    <definedName name="PR.37B">#REF!</definedName>
    <definedName name="PR.37G">#REF!</definedName>
    <definedName name="PR.38">#REF!</definedName>
    <definedName name="PR.38B">#REF!</definedName>
    <definedName name="PR.38G">#REF!</definedName>
    <definedName name="PR.39">#REF!</definedName>
    <definedName name="PR.39B">#REF!</definedName>
    <definedName name="PR.39G">#REF!</definedName>
    <definedName name="PR.40">#REF!</definedName>
    <definedName name="PR.40B">#REF!</definedName>
    <definedName name="PR.40G">#REF!</definedName>
    <definedName name="PR.41">#REF!</definedName>
    <definedName name="PR.41B">#REF!</definedName>
    <definedName name="PR.41G">#REF!</definedName>
    <definedName name="PR.42">#REF!</definedName>
    <definedName name="PR.42B">#REF!</definedName>
    <definedName name="PR.42G">#REF!</definedName>
    <definedName name="PR.43">#REF!</definedName>
    <definedName name="PR.43B">#REF!</definedName>
    <definedName name="PR.43G">#REF!</definedName>
    <definedName name="PR.44">#REF!</definedName>
    <definedName name="PR.44B">#REF!</definedName>
    <definedName name="PR.44G">#REF!</definedName>
    <definedName name="PR.45">#REF!</definedName>
    <definedName name="PR.45B">#REF!</definedName>
    <definedName name="PR.45G">#REF!</definedName>
    <definedName name="praktis">#REF!</definedName>
    <definedName name="Pralon">#REF!</definedName>
    <definedName name="PRangP">#REF!</definedName>
    <definedName name="precast">[174]Rekap!$E$14:$AO$137</definedName>
    <definedName name="PRECAST_A">#REF!</definedName>
    <definedName name="PRECAST_B">#REF!</definedName>
    <definedName name="PRECAST_C">#REF!</definedName>
    <definedName name="precool">#REF!</definedName>
    <definedName name="PRELI">[175]Rab!$I$50</definedName>
    <definedName name="PRELIEM">'[176]BQ ARS'!#REF!</definedName>
    <definedName name="prelim">#REF!</definedName>
    <definedName name="prelimi">#REF!</definedName>
    <definedName name="PRELIMJURUUKUR">#REF!</definedName>
    <definedName name="Prem" hidden="1">#REF!</definedName>
    <definedName name="prembes">#REF!</definedName>
    <definedName name="PREMIX">#REF!</definedName>
    <definedName name="PREPD">#REF!</definedName>
    <definedName name="presming">#REF!,#REF!,#REF!,#REF!,#REF!,#REF!,#REF!,#REF!,#REF!</definedName>
    <definedName name="pret" hidden="1">{#N/A,#N/A,FALSE,"REK";#N/A,#N/A,FALSE,"rab"}</definedName>
    <definedName name="PrfDn">#REF!</definedName>
    <definedName name="prg">#REF!</definedName>
    <definedName name="pri">#REF!</definedName>
    <definedName name="price">#REF!</definedName>
    <definedName name="pricelist">#REF!</definedName>
    <definedName name="pricing">#REF!</definedName>
    <definedName name="prime">#N/A</definedName>
    <definedName name="Prime_Coat">#REF!</definedName>
    <definedName name="PRIMECOAT">#REF!</definedName>
    <definedName name="PrinCIV.16">#REF!,#REF!,#REF!,#REF!,#REF!,#REF!,#REF!,#REF!,#REF!</definedName>
    <definedName name="print">#REF!</definedName>
    <definedName name="Print_Are">#REF!</definedName>
    <definedName name="_xlnm.Print_Area" localSheetId="1">'3.BOQ STR'!$A$1:$I$151</definedName>
    <definedName name="_xlnm.Print_Area" localSheetId="2">'4. BOQ ARS'!$A$1:$I$104</definedName>
    <definedName name="_xlnm.Print_Area" localSheetId="4">'5. BOQ ME'!$A$1:$I$163</definedName>
    <definedName name="_xlnm.Print_Area" localSheetId="9">'AHS KUSEN'!$B$1:$F$107</definedName>
    <definedName name="_xlnm.Print_Area" localSheetId="13">Alat!$A$1:$J$133</definedName>
    <definedName name="_xlnm.Print_Area" localSheetId="5">'ANALISA ME'!$B$2:$K$1458</definedName>
    <definedName name="_xlnm.Print_Area" localSheetId="10">ANL!$D$1:$J$12237</definedName>
    <definedName name="_xlnm.Print_Area" localSheetId="12">'BAHAN '!$C$1:$H$1042</definedName>
    <definedName name="_xlnm.Print_Area" localSheetId="7">'HARGA ME'!$A$2:$E$90</definedName>
    <definedName name="_xlnm.Print_Area" localSheetId="8">HSP!$A$1:$F$710</definedName>
    <definedName name="_xlnm.Print_Area" localSheetId="0">'REKAP '!$A$1:$E$56</definedName>
    <definedName name="_xlnm.Print_Area" localSheetId="11">UPAH!$B$1:$I$32</definedName>
    <definedName name="_xlnm.Print_Area" localSheetId="6">'UPAH (2)'!$B$1:$I$32</definedName>
    <definedName name="_xlnm.Print_Area">#REF!</definedName>
    <definedName name="Print_Area_MI">#REF!</definedName>
    <definedName name="Print_Area_MI___0">#REF!</definedName>
    <definedName name="PRINT_AREA_MI_1">#REF!</definedName>
    <definedName name="Print_Area_MI_1_5">#REF!</definedName>
    <definedName name="Print_Area_MI_11">#REF!</definedName>
    <definedName name="Print_Area_MI_11_6">#REF!</definedName>
    <definedName name="PRINT_AREA_MI_12">#REF!</definedName>
    <definedName name="Print_Area_MI_13">#REF!</definedName>
    <definedName name="Print_Area_MI_13_6">#REF!</definedName>
    <definedName name="Print_Area_MI_14">#REF!</definedName>
    <definedName name="Print_Area_MI_14_6">#REF!</definedName>
    <definedName name="Print_Area_MI_15">#REF!</definedName>
    <definedName name="Print_Area_MI_15_6">#REF!</definedName>
    <definedName name="PRINT_AREA_MI_19">#REF!</definedName>
    <definedName name="PRINT_AREA_MI_19_1">#REF!</definedName>
    <definedName name="PRINT_AREA_MI_19_1_1">#REF!</definedName>
    <definedName name="PRINT_AREA_MI_19_19">#REF!</definedName>
    <definedName name="PRINT_AREA_MI_19_52">#REF!</definedName>
    <definedName name="Print_Area_MI_2">#REF!</definedName>
    <definedName name="Print_Area_MI_2_1">#REF!</definedName>
    <definedName name="Print_Area_MI_2_1_1">#REF!</definedName>
    <definedName name="Print_Area_MI_2_1_1_6">#REF!</definedName>
    <definedName name="PRINT_AREA_MI_2_2">#REF!</definedName>
    <definedName name="PRINT_AREA_MI_2_2_6">#REF!</definedName>
    <definedName name="Print_Area_MI_3">#REF!</definedName>
    <definedName name="Print_Area_MI_3_2">#REF!</definedName>
    <definedName name="Print_Area_MI_3_2_6">#REF!</definedName>
    <definedName name="PRINT_AREA_MI_3_4">#REF!</definedName>
    <definedName name="Print_Area_MI_3_6">#REF!</definedName>
    <definedName name="PRINT_AREA_MI_3_7">#REF!</definedName>
    <definedName name="PRINT_AREA_MI_32">#REF!</definedName>
    <definedName name="Print_Area_MI_4">#REF!</definedName>
    <definedName name="PRINT_AREA_MI_4_1">#REF!</definedName>
    <definedName name="PRINT_AREA_MI_4_2">#REF!</definedName>
    <definedName name="PRINT_AREA_MI_4_2_6">#REF!</definedName>
    <definedName name="Print_Area_MI_4_4">#REF!</definedName>
    <definedName name="Print_Area_MI_4_6">#REF!</definedName>
    <definedName name="PRINT_AREA_MI_4_7">#REF!</definedName>
    <definedName name="Print_Area_MI_5">#REF!</definedName>
    <definedName name="PRINT_AREA_MI_5_2">#REF!</definedName>
    <definedName name="PRINT_AREA_MI_5_2_6">#REF!</definedName>
    <definedName name="PRINT_AREA_MI_5_4">#REF!</definedName>
    <definedName name="PRINT_AREA_MI_5_6">#REF!</definedName>
    <definedName name="PRINT_AREA_MI_5_7">#REF!</definedName>
    <definedName name="PRINT_AREA_MI_52">#REF!</definedName>
    <definedName name="Print_Area_MI_6">#REF!</definedName>
    <definedName name="Print_Area_MI_6_1">#REF!</definedName>
    <definedName name="Print_Area_MI_6_2">#REF!</definedName>
    <definedName name="Print_Area_MI_6_2_6">#REF!</definedName>
    <definedName name="PRINT_AREA_MI_6_4">#REF!</definedName>
    <definedName name="Print_Area_MI_6_6">#REF!</definedName>
    <definedName name="PRINT_AREA_MI_6_7">#REF!</definedName>
    <definedName name="Print_Area_MI_7">#REF!</definedName>
    <definedName name="Print_Area_MI_7_1">#REF!</definedName>
    <definedName name="Print_Area_MI_7_6">#REF!</definedName>
    <definedName name="Print_Area_MI_7_7">#REF!</definedName>
    <definedName name="Print_Area_MI_8">#REF!</definedName>
    <definedName name="Print_Area_MI_8_6">#REF!</definedName>
    <definedName name="Print_Area_MI_9">#REF!</definedName>
    <definedName name="Print_Area_MI_9_6">#REF!</definedName>
    <definedName name="PRINT_TILTES">#REF!</definedName>
    <definedName name="PRINT_TITILES">#REF!</definedName>
    <definedName name="PRINT_TITLE">#REF!,#REF!,#REF!,#REF!</definedName>
    <definedName name="PRINT_TITLE_MI">#REF!</definedName>
    <definedName name="_xlnm.Print_Titles" localSheetId="1">'3.BOQ STR'!$8:$9</definedName>
    <definedName name="_xlnm.Print_Titles" localSheetId="2">'4. BOQ ARS'!$8:$9</definedName>
    <definedName name="_xlnm.Print_Titles" localSheetId="13">Alat!$3:$6</definedName>
    <definedName name="_xlnm.Print_Titles" localSheetId="12">'BAHAN '!$3:$4</definedName>
    <definedName name="_xlnm.Print_Titles" localSheetId="7">'HARGA ME'!$4:$6</definedName>
    <definedName name="_xlnm.Print_Titles" localSheetId="8">HSP!$4:$4</definedName>
    <definedName name="_xlnm.Print_Titles">#REF!</definedName>
    <definedName name="PRINT_TITLES_MI">#REF!</definedName>
    <definedName name="Print_Titles_MI___0">#REF!</definedName>
    <definedName name="Print_Titles_MI_1">#REF!</definedName>
    <definedName name="PRINT_TITLES_MI_1_1">#REF!</definedName>
    <definedName name="PRINT_TITLES_MI_1_1_1">#REF!</definedName>
    <definedName name="PRINT_TITLES_MI_1_10">#REF!</definedName>
    <definedName name="PRINT_TITLES_MI_1_11">#REF!</definedName>
    <definedName name="PRINT_TITLES_MI_1_12">#REF!</definedName>
    <definedName name="PRINT_TITLES_MI_1_13">#REF!</definedName>
    <definedName name="PRINT_TITLES_MI_1_17">#REF!</definedName>
    <definedName name="Print_Titles_MI_1_2">#REF!</definedName>
    <definedName name="PRINT_TITLES_MI_1_3">#REF!</definedName>
    <definedName name="PRINT_TITLES_MI_1_37">#REF!</definedName>
    <definedName name="Print_Titles_MI_1_4">#REF!</definedName>
    <definedName name="Print_Titles_MI_1_5">#REF!</definedName>
    <definedName name="PRINT_TITLES_MI_1_6">#REF!</definedName>
    <definedName name="PRINT_TITLES_MI_1_7">#REF!</definedName>
    <definedName name="PRINT_TITLES_MI_1_8">#REF!</definedName>
    <definedName name="PRINT_TITLES_MI_1_9">#REF!</definedName>
    <definedName name="PRINT_TITLES_MI_10">#REF!</definedName>
    <definedName name="Print_Titles_MI_11">#REF!</definedName>
    <definedName name="PRINT_TITLES_MI_12">#REF!</definedName>
    <definedName name="Print_Titles_MI_13">#REF!</definedName>
    <definedName name="Print_Titles_MI_14">#REF!</definedName>
    <definedName name="Print_Titles_MI_15">#REF!</definedName>
    <definedName name="PRINT_TITLES_MI_17">#REF!</definedName>
    <definedName name="PRINT_TITLES_MI_17_1">#REF!</definedName>
    <definedName name="Print_Titles_MI_3">#REF!</definedName>
    <definedName name="PRINT_TITLES_MI_37">#REF!</definedName>
    <definedName name="PRINT_TITLES_MI_4">#REF!</definedName>
    <definedName name="PRINT_TITLES_MI_5">#REF!</definedName>
    <definedName name="Print_Titles_MI_6">#REF!</definedName>
    <definedName name="Print_Titles_MI_6_6">#REF!</definedName>
    <definedName name="Print_Titles_MI_7">#REF!</definedName>
    <definedName name="Print_Titles_MI_7_6">#REF!</definedName>
    <definedName name="PRINT_TITLES_MI_8">#REF!</definedName>
    <definedName name="Print_Titles_MI_9">#REF!</definedName>
    <definedName name="Print2">#REF!,#REF!,#REF!,#REF!,#REF!,#REF!,#REF!,#REF!,#REF!</definedName>
    <definedName name="PRINTER">[177]RAB!$A$11:$G$132</definedName>
    <definedName name="PRITN_TITLES">#REF!</definedName>
    <definedName name="PRN">#REF!</definedName>
    <definedName name="PRO">#REF!</definedName>
    <definedName name="PRO_1">#REF!</definedName>
    <definedName name="pro_15">#REF!</definedName>
    <definedName name="PRO_2">#REF!</definedName>
    <definedName name="PRO_2_1">#REF!</definedName>
    <definedName name="PRO_2_1_6">#REF!</definedName>
    <definedName name="PRO_2_6">#REF!</definedName>
    <definedName name="PRO_2_7">#REF!</definedName>
    <definedName name="PRO_3">#REF!</definedName>
    <definedName name="PRO_3_4">#REF!</definedName>
    <definedName name="PRO_3_6">#REF!</definedName>
    <definedName name="PRO_3_7">#REF!</definedName>
    <definedName name="PRO_4">#REF!</definedName>
    <definedName name="PRO_4_1">#REF!</definedName>
    <definedName name="PRO_4_2">#REF!</definedName>
    <definedName name="PRO_4_2_6">#REF!</definedName>
    <definedName name="PRO_4_4">#REF!</definedName>
    <definedName name="PRO_4_6">#REF!</definedName>
    <definedName name="PRO_4_7">#REF!</definedName>
    <definedName name="PRO_5">#REF!</definedName>
    <definedName name="PRO_5_2">#REF!</definedName>
    <definedName name="PRO_5_2_6">#REF!</definedName>
    <definedName name="PRO_5_4">#REF!</definedName>
    <definedName name="PRO_5_6">#REF!</definedName>
    <definedName name="PRO_5_7">#REF!</definedName>
    <definedName name="PRO_6">#REF!</definedName>
    <definedName name="PRO_6_1">#REF!</definedName>
    <definedName name="PRO_6_4">#REF!</definedName>
    <definedName name="PRO_6_6">#REF!</definedName>
    <definedName name="PRO_6_7">#REF!</definedName>
    <definedName name="PRO_7">#REF!</definedName>
    <definedName name="PROCESSINGBUILDING">#REF!</definedName>
    <definedName name="prod.atbl">#REF!</definedName>
    <definedName name="prod.laston">#REF!</definedName>
    <definedName name="ProdForm" hidden="1">#REF!</definedName>
    <definedName name="Product" hidden="1">#REF!</definedName>
    <definedName name="produksialat">#REF!</definedName>
    <definedName name="Produksiperhari">#REF!</definedName>
    <definedName name="Prof">#REF!</definedName>
    <definedName name="Prof_6">#REF!</definedName>
    <definedName name="Prof1">#N/A</definedName>
    <definedName name="profil">'[21]Harga Satuan Bahan'!$E$56</definedName>
    <definedName name="profil1">#REF!</definedName>
    <definedName name="profil2">'[21]Harga Satuan Bahan'!$E$60</definedName>
    <definedName name="profil3">'[21]Harga Satuan Bahan'!#REF!</definedName>
    <definedName name="profil4">'[21]Harga Satuan Bahan'!#REF!</definedName>
    <definedName name="profil5">'[21]Harga Satuan Bahan'!#REF!</definedName>
    <definedName name="profilalumunium">#REF!</definedName>
    <definedName name="Profit">#REF!</definedName>
    <definedName name="Profit1">#N/A</definedName>
    <definedName name="profprel">#REF!</definedName>
    <definedName name="profprel_6">#REF!</definedName>
    <definedName name="proghbs">#REF!</definedName>
    <definedName name="progimpx">#REF!</definedName>
    <definedName name="program">#REF!</definedName>
    <definedName name="program1">#REF!</definedName>
    <definedName name="ProgressBulanan">#REF!</definedName>
    <definedName name="ProgressEkstern">#REF!</definedName>
    <definedName name="ProgressMC">#REF!</definedName>
    <definedName name="ProgressMCPerBulan">#REF!</definedName>
    <definedName name="ProgressRasioEkstern">#REF!</definedName>
    <definedName name="Project_Optional_Field">#REF!</definedName>
    <definedName name="Projects">#REF!</definedName>
    <definedName name="proofingnopy">#REF!</definedName>
    <definedName name="Propinsi">#REF!</definedName>
    <definedName name="Propinsi2">#REF!</definedName>
    <definedName name="proses">#REF!</definedName>
    <definedName name="PROY">[178]REKAP!$J$9</definedName>
    <definedName name="Proyek">#REF!</definedName>
    <definedName name="Proyek___Bagpro">#REF!</definedName>
    <definedName name="Proyek1">#REF!</definedName>
    <definedName name="Proyek2">#REF!</definedName>
    <definedName name="PRP.10001.J">#REF!</definedName>
    <definedName name="prs">#REF!</definedName>
    <definedName name="prs_1">#REF!</definedName>
    <definedName name="prs_1_5">#REF!</definedName>
    <definedName name="prs_2">#REF!</definedName>
    <definedName name="prs_2_1">#REF!</definedName>
    <definedName name="prs_2_1_1">#REF!</definedName>
    <definedName name="prs_2_1_1_6">#REF!</definedName>
    <definedName name="prs_2_1_6">#REF!</definedName>
    <definedName name="prs_2_1_7">#REF!</definedName>
    <definedName name="prs_2_6">#REF!</definedName>
    <definedName name="prs_2_7">#REF!</definedName>
    <definedName name="prs_3">#REF!</definedName>
    <definedName name="prs_3_4">#REF!</definedName>
    <definedName name="prs_3_6">#REF!</definedName>
    <definedName name="prs_3_7">#REF!</definedName>
    <definedName name="prs_4">#REF!</definedName>
    <definedName name="prs_4_1">#REF!</definedName>
    <definedName name="prs_4_2">#REF!</definedName>
    <definedName name="prs_4_2_6">#REF!</definedName>
    <definedName name="prs_4_4">#REF!</definedName>
    <definedName name="prs_4_6">#REF!</definedName>
    <definedName name="prs_4_7">#REF!</definedName>
    <definedName name="prs_5">#REF!</definedName>
    <definedName name="prs_5_2">#REF!</definedName>
    <definedName name="prs_5_2_6">#REF!</definedName>
    <definedName name="prs_5_4">#REF!</definedName>
    <definedName name="prs_5_6">#REF!</definedName>
    <definedName name="prs_5_7">#REF!</definedName>
    <definedName name="prs_6">#REF!</definedName>
    <definedName name="prs_6_1">#REF!</definedName>
    <definedName name="prs_6_4">#REF!</definedName>
    <definedName name="prs_6_6">#REF!</definedName>
    <definedName name="prs_6_7">#REF!</definedName>
    <definedName name="prs_7">#REF!</definedName>
    <definedName name="prtsi">#REF!</definedName>
    <definedName name="Ps">#REF!</definedName>
    <definedName name="PS.1">#REF!</definedName>
    <definedName name="Ps.beton">#REF!</definedName>
    <definedName name="Ps.cor">#REF!</definedName>
    <definedName name="Ps.pasang">#REF!</definedName>
    <definedName name="ps.ps">#REF!</definedName>
    <definedName name="ps.psg">#REF!</definedName>
    <definedName name="ps.urg">#REF!</definedName>
    <definedName name="Ps.Urug">#REF!</definedName>
    <definedName name="PSA">[137]STR!#REF!</definedName>
    <definedName name="psaub">'[45]Sat~Bahu'!$C$46</definedName>
    <definedName name="PSB">#REF!</definedName>
    <definedName name="psbet">#N/A</definedName>
    <definedName name="psbeton">#REF!</definedName>
    <definedName name="PSBI">[36]STR!#REF!</definedName>
    <definedName name="PSBII">[36]STR!#REF!</definedName>
    <definedName name="PSBIII">[137]STR!#REF!</definedName>
    <definedName name="PSBIV">[36]STR!#REF!</definedName>
    <definedName name="PsBouwplank">#REF!</definedName>
    <definedName name="PsBt1">#REF!</definedName>
    <definedName name="psbtn">'[35]Harga Satuan Bahan'!$E$13</definedName>
    <definedName name="PSBV">[36]STR!#REF!</definedName>
    <definedName name="PSC">#REF!</definedName>
    <definedName name="PSCI">[36]STR!#REF!</definedName>
    <definedName name="PSCII">[137]STR!#REF!</definedName>
    <definedName name="PSCIII">[36]STR!#REF!</definedName>
    <definedName name="pscor">#REF!</definedName>
    <definedName name="PSDI">[36]STR!#REF!</definedName>
    <definedName name="PSDII">[36]STR!#REF!</definedName>
    <definedName name="PSDIII">[36]STR!#REF!</definedName>
    <definedName name="PSDIV">[137]STR!#REF!</definedName>
    <definedName name="PSDV">[36]STR!#REF!</definedName>
    <definedName name="PSEI">[36]STR!#REF!</definedName>
    <definedName name="PSEII">[36]STR!#REF!</definedName>
    <definedName name="PSEIII">[137]STR!#REF!</definedName>
    <definedName name="PSEIV">[36]STR!#REF!</definedName>
    <definedName name="PSET">#REF!</definedName>
    <definedName name="PSFI">[36]STR!#REF!</definedName>
    <definedName name="PSFII">[36]STR!#REF!</definedName>
    <definedName name="PSFIII">[137]STR!#REF!</definedName>
    <definedName name="PSFIV">[36]STR!#REF!</definedName>
    <definedName name="PSFVA">[36]STR!#REF!</definedName>
    <definedName name="PSFVB">[36]STR!#REF!</definedName>
    <definedName name="PSFVI">[137]STR!#REF!</definedName>
    <definedName name="PSG_BAJA" localSheetId="7">'[33]Analisa pemkot'!#REF!</definedName>
    <definedName name="PSG_BAJA">'[33]Analisa pemkot'!#REF!</definedName>
    <definedName name="PSGI">[36]STR!#REF!</definedName>
    <definedName name="PSGII">[36]STR!#REF!</definedName>
    <definedName name="PSGIII">[36]STR!#REF!</definedName>
    <definedName name="PSGIV">[137]STR!#REF!</definedName>
    <definedName name="PSH">[36]STR!#REF!</definedName>
    <definedName name="psk_1020">#REF!</definedName>
    <definedName name="psk_1030">#REF!</definedName>
    <definedName name="psk_1040">#REF!</definedName>
    <definedName name="PsKran">#REF!</definedName>
    <definedName name="psp">'[45]Sat~Bahu'!$C$47</definedName>
    <definedName name="psp_6">[65]satuan_pek_str!#REF!</definedName>
    <definedName name="pspasang">#REF!</definedName>
    <definedName name="pspsg">[91]BAHAN!$G$12</definedName>
    <definedName name="psr">#REF!</definedName>
    <definedName name="Psr.psg">#REF!</definedName>
    <definedName name="psr.trs">#REF!</definedName>
    <definedName name="psrb">#REF!</definedName>
    <definedName name="psrbton">[83]Sheet1!$H$13</definedName>
    <definedName name="psrcor">#REF!</definedName>
    <definedName name="PSREKAP">[36]STR!#REF!</definedName>
    <definedName name="psrp">#REF!</definedName>
    <definedName name="psrpasang">#REF!</definedName>
    <definedName name="psrpsg">'[48]HARGA SATUAN'!$G$13</definedName>
    <definedName name="psrpsng">#REF!</definedName>
    <definedName name="psrsbol">#REF!</definedName>
    <definedName name="psrurug">#REF!</definedName>
    <definedName name="pst">'[21]Upah Tenaga Kerja'!$E$18</definedName>
    <definedName name="pstgr">#REF!</definedName>
    <definedName name="PStoot">#REF!</definedName>
    <definedName name="PSTOTA">[137]STR!#REF!</definedName>
    <definedName name="PSTOTB">[36]STR!#REF!</definedName>
    <definedName name="PSTOTC">[36]STR!#REF!</definedName>
    <definedName name="PSTOTD">[36]STR!#REF!</definedName>
    <definedName name="PSTOTE">[137]STR!#REF!</definedName>
    <definedName name="PSTOTF">[36]STR!#REF!</definedName>
    <definedName name="PSTOTG">[36]STR!#REF!</definedName>
    <definedName name="PSTOTH">[36]STR!#REF!</definedName>
    <definedName name="PSTR">#REF!</definedName>
    <definedName name="psu">'[45]Sat~Bahu'!$C$45</definedName>
    <definedName name="PsUrg">#REF!</definedName>
    <definedName name="psurug">#REF!</definedName>
    <definedName name="pt">#REF!</definedName>
    <definedName name="pt_1">#REF!</definedName>
    <definedName name="pt_2">#REF!</definedName>
    <definedName name="pt_3">#REF!</definedName>
    <definedName name="pt_4">#REF!</definedName>
    <definedName name="pt_6">#REF!</definedName>
    <definedName name="pt1_a">#REF!</definedName>
    <definedName name="pt1_b">#REF!</definedName>
    <definedName name="pt1_c">#REF!</definedName>
    <definedName name="pt1_d">#REF!</definedName>
    <definedName name="pt1_e">#REF!</definedName>
    <definedName name="pt1_f">#REF!</definedName>
    <definedName name="pt1_g">#REF!</definedName>
    <definedName name="pt2_a">#REF!</definedName>
    <definedName name="pt2_b">#REF!</definedName>
    <definedName name="pt2_c">#REF!</definedName>
    <definedName name="pt2_d">#REF!</definedName>
    <definedName name="ptdll">'[45]Sat~Bahu'!$C$114</definedName>
    <definedName name="PTINT">[177]RAB!$A$1:$IV$10</definedName>
    <definedName name="PTJW" localSheetId="7">#REF!</definedName>
    <definedName name="PTJW">#REF!</definedName>
    <definedName name="PTK">#REF!</definedName>
    <definedName name="ptm">#REF!</definedName>
    <definedName name="PTNC">#REF!</definedName>
    <definedName name="ptp_40">[65]satuan_pek_str!#REF!</definedName>
    <definedName name="ptp_45">[65]satuan_pek_str!#REF!</definedName>
    <definedName name="PTR">#REF!</definedName>
    <definedName name="PTump">#REF!</definedName>
    <definedName name="PU">#REF!</definedName>
    <definedName name="Puk">#REF!</definedName>
    <definedName name="PUkur">#REF!</definedName>
    <definedName name="Pukurk">#REF!</definedName>
    <definedName name="PUMP">#REF!</definedName>
    <definedName name="punya">#REF!</definedName>
    <definedName name="PUP">#REF!</definedName>
    <definedName name="PUPasir">#REF!</definedName>
    <definedName name="PUPS">#REF!</definedName>
    <definedName name="PUPSL1">#REF!</definedName>
    <definedName name="PUPSL2">#REF!</definedName>
    <definedName name="PUPSL3">#REF!</definedName>
    <definedName name="pupuk">#REF!</definedName>
    <definedName name="purug">#REF!</definedName>
    <definedName name="PUrugK">#REF!</definedName>
    <definedName name="PUSAT">#REF!</definedName>
    <definedName name="Pv">#REF!</definedName>
    <definedName name="pv100_1">#REF!</definedName>
    <definedName name="pv100_1_5">#REF!</definedName>
    <definedName name="pv100_2">#REF!</definedName>
    <definedName name="pv100_2_1">#REF!</definedName>
    <definedName name="pv100_2_1_1">#REF!</definedName>
    <definedName name="pv100_2_1_1_6">#REF!</definedName>
    <definedName name="pv100_2_1_6">#REF!</definedName>
    <definedName name="pv100_2_1_7">#REF!</definedName>
    <definedName name="pv100_2_6">#REF!</definedName>
    <definedName name="pv100_2_7">#REF!</definedName>
    <definedName name="pv100_3">#REF!</definedName>
    <definedName name="pv100_3_1">#REF!</definedName>
    <definedName name="pv100_3_2">#REF!</definedName>
    <definedName name="pv100_3_4">#REF!</definedName>
    <definedName name="pv100_3_6">#REF!</definedName>
    <definedName name="pv100_3_7">#REF!</definedName>
    <definedName name="pv100_4">#REF!</definedName>
    <definedName name="pv100_4_1">#REF!</definedName>
    <definedName name="pv100_4_2">#REF!</definedName>
    <definedName name="pv100_4_2_6">#REF!</definedName>
    <definedName name="pv100_4_4">#REF!</definedName>
    <definedName name="pv100_4_6">#REF!</definedName>
    <definedName name="pv100_4_7">#REF!</definedName>
    <definedName name="pv100_5">#REF!</definedName>
    <definedName name="pv100_5_2">#REF!</definedName>
    <definedName name="pv100_5_2_6">#REF!</definedName>
    <definedName name="pv100_5_4">#REF!</definedName>
    <definedName name="pv100_5_6">#REF!</definedName>
    <definedName name="pv100_5_7">#REF!</definedName>
    <definedName name="pv100_6">#REF!</definedName>
    <definedName name="pv100_6_1">#REF!</definedName>
    <definedName name="pv100_6_4">#REF!</definedName>
    <definedName name="pv100_6_6">#REF!</definedName>
    <definedName name="pv100_6_7">#REF!</definedName>
    <definedName name="pv100_7">#REF!</definedName>
    <definedName name="pv40_1">#REF!</definedName>
    <definedName name="pv40_1_5">#REF!</definedName>
    <definedName name="pv40_2">#REF!</definedName>
    <definedName name="pv40_2_1">#REF!</definedName>
    <definedName name="pv40_2_1_1">#REF!</definedName>
    <definedName name="pv40_2_1_1_6">#REF!</definedName>
    <definedName name="pv40_2_1_6">#REF!</definedName>
    <definedName name="pv40_2_1_7">#REF!</definedName>
    <definedName name="pv40_2_6">#REF!</definedName>
    <definedName name="pv40_3">#REF!</definedName>
    <definedName name="pv40_3_1">#REF!</definedName>
    <definedName name="pv40_3_2">#REF!</definedName>
    <definedName name="pv40_3_4">#REF!</definedName>
    <definedName name="pv40_3_6">#REF!</definedName>
    <definedName name="pv40_3_7">#REF!</definedName>
    <definedName name="pv40_4">#REF!</definedName>
    <definedName name="pv40_4_1">#REF!</definedName>
    <definedName name="pv40_4_2">#REF!</definedName>
    <definedName name="pv40_4_2_6">#REF!</definedName>
    <definedName name="pv40_4_4">#REF!</definedName>
    <definedName name="pv40_4_6">#REF!</definedName>
    <definedName name="pv40_4_7">#REF!</definedName>
    <definedName name="pv40_5">#REF!</definedName>
    <definedName name="pv40_5_2">#REF!</definedName>
    <definedName name="pv40_5_2_6">#REF!</definedName>
    <definedName name="pv40_5_4">#REF!</definedName>
    <definedName name="pv40_5_6">#REF!</definedName>
    <definedName name="pv40_5_7">#REF!</definedName>
    <definedName name="pv40_6">#REF!</definedName>
    <definedName name="pv40_6_1">#REF!</definedName>
    <definedName name="pv40_6_4">#REF!</definedName>
    <definedName name="pv40_6_6">#REF!</definedName>
    <definedName name="pv40_6_7">#REF!</definedName>
    <definedName name="pv40_7">#REF!</definedName>
    <definedName name="pv50_1">#REF!</definedName>
    <definedName name="pv50_1_5">#REF!</definedName>
    <definedName name="pv50_2">#REF!</definedName>
    <definedName name="pv50_2_1">#REF!</definedName>
    <definedName name="pv50_2_1_1">#REF!</definedName>
    <definedName name="pv50_2_1_1_6">#REF!</definedName>
    <definedName name="pv50_2_1_6">#REF!</definedName>
    <definedName name="pv50_2_1_7">#REF!</definedName>
    <definedName name="pv50_2_6">#REF!</definedName>
    <definedName name="pv50_2_7">#REF!</definedName>
    <definedName name="pv50_3">#REF!</definedName>
    <definedName name="pv50_3_1">#REF!</definedName>
    <definedName name="pv50_3_2">#REF!</definedName>
    <definedName name="pv50_3_4">#REF!</definedName>
    <definedName name="pv50_3_6">#REF!</definedName>
    <definedName name="pv50_3_7">#REF!</definedName>
    <definedName name="pv50_4">#REF!</definedName>
    <definedName name="pv50_4_1">#REF!</definedName>
    <definedName name="pv50_4_2">#REF!</definedName>
    <definedName name="pv50_4_2_6">#REF!</definedName>
    <definedName name="pv50_4_4">#REF!</definedName>
    <definedName name="pv50_4_6">#REF!</definedName>
    <definedName name="pv50_4_7">#REF!</definedName>
    <definedName name="pv50_5">#REF!</definedName>
    <definedName name="pv50_5_2">#REF!</definedName>
    <definedName name="pv50_5_2_6">#REF!</definedName>
    <definedName name="pv50_5_4">#REF!</definedName>
    <definedName name="pv50_5_6">#REF!</definedName>
    <definedName name="pv50_5_7">#REF!</definedName>
    <definedName name="pv50_6">#REF!</definedName>
    <definedName name="pv50_6_1">#REF!</definedName>
    <definedName name="pv50_6_4">#REF!</definedName>
    <definedName name="pv50_6_6">#REF!</definedName>
    <definedName name="pv50_6_7">#REF!</definedName>
    <definedName name="pv50_7">#REF!</definedName>
    <definedName name="pv80_1">#REF!</definedName>
    <definedName name="pv80_1_5">#REF!</definedName>
    <definedName name="pv80_2">#REF!</definedName>
    <definedName name="pv80_2_1">#REF!</definedName>
    <definedName name="pv80_2_1_1">#REF!</definedName>
    <definedName name="pv80_2_1_1_6">#REF!</definedName>
    <definedName name="pv80_2_1_6">#REF!</definedName>
    <definedName name="pv80_2_1_7">#REF!</definedName>
    <definedName name="pv80_2_6">#REF!</definedName>
    <definedName name="pv80_2_7">#REF!</definedName>
    <definedName name="pv80_3">#REF!</definedName>
    <definedName name="pv80_3_1">#REF!</definedName>
    <definedName name="pv80_3_2">#REF!</definedName>
    <definedName name="pv80_3_4">#REF!</definedName>
    <definedName name="pv80_3_6">#REF!</definedName>
    <definedName name="pv80_3_7">#REF!</definedName>
    <definedName name="pv80_4">#REF!</definedName>
    <definedName name="pv80_4_1">#REF!</definedName>
    <definedName name="pv80_4_2">#REF!</definedName>
    <definedName name="pv80_4_2_6">#REF!</definedName>
    <definedName name="pv80_4_4">#REF!</definedName>
    <definedName name="pv80_4_6">#REF!</definedName>
    <definedName name="pv80_4_7">#REF!</definedName>
    <definedName name="pv80_5">#REF!</definedName>
    <definedName name="pv80_5_2">#REF!</definedName>
    <definedName name="pv80_5_2_6">#REF!</definedName>
    <definedName name="pv80_5_4">#REF!</definedName>
    <definedName name="pv80_5_6">#REF!</definedName>
    <definedName name="pv80_5_7">#REF!</definedName>
    <definedName name="pv80_6">#REF!</definedName>
    <definedName name="pv80_6_1">#REF!</definedName>
    <definedName name="pv80_6_4">#REF!</definedName>
    <definedName name="pv80_6_6">#REF!</definedName>
    <definedName name="pv80_6_7">#REF!</definedName>
    <definedName name="pv80_7">#REF!</definedName>
    <definedName name="PVC">#REF!</definedName>
    <definedName name="pvc.0.5.mas.d">#REF!</definedName>
    <definedName name="pvc.0.7.5.Mas.d">#REF!</definedName>
    <definedName name="pvc.1">#REF!</definedName>
    <definedName name="pvc.1.M.abu">#REF!</definedName>
    <definedName name="pvc.2">#REF!</definedName>
    <definedName name="pvc.2.5.Mas.d">#REF!</definedName>
    <definedName name="pvc.2.mas.d">#REF!</definedName>
    <definedName name="pvc.3">#REF!</definedName>
    <definedName name="pvc.3.mas.d">#REF!</definedName>
    <definedName name="pvc.4">#REF!</definedName>
    <definedName name="pvc.4.mas.d">#REF!</definedName>
    <definedName name="pvc.6">#REF!</definedName>
    <definedName name="pvc_1">#REF!</definedName>
    <definedName name="PVC_10">#REF!</definedName>
    <definedName name="pvc_150">[39]Plumbing!#REF!</definedName>
    <definedName name="pvc_4">#REF!</definedName>
    <definedName name="PVC_8">#REF!</definedName>
    <definedName name="pvc_aw">#REF!</definedName>
    <definedName name="pvc_aw_0.5">'[78]Harga Jasa dan Material'!$D$350</definedName>
    <definedName name="pvc_aw_0.75">'[78]Harga Jasa dan Material'!$D$351</definedName>
    <definedName name="pvc_aw_1">'[78]Harga Jasa dan Material'!$D$352</definedName>
    <definedName name="pvc_aw_1.25">'[78]Harga Jasa dan Material'!$D$353</definedName>
    <definedName name="pvc_aw_1.5">'[78]Harga Jasa dan Material'!$D$354</definedName>
    <definedName name="pvc_aw_2">'[78]Harga Jasa dan Material'!$D$355</definedName>
    <definedName name="pvc_aw_2.5">'[78]Harga Jasa dan Material'!$D$356</definedName>
    <definedName name="pvc_aw_3">'[78]Harga Jasa dan Material'!$D$357</definedName>
    <definedName name="pvc_aw_4">'[78]Harga Jasa dan Material'!$D$358</definedName>
    <definedName name="pvc_aw_5">'[78]Harga Jasa dan Material'!$D$359</definedName>
    <definedName name="pvc_aw_6">'[78]Harga Jasa dan Material'!$D$360</definedName>
    <definedName name="PVC_AW05">#REF!</definedName>
    <definedName name="PVC_AW1">#REF!</definedName>
    <definedName name="PVC_AW114">#REF!</definedName>
    <definedName name="PVC_AW15">#REF!</definedName>
    <definedName name="PVC_AW2">#REF!</definedName>
    <definedName name="PVC_AW25">#REF!</definedName>
    <definedName name="PVC_AW3">#REF!</definedName>
    <definedName name="PVC_AW34">#REF!</definedName>
    <definedName name="PVC_AW4">#REF!</definedName>
    <definedName name="PVC_AZ">#REF!</definedName>
    <definedName name="PVC_D114">#REF!</definedName>
    <definedName name="PVC_D115">#REF!</definedName>
    <definedName name="PVC_D2">#REF!</definedName>
    <definedName name="PVC_D215">#REF!</definedName>
    <definedName name="PVC_D3">#REF!</definedName>
    <definedName name="PVC_D4">#REF!</definedName>
    <definedName name="PVC_D6">#REF!</definedName>
    <definedName name="PVC_D8">'[66]Analisa Harga Satuan'!$G$2165</definedName>
    <definedName name="PVC0_04">#N/A</definedName>
    <definedName name="pvc1.2">#REF!</definedName>
    <definedName name="pvc1.2.aw">#REF!</definedName>
    <definedName name="pvc1.2.wav.aw">#REF!</definedName>
    <definedName name="pvc2d">#REF!</definedName>
    <definedName name="pvc3.4">#REF!</definedName>
    <definedName name="pvc3.4.aw">#REF!</definedName>
    <definedName name="pvc3d">#REF!</definedName>
    <definedName name="pvc3medB">#REF!</definedName>
    <definedName name="pvc4d">#REF!</definedName>
    <definedName name="pvc4medA">#REF!</definedName>
    <definedName name="PVCconduit">#REF!</definedName>
    <definedName name="pvcf100">#REF!</definedName>
    <definedName name="pvcf150">#REF!</definedName>
    <definedName name="pvcf200">#REF!</definedName>
    <definedName name="pvcf65">#REF!</definedName>
    <definedName name="pvcf80">#REF!</definedName>
    <definedName name="pvcinsul">#REF!</definedName>
    <definedName name="pvent">#REF!</definedName>
    <definedName name="pvf100_1">#REF!</definedName>
    <definedName name="pvf100_1_5">#REF!</definedName>
    <definedName name="pvf100_2">#REF!</definedName>
    <definedName name="pvf100_2_1">#REF!</definedName>
    <definedName name="pvf100_2_1_1">#REF!</definedName>
    <definedName name="pvf100_2_1_1_6">#REF!</definedName>
    <definedName name="pvf100_2_1_6">#REF!</definedName>
    <definedName name="pvf100_2_1_7">#REF!</definedName>
    <definedName name="pvf100_2_6">#REF!</definedName>
    <definedName name="pvf100_2_7">#REF!</definedName>
    <definedName name="pvf100_3">#REF!</definedName>
    <definedName name="pvf100_3_1">#REF!</definedName>
    <definedName name="pvf100_3_2">#REF!</definedName>
    <definedName name="pvf100_3_4">#REF!</definedName>
    <definedName name="pvf100_3_6">#REF!</definedName>
    <definedName name="pvf100_3_7">#REF!</definedName>
    <definedName name="pvf100_4">#REF!</definedName>
    <definedName name="pvf100_4_1">#REF!</definedName>
    <definedName name="pvf100_4_2">#REF!</definedName>
    <definedName name="pvf100_4_2_6">#REF!</definedName>
    <definedName name="pvf100_4_4">#REF!</definedName>
    <definedName name="pvf100_4_6">#REF!</definedName>
    <definedName name="pvf100_4_7">#REF!</definedName>
    <definedName name="pvf100_5">#REF!</definedName>
    <definedName name="pvf100_5_2">#REF!</definedName>
    <definedName name="pvf100_5_2_6">#REF!</definedName>
    <definedName name="pvf100_5_4">#REF!</definedName>
    <definedName name="pvf100_5_6">#REF!</definedName>
    <definedName name="pvf100_5_7">#REF!</definedName>
    <definedName name="pvf100_6">#REF!</definedName>
    <definedName name="pvf100_6_1">#REF!</definedName>
    <definedName name="pvf100_6_4">#REF!</definedName>
    <definedName name="pvf100_6_6">#REF!</definedName>
    <definedName name="pvf100_6_7">#REF!</definedName>
    <definedName name="pvf100_7">#REF!</definedName>
    <definedName name="pvf80_1">#REF!</definedName>
    <definedName name="pvf80_1_5">#REF!</definedName>
    <definedName name="pvf80_2">#REF!</definedName>
    <definedName name="pvf80_2_1">#REF!</definedName>
    <definedName name="pvf80_2_1_1">#REF!</definedName>
    <definedName name="pvf80_2_1_1_6">#REF!</definedName>
    <definedName name="pvf80_2_1_6">#REF!</definedName>
    <definedName name="pvf80_2_1_7">#REF!</definedName>
    <definedName name="pvf80_2_6">#REF!</definedName>
    <definedName name="pvf80_2_7">#REF!</definedName>
    <definedName name="pvf80_3">#REF!</definedName>
    <definedName name="pvf80_3_1">#REF!</definedName>
    <definedName name="pvf80_3_2">#REF!</definedName>
    <definedName name="pvf80_3_4">#REF!</definedName>
    <definedName name="pvf80_3_6">#REF!</definedName>
    <definedName name="pvf80_3_7">#REF!</definedName>
    <definedName name="pvf80_4">#REF!</definedName>
    <definedName name="pvf80_4_1">#REF!</definedName>
    <definedName name="pvf80_4_2">#REF!</definedName>
    <definedName name="pvf80_4_2_6">#REF!</definedName>
    <definedName name="pvf80_4_4">#REF!</definedName>
    <definedName name="pvf80_4_6">#REF!</definedName>
    <definedName name="pvf80_4_7">#REF!</definedName>
    <definedName name="pvf80_5">#REF!</definedName>
    <definedName name="pvf80_5_2">#REF!</definedName>
    <definedName name="pvf80_5_2_6">#REF!</definedName>
    <definedName name="pvf80_5_4">#REF!</definedName>
    <definedName name="pvf80_5_6">#REF!</definedName>
    <definedName name="pvf80_5_7">#REF!</definedName>
    <definedName name="pvf80_6">#REF!</definedName>
    <definedName name="pvf80_6_1">#REF!</definedName>
    <definedName name="pvf80_6_4">#REF!</definedName>
    <definedName name="pvf80_6_6">#REF!</definedName>
    <definedName name="pvf80_6_7">#REF!</definedName>
    <definedName name="pvf80_7">#REF!</definedName>
    <definedName name="PW_12">#REF!</definedName>
    <definedName name="PWFDn">#REF!</definedName>
    <definedName name="PWFLn">#REF!</definedName>
    <definedName name="pwmesh">#REF!</definedName>
    <definedName name="px">#REF!</definedName>
    <definedName name="Q">#REF!</definedName>
    <definedName name="Q_1">#REF!</definedName>
    <definedName name="Q_2">#REF!</definedName>
    <definedName name="Q_3">#REF!</definedName>
    <definedName name="Q_4">#REF!</definedName>
    <definedName name="Q_5">#REF!</definedName>
    <definedName name="QA">#REF!</definedName>
    <definedName name="QAREQ">'[49]Lamp-4 Sat-Das'!$J$61</definedName>
    <definedName name="qegtegt" hidden="1">{#N/A,#N/A,FALSE,"REK-S-TPL";#N/A,#N/A,FALSE,"REK-TPML";#N/A,#N/A,FALSE,"RAB-TEMPEL"}</definedName>
    <definedName name="qegtqegt" hidden="1">{#N/A,#N/A,FALSE,"REK";#N/A,#N/A,FALSE,"rab"}</definedName>
    <definedName name="qegtqgt" hidden="1">{#N/A,#N/A,FALSE,"REK";#N/A,#N/A,FALSE,"rab"}</definedName>
    <definedName name="qer">[52]DHSD!$G$12</definedName>
    <definedName name="qeraw">'[50]SAT-DAS'!$J$62</definedName>
    <definedName name="QEWYTGq" hidden="1">{#N/A,#N/A,FALSE,"REK";#N/A,#N/A,FALSE,"rab"}</definedName>
    <definedName name="qq" hidden="1">{#N/A,#N/A,TRUE,"Front";#N/A,#N/A,TRUE,"Simple Letter";#N/A,#N/A,TRUE,"Inside";#N/A,#N/A,TRUE,"Contents";#N/A,#N/A,TRUE,"Basis";#N/A,#N/A,TRUE,"Inclusions";#N/A,#N/A,TRUE,"Exclusions";#N/A,#N/A,TRUE,"Areas";#N/A,#N/A,TRUE,"Summary";#N/A,#N/A,TRUE,"Detail"}</definedName>
    <definedName name="qqq">#REF!</definedName>
    <definedName name="qr">#REF!</definedName>
    <definedName name="QR_BC">#REF!</definedName>
    <definedName name="QREQEW">'[49]Lamp-4 Sat-Das'!$J$61</definedName>
    <definedName name="QRESG">#N/A</definedName>
    <definedName name="QRY.3" hidden="1">#REF!</definedName>
    <definedName name="QSatU">#REF!</definedName>
    <definedName name="qsfdq">#REF!</definedName>
    <definedName name="Qt">#REF!</definedName>
    <definedName name="Qtegt" hidden="1">{#N/A,#N/A,FALSE,"REK";#N/A,#N/A,FALSE,"rab"}</definedName>
    <definedName name="qvf_135">[157]Elektrikal!#REF!</definedName>
    <definedName name="QW" hidden="1">{#N/A,#N/A,FALSE,"REK";#N/A,#N/A,FALSE,"rab"}</definedName>
    <definedName name="qwe">#REF!</definedName>
    <definedName name="qwegtqwegt" hidden="1">{#N/A,#N/A,FALSE,"REK";#N/A,#N/A,FALSE,"rab"}</definedName>
    <definedName name="QWERQWE" hidden="1">{#N/A,#N/A,TRUE,"Front";#N/A,#N/A,TRUE,"Simple Letter";#N/A,#N/A,TRUE,"Inside";#N/A,#N/A,TRUE,"Contents";#N/A,#N/A,TRUE,"Basis";#N/A,#N/A,TRUE,"Inclusions";#N/A,#N/A,TRUE,"Exclusions";#N/A,#N/A,TRUE,"Areas";#N/A,#N/A,TRUE,"Summary";#N/A,#N/A,TRUE,"Detail"}</definedName>
    <definedName name="qwerty">#REF!</definedName>
    <definedName name="QWT" hidden="1">{#N/A,#N/A,FALSE,"REK";#N/A,#N/A,FALSE,"rab"}</definedName>
    <definedName name="QWYGH" hidden="1">{#N/A,#N/A,FALSE,"REK-S-TPL";#N/A,#N/A,FALSE,"REK-TPML";#N/A,#N/A,FALSE,"RAB-TEMPEL"}</definedName>
    <definedName name="R_">#REF!</definedName>
    <definedName name="R__1">#REF!</definedName>
    <definedName name="R__22">#REF!</definedName>
    <definedName name="r_1.5">[24]Analisa!#REF!</definedName>
    <definedName name="r_3">[24]Analisa!#REF!</definedName>
    <definedName name="r_3300">#REF!</definedName>
    <definedName name="r_6700">#REF!</definedName>
    <definedName name="r_6800">#REF!</definedName>
    <definedName name="R_KudaBaja">#REF!</definedName>
    <definedName name="R_RengkasokyII">#REF!</definedName>
    <definedName name="RA">#REF!</definedName>
    <definedName name="ra11p">#REF!</definedName>
    <definedName name="ra13p">#REF!</definedName>
    <definedName name="RAB">#REF!</definedName>
    <definedName name="RAB.KOP.">#REF!</definedName>
    <definedName name="RAB_1">#REF!</definedName>
    <definedName name="RAB_2">#N/A</definedName>
    <definedName name="RAB_3">#N/A</definedName>
    <definedName name="RAB_ASLI">#REF!</definedName>
    <definedName name="RAB_PLUS_ASUMSI">#REF!</definedName>
    <definedName name="rab_tender">#REF!</definedName>
    <definedName name="rabat">#REF!</definedName>
    <definedName name="rabmck">#REF!</definedName>
    <definedName name="RABSblmPerubahan">#REF!</definedName>
    <definedName name="RABSsdhPerubahan">#REF!</definedName>
    <definedName name="Rabung_Genteng_Multi_Colour">#REF!</definedName>
    <definedName name="Rabung_Seng_BJLS_0_35">#REF!</definedName>
    <definedName name="rack1">'[18]THPDMoi  (2)'!#REF!</definedName>
    <definedName name="rack2">'[18]THPDMoi  (2)'!#REF!</definedName>
    <definedName name="rack3">'[18]THPDMoi  (2)'!#REF!</definedName>
    <definedName name="rack4">'[18]THPDMoi  (2)'!#REF!</definedName>
    <definedName name="raetrey">[52]DHSD!$G$28</definedName>
    <definedName name="raeygar">'[54]SAT-DAS'!$J$52</definedName>
    <definedName name="rahayu">#REF!</definedName>
    <definedName name="raiillingtanggaBSP">#REF!</definedName>
    <definedName name="rail">'[15]2.1'!#REF!</definedName>
    <definedName name="rail_balkon">#REF!</definedName>
    <definedName name="rail_tangga">#REF!</definedName>
    <definedName name="Railing">#REF!</definedName>
    <definedName name="railingpipagip">#REF!</definedName>
    <definedName name="railingstain">#REF!</definedName>
    <definedName name="RAILINGTANGGA">#REF!</definedName>
    <definedName name="railingtanggaBSP\nonjasa">#REF!</definedName>
    <definedName name="Railling">#REF!</definedName>
    <definedName name="raillingkabelst">#REF!</definedName>
    <definedName name="raillingstornamen">#REF!</definedName>
    <definedName name="RAILLINGTANGGAUTAMA">#REF!</definedName>
    <definedName name="rakkabinmatv">#REF!</definedName>
    <definedName name="ralat1">#REF!</definedName>
    <definedName name="ralat2">#REF!</definedName>
    <definedName name="Ram">#REF!</definedName>
    <definedName name="rambu">#REF!</definedName>
    <definedName name="Rambu_Engin">#REF!</definedName>
    <definedName name="Rambu_Hgh_Int">#REF!</definedName>
    <definedName name="RamKamper">#REF!</definedName>
    <definedName name="Ramlisplank">#REF!</definedName>
    <definedName name="ramp">#REF!</definedName>
    <definedName name="RAMP_15">#REF!</definedName>
    <definedName name="RAMZI">#N/A</definedName>
    <definedName name="RANG">#REF!</definedName>
    <definedName name="rangdin">#REF!</definedName>
    <definedName name="RANGE">#REF!</definedName>
    <definedName name="RANGESDY">#REF!</definedName>
    <definedName name="RANGKA_BJ_WF">#REF!</definedName>
    <definedName name="Rangka_Pipa_rilling_steinles_steel_ø_2">#REF!</definedName>
    <definedName name="RANGKA_PLAFOND_KAYU_60X60CM">#REF!</definedName>
    <definedName name="rangkadin">#REF!</definedName>
    <definedName name="rangkahollow">#REF!</definedName>
    <definedName name="rangkakuda2stainless">#REF!</definedName>
    <definedName name="rangkal">#REF!</definedName>
    <definedName name="rangkametal">#REF!</definedName>
    <definedName name="rangkametalfuring">#REF!</definedName>
    <definedName name="RangkaPartisi">#REF!</definedName>
    <definedName name="RangkaPlf105">#REF!</definedName>
    <definedName name="RangkaPlf105Kruing">#REF!</definedName>
    <definedName name="RangkaPlf105Meranti">#REF!</definedName>
    <definedName name="RangkaPlf105Mranti">#REF!</definedName>
    <definedName name="RangkaPlf11Kamper">#REF!</definedName>
    <definedName name="RangkaPlf11Kruing">#REF!</definedName>
    <definedName name="RangkaPlf3030Kamper">#REF!</definedName>
    <definedName name="RangkaPlf3060Kamper">#REF!</definedName>
    <definedName name="rangkapon">#REF!</definedName>
    <definedName name="RangkPlf25Bks">#REF!</definedName>
    <definedName name="RangkPlf25BksKruing">#REF!</definedName>
    <definedName name="RangkPlf25BksMeranti">#REF!</definedName>
    <definedName name="RangkPlf25BksMranti">#REF!</definedName>
    <definedName name="RangkPlf50Bks">#REF!</definedName>
    <definedName name="RangkPlf50BksKruing">#REF!</definedName>
    <definedName name="RangkPlf50BksMeranti">#REF!</definedName>
    <definedName name="RangkPlf50BksMranti">#REF!</definedName>
    <definedName name="RangkPlf70BksMranti">#REF!</definedName>
    <definedName name="RAP">#REF!</definedName>
    <definedName name="RAP_1">#REF!</definedName>
    <definedName name="RAP_2">#REF!</definedName>
    <definedName name="RAP_2_1">#REF!</definedName>
    <definedName name="RAP_3">#REF!</definedName>
    <definedName name="RAP_3_2">#REF!</definedName>
    <definedName name="RAP_3_4">#REF!</definedName>
    <definedName name="RAP_3_6">#REF!</definedName>
    <definedName name="RAP_3_7">#REF!</definedName>
    <definedName name="RAP_4">#REF!</definedName>
    <definedName name="RAP_4_1">#REF!</definedName>
    <definedName name="RAP_4_2">#REF!</definedName>
    <definedName name="RAP_4_4">#REF!</definedName>
    <definedName name="RAP_4_6">#REF!</definedName>
    <definedName name="RAP_4_7">#REF!</definedName>
    <definedName name="RAP_5">#REF!</definedName>
    <definedName name="RAP_5_2">#REF!</definedName>
    <definedName name="RAP_5_4">#REF!</definedName>
    <definedName name="RAP_5_6">#REF!</definedName>
    <definedName name="RAP_5_7">#REF!</definedName>
    <definedName name="RAP_6">#REF!</definedName>
    <definedName name="RAP_6_1">#REF!</definedName>
    <definedName name="RAP_6_2">#REF!</definedName>
    <definedName name="RAP_6_4">#REF!</definedName>
    <definedName name="RAP_6_6">#REF!</definedName>
    <definedName name="RAP_6_7">#REF!</definedName>
    <definedName name="RAP_7">#REF!</definedName>
    <definedName name="RAP_7_1">#REF!</definedName>
    <definedName name="RAPAwal">#REF!</definedName>
    <definedName name="RAPSblmPerubahan">#REF!</definedName>
    <definedName name="RAPSsdhPerubahan">#REF!</definedName>
    <definedName name="raq">#REF!</definedName>
    <definedName name="rat">#REF!</definedName>
    <definedName name="rataantnh">#REF!</definedName>
    <definedName name="RATAPADAT">#REF!</definedName>
    <definedName name="RATE">#REF!</definedName>
    <definedName name="rayben3">#REF!</definedName>
    <definedName name="rayben5">#REF!</definedName>
    <definedName name="rb">'[179]Harsat Bahan'!$A$8:$E$874</definedName>
    <definedName name="RB_D10">#REF!</definedName>
    <definedName name="RB_D12">#REF!</definedName>
    <definedName name="RB_D13">#REF!</definedName>
    <definedName name="RB_D14">#REF!</definedName>
    <definedName name="RB_D16">#REF!</definedName>
    <definedName name="RB_D18">#REF!</definedName>
    <definedName name="RB_D19">#REF!</definedName>
    <definedName name="RB_D20">#REF!</definedName>
    <definedName name="RB_D22">#REF!</definedName>
    <definedName name="RB_D25">#REF!</definedName>
    <definedName name="RB_D32">#REF!</definedName>
    <definedName name="rbgb">#REF!</definedName>
    <definedName name="RCArea" hidden="1">#REF!</definedName>
    <definedName name="RCP_110_130">#REF!</definedName>
    <definedName name="RCP_140_150">#REF!</definedName>
    <definedName name="RCP_50">#REF!</definedName>
    <definedName name="RCP_50_70">#REF!</definedName>
    <definedName name="RCP_80_100">#REF!</definedName>
    <definedName name="rd_0.5">#REF!</definedName>
    <definedName name="rd_150_rpl9">[96]Elektrikal!#REF!</definedName>
    <definedName name="rd_3">#REF!</definedName>
    <definedName name="rd_4">#REF!</definedName>
    <definedName name="Rd150Rpl_9">[39]Electrikal!#REF!</definedName>
    <definedName name="Rd150Rpl_9c_wbatt">[39]Electrikal!#REF!</definedName>
    <definedName name="rdsh" hidden="1">{#N/A,#N/A,FALSE,"REK";#N/A,#N/A,FALSE,"rab"}</definedName>
    <definedName name="RDU">#REF!</definedName>
    <definedName name="RE">#REF!</definedName>
    <definedName name="ready">#N/A</definedName>
    <definedName name="Ready175">#REF!</definedName>
    <definedName name="Ready225">#REF!</definedName>
    <definedName name="Readymixk250">'[48]HARGA SATUAN'!$G$9</definedName>
    <definedName name="REAL">#REF!</definedName>
    <definedName name="REAL_1">#REF!</definedName>
    <definedName name="REAL_2">#REF!</definedName>
    <definedName name="REAL_2_1">#REF!</definedName>
    <definedName name="REAL_2_6">#REF!</definedName>
    <definedName name="REAL_3">#REF!</definedName>
    <definedName name="REAL_3_2">#REF!</definedName>
    <definedName name="REAL_3_2_6">#REF!</definedName>
    <definedName name="REAL_3_4">#REF!</definedName>
    <definedName name="REAL_3_6">#REF!</definedName>
    <definedName name="REAL_3_7">#REF!</definedName>
    <definedName name="REAL_4">#REF!</definedName>
    <definedName name="REAL_4_1">#REF!</definedName>
    <definedName name="REAL_4_2">#REF!</definedName>
    <definedName name="REAL_4_2_6">#REF!</definedName>
    <definedName name="REAL_4_4">#REF!</definedName>
    <definedName name="REAL_4_6">#REF!</definedName>
    <definedName name="REAL_4_7">#REF!</definedName>
    <definedName name="REAL_5">#REF!</definedName>
    <definedName name="REAL_5_2">#REF!</definedName>
    <definedName name="REAL_5_2_6">#REF!</definedName>
    <definedName name="REAL_5_4">#REF!</definedName>
    <definedName name="REAL_5_6">#REF!</definedName>
    <definedName name="REAL_5_7">#REF!</definedName>
    <definedName name="REAL_6">#REF!</definedName>
    <definedName name="REAL_6_1">#REF!</definedName>
    <definedName name="REAL_6_2">#REF!</definedName>
    <definedName name="REAL_6_2_6">#REF!</definedName>
    <definedName name="REAL_6_4">#REF!</definedName>
    <definedName name="REAL_6_6">#REF!</definedName>
    <definedName name="REAL_6_7">#REF!</definedName>
    <definedName name="REAL_7">#REF!</definedName>
    <definedName name="REAL_7_1">#REF!</definedName>
    <definedName name="REAL_7_6">#REF!</definedName>
    <definedName name="REAL_7_7">#REF!</definedName>
    <definedName name="REALCOST">#REF!</definedName>
    <definedName name="Rebar_ratio">#REF!</definedName>
    <definedName name="Rebar_ratio_2">#REF!</definedName>
    <definedName name="REC">#REF!</definedName>
    <definedName name="RECAP">#REF!</definedName>
    <definedName name="RECAP1">#REF!</definedName>
    <definedName name="recap2">#REF!</definedName>
    <definedName name="RECORD">#N/A</definedName>
    <definedName name="Record1">#N/A</definedName>
    <definedName name="Record10">#N/A</definedName>
    <definedName name="Record11">#N/A</definedName>
    <definedName name="Record12">#N/A</definedName>
    <definedName name="Record13">#N/A</definedName>
    <definedName name="Record14">#N/A</definedName>
    <definedName name="Record15">#N/A</definedName>
    <definedName name="Record16">#N/A</definedName>
    <definedName name="Record17">#N/A</definedName>
    <definedName name="Record18">#N/A</definedName>
    <definedName name="Record19">#N/A</definedName>
    <definedName name="Record2">#N/A</definedName>
    <definedName name="Record20">#N/A</definedName>
    <definedName name="Record21">#N/A</definedName>
    <definedName name="Record22">#N/A</definedName>
    <definedName name="Record23">#N/A</definedName>
    <definedName name="Record3">#N/A</definedName>
    <definedName name="Record4">#N/A</definedName>
    <definedName name="Record5">#N/A</definedName>
    <definedName name="Record6">#N/A</definedName>
    <definedName name="Record7">#N/A</definedName>
    <definedName name="Record8">#N/A</definedName>
    <definedName name="Record9">#N/A</definedName>
    <definedName name="_xlnm.Recorder">#REF!</definedName>
    <definedName name="recordpapper" localSheetId="7">[33]H_Dasar!#REF!</definedName>
    <definedName name="recordpapper">[33]H_Dasar!#REF!</definedName>
    <definedName name="red">#N/A</definedName>
    <definedName name="redgsp">#REF!</definedName>
    <definedName name="redoxideprimer">#REF!</definedName>
    <definedName name="redpvc10">#REF!</definedName>
    <definedName name="reewr">#REF!</definedName>
    <definedName name="ref">#REF!</definedName>
    <definedName name="REFI">[16]prelim!#REF!</definedName>
    <definedName name="refri">#REF!</definedName>
    <definedName name="refri_127">#REF!</definedName>
    <definedName name="refri_159">#REF!</definedName>
    <definedName name="refri_191">#REF!</definedName>
    <definedName name="refri_195">#REF!</definedName>
    <definedName name="refri_64">#REF!</definedName>
    <definedName name="refri_95">#REF!</definedName>
    <definedName name="REINB">#REF!</definedName>
    <definedName name="reinforced">#N/A</definedName>
    <definedName name="reinforcing">#N/A</definedName>
    <definedName name="REK">#REF!</definedName>
    <definedName name="Rek.No.2">#REF!</definedName>
    <definedName name="Rek.No.3">#REF!</definedName>
    <definedName name="Rek.No.4">#REF!</definedName>
    <definedName name="Rek.No.8">#REF!</definedName>
    <definedName name="REK_AN">#REF!</definedName>
    <definedName name="REK_ASPAL">#REF!</definedName>
    <definedName name="REK_BAHU_JLN">#REF!</definedName>
    <definedName name="REK_BERBUTIR">#REF!</definedName>
    <definedName name="REK_DRAINASE">#REF!</definedName>
    <definedName name="REK_HARIAN">#REF!</definedName>
    <definedName name="REK_MOBIL">#REF!</definedName>
    <definedName name="REK_RUTIN">#REF!</definedName>
    <definedName name="REK_STRUKTUR">#REF!</definedName>
    <definedName name="REK_TANAH">#REF!</definedName>
    <definedName name="REKAN">#REF!</definedName>
    <definedName name="REKAP">#REF!</definedName>
    <definedName name="Rekap.">#REF!</definedName>
    <definedName name="REKAP_4">#REF!</definedName>
    <definedName name="rekap_ahs">#REF!</definedName>
    <definedName name="Rekap_analisa">#REF!</definedName>
    <definedName name="Rekap_EE">#REF!</definedName>
    <definedName name="rekap_lantai">#REF!</definedName>
    <definedName name="rekap_sub_unit">#REF!</definedName>
    <definedName name="REKAP_TOTAL">[36]STR!#REF!</definedName>
    <definedName name="Rekap1">[89]STR!#REF!</definedName>
    <definedName name="REKAPBDG">'[180]Rekap-Bdg'!$A$13:$BG$196</definedName>
    <definedName name="rekaphspl">#REF!</definedName>
    <definedName name="REKAPITULASI">#REF!</definedName>
    <definedName name="Rekapkomp">#REF!</definedName>
    <definedName name="REKAPPDP">[75]REKAP!$G$38</definedName>
    <definedName name="rekappppp" hidden="1">{#N/A,#N/A,TRUE,"Front";#N/A,#N/A,TRUE,"Simple Letter";#N/A,#N/A,TRUE,"Inside";#N/A,#N/A,TRUE,"Contents";#N/A,#N/A,TRUE,"Basis";#N/A,#N/A,TRUE,"Inclusions";#N/A,#N/A,TRUE,"Exclusions";#N/A,#N/A,TRUE,"Areas";#N/A,#N/A,TRUE,"Summary";#N/A,#N/A,TRUE,"Detail"}</definedName>
    <definedName name="rekbahan">#REF!</definedName>
    <definedName name="reker13" hidden="1">#REF!</definedName>
    <definedName name="relat">#REF!</definedName>
    <definedName name="remic">#REF!</definedName>
    <definedName name="remix175">#REF!</definedName>
    <definedName name="remix225">#REF!</definedName>
    <definedName name="REN">#REF!</definedName>
    <definedName name="Reng">#REF!</definedName>
    <definedName name="reng_3_4">#REF!</definedName>
    <definedName name="RENG_KAMPER">#REF!</definedName>
    <definedName name="reng23bs">#REF!</definedName>
    <definedName name="reng23kb">'[21]Harga Satuan Bahan'!#REF!</definedName>
    <definedName name="reng23ras">'[21]Harga Satuan Bahan'!$E$64</definedName>
    <definedName name="reng34km">'[21]Harga Satuan Bahan'!#REF!</definedName>
    <definedName name="reng34ras">#REF!</definedName>
    <definedName name="rengjati">#REF!</definedName>
    <definedName name="Rengkamper">#REF!</definedName>
    <definedName name="RengKmpr">#REF!</definedName>
    <definedName name="renglap">#REF!</definedName>
    <definedName name="REP">#REF!</definedName>
    <definedName name="REPAVING" localSheetId="7">'[33]Analisa pemkot'!#REF!</definedName>
    <definedName name="REPAVING">'[33]Analisa pemkot'!#REF!</definedName>
    <definedName name="repbalok">#REF!</definedName>
    <definedName name="repkolom">#REF!</definedName>
    <definedName name="repslab">#REF!</definedName>
    <definedName name="REQUEST_FOR_APPROVAL_OF_CONTRACT">#REF!</definedName>
    <definedName name="res">'[181]AN-E'!#REF!</definedName>
    <definedName name="resapan">[24]Analisa!#REF!</definedName>
    <definedName name="resapanhujan">#REF!</definedName>
    <definedName name="RESD">#N/A</definedName>
    <definedName name="RESIDU">#N/A</definedName>
    <definedName name="Resource_Optional_Field">#REF!</definedName>
    <definedName name="Restan">#REF!</definedName>
    <definedName name="RESULT">#REF!</definedName>
    <definedName name="RESUM">#REF!</definedName>
    <definedName name="Resume_NP">#REF!</definedName>
    <definedName name="ret">STOP:STOPE</definedName>
    <definedName name="RETE">[0]!_210_S_3_6_1_1:[0]!_2127detib250_6_1</definedName>
    <definedName name="REV">#REF!</definedName>
    <definedName name="revi">#REF!</definedName>
    <definedName name="REVISI01" hidden="1">{#N/A,#N/A,FALSE,"REK-S-TPL";#N/A,#N/A,FALSE,"REK-TPML";#N/A,#N/A,FALSE,"RAB-TEMPEL"}</definedName>
    <definedName name="REYA">'[50]SAT-DAS'!$J$65</definedName>
    <definedName name="reye">#REF!</definedName>
    <definedName name="rfawef">'[54]SAT-DAS'!$J$55</definedName>
    <definedName name="RFSL">#REF!</definedName>
    <definedName name="rg">#REF!</definedName>
    <definedName name="RGH">#REF!</definedName>
    <definedName name="RGHYDSGH">#REF!</definedName>
    <definedName name="RI">#REF!</definedName>
    <definedName name="riben.3">#REF!</definedName>
    <definedName name="riben.5">#REF!</definedName>
    <definedName name="RIBU">#REF!</definedName>
    <definedName name="riev">#REF!</definedName>
    <definedName name="RINC_KONVENSI">#REF!</definedName>
    <definedName name="RINCIANSEWA">#REF!</definedName>
    <definedName name="RINCIANSEWA2">#REF!</definedName>
    <definedName name="RINCMAL">#REF!</definedName>
    <definedName name="ringbalk1520">#REF!</definedName>
    <definedName name="RINGBALOK_PRAKTIS">#REF!</definedName>
    <definedName name="ringbl">#REF!</definedName>
    <definedName name="rinii">#N/A</definedName>
    <definedName name="RINSU">#REF!</definedName>
    <definedName name="risermatv">#REF!</definedName>
    <definedName name="RIVER_STONE">#REF!</definedName>
    <definedName name="rjtrj" hidden="1">{"'Sheet1'!$A$1"}</definedName>
    <definedName name="rk">#REF!</definedName>
    <definedName name="rk100_1">#REF!</definedName>
    <definedName name="rk100_2">#REF!</definedName>
    <definedName name="rk100_2_1">#REF!</definedName>
    <definedName name="rk100_2_1_6">#REF!</definedName>
    <definedName name="rk100_2_6">#REF!</definedName>
    <definedName name="rk100_2_7">#REF!</definedName>
    <definedName name="rk100_3">#REF!</definedName>
    <definedName name="rk100_3_6">#REF!</definedName>
    <definedName name="rk100_3_7">#REF!</definedName>
    <definedName name="rk100_4">#REF!</definedName>
    <definedName name="rk100_5">#REF!</definedName>
    <definedName name="rk100_6">#REF!</definedName>
    <definedName name="rk100_6_1">#REF!</definedName>
    <definedName name="rk100_6_6">#REF!</definedName>
    <definedName name="rk100_6_7">#REF!</definedName>
    <definedName name="rk100_7">#REF!</definedName>
    <definedName name="rk200_1">#REF!</definedName>
    <definedName name="rk200_2">#REF!</definedName>
    <definedName name="rk200_2_1">#REF!</definedName>
    <definedName name="rk200_2_1_6">#REF!</definedName>
    <definedName name="rk200_2_6">#REF!</definedName>
    <definedName name="rk200_2_7">#REF!</definedName>
    <definedName name="rk200_3">#REF!</definedName>
    <definedName name="rk200_3_6">#REF!</definedName>
    <definedName name="rk200_3_7">#REF!</definedName>
    <definedName name="rk200_4">#REF!</definedName>
    <definedName name="rk200_5">#REF!</definedName>
    <definedName name="rk200_6">#REF!</definedName>
    <definedName name="rk200_6_1">#REF!</definedName>
    <definedName name="rk200_6_6">#REF!</definedName>
    <definedName name="rk200_6_7">#REF!</definedName>
    <definedName name="rk200_7">#REF!</definedName>
    <definedName name="rk300_1">#REF!</definedName>
    <definedName name="rk300_2">#REF!</definedName>
    <definedName name="rk300_2_1">#REF!</definedName>
    <definedName name="rk300_2_1_6">#REF!</definedName>
    <definedName name="rk300_2_6">#REF!</definedName>
    <definedName name="rk300_2_7">#REF!</definedName>
    <definedName name="rk300_3">#REF!</definedName>
    <definedName name="rk300_3_6">#REF!</definedName>
    <definedName name="rk300_3_7">#REF!</definedName>
    <definedName name="rk300_4">#REF!</definedName>
    <definedName name="rk300_5">#REF!</definedName>
    <definedName name="rk300_6">#REF!</definedName>
    <definedName name="rk300_6_1">#REF!</definedName>
    <definedName name="rk300_6_6">#REF!</definedName>
    <definedName name="rk300_6_7">#REF!</definedName>
    <definedName name="rk300_7">#REF!</definedName>
    <definedName name="rk600_1">#REF!</definedName>
    <definedName name="rk600_2">#REF!</definedName>
    <definedName name="rk600_2_1">#REF!</definedName>
    <definedName name="rk600_2_1_6">#REF!</definedName>
    <definedName name="rk600_2_6">#REF!</definedName>
    <definedName name="rk600_2_7">#REF!</definedName>
    <definedName name="rk600_3">#REF!</definedName>
    <definedName name="rk600_3_6">#REF!</definedName>
    <definedName name="rk600_3_7">#REF!</definedName>
    <definedName name="rk600_4">#REF!</definedName>
    <definedName name="rk600_5">#REF!</definedName>
    <definedName name="rk600_6">#REF!</definedName>
    <definedName name="rk600_6_1">#REF!</definedName>
    <definedName name="rk600_6_6">#REF!</definedName>
    <definedName name="rk600_6_7">#REF!</definedName>
    <definedName name="rk600_7">#REF!</definedName>
    <definedName name="RKAP_1">#REF!</definedName>
    <definedName name="RKAP_10">#REF!</definedName>
    <definedName name="RKAP_12">#REF!</definedName>
    <definedName name="RKAP_7">#REF!</definedName>
    <definedName name="RKAP_8">#REF!</definedName>
    <definedName name="rkbesi">#REF!</definedName>
    <definedName name="rkiryu">[80]DHSD!$G$24</definedName>
    <definedName name="rkl1000_1">#REF!</definedName>
    <definedName name="rkl1000_2">#REF!</definedName>
    <definedName name="rkl1000_2_1">#REF!</definedName>
    <definedName name="rkl1000_2_1_6">#REF!</definedName>
    <definedName name="rkl1000_2_6">#REF!</definedName>
    <definedName name="rkl1000_2_7">#REF!</definedName>
    <definedName name="rkl1000_3">#REF!</definedName>
    <definedName name="rkl1000_3_4">#REF!</definedName>
    <definedName name="rkl1000_3_6">#REF!</definedName>
    <definedName name="rkl1000_3_7">#REF!</definedName>
    <definedName name="rkl1000_4">#REF!</definedName>
    <definedName name="rkl1000_4_1">#REF!</definedName>
    <definedName name="rkl1000_4_2">#REF!</definedName>
    <definedName name="rkl1000_4_2_6">#REF!</definedName>
    <definedName name="rkl1000_4_4">#REF!</definedName>
    <definedName name="rkl1000_4_6">#REF!</definedName>
    <definedName name="rkl1000_4_7">#REF!</definedName>
    <definedName name="rkl1000_5">#REF!</definedName>
    <definedName name="rkl1000_5_2">#REF!</definedName>
    <definedName name="rkl1000_5_2_6">#REF!</definedName>
    <definedName name="rkl1000_5_4">#REF!</definedName>
    <definedName name="rkl1000_5_6">#REF!</definedName>
    <definedName name="rkl1000_5_7">#REF!</definedName>
    <definedName name="rkl1000_6">#REF!</definedName>
    <definedName name="rkl1000_6_1">#REF!</definedName>
    <definedName name="rkl1000_6_4">#REF!</definedName>
    <definedName name="rkl1000_6_6">#REF!</definedName>
    <definedName name="rkl1000_6_7">#REF!</definedName>
    <definedName name="rkl1000_7">#REF!</definedName>
    <definedName name="rkl1200_1">#REF!</definedName>
    <definedName name="rkl1200_2">#REF!</definedName>
    <definedName name="rkl1200_2_1">#REF!</definedName>
    <definedName name="rkl1200_2_1_6">#REF!</definedName>
    <definedName name="rkl1200_2_6">#REF!</definedName>
    <definedName name="rkl1200_2_7">#REF!</definedName>
    <definedName name="rkl1200_3">#REF!</definedName>
    <definedName name="rkl1200_3_4">#REF!</definedName>
    <definedName name="rkl1200_3_6">#REF!</definedName>
    <definedName name="rkl1200_3_7">#REF!</definedName>
    <definedName name="rkl1200_4">#REF!</definedName>
    <definedName name="rkl1200_4_1">#REF!</definedName>
    <definedName name="rkl1200_4_2">#REF!</definedName>
    <definedName name="rkl1200_4_2_6">#REF!</definedName>
    <definedName name="rkl1200_4_4">#REF!</definedName>
    <definedName name="rkl1200_4_6">#REF!</definedName>
    <definedName name="rkl1200_4_7">#REF!</definedName>
    <definedName name="rkl1200_5">#REF!</definedName>
    <definedName name="rkl1200_5_2">#REF!</definedName>
    <definedName name="rkl1200_5_2_6">#REF!</definedName>
    <definedName name="rkl1200_5_4">#REF!</definedName>
    <definedName name="rkl1200_5_6">#REF!</definedName>
    <definedName name="rkl1200_5_7">#REF!</definedName>
    <definedName name="rkl1200_6">#REF!</definedName>
    <definedName name="rkl1200_6_1">#REF!</definedName>
    <definedName name="rkl1200_6_4">#REF!</definedName>
    <definedName name="rkl1200_6_6">#REF!</definedName>
    <definedName name="rkl1200_6_7">#REF!</definedName>
    <definedName name="rkl1200_7">#REF!</definedName>
    <definedName name="rkl200_1">#REF!</definedName>
    <definedName name="rkl200_2">#REF!</definedName>
    <definedName name="rkl200_2_1">#REF!</definedName>
    <definedName name="rkl200_2_1_6">#REF!</definedName>
    <definedName name="rkl200_2_6">#REF!</definedName>
    <definedName name="rkl200_2_7">#REF!</definedName>
    <definedName name="rkl200_3">#REF!</definedName>
    <definedName name="rkl200_3_4">#REF!</definedName>
    <definedName name="rkl200_3_6">#REF!</definedName>
    <definedName name="rkl200_3_7">#REF!</definedName>
    <definedName name="rkl200_4">#REF!</definedName>
    <definedName name="rkl200_4_1">#REF!</definedName>
    <definedName name="rkl200_4_2">#REF!</definedName>
    <definedName name="rkl200_4_2_6">#REF!</definedName>
    <definedName name="rkl200_4_4">#REF!</definedName>
    <definedName name="rkl200_4_6">#REF!</definedName>
    <definedName name="rkl200_4_7">#REF!</definedName>
    <definedName name="rkl200_5">#REF!</definedName>
    <definedName name="rkl200_5_2">#REF!</definedName>
    <definedName name="rkl200_5_2_6">#REF!</definedName>
    <definedName name="rkl200_5_4">#REF!</definedName>
    <definedName name="rkl200_5_6">#REF!</definedName>
    <definedName name="rkl200_5_7">#REF!</definedName>
    <definedName name="rkl200_6">#REF!</definedName>
    <definedName name="rkl200_6_1">#REF!</definedName>
    <definedName name="rkl200_6_4">#REF!</definedName>
    <definedName name="rkl200_6_6">#REF!</definedName>
    <definedName name="rkl200_6_7">#REF!</definedName>
    <definedName name="rkl200_7">#REF!</definedName>
    <definedName name="rkl300_1">#REF!</definedName>
    <definedName name="rkl300_2">#REF!</definedName>
    <definedName name="rkl300_2_1">#REF!</definedName>
    <definedName name="rkl300_2_1_6">#REF!</definedName>
    <definedName name="rkl300_2_6">#REF!</definedName>
    <definedName name="rkl300_2_7">#REF!</definedName>
    <definedName name="rkl300_3">#REF!</definedName>
    <definedName name="rkl300_3_4">#REF!</definedName>
    <definedName name="rkl300_3_6">#REF!</definedName>
    <definedName name="rkl300_3_7">#REF!</definedName>
    <definedName name="rkl300_4">#REF!</definedName>
    <definedName name="rkl300_4_1">#REF!</definedName>
    <definedName name="rkl300_4_2">#REF!</definedName>
    <definedName name="rkl300_4_2_6">#REF!</definedName>
    <definedName name="rkl300_4_4">#REF!</definedName>
    <definedName name="rkl300_4_6">#REF!</definedName>
    <definedName name="rkl300_4_7">#REF!</definedName>
    <definedName name="rkl300_5">#REF!</definedName>
    <definedName name="rkl300_5_2">#REF!</definedName>
    <definedName name="rkl300_5_2_6">#REF!</definedName>
    <definedName name="rkl300_5_4">#REF!</definedName>
    <definedName name="rkl300_5_6">#REF!</definedName>
    <definedName name="rkl300_5_7">#REF!</definedName>
    <definedName name="rkl300_6">#REF!</definedName>
    <definedName name="rkl300_6_1">#REF!</definedName>
    <definedName name="rkl300_6_4">#REF!</definedName>
    <definedName name="rkl300_6_6">#REF!</definedName>
    <definedName name="rkl300_6_7">#REF!</definedName>
    <definedName name="rkl300_7">#REF!</definedName>
    <definedName name="rkl400_1">#REF!</definedName>
    <definedName name="rkl400_2">#REF!</definedName>
    <definedName name="rkl400_2_1">#REF!</definedName>
    <definedName name="rkl400_2_1_6">#REF!</definedName>
    <definedName name="rkl400_2_6">#REF!</definedName>
    <definedName name="rkl400_2_7">#REF!</definedName>
    <definedName name="rkl400_3">#REF!</definedName>
    <definedName name="rkl400_3_4">#REF!</definedName>
    <definedName name="rkl400_3_6">#REF!</definedName>
    <definedName name="rkl400_3_7">#REF!</definedName>
    <definedName name="rkl400_4">#REF!</definedName>
    <definedName name="rkl400_4_1">#REF!</definedName>
    <definedName name="rkl400_4_2">#REF!</definedName>
    <definedName name="rkl400_4_2_6">#REF!</definedName>
    <definedName name="rkl400_4_4">#REF!</definedName>
    <definedName name="rkl400_4_6">#REF!</definedName>
    <definedName name="rkl400_4_7">#REF!</definedName>
    <definedName name="rkl400_5">#REF!</definedName>
    <definedName name="rkl400_5_2">#REF!</definedName>
    <definedName name="rkl400_5_2_6">#REF!</definedName>
    <definedName name="rkl400_5_4">#REF!</definedName>
    <definedName name="rkl400_5_6">#REF!</definedName>
    <definedName name="rkl400_5_7">#REF!</definedName>
    <definedName name="rkl400_6">#REF!</definedName>
    <definedName name="rkl400_6_1">#REF!</definedName>
    <definedName name="rkl400_6_4">#REF!</definedName>
    <definedName name="rkl400_6_6">#REF!</definedName>
    <definedName name="rkl400_6_7">#REF!</definedName>
    <definedName name="rkl400_7">#REF!</definedName>
    <definedName name="rkl500_1">#REF!</definedName>
    <definedName name="rkl500_2">#REF!</definedName>
    <definedName name="rkl500_2_1">#REF!</definedName>
    <definedName name="rkl500_2_1_6">#REF!</definedName>
    <definedName name="rkl500_2_6">#REF!</definedName>
    <definedName name="rkl500_2_7">#REF!</definedName>
    <definedName name="rkl500_3">#REF!</definedName>
    <definedName name="rkl500_3_4">#REF!</definedName>
    <definedName name="rkl500_3_6">#REF!</definedName>
    <definedName name="rkl500_3_7">#REF!</definedName>
    <definedName name="rkl500_4">#REF!</definedName>
    <definedName name="rkl500_4_1">#REF!</definedName>
    <definedName name="rkl500_4_2">#REF!</definedName>
    <definedName name="rkl500_4_2_6">#REF!</definedName>
    <definedName name="rkl500_4_4">#REF!</definedName>
    <definedName name="rkl500_4_6">#REF!</definedName>
    <definedName name="rkl500_4_7">#REF!</definedName>
    <definedName name="rkl500_5">#REF!</definedName>
    <definedName name="rkl500_5_2">#REF!</definedName>
    <definedName name="rkl500_5_2_6">#REF!</definedName>
    <definedName name="rkl500_5_4">#REF!</definedName>
    <definedName name="rkl500_5_6">#REF!</definedName>
    <definedName name="rkl500_5_7">#REF!</definedName>
    <definedName name="rkl500_6">#REF!</definedName>
    <definedName name="rkl500_6_1">#REF!</definedName>
    <definedName name="rkl500_6_4">#REF!</definedName>
    <definedName name="rkl500_6_6">#REF!</definedName>
    <definedName name="rkl500_6_7">#REF!</definedName>
    <definedName name="rkl500_7">#REF!</definedName>
    <definedName name="rkl600_1">#REF!</definedName>
    <definedName name="rkl600_2">#REF!</definedName>
    <definedName name="rkl600_2_1">#REF!</definedName>
    <definedName name="rkl600_2_1_6">#REF!</definedName>
    <definedName name="rkl600_2_6">#REF!</definedName>
    <definedName name="rkl600_2_7">#REF!</definedName>
    <definedName name="rkl600_3">#REF!</definedName>
    <definedName name="rkl600_3_4">#REF!</definedName>
    <definedName name="rkl600_3_6">#REF!</definedName>
    <definedName name="rkl600_3_7">#REF!</definedName>
    <definedName name="rkl600_4">#REF!</definedName>
    <definedName name="rkl600_4_1">#REF!</definedName>
    <definedName name="rkl600_4_2">#REF!</definedName>
    <definedName name="rkl600_4_2_6">#REF!</definedName>
    <definedName name="rkl600_4_4">#REF!</definedName>
    <definedName name="rkl600_4_6">#REF!</definedName>
    <definedName name="rkl600_4_7">#REF!</definedName>
    <definedName name="rkl600_5">#REF!</definedName>
    <definedName name="rkl600_5_2">#REF!</definedName>
    <definedName name="rkl600_5_2_6">#REF!</definedName>
    <definedName name="rkl600_5_4">#REF!</definedName>
    <definedName name="rkl600_5_6">#REF!</definedName>
    <definedName name="rkl600_5_7">#REF!</definedName>
    <definedName name="rkl600_6">#REF!</definedName>
    <definedName name="rkl600_6_1">#REF!</definedName>
    <definedName name="rkl600_6_4">#REF!</definedName>
    <definedName name="rkl600_6_6">#REF!</definedName>
    <definedName name="rkl600_6_7">#REF!</definedName>
    <definedName name="rkl600_7">#REF!</definedName>
    <definedName name="rkl700_1">#REF!</definedName>
    <definedName name="rkl700_2">#REF!</definedName>
    <definedName name="rkl700_2_1">#REF!</definedName>
    <definedName name="rkl700_2_1_6">#REF!</definedName>
    <definedName name="rkl700_2_6">#REF!</definedName>
    <definedName name="rkl700_2_7">#REF!</definedName>
    <definedName name="rkl700_3">#REF!</definedName>
    <definedName name="rkl700_3_4">#REF!</definedName>
    <definedName name="rkl700_3_6">#REF!</definedName>
    <definedName name="rkl700_3_7">#REF!</definedName>
    <definedName name="rkl700_4">#REF!</definedName>
    <definedName name="rkl700_4_1">#REF!</definedName>
    <definedName name="rkl700_4_2">#REF!</definedName>
    <definedName name="rkl700_4_2_6">#REF!</definedName>
    <definedName name="rkl700_4_4">#REF!</definedName>
    <definedName name="rkl700_4_6">#REF!</definedName>
    <definedName name="rkl700_4_7">#REF!</definedName>
    <definedName name="rkl700_5">#REF!</definedName>
    <definedName name="rkl700_5_2">#REF!</definedName>
    <definedName name="rkl700_5_2_6">#REF!</definedName>
    <definedName name="rkl700_5_4">#REF!</definedName>
    <definedName name="rkl700_5_6">#REF!</definedName>
    <definedName name="rkl700_5_7">#REF!</definedName>
    <definedName name="rkl700_6">#REF!</definedName>
    <definedName name="rkl700_6_1">#REF!</definedName>
    <definedName name="rkl700_6_4">#REF!</definedName>
    <definedName name="rkl700_6_6">#REF!</definedName>
    <definedName name="rkl700_6_7">#REF!</definedName>
    <definedName name="rkl700_7">#REF!</definedName>
    <definedName name="rkl800_1">#REF!</definedName>
    <definedName name="rkl800_2">#REF!</definedName>
    <definedName name="rkl800_2_1">#REF!</definedName>
    <definedName name="rkl800_2_1_6">#REF!</definedName>
    <definedName name="rkl800_2_6">#REF!</definedName>
    <definedName name="rkl800_2_7">#REF!</definedName>
    <definedName name="rkl800_3">#REF!</definedName>
    <definedName name="rkl800_3_4">#REF!</definedName>
    <definedName name="rkl800_3_6">#REF!</definedName>
    <definedName name="rkl800_3_7">#REF!</definedName>
    <definedName name="rkl800_4">#REF!</definedName>
    <definedName name="rkl800_4_1">#REF!</definedName>
    <definedName name="rkl800_4_2">#REF!</definedName>
    <definedName name="rkl800_4_2_6">#REF!</definedName>
    <definedName name="rkl800_4_4">#REF!</definedName>
    <definedName name="rkl800_4_6">#REF!</definedName>
    <definedName name="rkl800_4_7">#REF!</definedName>
    <definedName name="rkl800_5">#REF!</definedName>
    <definedName name="rkl800_5_2">#REF!</definedName>
    <definedName name="rkl800_5_2_6">#REF!</definedName>
    <definedName name="rkl800_5_4">#REF!</definedName>
    <definedName name="rkl800_5_6">#REF!</definedName>
    <definedName name="rkl800_5_7">#REF!</definedName>
    <definedName name="rkl800_6">#REF!</definedName>
    <definedName name="rkl800_6_1">#REF!</definedName>
    <definedName name="rkl800_6_4">#REF!</definedName>
    <definedName name="rkl800_6_6">#REF!</definedName>
    <definedName name="rkl800_6_7">#REF!</definedName>
    <definedName name="rkl800_7">#REF!</definedName>
    <definedName name="rkp">#REF!</definedName>
    <definedName name="RLABO">#REF!</definedName>
    <definedName name="RLL">#REF!</definedName>
    <definedName name="rm_300_236">[96]Elektrikal!#REF!</definedName>
    <definedName name="RM100_LK">#REF!</definedName>
    <definedName name="RM225P">#REF!</definedName>
    <definedName name="RM300P">#REF!</definedName>
    <definedName name="RM350B">#REF!</definedName>
    <definedName name="RM350P">#REF!</definedName>
    <definedName name="RM400P">#REF!</definedName>
    <definedName name="RMISC">#REF!</definedName>
    <definedName name="Rmo236c_wbatt">[39]Electrikal!#REF!</definedName>
    <definedName name="Rmo300_236">[39]Electrikal!#REF!</definedName>
    <definedName name="Rmo300_236batt">[39]Electrikal!#REF!</definedName>
    <definedName name="rmpt">#REF!</definedName>
    <definedName name="Ro">#REF!</definedName>
    <definedName name="road">#N/A</definedName>
    <definedName name="Rob">#REF!</definedName>
    <definedName name="robehook">[93]Rekap!$H$52</definedName>
    <definedName name="Rocktile30">#REF!</definedName>
    <definedName name="RODABESI" localSheetId="7">[33]H_Dasar!#REF!</definedName>
    <definedName name="RODABESI">[33]H_Dasar!#REF!</definedName>
    <definedName name="RODAKARET" localSheetId="7">[33]H_Dasar!#REF!</definedName>
    <definedName name="RODAKARET">[33]H_Dasar!#REF!</definedName>
    <definedName name="RODATIGA" localSheetId="7">[33]H_Dasar!#REF!</definedName>
    <definedName name="RODATIGA">[33]H_Dasar!#REF!</definedName>
    <definedName name="Rol_Cat">#REF!</definedName>
    <definedName name="rolagbata">#REF!</definedName>
    <definedName name="rolcat">#REF!</definedName>
    <definedName name="rolct">#REF!</definedName>
    <definedName name="roldoralm">#REF!</definedName>
    <definedName name="roldorstel">#REF!</definedName>
    <definedName name="ROLL">[10]Material!$F$58</definedName>
    <definedName name="rollag">#REF!</definedName>
    <definedName name="roller">#REF!</definedName>
    <definedName name="Roller_Vibrator">#REF!</definedName>
    <definedName name="roller10">#REF!</definedName>
    <definedName name="roller25">#REF!</definedName>
    <definedName name="ROLLINGDOOR_ALUMINIUM">#REF!</definedName>
    <definedName name="roltcat">#REF!</definedName>
    <definedName name="roman_2020f">#REF!</definedName>
    <definedName name="roman_2020w">#REF!</definedName>
    <definedName name="roman_3030f">#REF!</definedName>
    <definedName name="roman_3030w">#REF!</definedName>
    <definedName name="roman_4040f">#REF!</definedName>
    <definedName name="roman_4040w">#REF!</definedName>
    <definedName name="roman20x20">'[120]Harga Material'!$F$49</definedName>
    <definedName name="roman30x30">'[120]Harga Material'!$F$50</definedName>
    <definedName name="roman40x40">'[120]Harga Material'!$F$51</definedName>
    <definedName name="Romax">#REF!</definedName>
    <definedName name="ROMCI">#N/A</definedName>
    <definedName name="Romin">#REF!</definedName>
    <definedName name="Romx">#REF!</definedName>
    <definedName name="roof_4">[94]Analisa!#REF!</definedName>
    <definedName name="ROOFDRAIN">#REF!</definedName>
    <definedName name="rool">#REF!</definedName>
    <definedName name="rool_meter">#REF!</definedName>
    <definedName name="roos">#REF!</definedName>
    <definedName name="rooster">#REF!</definedName>
    <definedName name="ror">#REF!</definedName>
    <definedName name="ROR_detec">[39]Elektronik!#REF!</definedName>
    <definedName name="rosster">#REF!</definedName>
    <definedName name="roster">#REF!</definedName>
    <definedName name="Roster_Pejaten">#REF!</definedName>
    <definedName name="ROSTI">#N/A</definedName>
    <definedName name="ROUND">#REF!</definedName>
    <definedName name="ROUND_1">#REF!</definedName>
    <definedName name="ROUND_1_2">#REF!</definedName>
    <definedName name="ROUND_1_4">#REF!</definedName>
    <definedName name="ROUND_1_6">#REF!</definedName>
    <definedName name="ROUND_1_7">#REF!</definedName>
    <definedName name="ROUND_2">#REF!</definedName>
    <definedName name="ROUND_2_1">#REF!</definedName>
    <definedName name="ROUND_2_1_6">#REF!</definedName>
    <definedName name="ROUND_2_2">#REF!</definedName>
    <definedName name="ROUND_2_4">#REF!</definedName>
    <definedName name="ROUND_2_6">#REF!</definedName>
    <definedName name="ROUND_2_7">#REF!</definedName>
    <definedName name="ROUND_3">#REF!</definedName>
    <definedName name="ROUND_3_2">#REF!</definedName>
    <definedName name="ROUND_3_4">#REF!</definedName>
    <definedName name="ROUND_3_6">#REF!</definedName>
    <definedName name="ROUND_3_7">#REF!</definedName>
    <definedName name="ROUND_4">#REF!</definedName>
    <definedName name="ROUND_4_1">#REF!</definedName>
    <definedName name="ROUND_4_2">#REF!</definedName>
    <definedName name="ROUND_4_4">#REF!</definedName>
    <definedName name="ROUND_4_6">#REF!</definedName>
    <definedName name="ROUND_4_7">#REF!</definedName>
    <definedName name="ROUND_5">#REF!</definedName>
    <definedName name="ROUND_5_2">#REF!</definedName>
    <definedName name="ROUND_5_4">#REF!</definedName>
    <definedName name="ROUND_5_6">#REF!</definedName>
    <definedName name="ROUND_5_7">#REF!</definedName>
    <definedName name="ROUND_6">#REF!</definedName>
    <definedName name="ROUND_6_1">#REF!</definedName>
    <definedName name="ROUND_6_2">#REF!</definedName>
    <definedName name="ROUND_6_4">#REF!</definedName>
    <definedName name="ROUND_6_6">#REF!</definedName>
    <definedName name="ROUND_6_7">#REF!</definedName>
    <definedName name="ROUND_7">#REF!</definedName>
    <definedName name="ROUND_7_1">#REF!</definedName>
    <definedName name="Round1">#REF!</definedName>
    <definedName name="Round2">#REF!</definedName>
    <definedName name="ROUNDDOL">#REF!</definedName>
    <definedName name="ROUNDED">#REF!</definedName>
    <definedName name="rOUNDING">[123]bill!$M$169</definedName>
    <definedName name="ROUNDL">#REF!</definedName>
    <definedName name="ROUNDM">#REF!</definedName>
    <definedName name="roundup">#REF!</definedName>
    <definedName name="ROWpost">#REF!</definedName>
    <definedName name="Rp">#REF!</definedName>
    <definedName name="Rp.">#REF!</definedName>
    <definedName name="Rp._unit">#REF!</definedName>
    <definedName name="Rp_Yen">#REF!</definedName>
    <definedName name="RPAIN">#REF!</definedName>
    <definedName name="rpm">#REF!</definedName>
    <definedName name="RPRATE">#REF!</definedName>
    <definedName name="RR" hidden="1">{"'Sheet1'!$A$1"}</definedName>
    <definedName name="rre" hidden="1">#REF!</definedName>
    <definedName name="rreer" hidden="1">#REF!</definedName>
    <definedName name="rrgg">#N/A</definedName>
    <definedName name="rrr">#REF!</definedName>
    <definedName name="rrrrr">#REF!</definedName>
    <definedName name="rryghg">#N/A</definedName>
    <definedName name="rsd">'[35]Harga Satuan Bahan'!$E$43</definedName>
    <definedName name="rsh">'[50]SAT-DAS'!$J$22</definedName>
    <definedName name="RSLEE">#REF!</definedName>
    <definedName name="Rsm_PERUMAHAN">#REF!</definedName>
    <definedName name="RSUBT">#REF!</definedName>
    <definedName name="RSUM1">#REF!</definedName>
    <definedName name="RSUM2">#REF!</definedName>
    <definedName name="RSUM3">#REF!</definedName>
    <definedName name="rt" hidden="1">{#N/A,#N/A,FALSE,"REK";#N/A,#N/A,FALSE,"Bq-ARS"}</definedName>
    <definedName name="Rtangga">#REF!</definedName>
    <definedName name="rtata">'[182]SAT-DAS'!$I$27</definedName>
    <definedName name="rtejhv" hidden="1">{#N/A,#N/A,FALSE,"REK";#N/A,#N/A,FALSE,"rab"}</definedName>
    <definedName name="RTEST">#REF!</definedName>
    <definedName name="RTET">[0]!__CAL11</definedName>
    <definedName name="rtetr">#REF!</definedName>
    <definedName name="rtey">'[108]SAT-DAS'!$J$52</definedName>
    <definedName name="RTGA">'[49]Lamp-4 Sat-Das'!$J$55</definedName>
    <definedName name="rthe">#REF!</definedName>
    <definedName name="rtre">#REF!</definedName>
    <definedName name="rtrt">#REF!</definedName>
    <definedName name="rtudetu">'[50]SAT-DAS'!$J$34</definedName>
    <definedName name="rtuy">#REF!</definedName>
    <definedName name="rty" hidden="1">{#N/A,#N/A,FALSE,"REK";#N/A,#N/A,FALSE,"Bq-ARS"}</definedName>
    <definedName name="rtyfrty">#REF!</definedName>
    <definedName name="rtyu" hidden="1">{"'Sheet1'!$A$1"}</definedName>
    <definedName name="RUANGPOMPA">#REF!</definedName>
    <definedName name="RUAS">[3]CH!$C$14</definedName>
    <definedName name="Rucika">#REF!</definedName>
    <definedName name="Rucika_Wavin">#REF!</definedName>
    <definedName name="Rucika_Wavin_1">#REF!</definedName>
    <definedName name="Rucika_Wavin_1_2">#REF!</definedName>
    <definedName name="Rucika_Wavin_1_2_6">#REF!</definedName>
    <definedName name="Rucika_Wavin_2">#REF!</definedName>
    <definedName name="Rucika_Wavin_2_1">#REF!</definedName>
    <definedName name="Rucika_Wavin_2_2">#REF!</definedName>
    <definedName name="Rucika_Wavin_2_6">#REF!</definedName>
    <definedName name="Rucika_Wavin_3">#REF!</definedName>
    <definedName name="Rucika_Wavin_3_2">#REF!</definedName>
    <definedName name="Rucika_Wavin_3_2_6">#REF!</definedName>
    <definedName name="Rucika_Wavin_4">#REF!</definedName>
    <definedName name="Rucika_Wavin_4_2">#REF!</definedName>
    <definedName name="Rucika_Wavin_4_2_6">#REF!</definedName>
    <definedName name="Rucika_Wavin_5">#REF!</definedName>
    <definedName name="Rucika_Wavin_5_2">#REF!</definedName>
    <definedName name="Rucika_Wavin_5_2_6">#REF!</definedName>
    <definedName name="Rucika_Wavin_6">#REF!</definedName>
    <definedName name="Rucika_Wavin_6_2">#REF!</definedName>
    <definedName name="Rucika_Wavin_6_2_6">#REF!</definedName>
    <definedName name="Rucika_Wavin_7">#REF!</definedName>
    <definedName name="Rucika_Wavin_7_6">#REF!</definedName>
    <definedName name="Rucika_Wavin_7_7">#REF!</definedName>
    <definedName name="rukan_a">#REF!</definedName>
    <definedName name="rukan_a_1_2">#REF!</definedName>
    <definedName name="rukan_a_1_2_6">#REF!</definedName>
    <definedName name="rukan_a_1_4">#REF!</definedName>
    <definedName name="rukan_a_1_6">#REF!</definedName>
    <definedName name="rukan_a_1_7">#REF!</definedName>
    <definedName name="rukan_a_17">#REF!</definedName>
    <definedName name="rukan_a_2">#REF!</definedName>
    <definedName name="rukan_a_2_4">#REF!</definedName>
    <definedName name="rukan_a_2_5">#REF!</definedName>
    <definedName name="rukan_a_2_6">#REF!</definedName>
    <definedName name="rukan_a_2_7">#REF!</definedName>
    <definedName name="rukan_aa">#REF!</definedName>
    <definedName name="rukan_aa_1_2">#REF!</definedName>
    <definedName name="rukan_aa_1_2_6">#REF!</definedName>
    <definedName name="rukan_aa_1_4">#REF!</definedName>
    <definedName name="rukan_aa_1_6">#REF!</definedName>
    <definedName name="rukan_aa_1_7">#REF!</definedName>
    <definedName name="rukan_aa_17">#REF!</definedName>
    <definedName name="rukan_aa_2">#REF!</definedName>
    <definedName name="rukan_aa_2_4">#REF!</definedName>
    <definedName name="rukan_aa_2_5">#REF!</definedName>
    <definedName name="rukan_aa_2_6">#REF!</definedName>
    <definedName name="rukan_aa_2_7">#REF!</definedName>
    <definedName name="rukan_b">#REF!</definedName>
    <definedName name="rukan_b_1_2">#REF!</definedName>
    <definedName name="rukan_b_1_2_6">#REF!</definedName>
    <definedName name="rukan_b_1_4">#REF!</definedName>
    <definedName name="rukan_b_1_6">#REF!</definedName>
    <definedName name="rukan_b_1_7">#REF!</definedName>
    <definedName name="rukan_b_17">#REF!</definedName>
    <definedName name="rukan_b_2">#REF!</definedName>
    <definedName name="rukan_b_2_4">#REF!</definedName>
    <definedName name="rukan_b_2_5">#REF!</definedName>
    <definedName name="rukan_b_2_6">#REF!</definedName>
    <definedName name="rukan_b_2_7">#REF!</definedName>
    <definedName name="rukan_c">#REF!</definedName>
    <definedName name="rukan_c_1_2">#REF!</definedName>
    <definedName name="rukan_c_1_2_6">#REF!</definedName>
    <definedName name="rukan_c_1_4">#REF!</definedName>
    <definedName name="rukan_c_1_6">#REF!</definedName>
    <definedName name="rukan_c_1_7">#REF!</definedName>
    <definedName name="rukan_c_17">#REF!</definedName>
    <definedName name="rukan_c_2">#REF!</definedName>
    <definedName name="rukan_c_2_4">#REF!</definedName>
    <definedName name="rukan_c_2_5">#REF!</definedName>
    <definedName name="rukan_c_2_6">#REF!</definedName>
    <definedName name="rukan_c_2_7">#REF!</definedName>
    <definedName name="rukan_cc">#REF!</definedName>
    <definedName name="rukan_cc_1_2">#REF!</definedName>
    <definedName name="rukan_cc_1_2_6">#REF!</definedName>
    <definedName name="rukan_cc_1_4">#REF!</definedName>
    <definedName name="rukan_cc_1_6">#REF!</definedName>
    <definedName name="rukan_cc_1_7">#REF!</definedName>
    <definedName name="rukan_cc_17">#REF!</definedName>
    <definedName name="rukan_cc_2">#REF!</definedName>
    <definedName name="rukan_cc_2_4">#REF!</definedName>
    <definedName name="rukan_cc_2_5">#REF!</definedName>
    <definedName name="rukan_cc_2_6">#REF!</definedName>
    <definedName name="rukan_cc_2_7">#REF!</definedName>
    <definedName name="rukan_d">#REF!</definedName>
    <definedName name="rukan_d_1_2">#REF!</definedName>
    <definedName name="rukan_d_1_2_6">#REF!</definedName>
    <definedName name="rukan_d_1_4">#REF!</definedName>
    <definedName name="rukan_d_1_6">#REF!</definedName>
    <definedName name="rukan_d_1_7">#REF!</definedName>
    <definedName name="rukan_d_17">#REF!</definedName>
    <definedName name="rukan_d_2">#REF!</definedName>
    <definedName name="rukan_d_2_4">#REF!</definedName>
    <definedName name="rukan_d_2_5">#REF!</definedName>
    <definedName name="rukan_d_2_6">#REF!</definedName>
    <definedName name="rukan_d_2_7">#REF!</definedName>
    <definedName name="rukan_dd">#REF!</definedName>
    <definedName name="rukan_dd_1_2">#REF!</definedName>
    <definedName name="rukan_dd_1_2_6">#REF!</definedName>
    <definedName name="rukan_dd_1_4">#REF!</definedName>
    <definedName name="rukan_dd_1_6">#REF!</definedName>
    <definedName name="rukan_dd_1_7">#REF!</definedName>
    <definedName name="rukan_dd_17">#REF!</definedName>
    <definedName name="rukan_dd_2">#REF!</definedName>
    <definedName name="rukan_dd_2_4">#REF!</definedName>
    <definedName name="rukan_dd_2_5">#REF!</definedName>
    <definedName name="rukan_dd_2_6">#REF!</definedName>
    <definedName name="rukan_dd_2_7">#REF!</definedName>
    <definedName name="rukan_e">#REF!</definedName>
    <definedName name="rukan_e_1_2">#REF!</definedName>
    <definedName name="rukan_e_1_2_6">#REF!</definedName>
    <definedName name="rukan_e_1_4">#REF!</definedName>
    <definedName name="rukan_e_1_6">#REF!</definedName>
    <definedName name="rukan_e_1_7">#REF!</definedName>
    <definedName name="rukan_e_17">#REF!</definedName>
    <definedName name="rukan_e_2">#REF!</definedName>
    <definedName name="rukan_e_2_4">#REF!</definedName>
    <definedName name="rukan_e_2_5">#REF!</definedName>
    <definedName name="rukan_e_2_6">#REF!</definedName>
    <definedName name="rukan_e_2_7">#REF!</definedName>
    <definedName name="rukan_ee">#REF!</definedName>
    <definedName name="rukan_ee_1_2">#REF!</definedName>
    <definedName name="rukan_ee_1_2_6">#REF!</definedName>
    <definedName name="rukan_ee_1_4">#REF!</definedName>
    <definedName name="rukan_ee_1_6">#REF!</definedName>
    <definedName name="rukan_ee_1_7">#REF!</definedName>
    <definedName name="rukan_ee_17">#REF!</definedName>
    <definedName name="rukan_ee_2">#REF!</definedName>
    <definedName name="rukan_ee_2_4">#REF!</definedName>
    <definedName name="rukan_ee_2_5">#REF!</definedName>
    <definedName name="rukan_ee_2_6">#REF!</definedName>
    <definedName name="rukan_ee_2_7">#REF!</definedName>
    <definedName name="Ruko">#REF!</definedName>
    <definedName name="Ruko_14">#REF!</definedName>
    <definedName name="Ruko_14_15">#REF!</definedName>
    <definedName name="Ruko_14_15_1">#REF!</definedName>
    <definedName name="Ruko_14_15_16">#REF!</definedName>
    <definedName name="Ruko_14_15_7">#REF!</definedName>
    <definedName name="Ruko_14_16">#REF!</definedName>
    <definedName name="Ruko_14_8">#REF!</definedName>
    <definedName name="Ruko_14_9">#REF!</definedName>
    <definedName name="Ruko_15">#REF!</definedName>
    <definedName name="Ruko_15_1">#REF!</definedName>
    <definedName name="Ruko_15_16">#REF!</definedName>
    <definedName name="Ruko_15_7">#REF!</definedName>
    <definedName name="Ruko_16">#REF!</definedName>
    <definedName name="Ruko_5">#REF!</definedName>
    <definedName name="Ruko_5_15">#REF!</definedName>
    <definedName name="Ruko_5_15_1">#REF!</definedName>
    <definedName name="Ruko_5_15_16">#REF!</definedName>
    <definedName name="Ruko_5_15_7">#REF!</definedName>
    <definedName name="Ruko_5_16">#REF!</definedName>
    <definedName name="Ruko_5_8">#REF!</definedName>
    <definedName name="Ruko_5_9">#REF!</definedName>
    <definedName name="Ruko_6">#REF!</definedName>
    <definedName name="Ruko_6_15">#REF!</definedName>
    <definedName name="Ruko_6_15_1">#REF!</definedName>
    <definedName name="Ruko_6_15_16">#REF!</definedName>
    <definedName name="Ruko_6_15_7">#REF!</definedName>
    <definedName name="Ruko_6_16">#REF!</definedName>
    <definedName name="Ruko_6_8">#REF!</definedName>
    <definedName name="Ruko_6_9">#REF!</definedName>
    <definedName name="Ruko_7">#REF!</definedName>
    <definedName name="Ruko_7_15">#REF!</definedName>
    <definedName name="Ruko_7_15_1">#REF!</definedName>
    <definedName name="Ruko_7_15_16">#REF!</definedName>
    <definedName name="Ruko_7_15_7">#REF!</definedName>
    <definedName name="Ruko_7_16">#REF!</definedName>
    <definedName name="Ruko_7_8">#REF!</definedName>
    <definedName name="Ruko_7_9">#REF!</definedName>
    <definedName name="Ruko_8">#REF!</definedName>
    <definedName name="Ruko_9">#REF!</definedName>
    <definedName name="rum">[24]Analisa!#REF!</definedName>
    <definedName name="rumput">#REF!</definedName>
    <definedName name="rumputgajah">[136]harsat!#REF!</definedName>
    <definedName name="rumputgajah\m2">#REF!</definedName>
    <definedName name="rumputmini">#REF!</definedName>
    <definedName name="rumus">#REF!</definedName>
    <definedName name="RUPA">[75]bau!$J$44</definedName>
    <definedName name="RUPIAH">#REF!</definedName>
    <definedName name="RUTIN" localSheetId="7">#REF!</definedName>
    <definedName name="RUTIN">#REF!</definedName>
    <definedName name="rwtw">[52]DHSD!$G$37</definedName>
    <definedName name="RY" hidden="1">{#N/A,#N/A,TRUE,"Front";#N/A,#N/A,TRUE,"Simple Letter";#N/A,#N/A,TRUE,"Inside";#N/A,#N/A,TRUE,"Contents";#N/A,#N/A,TRUE,"Basis";#N/A,#N/A,TRUE,"Inclusions";#N/A,#N/A,TRUE,"Exclusions";#N/A,#N/A,TRUE,"Areas";#N/A,#N/A,TRUE,"Summary";#N/A,#N/A,TRUE,"Detail"}</definedName>
    <definedName name="ryrety">#REF!</definedName>
    <definedName name="ryrey">#REF!</definedName>
    <definedName name="ryrtrt">#REF!</definedName>
    <definedName name="rysw">'[50]SAT-DAS'!$J$23</definedName>
    <definedName name="rytj" hidden="1">{#N/A,#N/A,FALSE,"REK";#N/A,#N/A,FALSE,"rab"}</definedName>
    <definedName name="RYW">'[49]Lamp-4 Sat-Das'!$J$57</definedName>
    <definedName name="rywetw">[52]DHSD!$G$45</definedName>
    <definedName name="ryyy" hidden="1">{"'Sheet1'!$A$1"}</definedName>
    <definedName name="s">#REF!</definedName>
    <definedName name="s.05a">#REF!</definedName>
    <definedName name="s.05b">#REF!</definedName>
    <definedName name="s.05c">#REF!</definedName>
    <definedName name="s.05d">#REF!</definedName>
    <definedName name="s.05e">#REF!</definedName>
    <definedName name="s.05f">#REF!</definedName>
    <definedName name="s.05g">#REF!</definedName>
    <definedName name="s.05h">#REF!</definedName>
    <definedName name="s.05i">#REF!</definedName>
    <definedName name="s.05j">#REF!</definedName>
    <definedName name="S.05J1">#REF!</definedName>
    <definedName name="S.05J2">#REF!</definedName>
    <definedName name="S.05J3">#REF!</definedName>
    <definedName name="S.05J4">#REF!</definedName>
    <definedName name="S.05J5">#REF!</definedName>
    <definedName name="S.05J6">#REF!</definedName>
    <definedName name="S.05J7">#REF!</definedName>
    <definedName name="s.05k">#REF!</definedName>
    <definedName name="S.05L">#REF!</definedName>
    <definedName name="S.05M">#REF!</definedName>
    <definedName name="S.05N">#REF!</definedName>
    <definedName name="S.05O">#REF!</definedName>
    <definedName name="S.05P">#REF!</definedName>
    <definedName name="S.05Q">#REF!</definedName>
    <definedName name="s.05r">#REF!</definedName>
    <definedName name="s.05s">#REF!</definedName>
    <definedName name="s.05t">#REF!</definedName>
    <definedName name="S.05U">#REF!</definedName>
    <definedName name="s.09a">#REF!</definedName>
    <definedName name="s.09b">#REF!</definedName>
    <definedName name="s.09c">#REF!</definedName>
    <definedName name="S.21">#REF!</definedName>
    <definedName name="S.21_23">#REF!</definedName>
    <definedName name="S.21_25">#REF!</definedName>
    <definedName name="S.23">#REF!</definedName>
    <definedName name="S.23_23">#REF!</definedName>
    <definedName name="S.23_25">#REF!</definedName>
    <definedName name="S.24">#REF!</definedName>
    <definedName name="S.24_23">#REF!</definedName>
    <definedName name="S.24_25">#REF!</definedName>
    <definedName name="S.25">#REF!</definedName>
    <definedName name="S.25_23">#REF!</definedName>
    <definedName name="S.25_25">#REF!</definedName>
    <definedName name="S.26">#REF!</definedName>
    <definedName name="S.26_23">#REF!</definedName>
    <definedName name="S.26_25">#REF!</definedName>
    <definedName name="S.BARU">#REF!</definedName>
    <definedName name="S.BARU_23">#REF!</definedName>
    <definedName name="S.BARU_25">#REF!</definedName>
    <definedName name="S.LAMA.A">#REF!</definedName>
    <definedName name="S.LAMA.A_23">#REF!</definedName>
    <definedName name="S.LAMA.A_25">#REF!</definedName>
    <definedName name="S.LAMA.B">#REF!</definedName>
    <definedName name="S.LAMA.B_23">#REF!</definedName>
    <definedName name="S.LAMA.B_25">#REF!</definedName>
    <definedName name="S.LAMA.C">#REF!</definedName>
    <definedName name="S.LAMA.C_23">#REF!</definedName>
    <definedName name="S.LAMA.C_25">#REF!</definedName>
    <definedName name="s.tukang">#REF!</definedName>
    <definedName name="s.warna">#REF!</definedName>
    <definedName name="s_0.3">#REF!</definedName>
    <definedName name="S_1">#REF!</definedName>
    <definedName name="S_1_2">#REF!</definedName>
    <definedName name="S_1_2_6">#REF!</definedName>
    <definedName name="S_2">#REF!</definedName>
    <definedName name="S_2_1">#REF!</definedName>
    <definedName name="S_2_1_1">#REF!</definedName>
    <definedName name="S_2_1_1_6">#REF!</definedName>
    <definedName name="S_2_1_7">#REF!</definedName>
    <definedName name="S_2_2">#REF!</definedName>
    <definedName name="S_2_6">#REF!</definedName>
    <definedName name="S_2030">#REF!</definedName>
    <definedName name="S_3">#REF!</definedName>
    <definedName name="S_3_2">#REF!</definedName>
    <definedName name="S_3_2_6">#REF!</definedName>
    <definedName name="S_4">#REF!</definedName>
    <definedName name="S_4_2">#REF!</definedName>
    <definedName name="S_4_2_6">#REF!</definedName>
    <definedName name="S_5">#REF!</definedName>
    <definedName name="S_5_2">#REF!</definedName>
    <definedName name="S_5_2_6">#REF!</definedName>
    <definedName name="S_6">#REF!</definedName>
    <definedName name="S_6_2">#REF!</definedName>
    <definedName name="S_6_2_6">#REF!</definedName>
    <definedName name="S_7">#REF!</definedName>
    <definedName name="S_7_6">#REF!</definedName>
    <definedName name="S_7_7">#REF!</definedName>
    <definedName name="S_DIGIT">#REF!</definedName>
    <definedName name="S_JUTA">#REF!</definedName>
    <definedName name="S_MILYAR">#REF!</definedName>
    <definedName name="S_RIBU">#REF!</definedName>
    <definedName name="S_SATU">#REF!</definedName>
    <definedName name="s_tx403">[24]Analisa!#REF!</definedName>
    <definedName name="s11n">[93]Rekap!$H$54</definedName>
    <definedName name="SA">#REF!</definedName>
    <definedName name="SA.1">#REF!</definedName>
    <definedName name="SA.1_23">#REF!</definedName>
    <definedName name="SA.1_25">#REF!</definedName>
    <definedName name="SA.10">#REF!</definedName>
    <definedName name="SA.10_23">#REF!</definedName>
    <definedName name="SA.10_25">#REF!</definedName>
    <definedName name="SA.11">#REF!</definedName>
    <definedName name="SA.11_23">#REF!</definedName>
    <definedName name="SA.11_25">#REF!</definedName>
    <definedName name="SA.12">#REF!</definedName>
    <definedName name="SA.12_23">#REF!</definedName>
    <definedName name="SA.12_25">#REF!</definedName>
    <definedName name="SA.13">#REF!</definedName>
    <definedName name="SA.13_23">#REF!</definedName>
    <definedName name="SA.13_25">#REF!</definedName>
    <definedName name="SA.14">#REF!</definedName>
    <definedName name="SA.14_23">#REF!</definedName>
    <definedName name="SA.14_25">#REF!</definedName>
    <definedName name="SA.2">#REF!</definedName>
    <definedName name="SA.2_23">#REF!</definedName>
    <definedName name="SA.2_25">#REF!</definedName>
    <definedName name="SA.3">#REF!</definedName>
    <definedName name="SA.3_23">#REF!</definedName>
    <definedName name="SA.3_25">#REF!</definedName>
    <definedName name="SA.4">#REF!</definedName>
    <definedName name="SA.4_23">#REF!</definedName>
    <definedName name="SA.4_25">#REF!</definedName>
    <definedName name="SA.5">#REF!</definedName>
    <definedName name="SA.5_23">#REF!</definedName>
    <definedName name="SA.5_25">#REF!</definedName>
    <definedName name="SA.6">#REF!</definedName>
    <definedName name="SA.6_23">#REF!</definedName>
    <definedName name="SA.6_25">#REF!</definedName>
    <definedName name="SA.7">#REF!</definedName>
    <definedName name="SA.7_23">#REF!</definedName>
    <definedName name="SA.7_25">#REF!</definedName>
    <definedName name="SA.8">#REF!</definedName>
    <definedName name="SA.8_23">#REF!</definedName>
    <definedName name="SA.8_25">#REF!</definedName>
    <definedName name="SA.9">#REF!</definedName>
    <definedName name="SA.9_23">#REF!</definedName>
    <definedName name="SA.9_25">#REF!</definedName>
    <definedName name="sab">'[45]Sat~Bahu'!$G$49</definedName>
    <definedName name="sabantu">'[45]Sat~Bahu'!$G$76</definedName>
    <definedName name="sabun">#REF!</definedName>
    <definedName name="sac">#REF!</definedName>
    <definedName name="sad">#REF!</definedName>
    <definedName name="safasf">#REF!</definedName>
    <definedName name="SAFETY_CONTROL">#REF!</definedName>
    <definedName name="SAfr">#REF!</definedName>
    <definedName name="safsa">#REF!</definedName>
    <definedName name="safsaf">#REF!</definedName>
    <definedName name="safsf">#REF!</definedName>
    <definedName name="sag">#REF!</definedName>
    <definedName name="sagiman">#REF!</definedName>
    <definedName name="SAH">#REF!</definedName>
    <definedName name="sak">#N/A</definedName>
    <definedName name="sak.1">#REF!</definedName>
    <definedName name="sak.2">#REF!</definedName>
    <definedName name="sakgan">#REF!</definedName>
    <definedName name="Saklar_doble_sekualitas_broco">#REF!</definedName>
    <definedName name="saklar_double">'[78]Harga Jasa dan Material'!$D$149</definedName>
    <definedName name="saklar_single">'[78]Harga Jasa dan Material'!$D$148</definedName>
    <definedName name="saklar_tukar">'[78]Harga Jasa dan Material'!$D$150</definedName>
    <definedName name="Saklar_tunggal_sekualitas_broco">#REF!</definedName>
    <definedName name="Saklar2">#REF!</definedName>
    <definedName name="Saklar3">#REF!</definedName>
    <definedName name="saklardobel">#REF!</definedName>
    <definedName name="SAKLARDOUBLE">#N/A</definedName>
    <definedName name="saklarg">#REF!</definedName>
    <definedName name="saklarganda">#REF!</definedName>
    <definedName name="Saklargnda">#REF!</definedName>
    <definedName name="SaklarTggl">#REF!</definedName>
    <definedName name="saklartukar">#REF!</definedName>
    <definedName name="SAKLARTUNGGAL">#N/A</definedName>
    <definedName name="saktung">#REF!</definedName>
    <definedName name="sakura">#REF!</definedName>
    <definedName name="sal">#REF!</definedName>
    <definedName name="sal_2020">#REF!</definedName>
    <definedName name="sal_k">#REF!</definedName>
    <definedName name="SALARY">#REF!</definedName>
    <definedName name="SALARY___WAGE">#REF!</definedName>
    <definedName name="sald24">#REF!</definedName>
    <definedName name="Saldo">#REF!</definedName>
    <definedName name="SALES">#REF!</definedName>
    <definedName name="salhujan">#REF!</definedName>
    <definedName name="salt">#REF!</definedName>
    <definedName name="saluran">#REF!</definedName>
    <definedName name="Saluran_Beton">#REF!</definedName>
    <definedName name="saluranU.40batu">#REF!</definedName>
    <definedName name="saluraU.60batu">#REF!</definedName>
    <definedName name="sam">{"Book1","4.09 FLORA DAN FAUNA.xls","4.22 PERLENGKAPAN SEKOLAH.xls"}</definedName>
    <definedName name="sambung">#REF!</definedName>
    <definedName name="sambung450">#REF!</definedName>
    <definedName name="sambung600">#REF!</definedName>
    <definedName name="SAMBUNGAN_LISTRIK">#REF!</definedName>
    <definedName name="san" localSheetId="7">#REF!</definedName>
    <definedName name="san">#REF!</definedName>
    <definedName name="SAND_CONCRETE">#REF!</definedName>
    <definedName name="Sandaran_Jbt">#REF!</definedName>
    <definedName name="SANDB">#REF!</definedName>
    <definedName name="SANDFA">#REF!</definedName>
    <definedName name="sandstone">#REF!</definedName>
    <definedName name="SANITAIR1">#REF!</definedName>
    <definedName name="sanitary">#REF!</definedName>
    <definedName name="sanlex">#REF!</definedName>
    <definedName name="sanyo">#REF!</definedName>
    <definedName name="sap">#REF!</definedName>
    <definedName name="sarogol">#REF!</definedName>
    <definedName name="sasa" hidden="1">#REF!</definedName>
    <definedName name="SASE">[10]Material!$F$46</definedName>
    <definedName name="SAT">#REF!</definedName>
    <definedName name="SAT_BAHAN">#REF!</definedName>
    <definedName name="SAT_UPAH">#REF!</definedName>
    <definedName name="satb">'[45]Sat~Bahu'!$G$86</definedName>
    <definedName name="Satker">#REF!</definedName>
    <definedName name="satker1">#REF!</definedName>
    <definedName name="Satpam">#REF!</definedName>
    <definedName name="satrev">#REF!</definedName>
    <definedName name="Satu">#REF!</definedName>
    <definedName name="satuan">#REF!</definedName>
    <definedName name="sayan">#REF!</definedName>
    <definedName name="sb">#REF!</definedName>
    <definedName name="SB.1">#REF!</definedName>
    <definedName name="SB.1_23">#REF!</definedName>
    <definedName name="SB.1_25">#REF!</definedName>
    <definedName name="SB.2">#REF!</definedName>
    <definedName name="SB.2_23">#REF!</definedName>
    <definedName name="SB.2_25">#REF!</definedName>
    <definedName name="SB.3">#REF!</definedName>
    <definedName name="SB.3_23">#REF!</definedName>
    <definedName name="SB.3_25">#REF!</definedName>
    <definedName name="SB.4">#REF!</definedName>
    <definedName name="SB.4_23">#REF!</definedName>
    <definedName name="SB.4_25">#REF!</definedName>
    <definedName name="SB.5">#REF!</definedName>
    <definedName name="SB.5_23">#REF!</definedName>
    <definedName name="SB.5_25">#REF!</definedName>
    <definedName name="SBASE">#REF!</definedName>
    <definedName name="sbb.05">'[45]Sat~Bahu'!$G$41</definedName>
    <definedName name="sbb.1">'[45]Sat~Bahu'!$G$40</definedName>
    <definedName name="sbb.10">'[45]Sat~Bahu'!$G$35</definedName>
    <definedName name="sbb.2">'[45]Sat~Bahu'!$G$39</definedName>
    <definedName name="sbb.3">'[45]Sat~Bahu'!$G$38</definedName>
    <definedName name="sbb.5">'[45]Sat~Bahu'!$G$37</definedName>
    <definedName name="sbd">#REF!</definedName>
    <definedName name="sbg">#REF!</definedName>
    <definedName name="sbo">[183]Harsat_marina!$I$47</definedName>
    <definedName name="SBOQ">#REF!</definedName>
    <definedName name="SBOQ1">#REF!</definedName>
    <definedName name="SBOQ2">#REF!</definedName>
    <definedName name="SBQ">#REF!</definedName>
    <definedName name="sbtb">'[45]Sat~Bahu'!$G$67</definedName>
    <definedName name="sbtp">'[45]Sat~Bahu'!$G$48</definedName>
    <definedName name="sc">#REF!</definedName>
    <definedName name="SC.1">#REF!</definedName>
    <definedName name="SC.1_23">#REF!</definedName>
    <definedName name="SC.1_25">#REF!</definedName>
    <definedName name="sc_0.03">#REF!</definedName>
    <definedName name="sc_0.05">[31]BKPM!$I$208</definedName>
    <definedName name="sc_0.51">#REF!</definedName>
    <definedName name="sca">#REF!</definedName>
    <definedName name="scab">'[45]Sat~Bahu'!#REF!</definedName>
    <definedName name="scaf1">#REF!</definedName>
    <definedName name="SCAFFOLDING">#REF!</definedName>
    <definedName name="scafolding">#REF!</definedName>
    <definedName name="scc">#REF!</definedName>
    <definedName name="scd">#REF!</definedName>
    <definedName name="scedu">#REF!</definedName>
    <definedName name="SCF">#REF!</definedName>
    <definedName name="scfold">[83]Sheet1!$H$28</definedName>
    <definedName name="SCH">#REF!</definedName>
    <definedName name="sch40w0.5">#REF!</definedName>
    <definedName name="schedule">#REF!</definedName>
    <definedName name="ScheduleEkstern">#REF!</definedName>
    <definedName name="ScheduleEksternPiutang">#REF!</definedName>
    <definedName name="ScheduleEksternSdPeriodeIni">#REF!</definedName>
    <definedName name="ScheduleEksternSdPeriodeLalu">#REF!</definedName>
    <definedName name="SCI.2">#REF!</definedName>
    <definedName name="SCII">#REF!</definedName>
    <definedName name="SCIII">#REF!</definedName>
    <definedName name="SCIV">#REF!</definedName>
    <definedName name="Scm">#REF!</definedName>
    <definedName name="scr">#REF!</definedName>
    <definedName name="scrap">#REF!</definedName>
    <definedName name="scred">#REF!</definedName>
    <definedName name="screed">"'file://SERVER3/har-data/STRUCTURE PRICE OF BQ KOMPAS GRAMEDIA.xls'#$analisa.$#REF!$#REF!"</definedName>
    <definedName name="SCREED10">#REF!</definedName>
    <definedName name="SCREED5">#REF!</definedName>
    <definedName name="screed5cm">#REF!</definedName>
    <definedName name="screening">[93]Rekap!$H$64</definedName>
    <definedName name="scren">#REF!</definedName>
    <definedName name="screwcap">#REF!</definedName>
    <definedName name="SCVI">#REF!</definedName>
    <definedName name="SCVIII">#REF!</definedName>
    <definedName name="SCX">#REF!</definedName>
    <definedName name="sd">#REF!</definedName>
    <definedName name="sd_1">#REF!</definedName>
    <definedName name="sd_12">#REF!</definedName>
    <definedName name="sd_2">#REF!</definedName>
    <definedName name="sd_3">#REF!</definedName>
    <definedName name="sd_4">#REF!</definedName>
    <definedName name="sd_5">#REF!</definedName>
    <definedName name="sd_6">#REF!</definedName>
    <definedName name="sd1_1">#REF!</definedName>
    <definedName name="sd1_2">#REF!</definedName>
    <definedName name="sd1_3">#REF!</definedName>
    <definedName name="sd1_5">#REF!</definedName>
    <definedName name="sd1_6">#REF!</definedName>
    <definedName name="sd1_7">#REF!</definedName>
    <definedName name="sd1_8">#REF!</definedName>
    <definedName name="sd1_9">#REF!</definedName>
    <definedName name="sd2_1">[95]satuan_pek_ars!#REF!</definedName>
    <definedName name="sd2_2">[95]satuan_pek_ars!#REF!</definedName>
    <definedName name="sd2_3">[95]satuan_pek_ars!#REF!</definedName>
    <definedName name="sd2_4">[95]satuan_pek_ars!#REF!</definedName>
    <definedName name="sd2_5">[95]satuan_pek_ars!#REF!</definedName>
    <definedName name="sd2_6">[95]satuan_pek_ars!#REF!</definedName>
    <definedName name="sd2_7">[95]satuan_pek_ars!#REF!</definedName>
    <definedName name="sd2_8">[95]satuan_pek_ars!#REF!</definedName>
    <definedName name="sd3_1">[95]satuan_pek_ars!#REF!</definedName>
    <definedName name="sd3_3">[95]satuan_pek_ars!#REF!</definedName>
    <definedName name="sd3_4">[95]satuan_pek_ars!#REF!</definedName>
    <definedName name="sd3_5">[95]satuan_pek_ars!#REF!</definedName>
    <definedName name="sd3_6">[95]satuan_pek_ars!#REF!</definedName>
    <definedName name="sd3_7">[95]satuan_pek_ars!#REF!</definedName>
    <definedName name="sd3p">'[18]lam-moi'!#REF!</definedName>
    <definedName name="sd4_1">[95]satuan_pek_ars!#REF!</definedName>
    <definedName name="sd4_2">[95]satuan_pek_ars!#REF!</definedName>
    <definedName name="sd4_3">[95]satuan_pek_ars!#REF!</definedName>
    <definedName name="sd4_4">[95]satuan_pek_ars!#REF!</definedName>
    <definedName name="sd4_5">[95]satuan_pek_ars!#REF!</definedName>
    <definedName name="sd4_6">[95]satuan_pek_ars!#REF!</definedName>
    <definedName name="sd4_7">[95]satuan_pek_ars!#REF!</definedName>
    <definedName name="sd4_8">[95]satuan_pek_ars!#REF!</definedName>
    <definedName name="sd5_a">[95]satuan_pek_ars!#REF!</definedName>
    <definedName name="sd5_b">[95]satuan_pek_ars!#REF!</definedName>
    <definedName name="sd5_c">[95]satuan_pek_ars!#REF!</definedName>
    <definedName name="sd5_d">[95]satuan_pek_ars!#REF!</definedName>
    <definedName name="sd5_f">[95]satuan_pek_ars!#REF!</definedName>
    <definedName name="sd5_g">[95]satuan_pek_ars!#REF!</definedName>
    <definedName name="sd5_h">[95]satuan_pek_ars!#REF!</definedName>
    <definedName name="sd5_i">[95]satuan_pek_ars!#REF!</definedName>
    <definedName name="sda" hidden="1">#REF!</definedName>
    <definedName name="sdaaaaaaaaa">'[15]2.1'!#REF!</definedName>
    <definedName name="sdatu">#REF!</definedName>
    <definedName name="sdf" hidden="1">{"'Sheet1'!$A$1"}</definedName>
    <definedName name="SDFB">#N/A</definedName>
    <definedName name="sdfgfhjkj">[151]Cover!#REF!</definedName>
    <definedName name="sdfsd">#REF!</definedName>
    <definedName name="sdfwrg" hidden="1">{"'Sheet1'!$A$1"}</definedName>
    <definedName name="sdh">#REF!</definedName>
    <definedName name="SDMONG">#REF!</definedName>
    <definedName name="SDRGH">#REF!</definedName>
    <definedName name="SDS">'[2]THPDMoi  (2)'!#REF!</definedName>
    <definedName name="SDSAD">#REF!</definedName>
    <definedName name="sdt">#REF!</definedName>
    <definedName name="sdtbk">#REF!</definedName>
    <definedName name="sdtg" hidden="1">{"'Sheet1'!$A$1"}</definedName>
    <definedName name="sdu_1">#REF!</definedName>
    <definedName name="sdu_2">#REF!</definedName>
    <definedName name="sdu1_a">#REF!</definedName>
    <definedName name="sdu1_b">#REF!</definedName>
    <definedName name="sdu1_c">#REF!</definedName>
    <definedName name="sdu1_d">#REF!</definedName>
    <definedName name="sdu1_f">#REF!</definedName>
    <definedName name="sdu1_h">#REF!</definedName>
    <definedName name="sdu1_j">#REF!</definedName>
    <definedName name="sdu2_a">[95]satuan_pek_ars!#REF!</definedName>
    <definedName name="sdu2_b">[95]satuan_pek_ars!#REF!</definedName>
    <definedName name="sdu2_c">[95]satuan_pek_ars!#REF!</definedName>
    <definedName name="sdu2_d">[95]satuan_pek_ars!#REF!</definedName>
    <definedName name="sdu2_f">[95]satuan_pek_ars!#REF!</definedName>
    <definedName name="sdu2_h">[95]satuan_pek_ars!#REF!</definedName>
    <definedName name="sdu2_k">[95]satuan_pek_ars!#REF!</definedName>
    <definedName name="sdvfv" hidden="1">{"'Sheet1'!$A$1"}</definedName>
    <definedName name="se">[121]HDasar!$H$16</definedName>
    <definedName name="se_berker">[39]Electrikal!#REF!</definedName>
    <definedName name="SEAL">#REF!</definedName>
    <definedName name="Sealent">#REF!</definedName>
    <definedName name="SEALER">#REF!</definedName>
    <definedName name="sealer.mowi">#REF!</definedName>
    <definedName name="sealer.vini">#REF!</definedName>
    <definedName name="sebut">#REF!</definedName>
    <definedName name="SEC.C1" hidden="1">#REF!</definedName>
    <definedName name="Section_1_Title_1">'[106]Fill this out first___'!$I$5</definedName>
    <definedName name="Section_1_Title_19_1">'[106]Fill this out first___'!$I$5</definedName>
    <definedName name="Section_1_Title_52">'[106]Fill this out first___'!$I$5</definedName>
    <definedName name="Section_8_Title_12">'[184]Fill this out first___'!$I$7</definedName>
    <definedName name="Section_8_Title_19_1_1">'[106]Fill this out first___'!$I$7</definedName>
    <definedName name="Section_8_Title_9">'[185]Fill this out first___'!$I$7</definedName>
    <definedName name="sed">#REF!</definedName>
    <definedName name="sedia">#REF!</definedName>
    <definedName name="SEE">[186]BQ!#REF!</definedName>
    <definedName name="sek">#REF!</definedName>
    <definedName name="sekarang">#REF!</definedName>
    <definedName name="sekat">[93]Rekap!$H$61</definedName>
    <definedName name="sekbox">#REF!</definedName>
    <definedName name="sekedul2" hidden="1">{#N/A,#N/A,FALSE,"Chi tiÆt"}</definedName>
    <definedName name="sekering1grup">#REF!</definedName>
    <definedName name="sekering2grup">#REF!</definedName>
    <definedName name="sekering3grup">#REF!</definedName>
    <definedName name="sekgnd">#REF!</definedName>
    <definedName name="SEKRING2">#N/A</definedName>
    <definedName name="sektgl">#REF!</definedName>
    <definedName name="sel" hidden="1">{#N/A,#N/A,FALSE,"REK-S-TPL";#N/A,#N/A,FALSE,"REK-TPML";#N/A,#N/A,FALSE,"RAB-TEMPEL"}</definedName>
    <definedName name="selasar">#REF!</definedName>
    <definedName name="selfaddhitivemembran">#REF!</definedName>
    <definedName name="Selimut">#REF!</definedName>
    <definedName name="Selimut_beton">#REF!</definedName>
    <definedName name="selisih">#REF!</definedName>
    <definedName name="selo">#REF!</definedName>
    <definedName name="Selot.1">#REF!</definedName>
    <definedName name="Selot.2">#REF!</definedName>
    <definedName name="selotip">'[21]Harga Satuan Bahan'!#REF!</definedName>
    <definedName name="semen">#REF!</definedName>
    <definedName name="semen.g">#REF!</definedName>
    <definedName name="SEMEN___50_KG__">#REF!</definedName>
    <definedName name="Semen_Andalas___40_Kg">#REF!</definedName>
    <definedName name="Semen_Batu_Raja_50_kg">#REF!</definedName>
    <definedName name="Semen_gersik_kg">#REF!</definedName>
    <definedName name="semen_grouting">#REF!</definedName>
    <definedName name="Semen_Kujang_50_kg">#REF!</definedName>
    <definedName name="Semen_Padang_50_kg">#REF!</definedName>
    <definedName name="Semen_Putih">#REF!</definedName>
    <definedName name="Semen_Tiga_roda__50_kg">#REF!</definedName>
    <definedName name="semen_warna">#REF!</definedName>
    <definedName name="semenmerah">#REF!</definedName>
    <definedName name="SEMENPC">#N/A</definedName>
    <definedName name="Semenpc40">#REF!</definedName>
    <definedName name="SEMENPUTIH">#N/A</definedName>
    <definedName name="semenwarna">#REF!</definedName>
    <definedName name="semeton">#REF!</definedName>
    <definedName name="semn">#REF!</definedName>
    <definedName name="SEMUA">#REF!</definedName>
    <definedName name="SEN">#REF!</definedName>
    <definedName name="senayan">'[187]DAF-2'!#REF!</definedName>
    <definedName name="send.s">#REF!</definedName>
    <definedName name="seng">#REF!</definedName>
    <definedName name="Seng_BJLS_0_20">#REF!</definedName>
    <definedName name="Seng_BJLS_0_30">#REF!</definedName>
    <definedName name="Seng_BJLS_20_gelombang">#REF!</definedName>
    <definedName name="Seng_BJLS_80">'[72]Daftar Harga'!$G$216</definedName>
    <definedName name="Seng_Genteng_Multiroof_Emeral">#REF!</definedName>
    <definedName name="seng_pagar">#REF!</definedName>
    <definedName name="Seng_plat_lebar_50_cm__panjang_50_m">#REF!</definedName>
    <definedName name="Seng_Spandek">#REF!</definedName>
    <definedName name="sengbjls20">#REF!</definedName>
    <definedName name="sengbjls30">#REF!</definedName>
    <definedName name="senggel">#REF!</definedName>
    <definedName name="senggel.2">#REF!</definedName>
    <definedName name="senggel.3">#REF!</definedName>
    <definedName name="senggel.4">#REF!</definedName>
    <definedName name="senggelombang.1">#REF!</definedName>
    <definedName name="senggol">#REF!</definedName>
    <definedName name="sengkangK1.lt.1">#REF!</definedName>
    <definedName name="sengkangK1.lt.2">#REF!</definedName>
    <definedName name="sengkangK1.lt.3">#REF!</definedName>
    <definedName name="sengkangK1.lt.dsr">#REF!</definedName>
    <definedName name="sengkangK10.lt.1">#REF!</definedName>
    <definedName name="sengkangK10.lt.2">#REF!</definedName>
    <definedName name="sengkangK10.lt.3">#REF!</definedName>
    <definedName name="sengkangK10.lt.dsr">#REF!</definedName>
    <definedName name="sengkangK2.lt.1">#REF!</definedName>
    <definedName name="sengkangK2.lt.2">#REF!</definedName>
    <definedName name="sengkangK2.lt.3">#REF!</definedName>
    <definedName name="sengkangK2.lt.dsr">#REF!</definedName>
    <definedName name="sengkangK3.lt.1">#REF!</definedName>
    <definedName name="sengkangK3.lt.2">#REF!</definedName>
    <definedName name="sengkangK3.lt.3">#REF!</definedName>
    <definedName name="sengkangK3.lt.dsr">#REF!</definedName>
    <definedName name="sengkangK4.lt.1">#REF!</definedName>
    <definedName name="sengkangK4.lt.2">#REF!</definedName>
    <definedName name="sengkangK4.lt.dsr">#REF!</definedName>
    <definedName name="sengkangK4.lt3">#REF!</definedName>
    <definedName name="sengkangK5.lt.1">#REF!</definedName>
    <definedName name="sengkangK5.lt.2">#REF!</definedName>
    <definedName name="sengkangK5.lt.3">#REF!</definedName>
    <definedName name="sengkangK5.lt.dsr">#REF!</definedName>
    <definedName name="sengkangK6.lt.1">#REF!</definedName>
    <definedName name="sengkangK6.lt.2">#REF!</definedName>
    <definedName name="sengkangK6.lt.3">#REF!</definedName>
    <definedName name="sengkangK6.lt.dsr">#REF!</definedName>
    <definedName name="sengkangK7.lt.1">#REF!</definedName>
    <definedName name="sengkangK7.lt.2">#REF!</definedName>
    <definedName name="sengkangK7.lt.3">#REF!</definedName>
    <definedName name="sengkangK7.lt.dsr">#REF!</definedName>
    <definedName name="sengkangK8.lt.1">#REF!</definedName>
    <definedName name="sengkangK8.lt.2">#REF!</definedName>
    <definedName name="sengkangK8.lt.3">#REF!</definedName>
    <definedName name="sengkangK8.lt.dsr">#REF!</definedName>
    <definedName name="sengkangK9.lt.1">#REF!</definedName>
    <definedName name="sengkangK9.lt.2">#REF!</definedName>
    <definedName name="sengkangK9.lt.3">#REF!</definedName>
    <definedName name="sengkangK9.lt.dsr">#REF!</definedName>
    <definedName name="sengkangKL">#REF!</definedName>
    <definedName name="sengkangKR1">#REF!</definedName>
    <definedName name="sengkangKTG1">#REF!</definedName>
    <definedName name="sengkangKTG1A">#REF!</definedName>
    <definedName name="sengkangKTG2">#REF!</definedName>
    <definedName name="sengkangTB.1">#REF!</definedName>
    <definedName name="SengkangTB.2">#REF!</definedName>
    <definedName name="sengkangTB.3">#REF!</definedName>
    <definedName name="sengkangTB.4">#REF!</definedName>
    <definedName name="sengkangTB.5">#REF!</definedName>
    <definedName name="sengkangTB.6">#REF!</definedName>
    <definedName name="SENGPL">#REF!</definedName>
    <definedName name="sengplat">#REF!</definedName>
    <definedName name="sengplat.40">#REF!</definedName>
    <definedName name="sengplat.50">#REF!</definedName>
    <definedName name="sengplat.60">#REF!</definedName>
    <definedName name="sengplat.70">#REF!</definedName>
    <definedName name="sengplat.90">#REF!</definedName>
    <definedName name="sengplatBJLS30L0.6m">#REF!</definedName>
    <definedName name="sengz">#REF!</definedName>
    <definedName name="sept">#REF!</definedName>
    <definedName name="sept.1">#REF!</definedName>
    <definedName name="sept.2">#REF!</definedName>
    <definedName name="septick1.5">#REF!</definedName>
    <definedName name="septick2">#REF!</definedName>
    <definedName name="septick4">#REF!</definedName>
    <definedName name="septick5">#REF!</definedName>
    <definedName name="SEPTICKTANK_PERESAPAN">#REF!</definedName>
    <definedName name="SepticL100">#REF!</definedName>
    <definedName name="SepticL150">#REF!</definedName>
    <definedName name="septictank">#REF!</definedName>
    <definedName name="ser">#REF!</definedName>
    <definedName name="Sertifikat_No">#REF!</definedName>
    <definedName name="SERVER">#REF!</definedName>
    <definedName name="SERVER2">#REF!</definedName>
    <definedName name="Services">#REF!</definedName>
    <definedName name="servlist">#REF!</definedName>
    <definedName name="set">#REF!</definedName>
    <definedName name="SETFOOT">#REF!</definedName>
    <definedName name="setgbr">#REF!</definedName>
    <definedName name="SETHEAD">#REF!</definedName>
    <definedName name="SetPlate">#REF!</definedName>
    <definedName name="setttt">#REF!</definedName>
    <definedName name="seumantok">#REF!</definedName>
    <definedName name="sewarmha">#REF!</definedName>
    <definedName name="sewarmhb">#REF!</definedName>
    <definedName name="sex">#REF!</definedName>
    <definedName name="seyr">[80]DHSD!$G$45</definedName>
    <definedName name="sf">#REF!</definedName>
    <definedName name="SFAG">[0]!_210_S_3_6_1_1:[0]!_2127detib250_6_1</definedName>
    <definedName name="sfasf">#REF!</definedName>
    <definedName name="sfdgf">'[49]Lamp-4 Sat-Das'!$J$34</definedName>
    <definedName name="SFGST">'[50]SAT-DAS'!$J$32</definedName>
    <definedName name="sfhs">'[49]Lamp-4 Sat-Das'!$J$33</definedName>
    <definedName name="SFL">#REF!</definedName>
    <definedName name="sfsav">[0]!_210_S_3_6_1_1:[0]!_2127detib250_6_1</definedName>
    <definedName name="sfsffsf">#N/A</definedName>
    <definedName name="SFSG">#REF!</definedName>
    <definedName name="sfv150_1">#REF!</definedName>
    <definedName name="sfv150_1_5">#REF!</definedName>
    <definedName name="sfv150_2">#REF!</definedName>
    <definedName name="sfv150_2_1">#REF!</definedName>
    <definedName name="sfv150_2_1_1">#REF!</definedName>
    <definedName name="sfv150_2_1_1_6">#REF!</definedName>
    <definedName name="sfv150_2_1_6">#REF!</definedName>
    <definedName name="sfv150_2_1_7">#REF!</definedName>
    <definedName name="sfv150_2_6">#REF!</definedName>
    <definedName name="sfv150_2_7">#REF!</definedName>
    <definedName name="sfv150_3">#REF!</definedName>
    <definedName name="sfv150_3_4">#REF!</definedName>
    <definedName name="sfv150_3_6">#REF!</definedName>
    <definedName name="sfv150_3_7">#REF!</definedName>
    <definedName name="sfv150_4">#REF!</definedName>
    <definedName name="sfv150_4_1">#REF!</definedName>
    <definedName name="sfv150_4_2">#REF!</definedName>
    <definedName name="sfv150_4_2_6">#REF!</definedName>
    <definedName name="sfv150_4_4">#REF!</definedName>
    <definedName name="sfv150_4_6">#REF!</definedName>
    <definedName name="sfv150_4_7">#REF!</definedName>
    <definedName name="sfv150_5">#REF!</definedName>
    <definedName name="sfv150_5_2">#REF!</definedName>
    <definedName name="sfv150_5_2_6">#REF!</definedName>
    <definedName name="sfv150_5_4">#REF!</definedName>
    <definedName name="sfv150_5_6">#REF!</definedName>
    <definedName name="sfv150_5_7">#REF!</definedName>
    <definedName name="sfv150_6">#REF!</definedName>
    <definedName name="sfv150_6_1">#REF!</definedName>
    <definedName name="sfv150_6_4">#REF!</definedName>
    <definedName name="sfv150_6_6">#REF!</definedName>
    <definedName name="sfv150_6_7">#REF!</definedName>
    <definedName name="sfv150_7">#REF!</definedName>
    <definedName name="sfvd100">#REF!</definedName>
    <definedName name="sfvd100_1">#REF!</definedName>
    <definedName name="sfvd100_1_5">#REF!</definedName>
    <definedName name="sfvd100_2">#REF!</definedName>
    <definedName name="sfvd100_2_1">#REF!</definedName>
    <definedName name="sfvd100_2_1_1">#REF!</definedName>
    <definedName name="sfvd100_2_1_1_6">#REF!</definedName>
    <definedName name="sfvd100_2_1_6">#REF!</definedName>
    <definedName name="sfvd100_2_1_7">#REF!</definedName>
    <definedName name="sfvd100_2_6">#REF!</definedName>
    <definedName name="sfvd100_2_7">#REF!</definedName>
    <definedName name="sfvd100_3">#REF!</definedName>
    <definedName name="sfvd100_3_4">#REF!</definedName>
    <definedName name="sfvd100_3_6">#REF!</definedName>
    <definedName name="sfvd100_3_7">#REF!</definedName>
    <definedName name="sfvd100_4">#REF!</definedName>
    <definedName name="sfvd100_4_1">#REF!</definedName>
    <definedName name="sfvd100_4_2">#REF!</definedName>
    <definedName name="sfvd100_4_2_6">#REF!</definedName>
    <definedName name="sfvd100_4_4">#REF!</definedName>
    <definedName name="sfvd100_4_6">#REF!</definedName>
    <definedName name="sfvd100_4_7">#REF!</definedName>
    <definedName name="sfvd100_5">#REF!</definedName>
    <definedName name="sfvd100_5_2">#REF!</definedName>
    <definedName name="sfvd100_5_2_6">#REF!</definedName>
    <definedName name="sfvd100_5_4">#REF!</definedName>
    <definedName name="sfvd100_5_6">#REF!</definedName>
    <definedName name="sfvd100_5_7">#REF!</definedName>
    <definedName name="sfvd100_6">#REF!</definedName>
    <definedName name="sfvd100_6_1">#REF!</definedName>
    <definedName name="sfvd100_6_4">#REF!</definedName>
    <definedName name="sfvd100_6_6">#REF!</definedName>
    <definedName name="sfvd100_6_7">#REF!</definedName>
    <definedName name="sfvd100_7">#REF!</definedName>
    <definedName name="sg">#REF!</definedName>
    <definedName name="sg_1">#REF!</definedName>
    <definedName name="sg_2">#REF!</definedName>
    <definedName name="sg_2_1">#REF!</definedName>
    <definedName name="sg_2_1_6">#REF!</definedName>
    <definedName name="sg_2_6">#REF!</definedName>
    <definedName name="sg_2_7">#REF!</definedName>
    <definedName name="sg_3">#REF!</definedName>
    <definedName name="sg_3_4">#REF!</definedName>
    <definedName name="sg_3_6">#REF!</definedName>
    <definedName name="sg_3_7">#REF!</definedName>
    <definedName name="sg_4">#REF!</definedName>
    <definedName name="sg_4_1">#REF!</definedName>
    <definedName name="sg_4_2">#REF!</definedName>
    <definedName name="sg_4_2_6">#REF!</definedName>
    <definedName name="sg_4_4">#REF!</definedName>
    <definedName name="sg_4_6">#REF!</definedName>
    <definedName name="sg_4_7">#REF!</definedName>
    <definedName name="sg_5">#REF!</definedName>
    <definedName name="sg_5_2">#REF!</definedName>
    <definedName name="sg_5_2_6">#REF!</definedName>
    <definedName name="sg_5_4">#REF!</definedName>
    <definedName name="sg_5_6">#REF!</definedName>
    <definedName name="sg_5_7">#REF!</definedName>
    <definedName name="sg_6">#REF!</definedName>
    <definedName name="sg_6_1">#REF!</definedName>
    <definedName name="sg_6_4">#REF!</definedName>
    <definedName name="sg_6_6">#REF!</definedName>
    <definedName name="sg_6_7">#REF!</definedName>
    <definedName name="sg_7">#REF!</definedName>
    <definedName name="sga">#REF!</definedName>
    <definedName name="SGD">#REF!</definedName>
    <definedName name="sgel">'[21]Harga Satuan Bahan'!#REF!</definedName>
    <definedName name="sgen">#REF!</definedName>
    <definedName name="sgnc">[18]gtrinh!#REF!</definedName>
    <definedName name="sgr">#REF!</definedName>
    <definedName name="sgsh">'[50]SAT-DAS'!$J$51</definedName>
    <definedName name="sgvl">[18]gtrinh!#REF!</definedName>
    <definedName name="sh">[80]DHSD!$G$27</definedName>
    <definedName name="sh_4040">#REF!</definedName>
    <definedName name="sh_s6">#REF!</definedName>
    <definedName name="sh_sn156">[24]Analisa!#REF!</definedName>
    <definedName name="Shear_Conector">#REF!</definedName>
    <definedName name="SHEEP">#REF!</definedName>
    <definedName name="SHEET">#REF!</definedName>
    <definedName name="Sheet_pile">#REF!</definedName>
    <definedName name="Sheetpile">#REF!</definedName>
    <definedName name="SHEN">#REF!</definedName>
    <definedName name="SHF">#REF!</definedName>
    <definedName name="SHF_5">#REF!</definedName>
    <definedName name="shfs">'[54]SAT-DAS'!$J$20</definedName>
    <definedName name="shg">'[49]Lamp-4 Sat-Das'!$J$58</definedName>
    <definedName name="shjst">'[50]SAT-DAS'!$J$30</definedName>
    <definedName name="shovel">#REF!</definedName>
    <definedName name="SHOWER">#REF!</definedName>
    <definedName name="showerspray">#REF!</definedName>
    <definedName name="showertray">[93]Rekap!$H$55</definedName>
    <definedName name="shrs">'[45]Sat~Bahu'!$G$87</definedName>
    <definedName name="sht">'[18]THPDMoi  (2)'!#REF!</definedName>
    <definedName name="sht3p">'[18]lam-moi'!#REF!</definedName>
    <definedName name="shyshy">'[50]SAT-DAS'!$J$34</definedName>
    <definedName name="siang">#REF!</definedName>
    <definedName name="SIAP">#REF!</definedName>
    <definedName name="Siar12">#REF!</definedName>
    <definedName name="Siar15">#REF!</definedName>
    <definedName name="siaran12">#REF!</definedName>
    <definedName name="SIGNATURE">#REF!</definedName>
    <definedName name="Siiii">#REF!</definedName>
    <definedName name="sikat">#REF!</definedName>
    <definedName name="sikatbotol">#REF!</definedName>
    <definedName name="sikp">#REF!</definedName>
    <definedName name="siku">"$#REF!.$I$137"</definedName>
    <definedName name="siku2">#REF!</definedName>
    <definedName name="siku40.40.3">#REF!</definedName>
    <definedName name="siku50.50.5">#REF!</definedName>
    <definedName name="siku60.60.6">#REF!</definedName>
    <definedName name="Sim">#REF!</definedName>
    <definedName name="simen">#REF!</definedName>
    <definedName name="simpai">#REF!</definedName>
    <definedName name="simpang">#REF!</definedName>
    <definedName name="sin">#REF!</definedName>
    <definedName name="Sinaga">'[164]BIIL ASLI'!$M$46</definedName>
    <definedName name="sinfchannelamp">#REF!</definedName>
    <definedName name="sing">#REF!</definedName>
    <definedName name="sinkromate">#REF!</definedName>
    <definedName name="sinksildeck">#REF!</definedName>
    <definedName name="siphon">#REF!</definedName>
    <definedName name="SIPIL">#REF!</definedName>
    <definedName name="SIPIL_6">#REF!</definedName>
    <definedName name="SIPIL_8">#REF!</definedName>
    <definedName name="SIPIL_8_6">#REF!</definedName>
    <definedName name="Sirap">#REF!</definedName>
    <definedName name="sirbatu">#REF!</definedName>
    <definedName name="Sirdam">#N/A</definedName>
    <definedName name="SIRIP">#REF!</definedName>
    <definedName name="SIRIP10">#REF!</definedName>
    <definedName name="Sirlak">#REF!</definedName>
    <definedName name="Sirlk">#REF!</definedName>
    <definedName name="sirsang">#REF!</definedName>
    <definedName name="SIRT">#REF!</definedName>
    <definedName name="sirton">#REF!</definedName>
    <definedName name="SIRTU" localSheetId="7">[33]H_Dasar!#REF!</definedName>
    <definedName name="SIRTU">#REF!</definedName>
    <definedName name="sirurug">#REF!</definedName>
    <definedName name="SISA">#REF!</definedName>
    <definedName name="SisaBahan_sd_Lalu">#REF!</definedName>
    <definedName name="SisaBahan_sd_SaatIni">#REF!</definedName>
    <definedName name="SisaPerubahanRAP">#REF!</definedName>
    <definedName name="sisikbadak">#REF!</definedName>
    <definedName name="SISIS">#N/A</definedName>
    <definedName name="SITE">#REF!</definedName>
    <definedName name="sjsd">'[50]SAT-DAS'!$J$24</definedName>
    <definedName name="sk">#REF!</definedName>
    <definedName name="sK.1">#REF!</definedName>
    <definedName name="skat">#REF!</definedName>
    <definedName name="skb">'[45]Sat~Bahu'!$G$62</definedName>
    <definedName name="sked">#REF!</definedName>
    <definedName name="SKETSA_LOKASI_PEKERJAAN">#REF!</definedName>
    <definedName name="skgb">'[45]Sat~Bahu'!$G$29</definedName>
    <definedName name="skh">#REF!</definedName>
    <definedName name="skhd">#REF!</definedName>
    <definedName name="skhds">#REF!</definedName>
    <definedName name="skim">#REF!</definedName>
    <definedName name="skirt1030">#REF!</definedName>
    <definedName name="skirtmarmer">#REF!</definedName>
    <definedName name="skk">#REF!</definedName>
    <definedName name="skl">#REF!</definedName>
    <definedName name="sklrgnd">#REF!</definedName>
    <definedName name="sklrtgl">#REF!</definedName>
    <definedName name="Skor_Pengaku">#REF!</definedName>
    <definedName name="skp">#REF!</definedName>
    <definedName name="skpb">'[45]Sat~Bahu'!$G$58</definedName>
    <definedName name="skrup">#REF!</definedName>
    <definedName name="skrupsegalaukuran">#REF!</definedName>
    <definedName name="sks">'[45]Sat~Bahu'!$G$30</definedName>
    <definedName name="skup">'[45]Sat~Bahu'!$G$77</definedName>
    <definedName name="sky">#REF!</definedName>
    <definedName name="sl">#REF!</definedName>
    <definedName name="sl.20">#REF!</definedName>
    <definedName name="sl_5">#REF!</definedName>
    <definedName name="SL_CRD">#REF!</definedName>
    <definedName name="SL_CRS">#REF!</definedName>
    <definedName name="SL_CS">#REF!</definedName>
    <definedName name="SL_DD">#REF!</definedName>
    <definedName name="sl2030b210">#REF!</definedName>
    <definedName name="sl2540b220">#REF!</definedName>
    <definedName name="sl3050b200">#REF!</definedName>
    <definedName name="slabfw">#REF!</definedName>
    <definedName name="slabfw_6">#REF!</definedName>
    <definedName name="sladd">#REF!</definedName>
    <definedName name="slametB">#REF!</definedName>
    <definedName name="slank">#REF!</definedName>
    <definedName name="slarm">#N/A</definedName>
    <definedName name="SLEE">#REF!</definedName>
    <definedName name="SLH">#REF!</definedName>
    <definedName name="Sli_18">[39]Electrikal!#REF!</definedName>
    <definedName name="SLING_STEEL">#REF!</definedName>
    <definedName name="SLOEF_100KG">#REF!</definedName>
    <definedName name="SLOEF_110KG">#REF!</definedName>
    <definedName name="SLOEF_120KG">#REF!</definedName>
    <definedName name="SLOEF_130KG">#REF!</definedName>
    <definedName name="SLOEF_140KG">#REF!</definedName>
    <definedName name="SLOEF_150KG">#REF!</definedName>
    <definedName name="SLOEF_160KG">#REF!</definedName>
    <definedName name="SLOEF_170KG">#REF!</definedName>
    <definedName name="SLOEF_180KG">#REF!</definedName>
    <definedName name="SLOEF_190KG">#REF!</definedName>
    <definedName name="SLOEF_200KG">#REF!</definedName>
    <definedName name="Slof">#REF!</definedName>
    <definedName name="sloof">#REF!</definedName>
    <definedName name="sloof1">#REF!</definedName>
    <definedName name="sloof1520">#REF!</definedName>
    <definedName name="sloof175">#REF!</definedName>
    <definedName name="sloof2">#REF!</definedName>
    <definedName name="sloof2030">#REF!</definedName>
    <definedName name="sloof2540">#REF!</definedName>
    <definedName name="sloof3">#REF!</definedName>
    <definedName name="sloof3050">#REF!</definedName>
    <definedName name="SloofFe100">#REF!</definedName>
    <definedName name="SloofFe110">#REF!</definedName>
    <definedName name="SloofFe120">#REF!</definedName>
    <definedName name="SloofFe125">#REF!</definedName>
    <definedName name="SloofFe130">#REF!</definedName>
    <definedName name="SloofFe140">#REF!</definedName>
    <definedName name="SloofFe150">#REF!</definedName>
    <definedName name="SloofFe160">#REF!</definedName>
    <definedName name="SloofFe170">#REF!</definedName>
    <definedName name="SloofFe175">#REF!</definedName>
    <definedName name="SloofFe180">#REF!</definedName>
    <definedName name="SloofFe190">#REF!</definedName>
    <definedName name="SloofFe200">#REF!</definedName>
    <definedName name="SloofFe210">#REF!</definedName>
    <definedName name="SloofFe220">#REF!</definedName>
    <definedName name="SloofFe230">#REF!</definedName>
    <definedName name="SloofFe240">#REF!</definedName>
    <definedName name="SloofFe250">#REF!</definedName>
    <definedName name="SloofFe260">#REF!</definedName>
    <definedName name="SloofFe270">#REF!</definedName>
    <definedName name="SloofFe280">#REF!</definedName>
    <definedName name="SloofFe300">#REF!</definedName>
    <definedName name="SloofFe80">#REF!</definedName>
    <definedName name="SloofFe90">#REF!</definedName>
    <definedName name="slooovvv">#REF!</definedName>
    <definedName name="slot">#REF!</definedName>
    <definedName name="slotb">#REF!</definedName>
    <definedName name="SLOTING">#REF!</definedName>
    <definedName name="slpppp">#REF!</definedName>
    <definedName name="SLT">#REF!</definedName>
    <definedName name="Sm">#REF!</definedName>
    <definedName name="SMA">#N/A</definedName>
    <definedName name="smc">#REF!</definedName>
    <definedName name="SMFI.2">#REF!</definedName>
    <definedName name="SMFII">#REF!</definedName>
    <definedName name="SMFIII">#REF!</definedName>
    <definedName name="SMFIV">#REF!</definedName>
    <definedName name="SMFVI">#REF!</definedName>
    <definedName name="SMFVIII">#REF!</definedName>
    <definedName name="SMFX">#REF!</definedName>
    <definedName name="SMLI.2">#REF!</definedName>
    <definedName name="SMLII">#REF!</definedName>
    <definedName name="SMLIII">#REF!</definedName>
    <definedName name="SMLIV">#REF!</definedName>
    <definedName name="SMLVI">#REF!</definedName>
    <definedName name="SMLVIII">#REF!</definedName>
    <definedName name="SMLX">#REF!</definedName>
    <definedName name="smn">#REF!</definedName>
    <definedName name="SMOF">#REF!</definedName>
    <definedName name="Smoke_detec">[39]Elektronik!#REF!</definedName>
    <definedName name="SMOL">#REF!</definedName>
    <definedName name="smp">#REF!</definedName>
    <definedName name="smr">#REF!</definedName>
    <definedName name="smt">'[45]Sat~Bahu'!$G$53</definedName>
    <definedName name="smu">#REF!</definedName>
    <definedName name="sn">#REF!</definedName>
    <definedName name="sn_1040">#REF!</definedName>
    <definedName name="SNC">[3]CH!$C$39</definedName>
    <definedName name="SNI">#N/A</definedName>
    <definedName name="SNI.T_01_1991_03.2_9">#REF!</definedName>
    <definedName name="SNI.T_02_1991_03.1_13">#REF!</definedName>
    <definedName name="SNI.T_02_1991_03.1_6">#REF!</definedName>
    <definedName name="SNI.T_03_1991_03.1_12">#REF!</definedName>
    <definedName name="SNI.T_03_1991_03.1_13">#REF!</definedName>
    <definedName name="SNI.T_03_1991_03.1_14">#REF!</definedName>
    <definedName name="SNI.T_03_1991_03.1_15">#REF!</definedName>
    <definedName name="SO">#REF!</definedName>
    <definedName name="soapholder">#REF!</definedName>
    <definedName name="SOARE_PARTS">#REF!</definedName>
    <definedName name="soc3p">#REF!</definedName>
    <definedName name="sock">#REF!</definedName>
    <definedName name="sock_conduit">'[78]Harga Jasa dan Material'!$D$139</definedName>
    <definedName name="Socket_gip_ø_1_2">#REF!</definedName>
    <definedName name="Socket_gip_ø_3_4">#REF!</definedName>
    <definedName name="Socket_pvc_ø_2__maspion_D">#REF!</definedName>
    <definedName name="Socket_pvc_ø_4__maspion_D">#REF!</definedName>
    <definedName name="Sodding">'[188]3-DIV8'!#REF!</definedName>
    <definedName name="SOE">#REF!</definedName>
    <definedName name="SOH">#REF!</definedName>
    <definedName name="SOIL_EMB">#REF!</definedName>
    <definedName name="soilstackpvc">#REF!</definedName>
    <definedName name="sol">#REF!</definedName>
    <definedName name="solar">#REF!</definedName>
    <definedName name="Solo">[94]Analisa!#REF!</definedName>
    <definedName name="solver_num" hidden="1">0</definedName>
    <definedName name="solver_typ" hidden="1">3</definedName>
    <definedName name="solver_val" hidden="1">372000</definedName>
    <definedName name="SOMBER">#N/A</definedName>
    <definedName name="songindia">#REF!</definedName>
    <definedName name="sop">#REF!</definedName>
    <definedName name="Sopir">#REF!</definedName>
    <definedName name="sopo">#REF!</definedName>
    <definedName name="Sopr">#REF!</definedName>
    <definedName name="sort" hidden="1">#REF!</definedName>
    <definedName name="soso">#REF!</definedName>
    <definedName name="Sound">#REF!</definedName>
    <definedName name="Sound_car">#REF!</definedName>
    <definedName name="Sound_utama">#REF!</definedName>
    <definedName name="SOUNDP">#REF!</definedName>
    <definedName name="sp">#REF!</definedName>
    <definedName name="Sp.1">#REF!</definedName>
    <definedName name="Sp.10">#REF!</definedName>
    <definedName name="Sp.11">#REF!</definedName>
    <definedName name="Sp.12">#REF!</definedName>
    <definedName name="Sp.13">#REF!</definedName>
    <definedName name="Sp.14">#REF!</definedName>
    <definedName name="Sp.15">#REF!</definedName>
    <definedName name="Sp.16">#REF!</definedName>
    <definedName name="Sp.17">#REF!</definedName>
    <definedName name="Sp.18">#REF!</definedName>
    <definedName name="Sp.19">#REF!</definedName>
    <definedName name="Sp.2">#REF!</definedName>
    <definedName name="sp.20">#REF!</definedName>
    <definedName name="Sp.21">#REF!</definedName>
    <definedName name="sp.25">#REF!</definedName>
    <definedName name="Sp.3">#REF!</definedName>
    <definedName name="sp.30">#REF!</definedName>
    <definedName name="Sp.36">#REF!</definedName>
    <definedName name="Sp.37">#REF!</definedName>
    <definedName name="Sp.38">#REF!</definedName>
    <definedName name="Sp.39">#REF!</definedName>
    <definedName name="Sp.39a">#REF!</definedName>
    <definedName name="Sp.39b">#REF!</definedName>
    <definedName name="Sp.4">#REF!</definedName>
    <definedName name="Sp.40">#REF!</definedName>
    <definedName name="Sp.41">#REF!</definedName>
    <definedName name="Sp.42">#REF!</definedName>
    <definedName name="Sp.43">#REF!</definedName>
    <definedName name="Sp.5">#REF!</definedName>
    <definedName name="Sp.6">#REF!</definedName>
    <definedName name="Sp.7">#REF!</definedName>
    <definedName name="Sp.8">#REF!</definedName>
    <definedName name="Sp.9">#REF!</definedName>
    <definedName name="Sp.a">#REF!</definedName>
    <definedName name="Sp.a1">#REF!</definedName>
    <definedName name="Sp.b">#REF!</definedName>
    <definedName name="Sp.c">#REF!</definedName>
    <definedName name="Sp.d">#REF!</definedName>
    <definedName name="Sp.da">#REF!</definedName>
    <definedName name="sp.db">#REF!</definedName>
    <definedName name="sp.dc">#REF!</definedName>
    <definedName name="Sp.e">#REF!</definedName>
    <definedName name="Sp.f">#REF!</definedName>
    <definedName name="Sp.g">#REF!</definedName>
    <definedName name="Sp.h">#REF!</definedName>
    <definedName name="Sp.I">#REF!</definedName>
    <definedName name="Sp.II">#REF!</definedName>
    <definedName name="Sp.III">#REF!</definedName>
    <definedName name="SP.III.14">#REF!</definedName>
    <definedName name="Sp.III.14.">#REF!</definedName>
    <definedName name="SP.III.14A">#REF!</definedName>
    <definedName name="SP.III.14B">#REF!</definedName>
    <definedName name="Sp.III.16.">#REF!</definedName>
    <definedName name="Sp.III.17.">#REF!</definedName>
    <definedName name="Sp.III.18.">#REF!</definedName>
    <definedName name="Sp.III.19.">#REF!</definedName>
    <definedName name="Sp.IV">#REF!</definedName>
    <definedName name="Sp.IV.14.a">#REF!</definedName>
    <definedName name="Sp.IV.16.a">#REF!</definedName>
    <definedName name="Sp.IV.19.a">#REF!</definedName>
    <definedName name="Sp.j">#REF!</definedName>
    <definedName name="Sp.j1">#REF!</definedName>
    <definedName name="Sp.k">#REF!</definedName>
    <definedName name="Sp.l">#REF!</definedName>
    <definedName name="Sp.LP">#REF!</definedName>
    <definedName name="Sp.LPP">#REF!</definedName>
    <definedName name="Sp.m">#REF!</definedName>
    <definedName name="Sp.n">#REF!</definedName>
    <definedName name="Sp.V">#REF!</definedName>
    <definedName name="Sp.V.1">#REF!</definedName>
    <definedName name="Sp.Va">#REF!</definedName>
    <definedName name="Sp.Vb">#REF!</definedName>
    <definedName name="Sp.vb1">#REF!</definedName>
    <definedName name="Sp.vb2">#REF!</definedName>
    <definedName name="sp.vd.i">#REF!</definedName>
    <definedName name="sp.vd.ii">#REF!</definedName>
    <definedName name="sp.vd.iii">#REF!</definedName>
    <definedName name="sp.vd.iv">#REF!</definedName>
    <definedName name="sp.vd.v">#REF!</definedName>
    <definedName name="Sp.vd11">#REF!</definedName>
    <definedName name="Sp.vd12">#REF!</definedName>
    <definedName name="Sp.vd13">#REF!</definedName>
    <definedName name="Sp.vd14">#REF!</definedName>
    <definedName name="Sp.vd15">#REF!</definedName>
    <definedName name="Sp.vd2">#REF!</definedName>
    <definedName name="Sp.vd3">#REF!</definedName>
    <definedName name="Sp.vd4">#REF!</definedName>
    <definedName name="Sp.vd5">#REF!</definedName>
    <definedName name="Sp.vd6">#REF!</definedName>
    <definedName name="Sp.vd7">#REF!</definedName>
    <definedName name="Sp.ve1">#REF!</definedName>
    <definedName name="Sp.Ve2">#REF!</definedName>
    <definedName name="Sp.ve3">#REF!</definedName>
    <definedName name="Sp.ve5">#REF!</definedName>
    <definedName name="Sp.ve6">#REF!</definedName>
    <definedName name="Sp.ve7">#REF!</definedName>
    <definedName name="Sp.ve8">#REF!</definedName>
    <definedName name="Sp.vf2">#REF!</definedName>
    <definedName name="Sp.vf4">#REF!</definedName>
    <definedName name="Sp.vg1">#REF!</definedName>
    <definedName name="Sp.vg2">#REF!</definedName>
    <definedName name="Sp.vg3">#REF!</definedName>
    <definedName name="Sp.vg4">#REF!</definedName>
    <definedName name="Sp.vg5">#REF!</definedName>
    <definedName name="Sp.vg6">#REF!</definedName>
    <definedName name="Sp.vg8">#REF!</definedName>
    <definedName name="Sp.vg9">#REF!</definedName>
    <definedName name="SP.VII.a">#REF!</definedName>
    <definedName name="Sp.VII.b">#REF!</definedName>
    <definedName name="Sp.VIIb">#REF!</definedName>
    <definedName name="Sp.Viv">#REF!</definedName>
    <definedName name="sp.vo">#REF!</definedName>
    <definedName name="Sp.Vp">#REF!</definedName>
    <definedName name="sp.vpa">#REF!</definedName>
    <definedName name="sp.vpb">#REF!</definedName>
    <definedName name="Sp.Vu">#REF!</definedName>
    <definedName name="sp.vv">#REF!</definedName>
    <definedName name="Sp.Vvi">#REF!</definedName>
    <definedName name="Sp.X">#REF!</definedName>
    <definedName name="Sp.X1">#REF!</definedName>
    <definedName name="Sp.X2">#REF!</definedName>
    <definedName name="Sp.Xc">#REF!</definedName>
    <definedName name="SP.Xf">#REF!</definedName>
    <definedName name="SP.Xg">#REF!</definedName>
    <definedName name="SP.Xh">#REF!</definedName>
    <definedName name="SP.Xi">#REF!</definedName>
    <definedName name="SP.Xj">#REF!</definedName>
    <definedName name="SP.Xk">#REF!</definedName>
    <definedName name="SP.Xl">#REF!</definedName>
    <definedName name="SP.Xm">#REF!</definedName>
    <definedName name="SP.Xn">#REF!</definedName>
    <definedName name="SP.Xo">#REF!</definedName>
    <definedName name="SP.Xp">#REF!</definedName>
    <definedName name="SP.Xq">#REF!</definedName>
    <definedName name="SP.Xr">#REF!</definedName>
    <definedName name="SP.Xs">#REF!</definedName>
    <definedName name="SP.XX">#REF!</definedName>
    <definedName name="Sp.y">#REF!</definedName>
    <definedName name="Sp.y1">#REF!</definedName>
    <definedName name="Sp.y2">#REF!</definedName>
    <definedName name="Sp.y3">#REF!</definedName>
    <definedName name="Sp.y4">#REF!</definedName>
    <definedName name="Sp.y5">#REF!</definedName>
    <definedName name="Sp.y6">#REF!</definedName>
    <definedName name="Sp.YZ">#REF!</definedName>
    <definedName name="Sp.YZ1">#REF!</definedName>
    <definedName name="Sp.Z">#REF!</definedName>
    <definedName name="Sp.Z1">#REF!</definedName>
    <definedName name="sp_1000">#REF!</definedName>
    <definedName name="sp_11">#REF!</definedName>
    <definedName name="sp_4">#REF!</definedName>
    <definedName name="sp_hr">#REF!</definedName>
    <definedName name="spacer">#REF!</definedName>
    <definedName name="spandek">[71]harsat!#REF!</definedName>
    <definedName name="Sparepart">#REF!</definedName>
    <definedName name="sparingPVC2.1\2">#REF!</definedName>
    <definedName name="sparingPVC3">#REF!</definedName>
    <definedName name="sparingPVC4">#REF!</definedName>
    <definedName name="spav">'[45]Sat~Bahu'!$G$82</definedName>
    <definedName name="spb">#REF!</definedName>
    <definedName name="spc">'[45]Sat~Bahu'!$G$55</definedName>
    <definedName name="SPEC">[189]upah!$D$24</definedName>
    <definedName name="spec_light">#REF!</definedName>
    <definedName name="SpecialPrice" hidden="1">#REF!</definedName>
    <definedName name="spekk">#REF!</definedName>
    <definedName name="SPEKTEK" hidden="1">{#N/A,#N/A,FALSE,"Chi tiÆt"}</definedName>
    <definedName name="SPEMBA">#REF!</definedName>
    <definedName name="SPENING">#REF!</definedName>
    <definedName name="SPESIFIK">#REF!</definedName>
    <definedName name="spf">#REF!</definedName>
    <definedName name="SPHUBJLS">#REF!</definedName>
    <definedName name="SPI">#REF!</definedName>
    <definedName name="Spirt">#REF!</definedName>
    <definedName name="Spirtus">#REF!</definedName>
    <definedName name="spit">#REF!</definedName>
    <definedName name="spj">'[45]Sat~Bahu'!$G$66</definedName>
    <definedName name="spk">#REF!</definedName>
    <definedName name="spk1p">'[18]#REF'!#REF!</definedName>
    <definedName name="spk3p">'[18]lam-moi'!#REF!</definedName>
    <definedName name="SPL">#REF!</definedName>
    <definedName name="SPL.10">#REF!</definedName>
    <definedName name="SPL.3">#REF!</definedName>
    <definedName name="SPL_6">#REF!</definedName>
    <definedName name="SPL_8">#REF!</definedName>
    <definedName name="SPL_8_6">#REF!</definedName>
    <definedName name="splat">'[21]Harga Satuan Bahan'!$E$160</definedName>
    <definedName name="split">#REF!</definedName>
    <definedName name="split1.2">#REF!</definedName>
    <definedName name="split2">#REF!</definedName>
    <definedName name="split2.3">#REF!</definedName>
    <definedName name="split23">[65]harsat!#REF!</definedName>
    <definedName name="split4">#REF!</definedName>
    <definedName name="SPMK">#REF!</definedName>
    <definedName name="spoon">[34]harsat!$H$29</definedName>
    <definedName name="Spot260">[39]Electrikal!#REF!</definedName>
    <definedName name="spp" hidden="1">#REF!</definedName>
    <definedName name="spp.regatta">#REF!</definedName>
    <definedName name="spray">'[74]Harga Satuan'!$G$59</definedName>
    <definedName name="SPRAYER" localSheetId="7">[33]H_Dasar!#REF!</definedName>
    <definedName name="SPRAYER">#REF!</definedName>
    <definedName name="spritus">#REF!</definedName>
    <definedName name="sps">#REF!</definedName>
    <definedName name="spsaub">'[45]Sat~Bahu'!$G$46</definedName>
    <definedName name="spsp">'[45]Sat~Bahu'!$G$47</definedName>
    <definedName name="spsu">'[45]Sat~Bahu'!$G$45</definedName>
    <definedName name="sputih">#REF!</definedName>
    <definedName name="sQ">'[45]Sat~Bahu'!$G$28</definedName>
    <definedName name="Sratt">#REF!</definedName>
    <definedName name="SREHAB">#REF!</definedName>
    <definedName name="srets">[52]DHSD!$G$40</definedName>
    <definedName name="srl_l">#REF!</definedName>
    <definedName name="srsy">'[50]SAT-DAS'!$J$33</definedName>
    <definedName name="srt">#REF!</definedName>
    <definedName name="SRT_NYATA">#REF!</definedName>
    <definedName name="SRTTS">'[50]SAT-DAS'!$J$70</definedName>
    <definedName name="srtusrt">[52]DHSD!$G$26</definedName>
    <definedName name="srusts">[52]DHSD!$G$44</definedName>
    <definedName name="srys">'[50]SAT-DAS'!$J$21</definedName>
    <definedName name="SS">#REF!</definedName>
    <definedName name="ss_1">[190]harsat!$H$112</definedName>
    <definedName name="ss_1.2">#REF!</definedName>
    <definedName name="SS_3.11">#REF!</definedName>
    <definedName name="SS_8.01_1_">#REF!</definedName>
    <definedName name="SS_8.01_11_A">#REF!</definedName>
    <definedName name="SS_8.01_2_">#REF!</definedName>
    <definedName name="SS_8.01_3_">#REF!</definedName>
    <definedName name="SS_8.04_1_A">#REF!</definedName>
    <definedName name="SS_8.5__5">#REF!</definedName>
    <definedName name="SS_8.5__6">#REF!</definedName>
    <definedName name="SS_9.05_3_">#REF!</definedName>
    <definedName name="ss_berker">[39]Electrikal!#REF!</definedName>
    <definedName name="SS_CeillingSpeaker">'[78]Harga Jasa dan Material'!$D$252</definedName>
    <definedName name="SS_ColoumnSpeaker">'[78]Harga Jasa dan Material'!$D$254</definedName>
    <definedName name="SS_UniversalSpeaker">'[78]Harga Jasa dan Material'!$D$255</definedName>
    <definedName name="SS_VolumeControl">'[78]Harga Jasa dan Material'!$D$253</definedName>
    <definedName name="ssdd">#REF!</definedName>
    <definedName name="SSE">#REF!</definedName>
    <definedName name="sspray">[93]Rekap!$H$50</definedName>
    <definedName name="sss">#REF!</definedName>
    <definedName name="ssss">#REF!</definedName>
    <definedName name="ssss_1">#REF!</definedName>
    <definedName name="ssss_1_5">#REF!</definedName>
    <definedName name="ssss_2">#REF!</definedName>
    <definedName name="ssss_2_1">#REF!</definedName>
    <definedName name="ssss_2_1_1">#REF!</definedName>
    <definedName name="ssss_2_1_1_6">#REF!</definedName>
    <definedName name="ssss_2_1_6">#REF!</definedName>
    <definedName name="ssss_2_1_7">#REF!</definedName>
    <definedName name="ssss_2_6">#REF!</definedName>
    <definedName name="ssss_2_7">#REF!</definedName>
    <definedName name="ssss_3">#REF!</definedName>
    <definedName name="ssss_3_4">#REF!</definedName>
    <definedName name="ssss_3_6">#REF!</definedName>
    <definedName name="ssss_3_7">#REF!</definedName>
    <definedName name="ssss_4">#REF!</definedName>
    <definedName name="ssss_4_1">#REF!</definedName>
    <definedName name="ssss_4_2">#REF!</definedName>
    <definedName name="ssss_4_2_6">#REF!</definedName>
    <definedName name="ssss_4_4">#REF!</definedName>
    <definedName name="ssss_4_6">#REF!</definedName>
    <definedName name="ssss_4_7">#REF!</definedName>
    <definedName name="ssss_5">#REF!</definedName>
    <definedName name="ssss_5_2">#REF!</definedName>
    <definedName name="ssss_5_2_6">#REF!</definedName>
    <definedName name="ssss_5_4">#REF!</definedName>
    <definedName name="ssss_5_6">#REF!</definedName>
    <definedName name="ssss_5_7">#REF!</definedName>
    <definedName name="ssss_6">#REF!</definedName>
    <definedName name="ssss_6_1">#REF!</definedName>
    <definedName name="ssss_6_4">#REF!</definedName>
    <definedName name="ssss_6_6">#REF!</definedName>
    <definedName name="ssss_6_7">#REF!</definedName>
    <definedName name="ssss_7">#REF!</definedName>
    <definedName name="SSSSS">#N/A</definedName>
    <definedName name="SSSSSSSSSSS">#N/A</definedName>
    <definedName name="SSSSSSSSSSSSSSS">#REF!</definedName>
    <definedName name="sst">#REF!</definedName>
    <definedName name="sstpb">'[45]Sat~Bahu'!$G$31</definedName>
    <definedName name="ssw">#REF!</definedName>
    <definedName name="st">#REF!</definedName>
    <definedName name="st_1">#REF!</definedName>
    <definedName name="st_2">#REF!</definedName>
    <definedName name="st_2_1">#REF!</definedName>
    <definedName name="st_2_1_6">#REF!</definedName>
    <definedName name="st_2_6">#REF!</definedName>
    <definedName name="st_2_7">#REF!</definedName>
    <definedName name="st_3">#REF!</definedName>
    <definedName name="st_3_4">#REF!</definedName>
    <definedName name="st_3_6">#REF!</definedName>
    <definedName name="st_3_7">#REF!</definedName>
    <definedName name="st_4">#REF!</definedName>
    <definedName name="st_4_1">#REF!</definedName>
    <definedName name="st_4_2">#REF!</definedName>
    <definedName name="st_4_2_6">#REF!</definedName>
    <definedName name="st_4_4">#REF!</definedName>
    <definedName name="st_4_6">#REF!</definedName>
    <definedName name="st_4_7">#REF!</definedName>
    <definedName name="st_5">#REF!</definedName>
    <definedName name="st_5_2">#REF!</definedName>
    <definedName name="st_5_2_6">#REF!</definedName>
    <definedName name="st_5_4">#REF!</definedName>
    <definedName name="st_5_6">#REF!</definedName>
    <definedName name="st_5_7">#REF!</definedName>
    <definedName name="st_6">#REF!</definedName>
    <definedName name="st_6_1">#REF!</definedName>
    <definedName name="st_6_4">#REF!</definedName>
    <definedName name="st_6_6">#REF!</definedName>
    <definedName name="st_6_7">#REF!</definedName>
    <definedName name="st_7">#REF!</definedName>
    <definedName name="st3p">'[18]lam-moi'!#REF!</definedName>
    <definedName name="sta">#REF!</definedName>
    <definedName name="STA_1">#REF!</definedName>
    <definedName name="STA_10">#REF!</definedName>
    <definedName name="STA_11">#REF!</definedName>
    <definedName name="STA_12">#REF!</definedName>
    <definedName name="STA_13">#REF!</definedName>
    <definedName name="STA_2">#REF!</definedName>
    <definedName name="STA_3">#REF!</definedName>
    <definedName name="STA_4">#REF!</definedName>
    <definedName name="STA_5">#REF!</definedName>
    <definedName name="STA_6">#REF!</definedName>
    <definedName name="STA_7">#REF!</definedName>
    <definedName name="STA_8">#REF!</definedName>
    <definedName name="STA_9">#REF!</definedName>
    <definedName name="Stabilisasi">#REF!</definedName>
    <definedName name="Staf4">#REF!</definedName>
    <definedName name="Staf5">#REF!</definedName>
    <definedName name="Staf6">#REF!</definedName>
    <definedName name="STAFF_MESS">#REF!</definedName>
    <definedName name="stage">#REF!</definedName>
    <definedName name="stairnzing">#REF!</definedName>
    <definedName name="stais">#REF!</definedName>
    <definedName name="stam">'[45]Sat~Bahu'!$C$100</definedName>
    <definedName name="stamp">#REF!</definedName>
    <definedName name="stamper" localSheetId="7">[33]H_Dasar!#REF!</definedName>
    <definedName name="Stamper">#REF!</definedName>
    <definedName name="stanlagh">#REF!</definedName>
    <definedName name="Stapeling_besi_beton_dan_wiremesh">#REF!</definedName>
    <definedName name="START">#REF!</definedName>
    <definedName name="Startup">#REF!</definedName>
    <definedName name="State">#REF!</definedName>
    <definedName name="stater">#REF!</definedName>
    <definedName name="STB_1">#REF!</definedName>
    <definedName name="STB_2">#REF!</definedName>
    <definedName name="STB_3">#REF!</definedName>
    <definedName name="STB_3_A">#REF!</definedName>
    <definedName name="STB_3_B">#REF!</definedName>
    <definedName name="STB_4">#REF!</definedName>
    <definedName name="STB_5">#REF!</definedName>
    <definedName name="STB_6">#REF!</definedName>
    <definedName name="STB_6_A">#REF!</definedName>
    <definedName name="STB_7">#REF!</definedName>
    <definedName name="STB_8">#REF!</definedName>
    <definedName name="STC_1">#REF!</definedName>
    <definedName name="STC_10">#REF!</definedName>
    <definedName name="STC_11">#REF!</definedName>
    <definedName name="STC_12">#REF!</definedName>
    <definedName name="STC_13">#REF!</definedName>
    <definedName name="STC_14">#REF!</definedName>
    <definedName name="STC_15">#REF!</definedName>
    <definedName name="STC_16">#REF!</definedName>
    <definedName name="STC_18">#REF!</definedName>
    <definedName name="STC_19">#REF!</definedName>
    <definedName name="STC_2">#REF!</definedName>
    <definedName name="STC_3">#REF!</definedName>
    <definedName name="STC_4">#REF!</definedName>
    <definedName name="STC_6">#REF!</definedName>
    <definedName name="STC_8">#REF!</definedName>
    <definedName name="STD_1">#REF!</definedName>
    <definedName name="STD_10">#REF!</definedName>
    <definedName name="STD_11">#REF!</definedName>
    <definedName name="STD_12">#REF!</definedName>
    <definedName name="STD_13">#REF!</definedName>
    <definedName name="STD_14">#REF!</definedName>
    <definedName name="STD_15">#REF!</definedName>
    <definedName name="STD_17">#REF!</definedName>
    <definedName name="STD_19">#REF!</definedName>
    <definedName name="STD_20">#REF!</definedName>
    <definedName name="STD_22">#REF!</definedName>
    <definedName name="STD_24">#REF!</definedName>
    <definedName name="STD_26">#REF!</definedName>
    <definedName name="STD_28">#REF!</definedName>
    <definedName name="STD_3">#REF!</definedName>
    <definedName name="STD_5">#REF!</definedName>
    <definedName name="STD_7">#REF!</definedName>
    <definedName name="STD_9">#REF!</definedName>
    <definedName name="std1.5">#REF!</definedName>
    <definedName name="std100_1">#REF!</definedName>
    <definedName name="std100_1_5">#REF!</definedName>
    <definedName name="std100_2">#REF!</definedName>
    <definedName name="std100_2_1">#REF!</definedName>
    <definedName name="std100_2_1_1">#REF!</definedName>
    <definedName name="std100_2_1_1_6">#REF!</definedName>
    <definedName name="std100_2_1_6">#REF!</definedName>
    <definedName name="std100_2_1_7">#REF!</definedName>
    <definedName name="std100_2_6">#REF!</definedName>
    <definedName name="std100_2_7">#REF!</definedName>
    <definedName name="std100_3">#REF!</definedName>
    <definedName name="std100_3_4">#REF!</definedName>
    <definedName name="std100_3_6">#REF!</definedName>
    <definedName name="std100_3_7">#REF!</definedName>
    <definedName name="std100_4">#REF!</definedName>
    <definedName name="std100_4_1">#REF!</definedName>
    <definedName name="std100_4_2">#REF!</definedName>
    <definedName name="std100_4_2_6">#REF!</definedName>
    <definedName name="std100_4_4">#REF!</definedName>
    <definedName name="std100_4_6">#REF!</definedName>
    <definedName name="std100_4_7">#REF!</definedName>
    <definedName name="std100_5">#REF!</definedName>
    <definedName name="std100_5_2">#REF!</definedName>
    <definedName name="std100_5_2_6">#REF!</definedName>
    <definedName name="std100_5_4">#REF!</definedName>
    <definedName name="std100_5_6">#REF!</definedName>
    <definedName name="std100_5_7">#REF!</definedName>
    <definedName name="std100_6">#REF!</definedName>
    <definedName name="std100_6_1">#REF!</definedName>
    <definedName name="std100_6_4">#REF!</definedName>
    <definedName name="std100_6_6">#REF!</definedName>
    <definedName name="std100_6_7">#REF!</definedName>
    <definedName name="std100_7">#REF!</definedName>
    <definedName name="std150_1">#REF!</definedName>
    <definedName name="std150_1_5">#REF!</definedName>
    <definedName name="std150_2">#REF!</definedName>
    <definedName name="std150_2_1">#REF!</definedName>
    <definedName name="std150_2_1_1">#REF!</definedName>
    <definedName name="std150_2_1_1_6">#REF!</definedName>
    <definedName name="std150_2_1_6">#REF!</definedName>
    <definedName name="std150_2_1_7">#REF!</definedName>
    <definedName name="std150_2_6">#REF!</definedName>
    <definedName name="std150_2_7">#REF!</definedName>
    <definedName name="std150_3">#REF!</definedName>
    <definedName name="std150_3_4">#REF!</definedName>
    <definedName name="std150_3_6">#REF!</definedName>
    <definedName name="std150_3_7">#REF!</definedName>
    <definedName name="std150_4">#REF!</definedName>
    <definedName name="std150_4_1">#REF!</definedName>
    <definedName name="std150_4_2">#REF!</definedName>
    <definedName name="std150_4_2_6">#REF!</definedName>
    <definedName name="std150_4_4">#REF!</definedName>
    <definedName name="std150_4_6">#REF!</definedName>
    <definedName name="std150_4_7">#REF!</definedName>
    <definedName name="std150_5">#REF!</definedName>
    <definedName name="std150_5_2">#REF!</definedName>
    <definedName name="std150_5_2_6">#REF!</definedName>
    <definedName name="std150_5_4">#REF!</definedName>
    <definedName name="std150_5_6">#REF!</definedName>
    <definedName name="std150_5_7">#REF!</definedName>
    <definedName name="std150_6">#REF!</definedName>
    <definedName name="std150_6_1">#REF!</definedName>
    <definedName name="std150_6_4">#REF!</definedName>
    <definedName name="std150_6_6">#REF!</definedName>
    <definedName name="std150_6_7">#REF!</definedName>
    <definedName name="std150_7">#REF!</definedName>
    <definedName name="std2.5">#REF!</definedName>
    <definedName name="STD4_11">#REF!</definedName>
    <definedName name="std50_1">#REF!</definedName>
    <definedName name="std50_1_5">#REF!</definedName>
    <definedName name="std50_2">#REF!</definedName>
    <definedName name="std50_2_1">#REF!</definedName>
    <definedName name="std50_2_1_1">#REF!</definedName>
    <definedName name="std50_2_1_1_6">#REF!</definedName>
    <definedName name="std50_2_1_6">#REF!</definedName>
    <definedName name="std50_2_1_7">#REF!</definedName>
    <definedName name="std50_2_6">#REF!</definedName>
    <definedName name="std50_2_7">#REF!</definedName>
    <definedName name="std50_3">#REF!</definedName>
    <definedName name="std50_3_4">#REF!</definedName>
    <definedName name="std50_3_6">#REF!</definedName>
    <definedName name="std50_3_7">#REF!</definedName>
    <definedName name="std50_4">#REF!</definedName>
    <definedName name="std50_4_1">#REF!</definedName>
    <definedName name="std50_4_2">#REF!</definedName>
    <definedName name="std50_4_2_6">#REF!</definedName>
    <definedName name="std50_4_4">#REF!</definedName>
    <definedName name="std50_4_6">#REF!</definedName>
    <definedName name="std50_4_7">#REF!</definedName>
    <definedName name="std50_5">#REF!</definedName>
    <definedName name="std50_5_2">#REF!</definedName>
    <definedName name="std50_5_2_6">#REF!</definedName>
    <definedName name="std50_5_4">#REF!</definedName>
    <definedName name="std50_5_6">#REF!</definedName>
    <definedName name="std50_5_7">#REF!</definedName>
    <definedName name="std50_6">#REF!</definedName>
    <definedName name="std50_6_1">#REF!</definedName>
    <definedName name="std50_6_4">#REF!</definedName>
    <definedName name="std50_6_6">#REF!</definedName>
    <definedName name="std50_6_7">#REF!</definedName>
    <definedName name="std50_7">#REF!</definedName>
    <definedName name="std65_1">#REF!</definedName>
    <definedName name="std65_1_5">#REF!</definedName>
    <definedName name="std65_2">#REF!</definedName>
    <definedName name="std65_2_1">#REF!</definedName>
    <definedName name="std65_2_1_1">#REF!</definedName>
    <definedName name="std65_2_1_1_6">#REF!</definedName>
    <definedName name="std65_2_1_6">#REF!</definedName>
    <definedName name="std65_2_1_7">#REF!</definedName>
    <definedName name="std65_2_6">#REF!</definedName>
    <definedName name="std65_2_7">#REF!</definedName>
    <definedName name="std65_3">#REF!</definedName>
    <definedName name="std65_3_4">#REF!</definedName>
    <definedName name="std65_3_6">#REF!</definedName>
    <definedName name="std65_3_7">#REF!</definedName>
    <definedName name="std65_4">#REF!</definedName>
    <definedName name="std65_4_1">#REF!</definedName>
    <definedName name="std65_4_2">#REF!</definedName>
    <definedName name="std65_4_2_6">#REF!</definedName>
    <definedName name="std65_4_4">#REF!</definedName>
    <definedName name="std65_4_6">#REF!</definedName>
    <definedName name="std65_4_7">#REF!</definedName>
    <definedName name="std65_5">#REF!</definedName>
    <definedName name="std65_5_2">#REF!</definedName>
    <definedName name="std65_5_2_6">#REF!</definedName>
    <definedName name="std65_5_4">#REF!</definedName>
    <definedName name="std65_5_6">#REF!</definedName>
    <definedName name="std65_5_7">#REF!</definedName>
    <definedName name="std65_6">#REF!</definedName>
    <definedName name="std65_6_1">#REF!</definedName>
    <definedName name="std65_6_4">#REF!</definedName>
    <definedName name="std65_6_6">#REF!</definedName>
    <definedName name="std65_6_7">#REF!</definedName>
    <definedName name="std65_7">#REF!</definedName>
    <definedName name="STDE">[10]Material!#REF!</definedName>
    <definedName name="stde1">[150]Material!#REF!</definedName>
    <definedName name="STE_1">#REF!</definedName>
    <definedName name="STE_10">#REF!</definedName>
    <definedName name="STE_2">#REF!</definedName>
    <definedName name="STE_3">#REF!</definedName>
    <definedName name="STE_4">#REF!</definedName>
    <definedName name="STE_5">#REF!</definedName>
    <definedName name="STE_6">#REF!</definedName>
    <definedName name="STE_7">#REF!</definedName>
    <definedName name="STE_8">#REF!</definedName>
    <definedName name="STE_9">#REF!</definedName>
    <definedName name="STEEL">#REF!</definedName>
    <definedName name="STEEL_ANGEL_1">#REF!</definedName>
    <definedName name="STEEL_ANGEL_2">#REF!</definedName>
    <definedName name="STEEL_PIPE">#REF!</definedName>
    <definedName name="STEEL_PPF">#REF!</definedName>
    <definedName name="steelformwork">#REF!</definedName>
    <definedName name="steelrailing">#REF!</definedName>
    <definedName name="Steger_work">#REF!</definedName>
    <definedName name="StegerBambu">#REF!</definedName>
    <definedName name="steiger">#REF!</definedName>
    <definedName name="stektiang">#REF!</definedName>
    <definedName name="sten1">#REF!</definedName>
    <definedName name="sten23">#REF!</definedName>
    <definedName name="sten35">#REF!</definedName>
    <definedName name="sten57">#REF!</definedName>
    <definedName name="stenslag">#REF!</definedName>
    <definedName name="step">#REF!</definedName>
    <definedName name="step_nosing">#REF!</definedName>
    <definedName name="step1040">#REF!</definedName>
    <definedName name="stepnoising">#REF!</definedName>
    <definedName name="stepnos">#REF!</definedName>
    <definedName name="stepnos_kerampolis">#REF!</definedName>
    <definedName name="STF_1">#REF!</definedName>
    <definedName name="STF_2">#REF!</definedName>
    <definedName name="STF_3">#REF!</definedName>
    <definedName name="STF_4">#REF!</definedName>
    <definedName name="stk_double">'[78]Harga Jasa dan Material'!$D$153</definedName>
    <definedName name="stk_Floortype">'[78]Harga Jasa dan Material'!$D$154</definedName>
    <definedName name="stk_single">'[78]Harga Jasa dan Material'!$D$152</definedName>
    <definedName name="stmix175">#REF!</definedName>
    <definedName name="stmix225">#REF!</definedName>
    <definedName name="stnh">'[45]Sat~Bahu'!$G$88</definedName>
    <definedName name="STOM">#REF!</definedName>
    <definedName name="stone">#REF!</definedName>
    <definedName name="STONECRUSHER">#REF!</definedName>
    <definedName name="Stonework">#REF!</definedName>
    <definedName name="stoot">#REF!</definedName>
    <definedName name="stootW">#REF!</definedName>
    <definedName name="STOOTWERK">#REF!</definedName>
    <definedName name="STOP">#REF!</definedName>
    <definedName name="stop.ac">#REF!</definedName>
    <definedName name="stop.k">#REF!</definedName>
    <definedName name="Stop_kontak_sekualitas_broco">#REF!</definedName>
    <definedName name="Stop_kran_biasa">#REF!</definedName>
    <definedName name="Stop_kran_wasfhtafel">#REF!</definedName>
    <definedName name="STOP2">#REF!</definedName>
    <definedName name="STOP2E">#REF!</definedName>
    <definedName name="STOPE">#REF!</definedName>
    <definedName name="StopKntk">#REF!</definedName>
    <definedName name="stopkon">#REF!</definedName>
    <definedName name="STOPKONTAK">#N/A</definedName>
    <definedName name="stopkontak3">#REF!</definedName>
    <definedName name="Stot__3___5__cm">#REF!</definedName>
    <definedName name="Stp">#REF!</definedName>
    <definedName name="stpb">'[45]Sat~Bahu'!$C$31</definedName>
    <definedName name="stpiezo">#REF!</definedName>
    <definedName name="stpkrn">'[21]Harga Satuan Bahan'!$E$130</definedName>
    <definedName name="str">#REF!</definedName>
    <definedName name="STR_23">#REF!</definedName>
    <definedName name="STR_25">#REF!</definedName>
    <definedName name="str10toyo14">#REF!</definedName>
    <definedName name="Strain">#REF!</definedName>
    <definedName name="strbersih0.5">#REF!</definedName>
    <definedName name="strbersih0.75">#REF!</definedName>
    <definedName name="strbersih1">#REF!</definedName>
    <definedName name="strbersih1.25">#REF!</definedName>
    <definedName name="strbersih1.5">#REF!</definedName>
    <definedName name="strbersih2">#REF!</definedName>
    <definedName name="strbersih2.5">#REF!</definedName>
    <definedName name="strbersihkitz0.5">#REF!</definedName>
    <definedName name="strbersihkitz0.75">#REF!</definedName>
    <definedName name="strbersihkitz07.5">#REF!</definedName>
    <definedName name="strbersihkitz1">#REF!</definedName>
    <definedName name="strbersihkitz1.25">#REF!</definedName>
    <definedName name="strbersihkitz1.5">#REF!</definedName>
    <definedName name="strbersihkitz2">#REF!</definedName>
    <definedName name="strbersihkitz2.5">#REF!</definedName>
    <definedName name="strbersihty0.5">#REF!</definedName>
    <definedName name="strbersihty0.75">#REF!</definedName>
    <definedName name="strbersihty1">#REF!</definedName>
    <definedName name="strbersihty1.25">#REF!</definedName>
    <definedName name="strbersihty1.5">#REF!</definedName>
    <definedName name="strbersihty2">#REF!</definedName>
    <definedName name="strbersihty2.5">#REF!</definedName>
    <definedName name="streetld">#N/A</definedName>
    <definedName name="streetls">#N/A</definedName>
    <definedName name="Stressing316">#REF!</definedName>
    <definedName name="stressing400">#REF!</definedName>
    <definedName name="stressing405">#REF!</definedName>
    <definedName name="stressingdia316">#REF!</definedName>
    <definedName name="stressingdia400">#REF!</definedName>
    <definedName name="stressingdia405">#REF!</definedName>
    <definedName name="strhydrant1.5">#REF!</definedName>
    <definedName name="strhydrant10">#REF!</definedName>
    <definedName name="strhydrant12">#REF!</definedName>
    <definedName name="strhydrant2">#REF!</definedName>
    <definedName name="strhydrant2.5">#REF!</definedName>
    <definedName name="strhydrant3">#REF!</definedName>
    <definedName name="strhydrant4">#REF!</definedName>
    <definedName name="strhydrant5">#REF!</definedName>
    <definedName name="strhydrant6">#REF!</definedName>
    <definedName name="strhydrant8">#REF!</definedName>
    <definedName name="strhydrantkitz1.5">#REF!</definedName>
    <definedName name="strhydrantkitz2">#REF!</definedName>
    <definedName name="strhydrantkitz2.5">#REF!</definedName>
    <definedName name="strhydrantkitz3">#REF!</definedName>
    <definedName name="strhydrantkitz4">#REF!</definedName>
    <definedName name="strhydrantkitz5">#REF!</definedName>
    <definedName name="strhydrantkitz6">#REF!</definedName>
    <definedName name="strhydranty1.5">#REF!</definedName>
    <definedName name="strhydranty10">#REF!</definedName>
    <definedName name="strhydranty12">#REF!</definedName>
    <definedName name="strhydranty2">#REF!</definedName>
    <definedName name="strhydranty2.5">#REF!</definedName>
    <definedName name="strhydranty3">#REF!</definedName>
    <definedName name="strhydranty4">#REF!</definedName>
    <definedName name="strhydranty5">#REF!</definedName>
    <definedName name="strhydranty6">#REF!</definedName>
    <definedName name="strhydranty8">#REF!</definedName>
    <definedName name="strkitz16k5">'[139]Harga ME '!#REF!</definedName>
    <definedName name="structural">#N/A</definedName>
    <definedName name="STRUK">#REF!</definedName>
    <definedName name="STRUKTUR" localSheetId="7">#REF!</definedName>
    <definedName name="STRUKTUR">#REF!</definedName>
    <definedName name="strukturext">#REF!</definedName>
    <definedName name="struktursma">#REF!</definedName>
    <definedName name="struktursmp">#REF!</definedName>
    <definedName name="stsrg">[51]DHSD!$G$45</definedName>
    <definedName name="stsy">[52]DHSD!$G$33</definedName>
    <definedName name="stusrty">[52]DHSD!$G$22</definedName>
    <definedName name="Stutwerk">#REF!</definedName>
    <definedName name="StyleBali">#REF!</definedName>
    <definedName name="stysryst">[52]DHSD!$G$37</definedName>
    <definedName name="Sub">#REF!</definedName>
    <definedName name="SUB_TOTAL__VII">[191]Pag_hal!#REF!</definedName>
    <definedName name="SubChange">#REF!</definedName>
    <definedName name="SUBKON">#REF!</definedName>
    <definedName name="subkontrak">#REF!</definedName>
    <definedName name="SUBKONTRAKTOR">#REF!</definedName>
    <definedName name="substrsmp">#REF!</definedName>
    <definedName name="substrsmu">#REF!</definedName>
    <definedName name="Substructure">#REF!</definedName>
    <definedName name="substruktur">#REF!</definedName>
    <definedName name="SUBT">#REF!</definedName>
    <definedName name="SUBT.FIELD_EXP">#REF!</definedName>
    <definedName name="SUBT.TEMP._WORK">#REF!</definedName>
    <definedName name="SUGENG">#N/A</definedName>
    <definedName name="sugiono">#REF!</definedName>
    <definedName name="sukaji">#REF!</definedName>
    <definedName name="sukamandi">#REF!</definedName>
    <definedName name="sukatani">#REF!</definedName>
    <definedName name="SukRengKamper">#REF!</definedName>
    <definedName name="sum">#REF!</definedName>
    <definedName name="SUM_G52_G83">#REF!</definedName>
    <definedName name="SUM2A">#REF!</definedName>
    <definedName name="SUMBER">#REF!</definedName>
    <definedName name="SumberDana">#REF!</definedName>
    <definedName name="sumboq1">#REF!</definedName>
    <definedName name="sumboq2">#REF!</definedName>
    <definedName name="sumbq">#REF!</definedName>
    <definedName name="sumbq1">#REF!</definedName>
    <definedName name="sumbq2">#REF!</definedName>
    <definedName name="SUMI">#REF!</definedName>
    <definedName name="summary">#REF!</definedName>
    <definedName name="sumur">#REF!</definedName>
    <definedName name="Sumur__peresapan_air_kotor_dan_kotoran">#REF!</definedName>
    <definedName name="SUmur_Arteis120">'[66]Analisa Harga Satuan'!$G$1845</definedName>
    <definedName name="SUMV">#N/A</definedName>
    <definedName name="sun">#REF!</definedName>
    <definedName name="sunaryo">#REF!</definedName>
    <definedName name="sunloid">#REF!</definedName>
    <definedName name="SUP">#REF!</definedName>
    <definedName name="supardi">#REF!</definedName>
    <definedName name="super">#REF!</definedName>
    <definedName name="supergloss">#REF!</definedName>
    <definedName name="Superstructure">#REF!</definedName>
    <definedName name="SUPFS">#REF!</definedName>
    <definedName name="Supir">#REF!</definedName>
    <definedName name="SUPIR_TRUK">#REF!</definedName>
    <definedName name="SUPIR_TRUK_23">#REF!</definedName>
    <definedName name="SUPIR_TRUK_25">#REF!</definedName>
    <definedName name="Supl">#REF!</definedName>
    <definedName name="Supl.I">#REF!</definedName>
    <definedName name="Supl.II">#REF!</definedName>
    <definedName name="Supl.III">#REF!</definedName>
    <definedName name="Supl.IV">#REF!</definedName>
    <definedName name="SUPL.IX">#REF!</definedName>
    <definedName name="Supl.IXa">#REF!</definedName>
    <definedName name="Supl.IXb">#REF!</definedName>
    <definedName name="Supl.V">#REF!</definedName>
    <definedName name="Supl.VI">#REF!</definedName>
    <definedName name="Supl.VII">#REF!</definedName>
    <definedName name="SUPL.X">#REF!</definedName>
    <definedName name="SUPL.XI">#REF!</definedName>
    <definedName name="SUPL.XII">#REF!</definedName>
    <definedName name="Supl.XIII">#REF!</definedName>
    <definedName name="Supl_XII">#REF!</definedName>
    <definedName name="SuplIX.b">#REF!</definedName>
    <definedName name="SuplXI">#REF!</definedName>
    <definedName name="Supprot_hargger">#REF!</definedName>
    <definedName name="SUPT">#REF!</definedName>
    <definedName name="SURAT">#REF!</definedName>
    <definedName name="survey">#REF!</definedName>
    <definedName name="Surveyor">#REF!</definedName>
    <definedName name="suwi">#REF!</definedName>
    <definedName name="svr">#REF!</definedName>
    <definedName name="svsd">#N/A</definedName>
    <definedName name="SW" hidden="1">{"'Sheet1'!$A$1"}</definedName>
    <definedName name="SW_ROLLER">#REF!</definedName>
    <definedName name="sw35besi">#REF!</definedName>
    <definedName name="sw45besi">#REF!</definedName>
    <definedName name="swarna">#REF!</definedName>
    <definedName name="swds">#REF!</definedName>
    <definedName name="SWIM">#REF!</definedName>
    <definedName name="swp">#REF!</definedName>
    <definedName name="swy">[52]DHSD!$G$35</definedName>
    <definedName name="SWYWT">'[50]SAT-DAS'!$J$28</definedName>
    <definedName name="syhs">'[50]SAT-DAS'!$J$33</definedName>
    <definedName name="syo">#REF!</definedName>
    <definedName name="syp_vor_clos">[39]Plumbing!#REF!</definedName>
    <definedName name="syser">'[50]SAT-DAS'!$J$45</definedName>
    <definedName name="sysertys">'[192]SAT-DAS'!$J$60</definedName>
    <definedName name="sysey">[52]DHSD!$G$45</definedName>
    <definedName name="systru">[51]DHSD!$G$47</definedName>
    <definedName name="syts">[52]DHSD!$G$13</definedName>
    <definedName name="syttrsy">[51]DHSD!$G$34</definedName>
    <definedName name="sztrs">'[119]SAT-DAS'!$J$59</definedName>
    <definedName name="t">#REF!</definedName>
    <definedName name="t.dos">#REF!</definedName>
    <definedName name="t.sabun">#REF!</definedName>
    <definedName name="T_0_">#REF!</definedName>
    <definedName name="t_015020">[65]satuan_pek_str!#REF!</definedName>
    <definedName name="t_2">#REF!</definedName>
    <definedName name="T_703_AC">[39]Plumbing!#REF!</definedName>
    <definedName name="t_gw">#REF!</definedName>
    <definedName name="T_TX416_SC">[39]Plumbing!#REF!</definedName>
    <definedName name="T_TX706_AC">[39]Plumbing!#REF!</definedName>
    <definedName name="t101p">#REF!</definedName>
    <definedName name="t103p">#REF!</definedName>
    <definedName name="t105mnc">'[18]thao-go'!#REF!</definedName>
    <definedName name="t10m">'[18]lam-moi'!#REF!</definedName>
    <definedName name="t10nc">'[18]lam-moi'!#REF!</definedName>
    <definedName name="t10nc1p">#REF!</definedName>
    <definedName name="t10ncm">'[18]lam-moi'!#REF!</definedName>
    <definedName name="t10vl">'[18]lam-moi'!#REF!</definedName>
    <definedName name="t10vl1p">#REF!</definedName>
    <definedName name="t121p">#REF!</definedName>
    <definedName name="t123p">#REF!</definedName>
    <definedName name="t12m">'[18]lam-moi'!#REF!</definedName>
    <definedName name="t12mnc">'[18]thao-go'!#REF!</definedName>
    <definedName name="t12nc">'[18]lam-moi'!#REF!</definedName>
    <definedName name="t12nc3p">#REF!</definedName>
    <definedName name="t12ncm">'[18]lam-moi'!#REF!</definedName>
    <definedName name="t12vl">'[18]lam-moi'!#REF!</definedName>
    <definedName name="t12vl3p">#REF!</definedName>
    <definedName name="t141p">#REF!</definedName>
    <definedName name="t143p">#REF!</definedName>
    <definedName name="t14m">'[18]lam-moi'!#REF!</definedName>
    <definedName name="t14mnc">'[18]thao-go'!#REF!</definedName>
    <definedName name="t14nc">'[18]lam-moi'!#REF!</definedName>
    <definedName name="t14nc3p">#REF!</definedName>
    <definedName name="t14ncm">'[18]lam-moi'!#REF!</definedName>
    <definedName name="T14vc">'[18]CHITIET VL-NC-TT -1p'!#REF!</definedName>
    <definedName name="t14vl">'[18]lam-moi'!#REF!</definedName>
    <definedName name="t14vl3p">#REF!</definedName>
    <definedName name="T203P">[18]VC!#REF!</definedName>
    <definedName name="t20m">'[18]lam-moi'!#REF!</definedName>
    <definedName name="t20ncm">'[18]lam-moi'!#REF!</definedName>
    <definedName name="t23b13">#REF!</definedName>
    <definedName name="t6r" hidden="1">{"'Sheet1'!$A$1"}</definedName>
    <definedName name="t7m">'[18]THPDMoi  (2)'!#REF!</definedName>
    <definedName name="t7nc">'[18]lam-moi'!#REF!</definedName>
    <definedName name="t7vl">'[18]lam-moi'!#REF!</definedName>
    <definedName name="t84mnc">'[18]thao-go'!#REF!</definedName>
    <definedName name="t8m">'[18]THPDMoi  (2)'!#REF!</definedName>
    <definedName name="t8nc">'[18]lam-moi'!#REF!</definedName>
    <definedName name="t8vl">'[18]lam-moi'!#REF!</definedName>
    <definedName name="ta">#REF!</definedName>
    <definedName name="TA.">#REF!</definedName>
    <definedName name="TAB">#REF!</definedName>
    <definedName name="TAB_ALAT">#REF!</definedName>
    <definedName name="tabebuea">#REF!</definedName>
    <definedName name="Tabel">#REF!</definedName>
    <definedName name="Tabel_1">#REF!</definedName>
    <definedName name="Tabel1">#REF!</definedName>
    <definedName name="TABEL3">#REF!</definedName>
    <definedName name="tabelanhs">#REF!</definedName>
    <definedName name="tabelbln">#REF!</definedName>
    <definedName name="tabelhspl">#REF!</definedName>
    <definedName name="table" hidden="1">#REF!</definedName>
    <definedName name="tack">#REF!</definedName>
    <definedName name="Tack_Coat">#REF!</definedName>
    <definedName name="tackcoat">#REF!</definedName>
    <definedName name="tagah">'[50]SAT-DAS'!$J$50</definedName>
    <definedName name="TAGLIST">#REF!</definedName>
    <definedName name="tahap2" hidden="1">{#N/A,#N/A,FALSE,"REK";#N/A,#N/A,FALSE,"rab"}</definedName>
    <definedName name="TAHAP21" hidden="1">{#N/A,#N/A,FALSE,"REK";#N/A,#N/A,FALSE,"rab"}</definedName>
    <definedName name="tahap22" hidden="1">{#N/A,#N/A,FALSE,"REK";#N/A,#N/A,FALSE,"rab"}</definedName>
    <definedName name="TAHAP221" hidden="1">{#N/A,#N/A,FALSE,"REK";#N/A,#N/A,FALSE,"rab"}</definedName>
    <definedName name="tahap222" hidden="1">{#N/A,#N/A,FALSE,"REK";#N/A,#N/A,FALSE,"rab"}</definedName>
    <definedName name="tahap3" hidden="1">{#N/A,#N/A,FALSE,"REK";#N/A,#N/A,FALSE,"rab"}</definedName>
    <definedName name="tahoma">#REF!</definedName>
    <definedName name="TahunAngg">#REF!</definedName>
    <definedName name="tai" hidden="1">{"'Sheet1'!$A$1"}</definedName>
    <definedName name="TAKEL">#REF!</definedName>
    <definedName name="TAKINGOFFSHEET">#REF!</definedName>
    <definedName name="tal">#REF!</definedName>
    <definedName name="talang">#REF!</definedName>
    <definedName name="TALANG_10">#REF!</definedName>
    <definedName name="talang4">#REF!</definedName>
    <definedName name="TalangDatar">#REF!</definedName>
    <definedName name="talangdatarzincalume">#REF!</definedName>
    <definedName name="talangdtr\jr.zincalume">#REF!</definedName>
    <definedName name="TalangJurai">#REF!</definedName>
    <definedName name="Talangkaret">#REF!</definedName>
    <definedName name="TalangMiring">#REF!</definedName>
    <definedName name="TALANGPVC4">#REF!</definedName>
    <definedName name="TalangPVC6">#REF!</definedName>
    <definedName name="talangPVC8">#REF!</definedName>
    <definedName name="talangseng">#REF!</definedName>
    <definedName name="TALANGTRITISANLEBAR25CM">#REF!</definedName>
    <definedName name="talangvertikalPVC21\2">#REF!</definedName>
    <definedName name="talangvertikalPVC3">#REF!</definedName>
    <definedName name="talangvertikalPVC4">#REF!</definedName>
    <definedName name="talkaret">#REF!</definedName>
    <definedName name="TALUD">#REF!</definedName>
    <definedName name="tambah">#REF!</definedName>
    <definedName name="TAMPER">#REF!</definedName>
    <definedName name="tampilan">#REF!</definedName>
    <definedName name="TAMPING">#REF!</definedName>
    <definedName name="tan.urg">#REF!</definedName>
    <definedName name="tanaga_gelar">#REF!</definedName>
    <definedName name="TANAH" localSheetId="7">#REF!</definedName>
    <definedName name="TANAH">#REF!</definedName>
    <definedName name="Tanah_">#REF!</definedName>
    <definedName name="Tanah_Pilihan">#REF!</definedName>
    <definedName name="Tanah_Timbun">#REF!</definedName>
    <definedName name="Tanah_timbunan">#REF!</definedName>
    <definedName name="TANAH_URUG" localSheetId="7">[33]H_Dasar!#REF!</definedName>
    <definedName name="tanah_urug">#REF!</definedName>
    <definedName name="Tanah_Urug_Biasa">#REF!</definedName>
    <definedName name="Tanah_Urug_Pilihan">#REF!</definedName>
    <definedName name="tanahsmp">#REF!</definedName>
    <definedName name="tanahsmu">#REF!</definedName>
    <definedName name="tanaht">#REF!</definedName>
    <definedName name="tanahurg">#REF!</definedName>
    <definedName name="tanahurug">#REF!</definedName>
    <definedName name="tanam">#REF!</definedName>
    <definedName name="TANAMAN">#REF!</definedName>
    <definedName name="Tandem">#REF!</definedName>
    <definedName name="TANDEM_R">#REF!</definedName>
    <definedName name="Tandem_Roller">#REF!</definedName>
    <definedName name="Tandem_Roller_6_9_T">#REF!</definedName>
    <definedName name="TANDEMROLLER">#REF!</definedName>
    <definedName name="TANDON">#N/A</definedName>
    <definedName name="TANDUK_KLEM">#REF!</definedName>
    <definedName name="TANGGA">#N/A</definedName>
    <definedName name="TANGGA_B">#REF!</definedName>
    <definedName name="TanggaFe100">#REF!</definedName>
    <definedName name="TanggaFe110">#REF!</definedName>
    <definedName name="TanggaFe120">#REF!</definedName>
    <definedName name="TanggaFe125">#REF!</definedName>
    <definedName name="TanggaFe130">#REF!</definedName>
    <definedName name="TanggaFe140">#REF!</definedName>
    <definedName name="TanggaFe150">#REF!</definedName>
    <definedName name="TanggaFe160">#REF!</definedName>
    <definedName name="TanggaFe170">#REF!</definedName>
    <definedName name="TanggaFe175">#REF!</definedName>
    <definedName name="TanggaFe180">#REF!</definedName>
    <definedName name="TanggaFe190">#REF!</definedName>
    <definedName name="TanggaFe200">#REF!</definedName>
    <definedName name="TanggaFe210">#REF!</definedName>
    <definedName name="TanggaFe80">#REF!</definedName>
    <definedName name="TanggaFe90">#REF!</definedName>
    <definedName name="Tanggal">#REF!</definedName>
    <definedName name="TANGKI" localSheetId="7">[33]H_Dasar!#REF!</definedName>
    <definedName name="tangki">#REF!</definedName>
    <definedName name="tangkiair4rbltr">'[66]Analisa Harga Satuan'!$G$2175</definedName>
    <definedName name="tanjd" hidden="1">#REF!</definedName>
    <definedName name="TANK">[16]prelim!#REF!</definedName>
    <definedName name="TANKER">#REF!</definedName>
    <definedName name="tankfb05">'[21]Harga Satuan Bahan'!$E$142</definedName>
    <definedName name="tankfb1">'[21]Harga Satuan Bahan'!$E$143</definedName>
    <definedName name="tankfb2">'[21]Harga Satuan Bahan'!#REF!</definedName>
    <definedName name="tanki">#REF!</definedName>
    <definedName name="tansubur">#REF!</definedName>
    <definedName name="tanurug">#REF!</definedName>
    <definedName name="tapak">#REF!</definedName>
    <definedName name="TapakP1">#REF!</definedName>
    <definedName name="Tarikanjendela">#REF!</definedName>
    <definedName name="tarol">#REF!</definedName>
    <definedName name="tasik2">#REF!</definedName>
    <definedName name="taur">#REF!</definedName>
    <definedName name="TAWAR_BUDGET">#REF!</definedName>
    <definedName name="tawg16">#REF!</definedName>
    <definedName name="tawg16_1">#REF!</definedName>
    <definedName name="tawg16_2">#REF!</definedName>
    <definedName name="tawg16_2_1">#REF!</definedName>
    <definedName name="tawg16_2_1_6">#REF!</definedName>
    <definedName name="tawg16_2_6">#REF!</definedName>
    <definedName name="tawg16_2_7">#REF!</definedName>
    <definedName name="tawg16_3">#REF!</definedName>
    <definedName name="tawg16_3_4">#REF!</definedName>
    <definedName name="tawg16_3_6">#REF!</definedName>
    <definedName name="tawg16_3_7">#REF!</definedName>
    <definedName name="tawg16_4">#REF!</definedName>
    <definedName name="tawg16_4_1">#REF!</definedName>
    <definedName name="tawg16_4_2">#REF!</definedName>
    <definedName name="tawg16_4_2_6">#REF!</definedName>
    <definedName name="tawg16_4_4">#REF!</definedName>
    <definedName name="tawg16_4_6">#REF!</definedName>
    <definedName name="tawg16_4_7">#REF!</definedName>
    <definedName name="tawg16_5">#REF!</definedName>
    <definedName name="tawg16_5_2">#REF!</definedName>
    <definedName name="tawg16_5_2_6">#REF!</definedName>
    <definedName name="tawg16_5_4">#REF!</definedName>
    <definedName name="tawg16_5_6">#REF!</definedName>
    <definedName name="tawg16_5_7">#REF!</definedName>
    <definedName name="tawg16_6">#REF!</definedName>
    <definedName name="tawg16_6_1">#REF!</definedName>
    <definedName name="tawg16_6_4">#REF!</definedName>
    <definedName name="tawg16_6_6">#REF!</definedName>
    <definedName name="tawg16_6_7">#REF!</definedName>
    <definedName name="tawg16_7">#REF!</definedName>
    <definedName name="TaxTV">10%</definedName>
    <definedName name="TaxXL">5%</definedName>
    <definedName name="TB">#REF!</definedName>
    <definedName name="TB_4070">#REF!</definedName>
    <definedName name="TB_Sound">[39]Elektronik!#REF!</definedName>
    <definedName name="TB_telp">[39]Elektronik!#REF!</definedName>
    <definedName name="tbat">#REF!</definedName>
    <definedName name="tbatu">#REF!</definedName>
    <definedName name="tbb4000.10000">#REF!</definedName>
    <definedName name="TBBA">#REF!</definedName>
    <definedName name="tbdd1p">'[18]lam-moi'!#REF!</definedName>
    <definedName name="tbdd3p">'[18]lam-moi'!#REF!</definedName>
    <definedName name="tbddsdl">'[18]lam-moi'!#REF!</definedName>
    <definedName name="TBE">#REF!</definedName>
    <definedName name="TBesi">#REF!</definedName>
    <definedName name="TBFA">[39]Elektronik!#REF!</definedName>
    <definedName name="tbhhj" hidden="1">{"'Sheet1'!$A$1"}</definedName>
    <definedName name="tbi">#REF!</definedName>
    <definedName name="TBL">[3]CH!$C$29</definedName>
    <definedName name="tbl_ProdInfo" hidden="1">#REF!</definedName>
    <definedName name="tblorganisasi">#REF!</definedName>
    <definedName name="tbr_s">#REF!</definedName>
    <definedName name="TBs">#REF!</definedName>
    <definedName name="TBSB">#REF!</definedName>
    <definedName name="tbset">#REF!</definedName>
    <definedName name="tbsm5tl2x36">#REF!</definedName>
    <definedName name="tbsm5tl2x36nb">#REF!</definedName>
    <definedName name="tbt">#REF!</definedName>
    <definedName name="tbter">#REF!</definedName>
    <definedName name="tbtr">'[18]TH XL'!#REF!</definedName>
    <definedName name="tbtram">#REF!</definedName>
    <definedName name="TC">#REF!</definedName>
    <definedName name="TC_1">#REF!</definedName>
    <definedName name="TC_2">#REF!</definedName>
    <definedName name="TC_NHANH1">#REF!</definedName>
    <definedName name="TCAL">#REF!</definedName>
    <definedName name="TCat">#REF!</definedName>
    <definedName name="TCH">#REF!</definedName>
    <definedName name="TCN">#REF!</definedName>
    <definedName name="tcset">#REF!</definedName>
    <definedName name="tcter">#REF!</definedName>
    <definedName name="tcxxnc">'[18]thao-go'!#REF!</definedName>
    <definedName name="td">#REF!</definedName>
    <definedName name="td_5050">#REF!</definedName>
    <definedName name="td10vl">'[18]#REF'!#REF!</definedName>
    <definedName name="td12nc">'[18]#REF'!#REF!</definedName>
    <definedName name="td1cnc">'[18]lam-moi'!#REF!</definedName>
    <definedName name="td1cvl">'[18]lam-moi'!#REF!</definedName>
    <definedName name="td1p">#REF!</definedName>
    <definedName name="TD1pnc">'[18]CHITIET VL-NC-TT -1p'!#REF!</definedName>
    <definedName name="TD1pvl">'[18]CHITIET VL-NC-TT -1p'!#REF!</definedName>
    <definedName name="td3p">#REF!</definedName>
    <definedName name="tdc84nc">'[18]thao-go'!#REF!</definedName>
    <definedName name="tdcnc">'[18]thao-go'!#REF!</definedName>
    <definedName name="tdf">[95]satuan_pek_ars!#REF!</definedName>
    <definedName name="tdgnc">'[18]lam-moi'!#REF!</definedName>
    <definedName name="tdgvl">'[18]lam-moi'!#REF!</definedName>
    <definedName name="tdhtnc">'[18]lam-moi'!#REF!</definedName>
    <definedName name="tdhtvl">'[18]lam-moi'!#REF!</definedName>
    <definedName name="Tdin">#N/A</definedName>
    <definedName name="Tdin2">#N/A</definedName>
    <definedName name="Tdin3">#N/A</definedName>
    <definedName name="Tdin4">#N/A</definedName>
    <definedName name="tdl">#REF!</definedName>
    <definedName name="tdnc">[18]gtrinh!#REF!</definedName>
    <definedName name="tdnc1p">#REF!</definedName>
    <definedName name="tdnc3p">#REF!</definedName>
    <definedName name="tds_1060">#REF!</definedName>
    <definedName name="tdt1pnc">[18]gtrinh!#REF!</definedName>
    <definedName name="tdt1pvl">[18]gtrinh!#REF!</definedName>
    <definedName name="tdt2cnc">'[18]lam-moi'!#REF!</definedName>
    <definedName name="tdt2cvl">[18]chitiet!#REF!</definedName>
    <definedName name="tdtr2cnc">#REF!</definedName>
    <definedName name="tdtr2cvl">#REF!</definedName>
    <definedName name="tdtrnc">[18]gtrinh!#REF!</definedName>
    <definedName name="tdtrvl">[18]gtrinh!#REF!</definedName>
    <definedName name="tdvl">[18]gtrinh!#REF!</definedName>
    <definedName name="tdvl1p">#REF!</definedName>
    <definedName name="tdvl3p">#REF!</definedName>
    <definedName name="teak">#REF!</definedName>
    <definedName name="teak.o">#REF!</definedName>
    <definedName name="teak4_3x7">#REF!</definedName>
    <definedName name="teak4_4x8">#REF!</definedName>
    <definedName name="TEAKOIL">#N/A</definedName>
    <definedName name="teakoli">#REF!</definedName>
    <definedName name="teakw3">#REF!</definedName>
    <definedName name="teakw4">'[21]Harga Satuan Bahan'!#REF!</definedName>
    <definedName name="TEAKWOOD">#N/A</definedName>
    <definedName name="teakwpt">#REF!</definedName>
    <definedName name="tebal_dindingplesteran">0.11</definedName>
    <definedName name="teco12">[83]Sheet1!$H$33</definedName>
    <definedName name="teco15">#REF!</definedName>
    <definedName name="tedus">#REF!</definedName>
    <definedName name="Tee__gip__ø_3_4">#REF!</definedName>
    <definedName name="Tee__pvc__ø_2___maspion_D">#REF!</definedName>
    <definedName name="Tee_gip__ø_1_2">#REF!</definedName>
    <definedName name="Tee_pvc__ø_4___maspion_D">#REF!</definedName>
    <definedName name="Teedos_conduit">'[78]Harga Jasa dan Material'!$D$142</definedName>
    <definedName name="teen">#REF!</definedName>
    <definedName name="teer">#REF!</definedName>
    <definedName name="teerresidu">#REF!</definedName>
    <definedName name="Tegel_abu___abu_20_x_20_cm">#REF!</definedName>
    <definedName name="tegel20">#REF!</definedName>
    <definedName name="tegel30">#REF!</definedName>
    <definedName name="tegel40xgelap">#REF!</definedName>
    <definedName name="tegelabu20">#REF!</definedName>
    <definedName name="tegelabu30">#REF!</definedName>
    <definedName name="TEGELKERAMIK">#N/A</definedName>
    <definedName name="TEGELPC">#N/A</definedName>
    <definedName name="TegelPC1520">#REF!</definedName>
    <definedName name="TegelPC20">#REF!</definedName>
    <definedName name="TegelPCAbu1520">#REF!</definedName>
    <definedName name="TegelPCAbu2020">#REF!</definedName>
    <definedName name="TEGELPORSELIN">#N/A</definedName>
    <definedName name="TegelWarna2020">#REF!</definedName>
    <definedName name="tei" hidden="1">{"'Sheet1'!$A$1"}</definedName>
    <definedName name="TeksMasaPelaks">#REF!</definedName>
    <definedName name="TeksMasaPemel">#REF!</definedName>
    <definedName name="tekstur">#REF!</definedName>
    <definedName name="telek">#REF!</definedName>
    <definedName name="telephone">#REF!</definedName>
    <definedName name="Telford">#REF!</definedName>
    <definedName name="Telp">#REF!</definedName>
    <definedName name="TEMBOK_BATA_1_2">#REF!</definedName>
    <definedName name="TEMBOK_BATA_1_3">#REF!</definedName>
    <definedName name="TEMBOK_BATA_1_5">#REF!</definedName>
    <definedName name="TEMBOK_BATAKO">#REF!</definedName>
    <definedName name="TEMP._BUILDING">#REF!</definedName>
    <definedName name="TEMP.ELEC_WATER">#REF!</definedName>
    <definedName name="temp.work">'[122]L-Mechanical'!#REF!</definedName>
    <definedName name="temp10">#REF!</definedName>
    <definedName name="TEMPAT_SABUN">#REF!</definedName>
    <definedName name="TempatSabun">#REF!</definedName>
    <definedName name="tempe">[24]Analisa!#REF!</definedName>
    <definedName name="tempel">#REF!</definedName>
    <definedName name="TEMPELAN_BATU_CANDI">#REF!</definedName>
    <definedName name="TEMPELAN_BATU_PALIMANAN">#REF!</definedName>
    <definedName name="TEMPELAN_PARAS_SARWAGENEP">#REF!</definedName>
    <definedName name="TEMPORARY_WORK">#REF!</definedName>
    <definedName name="tenaga">#REF!</definedName>
    <definedName name="Tenaga_harian_pengendali_lalin_7_org__x_3_bln">#REF!</definedName>
    <definedName name="tenaga2">#REF!</definedName>
    <definedName name="TenagaAtpAsbes">#REF!</definedName>
    <definedName name="tenagalokal" localSheetId="7">[33]H_Dasar!#REF!</definedName>
    <definedName name="tenagalokal">[33]H_Dasar!#REF!</definedName>
    <definedName name="TenagaUsukReng">#REF!</definedName>
    <definedName name="TEORI">#REF!</definedName>
    <definedName name="teqgsp">#REF!</definedName>
    <definedName name="teqpvc10">#REF!</definedName>
    <definedName name="ter" hidden="1">#REF!</definedName>
    <definedName name="teracota">#REF!</definedName>
    <definedName name="terasso">#REF!</definedName>
    <definedName name="terasss">#REF!</definedName>
    <definedName name="terbi">#REF!</definedName>
    <definedName name="terbilang">[3]REK!$B$38</definedName>
    <definedName name="teri">#REF!</definedName>
    <definedName name="terntang">#REF!</definedName>
    <definedName name="Terpn">#REF!</definedName>
    <definedName name="terpt">'[21]Harga Satuan Bahan'!$E$37</definedName>
    <definedName name="TES">#REF!</definedName>
    <definedName name="teslah.1">#REF!</definedName>
    <definedName name="teslah.2">#REF!</definedName>
    <definedName name="teslah.3">#REF!</definedName>
    <definedName name="teslah.4">#REF!</definedName>
    <definedName name="TEST">#REF!</definedName>
    <definedName name="TESTCOM">#REF!</definedName>
    <definedName name="teste">#REF!</definedName>
    <definedName name="testfirealarm">#REF!</definedName>
    <definedName name="testkomac">#REF!</definedName>
    <definedName name="testkomelec">#REF!</definedName>
    <definedName name="testkomfire">#REF!</definedName>
    <definedName name="testkomplum">#REF!</definedName>
    <definedName name="testpile">#REF!</definedName>
    <definedName name="tf">"'file://SERVER3/har-data/STRUCTURE PRICE OF BQ KOMPAS GRAMEDIA.xls'#$analisa.$#REF!$#REF!"</definedName>
    <definedName name="tfyfftrdfrtrfr">#REF!</definedName>
    <definedName name="tg">#REF!</definedName>
    <definedName name="tg.1da">#REF!</definedName>
    <definedName name="tg.1e">#REF!</definedName>
    <definedName name="tg.1f">#REF!</definedName>
    <definedName name="tg.1g">#REF!</definedName>
    <definedName name="tg.2">#REF!</definedName>
    <definedName name="tg.32e">#REF!</definedName>
    <definedName name="tg.33g">#REF!</definedName>
    <definedName name="tg.33i">#REF!</definedName>
    <definedName name="tg.41">#REF!</definedName>
    <definedName name="tg.44">#REF!</definedName>
    <definedName name="tg.50b">#REF!</definedName>
    <definedName name="tg.50k">#REF!</definedName>
    <definedName name="tg.51c">#REF!</definedName>
    <definedName name="tg.56">#REF!</definedName>
    <definedName name="tg.61">#REF!</definedName>
    <definedName name="TG.BTN.101">#REF!</definedName>
    <definedName name="TG.BTN.101B">#REF!</definedName>
    <definedName name="TG.BTN.101E">#REF!</definedName>
    <definedName name="tgali">#REF!</definedName>
    <definedName name="tgb500azrn">#REF!</definedName>
    <definedName name="tgbdk30">'[21]Harga Satuan Bahan'!#REF!</definedName>
    <definedName name="tgbsh20">'[21]Harga Satuan Bahan'!#REF!</definedName>
    <definedName name="tgbsh30">'[21]Harga Satuan Bahan'!#REF!</definedName>
    <definedName name="TGH" hidden="1">{#N/A,#N/A,FALSE,"REK-S-TPL";#N/A,#N/A,FALSE,"REK-TPML";#N/A,#N/A,FALSE,"RAB-TEMPEL"}</definedName>
    <definedName name="tgl">#REF!</definedName>
    <definedName name="Tgl_BAEvaluasi">#REF!</definedName>
    <definedName name="Tgl_BAFisik">#REF!</definedName>
    <definedName name="Tgl_BAPeriksa">#REF!</definedName>
    <definedName name="Tgl_Sertifikat">#REF!</definedName>
    <definedName name="Tgl_SrtEvaluasiCCO">#REF!</definedName>
    <definedName name="Tgl_SrtHasilEvaluasi">#REF!</definedName>
    <definedName name="Tgl_SrtKeputusanCCO">#REF!</definedName>
    <definedName name="Tgl_SrtKeputusanPHO_FHO">#REF!</definedName>
    <definedName name="Tgl_SrtKonsultan">#REF!</definedName>
    <definedName name="Tgl_SrtLapPelakanaanPekerjaan">#REF!</definedName>
    <definedName name="Tgl_SrtPenilaianFHO">#REF!</definedName>
    <definedName name="Tgl_SrtPenilaianPHO">#REF!</definedName>
    <definedName name="Tgl_SrtPenyampaianEvaluasi">#REF!</definedName>
    <definedName name="Tgl_SrtPermhnanCCO">#REF!</definedName>
    <definedName name="Tgl_SrtPermhnanCCO2">#REF!</definedName>
    <definedName name="Tgl_SrtPermhnanFHO">#REF!</definedName>
    <definedName name="Tgl_SrtPermhnanPHO">#REF!</definedName>
    <definedName name="Tgl_SrtPermhnanUM">#REF!</definedName>
    <definedName name="Tgl_SrtPersetujuanCCO">#REF!</definedName>
    <definedName name="Tgl_SrtPersetujuanCCO2">#REF!</definedName>
    <definedName name="TGL_UND">[3]CH!$C$34</definedName>
    <definedName name="Tgl_UndanganRptFHO">#REF!</definedName>
    <definedName name="Tgl_UndanganRptPHO">#REF!</definedName>
    <definedName name="tglabu2020">#REF!</definedName>
    <definedName name="TglAddendum">#REF!</definedName>
    <definedName name="TglCCO">#REF!</definedName>
    <definedName name="TglDIP">#REF!</definedName>
    <definedName name="TglFHO">#REF!</definedName>
    <definedName name="TglKontrak">#REF!</definedName>
    <definedName name="TglPerubRAP">#REF!</definedName>
    <definedName name="TglPHO">#REF!</definedName>
    <definedName name="TglSPMK">#REF!</definedName>
    <definedName name="tglt">[80]DHSD!$G$11</definedName>
    <definedName name="tgpi">#REF!</definedName>
    <definedName name="tgstainlis">#REF!</definedName>
    <definedName name="TGT">#REF!</definedName>
    <definedName name="tgttt">#N/A</definedName>
    <definedName name="tgwafel20">'[21]Harga Satuan Bahan'!#REF!</definedName>
    <definedName name="tgwafel30">'[21]Harga Satuan Bahan'!#REF!</definedName>
    <definedName name="tgwrn20">'[21]Harga Satuan Bahan'!#REF!</definedName>
    <definedName name="tgwrn30">'[21]Harga Satuan Bahan'!#REF!</definedName>
    <definedName name="th" hidden="1">{"'Sheet1'!$A$1"}</definedName>
    <definedName name="th.10">#REF!</definedName>
    <definedName name="th.15">#REF!</definedName>
    <definedName name="th.2">#REF!</definedName>
    <definedName name="th.2a">#REF!</definedName>
    <definedName name="th.6">#REF!</definedName>
    <definedName name="th.6a">#REF!</definedName>
    <definedName name="th.8">#REF!</definedName>
    <definedName name="th.8a">#REF!</definedName>
    <definedName name="th.9">#REF!</definedName>
    <definedName name="th3x15">[18]giathanh1!#REF!</definedName>
    <definedName name="ThanhXuan110">'[193]KH-Q1,Q2,01'!#REF!</definedName>
    <definedName name="theod">#REF!</definedName>
    <definedName name="theodolite">#REF!</definedName>
    <definedName name="ther">#REF!</definedName>
    <definedName name="THGO1pnc">#REF!</definedName>
    <definedName name="thhj" hidden="1">{"'Sheet1'!$A$1"}</definedName>
    <definedName name="thht">#REF!</definedName>
    <definedName name="thin">#REF!</definedName>
    <definedName name="Thina">#REF!</definedName>
    <definedName name="Thinner">#REF!</definedName>
    <definedName name="THKP160">'[18]dongia (2)'!#REF!</definedName>
    <definedName name="thkp3">#REF!</definedName>
    <definedName name="thlalu">#REF!</definedName>
    <definedName name="ThnAnggaran">#REF!</definedName>
    <definedName name="THREEWHEELROLLER">#REF!</definedName>
    <definedName name="thtr15">[18]giathanh1!#REF!</definedName>
    <definedName name="thtrj" hidden="1">{"'Sheet1'!$A$1"}</definedName>
    <definedName name="thtt">#REF!</definedName>
    <definedName name="TI">#REF!</definedName>
    <definedName name="ti.2a">#REF!</definedName>
    <definedName name="tiang">#REF!</definedName>
    <definedName name="Tiang_listrik">#REF!</definedName>
    <definedName name="tiang_panc2020">#REF!</definedName>
    <definedName name="Tiang_Pancang_Pipa_Baja_dia._500_mm">#REF!</definedName>
    <definedName name="TiangPancang">#REF!</definedName>
    <definedName name="TiangPancang_Dr">#REF!</definedName>
    <definedName name="TiangPancang_Fur">#REF!</definedName>
    <definedName name="Tiangpancang3535">#REF!</definedName>
    <definedName name="tiangpancang40">#REF!</definedName>
    <definedName name="Tiangsaka">#REF!</definedName>
    <definedName name="Tiangsakakayu">#REF!</definedName>
    <definedName name="tidak">#REF!</definedName>
    <definedName name="tidf10">#REF!</definedName>
    <definedName name="tidf10_1">#REF!</definedName>
    <definedName name="tidf10_2">#REF!</definedName>
    <definedName name="tidf10_2_1">#REF!</definedName>
    <definedName name="tidf10_2_6">#REF!</definedName>
    <definedName name="tidf10_3">#REF!</definedName>
    <definedName name="tidf10_3_4">#REF!</definedName>
    <definedName name="tidf10_3_6">#REF!</definedName>
    <definedName name="tidf10_3_7">#REF!</definedName>
    <definedName name="tidf10_4">#REF!</definedName>
    <definedName name="tidf10_4_1">#REF!</definedName>
    <definedName name="tidf10_4_2">#REF!</definedName>
    <definedName name="tidf10_4_2_6">#REF!</definedName>
    <definedName name="tidf10_4_4">#REF!</definedName>
    <definedName name="tidf10_4_6">#REF!</definedName>
    <definedName name="tidf10_4_7">#REF!</definedName>
    <definedName name="tidf10_5">#REF!</definedName>
    <definedName name="tidf10_5_2">#REF!</definedName>
    <definedName name="tidf10_5_2_6">#REF!</definedName>
    <definedName name="tidf10_5_4">#REF!</definedName>
    <definedName name="tidf10_5_6">#REF!</definedName>
    <definedName name="tidf10_5_7">#REF!</definedName>
    <definedName name="tidf10_6">#REF!</definedName>
    <definedName name="tidf10_6_1">#REF!</definedName>
    <definedName name="tidf10_6_4">#REF!</definedName>
    <definedName name="tidf10_6_6">#REF!</definedName>
    <definedName name="tidf10_6_7">#REF!</definedName>
    <definedName name="tidf10_7">#REF!</definedName>
    <definedName name="tidf100">#REF!</definedName>
    <definedName name="tidf100_1">#REF!</definedName>
    <definedName name="tidf100_2">#REF!</definedName>
    <definedName name="tidf100_2_1">#REF!</definedName>
    <definedName name="tidf100_2_1_6">#REF!</definedName>
    <definedName name="tidf100_2_6">#REF!</definedName>
    <definedName name="tidf100_2_7">#REF!</definedName>
    <definedName name="tidf100_3">#REF!</definedName>
    <definedName name="tidf100_3_4">#REF!</definedName>
    <definedName name="tidf100_3_6">#REF!</definedName>
    <definedName name="tidf100_3_7">#REF!</definedName>
    <definedName name="tidf100_4">#REF!</definedName>
    <definedName name="tidf100_4_1">#REF!</definedName>
    <definedName name="tidf100_4_2">#REF!</definedName>
    <definedName name="tidf100_4_2_6">#REF!</definedName>
    <definedName name="tidf100_4_4">#REF!</definedName>
    <definedName name="tidf100_4_6">#REF!</definedName>
    <definedName name="tidf100_4_7">#REF!</definedName>
    <definedName name="tidf100_5">#REF!</definedName>
    <definedName name="tidf100_5_2">#REF!</definedName>
    <definedName name="tidf100_5_2_6">#REF!</definedName>
    <definedName name="tidf100_5_4">#REF!</definedName>
    <definedName name="tidf100_5_6">#REF!</definedName>
    <definedName name="tidf100_5_7">#REF!</definedName>
    <definedName name="tidf100_6">#REF!</definedName>
    <definedName name="tidf100_6_1">#REF!</definedName>
    <definedName name="tidf100_6_4">#REF!</definedName>
    <definedName name="tidf100_6_6">#REF!</definedName>
    <definedName name="tidf100_6_7">#REF!</definedName>
    <definedName name="tidf100_7">#REF!</definedName>
    <definedName name="tidf350">#REF!</definedName>
    <definedName name="tidf350_1">#REF!</definedName>
    <definedName name="tidf350_2">#REF!</definedName>
    <definedName name="tidf350_2_1">#REF!</definedName>
    <definedName name="tidf350_2_1_6">#REF!</definedName>
    <definedName name="tidf350_2_6">#REF!</definedName>
    <definedName name="tidf350_2_7">#REF!</definedName>
    <definedName name="tidf350_3">#REF!</definedName>
    <definedName name="tidf350_3_4">#REF!</definedName>
    <definedName name="tidf350_3_6">#REF!</definedName>
    <definedName name="tidf350_3_7">#REF!</definedName>
    <definedName name="tidf350_4">#REF!</definedName>
    <definedName name="tidf350_4_1">#REF!</definedName>
    <definedName name="tidf350_4_2">#REF!</definedName>
    <definedName name="tidf350_4_2_6">#REF!</definedName>
    <definedName name="tidf350_4_4">#REF!</definedName>
    <definedName name="tidf350_4_6">#REF!</definedName>
    <definedName name="tidf350_4_7">#REF!</definedName>
    <definedName name="tidf350_5">#REF!</definedName>
    <definedName name="tidf350_5_2">#REF!</definedName>
    <definedName name="tidf350_5_2_6">#REF!</definedName>
    <definedName name="tidf350_5_4">#REF!</definedName>
    <definedName name="tidf350_5_6">#REF!</definedName>
    <definedName name="tidf350_5_7">#REF!</definedName>
    <definedName name="tidf350_6">#REF!</definedName>
    <definedName name="tidf350_6_1">#REF!</definedName>
    <definedName name="tidf350_6_4">#REF!</definedName>
    <definedName name="tidf350_6_6">#REF!</definedName>
    <definedName name="tidf350_6_7">#REF!</definedName>
    <definedName name="tidf350_7">#REF!</definedName>
    <definedName name="TIE">#REF!</definedName>
    <definedName name="TIE.BM.101">#REF!</definedName>
    <definedName name="TIE.BM.101B">#REF!</definedName>
    <definedName name="TIE.BM.101E">#REF!</definedName>
    <definedName name="TIE.BM.102">#REF!</definedName>
    <definedName name="TIE.BM.102B">#REF!</definedName>
    <definedName name="TIE.BM.102E">#REF!</definedName>
    <definedName name="TIE.BM.103">#REF!</definedName>
    <definedName name="TIE.BM.103B">#REF!</definedName>
    <definedName name="TIE.BM.103E">#REF!</definedName>
    <definedName name="TIE.BM.104">#REF!</definedName>
    <definedName name="TIE.BM.104B">#REF!</definedName>
    <definedName name="TIE.BM.104E">#REF!</definedName>
    <definedName name="TIE.BM.105">#REF!</definedName>
    <definedName name="TIE.BM.105B">#REF!</definedName>
    <definedName name="TIE.BM.105E">#REF!</definedName>
    <definedName name="tie_rod">#REF!</definedName>
    <definedName name="Tiepdia">#REF!</definedName>
    <definedName name="tiga">#REF!</definedName>
    <definedName name="TIKET">#REF!</definedName>
    <definedName name="TIM_CCO1">#REF!</definedName>
    <definedName name="TIM_CCO2">#REF!</definedName>
    <definedName name="TIM_CCO3">#REF!</definedName>
    <definedName name="TIM_CCO4">#REF!</definedName>
    <definedName name="TIM_CCO5">#REF!</definedName>
    <definedName name="TIM_CCO6">#REF!</definedName>
    <definedName name="TIM_CCO7">#REF!</definedName>
    <definedName name="TIM_PHO_FHO1">#REF!</definedName>
    <definedName name="TIM_PHO_FHO2">#REF!</definedName>
    <definedName name="TIM_PHO_FHO3">#REF!</definedName>
    <definedName name="TIM_PHO_FHO4">#REF!</definedName>
    <definedName name="TIM_PHO_FHO5">#REF!</definedName>
    <definedName name="TIM_PHO_FHO6">#REF!</definedName>
    <definedName name="TIM_PHO_FHO7">#REF!</definedName>
    <definedName name="timah_patri">#REF!</definedName>
    <definedName name="Timb.Biasa">#REF!</definedName>
    <definedName name="timbdat">#REF!</definedName>
    <definedName name="TIMBUN">#REF!</definedName>
    <definedName name="TIMBUNAN">#REF!</definedName>
    <definedName name="TimbunanBatuGunungDiratakan">#REF!</definedName>
    <definedName name="timbunanpasir">#REF!</definedName>
    <definedName name="timbunantanah">#REF!</definedName>
    <definedName name="TimbunanTanahPasirKembaliDiratakan">#REF!</definedName>
    <definedName name="timdat">#REF!</definedName>
    <definedName name="time">[181]Meth!#REF!</definedName>
    <definedName name="tin">#REF!</definedName>
    <definedName name="TINER">#REF!</definedName>
    <definedName name="tiner.sg">#REF!</definedName>
    <definedName name="tinggi">#REF!</definedName>
    <definedName name="Tinggi_Bata">3.1</definedName>
    <definedName name="tinggi_pasanganbatu">#REF!</definedName>
    <definedName name="tinggi_pasbatu">#REF!</definedName>
    <definedName name="tinggilantai1">#REF!</definedName>
    <definedName name="tipar">#REF!</definedName>
    <definedName name="tiptank">#REF!</definedName>
    <definedName name="TIR">#REF!</definedName>
    <definedName name="tire">#REF!</definedName>
    <definedName name="Tire_Roller">#REF!</definedName>
    <definedName name="TIREROLLER">#REF!</definedName>
    <definedName name="tirol">#REF!</definedName>
    <definedName name="titik">#REF!</definedName>
    <definedName name="Titik_lampu">#REF!</definedName>
    <definedName name="Titik_Pancang">#REF!</definedName>
    <definedName name="titiklampu">#REF!</definedName>
    <definedName name="titiklamput">#REF!</definedName>
    <definedName name="titip">#REF!</definedName>
    <definedName name="titipan">#REF!</definedName>
    <definedName name="title">#REF!</definedName>
    <definedName name="tiul">[80]DHSD!$G$28</definedName>
    <definedName name="tj" hidden="1">{#N/A,#N/A,FALSE,"REK";#N/A,#N/A,FALSE,"Bq-ARS"}</definedName>
    <definedName name="tjj" hidden="1">{"'Sheet1'!$A$1"}</definedName>
    <definedName name="TJMP">#REF!</definedName>
    <definedName name="tjtj">#REF!</definedName>
    <definedName name="tjuu" hidden="1">{"'Sheet1'!$A$1"}</definedName>
    <definedName name="tk">#REF!</definedName>
    <definedName name="tk.batu">#REF!</definedName>
    <definedName name="tk.batut">#REF!</definedName>
    <definedName name="tk.besi">#REF!</definedName>
    <definedName name="tk.besit">#REF!</definedName>
    <definedName name="tk.bs">#REF!</definedName>
    <definedName name="tk.bt">#REF!</definedName>
    <definedName name="tk.c">#REF!</definedName>
    <definedName name="tk.catt">#REF!</definedName>
    <definedName name="Tk.Gali">#REF!</definedName>
    <definedName name="tk.kayu">#REF!</definedName>
    <definedName name="tk.kayut">#REF!</definedName>
    <definedName name="tk.ky">#REF!</definedName>
    <definedName name="tk.l">#REF!</definedName>
    <definedName name="tk.Ls">#REF!</definedName>
    <definedName name="TK_01">#REF!</definedName>
    <definedName name="TK_01A">#REF!</definedName>
    <definedName name="TK_03">#REF!</definedName>
    <definedName name="TK_03A">#REF!</definedName>
    <definedName name="TK_03B">#REF!</definedName>
    <definedName name="TK_04">#REF!</definedName>
    <definedName name="TK_04A">#REF!</definedName>
    <definedName name="TK_04B">#REF!</definedName>
    <definedName name="TK_04C">#REF!</definedName>
    <definedName name="TK_05">#REF!</definedName>
    <definedName name="TK_05A">#REF!</definedName>
    <definedName name="TK_05B">#REF!</definedName>
    <definedName name="TK_06">#REF!</definedName>
    <definedName name="TK_06A">#REF!</definedName>
    <definedName name="TK_07">#REF!</definedName>
    <definedName name="TK_08">#REF!</definedName>
    <definedName name="TK_09">#REF!</definedName>
    <definedName name="TK_09A">#REF!</definedName>
    <definedName name="TK_10">#REF!</definedName>
    <definedName name="TK_12">#REF!</definedName>
    <definedName name="TK_13">#REF!</definedName>
    <definedName name="tk_batu">#REF!</definedName>
    <definedName name="tk_besi">#REF!</definedName>
    <definedName name="TK_BS">#REF!</definedName>
    <definedName name="TK_BT">#REF!</definedName>
    <definedName name="tk_cat">#REF!</definedName>
    <definedName name="tk_cor_19">"'file:///media/sda2/nUGerOHo/@PROJECT/GRAHA SANTIKA-MEDAN/bcts/Graha Santika Medan/Perhitungan/Perhitungan Tender/BQ/RAB TERPAKAI/BQ Graha Utomo ( DC revisi  penawaran REAL new ).xls'#$harsat.$#REF!$#REF!"</definedName>
    <definedName name="TK_GL">#REF!</definedName>
    <definedName name="tk_kayu">#REF!</definedName>
    <definedName name="TK_KRM">#REF!</definedName>
    <definedName name="TK_KY">#REF!</definedName>
    <definedName name="tkacat">#REF!</definedName>
    <definedName name="tkal">#REF!</definedName>
    <definedName name="TKayu">#REF!</definedName>
    <definedName name="tkb">#REF!</definedName>
    <definedName name="tkbatu">#REF!</definedName>
    <definedName name="tkbesi">#REF!</definedName>
    <definedName name="tkbs">#REF!</definedName>
    <definedName name="tkc">#REF!</definedName>
    <definedName name="TKCAT">#REF!</definedName>
    <definedName name="tkfoto">#REF!</definedName>
    <definedName name="tkg">#REF!</definedName>
    <definedName name="tkg_listrik">'[78]Harga Jasa dan Material'!$D$21</definedName>
    <definedName name="tkg_pipa">'[78]Harga Jasa dan Material'!$D$19</definedName>
    <definedName name="tkgambar">#REF!</definedName>
    <definedName name="tkgambarbln">#REF!</definedName>
    <definedName name="tkgcat">#REF!</definedName>
    <definedName name="tkgkayu">#REF!</definedName>
    <definedName name="tkgky">#REF!</definedName>
    <definedName name="tkglas1">#REF!</definedName>
    <definedName name="TKH">#REF!</definedName>
    <definedName name="tki">#REF!</definedName>
    <definedName name="tki_1">#REF!</definedName>
    <definedName name="tki_2">#REF!</definedName>
    <definedName name="tki_2_1">#REF!</definedName>
    <definedName name="tki_2_1_6">#REF!</definedName>
    <definedName name="tki_2_6">#REF!</definedName>
    <definedName name="tki_3">#REF!</definedName>
    <definedName name="tki_3_4">#REF!</definedName>
    <definedName name="tki_3_6">#REF!</definedName>
    <definedName name="tki_3_7">#REF!</definedName>
    <definedName name="tki_4">#REF!</definedName>
    <definedName name="tki_4_1">#REF!</definedName>
    <definedName name="tki_4_2">#REF!</definedName>
    <definedName name="tki_4_2_6">#REF!</definedName>
    <definedName name="tki_4_4">#REF!</definedName>
    <definedName name="tki_4_6">#REF!</definedName>
    <definedName name="tki_4_7">#REF!</definedName>
    <definedName name="tki_5">#REF!</definedName>
    <definedName name="tki_5_2">#REF!</definedName>
    <definedName name="tki_5_2_6">#REF!</definedName>
    <definedName name="tki_5_4">#REF!</definedName>
    <definedName name="tki_5_6">#REF!</definedName>
    <definedName name="tki_5_7">#REF!</definedName>
    <definedName name="tki_6">#REF!</definedName>
    <definedName name="tki_6_1">#REF!</definedName>
    <definedName name="tki_6_4">#REF!</definedName>
    <definedName name="tki_6_6">#REF!</definedName>
    <definedName name="tki_6_7">#REF!</definedName>
    <definedName name="tki_7">#REF!</definedName>
    <definedName name="tkitc10x2x0.6">#REF!</definedName>
    <definedName name="tkitc10x2x0.6_1">#REF!</definedName>
    <definedName name="tkitc10x2x0.6_2">#REF!</definedName>
    <definedName name="tkitc10x2x0.6_2_1">#REF!</definedName>
    <definedName name="tkitc10x2x0.6_2_1_6">#REF!</definedName>
    <definedName name="tkitc10x2x0.6_2_6">#REF!</definedName>
    <definedName name="tkitc10x2x0.6_3">#REF!</definedName>
    <definedName name="tkitc10x2x0.6_3_4">#REF!</definedName>
    <definedName name="tkitc10x2x0.6_3_6">#REF!</definedName>
    <definedName name="tkitc10x2x0.6_3_7">#REF!</definedName>
    <definedName name="tkitc10x2x0.6_4">#REF!</definedName>
    <definedName name="tkitc10x2x0.6_4_1">#REF!</definedName>
    <definedName name="tkitc10x2x0.6_4_2">#REF!</definedName>
    <definedName name="tkitc10x2x0.6_4_2_6">#REF!</definedName>
    <definedName name="tkitc10x2x0.6_4_4">#REF!</definedName>
    <definedName name="tkitc10x2x0.6_4_6">#REF!</definedName>
    <definedName name="tkitc10x2x0.6_4_7">#REF!</definedName>
    <definedName name="tkitc10x2x0.6_5">#REF!</definedName>
    <definedName name="tkitc10x2x0.6_5_2">#REF!</definedName>
    <definedName name="tkitc10x2x0.6_5_2_6">#REF!</definedName>
    <definedName name="tkitc10x2x0.6_5_4">#REF!</definedName>
    <definedName name="tkitc10x2x0.6_5_6">#REF!</definedName>
    <definedName name="tkitc10x2x0.6_5_7">#REF!</definedName>
    <definedName name="tkitc10x2x0.6_6">#REF!</definedName>
    <definedName name="tkitc10x2x0.6_6_1">#REF!</definedName>
    <definedName name="tkitc10x2x0.6_6_4">#REF!</definedName>
    <definedName name="tkitc10x2x0.6_6_6">#REF!</definedName>
    <definedName name="tkitc10x2x0.6_6_7">#REF!</definedName>
    <definedName name="tkitc10x2x0.6_7">#REF!</definedName>
    <definedName name="tkj">[160]HSD!$H$47</definedName>
    <definedName name="TKK">#REF!</definedName>
    <definedName name="tkkayu">#REF!</definedName>
    <definedName name="tklas">#REF!</definedName>
    <definedName name="tklistrk">#REF!</definedName>
    <definedName name="TKNGBESI">#REF!</definedName>
    <definedName name="TKNGCAT">#REF!</definedName>
    <definedName name="TKNGLAS">#REF!</definedName>
    <definedName name="tkpipa">#REF!</definedName>
    <definedName name="TKPIPALEDENG">#REF!</definedName>
    <definedName name="TKR">#REF!</definedName>
    <definedName name="TKRK">#REF!</definedName>
    <definedName name="tkset">#REF!</definedName>
    <definedName name="tkt">'[21]Harga Satuan Bahan'!#REF!</definedName>
    <definedName name="tky">#REF!</definedName>
    <definedName name="TL">#REF!</definedName>
    <definedName name="tl.2x">#REF!</definedName>
    <definedName name="tl1x18b">#REF!</definedName>
    <definedName name="tl1x18bnb">#REF!</definedName>
    <definedName name="tl1x18ep">#REF!</definedName>
    <definedName name="tl1x18gmsnb">#REF!</definedName>
    <definedName name="tl1x18tki">#REF!</definedName>
    <definedName name="tl1x18tkinb">#REF!</definedName>
    <definedName name="tl1x18tko">#REF!</definedName>
    <definedName name="tl1x18tkonb">#REF!</definedName>
    <definedName name="tl1x20">#REF!</definedName>
    <definedName name="tl1x36b">#REF!</definedName>
    <definedName name="tl1x36bimc">#REF!</definedName>
    <definedName name="tl1x36bimc_1">#REF!</definedName>
    <definedName name="tl1x36bimc_2">#REF!</definedName>
    <definedName name="tl1x36bimc_2_1">#REF!</definedName>
    <definedName name="tl1x36bimc_2_1_6">#REF!</definedName>
    <definedName name="tl1x36bimc_2_6">#REF!</definedName>
    <definedName name="tl1x36bimc_2_7">#REF!</definedName>
    <definedName name="tl1x36bimc_3">#REF!</definedName>
    <definedName name="tl1x36bimc_3_4">#REF!</definedName>
    <definedName name="tl1x36bimc_3_6">#REF!</definedName>
    <definedName name="tl1x36bimc_3_7">#REF!</definedName>
    <definedName name="tl1x36bimc_4">#REF!</definedName>
    <definedName name="tl1x36bimc_4_1">#REF!</definedName>
    <definedName name="tl1x36bimc_4_2">#REF!</definedName>
    <definedName name="tl1x36bimc_4_2_6">#REF!</definedName>
    <definedName name="tl1x36bimc_4_4">#REF!</definedName>
    <definedName name="tl1x36bimc_4_6">#REF!</definedName>
    <definedName name="tl1x36bimc_4_7">#REF!</definedName>
    <definedName name="tl1x36bimc_5">#REF!</definedName>
    <definedName name="tl1x36bimc_5_2">#REF!</definedName>
    <definedName name="tl1x36bimc_5_2_6">#REF!</definedName>
    <definedName name="tl1x36bimc_5_4">#REF!</definedName>
    <definedName name="tl1x36bimc_5_6">#REF!</definedName>
    <definedName name="tl1x36bimc_5_7">#REF!</definedName>
    <definedName name="tl1x36bimc_6">#REF!</definedName>
    <definedName name="tl1x36bimc_6_1">#REF!</definedName>
    <definedName name="tl1x36bimc_6_4">#REF!</definedName>
    <definedName name="tl1x36bimc_6_6">#REF!</definedName>
    <definedName name="tl1x36bimc_6_7">#REF!</definedName>
    <definedName name="tl1x36bimc_7">#REF!</definedName>
    <definedName name="tl1x36bnb">#REF!</definedName>
    <definedName name="tl1x36gmsnb">#REF!</definedName>
    <definedName name="tl1x36tbs">#REF!</definedName>
    <definedName name="tl1x36tbsnb">#REF!</definedName>
    <definedName name="tl1x36tki">#REF!</definedName>
    <definedName name="tl1x36tkinb">#REF!</definedName>
    <definedName name="tl1x36tko">#REF!</definedName>
    <definedName name="tl1x36tkonb">#REF!</definedName>
    <definedName name="tl1x40">#REF!</definedName>
    <definedName name="TL20WATT">#N/A</definedName>
    <definedName name="tl2x18tbsm2">#REF!</definedName>
    <definedName name="tl2x20">#REF!</definedName>
    <definedName name="tl2x36tbs">#REF!</definedName>
    <definedName name="tl2x36tbsnb">#REF!</definedName>
    <definedName name="tl2x36tki">#REF!</definedName>
    <definedName name="tl2x36tkinb">#REF!</definedName>
    <definedName name="tl2x36tko">#REF!</definedName>
    <definedName name="tl2x36tkonb">#REF!</definedName>
    <definedName name="TL40WATT">#N/A</definedName>
    <definedName name="tla2x18iac">#REF!</definedName>
    <definedName name="tla2x18iac_1">#REF!</definedName>
    <definedName name="tla2x18iac_2">#REF!</definedName>
    <definedName name="tla2x18iac_2_1">#REF!</definedName>
    <definedName name="tla2x18iac_2_1_6">#REF!</definedName>
    <definedName name="tla2x18iac_2_6">#REF!</definedName>
    <definedName name="tla2x18iac_2_7">#REF!</definedName>
    <definedName name="tla2x18iac_3">#REF!</definedName>
    <definedName name="tla2x18iac_3_4">#REF!</definedName>
    <definedName name="tla2x18iac_3_6">#REF!</definedName>
    <definedName name="tla2x18iac_3_7">#REF!</definedName>
    <definedName name="tla2x18iac_4">#REF!</definedName>
    <definedName name="tla2x18iac_4_1">#REF!</definedName>
    <definedName name="tla2x18iac_4_2">#REF!</definedName>
    <definedName name="tla2x18iac_4_2_6">#REF!</definedName>
    <definedName name="tla2x18iac_4_4">#REF!</definedName>
    <definedName name="tla2x18iac_4_6">#REF!</definedName>
    <definedName name="tla2x18iac_4_7">#REF!</definedName>
    <definedName name="tla2x18iac_5">#REF!</definedName>
    <definedName name="tla2x18iac_5_2">#REF!</definedName>
    <definedName name="tla2x18iac_5_2_6">#REF!</definedName>
    <definedName name="tla2x18iac_5_4">#REF!</definedName>
    <definedName name="tla2x18iac_5_6">#REF!</definedName>
    <definedName name="tla2x18iac_5_7">#REF!</definedName>
    <definedName name="tla2x18iac_6">#REF!</definedName>
    <definedName name="tla2x18iac_6_1">#REF!</definedName>
    <definedName name="tla2x18iac_6_4">#REF!</definedName>
    <definedName name="tla2x18iac_6_6">#REF!</definedName>
    <definedName name="tla2x18iac_6_7">#REF!</definedName>
    <definedName name="tla2x18iac_7">#REF!</definedName>
    <definedName name="tla2x18iacbimc">#REF!</definedName>
    <definedName name="tla2x18iacbimc_1">#REF!</definedName>
    <definedName name="tla2x18iacbimc_2">#REF!</definedName>
    <definedName name="tla2x18iacbimc_2_1">#REF!</definedName>
    <definedName name="tla2x18iacbimc_2_1_6">#REF!</definedName>
    <definedName name="tla2x18iacbimc_2_6">#REF!</definedName>
    <definedName name="tla2x18iacbimc_2_7">#REF!</definedName>
    <definedName name="tla2x18iacbimc_3">#REF!</definedName>
    <definedName name="tla2x18iacbimc_3_4">#REF!</definedName>
    <definedName name="tla2x18iacbimc_3_6">#REF!</definedName>
    <definedName name="tla2x18iacbimc_3_7">#REF!</definedName>
    <definedName name="tla2x18iacbimc_4">#REF!</definedName>
    <definedName name="tla2x18iacbimc_4_1">#REF!</definedName>
    <definedName name="tla2x18iacbimc_4_2">#REF!</definedName>
    <definedName name="tla2x18iacbimc_4_2_6">#REF!</definedName>
    <definedName name="tla2x18iacbimc_4_4">#REF!</definedName>
    <definedName name="tla2x18iacbimc_4_6">#REF!</definedName>
    <definedName name="tla2x18iacbimc_4_7">#REF!</definedName>
    <definedName name="tla2x18iacbimc_5">#REF!</definedName>
    <definedName name="tla2x18iacbimc_5_2">#REF!</definedName>
    <definedName name="tla2x18iacbimc_5_2_6">#REF!</definedName>
    <definedName name="tla2x18iacbimc_5_4">#REF!</definedName>
    <definedName name="tla2x18iacbimc_5_6">#REF!</definedName>
    <definedName name="tla2x18iacbimc_5_7">#REF!</definedName>
    <definedName name="tla2x18iacbimc_6">#REF!</definedName>
    <definedName name="tla2x18iacbimc_6_1">#REF!</definedName>
    <definedName name="tla2x18iacbimc_6_4">#REF!</definedName>
    <definedName name="tla2x18iacbimc_6_6">#REF!</definedName>
    <definedName name="tla2x18iacbimc_6_7">#REF!</definedName>
    <definedName name="tla2x18iacbimc_7">#REF!</definedName>
    <definedName name="TLAC120">#REF!</definedName>
    <definedName name="TLAC35">#REF!</definedName>
    <definedName name="TLAC50">#REF!</definedName>
    <definedName name="TLAC70">#REF!</definedName>
    <definedName name="TLAC95">#REF!</definedName>
    <definedName name="TLAMP_DO3">#N/A</definedName>
    <definedName name="tlb1x18">#REF!</definedName>
    <definedName name="tlb1x18_1">#REF!</definedName>
    <definedName name="tlb1x18_2">#REF!</definedName>
    <definedName name="tlb1x18_2_1">#REF!</definedName>
    <definedName name="tlb1x18_2_1_6">#REF!</definedName>
    <definedName name="tlb1x18_2_6">#REF!</definedName>
    <definedName name="tlb1x18_2_7">#REF!</definedName>
    <definedName name="tlb1x18_3">#REF!</definedName>
    <definedName name="tlb1x18_3_4">#REF!</definedName>
    <definedName name="tlb1x18_3_6">#REF!</definedName>
    <definedName name="tlb1x18_3_7">#REF!</definedName>
    <definedName name="tlb1x18_4">#REF!</definedName>
    <definedName name="tlb1x18_4_1">#REF!</definedName>
    <definedName name="tlb1x18_4_2">#REF!</definedName>
    <definedName name="tlb1x18_4_2_6">#REF!</definedName>
    <definedName name="tlb1x18_4_4">#REF!</definedName>
    <definedName name="tlb1x18_4_6">#REF!</definedName>
    <definedName name="tlb1x18_4_7">#REF!</definedName>
    <definedName name="tlb1x18_5">#REF!</definedName>
    <definedName name="tlb1x18_5_2">#REF!</definedName>
    <definedName name="tlb1x18_5_2_6">#REF!</definedName>
    <definedName name="tlb1x18_5_4">#REF!</definedName>
    <definedName name="tlb1x18_5_6">#REF!</definedName>
    <definedName name="tlb1x18_5_7">#REF!</definedName>
    <definedName name="tlb1x18_6">#REF!</definedName>
    <definedName name="tlb1x18_6_1">#REF!</definedName>
    <definedName name="tlb1x18_6_4">#REF!</definedName>
    <definedName name="tlb1x18_6_6">#REF!</definedName>
    <definedName name="tlb1x18_6_7">#REF!</definedName>
    <definedName name="tlb1x18_7">#REF!</definedName>
    <definedName name="tlb1x36">#REF!</definedName>
    <definedName name="tlb1x36_1">#REF!</definedName>
    <definedName name="tlb1x36_2">#REF!</definedName>
    <definedName name="tlb1x36_2_1">#REF!</definedName>
    <definedName name="tlb1x36_2_1_6">#REF!</definedName>
    <definedName name="tlb1x36_2_6">#REF!</definedName>
    <definedName name="tlb1x36_2_7">#REF!</definedName>
    <definedName name="tlb1x36_3">#REF!</definedName>
    <definedName name="tlb1x36_3_4">#REF!</definedName>
    <definedName name="tlb1x36_3_6">#REF!</definedName>
    <definedName name="tlb1x36_3_7">#REF!</definedName>
    <definedName name="tlb1x36_4">#REF!</definedName>
    <definedName name="tlb1x36_4_1">#REF!</definedName>
    <definedName name="tlb1x36_4_2">#REF!</definedName>
    <definedName name="tlb1x36_4_2_6">#REF!</definedName>
    <definedName name="tlb1x36_4_4">#REF!</definedName>
    <definedName name="tlb1x36_4_6">#REF!</definedName>
    <definedName name="tlb1x36_4_7">#REF!</definedName>
    <definedName name="tlb1x36_5">#REF!</definedName>
    <definedName name="tlb1x36_5_2">#REF!</definedName>
    <definedName name="tlb1x36_5_2_6">#REF!</definedName>
    <definedName name="tlb1x36_5_4">#REF!</definedName>
    <definedName name="tlb1x36_5_6">#REF!</definedName>
    <definedName name="tlb1x36_5_7">#REF!</definedName>
    <definedName name="tlb1x36_6">#REF!</definedName>
    <definedName name="tlb1x36_6_1">#REF!</definedName>
    <definedName name="tlb1x36_6_4">#REF!</definedName>
    <definedName name="tlb1x36_6_6">#REF!</definedName>
    <definedName name="tlb1x36_6_7">#REF!</definedName>
    <definedName name="tlb1x36_7">#REF!</definedName>
    <definedName name="tlb1x36bimc">#REF!</definedName>
    <definedName name="tlb1x36bimc_1">#REF!</definedName>
    <definedName name="tlb1x36bimc_2">#REF!</definedName>
    <definedName name="tlb1x36bimc_2_1">#REF!</definedName>
    <definedName name="tlb1x36bimc_2_1_6">#REF!</definedName>
    <definedName name="tlb1x36bimc_2_6">#REF!</definedName>
    <definedName name="tlb1x36bimc_2_7">#REF!</definedName>
    <definedName name="tlb1x36bimc_3">#REF!</definedName>
    <definedName name="tlb1x36bimc_3_4">#REF!</definedName>
    <definedName name="tlb1x36bimc_3_6">#REF!</definedName>
    <definedName name="tlb1x36bimc_3_7">#REF!</definedName>
    <definedName name="tlb1x36bimc_4">#REF!</definedName>
    <definedName name="tlb1x36bimc_4_1">#REF!</definedName>
    <definedName name="tlb1x36bimc_4_2">#REF!</definedName>
    <definedName name="tlb1x36bimc_4_2_6">#REF!</definedName>
    <definedName name="tlb1x36bimc_4_4">#REF!</definedName>
    <definedName name="tlb1x36bimc_4_6">#REF!</definedName>
    <definedName name="tlb1x36bimc_4_7">#REF!</definedName>
    <definedName name="tlb1x36bimc_5">#REF!</definedName>
    <definedName name="tlb1x36bimc_5_2">#REF!</definedName>
    <definedName name="tlb1x36bimc_5_2_6">#REF!</definedName>
    <definedName name="tlb1x36bimc_5_4">#REF!</definedName>
    <definedName name="tlb1x36bimc_5_6">#REF!</definedName>
    <definedName name="tlb1x36bimc_5_7">#REF!</definedName>
    <definedName name="tlb1x36bimc_6">#REF!</definedName>
    <definedName name="tlb1x36bimc_6_1">#REF!</definedName>
    <definedName name="tlb1x36bimc_6_4">#REF!</definedName>
    <definedName name="tlb1x36bimc_6_6">#REF!</definedName>
    <definedName name="tlb1x36bimc_6_7">#REF!</definedName>
    <definedName name="tlb1x36bimc_7">#REF!</definedName>
    <definedName name="tlb1x36w">#REF!</definedName>
    <definedName name="tlb1x36w_1">#REF!</definedName>
    <definedName name="tlb1x36w_2">#REF!</definedName>
    <definedName name="tlb1x36w_2_1">#REF!</definedName>
    <definedName name="tlb1x36w_2_1_6">#REF!</definedName>
    <definedName name="tlb1x36w_2_6">#REF!</definedName>
    <definedName name="tlb1x36w_2_7">#REF!</definedName>
    <definedName name="tlb1x36w_3">#REF!</definedName>
    <definedName name="tlb1x36w_3_4">#REF!</definedName>
    <definedName name="tlb1x36w_3_6">#REF!</definedName>
    <definedName name="tlb1x36w_3_7">#REF!</definedName>
    <definedName name="tlb1x36w_4">#REF!</definedName>
    <definedName name="tlb1x36w_4_1">#REF!</definedName>
    <definedName name="tlb1x36w_4_2">#REF!</definedName>
    <definedName name="tlb1x36w_4_2_6">#REF!</definedName>
    <definedName name="tlb1x36w_4_4">#REF!</definedName>
    <definedName name="tlb1x36w_4_6">#REF!</definedName>
    <definedName name="tlb1x36w_4_7">#REF!</definedName>
    <definedName name="tlb1x36w_5">#REF!</definedName>
    <definedName name="tlb1x36w_5_2">#REF!</definedName>
    <definedName name="tlb1x36w_5_2_6">#REF!</definedName>
    <definedName name="tlb1x36w_5_4">#REF!</definedName>
    <definedName name="tlb1x36w_5_6">#REF!</definedName>
    <definedName name="tlb1x36w_5_7">#REF!</definedName>
    <definedName name="tlb1x36w_6">#REF!</definedName>
    <definedName name="tlb1x36w_6_1">#REF!</definedName>
    <definedName name="tlb1x36w_6_4">#REF!</definedName>
    <definedName name="tlb1x36w_6_6">#REF!</definedName>
    <definedName name="tlb1x36w_6_7">#REF!</definedName>
    <definedName name="tlb1x36w_7">#REF!</definedName>
    <definedName name="tlbjls40">#REF!</definedName>
    <definedName name="tlbk1x36">#REF!</definedName>
    <definedName name="tlbk1x36_1">#REF!</definedName>
    <definedName name="tlbk1x36_2">#REF!</definedName>
    <definedName name="tlbk1x36_2_1">#REF!</definedName>
    <definedName name="tlbk1x36_2_1_6">#REF!</definedName>
    <definedName name="tlbk1x36_2_6">#REF!</definedName>
    <definedName name="tlbk1x36_2_7">#REF!</definedName>
    <definedName name="tlbk1x36_3">#REF!</definedName>
    <definedName name="tlbk1x36_3_4">#REF!</definedName>
    <definedName name="tlbk1x36_3_6">#REF!</definedName>
    <definedName name="tlbk1x36_3_7">#REF!</definedName>
    <definedName name="tlbk1x36_4">#REF!</definedName>
    <definedName name="tlbk1x36_4_1">#REF!</definedName>
    <definedName name="tlbk1x36_4_2">#REF!</definedName>
    <definedName name="tlbk1x36_4_2_6">#REF!</definedName>
    <definedName name="tlbk1x36_4_4">#REF!</definedName>
    <definedName name="tlbk1x36_4_6">#REF!</definedName>
    <definedName name="tlbk1x36_4_7">#REF!</definedName>
    <definedName name="tlbk1x36_5">#REF!</definedName>
    <definedName name="tlbk1x36_5_2">#REF!</definedName>
    <definedName name="tlbk1x36_5_2_6">#REF!</definedName>
    <definedName name="tlbk1x36_5_4">#REF!</definedName>
    <definedName name="tlbk1x36_5_6">#REF!</definedName>
    <definedName name="tlbk1x36_5_7">#REF!</definedName>
    <definedName name="tlbk1x36_6">#REF!</definedName>
    <definedName name="tlbk1x36_6_1">#REF!</definedName>
    <definedName name="tlbk1x36_6_4">#REF!</definedName>
    <definedName name="tlbk1x36_6_6">#REF!</definedName>
    <definedName name="tlbk1x36_6_7">#REF!</definedName>
    <definedName name="tlbk1x36_7">#REF!</definedName>
    <definedName name="tlbvs2x18">#REF!</definedName>
    <definedName name="tlbvs2x18_1">#REF!</definedName>
    <definedName name="tlbvs2x18_2">#REF!</definedName>
    <definedName name="tlbvs2x18_2_1">#REF!</definedName>
    <definedName name="tlbvs2x18_2_1_6">#REF!</definedName>
    <definedName name="tlbvs2x18_2_6">#REF!</definedName>
    <definedName name="tlbvs2x18_2_7">#REF!</definedName>
    <definedName name="tlbvs2x18_3">#REF!</definedName>
    <definedName name="tlbvs2x18_3_4">#REF!</definedName>
    <definedName name="tlbvs2x18_3_6">#REF!</definedName>
    <definedName name="tlbvs2x18_3_7">#REF!</definedName>
    <definedName name="tlbvs2x18_4">#REF!</definedName>
    <definedName name="tlbvs2x18_4_1">#REF!</definedName>
    <definedName name="tlbvs2x18_4_2">#REF!</definedName>
    <definedName name="tlbvs2x18_4_2_6">#REF!</definedName>
    <definedName name="tlbvs2x18_4_4">#REF!</definedName>
    <definedName name="tlbvs2x18_4_6">#REF!</definedName>
    <definedName name="tlbvs2x18_4_7">#REF!</definedName>
    <definedName name="tlbvs2x18_5">#REF!</definedName>
    <definedName name="tlbvs2x18_5_2">#REF!</definedName>
    <definedName name="tlbvs2x18_5_2_6">#REF!</definedName>
    <definedName name="tlbvs2x18_5_4">#REF!</definedName>
    <definedName name="tlbvs2x18_5_6">#REF!</definedName>
    <definedName name="tlbvs2x18_5_7">#REF!</definedName>
    <definedName name="tlbvs2x18_6">#REF!</definedName>
    <definedName name="tlbvs2x18_6_1">#REF!</definedName>
    <definedName name="tlbvs2x18_6_4">#REF!</definedName>
    <definedName name="tlbvs2x18_6_6">#REF!</definedName>
    <definedName name="tlbvs2x18_6_7">#REF!</definedName>
    <definedName name="tlbvs2x18_7">#REF!</definedName>
    <definedName name="tlbvs2x18bimc">#REF!</definedName>
    <definedName name="tlbvs2x18bimc_1">#REF!</definedName>
    <definedName name="tlbvs2x18bimc_2">#REF!</definedName>
    <definedName name="tlbvs2x18bimc_2_1">#REF!</definedName>
    <definedName name="tlbvs2x18bimc_2_1_6">#REF!</definedName>
    <definedName name="tlbvs2x18bimc_2_6">#REF!</definedName>
    <definedName name="tlbvs2x18bimc_2_7">#REF!</definedName>
    <definedName name="tlbvs2x18bimc_3">#REF!</definedName>
    <definedName name="tlbvs2x18bimc_3_4">#REF!</definedName>
    <definedName name="tlbvs2x18bimc_3_6">#REF!</definedName>
    <definedName name="tlbvs2x18bimc_3_7">#REF!</definedName>
    <definedName name="tlbvs2x18bimc_4">#REF!</definedName>
    <definedName name="tlbvs2x18bimc_4_1">#REF!</definedName>
    <definedName name="tlbvs2x18bimc_4_2">#REF!</definedName>
    <definedName name="tlbvs2x18bimc_4_2_6">#REF!</definedName>
    <definedName name="tlbvs2x18bimc_4_4">#REF!</definedName>
    <definedName name="tlbvs2x18bimc_4_6">#REF!</definedName>
    <definedName name="tlbvs2x18bimc_4_7">#REF!</definedName>
    <definedName name="tlbvs2x18bimc_5">#REF!</definedName>
    <definedName name="tlbvs2x18bimc_5_2">#REF!</definedName>
    <definedName name="tlbvs2x18bimc_5_2_6">#REF!</definedName>
    <definedName name="tlbvs2x18bimc_5_4">#REF!</definedName>
    <definedName name="tlbvs2x18bimc_5_6">#REF!</definedName>
    <definedName name="tlbvs2x18bimc_5_7">#REF!</definedName>
    <definedName name="tlbvs2x18bimc_6">#REF!</definedName>
    <definedName name="tlbvs2x18bimc_6_1">#REF!</definedName>
    <definedName name="tlbvs2x18bimc_6_4">#REF!</definedName>
    <definedName name="tlbvs2x18bimc_6_6">#REF!</definedName>
    <definedName name="tlbvs2x18bimc_6_7">#REF!</definedName>
    <definedName name="tlbvs2x18bimc_7">#REF!</definedName>
    <definedName name="tlc20_1">#REF!</definedName>
    <definedName name="tlc20_2">#REF!</definedName>
    <definedName name="tlc20_2_1">#REF!</definedName>
    <definedName name="tlc20_2_1_6">#REF!</definedName>
    <definedName name="tlc20_2_6">#REF!</definedName>
    <definedName name="tlc20_2_7">#REF!</definedName>
    <definedName name="tlc20_3">#REF!</definedName>
    <definedName name="tlc20_3_4">#REF!</definedName>
    <definedName name="tlc20_3_6">#REF!</definedName>
    <definedName name="tlc20_3_7">#REF!</definedName>
    <definedName name="tlc20_4">#REF!</definedName>
    <definedName name="tlc20_4_1">#REF!</definedName>
    <definedName name="tlc20_4_2">#REF!</definedName>
    <definedName name="tlc20_4_2_6">#REF!</definedName>
    <definedName name="tlc20_4_4">#REF!</definedName>
    <definedName name="tlc20_4_6">#REF!</definedName>
    <definedName name="tlc20_4_7">#REF!</definedName>
    <definedName name="tlc20_5">#REF!</definedName>
    <definedName name="tlc20_5_2">#REF!</definedName>
    <definedName name="tlc20_5_2_6">#REF!</definedName>
    <definedName name="tlc20_5_4">#REF!</definedName>
    <definedName name="tlc20_5_6">#REF!</definedName>
    <definedName name="tlc20_5_7">#REF!</definedName>
    <definedName name="tlc20_6">#REF!</definedName>
    <definedName name="tlc20_6_1">#REF!</definedName>
    <definedName name="tlc20_6_4">#REF!</definedName>
    <definedName name="tlc20_6_6">#REF!</definedName>
    <definedName name="tlc20_6_7">#REF!</definedName>
    <definedName name="tlc20_7">#REF!</definedName>
    <definedName name="tlc20bimc">#REF!</definedName>
    <definedName name="tlc20bimc_1">#REF!</definedName>
    <definedName name="tlc20bimc_2">#REF!</definedName>
    <definedName name="tlc20bimc_2_1">#REF!</definedName>
    <definedName name="tlc20bimc_2_1_6">#REF!</definedName>
    <definedName name="tlc20bimc_2_6">#REF!</definedName>
    <definedName name="tlc20bimc_2_7">#REF!</definedName>
    <definedName name="tlc20bimc_3">#REF!</definedName>
    <definedName name="tlc20bimc_3_4">#REF!</definedName>
    <definedName name="tlc20bimc_3_6">#REF!</definedName>
    <definedName name="tlc20bimc_3_7">#REF!</definedName>
    <definedName name="tlc20bimc_4">#REF!</definedName>
    <definedName name="tlc20bimc_4_1">#REF!</definedName>
    <definedName name="tlc20bimc_4_2">#REF!</definedName>
    <definedName name="tlc20bimc_4_2_6">#REF!</definedName>
    <definedName name="tlc20bimc_4_4">#REF!</definedName>
    <definedName name="tlc20bimc_4_6">#REF!</definedName>
    <definedName name="tlc20bimc_4_7">#REF!</definedName>
    <definedName name="tlc20bimc_5">#REF!</definedName>
    <definedName name="tlc20bimc_5_2">#REF!</definedName>
    <definedName name="tlc20bimc_5_2_6">#REF!</definedName>
    <definedName name="tlc20bimc_5_4">#REF!</definedName>
    <definedName name="tlc20bimc_5_6">#REF!</definedName>
    <definedName name="tlc20bimc_5_7">#REF!</definedName>
    <definedName name="tlc20bimc_6">#REF!</definedName>
    <definedName name="tlc20bimc_6_1">#REF!</definedName>
    <definedName name="tlc20bimc_6_4">#REF!</definedName>
    <definedName name="tlc20bimc_6_6">#REF!</definedName>
    <definedName name="tlc20bimc_6_7">#REF!</definedName>
    <definedName name="tlc20bimc_7">#REF!</definedName>
    <definedName name="tlidf250p">#REF!</definedName>
    <definedName name="tlidf250p_1">#REF!</definedName>
    <definedName name="tlidf250p_2">#REF!</definedName>
    <definedName name="tlidf250p_2_1">#REF!</definedName>
    <definedName name="tlidf250p_2_1_6">#REF!</definedName>
    <definedName name="tlidf250p_2_6">#REF!</definedName>
    <definedName name="tlidf250p_2_7">#REF!</definedName>
    <definedName name="tlidf250p_3">#REF!</definedName>
    <definedName name="tlidf250p_3_4">#REF!</definedName>
    <definedName name="tlidf250p_3_6">#REF!</definedName>
    <definedName name="tlidf250p_3_7">#REF!</definedName>
    <definedName name="tlidf250p_4">#REF!</definedName>
    <definedName name="tlidf250p_4_1">#REF!</definedName>
    <definedName name="tlidf250p_4_2">#REF!</definedName>
    <definedName name="tlidf250p_4_2_6">#REF!</definedName>
    <definedName name="tlidf250p_4_4">#REF!</definedName>
    <definedName name="tlidf250p_4_6">#REF!</definedName>
    <definedName name="tlidf250p_4_7">#REF!</definedName>
    <definedName name="tlidf250p_5">#REF!</definedName>
    <definedName name="tlidf250p_5_2">#REF!</definedName>
    <definedName name="tlidf250p_5_2_6">#REF!</definedName>
    <definedName name="tlidf250p_5_4">#REF!</definedName>
    <definedName name="tlidf250p_5_6">#REF!</definedName>
    <definedName name="tlidf250p_5_7">#REF!</definedName>
    <definedName name="tlidf250p_6">#REF!</definedName>
    <definedName name="tlidf250p_6_1">#REF!</definedName>
    <definedName name="tlidf250p_6_4">#REF!</definedName>
    <definedName name="tlidf250p_6_6">#REF!</definedName>
    <definedName name="tlidf250p_6_7">#REF!</definedName>
    <definedName name="tlidf250p_7">#REF!</definedName>
    <definedName name="tlistrik">#REF!</definedName>
    <definedName name="tlit">[117]DHSD!$G$16</definedName>
    <definedName name="TLOADER">#REF!</definedName>
    <definedName name="tlp">#REF!</definedName>
    <definedName name="Tlp_Handset">'[78]Harga Jasa dan Material'!$D$208</definedName>
    <definedName name="Tlp_Itc10pair">'[78]Harga Jasa dan Material'!$D$195</definedName>
    <definedName name="Tlp_Itc20pair">'[78]Harga Jasa dan Material'!$D$196</definedName>
    <definedName name="Tlp_Itc2pair">'[78]Harga Jasa dan Material'!$D$194</definedName>
    <definedName name="Tlp_Outlet">'[78]Harga Jasa dan Material'!$D$206</definedName>
    <definedName name="Tlp_TlpJelly10pair">'[78]Harga Jasa dan Material'!$D$193</definedName>
    <definedName name="tltko2x36">#REF!</definedName>
    <definedName name="tltko2x36_1">#REF!</definedName>
    <definedName name="tltko2x36_2">#REF!</definedName>
    <definedName name="tltko2x36_2_1">#REF!</definedName>
    <definedName name="tltko2x36_2_1_6">#REF!</definedName>
    <definedName name="tltko2x36_2_6">#REF!</definedName>
    <definedName name="tltko2x36_2_7">#REF!</definedName>
    <definedName name="tltko2x36_3">#REF!</definedName>
    <definedName name="tltko2x36_3_4">#REF!</definedName>
    <definedName name="tltko2x36_3_6">#REF!</definedName>
    <definedName name="tltko2x36_3_7">#REF!</definedName>
    <definedName name="tltko2x36_4">#REF!</definedName>
    <definedName name="tltko2x36_4_1">#REF!</definedName>
    <definedName name="tltko2x36_4_2">#REF!</definedName>
    <definedName name="tltko2x36_4_2_6">#REF!</definedName>
    <definedName name="tltko2x36_4_4">#REF!</definedName>
    <definedName name="tltko2x36_4_6">#REF!</definedName>
    <definedName name="tltko2x36_4_7">#REF!</definedName>
    <definedName name="tltko2x36_5">#REF!</definedName>
    <definedName name="tltko2x36_5_2">#REF!</definedName>
    <definedName name="tltko2x36_5_2_6">#REF!</definedName>
    <definedName name="tltko2x36_5_4">#REF!</definedName>
    <definedName name="tltko2x36_5_6">#REF!</definedName>
    <definedName name="tltko2x36_5_7">#REF!</definedName>
    <definedName name="tltko2x36_6">#REF!</definedName>
    <definedName name="tltko2x36_6_1">#REF!</definedName>
    <definedName name="tltko2x36_6_4">#REF!</definedName>
    <definedName name="tltko2x36_6_6">#REF!</definedName>
    <definedName name="tltko2x36_6_7">#REF!</definedName>
    <definedName name="tltko2x36_7">#REF!</definedName>
    <definedName name="tltko2x36bimc">#REF!</definedName>
    <definedName name="tltko2x36bimc_1">#REF!</definedName>
    <definedName name="tltko2x36bimc_2">#REF!</definedName>
    <definedName name="tltko2x36bimc_2_1">#REF!</definedName>
    <definedName name="tltko2x36bimc_2_1_6">#REF!</definedName>
    <definedName name="tltko2x36bimc_2_6">#REF!</definedName>
    <definedName name="tltko2x36bimc_2_7">#REF!</definedName>
    <definedName name="tltko2x36bimc_3">#REF!</definedName>
    <definedName name="tltko2x36bimc_3_4">#REF!</definedName>
    <definedName name="tltko2x36bimc_3_6">#REF!</definedName>
    <definedName name="tltko2x36bimc_3_7">#REF!</definedName>
    <definedName name="tltko2x36bimc_4">#REF!</definedName>
    <definedName name="tltko2x36bimc_4_1">#REF!</definedName>
    <definedName name="tltko2x36bimc_4_2">#REF!</definedName>
    <definedName name="tltko2x36bimc_4_2_6">#REF!</definedName>
    <definedName name="tltko2x36bimc_4_4">#REF!</definedName>
    <definedName name="tltko2x36bimc_4_6">#REF!</definedName>
    <definedName name="tltko2x36bimc_4_7">#REF!</definedName>
    <definedName name="tltko2x36bimc_5">#REF!</definedName>
    <definedName name="tltko2x36bimc_5_2">#REF!</definedName>
    <definedName name="tltko2x36bimc_5_2_6">#REF!</definedName>
    <definedName name="tltko2x36bimc_5_4">#REF!</definedName>
    <definedName name="tltko2x36bimc_5_6">#REF!</definedName>
    <definedName name="tltko2x36bimc_5_7">#REF!</definedName>
    <definedName name="tltko2x36bimc_6">#REF!</definedName>
    <definedName name="tltko2x36bimc_6_1">#REF!</definedName>
    <definedName name="tltko2x36bimc_6_4">#REF!</definedName>
    <definedName name="tltko2x36bimc_6_6">#REF!</definedName>
    <definedName name="tltko2x36bimc_6_7">#REF!</definedName>
    <definedName name="tltko2x36bimc_7">#REF!</definedName>
    <definedName name="tltl20nb">#REF!</definedName>
    <definedName name="tm">#REF!</definedName>
    <definedName name="TmpPeriodeK5">#REF!</definedName>
    <definedName name="tn1pinnc">'[18]thao-go'!#REF!</definedName>
    <definedName name="tn2mhnnc">'[18]thao-go'!#REF!</definedName>
    <definedName name="tnahurug">[83]Sheet1!$H$38</definedName>
    <definedName name="TNCM">'[18]CHITIET VL-NC-TT-3p'!#REF!</definedName>
    <definedName name="TNG">#REF!</definedName>
    <definedName name="tnh">#REF!</definedName>
    <definedName name="tnhnnc">'[18]thao-go'!#REF!</definedName>
    <definedName name="tnhtanam">#REF!</definedName>
    <definedName name="TNHURG" localSheetId="7">[33]H_Dasar!#REF!</definedName>
    <definedName name="TNHURG">[33]H_Dasar!#REF!</definedName>
    <definedName name="tnhurug">#REF!</definedName>
    <definedName name="tnignc">'[18]thao-go'!#REF!</definedName>
    <definedName name="tnin190nc">'[18]thao-go'!#REF!</definedName>
    <definedName name="tnlnc">'[18]thao-go'!#REF!</definedName>
    <definedName name="tnnnc">'[18]thao-go'!#REF!</definedName>
    <definedName name="TO">#REF!</definedName>
    <definedName name="TOA">#REF!</definedName>
    <definedName name="tohar">#N/A</definedName>
    <definedName name="tohar1">#N/A</definedName>
    <definedName name="tohar2">#N/A</definedName>
    <definedName name="tohar3">#N/A</definedName>
    <definedName name="toilet" hidden="1">{#N/A,#N/A,FALSE,"REK-S-TPL";#N/A,#N/A,FALSE,"REK-TPML";#N/A,#N/A,FALSE,"RAB-TEMPEL"}</definedName>
    <definedName name="tok">#REF!</definedName>
    <definedName name="tomat">#REF!</definedName>
    <definedName name="tomat1">#REF!</definedName>
    <definedName name="TombolItong">[92]Bulanan!$U$9</definedName>
    <definedName name="TombolM">#REF!</definedName>
    <definedName name="tongkat10">#REF!</definedName>
    <definedName name="TOOL">#REF!</definedName>
    <definedName name="Tool__kunci_pipa">#REF!</definedName>
    <definedName name="tools">#REF!</definedName>
    <definedName name="TOP">#REF!</definedName>
    <definedName name="topguard">#N/A</definedName>
    <definedName name="TOT">#REF!</definedName>
    <definedName name="total">#REF!,#REF!,#REF!</definedName>
    <definedName name="TOTAL_E1">#REF!</definedName>
    <definedName name="TOTAL_E2">#REF!</definedName>
    <definedName name="TOTAL_EL">#REF!</definedName>
    <definedName name="total_I">#REF!</definedName>
    <definedName name="TOTAL_I1">#REF!</definedName>
    <definedName name="TOTAL_I2">#REF!</definedName>
    <definedName name="TOTAL_I3">#REF!</definedName>
    <definedName name="total_II">#REF!</definedName>
    <definedName name="TOTAL_ME">#REF!</definedName>
    <definedName name="TOTAL_TEMP.__FE">#REF!</definedName>
    <definedName name="TotalAlat">#REF!</definedName>
    <definedName name="TotalBahan">#REF!</definedName>
    <definedName name="TotalBUL">#REF!</definedName>
    <definedName name="TotalSub">#REF!</definedName>
    <definedName name="TotalUpah">#REF!</definedName>
    <definedName name="tothbs">#REF!</definedName>
    <definedName name="TOTI1">[36]STR!#REF!</definedName>
    <definedName name="TOTII1">[36]STR!#REF!</definedName>
    <definedName name="TOTIII1">[137]STR!#REF!</definedName>
    <definedName name="totimpex">#REF!</definedName>
    <definedName name="TOTIVA">[36]STR!#REF!</definedName>
    <definedName name="TOTIVB">[36]STR!#REF!</definedName>
    <definedName name="TOTIVC">[36]STR!#REF!</definedName>
    <definedName name="TOTIVD">[36]STR!#REF!</definedName>
    <definedName name="TOTIVE">[36]STR!#REF!</definedName>
    <definedName name="TOTIVF">[36]STR!#REF!</definedName>
    <definedName name="TOTIVG">[36]STR!#REF!</definedName>
    <definedName name="Toto">#REF!</definedName>
    <definedName name="toto_A100">#REF!</definedName>
    <definedName name="toto_L521V1A">#REF!</definedName>
    <definedName name="Toto_L548">[39]Plumbing!#REF!</definedName>
    <definedName name="toto_LW230J">#REF!</definedName>
    <definedName name="toto_S11N">#REF!</definedName>
    <definedName name="toto_S160V1">#REF!</definedName>
    <definedName name="toto_T23B13">#REF!</definedName>
    <definedName name="toto_T30ARQ13N">#REF!</definedName>
    <definedName name="toto_TS119AS5">#REF!</definedName>
    <definedName name="toto_TX1B">#REF!</definedName>
    <definedName name="toto_TX403SV3">#REF!</definedName>
    <definedName name="toto_TX4A">#REF!</definedName>
    <definedName name="toto_U57M">#REF!</definedName>
    <definedName name="totTAlt5minplatTAlt6">#REF!</definedName>
    <definedName name="TOTVA">[36]STR!#REF!</definedName>
    <definedName name="TOTVC">[36]STR!#REF!</definedName>
    <definedName name="TOTVD">[36]STR!#REF!</definedName>
    <definedName name="TOTVE">[36]STR!#REF!</definedName>
    <definedName name="TOTVF">[36]STR!#REF!</definedName>
    <definedName name="TOTVG">[36]STR!#REF!</definedName>
    <definedName name="TOTVI">[36]STR!#REF!</definedName>
    <definedName name="TOTVII">[137]STR!#REF!</definedName>
    <definedName name="TOTVIII">[36]STR!#REF!</definedName>
    <definedName name="TOW">#REF!</definedName>
    <definedName name="TOW_2">#REF!</definedName>
    <definedName name="towelbar">#REF!</definedName>
    <definedName name="towelring">#REF!</definedName>
    <definedName name="TOWER">#REF!</definedName>
    <definedName name="tower1">#REF!</definedName>
    <definedName name="tower2">#REF!</definedName>
    <definedName name="tower3">#REF!</definedName>
    <definedName name="tower4">#REF!</definedName>
    <definedName name="town_a">#REF!</definedName>
    <definedName name="town_a_1">#REF!</definedName>
    <definedName name="town_a_1_2">#REF!</definedName>
    <definedName name="town_a_1_2_6">#REF!</definedName>
    <definedName name="town_a_1_4">#REF!</definedName>
    <definedName name="town_a_1_6">#REF!</definedName>
    <definedName name="town_a_1_7">#REF!</definedName>
    <definedName name="town_a_15">#REF!</definedName>
    <definedName name="town_a_15_1">#REF!</definedName>
    <definedName name="town_a_15_16">#REF!</definedName>
    <definedName name="town_a_15_7">#REF!</definedName>
    <definedName name="town_a_16">#REF!</definedName>
    <definedName name="town_a_17">#REF!</definedName>
    <definedName name="town_a_2">#REF!</definedName>
    <definedName name="town_a_2_1">#REF!</definedName>
    <definedName name="town_a_2_1_6">#REF!</definedName>
    <definedName name="town_a_2_2">#REF!</definedName>
    <definedName name="town_a_2_2_6">#REF!</definedName>
    <definedName name="town_a_2_4">#REF!</definedName>
    <definedName name="town_a_2_5">#REF!</definedName>
    <definedName name="town_a_2_6">#REF!</definedName>
    <definedName name="town_a_2_7">#REF!</definedName>
    <definedName name="town_a_3">#REF!</definedName>
    <definedName name="town_a_3_2">#REF!</definedName>
    <definedName name="town_a_3_2_6">#REF!</definedName>
    <definedName name="town_a_3_4">#REF!</definedName>
    <definedName name="town_a_3_5">#REF!</definedName>
    <definedName name="town_a_3_6">#REF!</definedName>
    <definedName name="town_a_3_7">#REF!</definedName>
    <definedName name="town_a_4">#REF!</definedName>
    <definedName name="town_a_4_1">#REF!</definedName>
    <definedName name="town_a_4_2">#REF!</definedName>
    <definedName name="town_a_4_2_6">#REF!</definedName>
    <definedName name="town_a_4_4">#REF!</definedName>
    <definedName name="town_a_4_6">#REF!</definedName>
    <definedName name="town_a_4_7">#REF!</definedName>
    <definedName name="town_a_5">#REF!</definedName>
    <definedName name="town_a_5_2">#REF!</definedName>
    <definedName name="town_a_5_2_6">#REF!</definedName>
    <definedName name="town_a_5_4">#REF!</definedName>
    <definedName name="town_a_5_6">#REF!</definedName>
    <definedName name="town_a_5_7">#REF!</definedName>
    <definedName name="town_a_6">#REF!</definedName>
    <definedName name="town_a_6_1">#REF!</definedName>
    <definedName name="town_a_6_2">#REF!</definedName>
    <definedName name="town_a_6_2_6">#REF!</definedName>
    <definedName name="town_a_6_4">#REF!</definedName>
    <definedName name="town_a_6_6">#REF!</definedName>
    <definedName name="town_a_6_7">#REF!</definedName>
    <definedName name="town_a_7">#REF!</definedName>
    <definedName name="town_a_7_1">#REF!</definedName>
    <definedName name="town_a_7_6">#REF!</definedName>
    <definedName name="town_a_7_7">#REF!</definedName>
    <definedName name="town_a_8">#REF!</definedName>
    <definedName name="town_a_9">#REF!</definedName>
    <definedName name="town_b">#REF!</definedName>
    <definedName name="town_b_1">#REF!</definedName>
    <definedName name="town_b_1_2">#REF!</definedName>
    <definedName name="town_b_1_2_6">#REF!</definedName>
    <definedName name="town_b_1_4">#REF!</definedName>
    <definedName name="town_b_1_6">#REF!</definedName>
    <definedName name="town_b_1_7">#REF!</definedName>
    <definedName name="town_b_15">#REF!</definedName>
    <definedName name="town_b_15_1">#REF!</definedName>
    <definedName name="town_b_15_16">#REF!</definedName>
    <definedName name="town_b_15_7">#REF!</definedName>
    <definedName name="town_b_16">#REF!</definedName>
    <definedName name="town_b_17">#REF!</definedName>
    <definedName name="town_b_2">#REF!</definedName>
    <definedName name="town_b_2_1">#REF!</definedName>
    <definedName name="town_b_2_1_6">#REF!</definedName>
    <definedName name="town_b_2_2">#REF!</definedName>
    <definedName name="town_b_2_2_6">#REF!</definedName>
    <definedName name="town_b_2_4">#REF!</definedName>
    <definedName name="town_b_2_5">#REF!</definedName>
    <definedName name="town_b_2_6">#REF!</definedName>
    <definedName name="town_b_2_7">#REF!</definedName>
    <definedName name="town_b_3">#REF!</definedName>
    <definedName name="town_b_3_2">#REF!</definedName>
    <definedName name="town_b_3_2_6">#REF!</definedName>
    <definedName name="town_b_3_4">#REF!</definedName>
    <definedName name="town_b_3_5">#REF!</definedName>
    <definedName name="town_b_3_6">#REF!</definedName>
    <definedName name="town_b_3_7">#REF!</definedName>
    <definedName name="town_b_4">#REF!</definedName>
    <definedName name="town_b_4_1">#REF!</definedName>
    <definedName name="town_b_4_2">#REF!</definedName>
    <definedName name="town_b_4_2_6">#REF!</definedName>
    <definedName name="town_b_4_4">#REF!</definedName>
    <definedName name="town_b_4_6">#REF!</definedName>
    <definedName name="town_b_4_7">#REF!</definedName>
    <definedName name="town_b_5">#REF!</definedName>
    <definedName name="town_b_5_2">#REF!</definedName>
    <definedName name="town_b_5_2_6">#REF!</definedName>
    <definedName name="town_b_5_4">#REF!</definedName>
    <definedName name="town_b_5_6">#REF!</definedName>
    <definedName name="town_b_5_7">#REF!</definedName>
    <definedName name="town_b_6">#REF!</definedName>
    <definedName name="town_b_6_1">#REF!</definedName>
    <definedName name="town_b_6_2">#REF!</definedName>
    <definedName name="town_b_6_2_6">#REF!</definedName>
    <definedName name="town_b_6_4">#REF!</definedName>
    <definedName name="town_b_6_6">#REF!</definedName>
    <definedName name="town_b_6_7">#REF!</definedName>
    <definedName name="town_b_7">#REF!</definedName>
    <definedName name="town_b_7_1">#REF!</definedName>
    <definedName name="town_b_7_6">#REF!</definedName>
    <definedName name="town_b_7_7">#REF!</definedName>
    <definedName name="town_b_8">#REF!</definedName>
    <definedName name="town_b_9">#REF!</definedName>
    <definedName name="town_c">#REF!</definedName>
    <definedName name="town_c_1">#REF!</definedName>
    <definedName name="town_c_1_2">#REF!</definedName>
    <definedName name="town_c_1_2_6">#REF!</definedName>
    <definedName name="town_c_1_4">#REF!</definedName>
    <definedName name="town_c_1_6">#REF!</definedName>
    <definedName name="town_c_1_7">#REF!</definedName>
    <definedName name="town_c_15">#REF!</definedName>
    <definedName name="town_c_15_1">#REF!</definedName>
    <definedName name="town_c_15_16">#REF!</definedName>
    <definedName name="town_c_15_7">#REF!</definedName>
    <definedName name="town_c_16">#REF!</definedName>
    <definedName name="town_c_17">#REF!</definedName>
    <definedName name="town_c_2">#REF!</definedName>
    <definedName name="town_c_2_1">#REF!</definedName>
    <definedName name="town_c_2_1_6">#REF!</definedName>
    <definedName name="town_c_2_2">#REF!</definedName>
    <definedName name="town_c_2_2_6">#REF!</definedName>
    <definedName name="town_c_2_4">#REF!</definedName>
    <definedName name="town_c_2_5">#REF!</definedName>
    <definedName name="town_c_2_6">#REF!</definedName>
    <definedName name="town_c_2_7">#REF!</definedName>
    <definedName name="town_c_3">#REF!</definedName>
    <definedName name="town_c_3_2">#REF!</definedName>
    <definedName name="town_c_3_2_6">#REF!</definedName>
    <definedName name="town_c_3_4">#REF!</definedName>
    <definedName name="town_c_3_5">#REF!</definedName>
    <definedName name="town_c_3_6">#REF!</definedName>
    <definedName name="town_c_3_7">#REF!</definedName>
    <definedName name="town_c_4">#REF!</definedName>
    <definedName name="town_c_4_1">#REF!</definedName>
    <definedName name="town_c_4_2">#REF!</definedName>
    <definedName name="town_c_4_2_6">#REF!</definedName>
    <definedName name="town_c_4_4">#REF!</definedName>
    <definedName name="town_c_4_6">#REF!</definedName>
    <definedName name="town_c_4_7">#REF!</definedName>
    <definedName name="town_c_5">#REF!</definedName>
    <definedName name="town_c_5_2">#REF!</definedName>
    <definedName name="town_c_5_2_6">#REF!</definedName>
    <definedName name="town_c_5_4">#REF!</definedName>
    <definedName name="town_c_5_6">#REF!</definedName>
    <definedName name="town_c_5_7">#REF!</definedName>
    <definedName name="town_c_6">#REF!</definedName>
    <definedName name="town_c_6_1">#REF!</definedName>
    <definedName name="town_c_6_2">#REF!</definedName>
    <definedName name="town_c_6_2_6">#REF!</definedName>
    <definedName name="town_c_6_4">#REF!</definedName>
    <definedName name="town_c_6_6">#REF!</definedName>
    <definedName name="town_c_6_7">#REF!</definedName>
    <definedName name="town_c_7">#REF!</definedName>
    <definedName name="town_c_7_1">#REF!</definedName>
    <definedName name="town_c_7_6">#REF!</definedName>
    <definedName name="town_c_7_7">#REF!</definedName>
    <definedName name="town_c_8">#REF!</definedName>
    <definedName name="town_c_9">#REF!</definedName>
    <definedName name="town_d">#REF!</definedName>
    <definedName name="town_d_1">#REF!</definedName>
    <definedName name="town_d_1_2">#REF!</definedName>
    <definedName name="town_d_1_2_6">#REF!</definedName>
    <definedName name="town_d_1_4">#REF!</definedName>
    <definedName name="town_d_1_6">#REF!</definedName>
    <definedName name="town_d_1_7">#REF!</definedName>
    <definedName name="town_d_15">#REF!</definedName>
    <definedName name="town_d_15_1">#REF!</definedName>
    <definedName name="town_d_15_16">#REF!</definedName>
    <definedName name="town_d_15_7">#REF!</definedName>
    <definedName name="town_d_16">#REF!</definedName>
    <definedName name="town_d_17">#REF!</definedName>
    <definedName name="town_d_2">#REF!</definedName>
    <definedName name="town_d_2_1">#REF!</definedName>
    <definedName name="town_d_2_1_6">#REF!</definedName>
    <definedName name="town_d_2_2">#REF!</definedName>
    <definedName name="town_d_2_2_6">#REF!</definedName>
    <definedName name="town_d_2_4">#REF!</definedName>
    <definedName name="town_d_2_5">#REF!</definedName>
    <definedName name="town_d_2_6">#REF!</definedName>
    <definedName name="town_d_2_7">#REF!</definedName>
    <definedName name="town_d_3">#REF!</definedName>
    <definedName name="town_d_3_2">#REF!</definedName>
    <definedName name="town_d_3_2_6">#REF!</definedName>
    <definedName name="town_d_3_4">#REF!</definedName>
    <definedName name="town_d_3_5">#REF!</definedName>
    <definedName name="town_d_3_6">#REF!</definedName>
    <definedName name="town_d_3_7">#REF!</definedName>
    <definedName name="town_d_4">#REF!</definedName>
    <definedName name="town_d_4_1">#REF!</definedName>
    <definedName name="town_d_4_2">#REF!</definedName>
    <definedName name="town_d_4_2_6">#REF!</definedName>
    <definedName name="town_d_4_4">#REF!</definedName>
    <definedName name="town_d_4_6">#REF!</definedName>
    <definedName name="town_d_4_7">#REF!</definedName>
    <definedName name="town_d_5">#REF!</definedName>
    <definedName name="town_d_5_2">#REF!</definedName>
    <definedName name="town_d_5_2_6">#REF!</definedName>
    <definedName name="town_d_5_4">#REF!</definedName>
    <definedName name="town_d_5_6">#REF!</definedName>
    <definedName name="town_d_5_7">#REF!</definedName>
    <definedName name="town_d_6">#REF!</definedName>
    <definedName name="town_d_6_1">#REF!</definedName>
    <definedName name="town_d_6_2">#REF!</definedName>
    <definedName name="town_d_6_2_6">#REF!</definedName>
    <definedName name="town_d_6_4">#REF!</definedName>
    <definedName name="town_d_6_6">#REF!</definedName>
    <definedName name="town_d_6_7">#REF!</definedName>
    <definedName name="town_d_7">#REF!</definedName>
    <definedName name="town_d_7_1">#REF!</definedName>
    <definedName name="town_d_7_6">#REF!</definedName>
    <definedName name="town_d_7_7">#REF!</definedName>
    <definedName name="town_d_8">#REF!</definedName>
    <definedName name="town_d_9">#REF!</definedName>
    <definedName name="town_e">#REF!</definedName>
    <definedName name="town_e_1">#REF!</definedName>
    <definedName name="town_e_1_2">#REF!</definedName>
    <definedName name="town_e_1_2_6">#REF!</definedName>
    <definedName name="town_e_1_4">#REF!</definedName>
    <definedName name="town_e_1_6">#REF!</definedName>
    <definedName name="town_e_1_7">#REF!</definedName>
    <definedName name="town_e_15">#REF!</definedName>
    <definedName name="town_e_15_1">#REF!</definedName>
    <definedName name="town_e_15_16">#REF!</definedName>
    <definedName name="town_e_15_7">#REF!</definedName>
    <definedName name="town_e_16">#REF!</definedName>
    <definedName name="town_e_17">#REF!</definedName>
    <definedName name="town_e_2">#REF!</definedName>
    <definedName name="town_e_2_1">#REF!</definedName>
    <definedName name="town_e_2_1_6">#REF!</definedName>
    <definedName name="town_e_2_2">#REF!</definedName>
    <definedName name="town_e_2_2_6">#REF!</definedName>
    <definedName name="town_e_2_4">#REF!</definedName>
    <definedName name="town_e_2_5">#REF!</definedName>
    <definedName name="town_e_2_6">#REF!</definedName>
    <definedName name="town_e_2_7">#REF!</definedName>
    <definedName name="town_e_3">#REF!</definedName>
    <definedName name="town_e_3_2">#REF!</definedName>
    <definedName name="town_e_3_2_6">#REF!</definedName>
    <definedName name="town_e_3_4">#REF!</definedName>
    <definedName name="town_e_3_5">#REF!</definedName>
    <definedName name="town_e_3_6">#REF!</definedName>
    <definedName name="town_e_3_7">#REF!</definedName>
    <definedName name="town_e_4">#REF!</definedName>
    <definedName name="town_e_4_1">#REF!</definedName>
    <definedName name="town_e_4_2">#REF!</definedName>
    <definedName name="town_e_4_2_6">#REF!</definedName>
    <definedName name="town_e_4_4">#REF!</definedName>
    <definedName name="town_e_4_6">#REF!</definedName>
    <definedName name="town_e_4_7">#REF!</definedName>
    <definedName name="town_e_5">#REF!</definedName>
    <definedName name="town_e_5_2">#REF!</definedName>
    <definedName name="town_e_5_2_6">#REF!</definedName>
    <definedName name="town_e_5_4">#REF!</definedName>
    <definedName name="town_e_5_6">#REF!</definedName>
    <definedName name="town_e_5_7">#REF!</definedName>
    <definedName name="town_e_6">#REF!</definedName>
    <definedName name="town_e_6_1">#REF!</definedName>
    <definedName name="town_e_6_2">#REF!</definedName>
    <definedName name="town_e_6_2_6">#REF!</definedName>
    <definedName name="town_e_6_4">#REF!</definedName>
    <definedName name="town_e_6_6">#REF!</definedName>
    <definedName name="town_e_6_7">#REF!</definedName>
    <definedName name="town_e_7">#REF!</definedName>
    <definedName name="town_e_7_1">#REF!</definedName>
    <definedName name="town_e_7_6">#REF!</definedName>
    <definedName name="town_e_7_7">#REF!</definedName>
    <definedName name="town_e_8">#REF!</definedName>
    <definedName name="town_e_9">#REF!</definedName>
    <definedName name="Tp">#REF!</definedName>
    <definedName name="TP.30x30">#REF!</definedName>
    <definedName name="TP.40x40">#REF!</definedName>
    <definedName name="TP_Pipa_baja_Ø400">#REF!</definedName>
    <definedName name="TPG">#REF!</definedName>
    <definedName name="TPI">#REF!</definedName>
    <definedName name="TPL">#REF!</definedName>
    <definedName name="tplek4">#REF!</definedName>
    <definedName name="tplek6">#REF!</definedName>
    <definedName name="tplitur">#REF!</definedName>
    <definedName name="tpm">#REF!</definedName>
    <definedName name="tpm_1">#REF!</definedName>
    <definedName name="tpm_2">#REF!</definedName>
    <definedName name="tpm_2_1">#REF!</definedName>
    <definedName name="tpm_2_1_6">#REF!</definedName>
    <definedName name="tpm_2_6">#REF!</definedName>
    <definedName name="tpm_2_7">#REF!</definedName>
    <definedName name="tpm_3">#REF!</definedName>
    <definedName name="tpm_3_6">#REF!</definedName>
    <definedName name="tpm_3_7">#REF!</definedName>
    <definedName name="tpm_4">#REF!</definedName>
    <definedName name="tpm_5">#REF!</definedName>
    <definedName name="tpm_6">#REF!</definedName>
    <definedName name="tpm_6_1">#REF!</definedName>
    <definedName name="tpm_6_6">#REF!</definedName>
    <definedName name="tpm_6_7">#REF!</definedName>
    <definedName name="tpm_7">#REF!</definedName>
    <definedName name="TPOL">#REF!</definedName>
    <definedName name="TR">#REF!</definedName>
    <definedName name="TR.HOLLOW">#REF!</definedName>
    <definedName name="TR15HT">'[18]TONGKE-HT'!#REF!</definedName>
    <definedName name="TR16HT">'[18]TONGKE-HT'!#REF!</definedName>
    <definedName name="TR19HT">'[18]TONGKE-HT'!#REF!</definedName>
    <definedName name="tr1x15">[18]giathanh1!#REF!</definedName>
    <definedName name="TR20HT">'[18]TONGKE-HT'!#REF!</definedName>
    <definedName name="tr3x100">'[18]dongia (2)'!#REF!</definedName>
    <definedName name="TRACK">[55]URAI!$L$885</definedName>
    <definedName name="TRACK_LOADER">#REF!</definedName>
    <definedName name="TRACKLOADER">#REF!</definedName>
    <definedName name="trada">#REF!</definedName>
    <definedName name="traesr">[52]DHSD!$G$43</definedName>
    <definedName name="traffic">#N/A</definedName>
    <definedName name="trafo">#REF!</definedName>
    <definedName name="TRAIL">[81]hsd!$H$108</definedName>
    <definedName name="TRAILER" localSheetId="7">[33]H_Dasar!#REF!</definedName>
    <definedName name="trailer">'[45]Sat~Bahu'!$C$106</definedName>
    <definedName name="TRAILLER">#REF!</definedName>
    <definedName name="traktor">#REF!</definedName>
    <definedName name="tralis">#REF!</definedName>
    <definedName name="tralishollow40\nonjasa">#REF!</definedName>
    <definedName name="traljend">#REF!</definedName>
    <definedName name="TRALK">#REF!</definedName>
    <definedName name="tram100">'[18]dongia (2)'!#REF!</definedName>
    <definedName name="tram1x25">'[18]dongia (2)'!#REF!</definedName>
    <definedName name="Tran">#REF!</definedName>
    <definedName name="transplokal">[33]H_Dasar!#REF!</definedName>
    <definedName name="TRAPMAR">#REF!</definedName>
    <definedName name="Trasram">#REF!</definedName>
    <definedName name="tray">#REF!</definedName>
    <definedName name="Tray_Elbow_200x100">'[78]Harga Jasa dan Material'!$D$183</definedName>
    <definedName name="Tray_Elbow_300x100">'[78]Harga Jasa dan Material'!$D$184</definedName>
    <definedName name="Tray_Elbow_400x100">'[78]Harga Jasa dan Material'!$D$185</definedName>
    <definedName name="Tray_Straight_200x100">'[78]Harga Jasa dan Material'!$D$179</definedName>
    <definedName name="Tray_Straight_300x100">'[78]Harga Jasa dan Material'!$D$180</definedName>
    <definedName name="Tray_Straight_400x100">'[78]Harga Jasa dan Material'!$D$181</definedName>
    <definedName name="Tray_Tee_200x100">'[78]Harga Jasa dan Material'!$D$186</definedName>
    <definedName name="Tray_Tee_300x100">'[78]Harga Jasa dan Material'!$D$187</definedName>
    <definedName name="Tray_Tee_400x100">'[78]Harga Jasa dan Material'!$D$188</definedName>
    <definedName name="tray200x50">#REF!</definedName>
    <definedName name="tray300x50">#REF!</definedName>
    <definedName name="tray400x50">#REF!</definedName>
    <definedName name="tray500x50">#REF!</definedName>
    <definedName name="trayelnika">#REF!</definedName>
    <definedName name="trd">#REF!</definedName>
    <definedName name="trdyudtr">[51]DHSD!$G$46</definedName>
    <definedName name="tred90pvc10">#REF!</definedName>
    <definedName name="tredgsp">#REF!</definedName>
    <definedName name="tredpvc10">#REF!</definedName>
    <definedName name="trekstank12mm">#REF!</definedName>
    <definedName name="treller">#REF!</definedName>
    <definedName name="tret">#REF!</definedName>
    <definedName name="treue">'[49]Lamp-4 Sat-Das'!$J$28</definedName>
    <definedName name="trhh" hidden="1">{"'Sheet1'!$A$1"}</definedName>
    <definedName name="TRHY">'[49]Lamp-4 Sat-Das'!$J$39</definedName>
    <definedName name="tri">#REF!</definedName>
    <definedName name="tri.9">#REF!</definedName>
    <definedName name="trimdek">#REF!</definedName>
    <definedName name="TRIP">#REF!</definedName>
    <definedName name="trip110">#REF!</definedName>
    <definedName name="trip12_4x8">#REF!</definedName>
    <definedName name="trip15_4x8">#REF!</definedName>
    <definedName name="trip3">#REF!</definedName>
    <definedName name="trip4">#REF!</definedName>
    <definedName name="trip4_3x7">#REF!</definedName>
    <definedName name="trip6">#REF!</definedName>
    <definedName name="trip6_3x7">#REF!</definedName>
    <definedName name="trip9">#REF!</definedName>
    <definedName name="trip9_4x8">#REF!</definedName>
    <definedName name="tripalm110">#REF!</definedName>
    <definedName name="triplek">#REF!</definedName>
    <definedName name="triplek.1">#REF!</definedName>
    <definedName name="triplek.2">#REF!</definedName>
    <definedName name="triplek.3">#REF!</definedName>
    <definedName name="triplek.4">#REF!</definedName>
    <definedName name="Triplek_3_mm">'[72]Daftar Harga'!$G$108</definedName>
    <definedName name="Triplek_T___4_mm">#REF!</definedName>
    <definedName name="Triplek_Uk.2_2_mm">#REF!</definedName>
    <definedName name="Triplek_Uk.3_0_mm">#REF!</definedName>
    <definedName name="Triplek_Uk.4_0_mm">#REF!</definedName>
    <definedName name="Triplek_Uk.6_0_mm">#REF!</definedName>
    <definedName name="triplek3mm">'[48]HARGA SATUAN'!#REF!</definedName>
    <definedName name="triplek4">#REF!</definedName>
    <definedName name="triplek6mm">'[48]HARGA SATUAN'!#REF!</definedName>
    <definedName name="triplek9">'[44]bhn-upah'!$H$52</definedName>
    <definedName name="TRIPLEKS4MM">#N/A</definedName>
    <definedName name="TRIPLEKS5MM">#N/A</definedName>
    <definedName name="triplekt">#REF!</definedName>
    <definedName name="trippt">#REF!</definedName>
    <definedName name="TRIX">#REF!</definedName>
    <definedName name="trj">'[119]SAT-DAS'!$J$52</definedName>
    <definedName name="TRL">#REF!</definedName>
    <definedName name="tro">#REF!</definedName>
    <definedName name="TROLLER">#REF!</definedName>
    <definedName name="trotoar">[24]Analisa!#REF!</definedName>
    <definedName name="trplektalumunium">#REF!</definedName>
    <definedName name="trre">[52]DHSD!$G$44</definedName>
    <definedName name="trt">#REF!</definedName>
    <definedName name="TRTR">#N/A</definedName>
    <definedName name="tru10mtc">'[18]t-h HA THE'!#REF!</definedName>
    <definedName name="tru8mtc">'[18]t-h HA THE'!#REF!</definedName>
    <definedName name="truck">[73]S.UPAH!$I$38</definedName>
    <definedName name="Truck_Mixer_Sewa">#REF!</definedName>
    <definedName name="Truck_Water_tank">#REF!</definedName>
    <definedName name="truck35ton">#REF!</definedName>
    <definedName name="trucktangki">#REF!</definedName>
    <definedName name="TRUK">[33]H_Dasar!#REF!</definedName>
    <definedName name="truk4">'[74]Harga Satuan'!$G$68</definedName>
    <definedName name="truk8">'[74]Harga Satuan'!$G$69</definedName>
    <definedName name="trwt">#N/A</definedName>
    <definedName name="Try">#REF!</definedName>
    <definedName name="trye">'[49]Lamp-4 Sat-Das'!$J$73</definedName>
    <definedName name="tryr" hidden="1">{"'Sheet1'!$A$1"}</definedName>
    <definedName name="tryutru">[51]DHSD!$G$12</definedName>
    <definedName name="trywst">'[113]SAT-DAS'!$J$63</definedName>
    <definedName name="Ts">#REF!</definedName>
    <definedName name="TS_116_R">[39]Plumbing!#REF!</definedName>
    <definedName name="ts116r">#REF!</definedName>
    <definedName name="ts118ws">#REF!</definedName>
    <definedName name="tsabun">#REF!</definedName>
    <definedName name="tscb">#REF!</definedName>
    <definedName name="tscb_1">#REF!</definedName>
    <definedName name="tscb_2">#REF!</definedName>
    <definedName name="tscb_2_1">#REF!</definedName>
    <definedName name="tscb_2_1_6">#REF!</definedName>
    <definedName name="tscb_2_6">#REF!</definedName>
    <definedName name="tscb_2_7">#REF!</definedName>
    <definedName name="tscb_3">#REF!</definedName>
    <definedName name="tscb_3_4">#REF!</definedName>
    <definedName name="tscb_3_6">#REF!</definedName>
    <definedName name="tscb_3_7">#REF!</definedName>
    <definedName name="tscb_4">#REF!</definedName>
    <definedName name="tscb_4_1">#REF!</definedName>
    <definedName name="tscb_4_2">#REF!</definedName>
    <definedName name="tscb_4_2_6">#REF!</definedName>
    <definedName name="tscb_4_4">#REF!</definedName>
    <definedName name="tscb_4_6">#REF!</definedName>
    <definedName name="tscb_4_7">#REF!</definedName>
    <definedName name="tscb_5">#REF!</definedName>
    <definedName name="tscb_5_2">#REF!</definedName>
    <definedName name="tscb_5_2_6">#REF!</definedName>
    <definedName name="tscb_5_4">#REF!</definedName>
    <definedName name="tscb_5_6">#REF!</definedName>
    <definedName name="tscb_5_7">#REF!</definedName>
    <definedName name="tscb_6">#REF!</definedName>
    <definedName name="tscb_6_1">#REF!</definedName>
    <definedName name="tscb_6_4">#REF!</definedName>
    <definedName name="tscb_6_6">#REF!</definedName>
    <definedName name="tscb_6_7">#REF!</definedName>
    <definedName name="tscb_7">#REF!</definedName>
    <definedName name="tscs3w">#REF!</definedName>
    <definedName name="tscs3w_1">#REF!</definedName>
    <definedName name="tscs3w_2">#REF!</definedName>
    <definedName name="tscs3w_2_1">#REF!</definedName>
    <definedName name="tscs3w_2_1_6">#REF!</definedName>
    <definedName name="tscs3w_2_6">#REF!</definedName>
    <definedName name="tscs3w_3">#REF!</definedName>
    <definedName name="tscs3w_3_4">#REF!</definedName>
    <definedName name="tscs3w_3_6">#REF!</definedName>
    <definedName name="tscs3w_3_7">#REF!</definedName>
    <definedName name="tscs3w_4">#REF!</definedName>
    <definedName name="tscs3w_4_1">#REF!</definedName>
    <definedName name="tscs3w_4_2">#REF!</definedName>
    <definedName name="tscs3w_4_2_6">#REF!</definedName>
    <definedName name="tscs3w_4_4">#REF!</definedName>
    <definedName name="tscs3w_4_6">#REF!</definedName>
    <definedName name="tscs3w_4_7">#REF!</definedName>
    <definedName name="tscs3w_5">#REF!</definedName>
    <definedName name="tscs3w_5_2">#REF!</definedName>
    <definedName name="tscs3w_5_2_6">#REF!</definedName>
    <definedName name="tscs3w_5_4">#REF!</definedName>
    <definedName name="tscs3w_5_6">#REF!</definedName>
    <definedName name="tscs3w_5_7">#REF!</definedName>
    <definedName name="tscs3w_6">#REF!</definedName>
    <definedName name="tscs3w_6_1">#REF!</definedName>
    <definedName name="tscs3w_6_4">#REF!</definedName>
    <definedName name="tscs3w_6_6">#REF!</definedName>
    <definedName name="tscs3w_6_7">#REF!</definedName>
    <definedName name="tscs3w_7">#REF!</definedName>
    <definedName name="tscs6w">#REF!</definedName>
    <definedName name="tscs6w_1">#REF!</definedName>
    <definedName name="tscs6w_2">#REF!</definedName>
    <definedName name="tscs6w_2_1">#REF!</definedName>
    <definedName name="tscs6w_2_1_6">#REF!</definedName>
    <definedName name="tscs6w_2_6">#REF!</definedName>
    <definedName name="tscs6w_2_7">#REF!</definedName>
    <definedName name="tscs6w_3">#REF!</definedName>
    <definedName name="tscs6w_3_4">#REF!</definedName>
    <definedName name="tscs6w_3_6">#REF!</definedName>
    <definedName name="tscs6w_3_7">#REF!</definedName>
    <definedName name="tscs6w_4">#REF!</definedName>
    <definedName name="tscs6w_4_1">#REF!</definedName>
    <definedName name="tscs6w_4_2">#REF!</definedName>
    <definedName name="tscs6w_4_2_6">#REF!</definedName>
    <definedName name="tscs6w_4_4">#REF!</definedName>
    <definedName name="tscs6w_4_6">#REF!</definedName>
    <definedName name="tscs6w_4_7">#REF!</definedName>
    <definedName name="tscs6w_5">#REF!</definedName>
    <definedName name="tscs6w_5_2">#REF!</definedName>
    <definedName name="tscs6w_5_2_6">#REF!</definedName>
    <definedName name="tscs6w_5_4">#REF!</definedName>
    <definedName name="tscs6w_5_6">#REF!</definedName>
    <definedName name="tscs6w_5_7">#REF!</definedName>
    <definedName name="tscs6w_6">#REF!</definedName>
    <definedName name="tscs6w_6_1">#REF!</definedName>
    <definedName name="tscs6w_6_4">#REF!</definedName>
    <definedName name="tscs6w_6_6">#REF!</definedName>
    <definedName name="tscs6w_6_7">#REF!</definedName>
    <definedName name="tscs6w_7">#REF!</definedName>
    <definedName name="tserttsr">[51]DHSD!$G$29</definedName>
    <definedName name="tservice">#REF!</definedName>
    <definedName name="tseryytsey">'[113]SAT-DAS'!$J$59</definedName>
    <definedName name="tshs15">#REF!</definedName>
    <definedName name="tshs15_1">#REF!</definedName>
    <definedName name="tshs15_2">#REF!</definedName>
    <definedName name="tshs15_2_1">#REF!</definedName>
    <definedName name="tshs15_2_1_6">#REF!</definedName>
    <definedName name="tshs15_2_6">#REF!</definedName>
    <definedName name="tshs15_3">#REF!</definedName>
    <definedName name="tshs15_3_4">#REF!</definedName>
    <definedName name="tshs15_3_6">#REF!</definedName>
    <definedName name="tshs15_3_7">#REF!</definedName>
    <definedName name="tshs15_4">#REF!</definedName>
    <definedName name="tshs15_4_1">#REF!</definedName>
    <definedName name="tshs15_4_2">#REF!</definedName>
    <definedName name="tshs15_4_2_6">#REF!</definedName>
    <definedName name="tshs15_4_4">#REF!</definedName>
    <definedName name="tshs15_4_6">#REF!</definedName>
    <definedName name="tshs15_4_7">#REF!</definedName>
    <definedName name="tshs15_5">#REF!</definedName>
    <definedName name="tshs15_5_2">#REF!</definedName>
    <definedName name="tshs15_5_2_6">#REF!</definedName>
    <definedName name="tshs15_5_4">#REF!</definedName>
    <definedName name="tshs15_5_6">#REF!</definedName>
    <definedName name="tshs15_5_7">#REF!</definedName>
    <definedName name="tshs15_6">#REF!</definedName>
    <definedName name="tshs15_6_1">#REF!</definedName>
    <definedName name="tshs15_6_4">#REF!</definedName>
    <definedName name="tshs15_6_6">#REF!</definedName>
    <definedName name="tshs15_6_7">#REF!</definedName>
    <definedName name="tshs15_7">#REF!</definedName>
    <definedName name="tshs6w">#REF!</definedName>
    <definedName name="tshs6w_1">#REF!</definedName>
    <definedName name="tshs6w_2">#REF!</definedName>
    <definedName name="tshs6w_2_1">#REF!</definedName>
    <definedName name="tshs6w_2_1_6">#REF!</definedName>
    <definedName name="tshs6w_2_6">#REF!</definedName>
    <definedName name="tshs6w_2_7">#REF!</definedName>
    <definedName name="tshs6w_3">#REF!</definedName>
    <definedName name="tshs6w_3_4">#REF!</definedName>
    <definedName name="tshs6w_3_6">#REF!</definedName>
    <definedName name="tshs6w_3_7">#REF!</definedName>
    <definedName name="tshs6w_4">#REF!</definedName>
    <definedName name="tshs6w_4_1">#REF!</definedName>
    <definedName name="tshs6w_4_2">#REF!</definedName>
    <definedName name="tshs6w_4_2_6">#REF!</definedName>
    <definedName name="tshs6w_4_4">#REF!</definedName>
    <definedName name="tshs6w_4_6">#REF!</definedName>
    <definedName name="tshs6w_4_7">#REF!</definedName>
    <definedName name="tshs6w_5">#REF!</definedName>
    <definedName name="tshs6w_5_2">#REF!</definedName>
    <definedName name="tshs6w_5_2_6">#REF!</definedName>
    <definedName name="tshs6w_5_4">#REF!</definedName>
    <definedName name="tshs6w_5_6">#REF!</definedName>
    <definedName name="tshs6w_5_7">#REF!</definedName>
    <definedName name="tshs6w_6">#REF!</definedName>
    <definedName name="tshs6w_6_1">#REF!</definedName>
    <definedName name="tshs6w_6_4">#REF!</definedName>
    <definedName name="tshs6w_6_6">#REF!</definedName>
    <definedName name="tshs6w_6_7">#REF!</definedName>
    <definedName name="tshs6w_7">#REF!</definedName>
    <definedName name="TSK">#REF!</definedName>
    <definedName name="tski">#REF!</definedName>
    <definedName name="tski_1">#REF!</definedName>
    <definedName name="tski_2">#REF!</definedName>
    <definedName name="tski_2_1">#REF!</definedName>
    <definedName name="tski_2_1_6">#REF!</definedName>
    <definedName name="tski_2_6">#REF!</definedName>
    <definedName name="tski_2_7">#REF!</definedName>
    <definedName name="tski_3">#REF!</definedName>
    <definedName name="tski_3_4">#REF!</definedName>
    <definedName name="tski_3_6">#REF!</definedName>
    <definedName name="tski_3_7">#REF!</definedName>
    <definedName name="tski_4">#REF!</definedName>
    <definedName name="tski_4_1">#REF!</definedName>
    <definedName name="tski_4_2">#REF!</definedName>
    <definedName name="tski_4_2_6">#REF!</definedName>
    <definedName name="tski_4_4">#REF!</definedName>
    <definedName name="tski_4_6">#REF!</definedName>
    <definedName name="tski_4_7">#REF!</definedName>
    <definedName name="tski_5">#REF!</definedName>
    <definedName name="tski_5_2">#REF!</definedName>
    <definedName name="tski_5_2_6">#REF!</definedName>
    <definedName name="tski_5_4">#REF!</definedName>
    <definedName name="tski_5_6">#REF!</definedName>
    <definedName name="tski_5_7">#REF!</definedName>
    <definedName name="tski_6">#REF!</definedName>
    <definedName name="tski_6_1">#REF!</definedName>
    <definedName name="tski_6_4">#REF!</definedName>
    <definedName name="tski_6_6">#REF!</definedName>
    <definedName name="tski_6_7">#REF!</definedName>
    <definedName name="tski_7">#REF!</definedName>
    <definedName name="tskie">#REF!</definedName>
    <definedName name="tskie_2">#REF!</definedName>
    <definedName name="tskie_2_1">#REF!</definedName>
    <definedName name="tskie_2_1_6">#REF!</definedName>
    <definedName name="tskie_2_6">#REF!</definedName>
    <definedName name="tskie_2_7">#REF!</definedName>
    <definedName name="tskie_3">#REF!</definedName>
    <definedName name="tskie_3_4">#REF!</definedName>
    <definedName name="tskie_3_6">#REF!</definedName>
    <definedName name="tskie_3_7">#REF!</definedName>
    <definedName name="tskie_4">#REF!</definedName>
    <definedName name="tskie_4_1">#REF!</definedName>
    <definedName name="tskie_4_2">#REF!</definedName>
    <definedName name="tskie_4_2_6">#REF!</definedName>
    <definedName name="tskie_4_4">#REF!</definedName>
    <definedName name="tskie_4_6">#REF!</definedName>
    <definedName name="tskie_4_7">#REF!</definedName>
    <definedName name="tskie_5">#REF!</definedName>
    <definedName name="tskie_5_2">#REF!</definedName>
    <definedName name="tskie_5_2_6">#REF!</definedName>
    <definedName name="tskie_5_4">#REF!</definedName>
    <definedName name="tskie_5_6">#REF!</definedName>
    <definedName name="tskie_5_7">#REF!</definedName>
    <definedName name="tskie_6">#REF!</definedName>
    <definedName name="tskie_6_1">#REF!</definedName>
    <definedName name="tskie_6_4">#REF!</definedName>
    <definedName name="tskie_6_6">#REF!</definedName>
    <definedName name="tskie_6_7">#REF!</definedName>
    <definedName name="tskie_7">#REF!</definedName>
    <definedName name="tsnya2x1.5">#REF!</definedName>
    <definedName name="tsnya2x1.5_2">#REF!</definedName>
    <definedName name="tsnya2x1.5_2_1">#REF!</definedName>
    <definedName name="tsnya2x1.5_2_1_6">#REF!</definedName>
    <definedName name="tsnya2x1.5_2_6">#REF!</definedName>
    <definedName name="tsnya2x1.5_3">#REF!</definedName>
    <definedName name="tsnya2x1.5_3_4">#REF!</definedName>
    <definedName name="tsnya2x1.5_3_6">#REF!</definedName>
    <definedName name="tsnya2x1.5_3_7">#REF!</definedName>
    <definedName name="tsnya2x1.5_4">#REF!</definedName>
    <definedName name="tsnya2x1.5_4_1">#REF!</definedName>
    <definedName name="tsnya2x1.5_4_2">#REF!</definedName>
    <definedName name="tsnya2x1.5_4_2_6">#REF!</definedName>
    <definedName name="tsnya2x1.5_4_4">#REF!</definedName>
    <definedName name="tsnya2x1.5_4_6">#REF!</definedName>
    <definedName name="tsnya2x1.5_4_7">#REF!</definedName>
    <definedName name="tsnya2x1.5_5">#REF!</definedName>
    <definedName name="tsnya2x1.5_5_2">#REF!</definedName>
    <definedName name="tsnya2x1.5_5_2_6">#REF!</definedName>
    <definedName name="tsnya2x1.5_5_4">#REF!</definedName>
    <definedName name="tsnya2x1.5_5_6">#REF!</definedName>
    <definedName name="tsnya2x1.5_5_7">#REF!</definedName>
    <definedName name="tsnya2x1.5_6">#REF!</definedName>
    <definedName name="tsnya2x1.5_6_1">#REF!</definedName>
    <definedName name="tsnya2x1.5_6_4">#REF!</definedName>
    <definedName name="tsnya2x1.5_6_6">#REF!</definedName>
    <definedName name="tsnya2x1.5_6_7">#REF!</definedName>
    <definedName name="tsnya2x1.5_7">#REF!</definedName>
    <definedName name="tsnyafrc">#REF!</definedName>
    <definedName name="tsnyafrc_2">#REF!</definedName>
    <definedName name="tsnyafrc_2_1">#REF!</definedName>
    <definedName name="tsnyafrc_2_1_6">#REF!</definedName>
    <definedName name="tsnyafrc_2_6">#REF!</definedName>
    <definedName name="tsnyafrc_2_7">#REF!</definedName>
    <definedName name="tsnyafrc_3">#REF!</definedName>
    <definedName name="tsnyafrc_3_4">#REF!</definedName>
    <definedName name="tsnyafrc_3_6">#REF!</definedName>
    <definedName name="tsnyafrc_3_7">#REF!</definedName>
    <definedName name="tsnyafrc_4">#REF!</definedName>
    <definedName name="tsnyafrc_4_1">#REF!</definedName>
    <definedName name="tsnyafrc_4_2">#REF!</definedName>
    <definedName name="tsnyafrc_4_2_6">#REF!</definedName>
    <definedName name="tsnyafrc_4_4">#REF!</definedName>
    <definedName name="tsnyafrc_4_6">#REF!</definedName>
    <definedName name="tsnyafrc_4_7">#REF!</definedName>
    <definedName name="tsnyafrc_5">#REF!</definedName>
    <definedName name="tsnyafrc_5_2">#REF!</definedName>
    <definedName name="tsnyafrc_5_2_6">#REF!</definedName>
    <definedName name="tsnyafrc_5_4">#REF!</definedName>
    <definedName name="tsnyafrc_5_6">#REF!</definedName>
    <definedName name="tsnyafrc_5_7">#REF!</definedName>
    <definedName name="tsnyafrc_6">#REF!</definedName>
    <definedName name="tsnyafrc_6_1">#REF!</definedName>
    <definedName name="tsnyafrc_6_4">#REF!</definedName>
    <definedName name="tsnyafrc_6_6">#REF!</definedName>
    <definedName name="tsnyafrc_6_7">#REF!</definedName>
    <definedName name="tsnyafrc_7">#REF!</definedName>
    <definedName name="tso">#REF!</definedName>
    <definedName name="tso_2">#REF!</definedName>
    <definedName name="tso_2_1">#REF!</definedName>
    <definedName name="tso_2_1_6">#REF!</definedName>
    <definedName name="tso_2_6">#REF!</definedName>
    <definedName name="tso_3">#REF!</definedName>
    <definedName name="tso_3_4">#REF!</definedName>
    <definedName name="tso_3_6">#REF!</definedName>
    <definedName name="tso_3_7">#REF!</definedName>
    <definedName name="tso_4">#REF!</definedName>
    <definedName name="tso_4_1">#REF!</definedName>
    <definedName name="tso_4_2">#REF!</definedName>
    <definedName name="tso_4_2_6">#REF!</definedName>
    <definedName name="tso_4_4">#REF!</definedName>
    <definedName name="tso_4_6">#REF!</definedName>
    <definedName name="tso_4_7">#REF!</definedName>
    <definedName name="tso_5">#REF!</definedName>
    <definedName name="tso_5_2">#REF!</definedName>
    <definedName name="tso_5_2_6">#REF!</definedName>
    <definedName name="tso_5_4">#REF!</definedName>
    <definedName name="tso_5_6">#REF!</definedName>
    <definedName name="tso_5_7">#REF!</definedName>
    <definedName name="tso_6">#REF!</definedName>
    <definedName name="tso_6_1">#REF!</definedName>
    <definedName name="tso_6_4">#REF!</definedName>
    <definedName name="tso_6_6">#REF!</definedName>
    <definedName name="tso_6_7">#REF!</definedName>
    <definedName name="tso_7">#REF!</definedName>
    <definedName name="tsp.ix">#REF!</definedName>
    <definedName name="tsp.ixa">#REF!</definedName>
    <definedName name="tsp.ixb">#REF!</definedName>
    <definedName name="tsp.v">#REF!</definedName>
    <definedName name="tsp.va">#REF!</definedName>
    <definedName name="tsp.vb">#REF!</definedName>
    <definedName name="tsp.vc">#REF!</definedName>
    <definedName name="tsp.vd">#REF!</definedName>
    <definedName name="tsp.vf">#REF!</definedName>
    <definedName name="tsp.viib">#REF!</definedName>
    <definedName name="tsp.viic">#REF!</definedName>
    <definedName name="tsp.y4">#REF!</definedName>
    <definedName name="tsryusrt">[52]DHSD!$G$47</definedName>
    <definedName name="tss_kr">#REF!</definedName>
    <definedName name="tst">'[21]Upah Tenaga Kerja'!$E$17</definedName>
    <definedName name="Tsuara">#REF!</definedName>
    <definedName name="tsv25_1">#REF!</definedName>
    <definedName name="tsv25_1_5">#REF!</definedName>
    <definedName name="tsv25_2">#REF!</definedName>
    <definedName name="tsv25_2_1">#REF!</definedName>
    <definedName name="tsv25_2_1_1">#REF!</definedName>
    <definedName name="tsv25_2_1_1_6">#REF!</definedName>
    <definedName name="tsv25_2_1_6">#REF!</definedName>
    <definedName name="tsv25_2_1_7">#REF!</definedName>
    <definedName name="tsv25_2_6">#REF!</definedName>
    <definedName name="tsv25_2_7">#REF!</definedName>
    <definedName name="tsv25_3">#REF!</definedName>
    <definedName name="tsv25_3_4">#REF!</definedName>
    <definedName name="tsv25_3_6">#REF!</definedName>
    <definedName name="tsv25_3_7">#REF!</definedName>
    <definedName name="tsv25_4">#REF!</definedName>
    <definedName name="tsv25_4_1">#REF!</definedName>
    <definedName name="tsv25_4_2">#REF!</definedName>
    <definedName name="tsv25_4_2_6">#REF!</definedName>
    <definedName name="tsv25_4_4">#REF!</definedName>
    <definedName name="tsv25_4_6">#REF!</definedName>
    <definedName name="tsv25_4_7">#REF!</definedName>
    <definedName name="tsv25_5">#REF!</definedName>
    <definedName name="tsv25_5_2">#REF!</definedName>
    <definedName name="tsv25_5_2_6">#REF!</definedName>
    <definedName name="tsv25_5_4">#REF!</definedName>
    <definedName name="tsv25_5_6">#REF!</definedName>
    <definedName name="tsv25_5_7">#REF!</definedName>
    <definedName name="tsv25_6">#REF!</definedName>
    <definedName name="tsv25_6_1">#REF!</definedName>
    <definedName name="tsv25_6_4">#REF!</definedName>
    <definedName name="tsv25_6_6">#REF!</definedName>
    <definedName name="tsv25_6_7">#REF!</definedName>
    <definedName name="tsv25_7">#REF!</definedName>
    <definedName name="TSYHS">'[50]SAT-DAS'!$J$62</definedName>
    <definedName name="tsyws">[112]DHSD!$G$16</definedName>
    <definedName name="TT" hidden="1">{"'Sheet1'!$A$1"}</definedName>
    <definedName name="TT_1P">#REF!</definedName>
    <definedName name="TT_3p">#REF!</definedName>
    <definedName name="tt1pnc">'[18]lam-moi'!#REF!</definedName>
    <definedName name="tt1pvl">'[18]lam-moi'!#REF!</definedName>
    <definedName name="tt3pnc">'[18]lam-moi'!#REF!</definedName>
    <definedName name="tt3pvl">'[18]lam-moi'!#REF!</definedName>
    <definedName name="TTB">#REF!</definedName>
    <definedName name="TTDD">#REF!+#REF!+#REF!</definedName>
    <definedName name="TTDD3P">[18]TDTKP1!#REF!</definedName>
    <definedName name="TTDDCT3p">[18]TDTKP1!#REF!</definedName>
    <definedName name="ttk.lam">#REF!</definedName>
    <definedName name="TTK3p">#REF!</definedName>
    <definedName name="ttklampu">#REF!</definedName>
    <definedName name="ttkstop">#REF!</definedName>
    <definedName name="TTLPRIC">#REF!</definedName>
    <definedName name="ttronmk">#REF!</definedName>
    <definedName name="tttikkk">#REF!</definedName>
    <definedName name="TTTT">#REF!</definedName>
    <definedName name="ttttey" hidden="1">{"'Sheet1'!$A$1"}</definedName>
    <definedName name="tttttttttttttttttttttttttttttt">#REF!</definedName>
    <definedName name="tu">#REF!</definedName>
    <definedName name="TUAL">#REF!</definedName>
    <definedName name="TUBA">#REF!</definedName>
    <definedName name="TUBAJ">#REF!</definedName>
    <definedName name="TUBE">[10]Upah!$F$21</definedName>
    <definedName name="TUBO">#REF!</definedName>
    <definedName name="TUCA">#REF!</definedName>
    <definedName name="tujuh">#REF!</definedName>
    <definedName name="tuk">#REF!</definedName>
    <definedName name="tuk.batu">#REF!</definedName>
    <definedName name="tuk.besi">#REF!</definedName>
    <definedName name="tuk.cat">#REF!</definedName>
    <definedName name="tuk.gali">#REF!</definedName>
    <definedName name="tuk.kayu">#REF!</definedName>
    <definedName name="tuk.kusen">#REF!</definedName>
    <definedName name="TUKA">[10]Upah!$F$17</definedName>
    <definedName name="Tukang">#REF!</definedName>
    <definedName name="Tukang.b">#REF!</definedName>
    <definedName name="Tukang.kayu">#REF!</definedName>
    <definedName name="TUKANG_BATU_SETENGAH_TERAMPIL">#REF!</definedName>
    <definedName name="TUKANG_BATU_SETENGAH_TERAMPIL_23">#REF!</definedName>
    <definedName name="TUKANG_BATU_SETENGAH_TERAMPIL_25">#REF!</definedName>
    <definedName name="TUKANG_BATU_TERAMPIL">#REF!</definedName>
    <definedName name="TUKANG_BATU_TERAMPIL_23">#REF!</definedName>
    <definedName name="TUKANG_BATU_TERAMPIL_25">#REF!</definedName>
    <definedName name="TUKANG_BESI_BETON_SETENGAH_TERAMPIL">#REF!</definedName>
    <definedName name="TUKANG_BESI_BETON_SETENGAH_TERAMPIL_23">#REF!</definedName>
    <definedName name="TUKANG_BESI_BETON_SETENGAH_TERAMPIL_25">#REF!</definedName>
    <definedName name="TUKANG_BESI_BETON_TERAMPIL">#REF!</definedName>
    <definedName name="TUKANG_BESI_BETON_TERAMPIL_23">#REF!</definedName>
    <definedName name="TUKANG_BESI_BETON_TERAMPIL_25">#REF!</definedName>
    <definedName name="TUKANG_BESI_PROFIL_SETENGAH_TERAMPIL">#REF!</definedName>
    <definedName name="TUKANG_BESI_PROFIL_SETENGAH_TERAMPIL_23">#REF!</definedName>
    <definedName name="TUKANG_BESI_PROFIL_SETENGAH_TERAMPIL_25">#REF!</definedName>
    <definedName name="TUKANG_BESI_PROFIL_TERAMPIL">#REF!</definedName>
    <definedName name="TUKANG_BESI_PROFIL_TERAMPIL_23">#REF!</definedName>
    <definedName name="TUKANG_BESI_PROFIL_TERAMPIL_25">#REF!</definedName>
    <definedName name="tukang_bt">#REF!</definedName>
    <definedName name="TUKANG_CAT">#REF!</definedName>
    <definedName name="TUKANG_CAT___PELITUR_SETENGAH_TERAMPIL">#REF!</definedName>
    <definedName name="TUKANG_CAT___PELITUR_SETENGAH_TERAMPIL_23">#REF!</definedName>
    <definedName name="TUKANG_CAT___PELITUR_SETENGAH_TERAMPIL_25">#REF!</definedName>
    <definedName name="TUKANG_CAT___PELITUR_TERAMPIL">#REF!</definedName>
    <definedName name="TUKANG_CAT___PELITUR_TERAMPIL_23">#REF!</definedName>
    <definedName name="TUKANG_CAT___PELITUR_TERAMPIL_25">#REF!</definedName>
    <definedName name="TUKANG_GALI">#REF!</definedName>
    <definedName name="TUKANG_GALI_23">#REF!</definedName>
    <definedName name="TUKANG_GALI_25">#REF!</definedName>
    <definedName name="TUKANG_KAYU">#REF!</definedName>
    <definedName name="TUKANG_KAYU_SETENGAH_TERAMPIL">#REF!</definedName>
    <definedName name="TUKANG_KAYU_SETENGAH_TERAMPIL_23">#REF!</definedName>
    <definedName name="TUKANG_KAYU_SETENGAH_TERAMPIL_25">#REF!</definedName>
    <definedName name="TUKANG_KAYU_TERAMPIL">#REF!</definedName>
    <definedName name="TUKANG_KAYU_TERAMPIL_23">#REF!</definedName>
    <definedName name="TUKANG_KAYU_TERAMPIL_25">#REF!</definedName>
    <definedName name="TUKANG_MEUBELAIR">#REF!</definedName>
    <definedName name="TUKANG_MEUBELAIR_23">#REF!</definedName>
    <definedName name="TUKANG_MEUBELAIR_25">#REF!</definedName>
    <definedName name="Tukang_pipa">#REF!</definedName>
    <definedName name="TUKANG_TAMAN">#REF!</definedName>
    <definedName name="TUKANG_TAMAN_23">#REF!</definedName>
    <definedName name="TUKANG_TAMAN_25">#REF!</definedName>
    <definedName name="TUKANG753">#REF!</definedName>
    <definedName name="tukangbatu">#REF!</definedName>
    <definedName name="tukangbatut">#REF!</definedName>
    <definedName name="tukangbesi">#REF!</definedName>
    <definedName name="tukangcat">#REF!</definedName>
    <definedName name="tukangcatt">#REF!</definedName>
    <definedName name="tukanggali">#REF!</definedName>
    <definedName name="TUKANGKAYU">#REF!</definedName>
    <definedName name="tukangkayut">#REF!</definedName>
    <definedName name="Tukanglas">[33]H_Dasar!#REF!</definedName>
    <definedName name="TUKANGLISTRIK">#REF!</definedName>
    <definedName name="tukangpipa">#REF!</definedName>
    <definedName name="tukbatu">#REF!</definedName>
    <definedName name="tukng">#REF!</definedName>
    <definedName name="tukngkayu">#REF!</definedName>
    <definedName name="TUL">#REF!</definedName>
    <definedName name="TUL_U24">#REF!</definedName>
    <definedName name="TUL_U39">#REF!</definedName>
    <definedName name="TUL_U40">#REF!</definedName>
    <definedName name="tulang24">#REF!</definedName>
    <definedName name="tulang39">#REF!</definedName>
    <definedName name="Tulangan">#REF!</definedName>
    <definedName name="TULANGANBESIPOLOS">#REF!</definedName>
    <definedName name="TULANGANBESIULIR">#REF!</definedName>
    <definedName name="tulanganK1.lt.1">#REF!</definedName>
    <definedName name="tulanganK1.lt.2">#REF!</definedName>
    <definedName name="tulanganK1.lt.3">#REF!</definedName>
    <definedName name="tulanganK1.lt.dsr">#REF!</definedName>
    <definedName name="tulanganK10.lt.1">#REF!</definedName>
    <definedName name="tulanganK10.lt.2">#REF!</definedName>
    <definedName name="tulanganK10.lt.3">#REF!</definedName>
    <definedName name="tulanganK10.lt.dsr">#REF!</definedName>
    <definedName name="tulanganK2.lt.1">#REF!</definedName>
    <definedName name="tulanganK2.lt.2">#REF!</definedName>
    <definedName name="tulanganK2.lt.3">#REF!</definedName>
    <definedName name="tulanganK2.lt.dsr">#REF!</definedName>
    <definedName name="tulanganK3.lt.1">#REF!</definedName>
    <definedName name="tulanganK3.lt.2">#REF!</definedName>
    <definedName name="tulanganK3.lt.3">#REF!</definedName>
    <definedName name="tulanganK3.lt.dsr">#REF!</definedName>
    <definedName name="tulanganK4.lt.1">#REF!</definedName>
    <definedName name="tulanganK4.lt.2">#REF!</definedName>
    <definedName name="tulanganK4.lt.3">#REF!</definedName>
    <definedName name="tulanganK4.lt.dsr">#REF!</definedName>
    <definedName name="tulanganK5.lt.1">#REF!</definedName>
    <definedName name="tulanganK5.lt.2">#REF!</definedName>
    <definedName name="tulanganK5.lt.3">#REF!</definedName>
    <definedName name="tulanganK5.lt.dsr">#REF!</definedName>
    <definedName name="tulanganK6.lt.1">#REF!</definedName>
    <definedName name="tulanganK6.lt.2">#REF!</definedName>
    <definedName name="tulanganK6.lt.3">#REF!</definedName>
    <definedName name="tulanganK6.lt.dsr">#REF!</definedName>
    <definedName name="tulanganK7.lt.1">#REF!</definedName>
    <definedName name="tulanganK7.lt.2">#REF!</definedName>
    <definedName name="tulanganK7.lt.3">#REF!</definedName>
    <definedName name="tulanganK7.lt.dsr">#REF!</definedName>
    <definedName name="tulanganK8.lt.1">#REF!</definedName>
    <definedName name="tulanganK8.lt.2">#REF!</definedName>
    <definedName name="tulanganK8.lt.3">#REF!</definedName>
    <definedName name="tulanganK8.lt.dsr">#REF!</definedName>
    <definedName name="tulanganK9.lt.1">#REF!</definedName>
    <definedName name="tulanganK9.lt.2">#REF!</definedName>
    <definedName name="tulanganK9.lt.3">#REF!</definedName>
    <definedName name="tulanganK9.lt.dsr">#REF!</definedName>
    <definedName name="tulanganKL">#REF!</definedName>
    <definedName name="tulanganKR1">#REF!</definedName>
    <definedName name="tulanganKTG1">#REF!</definedName>
    <definedName name="tulanganKTG1A">#REF!</definedName>
    <definedName name="tulanganKTG2">#REF!</definedName>
    <definedName name="tulanganTB.1">#REF!</definedName>
    <definedName name="tulanganTB.2">#REF!</definedName>
    <definedName name="tulanganTB.3">#REF!</definedName>
    <definedName name="tulanganTB.4">#REF!</definedName>
    <definedName name="tulanganTB.5">#REF!</definedName>
    <definedName name="tulanganTB.6">#REF!</definedName>
    <definedName name="tult">[80]DHSD!$G$43</definedName>
    <definedName name="turbo">'[21]Harga Satuan Bahan'!#REF!</definedName>
    <definedName name="turbogls">'[21]Harga Satuan Bahan'!#REF!</definedName>
    <definedName name="tus">'[105]SAT-DAS'!$J$22</definedName>
    <definedName name="tusiter">#REF!</definedName>
    <definedName name="tusrs">'[113]SAT-DAS'!$J$52</definedName>
    <definedName name="TUTUP_SAL">'[33]Analisa pemkot'!#REF!</definedName>
    <definedName name="tutup1">#REF!</definedName>
    <definedName name="TUUR">#REF!</definedName>
    <definedName name="TV">#REF!</definedName>
    <definedName name="TV.Nas">#REF!</definedName>
    <definedName name="TV.Phil">#REF!</definedName>
    <definedName name="tv75nc">#REF!</definedName>
    <definedName name="tv75vl">#REF!</definedName>
    <definedName name="tw.1">#REF!</definedName>
    <definedName name="tw.1a">#REF!</definedName>
    <definedName name="tw.1b">#REF!</definedName>
    <definedName name="tw.3">#REF!</definedName>
    <definedName name="tw.6">#REF!</definedName>
    <definedName name="tw.7">#REF!</definedName>
    <definedName name="Twd4k">#REF!</definedName>
    <definedName name="twlk">#N/A</definedName>
    <definedName name="twood">#REF!</definedName>
    <definedName name="twood110">#REF!</definedName>
    <definedName name="twood122">#REF!</definedName>
    <definedName name="twoodalm">#REF!</definedName>
    <definedName name="TWR">[55]URAI!$L$1013</definedName>
    <definedName name="twyhwty">[52]DHSD!$G$25</definedName>
    <definedName name="tx1bn">#REF!</definedName>
    <definedName name="tx1pignc">'[18]thao-go'!#REF!</definedName>
    <definedName name="tx1pindnc">'[18]thao-go'!#REF!</definedName>
    <definedName name="tx1pingnc">'[18]thao-go'!#REF!</definedName>
    <definedName name="tx1pintnc">'[18]thao-go'!#REF!</definedName>
    <definedName name="tx1pitnc">'[18]thao-go'!#REF!</definedName>
    <definedName name="tx2mhnnc">'[18]thao-go'!#REF!</definedName>
    <definedName name="tx2mitnc">'[18]thao-go'!#REF!</definedName>
    <definedName name="txhnnc">'[18]thao-go'!#REF!</definedName>
    <definedName name="txig1nc">'[18]thao-go'!#REF!</definedName>
    <definedName name="txin190nc">'[18]thao-go'!#REF!</definedName>
    <definedName name="txinnc">'[18]thao-go'!#REF!</definedName>
    <definedName name="txit1nc">'[18]thao-go'!#REF!</definedName>
    <definedName name="ty">#REF!</definedName>
    <definedName name="tye">'[49]Lamp-4 Sat-Das'!$J$57</definedName>
    <definedName name="tye45pvc10">#REF!</definedName>
    <definedName name="tye90pvc10">#REF!</definedName>
    <definedName name="tyjuy">'[50]SAT-DAS'!$J$20</definedName>
    <definedName name="tykjtdk">[80]DHSD!$G$29</definedName>
    <definedName name="Tyler">#REF!</definedName>
    <definedName name="TYPICAL_FLOOR___7_LEVEL">#REF!</definedName>
    <definedName name="TYPICAL_FLOOR___7_LEVEL_1">#REF!</definedName>
    <definedName name="TYPICAL_FLOOR___7_LEVEL_1_2">#REF!</definedName>
    <definedName name="TYPICAL_FLOOR___7_LEVEL_1_2_6">#REF!</definedName>
    <definedName name="TYPICAL_FLOOR___7_LEVEL_1_4">#REF!</definedName>
    <definedName name="TYPICAL_FLOOR___7_LEVEL_1_6">#REF!</definedName>
    <definedName name="TYPICAL_FLOOR___7_LEVEL_1_7">#REF!</definedName>
    <definedName name="TYPICAL_FLOOR___7_LEVEL_15">#REF!</definedName>
    <definedName name="TYPICAL_FLOOR___7_LEVEL_15_1">#REF!</definedName>
    <definedName name="TYPICAL_FLOOR___7_LEVEL_15_16">#REF!</definedName>
    <definedName name="TYPICAL_FLOOR___7_LEVEL_15_7">#REF!</definedName>
    <definedName name="TYPICAL_FLOOR___7_LEVEL_16">#REF!</definedName>
    <definedName name="TYPICAL_FLOOR___7_LEVEL_17">#REF!</definedName>
    <definedName name="TYPICAL_FLOOR___7_LEVEL_2">#REF!</definedName>
    <definedName name="TYPICAL_FLOOR___7_LEVEL_2_1">#REF!</definedName>
    <definedName name="TYPICAL_FLOOR___7_LEVEL_2_1_6">#REF!</definedName>
    <definedName name="TYPICAL_FLOOR___7_LEVEL_2_2">#REF!</definedName>
    <definedName name="TYPICAL_FLOOR___7_LEVEL_2_2_6">#REF!</definedName>
    <definedName name="TYPICAL_FLOOR___7_LEVEL_2_4">#REF!</definedName>
    <definedName name="TYPICAL_FLOOR___7_LEVEL_2_5">#REF!</definedName>
    <definedName name="TYPICAL_FLOOR___7_LEVEL_2_6">#REF!</definedName>
    <definedName name="TYPICAL_FLOOR___7_LEVEL_2_7">#REF!</definedName>
    <definedName name="TYPICAL_FLOOR___7_LEVEL_3">#REF!</definedName>
    <definedName name="TYPICAL_FLOOR___7_LEVEL_3_2">#REF!</definedName>
    <definedName name="TYPICAL_FLOOR___7_LEVEL_3_2_6">#REF!</definedName>
    <definedName name="TYPICAL_FLOOR___7_LEVEL_3_4">#REF!</definedName>
    <definedName name="TYPICAL_FLOOR___7_LEVEL_3_5">#REF!</definedName>
    <definedName name="TYPICAL_FLOOR___7_LEVEL_3_6">#REF!</definedName>
    <definedName name="TYPICAL_FLOOR___7_LEVEL_3_7">#REF!</definedName>
    <definedName name="TYPICAL_FLOOR___7_LEVEL_4">#REF!</definedName>
    <definedName name="TYPICAL_FLOOR___7_LEVEL_4_1">#REF!</definedName>
    <definedName name="TYPICAL_FLOOR___7_LEVEL_4_2">#REF!</definedName>
    <definedName name="TYPICAL_FLOOR___7_LEVEL_4_2_6">#REF!</definedName>
    <definedName name="TYPICAL_FLOOR___7_LEVEL_4_4">#REF!</definedName>
    <definedName name="TYPICAL_FLOOR___7_LEVEL_4_6">#REF!</definedName>
    <definedName name="TYPICAL_FLOOR___7_LEVEL_4_7">#REF!</definedName>
    <definedName name="TYPICAL_FLOOR___7_LEVEL_5">#REF!</definedName>
    <definedName name="TYPICAL_FLOOR___7_LEVEL_5_2">#REF!</definedName>
    <definedName name="TYPICAL_FLOOR___7_LEVEL_5_2_6">#REF!</definedName>
    <definedName name="TYPICAL_FLOOR___7_LEVEL_5_4">#REF!</definedName>
    <definedName name="TYPICAL_FLOOR___7_LEVEL_5_6">#REF!</definedName>
    <definedName name="TYPICAL_FLOOR___7_LEVEL_5_7">#REF!</definedName>
    <definedName name="TYPICAL_FLOOR___7_LEVEL_6">#REF!</definedName>
    <definedName name="TYPICAL_FLOOR___7_LEVEL_6_1">#REF!</definedName>
    <definedName name="TYPICAL_FLOOR___7_LEVEL_6_2">#REF!</definedName>
    <definedName name="TYPICAL_FLOOR___7_LEVEL_6_2_6">#REF!</definedName>
    <definedName name="TYPICAL_FLOOR___7_LEVEL_6_4">#REF!</definedName>
    <definedName name="TYPICAL_FLOOR___7_LEVEL_6_6">#REF!</definedName>
    <definedName name="TYPICAL_FLOOR___7_LEVEL_6_7">#REF!</definedName>
    <definedName name="TYPICAL_FLOOR___7_LEVEL_7">#REF!</definedName>
    <definedName name="TYPICAL_FLOOR___7_LEVEL_7_1">#REF!</definedName>
    <definedName name="TYPICAL_FLOOR___7_LEVEL_7_6">#REF!</definedName>
    <definedName name="TYPICAL_FLOOR___7_LEVEL_7_7">#REF!</definedName>
    <definedName name="TYPICAL_FLOOR___7_LEVEL_8">#REF!</definedName>
    <definedName name="TYPICAL_FLOOR___7_LEVEL_9">#REF!</definedName>
    <definedName name="tysh">'[50]SAT-DAS'!$J$22</definedName>
    <definedName name="tytu" hidden="1">{"'Sheet1'!$A$1"}</definedName>
    <definedName name="tyu" hidden="1">{#N/A,#N/A,FALSE,"REK-S-TPL";#N/A,#N/A,FALSE,"REK-TPML";#N/A,#N/A,FALSE,"RAB-TEMPEL"}</definedName>
    <definedName name="tywsysws">[52]DHSD!$G$48</definedName>
    <definedName name="tyyy" hidden="1">{"'Sheet1'!$A$1"}</definedName>
    <definedName name="u">#REF!</definedName>
    <definedName name="U.1">#REF!</definedName>
    <definedName name="U.1_30">#REF!</definedName>
    <definedName name="U.2">#REF!</definedName>
    <definedName name="U.2_30">#REF!</definedName>
    <definedName name="U.2a">#REF!</definedName>
    <definedName name="U.2a_30">#REF!</definedName>
    <definedName name="U.Angkutbesi">#REF!</definedName>
    <definedName name="U.Batu">#REF!</definedName>
    <definedName name="U.Bekisting">#REF!</definedName>
    <definedName name="u.besi">#REF!</definedName>
    <definedName name="U.BongkarBkst">#REF!</definedName>
    <definedName name="u.bt">#REF!</definedName>
    <definedName name="u.bt_30">#REF!</definedName>
    <definedName name="U.Conduit">#REF!</definedName>
    <definedName name="u.cor">#REF!</definedName>
    <definedName name="U.Cor1">#REF!</definedName>
    <definedName name="U.Cor2">#REF!</definedName>
    <definedName name="U.Curing">#REF!</definedName>
    <definedName name="U.Gelarbase">#REF!</definedName>
    <definedName name="U.Gelarps">#REF!</definedName>
    <definedName name="U.Kepala_Tukang_Kayu">#REF!</definedName>
    <definedName name="U.M_a_n_d_o_r">#REF!</definedName>
    <definedName name="U.P_e_k_e_r_j_a">#REF!</definedName>
    <definedName name="U.pabrikasibesi">#REF!</definedName>
    <definedName name="U.Siapcor">#REF!</definedName>
    <definedName name="U.Stelbesi">#REF!</definedName>
    <definedName name="U.Tukang_Kayu">#REF!</definedName>
    <definedName name="U_1">#REF!</definedName>
    <definedName name="U_24">#REF!</definedName>
    <definedName name="U_40">#REF!</definedName>
    <definedName name="u_57M">#REF!</definedName>
    <definedName name="U_AAN">#REF!</definedName>
    <definedName name="U_ACI">#REF!</definedName>
    <definedName name="U_ACIBLT">#REF!</definedName>
    <definedName name="U_ALFOIL">#REF!</definedName>
    <definedName name="U_ALUR">#REF!</definedName>
    <definedName name="U_ALUR_T">#REF!</definedName>
    <definedName name="U_BAK_C">#REF!</definedName>
    <definedName name="U_BASE_C">#REF!</definedName>
    <definedName name="U_BATA">#REF!</definedName>
    <definedName name="U_BATA_K">#REF!</definedName>
    <definedName name="U_BATA1">#REF!</definedName>
    <definedName name="U_BATACO">#REF!</definedName>
    <definedName name="U_BEN">#REF!</definedName>
    <definedName name="U_BER">#REF!</definedName>
    <definedName name="U_BERKER">#REF!</definedName>
    <definedName name="U_BKALI">#REF!</definedName>
    <definedName name="U_BKB">#REF!</definedName>
    <definedName name="U_BKBJA">#REF!</definedName>
    <definedName name="U_BKD">#REF!</definedName>
    <definedName name="U_BKKB">#REF!</definedName>
    <definedName name="U_BKKP">#REF!</definedName>
    <definedName name="U_BKPL">#REF!</definedName>
    <definedName name="U_BKSL">#REF!</definedName>
    <definedName name="U_BKT">#REF!</definedName>
    <definedName name="U_BLATEI">#REF!</definedName>
    <definedName name="U_BOR_G">#REF!</definedName>
    <definedName name="U_BOUW">#REF!</definedName>
    <definedName name="U_BTC">#REF!</definedName>
    <definedName name="U_BTKALI">#REF!</definedName>
    <definedName name="U_BUANG_T">#REF!</definedName>
    <definedName name="U_BUBUNG">#REF!</definedName>
    <definedName name="U_CANDI">#REF!</definedName>
    <definedName name="U_CAT_D">#REF!</definedName>
    <definedName name="U_Ceiling_speker">[39]Elektronik!#REF!</definedName>
    <definedName name="U_CELCON">#REF!</definedName>
    <definedName name="u_cip">#REF!</definedName>
    <definedName name="u_clos_T420_J">[39]Plumbing!#REF!</definedName>
    <definedName name="U_CO_100">[39]Plumbing!#REF!</definedName>
    <definedName name="U_CO_50">[39]Plumbing!#REF!</definedName>
    <definedName name="U_CO_80">[39]Plumbing!#REF!</definedName>
    <definedName name="U_COR_CP">#REF!</definedName>
    <definedName name="U_COR_LK">#REF!</definedName>
    <definedName name="U_COR_LKSM">#REF!</definedName>
    <definedName name="U_COR_RM">#REF!</definedName>
    <definedName name="U_COR_SM">#REF!</definedName>
    <definedName name="U_CUCI_G">#REF!</definedName>
    <definedName name="U_CUR">#REF!</definedName>
    <definedName name="U_DCLOSER">#REF!</definedName>
    <definedName name="U_detec">[39]Elektronik!#REF!</definedName>
    <definedName name="U_DILATASI">#REF!</definedName>
    <definedName name="U_DINDING_A">#REF!</definedName>
    <definedName name="U_DSTOP">#REF!</definedName>
    <definedName name="U_DT">#REF!</definedName>
    <definedName name="u_EAG_10x8">[39]AC!#REF!</definedName>
    <definedName name="u_EAG_7x5">[39]AC!#REF!</definedName>
    <definedName name="U_Ef_800">[39]Electrikal!#REF!</definedName>
    <definedName name="U_ENG">#REF!</definedName>
    <definedName name="U_EXCV">#REF!</definedName>
    <definedName name="U_Faucet">[39]Plumbing!#REF!</definedName>
    <definedName name="U_FD">#REF!</definedName>
    <definedName name="u_fe_sound">[39]Elektronik!#REF!</definedName>
    <definedName name="U_floor_drain50">[39]Plumbing!#REF!</definedName>
    <definedName name="u_flow_switch">'[39]Fire Fighting'!#REF!</definedName>
    <definedName name="U_GALIAN_M">#REF!</definedName>
    <definedName name="U_GB">#REF!</definedName>
    <definedName name="U_GBLOK">#REF!</definedName>
    <definedName name="U_GBLOK2">#REF!</definedName>
    <definedName name="U_GELAR">#REF!</definedName>
    <definedName name="U_GEN">#REF!</definedName>
    <definedName name="U_GRAFIER_1">#REF!</definedName>
    <definedName name="U_GRAFIER_2">#REF!</definedName>
    <definedName name="U_GRANIT">#REF!</definedName>
    <definedName name="U_GREN">#REF!</definedName>
    <definedName name="U_GRENTAN">#REF!</definedName>
    <definedName name="U_Gs_20">[39]Electrikal!#REF!</definedName>
    <definedName name="U_Gs_24">[39]Electrikal!#REF!</definedName>
    <definedName name="U_GSTONE">#REF!</definedName>
    <definedName name="U_GT">#REF!</definedName>
    <definedName name="U_GTKC">#REF!</definedName>
    <definedName name="u_gv_100_c150">'[39]Fire Fighting'!#REF!</definedName>
    <definedName name="u_gv_20">[39]Plumbing!#REF!</definedName>
    <definedName name="u_gv_25_c150">'[39]Fire Fighting'!#REF!</definedName>
    <definedName name="u_gv_40">[39]Plumbing!#REF!</definedName>
    <definedName name="u_gv_65">[39]Plumbing!#REF!</definedName>
    <definedName name="u_gv_80_c150">'[39]Fire Fighting'!#REF!</definedName>
    <definedName name="U_HAK_A">#REF!</definedName>
    <definedName name="u_head_sprinkler">'[39]Fire Fighting'!#REF!</definedName>
    <definedName name="U_INCOVE">#REF!</definedName>
    <definedName name="U_Indoor_box">'[39]Fire Fighting'!#REF!</definedName>
    <definedName name="U_Ins_call_itc">[39]Elektronik!#REF!</definedName>
    <definedName name="U_Ins_ceiling">[39]Elektronik!#REF!</definedName>
    <definedName name="U_Ins_data">[39]Elektronik!#REF!</definedName>
    <definedName name="U_Ins_detec">[39]Elektronik!#REF!</definedName>
    <definedName name="U_Ins_fan">[39]Electrikal!#REF!</definedName>
    <definedName name="u_ins_fcu">'[39]Item Kompensasi'!#REF!</definedName>
    <definedName name="U_Ins_man_flow_bell">[39]Elektronik!#REF!</definedName>
    <definedName name="u_ins_out">[157]Elektrikal!#REF!</definedName>
    <definedName name="u_ins_pen">[96]Elektrikal!#REF!</definedName>
    <definedName name="U_Ins_telp">[39]Elektronik!#REF!</definedName>
    <definedName name="U_Ins_transmitter">[39]Elektronik!#REF!</definedName>
    <definedName name="U_KANSTEEN">#REF!</definedName>
    <definedName name="U_KANSTIN">#REF!</definedName>
    <definedName name="U_KAR">#REF!</definedName>
    <definedName name="U_KARPET">#REF!</definedName>
    <definedName name="U_KC">#REF!</definedName>
    <definedName name="u_kitchen_sink">[39]Plumbing!#REF!</definedName>
    <definedName name="U_KLIPLOK">#REF!</definedName>
    <definedName name="U_KLOSET">#REF!</definedName>
    <definedName name="U_KLOSET_J">#REF!</definedName>
    <definedName name="U_KOL_KC">#REF!</definedName>
    <definedName name="U_KOR_S">#REF!</definedName>
    <definedName name="U_KORSI">#REF!</definedName>
    <definedName name="U_KP">#REF!</definedName>
    <definedName name="U_KP2">#REF!</definedName>
    <definedName name="U_KRAN">#REF!</definedName>
    <definedName name="U_KRDD">#REF!</definedName>
    <definedName name="U_KRLT">#REF!</definedName>
    <definedName name="U_KRT">#REF!</definedName>
    <definedName name="U_KSINK_S">#REF!</definedName>
    <definedName name="U_KUDA">#REF!</definedName>
    <definedName name="U_KUN_ENG">#REF!</definedName>
    <definedName name="U_KUN_GREN">#REF!</definedName>
    <definedName name="U_KUN_HAK">#REF!</definedName>
    <definedName name="U_KUN_KM">#REF!</definedName>
    <definedName name="U_KUN_U">#REF!</definedName>
    <definedName name="U_KUN_WC">#REF!</definedName>
    <definedName name="U_KUSEN">#REF!</definedName>
    <definedName name="u_lamp">[96]Elektrikal!#REF!</definedName>
    <definedName name="U_LIS_P">#REF!</definedName>
    <definedName name="U_LISPL_JT">#REF!</definedName>
    <definedName name="U_LISPLANK">#REF!</definedName>
    <definedName name="U_LISTPLANK">#REF!</definedName>
    <definedName name="U_LOADING_T">#REF!</definedName>
    <definedName name="U_LOKER">#REF!</definedName>
    <definedName name="U_M12L">[39]Elektronik!#REF!</definedName>
    <definedName name="U_MAR_S">#REF!</definedName>
    <definedName name="U_MARMER">#REF!</definedName>
    <definedName name="U_MARMER_D">#REF!</definedName>
    <definedName name="U_MARMER_L">#REF!</definedName>
    <definedName name="U_MARMER_T">#REF!</definedName>
    <definedName name="u_mrtr">#REF!</definedName>
    <definedName name="U_NOSING">#REF!</definedName>
    <definedName name="U_PADAT">#REF!</definedName>
    <definedName name="U_PADAT2">#REF!</definedName>
    <definedName name="U_PAGAR">#REF!</definedName>
    <definedName name="U_PAGAR_BRC">#REF!</definedName>
    <definedName name="U_PAGAR2">#REF!</definedName>
    <definedName name="U_PALIM">#REF!</definedName>
    <definedName name="U_PANCANG">#REF!</definedName>
    <definedName name="U_PAVING">#REF!</definedName>
    <definedName name="U_PAVING_L">#REF!</definedName>
    <definedName name="U_PBESI">#REF!</definedName>
    <definedName name="U_PBESI24">#REF!</definedName>
    <definedName name="U_PBESI39">#REF!</definedName>
    <definedName name="U_PC_DOLK">#REF!</definedName>
    <definedName name="U_PGL">#REF!</definedName>
    <definedName name="u_pholder">[39]Plumbing!#REF!</definedName>
    <definedName name="U_PINGMAR">#REF!</definedName>
    <definedName name="U_PINTU">#REF!</definedName>
    <definedName name="U_PINTU2">#REF!</definedName>
    <definedName name="U_PLAF">#REF!</definedName>
    <definedName name="U_PLAFON_E">#REF!</definedName>
    <definedName name="U_PLAFOND">#REF!</definedName>
    <definedName name="U_PLASTIK">#REF!</definedName>
    <definedName name="U_PLES">#REF!</definedName>
    <definedName name="U_PLES12">#REF!</definedName>
    <definedName name="U_PLES13">#REF!</definedName>
    <definedName name="U_PLES13BLT">#REF!</definedName>
    <definedName name="U_PLES15">#REF!</definedName>
    <definedName name="U_PLESACI">#REF!</definedName>
    <definedName name="U_PLESACI_L">#REF!</definedName>
    <definedName name="U_PLF_A">#REF!</definedName>
    <definedName name="U_PLF_ACT">#REF!</definedName>
    <definedName name="U_PLF_LUX">#REF!</definedName>
    <definedName name="U_PLIN_T">#REF!</definedName>
    <definedName name="U_PLINMAR">#REF!</definedName>
    <definedName name="U_PLINT_KY">#REF!</definedName>
    <definedName name="U_POLES">#REF!</definedName>
    <definedName name="U_POLES_G">#REF!</definedName>
    <definedName name="U_POLES_S">#REF!</definedName>
    <definedName name="U_POLES_T">#REF!</definedName>
    <definedName name="U_PTS">#REF!</definedName>
    <definedName name="U_PVC">#REF!</definedName>
    <definedName name="U_pvc_150">[39]Plumbing!#REF!</definedName>
    <definedName name="U_R_A_I_A_N">#REF!</definedName>
    <definedName name="U_RAIL_TANG">#REF!</definedName>
    <definedName name="U_RANGPLA">#REF!</definedName>
    <definedName name="U_RATA">#REF!</definedName>
    <definedName name="U_REUTER">#REF!</definedName>
    <definedName name="U_RIDGE">#REF!</definedName>
    <definedName name="U_RPLF_A">#REF!</definedName>
    <definedName name="U_saklar">[39]Electrikal!#REF!</definedName>
    <definedName name="U_SC5">#REF!</definedName>
    <definedName name="U_SC5M3">#REF!</definedName>
    <definedName name="U_SC6">#REF!</definedName>
    <definedName name="U_SCF">#REF!</definedName>
    <definedName name="u_scred">#REF!</definedName>
    <definedName name="U_SCREED">#REF!</definedName>
    <definedName name="u_se">[96]Elektrikal!#REF!</definedName>
    <definedName name="U_SEKAT_U">#REF!</definedName>
    <definedName name="U_SETRIKAN">#REF!</definedName>
    <definedName name="U_SHOWER">#REF!</definedName>
    <definedName name="U_SKIRTING">#REF!</definedName>
    <definedName name="U_SKIRTINGVIN">#REF!</definedName>
    <definedName name="U_SKON">#REF!</definedName>
    <definedName name="U_SP">#REF!</definedName>
    <definedName name="U_spotlight">[39]Electrikal!#REF!</definedName>
    <definedName name="U_STRIP">#REF!</definedName>
    <definedName name="u_syp_vor_clos">[39]Plumbing!#REF!</definedName>
    <definedName name="U_T_TX416_SC">[39]Plumbing!#REF!</definedName>
    <definedName name="U_T_TX706_AC">[39]Plumbing!#REF!</definedName>
    <definedName name="U_TAL_S">#REF!</definedName>
    <definedName name="U_TAL_VER">#REF!</definedName>
    <definedName name="U_TALBJ">#REF!</definedName>
    <definedName name="U_TALGIP">#REF!</definedName>
    <definedName name="U_TB_Sound">[39]Elektronik!#REF!</definedName>
    <definedName name="U_TB_telp">[39]Elektronik!#REF!</definedName>
    <definedName name="U_TBFA">[39]Elektronik!#REF!</definedName>
    <definedName name="U_TEMPEL">#REF!</definedName>
    <definedName name="U_TERASO">#REF!</definedName>
    <definedName name="U_Toto_L548">[39]Plumbing!#REF!</definedName>
    <definedName name="U_TSC">#REF!</definedName>
    <definedName name="u_u57m">[24]Analisa!#REF!</definedName>
    <definedName name="U_UKUR">#REF!</definedName>
    <definedName name="U_URINAL">#REF!</definedName>
    <definedName name="u_urinal_57_M">[39]Plumbing!#REF!</definedName>
    <definedName name="U_URUG">#REF!</definedName>
    <definedName name="U_URUG_K">#REF!</definedName>
    <definedName name="U_URUGTN">#REF!</definedName>
    <definedName name="U_USUK">#REF!</definedName>
    <definedName name="U_VERSTEK_G">#REF!</definedName>
    <definedName name="U_VIBRO">#REF!</definedName>
    <definedName name="U_VIN">#REF!</definedName>
    <definedName name="U_VINYL">#REF!</definedName>
    <definedName name="U_WAS">#REF!</definedName>
    <definedName name="u_wastafel_pop">[39]Plumbing!#REF!</definedName>
    <definedName name="U_WMESH">#REF!</definedName>
    <definedName name="U_WU">#REF!</definedName>
    <definedName name="U_WUWUNG_J">#REF!</definedName>
    <definedName name="U_ZV_064">[39]Elektronik!#REF!</definedName>
    <definedName name="U_ZV_303">[39]Elektronik!#REF!</definedName>
    <definedName name="u52.">#REF!</definedName>
    <definedName name="ua2a">'[22]Daftar Harga Upah dan Bahan'!$F$16</definedName>
    <definedName name="ua2b">'[22]Daftar Harga Upah dan Bahan'!$F$17</definedName>
    <definedName name="uac">#REF!</definedName>
    <definedName name="UACUAN">'[33]Analisa pemkot'!#REF!</definedName>
    <definedName name="UAGR1A">'[33]Analisa pemkot'!#REF!</definedName>
    <definedName name="UAGR1B">'[33]Analisa pemkot'!#REF!</definedName>
    <definedName name="UAHU">#REF!</definedName>
    <definedName name="Uang_makan_operator">#REF!</definedName>
    <definedName name="UB0L">'[33]Analisa pemkot'!#REF!</definedName>
    <definedName name="UBAHU">'[33]Analisa pemkot'!#REF!</definedName>
    <definedName name="ubak">#REF!</definedName>
    <definedName name="ubata">#REF!</definedName>
    <definedName name="ubata_30">#REF!</definedName>
    <definedName name="ubatu">#REF!</definedName>
    <definedName name="ubekb">#REF!</definedName>
    <definedName name="ubekbal">#REF!</definedName>
    <definedName name="ubekmult">#REF!</definedName>
    <definedName name="ubekp">#REF!</definedName>
    <definedName name="ubekpan">#REF!</definedName>
    <definedName name="UBERSIH">'[33]Analisa pemkot'!#REF!</definedName>
    <definedName name="ubesi">#REF!</definedName>
    <definedName name="Ubin_abu_abu_20x20_cm">#REF!</definedName>
    <definedName name="Ubin_wafel__20x20_cm">#REF!</definedName>
    <definedName name="ubin30x30">#REF!</definedName>
    <definedName name="ubinkeramik">#REF!</definedName>
    <definedName name="UBINKERAMIK2020POLOS1PC3PS">#REF!</definedName>
    <definedName name="UBINKERAMIK3030POLOS1PC3PS">#REF!</definedName>
    <definedName name="UBINKERAMIK3030WARNA1PC3PS">#REF!</definedName>
    <definedName name="UBINKERAMIK4040WARNA1PC3PS">#REF!</definedName>
    <definedName name="UBINKERAMIKPLINT1030">#REF!</definedName>
    <definedName name="UBINMOZAIK">#N/A</definedName>
    <definedName name="UBINSTEPNOZING">#REF!</definedName>
    <definedName name="UBLKT">'[45]Sat~Bahu'!$H$18</definedName>
    <definedName name="UBLT">'[45]Sat~Bahu'!$H$19</definedName>
    <definedName name="UBLTT">'[45]Sat~Bahu'!$H$17</definedName>
    <definedName name="UBONGKAR">'[33]Analisa pemkot'!#REF!</definedName>
    <definedName name="UBONGKARPAS">'[33]Analisa pemkot'!#REF!</definedName>
    <definedName name="ubowplank">[194]harsat!$G$49</definedName>
    <definedName name="UBOX06">'[33]Analisa pemkot'!#REF!</definedName>
    <definedName name="UBOX08">'[33]Analisa pemkot'!#REF!</definedName>
    <definedName name="UBOX1">'[33]Analisa pemkot'!#REF!</definedName>
    <definedName name="UBOX15">'[33]Analisa pemkot'!#REF!</definedName>
    <definedName name="ubrav">#REF!</definedName>
    <definedName name="UBRONJONG">'[33]Analisa pemkot'!#REF!</definedName>
    <definedName name="ubttemp">#REF!</definedName>
    <definedName name="UBULAT10A">'[33]Analisa pemkot'!#REF!</definedName>
    <definedName name="UBULAT10B">'[33]Analisa pemkot'!#REF!</definedName>
    <definedName name="UBULAT60A">'[33]Analisa pemkot'!#REF!</definedName>
    <definedName name="UBULAT60B">'[33]Analisa pemkot'!#REF!</definedName>
    <definedName name="UBULAT80A">'[33]Analisa pemkot'!#REF!</definedName>
    <definedName name="UBULAT80B">'[33]Analisa pemkot'!#REF!</definedName>
    <definedName name="ucat">#REF!</definedName>
    <definedName name="ucatbes">#REF!</definedName>
    <definedName name="ucatdal">#REF!</definedName>
    <definedName name="ucatkay">#REF!</definedName>
    <definedName name="ucatluar">#REF!</definedName>
    <definedName name="ucatplaf">#REF!</definedName>
    <definedName name="ucian">#REF!</definedName>
    <definedName name="ucor">#REF!</definedName>
    <definedName name="UCRUCUK">'[33]Analisa pemkot'!#REF!</definedName>
    <definedName name="UCRUCUKBAMBU">'[33]Analisa pemkot'!#REF!</definedName>
    <definedName name="UDATA">#REF!</definedName>
    <definedName name="udin" localSheetId="7">#REF!</definedName>
    <definedName name="udin">#REF!</definedName>
    <definedName name="udo" hidden="1">{#N/A,#N/A,FALSE,"REK";#N/A,#N/A,FALSE,"rab"}</definedName>
    <definedName name="UDUA">[33]H_Dasar!#REF!</definedName>
    <definedName name="UDUCT">#REF!</definedName>
    <definedName name="ue">[52]DHSD!$G$17</definedName>
    <definedName name="ueu">'[113]SAT-DAS'!$J$59</definedName>
    <definedName name="UFCU">#REF!</definedName>
    <definedName name="ufyi">[52]DHSD!$G$17</definedName>
    <definedName name="ugal">#REF!</definedName>
    <definedName name="UGALIBUANG">'[33]Analisa pemkot'!#REF!</definedName>
    <definedName name="UGALILUMPUR">'[33]Analisa pemkot'!#REF!</definedName>
    <definedName name="UGALIPADAS">'[33]Analisa pemkot'!#REF!</definedName>
    <definedName name="UGALITEMPAT">'[33]Analisa pemkot'!#REF!</definedName>
    <definedName name="UGOTU60">'[33]Analisa pemkot'!#REF!</definedName>
    <definedName name="UHETYESY">'[50]SAT-DAS'!$J$29</definedName>
    <definedName name="uhf">#REF!</definedName>
    <definedName name="UINSTKTAG">#N/A</definedName>
    <definedName name="UINSTPEN">#N/A</definedName>
    <definedName name="UINSTSK">#N/A</definedName>
    <definedName name="ujdeude">'[50]SAT-DAS'!$J$57</definedName>
    <definedName name="UJUNG_PANDANG_AIRPORT_DEVELOPMENT_PROJECT">#REF!</definedName>
    <definedName name="ujungjepit">#REF!</definedName>
    <definedName name="UK">#REF!</definedName>
    <definedName name="UK300_350">'[33]Analisa pemkot'!#REF!</definedName>
    <definedName name="ukayu">#REF!</definedName>
    <definedName name="ukembali">#REF!</definedName>
    <definedName name="ukepala">#REF!</definedName>
    <definedName name="uker20">#REF!</definedName>
    <definedName name="uker30">#REF!</definedName>
    <definedName name="UKERB">'[33]Analisa pemkot'!#REF!</definedName>
    <definedName name="UKERB_A">'[33]Analisa pemkot'!#REF!</definedName>
    <definedName name="ukir">#REF!</definedName>
    <definedName name="UKK">#REF!</definedName>
    <definedName name="ukkf">#REF!</definedName>
    <definedName name="uklf">[80]DHSD!$G$22</definedName>
    <definedName name="ukol15">#REF!</definedName>
    <definedName name="ukr">[52]DHSD!$G$34</definedName>
    <definedName name="UKT">'[45]Sat~Bahu'!$H$9</definedName>
    <definedName name="UKTGSUPIORI">#REF!</definedName>
    <definedName name="ukur">#REF!</definedName>
    <definedName name="ukuran">#REF!</definedName>
    <definedName name="uky">[80]DHSD!$G$34</definedName>
    <definedName name="ukyu">#REF!</definedName>
    <definedName name="ulaker">#REF!</definedName>
    <definedName name="ULAPEN50">'[33]Analisa pemkot'!#REF!</definedName>
    <definedName name="ULAPEN75">'[33]Analisa pemkot'!#REF!</definedName>
    <definedName name="ULENENG">'[33]Analisa pemkot'!#REF!</definedName>
    <definedName name="ulir">#REF!</definedName>
    <definedName name="ULJHMN">#REF!</definedName>
    <definedName name="ulwp60">#REF!</definedName>
    <definedName name="umadat">#REF!</definedName>
    <definedName name="UMAN">#REF!</definedName>
    <definedName name="umandor">#REF!</definedName>
    <definedName name="UMARKA">'[33]Analisa pemkot'!#REF!</definedName>
    <definedName name="UMDRSUPIORI">#REF!</definedName>
    <definedName name="umeranti">#REF!</definedName>
    <definedName name="UML">'[45]Sat~Bahu'!$H$6</definedName>
    <definedName name="ump">#REF!</definedName>
    <definedName name="umu">#REF!</definedName>
    <definedName name="UMUM">#REF!</definedName>
    <definedName name="umur">#REF!</definedName>
    <definedName name="UNDANGAN">[3]CH!$C$33</definedName>
    <definedName name="undercoat">#REF!</definedName>
    <definedName name="UNIT">#REF!</definedName>
    <definedName name="unitac">#N/A</definedName>
    <definedName name="unitprice">#REF!</definedName>
    <definedName name="UNME">[10]Material!#REF!</definedName>
    <definedName name="untung">#REF!</definedName>
    <definedName name="UNYFGBY416">#N/A</definedName>
    <definedName name="UNYFGBY425">#N/A</definedName>
    <definedName name="UNYM34">#N/A</definedName>
    <definedName name="UNYY34">#N/A</definedName>
    <definedName name="UNYY36">#N/A</definedName>
    <definedName name="UNYY410">#N/A</definedName>
    <definedName name="UNYY416">#N/A</definedName>
    <definedName name="UNYY46">#N/A</definedName>
    <definedName name="UOKT">'[45]Sat~Bahu'!$H$12</definedName>
    <definedName name="UOPERATOR">[77]Upah!$G$13</definedName>
    <definedName name="UOT">'[45]Sat~Bahu'!$H$11</definedName>
    <definedName name="UP">#REF!</definedName>
    <definedName name="UP.1">#N/A</definedName>
    <definedName name="up_pancang">#REF!</definedName>
    <definedName name="up20d">#N/A</definedName>
    <definedName name="UPAAH_PASANG_KA">#REF!</definedName>
    <definedName name="UPAH">#REF!</definedName>
    <definedName name="upah.beton110">#REF!</definedName>
    <definedName name="upah.beton118">#REF!</definedName>
    <definedName name="upah.beton132">#REF!</definedName>
    <definedName name="upah.beton30">#REF!</definedName>
    <definedName name="upah.beton46">#REF!</definedName>
    <definedName name="upah.beton75">#REF!</definedName>
    <definedName name="upah.beton77.2">#REF!</definedName>
    <definedName name="upah.bouwplank">#REF!</definedName>
    <definedName name="upah.galiantanah">#REF!</definedName>
    <definedName name="upah.leanconcrete">#REF!</definedName>
    <definedName name="upah.pasbata">#REF!</definedName>
    <definedName name="upah.urug">#REF!</definedName>
    <definedName name="upah.urugantanah">#REF!</definedName>
    <definedName name="UPAH?">#REF!</definedName>
    <definedName name="UPAH_1">#REF!</definedName>
    <definedName name="UPAH_1_2">#REF!</definedName>
    <definedName name="UPAH_1_4">#REF!</definedName>
    <definedName name="UPAH_1_6">#REF!</definedName>
    <definedName name="UPAH_1_7">#REF!</definedName>
    <definedName name="UPAH_2">#REF!</definedName>
    <definedName name="UPAH_2_1">#REF!</definedName>
    <definedName name="UPAH_2_1_6">#REF!</definedName>
    <definedName name="UPAH_2_2">#REF!</definedName>
    <definedName name="UPAH_2_4">#REF!</definedName>
    <definedName name="UPAH_2_6">#REF!</definedName>
    <definedName name="UPAH_2_7">#REF!</definedName>
    <definedName name="UPAH_3">#REF!</definedName>
    <definedName name="UPAH_3_2">#REF!</definedName>
    <definedName name="UPAH_3_4">#REF!</definedName>
    <definedName name="UPAH_3_6">#REF!</definedName>
    <definedName name="UPAH_3_7">#REF!</definedName>
    <definedName name="UPAH_4">#REF!</definedName>
    <definedName name="UPAH_4_1">#REF!</definedName>
    <definedName name="UPAH_4_2">#REF!</definedName>
    <definedName name="UPAH_4_4">#REF!</definedName>
    <definedName name="UPAH_4_6">#REF!</definedName>
    <definedName name="UPAH_4_7">#REF!</definedName>
    <definedName name="UPAH_5">#REF!</definedName>
    <definedName name="UPAH_5_2">#REF!</definedName>
    <definedName name="UPAH_5_4">#REF!</definedName>
    <definedName name="UPAH_5_6">#REF!</definedName>
    <definedName name="UPAH_5_7">#REF!</definedName>
    <definedName name="UPAH_6">#REF!</definedName>
    <definedName name="UPAH_6_1">#REF!</definedName>
    <definedName name="UPAH_6_2">#REF!</definedName>
    <definedName name="UPAH_6_4">#REF!</definedName>
    <definedName name="UPAH_6_6">#REF!</definedName>
    <definedName name="UPAH_6_7">#REF!</definedName>
    <definedName name="UPAH_7">#REF!</definedName>
    <definedName name="UPAH_7_1">#REF!</definedName>
    <definedName name="UPAH_BAHAN_CK">#REF!</definedName>
    <definedName name="Upah_begisting">#REF!</definedName>
    <definedName name="UPAH_BEKISTING_">#REF!</definedName>
    <definedName name="Upah_beton_lt_kerja_rabat_beton">#REF!</definedName>
    <definedName name="upah_bhn_ars">'[152]UPAH &amp; BHN'!$D$1:$H$65536</definedName>
    <definedName name="Upah_Cat_Anti_Karat">#REF!</definedName>
    <definedName name="UPAH_COR">#REF!</definedName>
    <definedName name="Upah_Cor_Beton_K_125">#REF!</definedName>
    <definedName name="Upah_cor_beton_k_250">#REF!</definedName>
    <definedName name="Upah_Cor_Beton_K_350">#REF!</definedName>
    <definedName name="Upah_cor_beton_pondasi_k_250">#REF!</definedName>
    <definedName name="Upah_Cutting_beton">#REF!</definedName>
    <definedName name="Upah_Fabrikasi">#REF!</definedName>
    <definedName name="Upah_galian_biasa">#REF!</definedName>
    <definedName name="Upah_Grooving_beton">#REF!</definedName>
    <definedName name="Upah_List">#REF!</definedName>
    <definedName name="Upah_Open_storage">#REF!</definedName>
    <definedName name="Upah_pancang_Cerucuk">#REF!</definedName>
    <definedName name="Upah_pancang_ulin">#REF!</definedName>
    <definedName name="Upah_pasang_batu">#REF!</definedName>
    <definedName name="Upah_pasang_gorong2">#REF!</definedName>
    <definedName name="Upah_pasang_pipa_GI__ø_1_2">#REF!</definedName>
    <definedName name="Upah_pasang_pipa_GI__ø_3_4">#REF!</definedName>
    <definedName name="Upah_pasang_pipa_pvc__ø_2">#REF!</definedName>
    <definedName name="Upah_pasang_pipa_pvc__ø_4">#REF!</definedName>
    <definedName name="Upah_Pasang_wire_mesh">#REF!</definedName>
    <definedName name="Upah_Pasangan_batu_kali">#REF!</definedName>
    <definedName name="Upah_Pasangan_mortar">#REF!</definedName>
    <definedName name="UPAH_PEKERJA">#REF!</definedName>
    <definedName name="Upah_pelayanan_PLN">#REF!</definedName>
    <definedName name="Upah_Pembesian">#REF!</definedName>
    <definedName name="Upah_perapian">#REF!</definedName>
    <definedName name="Upah_perapian_galian">#REF!</definedName>
    <definedName name="UPAH_RP">#REF!</definedName>
    <definedName name="Upah_Sealent_joint">#REF!</definedName>
    <definedName name="Upah_tenaga_harian">#REF!</definedName>
    <definedName name="Upah_Timbunan_biasa">#REF!</definedName>
    <definedName name="UPAH_U24">#REF!</definedName>
    <definedName name="UPAH_U39">#REF!</definedName>
    <definedName name="UPAH_US">#REF!</definedName>
    <definedName name="Upah_valve">#REF!</definedName>
    <definedName name="upah1">#REF!</definedName>
    <definedName name="upah2">#REF!</definedName>
    <definedName name="upaha">#REF!</definedName>
    <definedName name="upahawmaspion0.5">#REF!</definedName>
    <definedName name="upahawmaspion0.75">#REF!</definedName>
    <definedName name="upahawmaspion1">#REF!</definedName>
    <definedName name="upahawmaspion1.25">#REF!</definedName>
    <definedName name="upahawmaspion1.5">#REF!</definedName>
    <definedName name="upahawmaspion10">#REF!</definedName>
    <definedName name="upahawmaspion12">#REF!</definedName>
    <definedName name="upahawmaspion14">#REF!</definedName>
    <definedName name="upahawmaspion16">#REF!</definedName>
    <definedName name="upahawmaspion2">#REF!</definedName>
    <definedName name="upahawmaspion2.5">#REF!</definedName>
    <definedName name="upahawmaspion3">#REF!</definedName>
    <definedName name="upahawmaspion4">#REF!</definedName>
    <definedName name="upahawmaspion5">#REF!</definedName>
    <definedName name="upahawmaspion6">#REF!</definedName>
    <definedName name="upahawmaspion8">#REF!</definedName>
    <definedName name="upahawrucika0.5">#REF!</definedName>
    <definedName name="upahawrucika0.75">#REF!</definedName>
    <definedName name="upahawrucika0.76">#REF!</definedName>
    <definedName name="upahawrucika1">#REF!</definedName>
    <definedName name="upahawrucika1.25">#REF!</definedName>
    <definedName name="upahawrucika1.5">#REF!</definedName>
    <definedName name="upahawrucika10">#REF!</definedName>
    <definedName name="upahawrucika12">#REF!</definedName>
    <definedName name="upahawrucika2">#REF!</definedName>
    <definedName name="upahawrucika2.5">#REF!</definedName>
    <definedName name="upahawrucika3">#REF!</definedName>
    <definedName name="upahawrucika4">#REF!</definedName>
    <definedName name="upahawrucika5">#REF!</definedName>
    <definedName name="upahawrucika6">#REF!</definedName>
    <definedName name="upahawrucika8">#REF!</definedName>
    <definedName name="upahawwavin0.5">#REF!</definedName>
    <definedName name="upahawwavin0.75">#REF!</definedName>
    <definedName name="upahawwavin1">#REF!</definedName>
    <definedName name="upahawwavin1.25">#REF!</definedName>
    <definedName name="upahawwavin1.5">#REF!</definedName>
    <definedName name="upahawwavin10">#REF!</definedName>
    <definedName name="upahawwavin12">#REF!</definedName>
    <definedName name="upahawwavin2">#REF!</definedName>
    <definedName name="upahawwavin2.5">#REF!</definedName>
    <definedName name="upahawwavin3">#REF!</definedName>
    <definedName name="upahawwavin4">#REF!</definedName>
    <definedName name="upahawwavin5">#REF!</definedName>
    <definedName name="upahawwavin6">#REF!</definedName>
    <definedName name="upahawwavin8">#REF!</definedName>
    <definedName name="upahbata">#REF!</definedName>
    <definedName name="upahbata_30">#REF!</definedName>
    <definedName name="upahbc10">#REF!</definedName>
    <definedName name="upahbc120">#REF!</definedName>
    <definedName name="upahbc16">#REF!</definedName>
    <definedName name="upahbc25">#REF!</definedName>
    <definedName name="upahbc35">#REF!</definedName>
    <definedName name="upahbc4">#REF!</definedName>
    <definedName name="upahbc50">#REF!</definedName>
    <definedName name="upahbc6">#REF!</definedName>
    <definedName name="upahbc70">#REF!</definedName>
    <definedName name="upahbesi">[30]S.UPAH!$J$31</definedName>
    <definedName name="upahbidet">#REF!</definedName>
    <definedName name="upahbs0.5">#REF!</definedName>
    <definedName name="upahbs0.75">#REF!</definedName>
    <definedName name="upahbs1">#REF!</definedName>
    <definedName name="upahbs1.25">#REF!</definedName>
    <definedName name="upahbs1.5">#REF!</definedName>
    <definedName name="upahbs2">#REF!</definedName>
    <definedName name="upahbs2.5">#REF!</definedName>
    <definedName name="upahbs3">#REF!</definedName>
    <definedName name="upahbs4">#REF!</definedName>
    <definedName name="upahbs40bakrie1">#REF!</definedName>
    <definedName name="upahbs40bakrie1.25">#REF!</definedName>
    <definedName name="upahbs40bakrie1.5">#REF!</definedName>
    <definedName name="upahbs40bakrie2">#REF!</definedName>
    <definedName name="upahbs40bakrie2.5">#REF!</definedName>
    <definedName name="upahbs40bakrie3">#REF!</definedName>
    <definedName name="upahbs40bakrie4">#REF!</definedName>
    <definedName name="upahbs40bakrie5">#REF!</definedName>
    <definedName name="upahbs40bakrie6">#REF!</definedName>
    <definedName name="upahbs40medppi0.5">#REF!</definedName>
    <definedName name="upahbs40medppi0.75">#REF!</definedName>
    <definedName name="upahbs40medppi1">#REF!</definedName>
    <definedName name="upahbs40medppi1.25">#REF!</definedName>
    <definedName name="upahbs40medppi1.5">#REF!</definedName>
    <definedName name="upahbs40medppi2">#REF!</definedName>
    <definedName name="upahbs40medppi2.5">#REF!</definedName>
    <definedName name="upahbs40medppi3">#REF!</definedName>
    <definedName name="upahbs40medppi4">#REF!</definedName>
    <definedName name="upahbs40medppi5">#REF!</definedName>
    <definedName name="upahbs40medppi6">#REF!</definedName>
    <definedName name="upahbs40medppi8">#REF!</definedName>
    <definedName name="upahbs40ppi0.5">#REF!</definedName>
    <definedName name="upahbs40ppi0.75">#REF!</definedName>
    <definedName name="upahbs40ppi1">#REF!</definedName>
    <definedName name="upahbs40ppi1.25">#REF!</definedName>
    <definedName name="upahbs40ppi1.5">#REF!</definedName>
    <definedName name="upahbs40ppi2">#REF!</definedName>
    <definedName name="upahbs40ppi2.5">#REF!</definedName>
    <definedName name="upahbs40ppi3">#REF!</definedName>
    <definedName name="upahbs40ppi4">#REF!</definedName>
    <definedName name="upahbs40ppi5">#REF!</definedName>
    <definedName name="upahbs40ppi6">#REF!</definedName>
    <definedName name="upahbs40ppi8">#REF!</definedName>
    <definedName name="upahbs40spindo0.5">#REF!</definedName>
    <definedName name="upahbs40spindo0.75">#REF!</definedName>
    <definedName name="upahbs40spindo1">#REF!</definedName>
    <definedName name="upahbs40spindo1.25">#REF!</definedName>
    <definedName name="upahbs40spindo1.5">#REF!</definedName>
    <definedName name="upahbs40spindo2">#REF!</definedName>
    <definedName name="upahbs40spindo2.5">#REF!</definedName>
    <definedName name="upahbs40spindo3">#REF!</definedName>
    <definedName name="upahbs40spindo4">#REF!</definedName>
    <definedName name="upahbs40spindo5">#REF!</definedName>
    <definedName name="upahbs40spindo6">#REF!</definedName>
    <definedName name="upahbs40spindo8">#REF!</definedName>
    <definedName name="upahbs5">#REF!</definedName>
    <definedName name="upahbs6">#REF!</definedName>
    <definedName name="upahbs8">#REF!</definedName>
    <definedName name="upahbsmedspindo0.5">#REF!</definedName>
    <definedName name="upahbsmedspindo0.75">#REF!</definedName>
    <definedName name="upahbsmedspindo1">#REF!</definedName>
    <definedName name="upahbsmedspindo1.25">#REF!</definedName>
    <definedName name="upahbsmedspindo1.5">#REF!</definedName>
    <definedName name="upahbsmedspindo2">#REF!</definedName>
    <definedName name="upahbsmedspindo2.5">#REF!</definedName>
    <definedName name="upahbsmedspindo3">#REF!</definedName>
    <definedName name="upahbsmedspindo4">#REF!</definedName>
    <definedName name="upahbsmedspindo5">#REF!</definedName>
    <definedName name="upahbsmedspindo6">#REF!</definedName>
    <definedName name="upahbsmedspindo8">#REF!</definedName>
    <definedName name="upahcerocok">[30]S.UPAH!$J$33</definedName>
    <definedName name="UpahChange">#REF!</definedName>
    <definedName name="upahclsddk">#REF!</definedName>
    <definedName name="upahclsjgk">#REF!</definedName>
    <definedName name="upahcorbeton">#REF!</definedName>
    <definedName name="upahcv0.5">#REF!</definedName>
    <definedName name="upahcv0.75">#REF!</definedName>
    <definedName name="upahcv1">#REF!</definedName>
    <definedName name="upahcv1.25">#REF!</definedName>
    <definedName name="upahcv1.5">#REF!</definedName>
    <definedName name="upahcv10">#REF!</definedName>
    <definedName name="upahcv10ktoyo0.5">'[139]Harga ME '!#REF!</definedName>
    <definedName name="upahcv10ktoyo1">'[139]Harga ME '!#REF!</definedName>
    <definedName name="upahcv10ktoyo1.5">'[139]Harga ME '!#REF!</definedName>
    <definedName name="upahcv10ktoyo12">'[139]Harga ME '!#REF!</definedName>
    <definedName name="upahcv10ktoyo2.5">'[139]Harga ME '!#REF!</definedName>
    <definedName name="upahcv10ktoyo4">'[139]Harga ME '!#REF!</definedName>
    <definedName name="upahcv10ktoyo6">'[139]Harga ME '!#REF!</definedName>
    <definedName name="upahcv12">#REF!</definedName>
    <definedName name="upahcv16ktoyo2.5">'[139]Harga ME '!#REF!</definedName>
    <definedName name="upahcv16ktoyo4">'[139]Harga ME '!#REF!</definedName>
    <definedName name="upahcv16ktoyo6">'[139]Harga ME '!#REF!</definedName>
    <definedName name="upahcv16toyo10">#REF!</definedName>
    <definedName name="upahcv16toyo12">#REF!</definedName>
    <definedName name="upahcv2">#REF!</definedName>
    <definedName name="upahcv2.5">#REF!</definedName>
    <definedName name="upahcv3">#REF!</definedName>
    <definedName name="upahcv4">#REF!</definedName>
    <definedName name="upahcv5">#REF!</definedName>
    <definedName name="upahcv6">#REF!</definedName>
    <definedName name="upahcv8">#REF!</definedName>
    <definedName name="upahcvbersihkz0.5">#REF!</definedName>
    <definedName name="upahcvbersihkz0.75">#REF!</definedName>
    <definedName name="upahcvbersihkz1">#REF!</definedName>
    <definedName name="upahcvbersihkz1.25">#REF!</definedName>
    <definedName name="upahcvbersihkz1.5">#REF!</definedName>
    <definedName name="upahcvbersihkz2">#REF!</definedName>
    <definedName name="upahcvbersihkz2.5">#REF!</definedName>
    <definedName name="upahcvbersihkz3">#REF!</definedName>
    <definedName name="upahcvbersihkz4">#REF!</definedName>
    <definedName name="upahcvbersihty0.5">#REF!</definedName>
    <definedName name="upahcvbersihty0.75">#REF!</definedName>
    <definedName name="upahcvbersihty1">#REF!</definedName>
    <definedName name="upahcvbersihty1.25">#REF!</definedName>
    <definedName name="upahcvbersihty1.5">#REF!</definedName>
    <definedName name="upahcvbersihty2">#REF!</definedName>
    <definedName name="upahcvbersihty2.5">#REF!</definedName>
    <definedName name="upahcvbersihty3">#REF!</definedName>
    <definedName name="upahcvbersihty4">#REF!</definedName>
    <definedName name="upahcvhydrantkitz12">'[139]Harga ME '!#REF!</definedName>
    <definedName name="upahcvhydrantkitz6">'[139]Harga ME '!#REF!</definedName>
    <definedName name="upahcvhydrantkz1.5">#REF!</definedName>
    <definedName name="upahcvhydrantkz2">#REF!</definedName>
    <definedName name="upahcvhydrantkz2.5">#REF!</definedName>
    <definedName name="upahcvhydrantkz3">#REF!</definedName>
    <definedName name="upahcvhydrantkz4">#REF!</definedName>
    <definedName name="upahcvhydranty0.5">'[139]Harga ME '!#REF!</definedName>
    <definedName name="upahcvhydranty1">'[139]Harga ME '!#REF!</definedName>
    <definedName name="upahcvhydranty1.5">#REF!</definedName>
    <definedName name="upahcvhydranty10">#REF!</definedName>
    <definedName name="upahcvhydranty12">#REF!</definedName>
    <definedName name="upahcvhydranty2">#REF!</definedName>
    <definedName name="upahcvhydranty2.5">#REF!</definedName>
    <definedName name="upahcvhydranty3">#REF!</definedName>
    <definedName name="upahcvhydranty4">#REF!</definedName>
    <definedName name="upahcvhydranty5">#REF!</definedName>
    <definedName name="upahcvhydranty6">#REF!</definedName>
    <definedName name="upahcvhydranty8">#REF!</definedName>
    <definedName name="upahcvkitz16k10">'[139]Harga ME '!#REF!</definedName>
    <definedName name="upahcvkitz16k2">'[139]Harga ME '!#REF!</definedName>
    <definedName name="upahcvkitz16k3">'[139]Harga ME '!#REF!</definedName>
    <definedName name="upahcvkitz16k5">'[139]Harga ME '!#REF!</definedName>
    <definedName name="upahcvkitz16k8">'[139]Harga ME '!#REF!</definedName>
    <definedName name="upahdmaspion1.25">#REF!</definedName>
    <definedName name="upahdmaspion1.5">#REF!</definedName>
    <definedName name="upahdmaspion10">#REF!</definedName>
    <definedName name="upahdmaspion12">#REF!</definedName>
    <definedName name="upahdmaspion14">#REF!</definedName>
    <definedName name="upahdmaspion16">#REF!</definedName>
    <definedName name="upahdmaspion2">#REF!</definedName>
    <definedName name="upahdmaspion2.5">#REF!</definedName>
    <definedName name="upahdmaspion20">#REF!</definedName>
    <definedName name="upahdmaspion3">#REF!</definedName>
    <definedName name="upahdmaspion4">#REF!</definedName>
    <definedName name="upahdmaspion5">#REF!</definedName>
    <definedName name="upahdmaspion6">#REF!</definedName>
    <definedName name="upahdmaspion8">#REF!</definedName>
    <definedName name="upahdrucika1.5">#REF!</definedName>
    <definedName name="upahdrucika10">#REF!</definedName>
    <definedName name="upahdrucika12">#REF!</definedName>
    <definedName name="upahdrucika2">#REF!</definedName>
    <definedName name="upahdrucika2.5">#REF!</definedName>
    <definedName name="upahdrucika3">#REF!</definedName>
    <definedName name="upahdrucika4">#REF!</definedName>
    <definedName name="upahdrucika5">#REF!</definedName>
    <definedName name="upahdrucika6">#REF!</definedName>
    <definedName name="upahdrucika8">#REF!</definedName>
    <definedName name="upahdryer">#REF!</definedName>
    <definedName name="upahdwavin1.25">#REF!</definedName>
    <definedName name="upahdwavin1.5">#REF!</definedName>
    <definedName name="upahdwavin10">#REF!</definedName>
    <definedName name="upahdwavin12">#REF!</definedName>
    <definedName name="upahdwavin2">#REF!</definedName>
    <definedName name="upahdwavin2.5">#REF!</definedName>
    <definedName name="upahdwavin3">#REF!</definedName>
    <definedName name="upahdwavin4">#REF!</definedName>
    <definedName name="upahdwavin5">#REF!</definedName>
    <definedName name="upahdwavin6">#REF!</definedName>
    <definedName name="upahdwavin8">#REF!</definedName>
    <definedName name="upahfabrikasibegi">'[87]DAF-UPAH'!$E$23</definedName>
    <definedName name="upahfd">#REF!</definedName>
    <definedName name="upahftv1.5">#REF!</definedName>
    <definedName name="upahftv10">#REF!</definedName>
    <definedName name="upahftv2">#REF!</definedName>
    <definedName name="upahftv2.5">#REF!</definedName>
    <definedName name="upahftv3">#REF!</definedName>
    <definedName name="upahftv4">#REF!</definedName>
    <definedName name="upahftv5">#REF!</definedName>
    <definedName name="upahftv6">#REF!</definedName>
    <definedName name="upahftv8">#REF!</definedName>
    <definedName name="upahfxj1.25">#REF!</definedName>
    <definedName name="upahfxj1.5">#REF!</definedName>
    <definedName name="upahfxj2">#REF!</definedName>
    <definedName name="upahfxj2.5">#REF!</definedName>
    <definedName name="upahfxj3">#REF!</definedName>
    <definedName name="upahfxj4">#REF!</definedName>
    <definedName name="upahfxj5">#REF!</definedName>
    <definedName name="upahfxj6">#REF!</definedName>
    <definedName name="upahfxj8">#REF!</definedName>
    <definedName name="upahgipbakrie0.5">#REF!</definedName>
    <definedName name="upahgipbakrie0.75">#REF!</definedName>
    <definedName name="upahgipbakrie1">#REF!</definedName>
    <definedName name="upahgipbakrie1.25">#REF!</definedName>
    <definedName name="upahgipbakrie1.5">#REF!</definedName>
    <definedName name="upahgipbakrie2">#REF!</definedName>
    <definedName name="upahgipbakrie2.5">#REF!</definedName>
    <definedName name="upahgipbakrie3">#REF!</definedName>
    <definedName name="upahgipbs40spindo0.5">#REF!</definedName>
    <definedName name="upahgipbs40spindo0.75">#REF!</definedName>
    <definedName name="upahgipbs40spindo1">#REF!</definedName>
    <definedName name="upahgipbs40spindo1.25">#REF!</definedName>
    <definedName name="upahgipbs40spindo1.5">#REF!</definedName>
    <definedName name="upahgipbs40spindo2">#REF!</definedName>
    <definedName name="upahgipbs40spindo2.5">#REF!</definedName>
    <definedName name="upahgipbs40spindo3">#REF!</definedName>
    <definedName name="upahgipbs40spindo4">#REF!</definedName>
    <definedName name="upahgipbs40spindo5">#REF!</definedName>
    <definedName name="upahgipbs40spindo6">#REF!</definedName>
    <definedName name="upahgipbs40spindo8">#REF!</definedName>
    <definedName name="upahgipbsppi0.5">#REF!</definedName>
    <definedName name="upahgipbsppi0.75">#REF!</definedName>
    <definedName name="upahgipbsppi1">#REF!</definedName>
    <definedName name="upahgipbsppi1.25">#REF!</definedName>
    <definedName name="upahgipbsppi1.5">#REF!</definedName>
    <definedName name="upahgipbsppi2">#REF!</definedName>
    <definedName name="upahgipbsppi2.5">#REF!</definedName>
    <definedName name="upahgipbsppi3">#REF!</definedName>
    <definedName name="upahgipbsppi4">#REF!</definedName>
    <definedName name="upahgipbsppi5">#REF!</definedName>
    <definedName name="upahgipbsppi6">#REF!</definedName>
    <definedName name="upahgipbsppi8">#REF!</definedName>
    <definedName name="upahgipmedppi0.5">#REF!</definedName>
    <definedName name="upahgipmedppi0.75">#REF!</definedName>
    <definedName name="upahgipmedppi1">#REF!</definedName>
    <definedName name="upahgipmedppi1.25">#REF!</definedName>
    <definedName name="upahgipmedppi1.5">#REF!</definedName>
    <definedName name="upahgipmedppi2">#REF!</definedName>
    <definedName name="upahgipmedppi2.5">#REF!</definedName>
    <definedName name="upahgipmedppi3">#REF!</definedName>
    <definedName name="upahgipmedppi4">#REF!</definedName>
    <definedName name="upahgipmedppi5">#REF!</definedName>
    <definedName name="upahgipmedppi6">#REF!</definedName>
    <definedName name="upahgipmedppi8">#REF!</definedName>
    <definedName name="upahgipmedspindo0.5">#REF!</definedName>
    <definedName name="upahgipmedspindo0.75">#REF!</definedName>
    <definedName name="upahgipmedspindo1">#REF!</definedName>
    <definedName name="upahgipmedspindo1.25">#REF!</definedName>
    <definedName name="upahgipmedspindo1.5">#REF!</definedName>
    <definedName name="upahgipmedspindo2">#REF!</definedName>
    <definedName name="upahgipmedspindo2.5">#REF!</definedName>
    <definedName name="upahgipmedspindo3">#REF!</definedName>
    <definedName name="upahgipmedspindo4">#REF!</definedName>
    <definedName name="upahgipmedspindo5">#REF!</definedName>
    <definedName name="upahgipmedspindo6">#REF!</definedName>
    <definedName name="upahgipmedspindo8">#REF!</definedName>
    <definedName name="upahgv0.5">#REF!</definedName>
    <definedName name="upahgv0.75">#REF!</definedName>
    <definedName name="upahgv1">#REF!</definedName>
    <definedName name="upahgv1.25">#REF!</definedName>
    <definedName name="upahgv1.5">#REF!</definedName>
    <definedName name="upahgv10">#REF!</definedName>
    <definedName name="upahgv10ktoyo0.75">'[139]Harga ME '!#REF!</definedName>
    <definedName name="upahgv10ktoyo1.25">'[139]Harga ME '!#REF!</definedName>
    <definedName name="upahgv10ktoyo10">'[139]Harga ME '!#REF!</definedName>
    <definedName name="upahgv10ktoyo2">'[139]Harga ME '!#REF!</definedName>
    <definedName name="upahgv10ktoyo3">'[139]Harga ME '!#REF!</definedName>
    <definedName name="upahgv10ktoyo6">'[139]Harga ME '!#REF!</definedName>
    <definedName name="upahgv12">#REF!</definedName>
    <definedName name="upahgv16k10">'[139]Harga ME '!#REF!</definedName>
    <definedName name="upahgv16k2">'[139]Harga ME '!#REF!</definedName>
    <definedName name="upahgv16k3">'[139]Harga ME '!#REF!</definedName>
    <definedName name="upahgv16k5">'[139]Harga ME '!#REF!</definedName>
    <definedName name="upahgv16k8">'[139]Harga ME '!#REF!</definedName>
    <definedName name="upahgv16ktoyo0.75">'[139]Harga ME '!#REF!</definedName>
    <definedName name="upahgv16ktoyo1.25">'[139]Harga ME '!#REF!</definedName>
    <definedName name="upahgv16ktoyo10">'[139]Harga ME '!#REF!</definedName>
    <definedName name="upahgv16ktoyo2">'[139]Harga ME '!#REF!</definedName>
    <definedName name="upahgv16ktoyo3">'[139]Harga ME '!#REF!</definedName>
    <definedName name="upahgv16ktoyo5">'[139]Harga ME '!#REF!</definedName>
    <definedName name="upahgv16ktoyo8">'[139]Harga ME '!#REF!</definedName>
    <definedName name="upahgv2">#REF!</definedName>
    <definedName name="upahgv2.5">#REF!</definedName>
    <definedName name="upahgv3">#REF!</definedName>
    <definedName name="upahgv4">#REF!</definedName>
    <definedName name="upahgv5">#REF!</definedName>
    <definedName name="upahgv6">#REF!</definedName>
    <definedName name="upahgv8">#REF!</definedName>
    <definedName name="upahgvbersih0.5">#REF!</definedName>
    <definedName name="upahgvbersih0.75">#REF!</definedName>
    <definedName name="upahgvbersih10ktoyo0.75">'[139]Harga ME '!#REF!</definedName>
    <definedName name="upahgvbersih10ktoyo1.25">'[139]Harga ME '!#REF!</definedName>
    <definedName name="upahgvbersih10ktoyo10">'[139]Harga ME '!#REF!</definedName>
    <definedName name="upahgvbersih10ktoyo2">'[139]Harga ME '!#REF!</definedName>
    <definedName name="upahgvbersih10ktoyo3">'[139]Harga ME '!#REF!</definedName>
    <definedName name="upahgvbersih10ktoyo5">'[139]Harga ME '!#REF!</definedName>
    <definedName name="upahgvbersih10ktoyo8">'[139]Harga ME '!#REF!</definedName>
    <definedName name="upahgvbersihkz0.5">#REF!</definedName>
    <definedName name="upahgvbersihkz0.75">#REF!</definedName>
    <definedName name="upahgvbersihkz1">#REF!</definedName>
    <definedName name="upahgvbersihkz1.25">#REF!</definedName>
    <definedName name="upahgvbersihkz1.5">#REF!</definedName>
    <definedName name="upahgvbersihkz2">#REF!</definedName>
    <definedName name="upahgvbersihkz2.5">#REF!</definedName>
    <definedName name="upahgvbersihkz3">#REF!</definedName>
    <definedName name="upahgvbersihkz4">#REF!</definedName>
    <definedName name="upahgvbersihty0.5">#REF!</definedName>
    <definedName name="upahgvbersihty0.75">#REF!</definedName>
    <definedName name="upahgvbersihty1">#REF!</definedName>
    <definedName name="upahgvbersihty1.25">#REF!</definedName>
    <definedName name="upahgvbersihty1.5">#REF!</definedName>
    <definedName name="upahgvbersihty2">#REF!</definedName>
    <definedName name="upahgvbersihty2.5">#REF!</definedName>
    <definedName name="upahgvbersihty3">#REF!</definedName>
    <definedName name="upahgvbersihty4">#REF!</definedName>
    <definedName name="upahgvhydrant10ktoyo0.5">'[139]Harga ME '!#REF!</definedName>
    <definedName name="upahgvhydrant10ktoyo0.75">'[139]Harga ME '!#REF!</definedName>
    <definedName name="upahgvhydrant10ktoyo1">'[139]Harga ME '!#REF!</definedName>
    <definedName name="upahgvhydrant10ktoyo1.25">'[139]Harga ME '!#REF!</definedName>
    <definedName name="upahgvhydrant10ktoyo10">'[139]Harga ME '!#REF!</definedName>
    <definedName name="upahgvhydrant10ktoyo12">'[139]Harga ME '!#REF!</definedName>
    <definedName name="upahgvhydrant10ktoyo2">'[139]Harga ME '!#REF!</definedName>
    <definedName name="upahgvhydrant10ktoyo2.5">'[139]Harga ME '!#REF!</definedName>
    <definedName name="upahgvhydrant10ktoyo3">'[139]Harga ME '!#REF!</definedName>
    <definedName name="upahgvhydrant10ktoyo4">'[139]Harga ME '!#REF!</definedName>
    <definedName name="upahgvhydrant10ktoyo5">'[139]Harga ME '!#REF!</definedName>
    <definedName name="upahgvhydrant10ktoyo6">'[139]Harga ME '!#REF!</definedName>
    <definedName name="upahgvhydrant10ktoyo8">'[139]Harga ME '!#REF!</definedName>
    <definedName name="upahgvhydrantkitz0.5">'[139]Harga ME '!#REF!</definedName>
    <definedName name="upahgvhydrantkitz0.75">'[139]Harga ME '!#REF!</definedName>
    <definedName name="upahgvhydrantkitz1">'[139]Harga ME '!#REF!</definedName>
    <definedName name="upahgvhydrantkitz1.25">'[139]Harga ME '!#REF!</definedName>
    <definedName name="upahgvhydrantkitz1.5">'[139]Harga ME '!#REF!</definedName>
    <definedName name="upahgvhydrantkitz10">'[139]Harga ME '!#REF!</definedName>
    <definedName name="upahgvhydrantkitz12">'[139]Harga ME '!#REF!</definedName>
    <definedName name="upahgvhydrantkitz2">'[139]Harga ME '!#REF!</definedName>
    <definedName name="upahgvhydrantkitz2.5">'[139]Harga ME '!#REF!</definedName>
    <definedName name="upahgvhydrantkitz3">'[139]Harga ME '!#REF!</definedName>
    <definedName name="upahgvhydrantkitz4">'[139]Harga ME '!#REF!</definedName>
    <definedName name="upahgvhydrantkitz5">'[139]Harga ME '!#REF!</definedName>
    <definedName name="upahgvhydrantkitz6">'[139]Harga ME '!#REF!</definedName>
    <definedName name="upahgvhydrantkitz8">'[139]Harga ME '!#REF!</definedName>
    <definedName name="upahgvhydrantkz0.5">#REF!</definedName>
    <definedName name="upahgvhydrantkz0.75">#REF!</definedName>
    <definedName name="upahgvhydrantkz1">#REF!</definedName>
    <definedName name="upahgvhydrantkz1.25">#REF!</definedName>
    <definedName name="upahgvhydrantkz1.5">#REF!</definedName>
    <definedName name="upahgvhydrantkz2">#REF!</definedName>
    <definedName name="upahgvhydrantkz2.5">#REF!</definedName>
    <definedName name="upahgvhydrantkz3">#REF!</definedName>
    <definedName name="upahgvhydrantkz4">#REF!</definedName>
    <definedName name="upahgvhydrantkz5">#REF!</definedName>
    <definedName name="upahgvhydrantkz6">#REF!</definedName>
    <definedName name="upahgvhydrantkz8">#REF!</definedName>
    <definedName name="upahgvhydranty0.5">#REF!</definedName>
    <definedName name="upahgvhydranty0.75">#REF!</definedName>
    <definedName name="upahgvhydranty1">#REF!</definedName>
    <definedName name="upahgvhydranty1.25">#REF!</definedName>
    <definedName name="upahgvhydranty1.5">#REF!</definedName>
    <definedName name="upahgvhydranty10">#REF!</definedName>
    <definedName name="upahgvhydranty12">#REF!</definedName>
    <definedName name="upahgvhydranty2">#REF!</definedName>
    <definedName name="upahgvhydranty2.5">#REF!</definedName>
    <definedName name="upahgvhydranty3">#REF!</definedName>
    <definedName name="upahgvhydranty4">#REF!</definedName>
    <definedName name="upahgvhydranty5">#REF!</definedName>
    <definedName name="upahgvhydranty6">#REF!</definedName>
    <definedName name="upahgvhydranty8">#REF!</definedName>
    <definedName name="upahgvkitz16k1.5">'[139]Harga ME '!#REF!</definedName>
    <definedName name="upahgvkitz16k10">'[139]Harga ME '!#REF!</definedName>
    <definedName name="upahgvkitz16k12">'[139]Harga ME '!#REF!</definedName>
    <definedName name="upahgvkitz16k2">'[139]Harga ME '!#REF!</definedName>
    <definedName name="upahgvkitz16k2.5">'[139]Harga ME '!#REF!</definedName>
    <definedName name="upahgvkitz16k3">'[139]Harga ME '!#REF!</definedName>
    <definedName name="upahgvkitz16k4">'[139]Harga ME '!#REF!</definedName>
    <definedName name="upahgvkitz16k5">'[139]Harga ME '!#REF!</definedName>
    <definedName name="upahgvkitz16k6">'[139]Harga ME '!#REF!</definedName>
    <definedName name="upahgvkitz16k8">'[139]Harga ME '!#REF!</definedName>
    <definedName name="upahkabel110">#REF!</definedName>
    <definedName name="upahkabel1120">#REF!</definedName>
    <definedName name="upahkabel1150">#REF!</definedName>
    <definedName name="upahkabel116">#REF!</definedName>
    <definedName name="upahkabel1185">#REF!</definedName>
    <definedName name="upahkabel1240">#REF!</definedName>
    <definedName name="upahkabel125">#REF!</definedName>
    <definedName name="upahkabel1300">#REF!</definedName>
    <definedName name="upahkabel135">#REF!</definedName>
    <definedName name="upahkabel14">#REF!</definedName>
    <definedName name="upahkabel1400">#REF!</definedName>
    <definedName name="upahkabel150">#REF!</definedName>
    <definedName name="upahkabel1500">#REF!</definedName>
    <definedName name="upahkabel16">#REF!</definedName>
    <definedName name="upahkabel1630">#REF!</definedName>
    <definedName name="upahkabel170">#REF!</definedName>
    <definedName name="upahkabel195">#REF!</definedName>
    <definedName name="upahkabel21.5">#REF!</definedName>
    <definedName name="upahkabel210">#REF!</definedName>
    <definedName name="upahkabel2120">#REF!</definedName>
    <definedName name="upahkabel216">#REF!</definedName>
    <definedName name="upahkabel22.5">#REF!</definedName>
    <definedName name="upahkabel225">#REF!</definedName>
    <definedName name="upahkabel235">#REF!</definedName>
    <definedName name="upahkabel24">#REF!</definedName>
    <definedName name="upahkabel250">#REF!</definedName>
    <definedName name="upahkabel26">#REF!</definedName>
    <definedName name="upahkabel270">#REF!</definedName>
    <definedName name="upahkabel295">#REF!</definedName>
    <definedName name="upahkabel31.5">#REF!</definedName>
    <definedName name="upahkabel310">#REF!</definedName>
    <definedName name="upahkabel3120">#REF!</definedName>
    <definedName name="upahkabel3150">#REF!</definedName>
    <definedName name="upahkabel316">#REF!</definedName>
    <definedName name="upahkabel3185">#REF!</definedName>
    <definedName name="upahkabel32.5">#REF!</definedName>
    <definedName name="upahkabel3240">#REF!</definedName>
    <definedName name="upahkabel325">#REF!</definedName>
    <definedName name="upahkabel335">#REF!</definedName>
    <definedName name="upahkabel34">#REF!</definedName>
    <definedName name="upahkabel350">#REF!</definedName>
    <definedName name="upahkabel36">#REF!</definedName>
    <definedName name="upahkabel370">#REF!</definedName>
    <definedName name="upahkabel395">#REF!</definedName>
    <definedName name="upahkabel41.5">#REF!</definedName>
    <definedName name="upahkabel410">#REF!</definedName>
    <definedName name="upahkabel4120">#REF!</definedName>
    <definedName name="upahkabel4150">#REF!</definedName>
    <definedName name="upahkabel416">#REF!</definedName>
    <definedName name="upahkabel4185">#REF!</definedName>
    <definedName name="upahkabel42.5">#REF!</definedName>
    <definedName name="upahkabel4240">#REF!</definedName>
    <definedName name="upahkabel425">#REF!</definedName>
    <definedName name="upahkabel4300">#REF!</definedName>
    <definedName name="upahkabel435">#REF!</definedName>
    <definedName name="upahkabel44">#REF!</definedName>
    <definedName name="upahkabel450">#REF!</definedName>
    <definedName name="upahkabel46">#REF!</definedName>
    <definedName name="upahkabel470">#REF!</definedName>
    <definedName name="upahkabel495">#REF!</definedName>
    <definedName name="upahkabelbc10">#REF!</definedName>
    <definedName name="upahkabelbc120">#REF!</definedName>
    <definedName name="upahkabelbc16">#REF!</definedName>
    <definedName name="upahkabelbc25">#REF!</definedName>
    <definedName name="upahkabelbc35">#REF!</definedName>
    <definedName name="upahkabelbc4">#REF!</definedName>
    <definedName name="upahkabelbc50">#REF!</definedName>
    <definedName name="upahkabelbc6">#REF!</definedName>
    <definedName name="upahkabelbc70">#REF!</definedName>
    <definedName name="upahkran">#REF!</definedName>
    <definedName name="upahkranktcs">#REF!</definedName>
    <definedName name="upahktcs">#REF!</definedName>
    <definedName name="upahlm">#REF!</definedName>
    <definedName name="UPAHMELETAKKAN100KG">#REF!</definedName>
    <definedName name="upahnya1.5">#REF!</definedName>
    <definedName name="upahnya10">#REF!</definedName>
    <definedName name="upahnya120">#REF!</definedName>
    <definedName name="upahnya150">#REF!</definedName>
    <definedName name="upahnya16">#REF!</definedName>
    <definedName name="upahnya185">#REF!</definedName>
    <definedName name="upahnya2.5">#REF!</definedName>
    <definedName name="upahnya240">#REF!</definedName>
    <definedName name="upahnya25">#REF!</definedName>
    <definedName name="upahnya300">#REF!</definedName>
    <definedName name="upahnya35">#REF!</definedName>
    <definedName name="upahnya4">#REF!</definedName>
    <definedName name="upahnya400">#REF!</definedName>
    <definedName name="upahnya50">#REF!</definedName>
    <definedName name="upahnya6">#REF!</definedName>
    <definedName name="upahnya70">#REF!</definedName>
    <definedName name="upahnya95">#REF!</definedName>
    <definedName name="upahnyfgby21.5">#REF!</definedName>
    <definedName name="upahnyfgby210">#REF!</definedName>
    <definedName name="upahnyfgby216">#REF!</definedName>
    <definedName name="upahnyfgby22.5">#REF!</definedName>
    <definedName name="upahnyfgby24">#REF!</definedName>
    <definedName name="upahnyfgby26">#REF!</definedName>
    <definedName name="upahnyfgby31.5">#REF!</definedName>
    <definedName name="upahnyfgby310">#REF!</definedName>
    <definedName name="upahnyfgby316">#REF!</definedName>
    <definedName name="upahnyfgby32.5">#REF!</definedName>
    <definedName name="upahnyfgby325">#REF!</definedName>
    <definedName name="upahnyfgby34">#REF!</definedName>
    <definedName name="upahnyfgby36">#REF!</definedName>
    <definedName name="upahnyfgby41.5">#REF!</definedName>
    <definedName name="upahnyfgby410">#REF!</definedName>
    <definedName name="upahnyfgby4120">#REF!</definedName>
    <definedName name="upahnyfgby4150">#REF!</definedName>
    <definedName name="upahnyfgby416">#REF!</definedName>
    <definedName name="upahnyfgby4185">#REF!</definedName>
    <definedName name="upahnyfgby42.5">#REF!</definedName>
    <definedName name="upahnyfgby4240">#REF!</definedName>
    <definedName name="upahnyfgby425">#REF!</definedName>
    <definedName name="upahnyfgby4300">#REF!</definedName>
    <definedName name="upahnyfgby435">#REF!</definedName>
    <definedName name="upahnyfgby44">#REF!</definedName>
    <definedName name="upahnyfgby450">#REF!</definedName>
    <definedName name="upahnyfgby46">#REF!</definedName>
    <definedName name="upahnyfgby470">#REF!</definedName>
    <definedName name="upahnyfgby495">#REF!</definedName>
    <definedName name="upahnym21.5">#REF!</definedName>
    <definedName name="upahnym210">#REF!</definedName>
    <definedName name="upahnym216">#REF!</definedName>
    <definedName name="upahnym22.5">#REF!</definedName>
    <definedName name="upahnym225">#REF!</definedName>
    <definedName name="upahnym235">#REF!</definedName>
    <definedName name="upahnym24">#REF!</definedName>
    <definedName name="upahnym26">#REF!</definedName>
    <definedName name="upahnym31.5">#REF!</definedName>
    <definedName name="upahnym310">#REF!</definedName>
    <definedName name="upahnym316">#REF!</definedName>
    <definedName name="upahnym32.5">#REF!</definedName>
    <definedName name="upahnym325">#REF!</definedName>
    <definedName name="upahnym34">#REF!</definedName>
    <definedName name="upahnym36">#REF!</definedName>
    <definedName name="upahnym41.5">#REF!</definedName>
    <definedName name="upahnym410">#REF!</definedName>
    <definedName name="upahnym416">#REF!</definedName>
    <definedName name="upahnym42.5">#REF!</definedName>
    <definedName name="upahnym425">#REF!</definedName>
    <definedName name="upahnym44">#REF!</definedName>
    <definedName name="upahnym46">#REF!</definedName>
    <definedName name="upahnyy110">#REF!</definedName>
    <definedName name="upahnyy1120">#REF!</definedName>
    <definedName name="upahnyy1150">#REF!</definedName>
    <definedName name="upahnyy116">#REF!</definedName>
    <definedName name="upahnyy1185">#REF!</definedName>
    <definedName name="upahnyy1240">#REF!</definedName>
    <definedName name="upahnyy125">#REF!</definedName>
    <definedName name="upahnyy1300">#REF!</definedName>
    <definedName name="upahnyy135">#REF!</definedName>
    <definedName name="upahnyy14">#REF!</definedName>
    <definedName name="upahnyy1400">#REF!</definedName>
    <definedName name="upahnyy150">#REF!</definedName>
    <definedName name="upahnyy1500">#REF!</definedName>
    <definedName name="upahnyy16">#REF!</definedName>
    <definedName name="upahnyy1630">#REF!</definedName>
    <definedName name="upahnyy170">#REF!</definedName>
    <definedName name="upahnyy195">#REF!</definedName>
    <definedName name="upahnyy21.5">#REF!</definedName>
    <definedName name="upahnyy210">#REF!</definedName>
    <definedName name="upahnyy2120">#REF!</definedName>
    <definedName name="upahnyy216">#REF!</definedName>
    <definedName name="upahnyy22.5">#REF!</definedName>
    <definedName name="upahnyy225">#REF!</definedName>
    <definedName name="upahnyy235">#REF!</definedName>
    <definedName name="upahnyy24">#REF!</definedName>
    <definedName name="upahnyy250">#REF!</definedName>
    <definedName name="upahnyy26">#REF!</definedName>
    <definedName name="upahnyy270">#REF!</definedName>
    <definedName name="upahnyy295">#REF!</definedName>
    <definedName name="upahnyy31.5">#REF!</definedName>
    <definedName name="upahnyy310">#REF!</definedName>
    <definedName name="upahnyy3120">#REF!</definedName>
    <definedName name="upahnyy3150">#REF!</definedName>
    <definedName name="upahnyy316">#REF!</definedName>
    <definedName name="upahnyy3185">#REF!</definedName>
    <definedName name="upahnyy32.5">#REF!</definedName>
    <definedName name="upahnyy3240">#REF!</definedName>
    <definedName name="upahnyy325">#REF!</definedName>
    <definedName name="upahnyy335">#REF!</definedName>
    <definedName name="upahnyy34">#REF!</definedName>
    <definedName name="upahnyy350">#REF!</definedName>
    <definedName name="upahnyy36">#REF!</definedName>
    <definedName name="upahnyy370">#REF!</definedName>
    <definedName name="upahnyy395">#REF!</definedName>
    <definedName name="upahnyy41.5">#REF!</definedName>
    <definedName name="upahnyy410">#REF!</definedName>
    <definedName name="upahnyy4120">#REF!</definedName>
    <definedName name="upahnyy4150">#REF!</definedName>
    <definedName name="upahnyy416">#REF!</definedName>
    <definedName name="upahnyy4185">#REF!</definedName>
    <definedName name="upahnyy42.5">#REF!</definedName>
    <definedName name="upahnyy4240">#REF!</definedName>
    <definedName name="upahnyy425">#REF!</definedName>
    <definedName name="upahnyy4300">#REF!</definedName>
    <definedName name="upahnyy435">#REF!</definedName>
    <definedName name="upahnyy44">#REF!</definedName>
    <definedName name="upahnyy450">#REF!</definedName>
    <definedName name="upahnyy46">#REF!</definedName>
    <definedName name="upahnyy470">#REF!</definedName>
    <definedName name="upahnyy495">#REF!</definedName>
    <definedName name="upahpn10sd0.5">#REF!</definedName>
    <definedName name="upahpn10sd0.75">#REF!</definedName>
    <definedName name="upahpn10sd1">#REF!</definedName>
    <definedName name="upahpn10sd1.25">#REF!</definedName>
    <definedName name="upahpn10sd1.5">#REF!</definedName>
    <definedName name="upahpn10sd2">#REF!</definedName>
    <definedName name="upahpn10sd2.5">#REF!</definedName>
    <definedName name="upahpn10sd3">#REF!</definedName>
    <definedName name="upahpn10sd4">#REF!</definedName>
    <definedName name="upahpn20sd0.5">#REF!</definedName>
    <definedName name="upahpn20sd0.75">#REF!</definedName>
    <definedName name="upahpn20sd1">#REF!</definedName>
    <definedName name="upahpn20sd1.25">#REF!</definedName>
    <definedName name="upahpn20sd1.5">#REF!</definedName>
    <definedName name="upahpn20sd2">#REF!</definedName>
    <definedName name="upahpn20sd2.5">#REF!</definedName>
    <definedName name="upahpn20sd3">#REF!</definedName>
    <definedName name="upahpn20sd4">#REF!</definedName>
    <definedName name="upahpolos">#REF!</definedName>
    <definedName name="upahpvc0.5">#REF!</definedName>
    <definedName name="upahpvc0.75">#REF!</definedName>
    <definedName name="upahpvc1">#REF!</definedName>
    <definedName name="upahpvc1.25">#REF!</definedName>
    <definedName name="upahpvc1.5">#REF!</definedName>
    <definedName name="upahpvc10">#REF!</definedName>
    <definedName name="upahpvc12">#REF!</definedName>
    <definedName name="upahpvc2">#REF!</definedName>
    <definedName name="upahpvc2.5">#REF!</definedName>
    <definedName name="upahpvc3">#REF!</definedName>
    <definedName name="upahpvc4">#REF!</definedName>
    <definedName name="upahpvc5">#REF!</definedName>
    <definedName name="upahpvc6">#REF!</definedName>
    <definedName name="upahpvc8">#REF!</definedName>
    <definedName name="upahpykturinal">#REF!</definedName>
    <definedName name="upahrobehook">#REF!</definedName>
    <definedName name="upahsbypipa0.5">#REF!</definedName>
    <definedName name="upahshw">#REF!</definedName>
    <definedName name="upahshwr">#REF!</definedName>
    <definedName name="upahshwrhead">#REF!</definedName>
    <definedName name="upahstpkran">#REF!</definedName>
    <definedName name="upahstr10ktoyo0.5">'[139]Harga ME '!#REF!</definedName>
    <definedName name="upahstr10ktoyo1">'[139]Harga ME '!#REF!</definedName>
    <definedName name="upahstr10ktoyo1.25">'[139]Harga ME '!#REF!</definedName>
    <definedName name="upahstr10ktoyo10">'[139]Harga ME '!#REF!</definedName>
    <definedName name="upahstr10ktoyo12">'[139]Harga ME '!#REF!</definedName>
    <definedName name="upahstr10ktoyo2.5">'[139]Harga ME '!#REF!</definedName>
    <definedName name="upahstr10ktoyo3">'[139]Harga ME '!#REF!</definedName>
    <definedName name="upahstr10ktoyo5">'[139]Harga ME '!#REF!</definedName>
    <definedName name="upahstr10ktoyo6">'[139]Harga ME '!#REF!</definedName>
    <definedName name="upahstr10toyo14">#REF!</definedName>
    <definedName name="upahstr16ktoyo10">'[139]Harga ME '!#REF!</definedName>
    <definedName name="upahstr16ktoyo12">'[139]Harga ME '!#REF!</definedName>
    <definedName name="upahstr16ktoyo3">'[139]Harga ME '!#REF!</definedName>
    <definedName name="upahstr16ktoyo4">'[139]Harga ME '!#REF!</definedName>
    <definedName name="upahstr16ktoyo5">'[139]Harga ME '!#REF!</definedName>
    <definedName name="upahstr16ktoyo6">'[139]Harga ME '!#REF!</definedName>
    <definedName name="upahstr16ktoyo8">'[139]Harga ME '!#REF!</definedName>
    <definedName name="upahstrbersihkz0.5">#REF!</definedName>
    <definedName name="upahstrbersihkz0.75">#REF!</definedName>
    <definedName name="upahstrbersihkz1">#REF!</definedName>
    <definedName name="upahstrbersihkz1.25">#REF!</definedName>
    <definedName name="upahstrbersihkz1.5">#REF!</definedName>
    <definedName name="upahstrbersihkz2">#REF!</definedName>
    <definedName name="upahstrbersihkz2.5">#REF!</definedName>
    <definedName name="upahstrbersihty0.5">#REF!</definedName>
    <definedName name="upahstrbersihty0.75">#REF!</definedName>
    <definedName name="upahstrbersihty1">#REF!</definedName>
    <definedName name="upahstrbersihty1.25">#REF!</definedName>
    <definedName name="upahstrbersihty1.5">#REF!</definedName>
    <definedName name="upahstrbersihty2">#REF!</definedName>
    <definedName name="upahstrbersihty2.5">#REF!</definedName>
    <definedName name="upahstrhydrantkitz10">'[139]Harga ME '!#REF!</definedName>
    <definedName name="upahstrhydrantkitz12">'[139]Harga ME '!#REF!</definedName>
    <definedName name="upahstrhydrantkitz8">'[139]Harga ME '!#REF!</definedName>
    <definedName name="upahstrhydrantkz1.5">#REF!</definedName>
    <definedName name="upahstrhydrantkz2">#REF!</definedName>
    <definedName name="upahstrhydrantkz2.5">#REF!</definedName>
    <definedName name="upahstrhydrantkz3">#REF!</definedName>
    <definedName name="upahstrhydrantkz4">#REF!</definedName>
    <definedName name="upahstrhydrantkz5">#REF!</definedName>
    <definedName name="upahstrhydrantkz6">#REF!</definedName>
    <definedName name="upahstrhydranty1.5">#REF!</definedName>
    <definedName name="upahstrhydranty10">#REF!</definedName>
    <definedName name="upahstrhydranty12">#REF!</definedName>
    <definedName name="upahstrhydranty2">#REF!</definedName>
    <definedName name="upahstrhydranty2.5">#REF!</definedName>
    <definedName name="upahstrhydranty3">#REF!</definedName>
    <definedName name="upahstrhydranty4">#REF!</definedName>
    <definedName name="upahstrhydranty5">#REF!</definedName>
    <definedName name="upahstrhydranty6">#REF!</definedName>
    <definedName name="upahstrhydranty8">#REF!</definedName>
    <definedName name="upahtpthanduk">#REF!</definedName>
    <definedName name="upahtptsbn">#REF!</definedName>
    <definedName name="upahtpttisu">#REF!</definedName>
    <definedName name="upahulir">#REF!</definedName>
    <definedName name="upahurinal">#REF!</definedName>
    <definedName name="upahwf">#REF!</definedName>
    <definedName name="UPAS_14_PSRBTN">'[33]Analisa pemkot'!#REF!</definedName>
    <definedName name="UPAS13">'[33]Analisa pemkot'!#REF!</definedName>
    <definedName name="UPAS14">'[33]Analisa pemkot'!#REF!</definedName>
    <definedName name="UPAS15">'[33]Analisa pemkot'!#REF!</definedName>
    <definedName name="UPAS15_PSRBTN">'[33]Analisa pemkot'!#REF!</definedName>
    <definedName name="upasbk5">#REF!</definedName>
    <definedName name="upasbm3">#REF!</definedName>
    <definedName name="upasbm5">#REF!</definedName>
    <definedName name="upasbt">'[48]HARGA SATUAN'!$G$97</definedName>
    <definedName name="upasbtkl">'[48]HARGA SATUAN'!#REF!</definedName>
    <definedName name="upasir">#REF!</definedName>
    <definedName name="upasirPC">#REF!</definedName>
    <definedName name="upasirsloof">#REF!</definedName>
    <definedName name="UPASIRURUG">'[33]Analisa pemkot'!#REF!</definedName>
    <definedName name="UPAV6W">'[33]Analisa pemkot'!#REF!</definedName>
    <definedName name="UPAVING">'[33]Analisa pemkot'!#REF!</definedName>
    <definedName name="UPAVJL10">'[33]Analisa pemkot'!#REF!</definedName>
    <definedName name="UPAVJL10W">'[33]Analisa pemkot'!#REF!</definedName>
    <definedName name="UPAVJL6">'[33]Analisa pemkot'!#REF!</definedName>
    <definedName name="UPAVJL8">'[33]Analisa pemkot'!#REF!</definedName>
    <definedName name="UPAVJL8W">'[33]Analisa pemkot'!#REF!</definedName>
    <definedName name="UPAVTROW">'[33]Analisa pemkot'!#REF!</definedName>
    <definedName name="upc">#REF!</definedName>
    <definedName name="upekerja">#REF!</definedName>
    <definedName name="UPEMBOPRT">[77]Upah!$G$14</definedName>
    <definedName name="UPEN">#REF!</definedName>
    <definedName name="UPERANC1">'[33]Analisa pemkot'!#REF!</definedName>
    <definedName name="UPERANC2">'[33]Analisa pemkot'!#REF!</definedName>
    <definedName name="Uph">#REF!</definedName>
    <definedName name="uphbatcopondsi">[83]Sheet1!$H$204</definedName>
    <definedName name="uphbesi">#REF!</definedName>
    <definedName name="uphlantkrj">#REF!</definedName>
    <definedName name="UPINGUL">#REF!</definedName>
    <definedName name="UPKJSUPIORI">#REF!</definedName>
    <definedName name="UPL">#REF!</definedName>
    <definedName name="UPLAT1">'[33]Analisa pemkot'!#REF!</definedName>
    <definedName name="UPLATTTP">'[33]Analisa pemkot'!#REF!</definedName>
    <definedName name="UPLEST13">'[33]Analisa pemkot'!#REF!</definedName>
    <definedName name="UPLEST13A">'[33]Analisa pemkot'!#REF!</definedName>
    <definedName name="uplest3">#REF!</definedName>
    <definedName name="uplest5">#REF!</definedName>
    <definedName name="uplesteran">'[48]HARGA SATUAN'!$G$98</definedName>
    <definedName name="UPLINBLT">#REF!</definedName>
    <definedName name="UPO">'[45]Sat~Bahu'!$H$13</definedName>
    <definedName name="UPRIME">'[33]Analisa pemkot'!#REF!</definedName>
    <definedName name="uptc">#REF!</definedName>
    <definedName name="upto">#REF!</definedName>
    <definedName name="upurug">#REF!</definedName>
    <definedName name="uraan">[162]STAF!#REF!</definedName>
    <definedName name="urabat">#REF!</definedName>
    <definedName name="URAIAN" localSheetId="5">'[131]3-DIV2'!$A$1:$J$1101</definedName>
    <definedName name="URAIAN" localSheetId="7">'[131]3-DIV2'!$A$1:$J$1101</definedName>
    <definedName name="URAIAN">#REF!</definedName>
    <definedName name="Uraian_Pekerjaan">#REF!</definedName>
    <definedName name="URAIAN101">#REF!</definedName>
    <definedName name="URAIAN1021">#REF!</definedName>
    <definedName name="URAIAN1022">#REF!</definedName>
    <definedName name="URAIAN1031">#REF!</definedName>
    <definedName name="URAIAN1032">#REF!</definedName>
    <definedName name="URAIAN1041">#REF!</definedName>
    <definedName name="URAIAN1042">#REF!</definedName>
    <definedName name="URAIAN21" localSheetId="5">'[131]3-DIV2'!$A$1:$J$121</definedName>
    <definedName name="URAIAN21" localSheetId="7">'[131]3-DIV2'!$A$1:$J$121</definedName>
    <definedName name="URAIAN21">#REF!</definedName>
    <definedName name="URAIAN22E" localSheetId="5">'[131]3-DIV2'!$A$122:$J$123</definedName>
    <definedName name="URAIAN22E" localSheetId="7">'[131]3-DIV2'!$A$122:$J$123</definedName>
    <definedName name="URAIAN22E">#REF!</definedName>
    <definedName name="URAIAN22L">#REF!</definedName>
    <definedName name="URAIAN231" localSheetId="5">'[131]3-DIV2'!$A$124:$J$243</definedName>
    <definedName name="URAIAN231" localSheetId="7">'[131]3-DIV2'!$A$124:$J$243</definedName>
    <definedName name="URAIAN231">#REF!</definedName>
    <definedName name="URAIAN232" localSheetId="5">'[131]3-DIV2'!$A$244:$J$363</definedName>
    <definedName name="URAIAN232" localSheetId="7">'[131]3-DIV2'!$A$244:$J$363</definedName>
    <definedName name="URAIAN232">#REF!</definedName>
    <definedName name="URAIAN233" localSheetId="5">'[131]3-DIV2'!$A$364:$J$483</definedName>
    <definedName name="URAIAN233" localSheetId="7">'[131]3-DIV2'!$A$364:$J$483</definedName>
    <definedName name="URAIAN233">#REF!</definedName>
    <definedName name="Uraian234" localSheetId="5">'[131]3-DIV2'!$A$484:$J$603</definedName>
    <definedName name="Uraian234" localSheetId="7">'[131]3-DIV2'!$A$484:$J$603</definedName>
    <definedName name="Uraian234">#REF!</definedName>
    <definedName name="URAIAN234L">#REF!</definedName>
    <definedName name="Uraian235" localSheetId="5">'[131]3-DIV2'!$A$604:$J$854</definedName>
    <definedName name="Uraian235" localSheetId="7">'[131]3-DIV2'!$A$604:$J$854</definedName>
    <definedName name="Uraian235">#REF!</definedName>
    <definedName name="Uraian236" localSheetId="5">'[131]3-DIV2'!$A$855:$J$973</definedName>
    <definedName name="Uraian236" localSheetId="7">'[131]3-DIV2'!$A$855:$J$973</definedName>
    <definedName name="Uraian236">#REF!</definedName>
    <definedName name="URAIAN241" localSheetId="5">'[131]3-DIV2'!$A$974:$J$978</definedName>
    <definedName name="URAIAN241" localSheetId="7">'[131]3-DIV2'!$A$974:$J$978</definedName>
    <definedName name="URAIAN241">#REF!</definedName>
    <definedName name="URAIAN242" localSheetId="5">'[131]3-DIV2'!$A$979:$J$1039</definedName>
    <definedName name="URAIAN242" localSheetId="7">'[131]3-DIV2'!$A$979:$J$1039</definedName>
    <definedName name="URAIAN242">#REF!</definedName>
    <definedName name="URAIAN243" localSheetId="5">'[131]3-DIV2'!$A$1040:$J$1101</definedName>
    <definedName name="URAIAN243" localSheetId="7">'[131]3-DIV2'!$A$1040:$J$1101</definedName>
    <definedName name="URAIAN243">#REF!</definedName>
    <definedName name="Uraian311" localSheetId="5">'[133]3-DIV3'!$A$1:$J$120</definedName>
    <definedName name="Uraian311" localSheetId="7">'[133]3-DIV3'!$A$1:$J$120</definedName>
    <definedName name="Uraian311">#REF!</definedName>
    <definedName name="Uraian312" localSheetId="5">'[133]3-DIV3'!$A$121:$J$240</definedName>
    <definedName name="Uraian312" localSheetId="7">'[133]3-DIV3'!$A$121:$J$240</definedName>
    <definedName name="Uraian312">#REF!</definedName>
    <definedName name="Uraian313" localSheetId="5">'[133]3-DIV3'!$A$255:$J$374</definedName>
    <definedName name="Uraian313" localSheetId="7">'[133]3-DIV3'!$A$255:$J$374</definedName>
    <definedName name="Uraian313">#REF!</definedName>
    <definedName name="Uraian314" localSheetId="5">'[133]3-DIV3'!$A$375:$J$494</definedName>
    <definedName name="Uraian314" localSheetId="7">'[133]3-DIV3'!$A$375:$J$494</definedName>
    <definedName name="Uraian314">#REF!</definedName>
    <definedName name="Uraian315" localSheetId="5">'[133]3-DIV3'!$A$1766:$J$1885</definedName>
    <definedName name="Uraian315" localSheetId="7">'[133]3-DIV3'!$A$1766:$J$1885</definedName>
    <definedName name="Uraian315">#REF!</definedName>
    <definedName name="URAIAN316">#REF!</definedName>
    <definedName name="Uraian319" localSheetId="5">'[133]3-DIV3'!$A$1886:$J$1946</definedName>
    <definedName name="Uraian319" localSheetId="7">'[133]3-DIV3'!$A$1886:$J$1946</definedName>
    <definedName name="Uraian319">#REF!</definedName>
    <definedName name="Uraian321">#REF!</definedName>
    <definedName name="Uraian322" localSheetId="5">'[133]3-DIV3'!$A$1947:$J$2127</definedName>
    <definedName name="Uraian322" localSheetId="7">'[133]3-DIV3'!$A$1947:$J$2127</definedName>
    <definedName name="Uraian322">#REF!</definedName>
    <definedName name="Uraian323" localSheetId="5">'[133]3-DIV3'!$A$2128:$J$2306</definedName>
    <definedName name="Uraian323" localSheetId="7">'[133]3-DIV3'!$A$2128:$J$2306</definedName>
    <definedName name="Uraian323">#REF!</definedName>
    <definedName name="URAIAN323L" localSheetId="7">#REF!</definedName>
    <definedName name="URAIAN323L">#REF!</definedName>
    <definedName name="Uraian324" localSheetId="5">'[133]3-DIV3'!$A$2307:$J$2428</definedName>
    <definedName name="Uraian324" localSheetId="7">'[133]3-DIV3'!$A$2307:$J$2428</definedName>
    <definedName name="Uraian324">#REF!</definedName>
    <definedName name="Uraian33">#REF!</definedName>
    <definedName name="Uraian331" localSheetId="5">'[133]3-DIV3'!$A$2429:$J$2548</definedName>
    <definedName name="Uraian331" localSheetId="7">'[133]3-DIV3'!$A$2429:$J$2548</definedName>
    <definedName name="Uraian331">#REF!</definedName>
    <definedName name="Uraian346" localSheetId="5">'[133]3-DIV3'!$A$2549:$J$2609</definedName>
    <definedName name="Uraian346" localSheetId="7">'[133]3-DIV3'!$A$2549:$J$2609</definedName>
    <definedName name="Uraian346">#REF!</definedName>
    <definedName name="URAIAN421" localSheetId="5">'[134]3-DIV4'!$A$1:$J$179</definedName>
    <definedName name="URAIAN421" localSheetId="7">'[134]3-DIV4'!$A$1:$J$179</definedName>
    <definedName name="URAIAN421">#REF!</definedName>
    <definedName name="URAIAN422" localSheetId="5">'[134]3-DIV4'!$A$180:$J$358</definedName>
    <definedName name="URAIAN422" localSheetId="7">'[134]3-DIV4'!$A$180:$J$358</definedName>
    <definedName name="URAIAN422">#REF!</definedName>
    <definedName name="URAIAN423" localSheetId="5">'[134]3-DIV4'!$A$479:$J$717</definedName>
    <definedName name="URAIAN423" localSheetId="7">'[134]3-DIV4'!$A$479:$J$717</definedName>
    <definedName name="URAIAN423">#REF!</definedName>
    <definedName name="URAIAN424" localSheetId="5">'[134]3-DIV4'!$A$359:$J$478</definedName>
    <definedName name="URAIAN424" localSheetId="7">'[134]3-DIV4'!$A$359:$J$478</definedName>
    <definedName name="URAIAN424">#REF!</definedName>
    <definedName name="URAIAN425" localSheetId="5">'[134]3-DIV4'!$A$718:$J$896</definedName>
    <definedName name="URAIAN425" localSheetId="7">'[134]3-DIV4'!$A$718:$J$896</definedName>
    <definedName name="URAIAN425">#REF!</definedName>
    <definedName name="URAIAN426" localSheetId="5">'[134]3-DIV4'!$A$897:$J$1016</definedName>
    <definedName name="URAIAN426" localSheetId="7">'[134]3-DIV4'!$A$897:$J$1016</definedName>
    <definedName name="URAIAN426">#REF!</definedName>
    <definedName name="URAIAN427" localSheetId="5">'[134]3-DIV4'!$A$1017:$J$1136</definedName>
    <definedName name="URAIAN427" localSheetId="7">'[134]3-DIV4'!$A$1017:$J$1136</definedName>
    <definedName name="URAIAN427">#REF!</definedName>
    <definedName name="URAIAN511" localSheetId="5">'[135]3-DIV5'!$A$1:$J$179</definedName>
    <definedName name="URAIAN511" localSheetId="7">'[135]3-DIV5'!$A$1:$J$179</definedName>
    <definedName name="URAIAN511">#REF!</definedName>
    <definedName name="URAIAN512" localSheetId="5">'[135]3-DIV5'!$A$180:$J$358</definedName>
    <definedName name="URAIAN512" localSheetId="7">'[135]3-DIV5'!$A$180:$J$358</definedName>
    <definedName name="URAIAN512">#REF!</definedName>
    <definedName name="URAIAN521" localSheetId="5">'[135]3-DIV5'!$A$359:$J$537</definedName>
    <definedName name="URAIAN521" localSheetId="7">'[135]3-DIV5'!$A$359:$J$537</definedName>
    <definedName name="URAIAN521">#REF!</definedName>
    <definedName name="URAIAN522" localSheetId="5">'[135]3-DIV5'!$A$3075:$J$3253</definedName>
    <definedName name="URAIAN522" localSheetId="7">'[135]3-DIV5'!$A$3075:$J$3253</definedName>
    <definedName name="URAIAN522">#REF!</definedName>
    <definedName name="URAIAN541" localSheetId="5">'[135]3-DIV5'!$A$3254:$J$3373</definedName>
    <definedName name="URAIAN541" localSheetId="7">'[135]3-DIV5'!$A$3254:$J$3373</definedName>
    <definedName name="URAIAN541">#REF!</definedName>
    <definedName name="URAIAN542" localSheetId="5">'[135]3-DIV5'!$A$3374:$J$3612</definedName>
    <definedName name="URAIAN542" localSheetId="7">'[135]3-DIV5'!$A$3374:$J$3612</definedName>
    <definedName name="URAIAN542">#REF!</definedName>
    <definedName name="URAIAN611" localSheetId="7">#REF!</definedName>
    <definedName name="URAIAN611">#REF!</definedName>
    <definedName name="URAIAN612" localSheetId="7">#REF!</definedName>
    <definedName name="URAIAN612">#REF!</definedName>
    <definedName name="URAIAN621" localSheetId="7">#REF!</definedName>
    <definedName name="URAIAN621">#REF!</definedName>
    <definedName name="URAIAN622" localSheetId="7">#REF!</definedName>
    <definedName name="URAIAN622">#REF!</definedName>
    <definedName name="URAIAN623" localSheetId="7">#REF!</definedName>
    <definedName name="URAIAN623">#REF!</definedName>
    <definedName name="URAIAN624">#REF!</definedName>
    <definedName name="URAIAN631" localSheetId="7">#REF!</definedName>
    <definedName name="URAIAN631">#REF!</definedName>
    <definedName name="URAIAN632" localSheetId="7">#REF!</definedName>
    <definedName name="URAIAN632">#REF!</definedName>
    <definedName name="URAIAN633" localSheetId="7">#REF!</definedName>
    <definedName name="URAIAN633">#REF!</definedName>
    <definedName name="URAIAN634" localSheetId="7">#REF!</definedName>
    <definedName name="URAIAN634">#REF!</definedName>
    <definedName name="URAIAN635" localSheetId="7">#REF!</definedName>
    <definedName name="URAIAN635">#REF!</definedName>
    <definedName name="URAIAN635A" localSheetId="7">#REF!</definedName>
    <definedName name="URAIAN635A">#REF!</definedName>
    <definedName name="URAIAN636" localSheetId="7">#REF!</definedName>
    <definedName name="URAIAN636">#REF!</definedName>
    <definedName name="URAIAN641L" localSheetId="7">#REF!</definedName>
    <definedName name="URAIAN641L">#REF!</definedName>
    <definedName name="URAIAN642" localSheetId="7">#REF!</definedName>
    <definedName name="URAIAN642">#REF!</definedName>
    <definedName name="URAIAN65" localSheetId="7">#REF!</definedName>
    <definedName name="URAIAN65">#REF!</definedName>
    <definedName name="URAIAN651">#REF!</definedName>
    <definedName name="URAIAN66">#REF!</definedName>
    <definedName name="URAIAN661">#REF!</definedName>
    <definedName name="URAIAN662">#REF!</definedName>
    <definedName name="URAIAN66PERATA" localSheetId="7">#REF!</definedName>
    <definedName name="URAIAN66PERATA">#REF!</definedName>
    <definedName name="URAIAN66PERMUKAAN" localSheetId="7">#REF!</definedName>
    <definedName name="URAIAN66PERMUKAAN">#REF!</definedName>
    <definedName name="URAIAN7101" localSheetId="7">#REF!</definedName>
    <definedName name="URAIAN7101">#REF!</definedName>
    <definedName name="URAIAN7102" localSheetId="7">#REF!</definedName>
    <definedName name="URAIAN7102">#REF!</definedName>
    <definedName name="URAIAN7103" localSheetId="7">#REF!</definedName>
    <definedName name="URAIAN7103">#REF!</definedName>
    <definedName name="URAIAN711" localSheetId="7">#REF!</definedName>
    <definedName name="URAIAN711">#REF!</definedName>
    <definedName name="URAIAN712" localSheetId="7">#REF!</definedName>
    <definedName name="URAIAN712">#REF!</definedName>
    <definedName name="URAIAN713" localSheetId="7">#REF!</definedName>
    <definedName name="URAIAN713">#REF!</definedName>
    <definedName name="URAIAN714" localSheetId="7">#REF!</definedName>
    <definedName name="URAIAN714">#REF!</definedName>
    <definedName name="URAIAN715" localSheetId="7">#REF!</definedName>
    <definedName name="URAIAN715">#REF!</definedName>
    <definedName name="URAIAN716" localSheetId="7">#REF!</definedName>
    <definedName name="URAIAN716">#REF!</definedName>
    <definedName name="URAIAN717" localSheetId="7">#REF!</definedName>
    <definedName name="URAIAN717">#REF!</definedName>
    <definedName name="URAIAN718" localSheetId="7">#REF!</definedName>
    <definedName name="URAIAN718">#REF!</definedName>
    <definedName name="URAIAN721" localSheetId="7">#REF!</definedName>
    <definedName name="URAIAN721">#REF!</definedName>
    <definedName name="URAIAN731" localSheetId="7">#REF!</definedName>
    <definedName name="URAIAN731">#REF!</definedName>
    <definedName name="URAIAN732" localSheetId="7">#REF!</definedName>
    <definedName name="URAIAN732">#REF!</definedName>
    <definedName name="URAIAN733" localSheetId="7">#REF!</definedName>
    <definedName name="URAIAN733">#REF!</definedName>
    <definedName name="URAIAN734" localSheetId="7">#REF!</definedName>
    <definedName name="URAIAN734">#REF!</definedName>
    <definedName name="URAIAN735" localSheetId="7">#REF!</definedName>
    <definedName name="URAIAN735">#REF!</definedName>
    <definedName name="URAIAN73PL">#REF!</definedName>
    <definedName name="URAIAN73UL">#REF!</definedName>
    <definedName name="URAIAN744" localSheetId="7">#REF!</definedName>
    <definedName name="URAIAN744">#REF!</definedName>
    <definedName name="URAIAN745" localSheetId="7">#REF!</definedName>
    <definedName name="URAIAN745">#REF!</definedName>
    <definedName name="URAIAN751">#REF!</definedName>
    <definedName name="URAIAN752">#REF!</definedName>
    <definedName name="URAIAN7610" localSheetId="7">#REF!</definedName>
    <definedName name="URAIAN7610">#REF!</definedName>
    <definedName name="URAIAN7611">#REF!</definedName>
    <definedName name="URAIAN7612">#REF!</definedName>
    <definedName name="URAIAN7612a" localSheetId="7">#REF!</definedName>
    <definedName name="URAIAN7612a">#REF!</definedName>
    <definedName name="URAIAN7612b" localSheetId="7">#REF!</definedName>
    <definedName name="URAIAN7612b">#REF!</definedName>
    <definedName name="URAIAN7612c" localSheetId="7">#REF!</definedName>
    <definedName name="URAIAN7612c">#REF!</definedName>
    <definedName name="URAIAN7613">#REF!</definedName>
    <definedName name="URAIAN7613a" localSheetId="7">#REF!</definedName>
    <definedName name="URAIAN7613a">#REF!</definedName>
    <definedName name="URAIAN7613b" localSheetId="7">#REF!</definedName>
    <definedName name="URAIAN7613b">#REF!</definedName>
    <definedName name="URAIAN7613c" localSheetId="7">#REF!</definedName>
    <definedName name="URAIAN7613c">#REF!</definedName>
    <definedName name="URAIAN7614">#REF!</definedName>
    <definedName name="URAIAN7614a" localSheetId="7">#REF!</definedName>
    <definedName name="URAIAN7614a">#REF!</definedName>
    <definedName name="URAIAN7614b" localSheetId="7">#REF!</definedName>
    <definedName name="URAIAN7614b">#REF!</definedName>
    <definedName name="URAIAN7614d" localSheetId="7">#REF!</definedName>
    <definedName name="URAIAN7614d">#REF!</definedName>
    <definedName name="URAIAN7614e" localSheetId="7">#REF!</definedName>
    <definedName name="URAIAN7614e">#REF!</definedName>
    <definedName name="URAIAN7615">#REF!</definedName>
    <definedName name="URAIAN7616">#REF!</definedName>
    <definedName name="URAIAN7617">#REF!</definedName>
    <definedName name="URAIAN7618" localSheetId="7">#REF!</definedName>
    <definedName name="URAIAN7618">#REF!</definedName>
    <definedName name="URAIAN7619" localSheetId="7">#REF!</definedName>
    <definedName name="URAIAN7619">#REF!</definedName>
    <definedName name="URAIAN7620">#REF!</definedName>
    <definedName name="URAIAN7621">#REF!</definedName>
    <definedName name="URAIAN7625">#REF!</definedName>
    <definedName name="URAIAN7626">#REF!</definedName>
    <definedName name="URAIAN767">#REF!</definedName>
    <definedName name="URAIAN768" localSheetId="7">#REF!</definedName>
    <definedName name="URAIAN768">#REF!</definedName>
    <definedName name="URAIAN769" localSheetId="7">#REF!</definedName>
    <definedName name="URAIAN769">#REF!</definedName>
    <definedName name="URAIAN76x" localSheetId="7">#REF!</definedName>
    <definedName name="URAIAN76x">#REF!</definedName>
    <definedName name="URAIAN771">#REF!</definedName>
    <definedName name="URAIAN771a" localSheetId="7">#REF!</definedName>
    <definedName name="URAIAN771a">#REF!</definedName>
    <definedName name="URAIAN771b" localSheetId="7">#REF!</definedName>
    <definedName name="URAIAN771b">#REF!</definedName>
    <definedName name="URAIAN771c" localSheetId="7">#REF!</definedName>
    <definedName name="URAIAN771c">#REF!</definedName>
    <definedName name="URAIAN771d" localSheetId="7">#REF!</definedName>
    <definedName name="URAIAN771d">#REF!</definedName>
    <definedName name="URAIAN772a" localSheetId="7">#REF!</definedName>
    <definedName name="URAIAN772a">#REF!</definedName>
    <definedName name="URAIAN772b" localSheetId="7">#REF!</definedName>
    <definedName name="URAIAN772b">#REF!</definedName>
    <definedName name="URAIAN772c" localSheetId="7">#REF!</definedName>
    <definedName name="URAIAN772c">#REF!</definedName>
    <definedName name="URAIAN772d" localSheetId="7">#REF!</definedName>
    <definedName name="URAIAN772d">#REF!</definedName>
    <definedName name="URAIAN775">#REF!</definedName>
    <definedName name="URAIAN79">#REF!</definedName>
    <definedName name="URAIAN79L">#REF!</definedName>
    <definedName name="URAIAN79manual" localSheetId="7">#REF!</definedName>
    <definedName name="URAIAN79manual">#REF!</definedName>
    <definedName name="URAIAN79mekanis" localSheetId="7">#REF!</definedName>
    <definedName name="URAIAN79mekanis">#REF!</definedName>
    <definedName name="URAIAN811" localSheetId="7">#REF!</definedName>
    <definedName name="URAIAN811">#REF!</definedName>
    <definedName name="URAIAN812" localSheetId="7">#REF!</definedName>
    <definedName name="URAIAN812">#REF!</definedName>
    <definedName name="URAIAN813" localSheetId="7">#REF!</definedName>
    <definedName name="URAIAN813">#REF!</definedName>
    <definedName name="URAIAN814" localSheetId="7">#REF!</definedName>
    <definedName name="URAIAN814">#REF!</definedName>
    <definedName name="URAIAN815" localSheetId="7">#REF!</definedName>
    <definedName name="URAIAN815">#REF!</definedName>
    <definedName name="URAIAN817" localSheetId="7">#REF!</definedName>
    <definedName name="URAIAN817">#REF!</definedName>
    <definedName name="URAIAN818" localSheetId="7">#REF!</definedName>
    <definedName name="URAIAN818">#REF!</definedName>
    <definedName name="URAIAN819" localSheetId="7">#REF!</definedName>
    <definedName name="URAIAN819">#REF!</definedName>
    <definedName name="URAIAN82" localSheetId="7">#REF!</definedName>
    <definedName name="URAIAN82">#REF!</definedName>
    <definedName name="URAIAN83">#REF!</definedName>
    <definedName name="Uraian841" localSheetId="7">#REF!</definedName>
    <definedName name="Uraian841">#REF!</definedName>
    <definedName name="Uraian8410" localSheetId="7">#REF!</definedName>
    <definedName name="Uraian8410">#REF!</definedName>
    <definedName name="Uraian842" localSheetId="7">#REF!</definedName>
    <definedName name="Uraian842">#REF!</definedName>
    <definedName name="Uraian844" localSheetId="7">#REF!</definedName>
    <definedName name="Uraian844">#REF!</definedName>
    <definedName name="Uraian845" localSheetId="7">#REF!</definedName>
    <definedName name="Uraian845">#REF!</definedName>
    <definedName name="Uraian846" localSheetId="7">#REF!</definedName>
    <definedName name="Uraian846">#REF!</definedName>
    <definedName name="Uraian847" localSheetId="7">#REF!</definedName>
    <definedName name="Uraian847">#REF!</definedName>
    <definedName name="URAIAN910">#REF!</definedName>
    <definedName name="URAIAN911">#REF!</definedName>
    <definedName name="URAIAN912">#REF!</definedName>
    <definedName name="URAIAN913">#REF!</definedName>
    <definedName name="URAIAN914">#REF!</definedName>
    <definedName name="URAIAN915">#REF!</definedName>
    <definedName name="URAIAN916">#REF!</definedName>
    <definedName name="URAIAN917">#REF!</definedName>
    <definedName name="URAIAN918">#REF!</definedName>
    <definedName name="URAIAN919">#REF!</definedName>
    <definedName name="URAIAN920">#REF!</definedName>
    <definedName name="URAIAN94">#REF!</definedName>
    <definedName name="URAIAN95">#REF!</definedName>
    <definedName name="URAIAN96">#REF!</definedName>
    <definedName name="URAIAN97">#REF!</definedName>
    <definedName name="URAIAN98">#REF!</definedName>
    <definedName name="URAIAN99">#REF!</definedName>
    <definedName name="URAIANGEOTEKSTIL" localSheetId="7">#REF!</definedName>
    <definedName name="URAIANGEOTEKSTIL">#REF!</definedName>
    <definedName name="URAIANLatasirK">#REF!</definedName>
    <definedName name="URAIANLatasirKL">#REF!</definedName>
    <definedName name="URAMBU1" localSheetId="7">'[33]Analisa pemkot'!#REF!</definedName>
    <definedName name="URAMBU1">'[33]Analisa pemkot'!#REF!</definedName>
    <definedName name="URAMBU2" localSheetId="7">'[33]Analisa pemkot'!#REF!</definedName>
    <definedName name="URAMBU2">'[33]Analisa pemkot'!#REF!</definedName>
    <definedName name="ureserv">#REF!</definedName>
    <definedName name="Urg_Psr">#REF!</definedName>
    <definedName name="Urg_Tanah_Kembali">#REF!</definedName>
    <definedName name="Urg_Tnh_Lantai">#REF!</definedName>
    <definedName name="Urg_Tnh_Padat">#REF!</definedName>
    <definedName name="UrgBTGunung">#REF!</definedName>
    <definedName name="urgkmb">#REF!</definedName>
    <definedName name="UrgPasir">#REF!</definedName>
    <definedName name="urgpsr5">#REF!</definedName>
    <definedName name="UrgSirtu">#REF!</definedName>
    <definedName name="UrgTanahKembali">#REF!</definedName>
    <definedName name="UrgTnhDipdtkan">#REF!</definedName>
    <definedName name="urin">#REF!</definedName>
    <definedName name="urinal_57_M">[39]Plumbing!#REF!</definedName>
    <definedName name="urinalu370">#REF!</definedName>
    <definedName name="urinalU57M">#REF!</definedName>
    <definedName name="urinar">#REF!</definedName>
    <definedName name="urinoir">#REF!</definedName>
    <definedName name="urip">#REF!</definedName>
    <definedName name="urkemb">#REF!</definedName>
    <definedName name="urpadat">#REF!</definedName>
    <definedName name="urpas">#REF!</definedName>
    <definedName name="urpasir">#REF!</definedName>
    <definedName name="urpasir5">#REF!</definedName>
    <definedName name="urr">#REF!</definedName>
    <definedName name="URTANBIS_2">#REF!</definedName>
    <definedName name="URTANBIS_3">#REF!</definedName>
    <definedName name="URTEK_2_2_L01">[195]URTEK!$I$2008</definedName>
    <definedName name="URTEK_2_2_L02">[195]URTEK!$I$2007</definedName>
    <definedName name="URTEK_2_2_L03">[195]URTEK!$I$2006</definedName>
    <definedName name="URTEK_3_2_1_L01">[195]URTEK!$I$2090</definedName>
    <definedName name="URTEK_3_2_1_L03">[195]URTEK!$I$2091</definedName>
    <definedName name="urug">#REF!</definedName>
    <definedName name="Urug_Biasa">#REF!</definedName>
    <definedName name="urug_kembali">#REF!</definedName>
    <definedName name="Urug_Pasir">#REF!</definedName>
    <definedName name="Urug_Pilihan">#REF!</definedName>
    <definedName name="Urug_Sirtu">#REF!</definedName>
    <definedName name="Urug_TanahdrLuar">#REF!</definedName>
    <definedName name="urugan">#REF!</definedName>
    <definedName name="Urugan_Biasa">#REF!</definedName>
    <definedName name="URUGAN_KEMBALI">#REF!</definedName>
    <definedName name="URUGAN_KEMBALI_1">#REF!</definedName>
    <definedName name="URUGAN_KEMBALI_10">#REF!</definedName>
    <definedName name="URUGAN_KEMBALI_12">#REF!</definedName>
    <definedName name="URUGAN_KEMBALI_7">#REF!</definedName>
    <definedName name="URUGAN_KEMBALI_8">#REF!</definedName>
    <definedName name="URUGAN_KORAL_BIASA">#REF!</definedName>
    <definedName name="URUGAN_LIMESTONE">#REF!</definedName>
    <definedName name="URUGAN_PASIR">#REF!</definedName>
    <definedName name="URUGAN_PASIR_1">#REF!</definedName>
    <definedName name="URUGAN_PASIR_10">#REF!</definedName>
    <definedName name="URUGAN_PASIR_12">#REF!</definedName>
    <definedName name="URUGAN_PASIR_7">#REF!</definedName>
    <definedName name="URUGAN_PASIR_8">#REF!</definedName>
    <definedName name="Urugan_Pilihan">#REF!</definedName>
    <definedName name="URUGAN_TANAH">#REF!</definedName>
    <definedName name="Urugan_Tanah_Kemb">#REF!</definedName>
    <definedName name="URUGANPASIR">#REF!</definedName>
    <definedName name="URUGANSIRTU">#REF!</definedName>
    <definedName name="URUGANTANAH">#REF!</definedName>
    <definedName name="URUGANTANAHBEKASGALIAN">#REF!</definedName>
    <definedName name="URUGANTNH">#REF!</definedName>
    <definedName name="urugatnh.bhpilih">#REF!</definedName>
    <definedName name="urugkembali">#REF!</definedName>
    <definedName name="URUGPASIR">#REF!</definedName>
    <definedName name="urugpdt">#REF!</definedName>
    <definedName name="urugpeninggian">#REF!</definedName>
    <definedName name="URUGPS">#REF!</definedName>
    <definedName name="urugpsr">[83]Sheet1!$H$184</definedName>
    <definedName name="urugpsrbtn">#REF!</definedName>
    <definedName name="URUGST">#REF!</definedName>
    <definedName name="urugtanah">"'file://SERVER3/har-data/STRUCTURE PRICE OF BQ KOMPAS GRAMEDIA.xls'#$analisa.$#REF!$#REF!"</definedName>
    <definedName name="urugtnh">#REF!</definedName>
    <definedName name="us">#REF!</definedName>
    <definedName name="US_6">#REF!</definedName>
    <definedName name="usa">#REF!</definedName>
    <definedName name="usage">#REF!</definedName>
    <definedName name="USD">#REF!</definedName>
    <definedName name="UseList">#N/A</definedName>
    <definedName name="useptick">#REF!</definedName>
    <definedName name="USIAR13" localSheetId="7">'[33]Analisa pemkot'!#REF!</definedName>
    <definedName name="USIAR13">'[33]Analisa pemkot'!#REF!</definedName>
    <definedName name="USIKLOP" localSheetId="7">'[33]Analisa pemkot'!#REF!</definedName>
    <definedName name="USIKLOP">'[33]Analisa pemkot'!#REF!</definedName>
    <definedName name="USOPIR">[77]Upah!$G$15</definedName>
    <definedName name="USPON">'[33]Analisa pemkot'!#REF!</definedName>
    <definedName name="UST">'[45]Sat~Bahu'!$H$14</definedName>
    <definedName name="ustamp">#REF!</definedName>
    <definedName name="Usuk">#REF!</definedName>
    <definedName name="USUK_KRUING">#REF!</definedName>
    <definedName name="Usuk_Kruing_Rng_Kmpr">#REF!</definedName>
    <definedName name="Usukbekas">#REF!</definedName>
    <definedName name="Usukkamper">#REF!</definedName>
    <definedName name="Usukkmperketam">#REF!</definedName>
    <definedName name="Usukkruing">#REF!</definedName>
    <definedName name="USUKKRUINGRENGBANGKIRAI">#REF!</definedName>
    <definedName name="UsukKruingRengKamper">#REF!</definedName>
    <definedName name="usukmeranti">#REF!</definedName>
    <definedName name="usukreng">#REF!</definedName>
    <definedName name="Usukrengkamper">#REF!</definedName>
    <definedName name="Usukrengkamperekspose">#REF!</definedName>
    <definedName name="ut">#REF!</definedName>
    <definedName name="UTAIAN7614c" localSheetId="7">#REF!</definedName>
    <definedName name="UTAIAN7614c">#REF!</definedName>
    <definedName name="UTAMA">#REF!</definedName>
    <definedName name="utd0.75">#REF!</definedName>
    <definedName name="utd1.25">#REF!</definedName>
    <definedName name="utd1.5">#REF!</definedName>
    <definedName name="UTEAK">'[33]Analisa pemkot'!#REF!</definedName>
    <definedName name="UTELFORD15">'[33]Analisa pemkot'!#REF!</definedName>
    <definedName name="UTIGA">[33]H_Dasar!#REF!</definedName>
    <definedName name="Utilities">#REF!</definedName>
    <definedName name="utility_5">#REF!</definedName>
    <definedName name="UTILITY_ELECTRICAL_MATERIAL">#REF!</definedName>
    <definedName name="UTIMBPILIHS">'[33]Analisa pemkot'!#REF!</definedName>
    <definedName name="UTIMBTEMPAT">'[33]Analisa pemkot'!#REF!</definedName>
    <definedName name="UTIMBUN">'[33]Analisa pemkot'!#REF!</definedName>
    <definedName name="UTK">'[45]Sat~Bahu'!$H$10</definedName>
    <definedName name="utkDC">#REF!</definedName>
    <definedName name="utkSumm">#REF!</definedName>
    <definedName name="utkUPA">#REF!</definedName>
    <definedName name="UTKYSUPIORI">#REF!</definedName>
    <definedName name="utl">#REF!</definedName>
    <definedName name="UTNHDSR">'[33]Analisa pemkot'!#REF!</definedName>
    <definedName name="utp">[39]Elektronik!#REF!</definedName>
    <definedName name="uts">#REF!</definedName>
    <definedName name="utul24">#REF!</definedName>
    <definedName name="UTUL32">'[33]Analisa pemkot'!#REF!</definedName>
    <definedName name="utul39">#REF!</definedName>
    <definedName name="UTUTU">[0]!_5265pakf100_6_1</definedName>
    <definedName name="UU" hidden="1">{"'Sheet1'!$A$1"}</definedName>
    <definedName name="uuioojlj">#REF!</definedName>
    <definedName name="uurugkbl">'[48]HARGA SATUAN'!#REF!</definedName>
    <definedName name="uurugsrt">'[48]HARGA SATUAN'!#REF!</definedName>
    <definedName name="UURUGSTRUK">'[33]Analisa pemkot'!#REF!</definedName>
    <definedName name="uuuu">#REF!</definedName>
    <definedName name="uv">#REF!</definedName>
    <definedName name="uw_447">#REF!</definedName>
    <definedName name="uwater">#REF!</definedName>
    <definedName name="uws">[196]HSATUAN!$H$206</definedName>
    <definedName name="uyi">[80]DHSD!$G$36</definedName>
    <definedName name="uyifgy">[51]DHSD!$G$40</definedName>
    <definedName name="v">"'file://SERVER3/har-data/STRUCTURE PRICE OF BQ KOMPAS GRAMEDIA.xls'#$analisa.$#REF!$#REF!"</definedName>
    <definedName name="V_2">#REF!</definedName>
    <definedName name="V_A">#REF!</definedName>
    <definedName name="V_B">#REF!</definedName>
    <definedName name="V_C">#REF!</definedName>
    <definedName name="V_COMPACTOR">#REF!</definedName>
    <definedName name="V_D">#REF!</definedName>
    <definedName name="V_ROLLER">#REF!</definedName>
    <definedName name="v_shape_136">[96]Elektrikal!#REF!</definedName>
    <definedName name="v_shape_236">[96]Elektrikal!#REF!</definedName>
    <definedName name="Va">#REF!</definedName>
    <definedName name="VAC">#REF!</definedName>
    <definedName name="vadg">#N/A</definedName>
    <definedName name="val">#REF!</definedName>
    <definedName name="valas1">#REF!</definedName>
    <definedName name="VALUE">#REF!</definedName>
    <definedName name="Values_Entered" localSheetId="16">IF(Loan_Amount*Interest_Rate*Loan_Years*Loan_Start&gt;0,1,0)</definedName>
    <definedName name="Values_Entered">IF(Loan_Amount*Interest_Rate*Loan_Years*Loan_Start&gt;0,1,0)</definedName>
    <definedName name="VALVE">#REF!</definedName>
    <definedName name="valve_ab">#REF!</definedName>
    <definedName name="valve_hy">#REF!</definedName>
    <definedName name="VAR">#REF!</definedName>
    <definedName name="var_ord">#REF!</definedName>
    <definedName name="var_ord_h_lam">#REF!</definedName>
    <definedName name="var_ord_std_lam_h_lam">#REF!</definedName>
    <definedName name="VBN">#REF!</definedName>
    <definedName name="vc">#REF!</definedName>
    <definedName name="vc_2">#REF!</definedName>
    <definedName name="vc_3">#REF!</definedName>
    <definedName name="vc_4">#REF!</definedName>
    <definedName name="vc_5">#REF!</definedName>
    <definedName name="vc_c">#REF!</definedName>
    <definedName name="vcap">#REF!</definedName>
    <definedName name="vcd">#REF!</definedName>
    <definedName name="vcd0.5">#REF!</definedName>
    <definedName name="vcd1.25">#REF!</definedName>
    <definedName name="vcd1.5">#REF!</definedName>
    <definedName name="vcd2.5">#REF!</definedName>
    <definedName name="VCDD3p">'[18]KPVC-BD '!#REF!</definedName>
    <definedName name="VCHT">#REF!</definedName>
    <definedName name="VCTT">#REF!</definedName>
    <definedName name="VCVBT1">#REF!</definedName>
    <definedName name="VCVBT2">#REF!</definedName>
    <definedName name="vczv">#REF!</definedName>
    <definedName name="vd">#REF!</definedName>
    <definedName name="vd_apt">#REF!</definedName>
    <definedName name="vd3p">#REF!</definedName>
    <definedName name="vdamper">#REF!</definedName>
    <definedName name="VDrain">#REF!</definedName>
    <definedName name="vegetation">#REF!</definedName>
    <definedName name="VEHICLES">#REF!</definedName>
    <definedName name="venstack">#REF!</definedName>
    <definedName name="VENT">#REF!</definedName>
    <definedName name="vent1">[197]Elektrikal!#REF!</definedName>
    <definedName name="Ventilating_Fan">#REF!</definedName>
    <definedName name="Ventilating_Fan_23">#REF!</definedName>
    <definedName name="Ventilating_Fan_25">#REF!</definedName>
    <definedName name="ver">#REF!</definedName>
    <definedName name="vern">#REF!</definedName>
    <definedName name="vernis">#REF!</definedName>
    <definedName name="VernisKayu">#REF!</definedName>
    <definedName name="vertical">#REF!</definedName>
    <definedName name="vgfhh" hidden="1">{"'Sheet1'!$A$1"}</definedName>
    <definedName name="vhf">#REF!</definedName>
    <definedName name="VI">#REF!</definedName>
    <definedName name="Vibrating_Roller_AK">#REF!</definedName>
    <definedName name="Vibrating_Roller_Sewa">#REF!</definedName>
    <definedName name="vibrator">#REF!</definedName>
    <definedName name="Vibrator_electrik">#REF!</definedName>
    <definedName name="Vibratory_Roller">#REF!</definedName>
    <definedName name="Vibratory_Roller_5___8_T">#REF!</definedName>
    <definedName name="VIBRO">#REF!</definedName>
    <definedName name="vibro_roller">#REF!</definedName>
    <definedName name="vibro7">#REF!</definedName>
    <definedName name="VIBROROLLER">#REF!</definedName>
    <definedName name="VIBROROLLER33">#REF!</definedName>
    <definedName name="VIBROROLLER511">#REF!</definedName>
    <definedName name="VIBROROLLER512">#REF!</definedName>
    <definedName name="VIBROROLLER521">#REF!</definedName>
    <definedName name="video">#REF!</definedName>
    <definedName name="vier">#REF!</definedName>
    <definedName name="VII_L1">#REF!</definedName>
    <definedName name="VII_L2">#REF!</definedName>
    <definedName name="VII_L3">#REF!</definedName>
    <definedName name="VII_LATAP">#REF!</definedName>
    <definedName name="VII_LD">#REF!</definedName>
    <definedName name="viking">#N/A</definedName>
    <definedName name="vinilex">#REF!</definedName>
    <definedName name="vinilon">#N/A</definedName>
    <definedName name="vinyl">[93]Rekap!$H$41</definedName>
    <definedName name="vinylacrylic">#REF!</definedName>
    <definedName name="virol">#REF!</definedName>
    <definedName name="Vitri">#REF!</definedName>
    <definedName name="Vitri1">#REF!</definedName>
    <definedName name="Vitri2">#REF!</definedName>
    <definedName name="vittinglampu">#REF!</definedName>
    <definedName name="vl">#REF!</definedName>
    <definedName name="vl1p">#REF!</definedName>
    <definedName name="vl3p">#REF!</definedName>
    <definedName name="vlam">'[21]Harga Satuan Bahan'!#REF!</definedName>
    <definedName name="vldd">'[18]TH XL'!#REF!</definedName>
    <definedName name="vldn400">#REF!</definedName>
    <definedName name="vldn600">#REF!</definedName>
    <definedName name="VLF">#REF!</definedName>
    <definedName name="VLHC">#REF!</definedName>
    <definedName name="vltr">'[18]TH XL'!#REF!</definedName>
    <definedName name="vltram">#REF!</definedName>
    <definedName name="VLV">#REF!</definedName>
    <definedName name="Vm">#REF!</definedName>
    <definedName name="vnt100_1">#REF!</definedName>
    <definedName name="vnt100_1_5">#REF!</definedName>
    <definedName name="vnt100_2">#REF!</definedName>
    <definedName name="vnt100_2_1">#REF!</definedName>
    <definedName name="vnt100_2_1_1">#REF!</definedName>
    <definedName name="vnt100_2_1_1_6">#REF!</definedName>
    <definedName name="vnt100_2_1_6">#REF!</definedName>
    <definedName name="vnt100_2_1_7">#REF!</definedName>
    <definedName name="vnt100_2_6">#REF!</definedName>
    <definedName name="vnt100_2_7">#REF!</definedName>
    <definedName name="vnt100_3">#REF!</definedName>
    <definedName name="vnt100_3_1">#REF!</definedName>
    <definedName name="vnt100_3_2">#REF!</definedName>
    <definedName name="vnt100_3_4">#REF!</definedName>
    <definedName name="vnt100_3_6">#REF!</definedName>
    <definedName name="vnt100_3_7">#REF!</definedName>
    <definedName name="vnt100_4">#REF!</definedName>
    <definedName name="vnt100_4_1">#REF!</definedName>
    <definedName name="vnt100_4_2">#REF!</definedName>
    <definedName name="vnt100_4_2_6">#REF!</definedName>
    <definedName name="vnt100_4_4">#REF!</definedName>
    <definedName name="vnt100_4_6">#REF!</definedName>
    <definedName name="vnt100_4_7">#REF!</definedName>
    <definedName name="vnt100_5">#REF!</definedName>
    <definedName name="vnt100_5_2">#REF!</definedName>
    <definedName name="vnt100_5_2_6">#REF!</definedName>
    <definedName name="vnt100_5_4">#REF!</definedName>
    <definedName name="vnt100_5_6">#REF!</definedName>
    <definedName name="vnt100_5_7">#REF!</definedName>
    <definedName name="vnt100_6">#REF!</definedName>
    <definedName name="vnt100_6_1">#REF!</definedName>
    <definedName name="vnt100_6_4">#REF!</definedName>
    <definedName name="vnt100_6_6">#REF!</definedName>
    <definedName name="vnt100_6_7">#REF!</definedName>
    <definedName name="vnt100_7">#REF!</definedName>
    <definedName name="vnt40_1">#REF!</definedName>
    <definedName name="vnt40_1_5">#REF!</definedName>
    <definedName name="vnt40_2">#REF!</definedName>
    <definedName name="vnt40_2_1">#REF!</definedName>
    <definedName name="vnt40_2_1_1">#REF!</definedName>
    <definedName name="vnt40_2_1_1_6">#REF!</definedName>
    <definedName name="vnt40_2_1_6">#REF!</definedName>
    <definedName name="vnt40_2_1_7">#REF!</definedName>
    <definedName name="vnt40_2_6">#REF!</definedName>
    <definedName name="vnt40_3">#REF!</definedName>
    <definedName name="vnt40_3_1">#REF!</definedName>
    <definedName name="vnt40_3_2">#REF!</definedName>
    <definedName name="vnt40_3_4">#REF!</definedName>
    <definedName name="vnt40_3_6">#REF!</definedName>
    <definedName name="vnt40_3_7">#REF!</definedName>
    <definedName name="vnt40_4">#REF!</definedName>
    <definedName name="vnt40_4_1">#REF!</definedName>
    <definedName name="vnt40_4_2">#REF!</definedName>
    <definedName name="vnt40_4_2_6">#REF!</definedName>
    <definedName name="vnt40_4_4">#REF!</definedName>
    <definedName name="vnt40_4_6">#REF!</definedName>
    <definedName name="vnt40_4_7">#REF!</definedName>
    <definedName name="vnt40_5">#REF!</definedName>
    <definedName name="vnt40_5_2">#REF!</definedName>
    <definedName name="vnt40_5_2_6">#REF!</definedName>
    <definedName name="vnt40_5_4">#REF!</definedName>
    <definedName name="vnt40_5_6">#REF!</definedName>
    <definedName name="vnt40_5_7">#REF!</definedName>
    <definedName name="vnt40_6">#REF!</definedName>
    <definedName name="vnt40_6_1">#REF!</definedName>
    <definedName name="vnt40_6_4">#REF!</definedName>
    <definedName name="vnt40_6_6">#REF!</definedName>
    <definedName name="vnt40_6_7">#REF!</definedName>
    <definedName name="vnt40_7">#REF!</definedName>
    <definedName name="vnt50_1">#REF!</definedName>
    <definedName name="vnt50_1_5">#REF!</definedName>
    <definedName name="vnt50_2">#REF!</definedName>
    <definedName name="vnt50_2_1">#REF!</definedName>
    <definedName name="vnt50_2_1_1">#REF!</definedName>
    <definedName name="vnt50_2_1_1_6">#REF!</definedName>
    <definedName name="vnt50_2_1_6">#REF!</definedName>
    <definedName name="vnt50_2_1_7">#REF!</definedName>
    <definedName name="vnt50_2_6">#REF!</definedName>
    <definedName name="vnt50_2_7">#REF!</definedName>
    <definedName name="vnt50_3">#REF!</definedName>
    <definedName name="vnt50_3_1">#REF!</definedName>
    <definedName name="vnt50_3_2">#REF!</definedName>
    <definedName name="vnt50_3_4">#REF!</definedName>
    <definedName name="vnt50_3_6">#REF!</definedName>
    <definedName name="vnt50_3_7">#REF!</definedName>
    <definedName name="vnt50_4">#REF!</definedName>
    <definedName name="vnt50_4_1">#REF!</definedName>
    <definedName name="vnt50_4_2">#REF!</definedName>
    <definedName name="vnt50_4_2_6">#REF!</definedName>
    <definedName name="vnt50_4_4">#REF!</definedName>
    <definedName name="vnt50_4_6">#REF!</definedName>
    <definedName name="vnt50_4_7">#REF!</definedName>
    <definedName name="vnt50_5">#REF!</definedName>
    <definedName name="vnt50_5_2">#REF!</definedName>
    <definedName name="vnt50_5_2_6">#REF!</definedName>
    <definedName name="vnt50_5_4">#REF!</definedName>
    <definedName name="vnt50_5_6">#REF!</definedName>
    <definedName name="vnt50_5_7">#REF!</definedName>
    <definedName name="vnt50_6">#REF!</definedName>
    <definedName name="vnt50_6_1">#REF!</definedName>
    <definedName name="vnt50_6_4">#REF!</definedName>
    <definedName name="vnt50_6_6">#REF!</definedName>
    <definedName name="vnt50_6_7">#REF!</definedName>
    <definedName name="vnt50_7">#REF!</definedName>
    <definedName name="vnt80_1">#REF!</definedName>
    <definedName name="vnt80_1_5">#REF!</definedName>
    <definedName name="vnt80_2">#REF!</definedName>
    <definedName name="vnt80_2_1">#REF!</definedName>
    <definedName name="vnt80_2_1_1">#REF!</definedName>
    <definedName name="vnt80_2_1_1_6">#REF!</definedName>
    <definedName name="vnt80_2_1_6">#REF!</definedName>
    <definedName name="vnt80_2_1_7">#REF!</definedName>
    <definedName name="vnt80_2_6">#REF!</definedName>
    <definedName name="vnt80_2_7">#REF!</definedName>
    <definedName name="vnt80_3">#REF!</definedName>
    <definedName name="vnt80_3_1">#REF!</definedName>
    <definedName name="vnt80_3_2">#REF!</definedName>
    <definedName name="vnt80_3_4">#REF!</definedName>
    <definedName name="vnt80_3_6">#REF!</definedName>
    <definedName name="vnt80_3_7">#REF!</definedName>
    <definedName name="vnt80_4">#REF!</definedName>
    <definedName name="vnt80_4_1">#REF!</definedName>
    <definedName name="vnt80_4_2">#REF!</definedName>
    <definedName name="vnt80_4_2_6">#REF!</definedName>
    <definedName name="vnt80_4_4">#REF!</definedName>
    <definedName name="vnt80_4_6">#REF!</definedName>
    <definedName name="vnt80_4_7">#REF!</definedName>
    <definedName name="vnt80_5">#REF!</definedName>
    <definedName name="vnt80_5_2">#REF!</definedName>
    <definedName name="vnt80_5_2_6">#REF!</definedName>
    <definedName name="vnt80_5_4">#REF!</definedName>
    <definedName name="vnt80_5_6">#REF!</definedName>
    <definedName name="vnt80_5_7">#REF!</definedName>
    <definedName name="vnt80_6">#REF!</definedName>
    <definedName name="vnt80_6_1">#REF!</definedName>
    <definedName name="vnt80_6_4">#REF!</definedName>
    <definedName name="vnt80_6_6">#REF!</definedName>
    <definedName name="vnt80_6_7">#REF!</definedName>
    <definedName name="vnt80_7">#REF!</definedName>
    <definedName name="vntf100">#REF!</definedName>
    <definedName name="vntf100_1">#REF!</definedName>
    <definedName name="vntf100_1_5">#REF!</definedName>
    <definedName name="vntf100_2">#REF!</definedName>
    <definedName name="vntf100_2_1">#REF!</definedName>
    <definedName name="vntf100_2_1_1">#REF!</definedName>
    <definedName name="vntf100_2_1_1_6">#REF!</definedName>
    <definedName name="vntf100_2_1_6">#REF!</definedName>
    <definedName name="vntf100_2_1_7">#REF!</definedName>
    <definedName name="vntf100_2_6">#REF!</definedName>
    <definedName name="vntf100_2_7">#REF!</definedName>
    <definedName name="vntf100_3">#REF!</definedName>
    <definedName name="vntf100_3_1">#REF!</definedName>
    <definedName name="vntf100_3_2">#REF!</definedName>
    <definedName name="vntf100_3_4">#REF!</definedName>
    <definedName name="vntf100_3_6">#REF!</definedName>
    <definedName name="vntf100_3_7">#REF!</definedName>
    <definedName name="vntf100_4">#REF!</definedName>
    <definedName name="vntf100_4_1">#REF!</definedName>
    <definedName name="vntf100_4_2">#REF!</definedName>
    <definedName name="vntf100_4_2_6">#REF!</definedName>
    <definedName name="vntf100_4_4">#REF!</definedName>
    <definedName name="vntf100_4_6">#REF!</definedName>
    <definedName name="vntf100_4_7">#REF!</definedName>
    <definedName name="vntf100_5">#REF!</definedName>
    <definedName name="vntf100_5_2">#REF!</definedName>
    <definedName name="vntf100_5_2_6">#REF!</definedName>
    <definedName name="vntf100_5_4">#REF!</definedName>
    <definedName name="vntf100_5_6">#REF!</definedName>
    <definedName name="vntf100_5_7">#REF!</definedName>
    <definedName name="vntf100_6">#REF!</definedName>
    <definedName name="vntf100_6_1">#REF!</definedName>
    <definedName name="vntf100_6_4">#REF!</definedName>
    <definedName name="vntf100_6_6">#REF!</definedName>
    <definedName name="vntf100_6_7">#REF!</definedName>
    <definedName name="vntf100_7">#REF!</definedName>
    <definedName name="vntf80">#REF!</definedName>
    <definedName name="vntf80_1">#REF!</definedName>
    <definedName name="vntf80_1_5">#REF!</definedName>
    <definedName name="vntf80_2">#REF!</definedName>
    <definedName name="vntf80_2_1">#REF!</definedName>
    <definedName name="vntf80_2_1_1">#REF!</definedName>
    <definedName name="vntf80_2_1_1_6">#REF!</definedName>
    <definedName name="vntf80_2_1_6">#REF!</definedName>
    <definedName name="vntf80_2_1_7">#REF!</definedName>
    <definedName name="vntf80_2_6">#REF!</definedName>
    <definedName name="vntf80_2_7">#REF!</definedName>
    <definedName name="vntf80_3">#REF!</definedName>
    <definedName name="vntf80_3_1">#REF!</definedName>
    <definedName name="vntf80_3_2">#REF!</definedName>
    <definedName name="vntf80_3_4">#REF!</definedName>
    <definedName name="vntf80_3_6">#REF!</definedName>
    <definedName name="vntf80_3_7">#REF!</definedName>
    <definedName name="vntf80_4">#REF!</definedName>
    <definedName name="vntf80_4_1">#REF!</definedName>
    <definedName name="vntf80_4_2">#REF!</definedName>
    <definedName name="vntf80_4_2_6">#REF!</definedName>
    <definedName name="vntf80_4_4">#REF!</definedName>
    <definedName name="vntf80_4_6">#REF!</definedName>
    <definedName name="vntf80_4_7">#REF!</definedName>
    <definedName name="vntf80_5">#REF!</definedName>
    <definedName name="vntf80_5_2">#REF!</definedName>
    <definedName name="vntf80_5_2_6">#REF!</definedName>
    <definedName name="vntf80_5_4">#REF!</definedName>
    <definedName name="vntf80_5_6">#REF!</definedName>
    <definedName name="vntf80_5_7">#REF!</definedName>
    <definedName name="vntf80_6">#REF!</definedName>
    <definedName name="vntf80_6_1">#REF!</definedName>
    <definedName name="vntf80_6_4">#REF!</definedName>
    <definedName name="vntf80_6_6">#REF!</definedName>
    <definedName name="vntf80_6_7">#REF!</definedName>
    <definedName name="vntf80_7">#REF!</definedName>
    <definedName name="vol">#N/A</definedName>
    <definedName name="vol.K1.lt.dasar">#REF!</definedName>
    <definedName name="vol.K10.lt.dasar">#REF!</definedName>
    <definedName name="vol.K2.lt.dasar">#REF!</definedName>
    <definedName name="vol.K3.lt.dasar">#REF!</definedName>
    <definedName name="vol.K4.lt.dasar">#REF!</definedName>
    <definedName name="vol.K5.lt.dasar">#REF!</definedName>
    <definedName name="vol.K6.lt.dasar">#REF!</definedName>
    <definedName name="vol.K7.lt.dasar">#REF!</definedName>
    <definedName name="vol.K8.lt.dasar">#REF!</definedName>
    <definedName name="vol.K9.lt.dasar">#REF!</definedName>
    <definedName name="vol.KP.lt.dsr">#REF!</definedName>
    <definedName name="vol.KR1">#REF!</definedName>
    <definedName name="vol.KTG.1">#REF!</definedName>
    <definedName name="vol.KTG.1A">#REF!</definedName>
    <definedName name="vol.KTG.2">#REF!</definedName>
    <definedName name="vol.tangga1">#REF!</definedName>
    <definedName name="vol.tangga2">#REF!</definedName>
    <definedName name="vol.tangga3">#REF!</definedName>
    <definedName name="volbal">#REF!</definedName>
    <definedName name="volblk">#REF!</definedName>
    <definedName name="VolBulanan">#REF!</definedName>
    <definedName name="voldin">#REF!</definedName>
    <definedName name="voldind">#REF!</definedName>
    <definedName name="volenam">#REF!</definedName>
    <definedName name="VolExt">#REF!</definedName>
    <definedName name="VolExt8">#REF!</definedName>
    <definedName name="VolKumulatifBulanan">#REF!</definedName>
    <definedName name="VolKumulatifMingguan">#REF!</definedName>
    <definedName name="VolMingguan">#REF!</definedName>
    <definedName name="volsep">#REF!</definedName>
    <definedName name="volslf">#REF!</definedName>
    <definedName name="VolTakur8">#REF!</definedName>
    <definedName name="Volume">#REF!</definedName>
    <definedName name="volume.K6.lt.2">#REF!</definedName>
    <definedName name="Volume8">#REF!</definedName>
    <definedName name="VolumeBahan">#REF!</definedName>
    <definedName name="VolumeBahanCCOIntern">#REF!</definedName>
    <definedName name="VolumeBahanRealisasiSaatIni">#REF!</definedName>
    <definedName name="VolumeBahanRealisasiSdSaatLalu">#REF!</definedName>
    <definedName name="volumecatdindingdalam.ltdasar">#REF!</definedName>
    <definedName name="volumecatdindingluar.ltdasar">#REF!</definedName>
    <definedName name="volumeGS">#REF!</definedName>
    <definedName name="volumeK1.lt.1">#REF!</definedName>
    <definedName name="volumeK1.lt.2">#REF!</definedName>
    <definedName name="volumeK1.lt.3">#REF!</definedName>
    <definedName name="volumeK10.lt.1">#REF!</definedName>
    <definedName name="volumeK10.lt.2">#REF!</definedName>
    <definedName name="volumeK10.lt.3">#REF!</definedName>
    <definedName name="volumeK2.lt.1">#REF!</definedName>
    <definedName name="volumeK2.lt.2">#REF!</definedName>
    <definedName name="volumeK2.lt.3">#REF!</definedName>
    <definedName name="volumeK3.lt.1">#REF!</definedName>
    <definedName name="volumeK3.lt.2">#REF!</definedName>
    <definedName name="volumeK3.lt.3">#REF!</definedName>
    <definedName name="volumeK4.lt.1">#REF!</definedName>
    <definedName name="volumeK4.lt.2">#REF!</definedName>
    <definedName name="volumeK4.lt.3">#REF!</definedName>
    <definedName name="volumeK5.lt.1">#REF!</definedName>
    <definedName name="volumeK5.lt.2">#REF!</definedName>
    <definedName name="volumeK5.lt.3">#REF!</definedName>
    <definedName name="volumeK6.lt.1">#REF!</definedName>
    <definedName name="volumeK6.lt.3">#REF!</definedName>
    <definedName name="volumeK7.lt.1">#REF!</definedName>
    <definedName name="volumeK7.lt.2">#REF!</definedName>
    <definedName name="volumeK7.lt.3">#REF!</definedName>
    <definedName name="volumeK8.lt.1">#REF!</definedName>
    <definedName name="volumeK8.lt.2">#REF!</definedName>
    <definedName name="volumeK8.lt.3">#REF!</definedName>
    <definedName name="volumeK9.lt.1">#REF!</definedName>
    <definedName name="volumeK9.lt.2">#REF!</definedName>
    <definedName name="volumeK9.lt.3">#REF!</definedName>
    <definedName name="volumeKL">#REF!</definedName>
    <definedName name="volumeP.1">#REF!</definedName>
    <definedName name="volumeP.2B">#REF!</definedName>
    <definedName name="volumeP.3A">#REF!</definedName>
    <definedName name="volumeP.3B">#REF!</definedName>
    <definedName name="volumeP.4A">#REF!</definedName>
    <definedName name="volumeP.TG.1">#REF!</definedName>
    <definedName name="volumeP.TG.2">#REF!</definedName>
    <definedName name="volumepasanganbata1.3ltdasar">#REF!</definedName>
    <definedName name="volumepasanganbata1.5ltdasar">#REF!</definedName>
    <definedName name="volumeplesteran1.3.ltdasar">#REF!</definedName>
    <definedName name="volumeplesteran1.5.ltdasar">#REF!</definedName>
    <definedName name="volumePR.1">#REF!</definedName>
    <definedName name="volumetangga1">#REF!</definedName>
    <definedName name="volumetangga2">#REF!</definedName>
    <definedName name="volumetangga3">#REF!</definedName>
    <definedName name="volumeTB.1">#REF!</definedName>
    <definedName name="volumeTB.2">#REF!</definedName>
    <definedName name="volumeTB.3">#REF!</definedName>
    <definedName name="volumeTB.4">#REF!</definedName>
    <definedName name="volumeTB.5">#REF!</definedName>
    <definedName name="volumeTB.6">#REF!</definedName>
    <definedName name="vp">#REF!</definedName>
    <definedName name="VR">#REF!</definedName>
    <definedName name="vr3p">#REF!</definedName>
    <definedName name="VROLLER">#REF!</definedName>
    <definedName name="Vrv_iu_Ceilling_cassette_2.5hp">'[78]Harga Jasa dan Material'!$D$437</definedName>
    <definedName name="Vrv_iu_Ceilling_cassette_2hp">'[78]Harga Jasa dan Material'!$D$436</definedName>
    <definedName name="Vrv_iu_Ceilling_cassette_3.2hp">'[78]Harga Jasa dan Material'!$D$438</definedName>
    <definedName name="Vrv_iu_Ceilling_cassette_4hp">'[78]Harga Jasa dan Material'!$D$439</definedName>
    <definedName name="Vrv_iu_Ceilling_cassette_5hp">'[78]Harga Jasa dan Material'!$D$440</definedName>
    <definedName name="Vrv_iu_Ceilling_duct_4hp">'[78]Harga Jasa dan Material'!$D$441</definedName>
    <definedName name="Vrv_iu_Ceilling_duct_5hp">'[78]Harga Jasa dan Material'!$D$442</definedName>
    <definedName name="Vrv_iu_Ceilling_duct_8hp">'[78]Harga Jasa dan Material'!$D$443</definedName>
    <definedName name="vrv_ou_28hp">'[78]Harga Jasa dan Material'!$D$429</definedName>
    <definedName name="vrv_ou_30hp">'[78]Harga Jasa dan Material'!$D$430</definedName>
    <definedName name="vrv_ou_32hp">'[78]Harga Jasa dan Material'!$D$431</definedName>
    <definedName name="vrv_ou_34hp">'[78]Harga Jasa dan Material'!$D$432</definedName>
    <definedName name="vrv_ou_36hp">'[78]Harga Jasa dan Material'!$D$433</definedName>
    <definedName name="vrv_ou_40hp">'[78]Harga Jasa dan Material'!$D$434</definedName>
    <definedName name="vrv_pipereducer">'[78]Harga Jasa dan Material'!$D$450</definedName>
    <definedName name="vrv_refnetjoint">'[78]Harga Jasa dan Material'!$D$446</definedName>
    <definedName name="vrv_wireremotecontrol">'[78]Harga Jasa dan Material'!$D$445</definedName>
    <definedName name="Vshape136">[39]Electrikal!#REF!</definedName>
    <definedName name="Vshape136c_wbatt">[39]Electrikal!#REF!</definedName>
    <definedName name="Vsprayer">#REF!</definedName>
    <definedName name="VSV">#N/A</definedName>
    <definedName name="Vt">#REF!</definedName>
    <definedName name="vt1pbs">'[18]lam-moi'!#REF!</definedName>
    <definedName name="vtbs">'[18]lam-moi'!#REF!</definedName>
    <definedName name="Vu_Lain">#REF!</definedName>
    <definedName name="VUP">#REF!</definedName>
    <definedName name="VVV" hidden="1">#REF!</definedName>
    <definedName name="VVVVVV">'[107]Kuantitas &amp; Harga'!$A$32:$H$41</definedName>
    <definedName name="w" hidden="1">#REF!</definedName>
    <definedName name="w.01">#REF!</definedName>
    <definedName name="W.0104">#REF!</definedName>
    <definedName name="w.02">#REF!</definedName>
    <definedName name="W.0346">#REF!</definedName>
    <definedName name="w.03a">#REF!</definedName>
    <definedName name="w.03b">#REF!</definedName>
    <definedName name="w.04">#REF!</definedName>
    <definedName name="w.05a">#REF!</definedName>
    <definedName name="w.05b">#REF!</definedName>
    <definedName name="w.1">#REF!</definedName>
    <definedName name="w.1a">#REF!</definedName>
    <definedName name="w.1b">#REF!</definedName>
    <definedName name="w.3">#REF!</definedName>
    <definedName name="w.6">#REF!</definedName>
    <definedName name="w.7">#REF!</definedName>
    <definedName name="w.m">#REF!</definedName>
    <definedName name="W.O5B">#REF!</definedName>
    <definedName name="w.stain">#REF!</definedName>
    <definedName name="w_1">#REF!</definedName>
    <definedName name="w_10">"$#REF!.$I$162"</definedName>
    <definedName name="w_12">#REF!</definedName>
    <definedName name="w_13">#REF!</definedName>
    <definedName name="W_16">#REF!</definedName>
    <definedName name="w_17">#REF!</definedName>
    <definedName name="W_2">#REF!</definedName>
    <definedName name="w_20">#REF!</definedName>
    <definedName name="w_21">#REF!</definedName>
    <definedName name="w_22">#REF!</definedName>
    <definedName name="w_26">#REF!</definedName>
    <definedName name="w_27">#REF!</definedName>
    <definedName name="w_28">#REF!</definedName>
    <definedName name="w_29">#REF!</definedName>
    <definedName name="w_3">#REF!</definedName>
    <definedName name="W_3_5">#REF!</definedName>
    <definedName name="W_3_6">#REF!</definedName>
    <definedName name="w_30">#REF!</definedName>
    <definedName name="w_36">#REF!</definedName>
    <definedName name="w_37">#REF!</definedName>
    <definedName name="w_38">#REF!</definedName>
    <definedName name="w_39">#REF!</definedName>
    <definedName name="w_3a">#REF!</definedName>
    <definedName name="w_4">#REF!</definedName>
    <definedName name="w_40">#REF!</definedName>
    <definedName name="w_41">#REF!</definedName>
    <definedName name="w_42">#REF!</definedName>
    <definedName name="w_44">#REF!</definedName>
    <definedName name="w_45">#REF!</definedName>
    <definedName name="w_46">#REF!</definedName>
    <definedName name="w_47">#REF!</definedName>
    <definedName name="w_48">#REF!</definedName>
    <definedName name="w_49">#REF!</definedName>
    <definedName name="w_5">#REF!</definedName>
    <definedName name="w_50">#REF!</definedName>
    <definedName name="w_51">#REF!</definedName>
    <definedName name="w_52">#REF!</definedName>
    <definedName name="w_53">#REF!</definedName>
    <definedName name="w_7">"$#REF!.$I$154"</definedName>
    <definedName name="w_l529">[24]Analisa!#REF!</definedName>
    <definedName name="W_LOADER">#REF!</definedName>
    <definedName name="w_lw">#REF!</definedName>
    <definedName name="w_tx">#REF!</definedName>
    <definedName name="w20_b">#REF!</definedName>
    <definedName name="WA">#REF!</definedName>
    <definedName name="wafel2020">#REF!</definedName>
    <definedName name="waFRwqr">#REF!</definedName>
    <definedName name="waktu">#REF!</definedName>
    <definedName name="waktu_huruf">[3]CH!$D$15</definedName>
    <definedName name="waltermoor">#REF!</definedName>
    <definedName name="waq">#REF!</definedName>
    <definedName name="warasPribadi">#REF!</definedName>
    <definedName name="warna">#REF!</definedName>
    <definedName name="WARTO" hidden="1">{#N/A,#N/A,FALSE,"REK";#N/A,#N/A,FALSE,"rab"}</definedName>
    <definedName name="warw">#REF!</definedName>
    <definedName name="Was">[198]Analisa!#REF!</definedName>
    <definedName name="washtafel">#REF!</definedName>
    <definedName name="wast">#REF!</definedName>
    <definedName name="WASTAFEL">#N/A</definedName>
    <definedName name="wastafel_pop">[39]Plumbing!#REF!</definedName>
    <definedName name="Waste_besiBeton">#REF!</definedName>
    <definedName name="waste_beton_borepile">#REF!</definedName>
    <definedName name="Waste_betonAll">#REF!</definedName>
    <definedName name="waste_granite">#REF!</definedName>
    <definedName name="Waste_HT">#REF!</definedName>
    <definedName name="Waste_KR">#REF!</definedName>
    <definedName name="Waste_marmer">#REF!</definedName>
    <definedName name="Waste_wiremesh">#REF!</definedName>
    <definedName name="WATE">[10]Material!#REF!</definedName>
    <definedName name="Water.drain.asesoris">#REF!</definedName>
    <definedName name="water.prof">#REF!</definedName>
    <definedName name="Water_Pump">#REF!</definedName>
    <definedName name="Water_Pump_4">#REF!</definedName>
    <definedName name="water_tank">#REF!</definedName>
    <definedName name="Water_Tank_Truck">#REF!</definedName>
    <definedName name="Water_Tanker">#REF!</definedName>
    <definedName name="Water_Tanker_3000___4500_T">#REF!</definedName>
    <definedName name="waterpass">#REF!</definedName>
    <definedName name="waterprof">'[83]DAF-5'!$I$68</definedName>
    <definedName name="Waterproff">#REF!</definedName>
    <definedName name="Waterproffing">#REF!</definedName>
    <definedName name="waterproof">"'file://SERVER3/har-data/STRUCTURE PRICE OF BQ KOMPAS GRAMEDIA.xls'#$analisa.$#REF!$#REF!"</definedName>
    <definedName name="waterproofig">'[87]DAF-BAHAN'!#REF!</definedName>
    <definedName name="waterproofing">#REF!</definedName>
    <definedName name="Waterproofliquit">#REF!</definedName>
    <definedName name="WATERPUMP">#REF!</definedName>
    <definedName name="waterscredd">"'file://SERVER3/har-data/STRUCTURE PRICE OF BQ KOMPAS GRAMEDIA.xls'#$analisa.$#REF!$#REF!"</definedName>
    <definedName name="waterscreed">#REF!</definedName>
    <definedName name="waterstop">"'file://SERVER3/har-data/STRUCTURE PRICE OF BQ KOMPAS GRAMEDIA.xls'#$analisa.$#REF!$#REF!"</definedName>
    <definedName name="WATERTANK">#REF!</definedName>
    <definedName name="WATERTANK33">#REF!</definedName>
    <definedName name="WATERTANK511">#REF!</definedName>
    <definedName name="WATERTANK512">#REF!</definedName>
    <definedName name="WATERTANK521">#REF!</definedName>
    <definedName name="WATERTANKER">#REF!</definedName>
    <definedName name="watkr">#REF!</definedName>
    <definedName name="WATPROF2">#REF!</definedName>
    <definedName name="watproof">#REF!</definedName>
    <definedName name="Wavin">#REF!</definedName>
    <definedName name="Wawan">#REF!</definedName>
    <definedName name="WC">#REF!</definedName>
    <definedName name="wc_2000">'[83]DAF-5'!$I$89</definedName>
    <definedName name="wd">#REF!</definedName>
    <definedName name="wd.k">#REF!</definedName>
    <definedName name="wd_1">#REF!</definedName>
    <definedName name="wd_2">#REF!</definedName>
    <definedName name="wd_3">#REF!</definedName>
    <definedName name="wd_4">#REF!</definedName>
    <definedName name="wd_5">#REF!</definedName>
    <definedName name="wd_6">#REF!</definedName>
    <definedName name="wd_7">#REF!</definedName>
    <definedName name="wd_8">#REF!</definedName>
    <definedName name="wds">#REF!</definedName>
    <definedName name="we" hidden="1">{#N/A,#N/A,FALSE,"REK";#N/A,#N/A,FALSE,"rab"}</definedName>
    <definedName name="WEAR">#REF!</definedName>
    <definedName name="weath">#REF!</definedName>
    <definedName name="weathershield">#REF!</definedName>
    <definedName name="wedus" hidden="1">#REF!</definedName>
    <definedName name="WEFA">#REF!</definedName>
    <definedName name="wefb">#REF!</definedName>
    <definedName name="wefger" hidden="1">{"'Sheet1'!$A$1"}</definedName>
    <definedName name="wegtgty" hidden="1">{#N/A,#N/A,FALSE,"REK";#N/A,#N/A,FALSE,"rab"}</definedName>
    <definedName name="WENDED_SET">#REF!</definedName>
    <definedName name="wer">#N/A</definedName>
    <definedName name="WERD" hidden="1">#REF!</definedName>
    <definedName name="werfhh">#REF!</definedName>
    <definedName name="werg" hidden="1">{#N/A,#N/A,FALSE,"REK";#N/A,#N/A,FALSE,"rab"}</definedName>
    <definedName name="WERQWREQW" hidden="1">{#N/A,#N/A,TRUE,"Front";#N/A,#N/A,TRUE,"Simple Letter";#N/A,#N/A,TRUE,"Inside";#N/A,#N/A,TRUE,"Contents";#N/A,#N/A,TRUE,"Basis";#N/A,#N/A,TRUE,"Inclusions";#N/A,#N/A,TRUE,"Exclusions";#N/A,#N/A,TRUE,"Areas";#N/A,#N/A,TRUE,"Summary";#N/A,#N/A,TRUE,"Detail"}</definedName>
    <definedName name="WERWRW">#N/A</definedName>
    <definedName name="wesgantung">#REF!</definedName>
    <definedName name="wesmeja">#REF!</definedName>
    <definedName name="westafell548">#REF!</definedName>
    <definedName name="wet" hidden="1">{#N/A,#N/A,FALSE,"REK";#N/A,#N/A,FALSE,"Bq-ARS"}</definedName>
    <definedName name="wetwerg" hidden="1">{#N/A,#N/A,FALSE,"REK";#N/A,#N/A,FALSE,"rab"}</definedName>
    <definedName name="weygt" hidden="1">{#N/A,#N/A,FALSE,"REK";#N/A,#N/A,FALSE,"Bq-ARS"}</definedName>
    <definedName name="wf">#REF!</definedName>
    <definedName name="WF_200.100">#REF!</definedName>
    <definedName name="WF_248.252.11.1">#REF!</definedName>
    <definedName name="wf_400">[65]satuan_pek_str!#REF!</definedName>
    <definedName name="WF_400.400.13.2">#REF!</definedName>
    <definedName name="Wf_Dn">#REF!</definedName>
    <definedName name="Wf_Jp">#REF!</definedName>
    <definedName name="wfdtfab">#REF!</definedName>
    <definedName name="wfmcob">#REF!</definedName>
    <definedName name="wfprof">#REF!</definedName>
    <definedName name="Wg">#REF!</definedName>
    <definedName name="WH">[16]prelim!#REF!</definedName>
    <definedName name="Wheel_Loader">#REF!</definedName>
    <definedName name="Wheel_Loader_1.0___1.6_M">#REF!</definedName>
    <definedName name="WHEELLOADER">#REF!</definedName>
    <definedName name="Whell_Roller">#REF!</definedName>
    <definedName name="WHELLLOADER511">#REF!</definedName>
    <definedName name="WHELLLOADER512">#REF!</definedName>
    <definedName name="WHELLLOADER521">#REF!</definedName>
    <definedName name="WIKA">#REF!</definedName>
    <definedName name="wilka">#REF!</definedName>
    <definedName name="wilka111">#REF!</definedName>
    <definedName name="WIN">#REF!</definedName>
    <definedName name="windak">#REF!</definedName>
    <definedName name="Window">'[110]D &amp; W sizes'!$G$3:$I$19</definedName>
    <definedName name="WIRE">#REF!</definedName>
    <definedName name="wire_mesh">#REF!</definedName>
    <definedName name="Wire_mesh_o6_150">#REF!</definedName>
    <definedName name="wire8">#REF!</definedName>
    <definedName name="WIREM">#REF!</definedName>
    <definedName name="Wiremesh">#REF!</definedName>
    <definedName name="Wiremesh2lapis">#REF!</definedName>
    <definedName name="WIRSBO">#REF!</definedName>
    <definedName name="WIWID5" hidden="1">#REF!</definedName>
    <definedName name="Wl">#REF!</definedName>
    <definedName name="wl.80hp">'[45]Sat~Bahu'!$C$94</definedName>
    <definedName name="WLC">'[66]Analisa Harga Satuan'!$G$2187</definedName>
    <definedName name="wld">[80]DHSD!$G$48</definedName>
    <definedName name="wlo">#REF!</definedName>
    <definedName name="WLOADER">#REF!</definedName>
    <definedName name="wls">#REF!</definedName>
    <definedName name="wm_2200">#REF!</definedName>
    <definedName name="wm_3000">#REF!</definedName>
    <definedName name="WM_4">#REF!</definedName>
    <definedName name="WM_5">#REF!</definedName>
    <definedName name="wm_6">[69]harsat!$H$16</definedName>
    <definedName name="WM_7">#REF!</definedName>
    <definedName name="WM_8">#REF!</definedName>
    <definedName name="wmt">#REF!</definedName>
    <definedName name="WO">#REF!</definedName>
    <definedName name="WOFI">[10]Material!$F$53</definedName>
    <definedName name="wood.f">#REF!</definedName>
    <definedName name="wood.s">#REF!</definedName>
    <definedName name="workable_index">#REF!</definedName>
    <definedName name="workable_index2">#REF!</definedName>
    <definedName name="Workitem">#REF!</definedName>
    <definedName name="WORKSHOP">#REF!</definedName>
    <definedName name="wp">#REF!</definedName>
    <definedName name="Wp.5">'[45]Sat~Bahu'!$C$112</definedName>
    <definedName name="wp_1">#REF!</definedName>
    <definedName name="wp_b">[24]Analisa!#REF!</definedName>
    <definedName name="wp_c">#REF!</definedName>
    <definedName name="wp_r">[24]Analisa!#REF!</definedName>
    <definedName name="wpass">#REF!</definedName>
    <definedName name="wpatap">"'file://SERVER3/har-data/STRUCTURE PRICE OF BQ KOMPAS GRAMEDIA.xls'#$analisa.$#REF!$#REF!"</definedName>
    <definedName name="wpc_bmbt">#REF!</definedName>
    <definedName name="wpc_ml">#REF!</definedName>
    <definedName name="wpc_p">#REF!</definedName>
    <definedName name="wpm_15">#REF!</definedName>
    <definedName name="wpm_mbt">#REF!</definedName>
    <definedName name="wpm_ml">#REF!</definedName>
    <definedName name="wpm_ml1">#REF!</definedName>
    <definedName name="wpm_r">#REF!</definedName>
    <definedName name="wpm_sc">"$#REF!.$H$13"</definedName>
    <definedName name="wq">'[49]Lamp-4 Sat-Das'!$J$22</definedName>
    <definedName name="WQEYGT" hidden="1">{#N/A,#N/A,FALSE,"REK";#N/A,#N/A,FALSE,"rab"}</definedName>
    <definedName name="wqeygtQWET" hidden="1">{#N/A,#N/A,FALSE,"REK";#N/A,#N/A,FALSE,"rab"}</definedName>
    <definedName name="wqrq">#REF!</definedName>
    <definedName name="wqrwqr">#REF!</definedName>
    <definedName name="wr">#REF!</definedName>
    <definedName name="wrg" hidden="1">{#N/A,#N/A,FALSE,"REK";#N/A,#N/A,FALSE,"rab"}</definedName>
    <definedName name="WRGR">#REF!</definedName>
    <definedName name="wrn" hidden="1">{#N/A,#N/A,FALSE,"Chi tiÆt"}</definedName>
    <definedName name="wrn.AAA." hidden="1">{#N/A,#N/A,FALSE,"REK";#N/A,#N/A,FALSE,"Bq-ARS"}</definedName>
    <definedName name="wrn.AAA.1" hidden="1">{#N/A,#N/A,FALSE,"REK";#N/A,#N/A,FALSE,"Bq-ARS"}</definedName>
    <definedName name="wrn.AAA.2" hidden="1">{#N/A,#N/A,FALSE,"REK";#N/A,#N/A,FALSE,"Bq-ARS"}</definedName>
    <definedName name="wrn.chi._.1" hidden="1">{#N/A,#N/A,FALSE,"Chi tiÆt"}</definedName>
    <definedName name="wrn.chi._.tiÆt." hidden="1">{#N/A,#N/A,FALSE,"Chi tiÆt"}</definedName>
    <definedName name="wrn.chi._.tiE" hidden="1">{#N/A,#N/A,FALSE,"Chi tiÆt"}</definedName>
    <definedName name="wrn.chi_.tiAEta" hidden="1">{#N/A,#N/A,FALSE,"Chi tiÆt"}</definedName>
    <definedName name="wrn.chi_tiAEt.1" hidden="1">{#N/A,#N/A,FALSE,"Chi tiÆt"}</definedName>
    <definedName name="wrn.chi_tiAEt.1a" hidden="1">{#N/A,#N/A,FALSE,"Chi tiÆt"}</definedName>
    <definedName name="wrn.chi03" hidden="1">{#N/A,#N/A,FALSE,"Chi tiÆt"}</definedName>
    <definedName name="wrn.chi04" hidden="1">{#N/A,#N/A,FALSE,"Chi tiÆt"}</definedName>
    <definedName name="wrn.ENG_SUM_EXP_DIS." hidden="1">{#N/A,#N/A,FALSE,"SUM_Prop";#N/A,#N/A,FALSE,"PROCESS-eng";#N/A,#N/A,FALSE,"PROCESS-com";#N/A,#N/A,FALSE,"INST-eng";#N/A,#N/A,FALSE,"INST-com"}</definedName>
    <definedName name="wrn.Full._.Report." hidden="1">{#N/A,#N/A,TRUE,"Front";#N/A,#N/A,TRUE,"Simple Letter";#N/A,#N/A,TRUE,"Inside";#N/A,#N/A,TRUE,"Contents";#N/A,#N/A,TRUE,"Basis";#N/A,#N/A,TRUE,"Inclusions";#N/A,#N/A,TRUE,"Exclusions";#N/A,#N/A,TRUE,"Areas";#N/A,#N/A,TRUE,"Summary";#N/A,#N/A,TRUE,"Detail"}</definedName>
    <definedName name="wrn.rtpl." hidden="1">{#N/A,#N/A,FALSE,"REK-S-TPL";#N/A,#N/A,FALSE,"REK-TPML";#N/A,#N/A,FALSE,"RAB-TEMPEL"}</definedName>
    <definedName name="wrn.rtpl.1" hidden="1">{#N/A,#N/A,FALSE,"REK-S-TPL";#N/A,#N/A,FALSE,"REK-TPML";#N/A,#N/A,FALSE,"RAB-TEMPEL"}</definedName>
    <definedName name="wrn.rtpl.2" hidden="1">{#N/A,#N/A,FALSE,"REK-S-TPL";#N/A,#N/A,FALSE,"REK-TPML";#N/A,#N/A,FALSE,"RAB-TEMPEL"}</definedName>
    <definedName name="wrn.rtpl.3" hidden="1">{#N/A,#N/A,FALSE,"REK-S-TPL";#N/A,#N/A,FALSE,"REK-TPML";#N/A,#N/A,FALSE,"RAB-TEMPEL"}</definedName>
    <definedName name="wrn.ry." hidden="1">{#N/A,#N/A,FALSE,"REK";#N/A,#N/A,FALSE,"rab"}</definedName>
    <definedName name="wrn.ry.1" hidden="1">{#N/A,#N/A,FALSE,"REK";#N/A,#N/A,FALSE,"rab"}</definedName>
    <definedName name="wrn.ry.3" hidden="1">{#N/A,#N/A,FALSE,"REK";#N/A,#N/A,FALSE,"rab"}</definedName>
    <definedName name="wrn.semuanya." hidden="1">{#N/A,#N/A,FALSE,"REKAP";#N/A,#N/A,FALSE,"ITEM"}</definedName>
    <definedName name="wrwarwqr">#REF!</definedName>
    <definedName name="wrwqr">#REF!</definedName>
    <definedName name="ws">[65]satuan_pek_str!#REF!</definedName>
    <definedName name="ws_105">#REF!</definedName>
    <definedName name="ws_153">#REF!</definedName>
    <definedName name="ws_1530">[95]satuan_pek_ars!#REF!</definedName>
    <definedName name="ws_d">"$#REF!.$H$31"</definedName>
    <definedName name="WSOP">[16]prelim!#REF!</definedName>
    <definedName name="WSSSSSSSSSS">#N/A</definedName>
    <definedName name="wstpt">'[21]Harga Satuan Bahan'!#REF!</definedName>
    <definedName name="wstwr">'[21]Harga Satuan Bahan'!#REF!</definedName>
    <definedName name="WT">#REF!</definedName>
    <definedName name="wt.60hp">'[45]Sat~Bahu'!$C$95</definedName>
    <definedName name="wtc">#REF!</definedName>
    <definedName name="wtc_1">#REF!</definedName>
    <definedName name="wtc_2">#REF!</definedName>
    <definedName name="wtc_2_1">#REF!</definedName>
    <definedName name="wtc_3">#REF!</definedName>
    <definedName name="wtc_3_2">#REF!</definedName>
    <definedName name="wtc_3_4">#REF!</definedName>
    <definedName name="wtc_3_6">#REF!</definedName>
    <definedName name="wtc_3_7">#REF!</definedName>
    <definedName name="wtc_4">#REF!</definedName>
    <definedName name="wtc_4_1">#REF!</definedName>
    <definedName name="wtc_4_2">#REF!</definedName>
    <definedName name="wtc_4_4">#REF!</definedName>
    <definedName name="wtc_4_6">#REF!</definedName>
    <definedName name="wtc_4_7">#REF!</definedName>
    <definedName name="wtc_5">#REF!</definedName>
    <definedName name="wtc_5_2">#REF!</definedName>
    <definedName name="wtc_5_4">#REF!</definedName>
    <definedName name="wtc_5_6">#REF!</definedName>
    <definedName name="wtc_5_7">#REF!</definedName>
    <definedName name="wtc_6">#REF!</definedName>
    <definedName name="wtc_6_1">#REF!</definedName>
    <definedName name="wtc_6_2">#REF!</definedName>
    <definedName name="wtc_6_4">#REF!</definedName>
    <definedName name="wtc_6_6">#REF!</definedName>
    <definedName name="wtc_6_7">#REF!</definedName>
    <definedName name="wtc_7">#REF!</definedName>
    <definedName name="wtc_7_1">#REF!</definedName>
    <definedName name="wterprofbahan">[83]Sheet1!$H$36</definedName>
    <definedName name="wterstop">'[83]DAF-5'!$I$75</definedName>
    <definedName name="wterstopbahan">[83]Sheet1!$H$37</definedName>
    <definedName name="wtflw230j">#REF!</definedName>
    <definedName name="wtflw830j">#REF!</definedName>
    <definedName name="wtp">#REF!</definedName>
    <definedName name="wtrpr">#REF!</definedName>
    <definedName name="wtrst">#REF!</definedName>
    <definedName name="wtrt">'[49]Lamp-4 Sat-Das'!$J$33</definedName>
    <definedName name="WTT">[86]HSD!$H$44</definedName>
    <definedName name="wvn">#N/A</definedName>
    <definedName name="WW" hidden="1">{"'Sheet1'!$A$1"}</definedName>
    <definedName name="wwer">[80]DHSD!$G$38</definedName>
    <definedName name="wwq">#REF!</definedName>
    <definedName name="wwr">'[138]SAT-DAS'!$J$36</definedName>
    <definedName name="WWW">#REF!</definedName>
    <definedName name="wwww">#REF!</definedName>
    <definedName name="WWWWW">#REF!</definedName>
    <definedName name="wyerwr">'[108]SAT-DAS'!$J$40</definedName>
    <definedName name="wytws">[112]DHSD!$G$32</definedName>
    <definedName name="x" hidden="1">#REF!</definedName>
    <definedName name="X.1">#REF!</definedName>
    <definedName name="X.2">#REF!</definedName>
    <definedName name="X.3">#REF!</definedName>
    <definedName name="X.4">#REF!</definedName>
    <definedName name="X.5">#REF!</definedName>
    <definedName name="x17dnc">[18]chitiet!#REF!</definedName>
    <definedName name="x17dvl">[18]chitiet!#REF!</definedName>
    <definedName name="x17knc">[18]chitiet!#REF!</definedName>
    <definedName name="x17kvl">[18]chitiet!#REF!</definedName>
    <definedName name="X1pFCOnc">'[18]CHITIET VL-NC-TT -1p'!#REF!</definedName>
    <definedName name="X1pFCOvc">'[18]CHITIET VL-NC-TT -1p'!#REF!</definedName>
    <definedName name="X1pFCOvl">'[18]CHITIET VL-NC-TT -1p'!#REF!</definedName>
    <definedName name="x1pignc">'[18]lam-moi'!#REF!</definedName>
    <definedName name="X1pIGvc">'[18]CHITIET VL-NC-TT -1p'!#REF!</definedName>
    <definedName name="x1pigvl">'[18]lam-moi'!#REF!</definedName>
    <definedName name="x1pind">#REF!</definedName>
    <definedName name="x1pindnc">'[18]lam-moi'!#REF!</definedName>
    <definedName name="x1pindvl">'[18]lam-moi'!#REF!</definedName>
    <definedName name="x1ping">#REF!</definedName>
    <definedName name="x1pingnc">'[18]lam-moi'!#REF!</definedName>
    <definedName name="x1pingvl">'[18]lam-moi'!#REF!</definedName>
    <definedName name="x1pint">#REF!</definedName>
    <definedName name="x1pintnc">'[18]lam-moi'!#REF!</definedName>
    <definedName name="X1pINTvc">'[18]CHITIET VL-NC-TT -1p'!#REF!</definedName>
    <definedName name="x1pintvl">'[18]lam-moi'!#REF!</definedName>
    <definedName name="x1pitnc">'[18]lam-moi'!#REF!</definedName>
    <definedName name="X1pITvc">'[18]CHITIET VL-NC-TT -1p'!#REF!</definedName>
    <definedName name="x1pitvl">'[18]lam-moi'!#REF!</definedName>
    <definedName name="x20knc">[18]chitiet!#REF!</definedName>
    <definedName name="x20kvl">[18]chitiet!#REF!</definedName>
    <definedName name="x22knc">[18]chitiet!#REF!</definedName>
    <definedName name="x22kvl">[18]chitiet!#REF!</definedName>
    <definedName name="x2mig1nc">'[18]lam-moi'!#REF!</definedName>
    <definedName name="x2mig1vl">'[18]lam-moi'!#REF!</definedName>
    <definedName name="x2min1nc">'[18]lam-moi'!#REF!</definedName>
    <definedName name="x2min1vl">'[18]lam-moi'!#REF!</definedName>
    <definedName name="x2mit1vl">'[18]lam-moi'!#REF!</definedName>
    <definedName name="x2mitnc">'[18]lam-moi'!#REF!</definedName>
    <definedName name="XAF9a">#REF!</definedName>
    <definedName name="XAF9b">#REF!</definedName>
    <definedName name="XAF9c">#REF!</definedName>
    <definedName name="XC">#REF!</definedName>
    <definedName name="XC_16">#REF!</definedName>
    <definedName name="XCCT">0.5</definedName>
    <definedName name="XCFV">#REF!</definedName>
    <definedName name="XDbB">#REF!</definedName>
    <definedName name="xdsnc">[18]gtrinh!#REF!</definedName>
    <definedName name="xdsvl">[18]gtrinh!#REF!</definedName>
    <definedName name="xf">#REF!</definedName>
    <definedName name="xfco">#REF!</definedName>
    <definedName name="xfco3p">#REF!</definedName>
    <definedName name="xfconc">'[18]lam-moi'!#REF!</definedName>
    <definedName name="xfconc3p">#REF!</definedName>
    <definedName name="xfcotnc">#REF!</definedName>
    <definedName name="xfcotvl">#REF!</definedName>
    <definedName name="xfcovl">'[18]lam-moi'!#REF!</definedName>
    <definedName name="xfcovl3p">#REF!</definedName>
    <definedName name="xfnc">'[18]lam-moi'!#REF!</definedName>
    <definedName name="xfvl">'[18]lam-moi'!#REF!</definedName>
    <definedName name="xhn">#REF!</definedName>
    <definedName name="xhnnc">'[18]lam-moi'!#REF!</definedName>
    <definedName name="xhnvl">'[18]lam-moi'!#REF!</definedName>
    <definedName name="xig">#REF!</definedName>
    <definedName name="xig1">#REF!</definedName>
    <definedName name="xig1nc">'[18]lam-moi'!#REF!</definedName>
    <definedName name="xig1p">#REF!</definedName>
    <definedName name="xig1pnc">'[18]lam-moi'!#REF!</definedName>
    <definedName name="xig1pvl">'[18]lam-moi'!#REF!</definedName>
    <definedName name="xig1vl">'[18]lam-moi'!#REF!</definedName>
    <definedName name="xig2nc">'[18]lam-moi'!#REF!</definedName>
    <definedName name="xig2vl">'[18]lam-moi'!#REF!</definedName>
    <definedName name="xig3p">#REF!</definedName>
    <definedName name="xiggnc">#REF!</definedName>
    <definedName name="xiggvl">#REF!</definedName>
    <definedName name="xignc">'[18]lam-moi'!#REF!</definedName>
    <definedName name="xignc3p">#REF!</definedName>
    <definedName name="xigvl">'[18]lam-moi'!#REF!</definedName>
    <definedName name="xigvl3p">#REF!</definedName>
    <definedName name="xin">#REF!</definedName>
    <definedName name="xin190">#REF!</definedName>
    <definedName name="xin1903p">#REF!</definedName>
    <definedName name="xin190nc">'[18]lam-moi'!#REF!</definedName>
    <definedName name="xin190nc3p">#REF!</definedName>
    <definedName name="xin190vl">'[18]lam-moi'!#REF!</definedName>
    <definedName name="xin190vl3p">#REF!</definedName>
    <definedName name="xin2903p">#REF!</definedName>
    <definedName name="xin290nc3p">#REF!</definedName>
    <definedName name="xin290vl3p">#REF!</definedName>
    <definedName name="xin3p">#REF!</definedName>
    <definedName name="xin901nc">'[18]lam-moi'!#REF!</definedName>
    <definedName name="xin901vl">'[18]lam-moi'!#REF!</definedName>
    <definedName name="xind">#REF!</definedName>
    <definedName name="xind1p">#REF!</definedName>
    <definedName name="xind1pnc">'[18]lam-moi'!#REF!</definedName>
    <definedName name="xind1pvl">'[18]lam-moi'!#REF!</definedName>
    <definedName name="xind3p">#REF!</definedName>
    <definedName name="xindnc">'[18]lam-moi'!#REF!</definedName>
    <definedName name="xindnc1p">#REF!</definedName>
    <definedName name="xindnc3p">#REF!</definedName>
    <definedName name="xindvl">'[18]lam-moi'!#REF!</definedName>
    <definedName name="xindvl1p">#REF!</definedName>
    <definedName name="xindvl3p">#REF!</definedName>
    <definedName name="xing1p">#REF!</definedName>
    <definedName name="xing1pnc">'[18]lam-moi'!#REF!</definedName>
    <definedName name="xing1pvl">'[18]lam-moi'!#REF!</definedName>
    <definedName name="xingnc1p">#REF!</definedName>
    <definedName name="xingvl1p">#REF!</definedName>
    <definedName name="xinnc">'[18]lam-moi'!#REF!</definedName>
    <definedName name="xinnc3p">#REF!</definedName>
    <definedName name="xint1p">#REF!</definedName>
    <definedName name="xinvl">'[18]lam-moi'!#REF!</definedName>
    <definedName name="xinvl3p">#REF!</definedName>
    <definedName name="Xinxing">#REF!</definedName>
    <definedName name="xit">#REF!</definedName>
    <definedName name="xit1">#REF!</definedName>
    <definedName name="xit1nc">'[18]lam-moi'!#REF!</definedName>
    <definedName name="xit1p">#REF!</definedName>
    <definedName name="xit1pnc">'[18]lam-moi'!#REF!</definedName>
    <definedName name="xit1pvl">'[18]lam-moi'!#REF!</definedName>
    <definedName name="xit1vl">'[18]lam-moi'!#REF!</definedName>
    <definedName name="xit23p">#REF!</definedName>
    <definedName name="xit2nc">'[18]lam-moi'!#REF!</definedName>
    <definedName name="xit2nc3p">#REF!</definedName>
    <definedName name="xit2vl">'[18]lam-moi'!#REF!</definedName>
    <definedName name="xit2vl3p">#REF!</definedName>
    <definedName name="xit3p">#REF!</definedName>
    <definedName name="xitnc">'[18]lam-moi'!#REF!</definedName>
    <definedName name="xitnc3p">#REF!</definedName>
    <definedName name="xittnc">#REF!</definedName>
    <definedName name="xittvl">#REF!</definedName>
    <definedName name="xitvl">'[18]lam-moi'!#REF!</definedName>
    <definedName name="xitvl3p">#REF!</definedName>
    <definedName name="xk010a">#REF!</definedName>
    <definedName name="xk020a">#REF!</definedName>
    <definedName name="XK224a">#REF!</definedName>
    <definedName name="XK514.a">#REF!</definedName>
    <definedName name="xk514a">#REF!</definedName>
    <definedName name="XK612a">#REF!</definedName>
    <definedName name="xk621a">#REF!</definedName>
    <definedName name="Xkg.2">#REF!</definedName>
    <definedName name="xm">#REF!</definedName>
    <definedName name="xr1nc">'[18]lam-moi'!#REF!</definedName>
    <definedName name="xr1vl">'[18]lam-moi'!#REF!</definedName>
    <definedName name="Xt">#REF!</definedName>
    <definedName name="xtr3pnc">[18]gtrinh!#REF!</definedName>
    <definedName name="xtr3pvl">[18]gtrinh!#REF!</definedName>
    <definedName name="xx">#REF!</definedName>
    <definedName name="XXA">#N/A</definedName>
    <definedName name="xxvv">'[15]2.1'!#REF!</definedName>
    <definedName name="xxx">#REF!</definedName>
    <definedName name="xxxx" hidden="1">{#N/A,#N/A,FALSE,"REK-S-TPL";#N/A,#N/A,FALSE,"REK-TPML";#N/A,#N/A,FALSE,"RAB-TEMPEL"}</definedName>
    <definedName name="xxxxx">#REF!</definedName>
    <definedName name="xxxxxxxxxxxxxxxxx">'[199]SAT-DAS'!$J$28</definedName>
    <definedName name="xxxxxxxxxxxxxxxxxxxxxxx">#REF!</definedName>
    <definedName name="y">#REF!</definedName>
    <definedName name="Y.1">#REF!</definedName>
    <definedName name="Y.2">#REF!</definedName>
    <definedName name="Y.4">#REF!</definedName>
    <definedName name="Y.Q">#REF!</definedName>
    <definedName name="yaa">#REF!</definedName>
    <definedName name="yahMalik">#REF!</definedName>
    <definedName name="yayuk" hidden="1">#REF!</definedName>
    <definedName name="ydtr">[51]DHSD!$G$37</definedName>
    <definedName name="ydudu">'[50]SAT-DAS'!$J$38</definedName>
    <definedName name="yen">#REF!</definedName>
    <definedName name="Yen_USD">#REF!</definedName>
    <definedName name="YETUE">[52]DHSD!$G$27</definedName>
    <definedName name="yhd">[51]DHSD!$G$39</definedName>
    <definedName name="yhh">#REF!</definedName>
    <definedName name="yhutry">[52]DHSD!$G$43</definedName>
    <definedName name="yj">#REF!</definedName>
    <definedName name="yjs">#REF!</definedName>
    <definedName name="yjudjd">[51]DHSD!$G$20</definedName>
    <definedName name="ykk" hidden="1">{"'Sheet1'!$A$1"}</definedName>
    <definedName name="yky" hidden="1">{"'Sheet1'!$A$1"}</definedName>
    <definedName name="yoh">[200]Ch!$A$3</definedName>
    <definedName name="yono">#REF!</definedName>
    <definedName name="yrey">#REF!</definedName>
    <definedName name="yrshrs">#N/A</definedName>
    <definedName name="yrts">'[113]SAT-DAS'!$J$63</definedName>
    <definedName name="yrty">[80]DHSD!$G$26</definedName>
    <definedName name="ystrain">#REF!</definedName>
    <definedName name="YT">#REF!</definedName>
    <definedName name="YTE">'[49]Lamp-4 Sat-Das'!$J$71</definedName>
    <definedName name="ytjuft">[80]DHSD!$G$46</definedName>
    <definedName name="YTR">#N/A</definedName>
    <definedName name="ytresw">[52]DHSD!$G$48</definedName>
    <definedName name="YTRYRYR">#N/A</definedName>
    <definedName name="ytsy">[52]DHSD!$G$26</definedName>
    <definedName name="YTUE">'[49]Lamp-4 Sat-Das'!$J$20</definedName>
    <definedName name="yu5u" hidden="1">{"'Sheet1'!$A$1"}</definedName>
    <definedName name="yudd">[51]DHSD!$G$27</definedName>
    <definedName name="yui">'[201]SAT-DAS'!$J$70</definedName>
    <definedName name="yuiwrei_9">#REF!</definedName>
    <definedName name="YUJ">#N/A</definedName>
    <definedName name="yujdh">[51]DHSD!$G$26</definedName>
    <definedName name="yujdtydtu">[112]DHSD!$G$16</definedName>
    <definedName name="yunj">'[138]SAT-DAS'!$J$44</definedName>
    <definedName name="yuup">#REF!</definedName>
    <definedName name="yuy">#REF!</definedName>
    <definedName name="YWRY4Y" hidden="1">{#N/A,#N/A,TRUE,"Front";#N/A,#N/A,TRUE,"Simple Letter";#N/A,#N/A,TRUE,"Inside";#N/A,#N/A,TRUE,"Contents";#N/A,#N/A,TRUE,"Basis";#N/A,#N/A,TRUE,"Inclusions";#N/A,#N/A,TRUE,"Exclusions";#N/A,#N/A,TRUE,"Areas";#N/A,#N/A,TRUE,"Summary";#N/A,#N/A,TRUE,"Detail"}</definedName>
    <definedName name="YY" hidden="1">{"'Sheet1'!$A$1"}</definedName>
    <definedName name="yydhdhy">#N/A</definedName>
    <definedName name="YYWSTYT">'[49]Lamp-4 Sat-Das'!$J$33</definedName>
    <definedName name="yyy">#REF!</definedName>
    <definedName name="Z">#REF!</definedName>
    <definedName name="Z.1">#REF!</definedName>
    <definedName name="Z.2">#REF!</definedName>
    <definedName name="Z.3">#REF!</definedName>
    <definedName name="Z.4">#REF!</definedName>
    <definedName name="Z.5">#REF!</definedName>
    <definedName name="Z.6">#REF!</definedName>
    <definedName name="Z_1">#REF!</definedName>
    <definedName name="Z_2">#REF!</definedName>
    <definedName name="Z_2_1">#REF!</definedName>
    <definedName name="Z_2_1_6">#REF!</definedName>
    <definedName name="Z_2_6">#REF!</definedName>
    <definedName name="Z_2_7">#REF!</definedName>
    <definedName name="Z_3">#REF!</definedName>
    <definedName name="Z_3_6">#REF!</definedName>
    <definedName name="Z_3_7">#REF!</definedName>
    <definedName name="Z_3F9B5724_02A1_494E_8A05_6302C3C28A11_.wvu.PrintArea" hidden="1">#REF!</definedName>
    <definedName name="Z_4">#REF!</definedName>
    <definedName name="Z_4900D912_D400_4A61_8DD9_12CD5711EDE2_.wvu.FilterData" hidden="1">#REF!</definedName>
    <definedName name="Z_4A4DBCF5_6E02_43D6_8F4D_223D21633DB8_.wvu.PrintArea" hidden="1">#REF!</definedName>
    <definedName name="Z_4A4DBCF5_6E02_43D6_8F4D_223D21633DB8_.wvu.Rows" hidden="1">#REF!,#REF!</definedName>
    <definedName name="Z_5107985B_0AF1_481E_8B01_41E5AE471770_.wvu.FilterData" hidden="1">#REF!</definedName>
    <definedName name="Z_6">#REF!</definedName>
    <definedName name="Z_6_1">#REF!</definedName>
    <definedName name="Z_6_6">#REF!</definedName>
    <definedName name="Z_6_7">#REF!</definedName>
    <definedName name="Z_60C09D59_E1B8_4DE0_84A5_C4D52EC877AC_.wvu.Rows" hidden="1">#REF!,#REF!,#REF!,#REF!,#REF!,#REF!,#REF!,#REF!,#REF!</definedName>
    <definedName name="Z_7">#REF!</definedName>
    <definedName name="Z_905CC869_795C_4E5E_B879_52BB42470404_.wvu.FilterData" hidden="1">#REF!</definedName>
    <definedName name="Z_951381D6_C6D1_4C6C_A572_59CAF1F656FA_.wvu.Rows" hidden="1">#REF!</definedName>
    <definedName name="Z_C5F07B99_5B9B_4D7E_8E51_7715CFFC23CA_.wvu.Rows" hidden="1">#REF!,#REF!,#REF!,#REF!,#REF!,#REF!,#REF!,#REF!,#REF!,#REF!,#REF!,#REF!,#REF!,#REF!,#REF!,#REF!</definedName>
    <definedName name="ZAZ_TT">#REF!</definedName>
    <definedName name="zcxczc">[126]SPL!$W$488</definedName>
    <definedName name="zebo.1">#REF!</definedName>
    <definedName name="zebo.2">#REF!</definedName>
    <definedName name="zebo.3">#REF!</definedName>
    <definedName name="Zekring1">#REF!</definedName>
    <definedName name="zenk">#REF!</definedName>
    <definedName name="zinc">#REF!</definedName>
    <definedName name="zink">#REF!</definedName>
    <definedName name="zinklab">#REF!</definedName>
    <definedName name="Zip">#REF!</definedName>
    <definedName name="ZSGFSG">'[50]SAT-DAS'!$J$40</definedName>
    <definedName name="ZV_064">[39]Elektronik!#REF!</definedName>
    <definedName name="ZV_303">[39]Elektronik!#REF!</definedName>
    <definedName name="ZVDSGERGS">#REF!</definedName>
    <definedName name="ZVZXVCX">#REF!</definedName>
    <definedName name="zxf" hidden="1">{"'Sheet1'!$A$1"}</definedName>
    <definedName name="ZZ" hidden="1">#REF!</definedName>
    <definedName name="ZZZ" hidden="1">#REF!</definedName>
    <definedName name="ｷｸﾞ_1">#REF!</definedName>
    <definedName name="ｹｼ1">#REF!</definedName>
    <definedName name="ｹｼ2">#REF!</definedName>
    <definedName name="ｹｼ3">#REF!</definedName>
    <definedName name="ｹｼ4">#REF!</definedName>
    <definedName name="ｹｼ5">#REF!</definedName>
    <definedName name="ｼｽｳ_1">#REF!</definedName>
    <definedName name="ｼｮｳﾒｲﾘﾂ_1">#REF!</definedName>
    <definedName name="ｼｮｳﾒｲﾘﾂ_2">#REF!</definedName>
    <definedName name="ｽﾞｰﾑ">#REF!</definedName>
    <definedName name="ｽﾞｰﾑ2">[202]概総括1!$A$1:$O$29</definedName>
    <definedName name="ﾊﾝｼｬﾘﾂ">#REF!</definedName>
    <definedName name="ﾌｧｲﾙ">#REF!</definedName>
    <definedName name="ﾍﾔｼｽｳ_2">#REF!</definedName>
    <definedName name="ﾎｼｭﾘﾂ">#REF!</definedName>
    <definedName name="ﾒﾆｭｰ">#REF!</definedName>
    <definedName name="ﾗﾝﾌﾟ_1">#REF!</definedName>
    <definedName name="ﾗﾝﾌﾟ_2">#REF!</definedName>
    <definedName name="ﾗﾝﾌﾟ_3">#REF!</definedName>
    <definedName name="三社材料">#REF!</definedName>
    <definedName name="代価">#REF!</definedName>
    <definedName name="保印">#REF!</definedName>
    <definedName name="全部">#REF!</definedName>
    <definedName name="出力">#REF!</definedName>
    <definedName name="削除">#REF!</definedName>
    <definedName name="労務費">[203]bq!$K$68:$L$72</definedName>
    <definedName name="単位">#REF!</definedName>
    <definedName name="単価">#REF!</definedName>
    <definedName name="単入">#REF!</definedName>
    <definedName name="印刷">#REF!</definedName>
    <definedName name="印刷A">#REF!</definedName>
    <definedName name="合計">#REF!</definedName>
    <definedName name="外貨レート">[203]bq!$D$68:$H$72</definedName>
    <definedName name="工・">#REF!</definedName>
    <definedName name="工期計算式">[202]概総括1!$A$1:$O$29</definedName>
    <definedName name="材料">#REF!</definedName>
    <definedName name="枚数">#REF!</definedName>
    <definedName name="登録">#REF!</definedName>
    <definedName name="白紙">#REF!</definedName>
    <definedName name="直入">#REF!</definedName>
    <definedName name="種類">#REF!</definedName>
    <definedName name="空調換気">[202]概総括1!$A$1:$O$29</definedName>
    <definedName name="給排水衛生">[202]概総括1!$A$1:$O$29</definedName>
    <definedName name="編集">#REF!</definedName>
    <definedName name="表示">#REF!</definedName>
    <definedName name="見積提出用掛率">[203]bq!$Q$1:$V$8</definedName>
    <definedName name="見積方式">[203]bq!$AA$1:$AB$5</definedName>
    <definedName name="記入">#REF!</definedName>
    <definedName name="輸入材各種税率">[203]bq!$D$74:$H$77</definedName>
    <definedName name="追削">#REF!</definedName>
    <definedName name="追加">#REF!</definedName>
    <definedName name="通貨名称">[203]bq!$Y$1:$Y$6</definedName>
    <definedName name="連動">#REF!</definedName>
    <definedName name="電気">[202]概総括1!$A$1:$O$29</definedName>
    <definedName name="頁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0" i="16" l="1"/>
  <c r="E39" i="16"/>
  <c r="E38" i="16"/>
  <c r="E37" i="16"/>
  <c r="E36" i="16"/>
  <c r="E35" i="16"/>
  <c r="E34" i="16"/>
  <c r="E33" i="16"/>
  <c r="E32" i="16"/>
  <c r="E31" i="16"/>
  <c r="E30" i="16"/>
  <c r="E29" i="16"/>
  <c r="E28" i="16"/>
  <c r="A86" i="26"/>
  <c r="A87" i="26" s="1"/>
  <c r="A88" i="26" s="1"/>
  <c r="A84" i="26"/>
  <c r="A83" i="26"/>
  <c r="A80" i="26"/>
  <c r="A81" i="26" s="1"/>
  <c r="A79" i="26"/>
  <c r="A76" i="26"/>
  <c r="A75" i="26"/>
  <c r="A73" i="26"/>
  <c r="A72" i="26"/>
  <c r="A71" i="26"/>
  <c r="A33" i="26"/>
  <c r="A34" i="26" s="1"/>
  <c r="A35" i="26" s="1"/>
  <c r="A36" i="26" s="1"/>
  <c r="A37" i="26" s="1"/>
  <c r="A38" i="26" s="1"/>
  <c r="A39" i="26" s="1"/>
  <c r="A40" i="26" s="1"/>
  <c r="A41" i="26" s="1"/>
  <c r="A42" i="26" s="1"/>
  <c r="A43" i="26" s="1"/>
  <c r="A44" i="26" s="1"/>
  <c r="A45" i="26" s="1"/>
  <c r="A46" i="26" s="1"/>
  <c r="A47" i="26" s="1"/>
  <c r="A48" i="26" s="1"/>
  <c r="A49" i="26" s="1"/>
  <c r="A50" i="26" s="1"/>
  <c r="A51" i="26" s="1"/>
  <c r="A52" i="26" s="1"/>
  <c r="A53" i="26" s="1"/>
  <c r="A54" i="26" s="1"/>
  <c r="A55" i="26" s="1"/>
  <c r="A56" i="26" s="1"/>
  <c r="A57" i="26" s="1"/>
  <c r="A58" i="26" s="1"/>
  <c r="A30" i="26"/>
  <c r="A31" i="26" s="1"/>
  <c r="A32" i="26" s="1"/>
  <c r="A29" i="26"/>
  <c r="A28" i="26"/>
  <c r="A23" i="26"/>
  <c r="A24" i="26" s="1"/>
  <c r="A14" i="26"/>
  <c r="A15" i="26" s="1"/>
  <c r="A16" i="26" s="1"/>
  <c r="A17" i="26" s="1"/>
  <c r="A19" i="26" s="1"/>
  <c r="A20" i="26" s="1"/>
  <c r="A21" i="26" s="1"/>
  <c r="A22" i="26" s="1"/>
  <c r="A10" i="26"/>
  <c r="A11" i="26" s="1"/>
  <c r="A12" i="26" s="1"/>
  <c r="A13" i="26" s="1"/>
  <c r="C1451" i="24"/>
  <c r="J1450" i="24"/>
  <c r="H1448" i="24"/>
  <c r="C1442" i="24"/>
  <c r="J1442" i="24" s="1"/>
  <c r="J1443" i="24" s="1"/>
  <c r="J1441" i="24"/>
  <c r="H1442" i="24" s="1"/>
  <c r="E1438" i="24"/>
  <c r="C1434" i="24"/>
  <c r="J1433" i="24"/>
  <c r="J1435" i="24" s="1"/>
  <c r="I1433" i="24"/>
  <c r="I1435" i="24" s="1"/>
  <c r="I1432" i="24"/>
  <c r="H1432" i="24"/>
  <c r="H1429" i="24"/>
  <c r="E1429" i="24"/>
  <c r="C1425" i="24"/>
  <c r="J1424" i="24"/>
  <c r="H1420" i="24"/>
  <c r="E1420" i="24"/>
  <c r="C1416" i="24"/>
  <c r="H1411" i="24"/>
  <c r="C1406" i="24"/>
  <c r="J1405" i="24"/>
  <c r="C1396" i="24"/>
  <c r="J1395" i="24"/>
  <c r="H1392" i="24"/>
  <c r="I1381" i="24"/>
  <c r="K1376" i="24"/>
  <c r="K1375" i="24"/>
  <c r="K1374" i="24"/>
  <c r="K1373" i="24"/>
  <c r="K1372" i="24"/>
  <c r="K1371" i="24"/>
  <c r="K1377" i="24" s="1"/>
  <c r="I1359" i="24"/>
  <c r="K1354" i="24"/>
  <c r="K1353" i="24"/>
  <c r="K1355" i="24" s="1"/>
  <c r="C1349" i="24"/>
  <c r="C1348" i="24"/>
  <c r="I1341" i="24"/>
  <c r="K1336" i="24"/>
  <c r="K1335" i="24"/>
  <c r="C1331" i="24"/>
  <c r="C1330" i="24"/>
  <c r="I1323" i="24"/>
  <c r="K1319" i="24"/>
  <c r="K1318" i="24"/>
  <c r="K1317" i="24"/>
  <c r="C1313" i="24"/>
  <c r="C1312" i="24"/>
  <c r="I1305" i="24"/>
  <c r="K1301" i="24"/>
  <c r="K1300" i="24"/>
  <c r="K1299" i="24"/>
  <c r="C1295" i="24"/>
  <c r="C1294" i="24"/>
  <c r="I1287" i="24"/>
  <c r="K1282" i="24"/>
  <c r="K1281" i="24"/>
  <c r="K1283" i="24" s="1"/>
  <c r="C1277" i="24"/>
  <c r="C1276" i="24"/>
  <c r="I1269" i="24"/>
  <c r="K1264" i="24"/>
  <c r="K1263" i="24"/>
  <c r="C1259" i="24"/>
  <c r="C1258" i="24"/>
  <c r="I1251" i="24"/>
  <c r="K1247" i="24"/>
  <c r="K1246" i="24"/>
  <c r="K1245" i="24"/>
  <c r="C1241" i="24"/>
  <c r="C1240" i="24"/>
  <c r="I1233" i="24"/>
  <c r="K1229" i="24"/>
  <c r="K1228" i="24"/>
  <c r="K1227" i="24"/>
  <c r="C1223" i="24"/>
  <c r="C1222" i="24"/>
  <c r="I1215" i="24"/>
  <c r="K1210" i="24"/>
  <c r="K1209" i="24"/>
  <c r="K1211" i="24" s="1"/>
  <c r="C1205" i="24"/>
  <c r="C1204" i="24"/>
  <c r="I1197" i="24"/>
  <c r="K1192" i="24"/>
  <c r="K1191" i="24"/>
  <c r="C1187" i="24"/>
  <c r="C1186" i="24"/>
  <c r="I1179" i="24"/>
  <c r="K1175" i="24"/>
  <c r="K1173" i="24"/>
  <c r="I1169" i="24"/>
  <c r="C1169" i="24"/>
  <c r="C1168" i="24"/>
  <c r="I1161" i="24"/>
  <c r="K1155" i="24"/>
  <c r="K1157" i="24" s="1"/>
  <c r="I1152" i="24"/>
  <c r="I1151" i="24"/>
  <c r="C1151" i="24"/>
  <c r="C1150" i="24"/>
  <c r="I1143" i="24"/>
  <c r="K1139" i="24"/>
  <c r="K1137" i="24"/>
  <c r="I1133" i="24"/>
  <c r="C1133" i="24"/>
  <c r="C1132" i="24"/>
  <c r="I1125" i="24"/>
  <c r="K1119" i="24"/>
  <c r="K1121" i="24" s="1"/>
  <c r="I1116" i="24"/>
  <c r="I1115" i="24"/>
  <c r="C1115" i="24"/>
  <c r="C1114" i="24"/>
  <c r="I1107" i="24"/>
  <c r="K1103" i="24"/>
  <c r="K1101" i="24"/>
  <c r="C1097" i="24"/>
  <c r="C1096" i="24"/>
  <c r="I1089" i="24"/>
  <c r="K1083" i="24"/>
  <c r="K1085" i="24" s="1"/>
  <c r="C1079" i="24"/>
  <c r="C1078" i="24"/>
  <c r="I1071" i="24"/>
  <c r="K1066" i="24"/>
  <c r="K1067" i="24" s="1"/>
  <c r="C1062" i="24"/>
  <c r="C1061" i="24"/>
  <c r="I1054" i="24"/>
  <c r="K1049" i="24"/>
  <c r="K1050" i="24" s="1"/>
  <c r="C1045" i="24"/>
  <c r="C1044" i="24"/>
  <c r="I1037" i="24"/>
  <c r="K1032" i="24"/>
  <c r="K1033" i="24" s="1"/>
  <c r="C1028" i="24"/>
  <c r="C1027" i="24"/>
  <c r="I1019" i="24"/>
  <c r="K1014" i="24"/>
  <c r="K1015" i="24" s="1"/>
  <c r="C1010" i="24"/>
  <c r="C1009" i="24"/>
  <c r="I1002" i="24"/>
  <c r="K997" i="24"/>
  <c r="K998" i="24" s="1"/>
  <c r="C993" i="24"/>
  <c r="C992" i="24"/>
  <c r="I985" i="24"/>
  <c r="K980" i="24"/>
  <c r="K981" i="24" s="1"/>
  <c r="C976" i="24"/>
  <c r="J975" i="24"/>
  <c r="C975" i="24"/>
  <c r="I968" i="24"/>
  <c r="K963" i="24"/>
  <c r="K964" i="24" s="1"/>
  <c r="C959" i="24"/>
  <c r="J958" i="24"/>
  <c r="C958" i="24"/>
  <c r="I951" i="24"/>
  <c r="K946" i="24"/>
  <c r="K947" i="24" s="1"/>
  <c r="K945" i="24"/>
  <c r="C941" i="24"/>
  <c r="C940" i="24"/>
  <c r="I933" i="24"/>
  <c r="K929" i="24"/>
  <c r="K928" i="24"/>
  <c r="K927" i="24"/>
  <c r="C923" i="24"/>
  <c r="C922" i="24"/>
  <c r="I912" i="24"/>
  <c r="K909" i="24"/>
  <c r="K910" i="24" s="1"/>
  <c r="K906" i="24"/>
  <c r="K905" i="24"/>
  <c r="B905" i="24"/>
  <c r="B906" i="24" s="1"/>
  <c r="K904" i="24"/>
  <c r="B904" i="24"/>
  <c r="K903" i="24"/>
  <c r="J906" i="24" s="1"/>
  <c r="I899" i="24"/>
  <c r="K894" i="24"/>
  <c r="J887" i="24"/>
  <c r="J886" i="24"/>
  <c r="J888" i="24" s="1"/>
  <c r="I885" i="24"/>
  <c r="I886" i="24" s="1"/>
  <c r="I888" i="24" s="1"/>
  <c r="I868" i="24"/>
  <c r="K866" i="24"/>
  <c r="K863" i="24"/>
  <c r="K861" i="24"/>
  <c r="J862" i="24" s="1"/>
  <c r="K862" i="24" s="1"/>
  <c r="K851" i="24"/>
  <c r="I844" i="24"/>
  <c r="K842" i="24"/>
  <c r="K838" i="24"/>
  <c r="K839" i="24" s="1"/>
  <c r="K837" i="24"/>
  <c r="J838" i="24" s="1"/>
  <c r="K827" i="24"/>
  <c r="I820" i="24"/>
  <c r="K818" i="24"/>
  <c r="K813" i="24"/>
  <c r="B813" i="24"/>
  <c r="B814" i="24" s="1"/>
  <c r="K812" i="24"/>
  <c r="I807" i="24"/>
  <c r="I808" i="24" s="1"/>
  <c r="K802" i="24"/>
  <c r="I795" i="24"/>
  <c r="K793" i="24"/>
  <c r="B789" i="24"/>
  <c r="K788" i="24"/>
  <c r="B788" i="24"/>
  <c r="K787" i="24"/>
  <c r="I783" i="24"/>
  <c r="I782" i="24"/>
  <c r="K777" i="24"/>
  <c r="I770" i="24"/>
  <c r="K768" i="24"/>
  <c r="K763" i="24"/>
  <c r="B763" i="24"/>
  <c r="B764" i="24" s="1"/>
  <c r="K762" i="24"/>
  <c r="J764" i="24" s="1" a="1"/>
  <c r="J764" i="24" s="1"/>
  <c r="K764" i="24" s="1"/>
  <c r="K765" i="24" s="1"/>
  <c r="I758" i="24"/>
  <c r="I757" i="24"/>
  <c r="K752" i="24"/>
  <c r="I745" i="24"/>
  <c r="K743" i="24"/>
  <c r="K738" i="24"/>
  <c r="B738" i="24"/>
  <c r="B739" i="24" s="1"/>
  <c r="K737" i="24"/>
  <c r="I733" i="24"/>
  <c r="I732" i="24"/>
  <c r="K727" i="24"/>
  <c r="I720" i="24"/>
  <c r="K718" i="24"/>
  <c r="K714" i="24"/>
  <c r="K713" i="24"/>
  <c r="K715" i="24" s="1"/>
  <c r="K703" i="24"/>
  <c r="I696" i="24"/>
  <c r="K694" i="24"/>
  <c r="K689" i="24"/>
  <c r="K691" i="24" s="1"/>
  <c r="J689" i="24"/>
  <c r="D689" i="24"/>
  <c r="K680" i="24"/>
  <c r="C676" i="24"/>
  <c r="I673" i="24"/>
  <c r="K671" i="24"/>
  <c r="K668" i="24"/>
  <c r="K666" i="24"/>
  <c r="J666" i="24"/>
  <c r="K657" i="24"/>
  <c r="C653" i="24"/>
  <c r="D666" i="24" s="1"/>
  <c r="I649" i="24"/>
  <c r="K647" i="24"/>
  <c r="J642" i="24"/>
  <c r="K642" i="24" s="1"/>
  <c r="K644" i="24" s="1"/>
  <c r="D642" i="24"/>
  <c r="I639" i="24"/>
  <c r="I638" i="24"/>
  <c r="K633" i="24"/>
  <c r="C629" i="24"/>
  <c r="I626" i="24"/>
  <c r="K624" i="24"/>
  <c r="K621" i="24"/>
  <c r="K620" i="24"/>
  <c r="J620" i="24"/>
  <c r="I615" i="24"/>
  <c r="K612" i="24"/>
  <c r="C608" i="24"/>
  <c r="D620" i="24" s="1"/>
  <c r="I605" i="24"/>
  <c r="K603" i="24"/>
  <c r="J599" i="24"/>
  <c r="K599" i="24" s="1"/>
  <c r="K600" i="24" s="1"/>
  <c r="K591" i="24"/>
  <c r="C587" i="24"/>
  <c r="D599" i="24" s="1"/>
  <c r="I584" i="24"/>
  <c r="K582" i="24"/>
  <c r="J578" i="24"/>
  <c r="K578" i="24" s="1"/>
  <c r="K579" i="24" s="1"/>
  <c r="D578" i="24"/>
  <c r="K570" i="24"/>
  <c r="C566" i="24"/>
  <c r="I563" i="24"/>
  <c r="K561" i="24"/>
  <c r="J557" i="24"/>
  <c r="K557" i="24" s="1"/>
  <c r="K558" i="24" s="1"/>
  <c r="D557" i="24"/>
  <c r="K549" i="24"/>
  <c r="C545" i="24"/>
  <c r="I542" i="24"/>
  <c r="K540" i="24"/>
  <c r="K536" i="24"/>
  <c r="K537" i="24" s="1"/>
  <c r="J536" i="24"/>
  <c r="D536" i="24"/>
  <c r="K528" i="24"/>
  <c r="C524" i="24"/>
  <c r="I521" i="24"/>
  <c r="K519" i="24"/>
  <c r="K516" i="24"/>
  <c r="K515" i="24"/>
  <c r="K507" i="24"/>
  <c r="C503" i="24"/>
  <c r="D515" i="24" s="1"/>
  <c r="I499" i="24"/>
  <c r="K497" i="24"/>
  <c r="K494" i="24"/>
  <c r="K493" i="24"/>
  <c r="D493" i="24"/>
  <c r="I490" i="24"/>
  <c r="K485" i="24"/>
  <c r="I478" i="24"/>
  <c r="K476" i="24"/>
  <c r="K472" i="24"/>
  <c r="K471" i="24"/>
  <c r="K473" i="24" s="1"/>
  <c r="I468" i="24"/>
  <c r="I467" i="24"/>
  <c r="K462" i="24"/>
  <c r="I455" i="24"/>
  <c r="K453" i="24"/>
  <c r="K449" i="24"/>
  <c r="K450" i="24" s="1"/>
  <c r="K448" i="24"/>
  <c r="K439" i="24"/>
  <c r="I432" i="24"/>
  <c r="K430" i="24"/>
  <c r="K426" i="24"/>
  <c r="K425" i="24"/>
  <c r="K416" i="24"/>
  <c r="I409" i="24"/>
  <c r="K407" i="24"/>
  <c r="K403" i="24"/>
  <c r="K404" i="24" s="1"/>
  <c r="K402" i="24"/>
  <c r="K393" i="24"/>
  <c r="I385" i="24"/>
  <c r="K383" i="24"/>
  <c r="K378" i="24"/>
  <c r="K380" i="24" s="1"/>
  <c r="I375" i="24"/>
  <c r="I374" i="24"/>
  <c r="K369" i="24"/>
  <c r="I362" i="24"/>
  <c r="K360" i="24"/>
  <c r="K356" i="24"/>
  <c r="K355" i="24"/>
  <c r="K354" i="24"/>
  <c r="K353" i="24"/>
  <c r="K357" i="24" s="1"/>
  <c r="I350" i="24"/>
  <c r="I349" i="24"/>
  <c r="K344" i="24"/>
  <c r="I337" i="24"/>
  <c r="K335" i="24"/>
  <c r="K331" i="24"/>
  <c r="K330" i="24"/>
  <c r="K329" i="24"/>
  <c r="K328" i="24"/>
  <c r="I324" i="24"/>
  <c r="I325" i="24" s="1"/>
  <c r="K319" i="24"/>
  <c r="I312" i="24"/>
  <c r="K310" i="24"/>
  <c r="K306" i="24"/>
  <c r="K305" i="24"/>
  <c r="J300" i="24"/>
  <c r="J301" i="24" s="1"/>
  <c r="K301" i="24" s="1"/>
  <c r="J299" i="24"/>
  <c r="K299" i="24" s="1"/>
  <c r="B299" i="24"/>
  <c r="B300" i="24" s="1"/>
  <c r="B301" i="24" s="1"/>
  <c r="B302" i="24" s="1"/>
  <c r="B303" i="24" s="1"/>
  <c r="B304" i="24" s="1"/>
  <c r="B305" i="24" s="1"/>
  <c r="B306" i="24" s="1"/>
  <c r="K298" i="24"/>
  <c r="J298" i="24"/>
  <c r="K289" i="24"/>
  <c r="J289" i="24"/>
  <c r="I289" i="24"/>
  <c r="I282" i="24"/>
  <c r="K280" i="24"/>
  <c r="J275" i="24"/>
  <c r="J304" i="24" s="1"/>
  <c r="K304" i="24" s="1"/>
  <c r="J274" i="24"/>
  <c r="K273" i="24"/>
  <c r="J273" i="24"/>
  <c r="B273" i="24"/>
  <c r="B274" i="24" s="1"/>
  <c r="B275" i="24" s="1"/>
  <c r="B276" i="24" s="1"/>
  <c r="K272" i="24"/>
  <c r="J263" i="24"/>
  <c r="K263" i="24" s="1"/>
  <c r="I263" i="24"/>
  <c r="I256" i="24"/>
  <c r="K254" i="24"/>
  <c r="B250" i="24"/>
  <c r="K249" i="24"/>
  <c r="J249" i="24"/>
  <c r="B249" i="24"/>
  <c r="K248" i="24"/>
  <c r="K247" i="24"/>
  <c r="B247" i="24"/>
  <c r="B248" i="24" s="1"/>
  <c r="K246" i="24"/>
  <c r="B246" i="24"/>
  <c r="K245" i="24"/>
  <c r="I241" i="24"/>
  <c r="I242" i="24" s="1"/>
  <c r="J236" i="24"/>
  <c r="K236" i="24" s="1"/>
  <c r="I236" i="24"/>
  <c r="I229" i="24"/>
  <c r="K227" i="24"/>
  <c r="K225" i="24"/>
  <c r="K221" i="24"/>
  <c r="K220" i="24"/>
  <c r="K219" i="24"/>
  <c r="K218" i="24"/>
  <c r="K217" i="24"/>
  <c r="K216" i="24"/>
  <c r="K215" i="24"/>
  <c r="K214" i="24"/>
  <c r="K213" i="24"/>
  <c r="B213" i="24"/>
  <c r="B214" i="24" s="1"/>
  <c r="B215" i="24" s="1"/>
  <c r="B216" i="24" s="1"/>
  <c r="B217" i="24" s="1"/>
  <c r="B218" i="24" s="1"/>
  <c r="B219" i="24" s="1"/>
  <c r="B220" i="24" s="1"/>
  <c r="B221" i="24" s="1"/>
  <c r="K212" i="24"/>
  <c r="B212" i="24"/>
  <c r="K211" i="24"/>
  <c r="I208" i="24"/>
  <c r="I207" i="24"/>
  <c r="J202" i="24"/>
  <c r="K202" i="24" s="1"/>
  <c r="I202" i="24"/>
  <c r="I195" i="24"/>
  <c r="K191" i="24"/>
  <c r="K190" i="24"/>
  <c r="K188" i="24"/>
  <c r="J188" i="24"/>
  <c r="K187" i="24"/>
  <c r="K186" i="24"/>
  <c r="K192" i="24" s="1"/>
  <c r="I181" i="24"/>
  <c r="I182" i="24" s="1"/>
  <c r="K177" i="24"/>
  <c r="I170" i="24"/>
  <c r="K166" i="24"/>
  <c r="K165" i="24"/>
  <c r="J165" i="24"/>
  <c r="K164" i="24"/>
  <c r="J164" i="24"/>
  <c r="K163" i="24"/>
  <c r="J163" i="24"/>
  <c r="J189" i="24" s="1"/>
  <c r="K189" i="24" s="1"/>
  <c r="K162" i="24"/>
  <c r="K167" i="24" s="1"/>
  <c r="K161" i="24"/>
  <c r="D160" i="24"/>
  <c r="I156" i="24"/>
  <c r="I157" i="24" s="1"/>
  <c r="K152" i="24"/>
  <c r="I145" i="24"/>
  <c r="K140" i="24"/>
  <c r="K139" i="24"/>
  <c r="K138" i="24"/>
  <c r="K137" i="24"/>
  <c r="K136" i="24"/>
  <c r="K141" i="24" s="1"/>
  <c r="I133" i="24"/>
  <c r="I132" i="24"/>
  <c r="I124" i="24"/>
  <c r="K119" i="24"/>
  <c r="K120" i="24" s="1"/>
  <c r="I107" i="24"/>
  <c r="K102" i="24"/>
  <c r="I89" i="24"/>
  <c r="K84" i="24"/>
  <c r="I71" i="24"/>
  <c r="K66" i="24"/>
  <c r="J65" i="24"/>
  <c r="K65" i="24" s="1"/>
  <c r="K67" i="24" s="1"/>
  <c r="J59" i="24"/>
  <c r="J77" i="24" s="1"/>
  <c r="I53" i="24"/>
  <c r="K48" i="24"/>
  <c r="K47" i="24"/>
  <c r="K49" i="24" s="1"/>
  <c r="J47" i="24"/>
  <c r="J42" i="24"/>
  <c r="I35" i="24"/>
  <c r="K30" i="24"/>
  <c r="K29" i="24"/>
  <c r="J26" i="24"/>
  <c r="K26" i="24" s="1"/>
  <c r="K25" i="24"/>
  <c r="J25" i="24"/>
  <c r="J43" i="24" s="1"/>
  <c r="J61" i="24" s="1"/>
  <c r="J24" i="24"/>
  <c r="K24" i="24" s="1"/>
  <c r="K23" i="24"/>
  <c r="J23" i="24"/>
  <c r="J41" i="24" s="1"/>
  <c r="K41" i="24" s="1"/>
  <c r="I17" i="24"/>
  <c r="I13" i="24"/>
  <c r="K13" i="24" s="1"/>
  <c r="K12" i="24"/>
  <c r="K11" i="24"/>
  <c r="K16" i="24" s="1"/>
  <c r="K8" i="24"/>
  <c r="I160" i="23"/>
  <c r="I159" i="23"/>
  <c r="I158" i="23"/>
  <c r="I157" i="23"/>
  <c r="I155" i="23"/>
  <c r="H155" i="23"/>
  <c r="H156" i="23" s="1"/>
  <c r="I156" i="23" s="1"/>
  <c r="H154" i="23"/>
  <c r="I154" i="23" s="1"/>
  <c r="I153" i="23"/>
  <c r="I152" i="23"/>
  <c r="H152" i="23"/>
  <c r="H151" i="23"/>
  <c r="I151" i="23" s="1"/>
  <c r="I149" i="23"/>
  <c r="I161" i="23" s="1"/>
  <c r="I148" i="23"/>
  <c r="I146" i="23"/>
  <c r="I141" i="23"/>
  <c r="H141" i="23"/>
  <c r="I140" i="23"/>
  <c r="I136" i="23"/>
  <c r="H135" i="23"/>
  <c r="I135" i="23" s="1"/>
  <c r="I133" i="23"/>
  <c r="I131" i="23"/>
  <c r="E130" i="23"/>
  <c r="I129" i="23"/>
  <c r="I126" i="23"/>
  <c r="I125" i="23"/>
  <c r="I124" i="23"/>
  <c r="I123" i="23"/>
  <c r="H123" i="23"/>
  <c r="H122" i="23"/>
  <c r="I122" i="23" s="1"/>
  <c r="I121" i="23"/>
  <c r="H121" i="23"/>
  <c r="H120" i="23"/>
  <c r="E120" i="23"/>
  <c r="I119" i="23"/>
  <c r="I118" i="23"/>
  <c r="H117" i="23"/>
  <c r="I117" i="23" s="1"/>
  <c r="H116" i="23"/>
  <c r="I116" i="23" s="1"/>
  <c r="I113" i="23"/>
  <c r="H113" i="23"/>
  <c r="H112" i="23"/>
  <c r="I112" i="23" s="1"/>
  <c r="I111" i="23"/>
  <c r="H111" i="23"/>
  <c r="H138" i="23" s="1"/>
  <c r="I138" i="23" s="1"/>
  <c r="H110" i="23"/>
  <c r="I110" i="23" s="1"/>
  <c r="I108" i="23"/>
  <c r="I107" i="23"/>
  <c r="I106" i="23"/>
  <c r="I105" i="23"/>
  <c r="I104" i="23"/>
  <c r="I103" i="23"/>
  <c r="I102" i="23"/>
  <c r="I101" i="23"/>
  <c r="I100" i="23"/>
  <c r="I114" i="23" s="1"/>
  <c r="I97" i="23"/>
  <c r="I96" i="23"/>
  <c r="I95" i="23"/>
  <c r="E94" i="23"/>
  <c r="E93" i="23"/>
  <c r="I83" i="23"/>
  <c r="E83" i="23"/>
  <c r="I82" i="23"/>
  <c r="I81" i="23"/>
  <c r="I80" i="23"/>
  <c r="I79" i="23"/>
  <c r="I78" i="23"/>
  <c r="I77" i="23"/>
  <c r="I76" i="23"/>
  <c r="I75" i="23"/>
  <c r="I74" i="23"/>
  <c r="I73" i="23"/>
  <c r="I84" i="23" s="1"/>
  <c r="I72" i="23"/>
  <c r="I71" i="23"/>
  <c r="I70" i="23"/>
  <c r="E67" i="23"/>
  <c r="E59" i="23"/>
  <c r="E58" i="23"/>
  <c r="I57" i="23"/>
  <c r="H52" i="23"/>
  <c r="I52" i="23" s="1"/>
  <c r="H51" i="23"/>
  <c r="I51" i="23" s="1"/>
  <c r="I50" i="23"/>
  <c r="H50" i="23"/>
  <c r="H49" i="23"/>
  <c r="I49" i="23" s="1"/>
  <c r="I48" i="23"/>
  <c r="H48" i="23"/>
  <c r="H47" i="23"/>
  <c r="I47" i="23" s="1"/>
  <c r="H46" i="23"/>
  <c r="I46" i="23" s="1"/>
  <c r="H45" i="23"/>
  <c r="I45" i="23" s="1"/>
  <c r="H44" i="23"/>
  <c r="I44" i="23" s="1"/>
  <c r="H43" i="23"/>
  <c r="I43" i="23" s="1"/>
  <c r="I39" i="23"/>
  <c r="I38" i="23"/>
  <c r="H38" i="23"/>
  <c r="H37" i="23"/>
  <c r="I37" i="23" s="1"/>
  <c r="H36" i="23"/>
  <c r="I36" i="23" s="1"/>
  <c r="H35" i="23"/>
  <c r="I35" i="23" s="1"/>
  <c r="I32" i="23"/>
  <c r="H31" i="23"/>
  <c r="I31" i="23" s="1"/>
  <c r="I33" i="23" s="1"/>
  <c r="I28" i="23"/>
  <c r="H27" i="23"/>
  <c r="I27" i="23" s="1"/>
  <c r="I26" i="23"/>
  <c r="H26" i="23"/>
  <c r="H25" i="23"/>
  <c r="I25" i="23" s="1"/>
  <c r="H24" i="23"/>
  <c r="I24" i="23" s="1"/>
  <c r="I29" i="23" s="1"/>
  <c r="I21" i="23"/>
  <c r="I20" i="23"/>
  <c r="I15" i="23"/>
  <c r="I22" i="23" s="1"/>
  <c r="H15" i="23"/>
  <c r="I12" i="23"/>
  <c r="I13" i="23" s="1"/>
  <c r="H12" i="23"/>
  <c r="K61" i="24" l="1"/>
  <c r="J79" i="24"/>
  <c r="J95" i="24"/>
  <c r="K77" i="24"/>
  <c r="J302" i="24"/>
  <c r="K274" i="24"/>
  <c r="K17" i="24"/>
  <c r="K18" i="24" s="1"/>
  <c r="J60" i="24"/>
  <c r="K42" i="24"/>
  <c r="H130" i="23"/>
  <c r="I130" i="23" s="1"/>
  <c r="I120" i="23"/>
  <c r="I127" i="23" s="1"/>
  <c r="H139" i="23"/>
  <c r="I139" i="23" s="1"/>
  <c r="K43" i="24"/>
  <c r="K59" i="24"/>
  <c r="K223" i="24"/>
  <c r="K251" i="24"/>
  <c r="J250" i="24"/>
  <c r="K250" i="24" s="1"/>
  <c r="K300" i="24"/>
  <c r="A59" i="26"/>
  <c r="A60" i="26" s="1"/>
  <c r="A61" i="26"/>
  <c r="A62" i="26" s="1"/>
  <c r="A63" i="26" s="1"/>
  <c r="A64" i="26" s="1"/>
  <c r="A65" i="26" s="1"/>
  <c r="A66" i="26" s="1"/>
  <c r="A67" i="26" s="1"/>
  <c r="K27" i="24"/>
  <c r="J44" i="24"/>
  <c r="K275" i="24"/>
  <c r="K332" i="24"/>
  <c r="K975" i="24"/>
  <c r="J992" i="24"/>
  <c r="I1170" i="24"/>
  <c r="H137" i="23"/>
  <c r="I137" i="23" s="1"/>
  <c r="K31" i="24"/>
  <c r="J101" i="24"/>
  <c r="K101" i="24" s="1"/>
  <c r="K103" i="24" s="1"/>
  <c r="J83" i="24"/>
  <c r="K83" i="24" s="1"/>
  <c r="K85" i="24" s="1"/>
  <c r="J276" i="24"/>
  <c r="K276" i="24" s="1"/>
  <c r="J739" i="24" a="1"/>
  <c r="J739" i="24" s="1"/>
  <c r="K739" i="24" s="1"/>
  <c r="K740" i="24" s="1"/>
  <c r="K427" i="24"/>
  <c r="J922" i="24"/>
  <c r="K958" i="24"/>
  <c r="I1134" i="24"/>
  <c r="J789" i="24" a="1"/>
  <c r="J789" i="24" s="1"/>
  <c r="K789" i="24" s="1"/>
  <c r="K790" i="24" s="1"/>
  <c r="J814" i="24" a="1"/>
  <c r="J814" i="24" s="1"/>
  <c r="K814" i="24" s="1"/>
  <c r="K815" i="24"/>
  <c r="K907" i="24"/>
  <c r="K1193" i="24"/>
  <c r="K1265" i="24"/>
  <c r="K1337" i="24"/>
  <c r="H1434" i="24"/>
  <c r="J940" i="24" l="1"/>
  <c r="K940" i="24" s="1"/>
  <c r="K922" i="24"/>
  <c r="K34" i="24"/>
  <c r="K992" i="24"/>
  <c r="J1009" i="24"/>
  <c r="K277" i="24"/>
  <c r="J97" i="24"/>
  <c r="K79" i="24"/>
  <c r="J113" i="24"/>
  <c r="K113" i="24" s="1"/>
  <c r="K95" i="24"/>
  <c r="J130" i="24"/>
  <c r="J62" i="24"/>
  <c r="K44" i="24"/>
  <c r="K45" i="24" s="1"/>
  <c r="K52" i="24" s="1"/>
  <c r="J78" i="24"/>
  <c r="K60" i="24"/>
  <c r="K302" i="24"/>
  <c r="K307" i="24" s="1"/>
  <c r="J303" i="24"/>
  <c r="K303" i="24" s="1"/>
  <c r="K53" i="24" l="1"/>
  <c r="K54" i="24" s="1"/>
  <c r="H54" i="23" s="1"/>
  <c r="I54" i="23" s="1"/>
  <c r="J96" i="24"/>
  <c r="K78" i="24"/>
  <c r="K1009" i="24"/>
  <c r="J1027" i="24"/>
  <c r="J80" i="24"/>
  <c r="K62" i="24"/>
  <c r="K63" i="24" s="1"/>
  <c r="K70" i="24" s="1"/>
  <c r="J132" i="24"/>
  <c r="J115" i="24"/>
  <c r="K115" i="24" s="1"/>
  <c r="K97" i="24"/>
  <c r="K35" i="24"/>
  <c r="K36" i="24" s="1"/>
  <c r="H53" i="23" s="1"/>
  <c r="I53" i="23" s="1"/>
  <c r="K130" i="24"/>
  <c r="J154" i="24"/>
  <c r="K71" i="24" l="1"/>
  <c r="K72" i="24"/>
  <c r="J179" i="24"/>
  <c r="K179" i="24" s="1"/>
  <c r="J205" i="24"/>
  <c r="K154" i="24"/>
  <c r="J156" i="24"/>
  <c r="K132" i="24"/>
  <c r="J131" i="24"/>
  <c r="J114" i="24"/>
  <c r="K114" i="24" s="1"/>
  <c r="K96" i="24"/>
  <c r="J1044" i="24"/>
  <c r="K1027" i="24"/>
  <c r="J98" i="24"/>
  <c r="K80" i="24"/>
  <c r="K81" i="24" s="1"/>
  <c r="K88" i="24" s="1"/>
  <c r="K89" i="24" l="1"/>
  <c r="K90" i="24"/>
  <c r="K99" i="24"/>
  <c r="K106" i="24" s="1"/>
  <c r="J207" i="24"/>
  <c r="K156" i="24"/>
  <c r="J181" i="24"/>
  <c r="K181" i="24" s="1"/>
  <c r="K117" i="24"/>
  <c r="K123" i="24" s="1"/>
  <c r="K1044" i="24"/>
  <c r="J1061" i="24"/>
  <c r="J133" i="24"/>
  <c r="J116" i="24"/>
  <c r="K116" i="24" s="1"/>
  <c r="K98" i="24"/>
  <c r="J155" i="24"/>
  <c r="K131" i="24"/>
  <c r="J239" i="24"/>
  <c r="K205" i="24"/>
  <c r="K133" i="24" l="1"/>
  <c r="J157" i="24"/>
  <c r="K107" i="24"/>
  <c r="K108" i="24" s="1"/>
  <c r="H55" i="23" s="1"/>
  <c r="J1078" i="24"/>
  <c r="K1061" i="24"/>
  <c r="K134" i="24"/>
  <c r="K144" i="24" s="1"/>
  <c r="K124" i="24"/>
  <c r="K125" i="24" s="1"/>
  <c r="H93" i="23" s="1"/>
  <c r="I93" i="23" s="1"/>
  <c r="K155" i="24"/>
  <c r="J206" i="24"/>
  <c r="J180" i="24"/>
  <c r="K180" i="24" s="1"/>
  <c r="J266" i="24"/>
  <c r="K239" i="24"/>
  <c r="J241" i="24"/>
  <c r="K207" i="24"/>
  <c r="I55" i="23" l="1"/>
  <c r="H56" i="23"/>
  <c r="I56" i="23" s="1"/>
  <c r="K145" i="24"/>
  <c r="K146" i="24" s="1"/>
  <c r="J322" i="24"/>
  <c r="K322" i="24" s="1"/>
  <c r="J292" i="24"/>
  <c r="K266" i="24"/>
  <c r="J182" i="24"/>
  <c r="K182" i="24" s="1"/>
  <c r="J208" i="24"/>
  <c r="K157" i="24"/>
  <c r="J268" i="24"/>
  <c r="K241" i="24"/>
  <c r="J240" i="24"/>
  <c r="K206" i="24"/>
  <c r="K158" i="24"/>
  <c r="K169" i="24" s="1"/>
  <c r="K183" i="24"/>
  <c r="K194" i="24" s="1"/>
  <c r="J1096" i="24"/>
  <c r="K1078" i="24"/>
  <c r="H59" i="23" l="1"/>
  <c r="I59" i="23" s="1"/>
  <c r="H94" i="23"/>
  <c r="I94" i="23" s="1"/>
  <c r="K170" i="24"/>
  <c r="K171" i="24" s="1"/>
  <c r="H58" i="23" s="1"/>
  <c r="I58" i="23" s="1"/>
  <c r="I60" i="23" s="1"/>
  <c r="J324" i="24"/>
  <c r="K324" i="24" s="1"/>
  <c r="J294" i="24"/>
  <c r="K268" i="24"/>
  <c r="J347" i="24"/>
  <c r="K347" i="24" s="1"/>
  <c r="J372" i="24"/>
  <c r="K292" i="24"/>
  <c r="K240" i="24"/>
  <c r="J267" i="24"/>
  <c r="J242" i="24"/>
  <c r="K208" i="24"/>
  <c r="K209" i="24" s="1"/>
  <c r="K228" i="24" s="1"/>
  <c r="K229" i="24" s="1"/>
  <c r="K1096" i="24"/>
  <c r="J1114" i="24"/>
  <c r="K196" i="24"/>
  <c r="K195" i="24"/>
  <c r="J374" i="24" l="1"/>
  <c r="J349" i="24"/>
  <c r="K349" i="24" s="1"/>
  <c r="K294" i="24"/>
  <c r="J293" i="24"/>
  <c r="J323" i="24"/>
  <c r="K323" i="24" s="1"/>
  <c r="K267" i="24"/>
  <c r="J1132" i="24"/>
  <c r="K1114" i="24"/>
  <c r="K243" i="24"/>
  <c r="K255" i="24" s="1"/>
  <c r="K256" i="24" s="1"/>
  <c r="J269" i="24"/>
  <c r="K242" i="24"/>
  <c r="K372" i="24"/>
  <c r="J396" i="24"/>
  <c r="J398" i="24" l="1"/>
  <c r="K374" i="24"/>
  <c r="J348" i="24"/>
  <c r="K348" i="24" s="1"/>
  <c r="J373" i="24"/>
  <c r="K293" i="24"/>
  <c r="J295" i="24"/>
  <c r="K269" i="24"/>
  <c r="K270" i="24" s="1"/>
  <c r="K281" i="24" s="1"/>
  <c r="K282" i="24" s="1"/>
  <c r="J325" i="24"/>
  <c r="K325" i="24" s="1"/>
  <c r="J419" i="24"/>
  <c r="K396" i="24"/>
  <c r="K326" i="24"/>
  <c r="K336" i="24" s="1"/>
  <c r="K337" i="24" s="1"/>
  <c r="K1132" i="24"/>
  <c r="J1150" i="24"/>
  <c r="J1168" i="24" l="1"/>
  <c r="K1150" i="24"/>
  <c r="J350" i="24"/>
  <c r="K350" i="24" s="1"/>
  <c r="K351" i="24" s="1"/>
  <c r="K361" i="24" s="1"/>
  <c r="K362" i="24" s="1"/>
  <c r="J375" i="24"/>
  <c r="K295" i="24"/>
  <c r="K296" i="24" s="1"/>
  <c r="K311" i="24" s="1"/>
  <c r="K312" i="24" s="1"/>
  <c r="J442" i="24"/>
  <c r="K419" i="24"/>
  <c r="J421" i="24"/>
  <c r="K398" i="24"/>
  <c r="K373" i="24"/>
  <c r="J397" i="24"/>
  <c r="K397" i="24" l="1"/>
  <c r="J420" i="24"/>
  <c r="K421" i="24"/>
  <c r="J444" i="24"/>
  <c r="K1168" i="24"/>
  <c r="J1186" i="24"/>
  <c r="J465" i="24"/>
  <c r="K442" i="24"/>
  <c r="K375" i="24"/>
  <c r="K376" i="24" s="1"/>
  <c r="K384" i="24" s="1"/>
  <c r="K385" i="24" s="1"/>
  <c r="J399" i="24"/>
  <c r="K399" i="24" l="1"/>
  <c r="J422" i="24"/>
  <c r="J636" i="24"/>
  <c r="K465" i="24"/>
  <c r="J488" i="24"/>
  <c r="J1204" i="24"/>
  <c r="K1186" i="24"/>
  <c r="K420" i="24"/>
  <c r="J443" i="24"/>
  <c r="K400" i="24"/>
  <c r="K408" i="24" s="1"/>
  <c r="K409" i="24" s="1"/>
  <c r="K444" i="24"/>
  <c r="J467" i="24"/>
  <c r="K422" i="24" l="1"/>
  <c r="J445" i="24"/>
  <c r="K423" i="24"/>
  <c r="K431" i="24" s="1"/>
  <c r="J660" i="24"/>
  <c r="K636" i="24"/>
  <c r="J1222" i="24"/>
  <c r="K1204" i="24"/>
  <c r="J490" i="24"/>
  <c r="K490" i="24" s="1"/>
  <c r="J638" i="24"/>
  <c r="K467" i="24"/>
  <c r="K443" i="24"/>
  <c r="J466" i="24"/>
  <c r="J510" i="24"/>
  <c r="K488" i="24"/>
  <c r="K432" i="24" l="1"/>
  <c r="K433" i="24"/>
  <c r="H134" i="23" s="1"/>
  <c r="I134" i="23" s="1"/>
  <c r="I142" i="23" s="1"/>
  <c r="J1240" i="24"/>
  <c r="K1222" i="24"/>
  <c r="J468" i="24"/>
  <c r="K445" i="24"/>
  <c r="K446" i="24" s="1"/>
  <c r="K454" i="24" s="1"/>
  <c r="K455" i="24" s="1"/>
  <c r="J531" i="24"/>
  <c r="K510" i="24"/>
  <c r="K638" i="24"/>
  <c r="J662" i="24"/>
  <c r="J637" i="24"/>
  <c r="J489" i="24"/>
  <c r="K466" i="24"/>
  <c r="K660" i="24"/>
  <c r="J683" i="24"/>
  <c r="K468" i="24" l="1"/>
  <c r="K469" i="24" s="1"/>
  <c r="K477" i="24" s="1"/>
  <c r="K478" i="24" s="1"/>
  <c r="J639" i="24"/>
  <c r="K1240" i="24"/>
  <c r="J1258" i="24"/>
  <c r="K489" i="24"/>
  <c r="K491" i="24" s="1"/>
  <c r="K498" i="24" s="1"/>
  <c r="K499" i="24" s="1"/>
  <c r="J511" i="24"/>
  <c r="J706" i="24"/>
  <c r="K683" i="24"/>
  <c r="K637" i="24"/>
  <c r="J661" i="24"/>
  <c r="J573" i="24"/>
  <c r="J552" i="24"/>
  <c r="K531" i="24"/>
  <c r="K662" i="24"/>
  <c r="J685" i="24"/>
  <c r="J684" i="24" l="1"/>
  <c r="K661" i="24"/>
  <c r="J708" i="24"/>
  <c r="K685" i="24"/>
  <c r="J532" i="24"/>
  <c r="K511" i="24"/>
  <c r="K513" i="24" s="1"/>
  <c r="K520" i="24" s="1"/>
  <c r="K521" i="24" s="1"/>
  <c r="J663" i="24"/>
  <c r="K639" i="24"/>
  <c r="K640" i="24" s="1"/>
  <c r="K648" i="24" s="1"/>
  <c r="K649" i="24" s="1"/>
  <c r="K552" i="24"/>
  <c r="J594" i="24"/>
  <c r="K594" i="24" s="1"/>
  <c r="K573" i="24"/>
  <c r="J615" i="24"/>
  <c r="K615" i="24" s="1"/>
  <c r="J854" i="24"/>
  <c r="K706" i="24"/>
  <c r="J730" i="24"/>
  <c r="J1276" i="24"/>
  <c r="K1258" i="24"/>
  <c r="J957" i="24" l="1"/>
  <c r="J897" i="24"/>
  <c r="K897" i="24" s="1"/>
  <c r="K854" i="24"/>
  <c r="J574" i="24"/>
  <c r="J553" i="24"/>
  <c r="K532" i="24"/>
  <c r="K534" i="24" s="1"/>
  <c r="K541" i="24" s="1"/>
  <c r="K542" i="24" s="1"/>
  <c r="J831" i="24"/>
  <c r="K831" i="24" s="1"/>
  <c r="J856" i="24"/>
  <c r="K708" i="24"/>
  <c r="J732" i="24"/>
  <c r="J755" i="24"/>
  <c r="K730" i="24"/>
  <c r="J686" i="24"/>
  <c r="K663" i="24"/>
  <c r="K664" i="24" s="1"/>
  <c r="K672" i="24" s="1"/>
  <c r="K673" i="24" s="1"/>
  <c r="J1294" i="24"/>
  <c r="K1276" i="24"/>
  <c r="J707" i="24"/>
  <c r="K684" i="24"/>
  <c r="J855" i="24" l="1"/>
  <c r="J830" i="24"/>
  <c r="K830" i="24" s="1"/>
  <c r="J731" i="24"/>
  <c r="K707" i="24"/>
  <c r="J709" i="24"/>
  <c r="K686" i="24"/>
  <c r="K687" i="24"/>
  <c r="K695" i="24" s="1"/>
  <c r="K696" i="24" s="1"/>
  <c r="J780" i="24"/>
  <c r="K755" i="24"/>
  <c r="J616" i="24"/>
  <c r="K616" i="24" s="1"/>
  <c r="K618" i="24" s="1"/>
  <c r="K625" i="24" s="1"/>
  <c r="K626" i="24" s="1"/>
  <c r="K574" i="24"/>
  <c r="K576" i="24" s="1"/>
  <c r="K583" i="24" s="1"/>
  <c r="K584" i="24" s="1"/>
  <c r="J1312" i="24"/>
  <c r="K1294" i="24"/>
  <c r="J757" i="24"/>
  <c r="K732" i="24"/>
  <c r="J959" i="24"/>
  <c r="J899" i="24"/>
  <c r="K899" i="24" s="1"/>
  <c r="K856" i="24"/>
  <c r="K553" i="24"/>
  <c r="K555" i="24" s="1"/>
  <c r="K562" i="24" s="1"/>
  <c r="K563" i="24" s="1"/>
  <c r="J595" i="24"/>
  <c r="K595" i="24" s="1"/>
  <c r="K597" i="24" s="1"/>
  <c r="K604" i="24" s="1"/>
  <c r="K605" i="24" s="1"/>
  <c r="J921" i="24"/>
  <c r="K957" i="24"/>
  <c r="J974" i="24"/>
  <c r="K731" i="24" l="1"/>
  <c r="J756" i="24"/>
  <c r="K974" i="24"/>
  <c r="J991" i="24"/>
  <c r="J939" i="24"/>
  <c r="K939" i="24" s="1"/>
  <c r="K921" i="24"/>
  <c r="J976" i="24"/>
  <c r="J923" i="24"/>
  <c r="K959" i="24"/>
  <c r="K757" i="24"/>
  <c r="J782" i="24"/>
  <c r="K1312" i="24"/>
  <c r="J1330" i="24"/>
  <c r="J805" i="24"/>
  <c r="K805" i="24" s="1"/>
  <c r="K780" i="24"/>
  <c r="J833" i="24"/>
  <c r="K833" i="24" s="1"/>
  <c r="J857" i="24"/>
  <c r="J832" i="24"/>
  <c r="K832" i="24" s="1"/>
  <c r="K835" i="24" s="1"/>
  <c r="K843" i="24" s="1"/>
  <c r="K709" i="24"/>
  <c r="K711" i="24" s="1"/>
  <c r="K719" i="24" s="1"/>
  <c r="J733" i="24"/>
  <c r="J898" i="24"/>
  <c r="K898" i="24" s="1"/>
  <c r="K901" i="24" s="1"/>
  <c r="K911" i="24" s="1"/>
  <c r="K912" i="24" s="1"/>
  <c r="K855" i="24"/>
  <c r="K720" i="24" l="1"/>
  <c r="K721" i="24" s="1"/>
  <c r="H40" i="23" s="1"/>
  <c r="I40" i="23" s="1"/>
  <c r="I41" i="23" s="1"/>
  <c r="K844" i="24"/>
  <c r="K845" i="24" s="1"/>
  <c r="K733" i="24"/>
  <c r="J758" i="24"/>
  <c r="K735" i="24"/>
  <c r="K744" i="24" s="1"/>
  <c r="J781" i="24"/>
  <c r="K756" i="24"/>
  <c r="K859" i="24"/>
  <c r="K867" i="24" s="1"/>
  <c r="J941" i="24"/>
  <c r="K941" i="24" s="1"/>
  <c r="K923" i="24"/>
  <c r="K857" i="24"/>
  <c r="J960" i="24"/>
  <c r="J1348" i="24"/>
  <c r="K1330" i="24"/>
  <c r="J807" i="24"/>
  <c r="K807" i="24" s="1"/>
  <c r="K782" i="24"/>
  <c r="J993" i="24"/>
  <c r="K976" i="24"/>
  <c r="K991" i="24"/>
  <c r="J1008" i="24"/>
  <c r="K868" i="24" l="1"/>
  <c r="K869" i="24" s="1"/>
  <c r="J783" i="24"/>
  <c r="K758" i="24"/>
  <c r="K760" i="24" s="1"/>
  <c r="K769" i="24" s="1"/>
  <c r="J1010" i="24"/>
  <c r="K993" i="24"/>
  <c r="K1348" i="24"/>
  <c r="J1366" i="24"/>
  <c r="K1366" i="24" s="1"/>
  <c r="K1008" i="24"/>
  <c r="J1026" i="24"/>
  <c r="J924" i="24"/>
  <c r="K960" i="24"/>
  <c r="K961" i="24" s="1"/>
  <c r="K967" i="24" s="1"/>
  <c r="K968" i="24" s="1"/>
  <c r="J977" i="24"/>
  <c r="J806" i="24"/>
  <c r="K806" i="24" s="1"/>
  <c r="K781" i="24"/>
  <c r="K745" i="24"/>
  <c r="K746" i="24" s="1"/>
  <c r="H89" i="23" s="1"/>
  <c r="I89" i="23" s="1"/>
  <c r="K770" i="24" l="1"/>
  <c r="K771" i="24" s="1"/>
  <c r="H90" i="23" s="1"/>
  <c r="I90" i="23" s="1"/>
  <c r="K977" i="24"/>
  <c r="K978" i="24" s="1"/>
  <c r="K984" i="24" s="1"/>
  <c r="K985" i="24" s="1"/>
  <c r="J994" i="24"/>
  <c r="J942" i="24"/>
  <c r="K942" i="24" s="1"/>
  <c r="K943" i="24" s="1"/>
  <c r="K950" i="24" s="1"/>
  <c r="K951" i="24" s="1"/>
  <c r="K924" i="24"/>
  <c r="K925" i="24" s="1"/>
  <c r="K932" i="24" s="1"/>
  <c r="K933" i="24" s="1"/>
  <c r="K783" i="24"/>
  <c r="K785" i="24" s="1"/>
  <c r="K794" i="24" s="1"/>
  <c r="J808" i="24"/>
  <c r="K808" i="24" s="1"/>
  <c r="K810" i="24" s="1"/>
  <c r="K819" i="24" s="1"/>
  <c r="J1028" i="24"/>
  <c r="K1010" i="24"/>
  <c r="J1043" i="24"/>
  <c r="K1026" i="24"/>
  <c r="K821" i="24" l="1"/>
  <c r="H92" i="23" s="1"/>
  <c r="I92" i="23" s="1"/>
  <c r="K820" i="24"/>
  <c r="K795" i="24"/>
  <c r="K796" i="24" s="1"/>
  <c r="H91" i="23" s="1"/>
  <c r="I91" i="23" s="1"/>
  <c r="I98" i="23" s="1"/>
  <c r="J1060" i="24"/>
  <c r="K1043" i="24"/>
  <c r="J1045" i="24"/>
  <c r="K1028" i="24"/>
  <c r="K994" i="24"/>
  <c r="K995" i="24" s="1"/>
  <c r="K1001" i="24" s="1"/>
  <c r="K1002" i="24" s="1"/>
  <c r="J1011" i="24"/>
  <c r="K1011" i="24" l="1"/>
  <c r="K1012" i="24" s="1"/>
  <c r="K1018" i="24" s="1"/>
  <c r="K1019" i="24" s="1"/>
  <c r="J1029" i="24"/>
  <c r="K1060" i="24"/>
  <c r="J1077" i="24"/>
  <c r="J1062" i="24"/>
  <c r="K1045" i="24"/>
  <c r="J1079" i="24" l="1"/>
  <c r="K1062" i="24"/>
  <c r="J1046" i="24"/>
  <c r="K1029" i="24"/>
  <c r="K1030" i="24" s="1"/>
  <c r="K1036" i="24" s="1"/>
  <c r="K1037" i="24" s="1"/>
  <c r="K1077" i="24"/>
  <c r="J1095" i="24"/>
  <c r="K1095" i="24" l="1"/>
  <c r="J1113" i="24"/>
  <c r="J1097" i="24"/>
  <c r="K1079" i="24"/>
  <c r="K1046" i="24"/>
  <c r="K1047" i="24" s="1"/>
  <c r="K1053" i="24" s="1"/>
  <c r="K1054" i="24" s="1"/>
  <c r="J1063" i="24"/>
  <c r="K1063" i="24" l="1"/>
  <c r="K1064" i="24" s="1"/>
  <c r="K1070" i="24" s="1"/>
  <c r="K1071" i="24" s="1"/>
  <c r="J1080" i="24"/>
  <c r="J1131" i="24"/>
  <c r="K1113" i="24"/>
  <c r="J1115" i="24"/>
  <c r="K1097" i="24"/>
  <c r="J1149" i="24" l="1"/>
  <c r="K1131" i="24"/>
  <c r="J1133" i="24"/>
  <c r="K1115" i="24"/>
  <c r="K1080" i="24"/>
  <c r="K1081" i="24" s="1"/>
  <c r="K1088" i="24" s="1"/>
  <c r="K1089" i="24" s="1"/>
  <c r="J1098" i="24"/>
  <c r="J1151" i="24" l="1"/>
  <c r="K1133" i="24"/>
  <c r="J1116" i="24"/>
  <c r="K1098" i="24"/>
  <c r="K1099" i="24" s="1"/>
  <c r="K1106" i="24" s="1"/>
  <c r="K1107" i="24" s="1"/>
  <c r="J1167" i="24"/>
  <c r="K1149" i="24"/>
  <c r="J1185" i="24" l="1"/>
  <c r="K1167" i="24"/>
  <c r="J1169" i="24"/>
  <c r="K1151" i="24"/>
  <c r="J1134" i="24"/>
  <c r="K1116" i="24"/>
  <c r="K1117" i="24" s="1"/>
  <c r="K1124" i="24" s="1"/>
  <c r="K1125" i="24" s="1"/>
  <c r="J1152" i="24" l="1"/>
  <c r="K1134" i="24"/>
  <c r="K1135" i="24" s="1"/>
  <c r="K1142" i="24" s="1"/>
  <c r="K1143" i="24" s="1"/>
  <c r="J1203" i="24"/>
  <c r="K1185" i="24"/>
  <c r="J1187" i="24"/>
  <c r="K1169" i="24"/>
  <c r="J1170" i="24" l="1"/>
  <c r="K1152" i="24"/>
  <c r="K1153" i="24" s="1"/>
  <c r="K1160" i="24" s="1"/>
  <c r="K1161" i="24" s="1"/>
  <c r="J1205" i="24"/>
  <c r="K1187" i="24"/>
  <c r="J1221" i="24"/>
  <c r="K1203" i="24"/>
  <c r="J1223" i="24" l="1"/>
  <c r="K1205" i="24"/>
  <c r="J1239" i="24"/>
  <c r="K1221" i="24"/>
  <c r="J1188" i="24"/>
  <c r="K1170" i="24"/>
  <c r="K1171" i="24" s="1"/>
  <c r="K1178" i="24" s="1"/>
  <c r="K1179" i="24" s="1"/>
  <c r="J1257" i="24" l="1"/>
  <c r="K1239" i="24"/>
  <c r="J1206" i="24"/>
  <c r="K1188" i="24"/>
  <c r="K1189" i="24" s="1"/>
  <c r="K1196" i="24" s="1"/>
  <c r="K1197" i="24" s="1"/>
  <c r="J1241" i="24"/>
  <c r="K1223" i="24"/>
  <c r="J1224" i="24" l="1"/>
  <c r="K1206" i="24"/>
  <c r="K1207" i="24" s="1"/>
  <c r="K1214" i="24" s="1"/>
  <c r="K1215" i="24" s="1"/>
  <c r="J1259" i="24"/>
  <c r="K1241" i="24"/>
  <c r="J1275" i="24"/>
  <c r="K1257" i="24"/>
  <c r="J1277" i="24" l="1"/>
  <c r="K1259" i="24"/>
  <c r="J1293" i="24"/>
  <c r="K1275" i="24"/>
  <c r="J1242" i="24"/>
  <c r="K1224" i="24"/>
  <c r="K1225" i="24" s="1"/>
  <c r="K1232" i="24" s="1"/>
  <c r="K1233" i="24" s="1"/>
  <c r="J1295" i="24" l="1"/>
  <c r="K1277" i="24"/>
  <c r="J1260" i="24"/>
  <c r="K1242" i="24"/>
  <c r="K1243" i="24" s="1"/>
  <c r="K1250" i="24" s="1"/>
  <c r="K1251" i="24" s="1"/>
  <c r="J1311" i="24"/>
  <c r="K1293" i="24"/>
  <c r="J1278" i="24" l="1"/>
  <c r="K1260" i="24"/>
  <c r="K1261" i="24" s="1"/>
  <c r="K1268" i="24" s="1"/>
  <c r="K1269" i="24" s="1"/>
  <c r="J1313" i="24"/>
  <c r="K1295" i="24"/>
  <c r="J1329" i="24"/>
  <c r="K1311" i="24"/>
  <c r="J1331" i="24" l="1"/>
  <c r="K1313" i="24"/>
  <c r="J1347" i="24"/>
  <c r="K1329" i="24"/>
  <c r="J1296" i="24"/>
  <c r="K1278" i="24"/>
  <c r="K1279" i="24" s="1"/>
  <c r="K1286" i="24" s="1"/>
  <c r="K1287" i="24" s="1"/>
  <c r="J1314" i="24" l="1"/>
  <c r="K1296" i="24"/>
  <c r="K1297" i="24" s="1"/>
  <c r="K1304" i="24" s="1"/>
  <c r="K1305" i="24" s="1"/>
  <c r="J1349" i="24"/>
  <c r="K1331" i="24"/>
  <c r="J1365" i="24"/>
  <c r="K1347" i="24"/>
  <c r="H1394" i="24" l="1"/>
  <c r="K1365" i="24"/>
  <c r="J1332" i="24"/>
  <c r="K1314" i="24"/>
  <c r="K1315" i="24" s="1"/>
  <c r="K1322" i="24" s="1"/>
  <c r="K1323" i="24" s="1"/>
  <c r="J1367" i="24"/>
  <c r="K1367" i="24" s="1"/>
  <c r="K1349" i="24"/>
  <c r="J1350" i="24" l="1"/>
  <c r="K1332" i="24"/>
  <c r="K1333" i="24" s="1"/>
  <c r="K1340" i="24" s="1"/>
  <c r="K1341" i="24" s="1"/>
  <c r="H1404" i="24"/>
  <c r="I1394" i="24"/>
  <c r="I1395" i="24" s="1"/>
  <c r="K1350" i="24" l="1"/>
  <c r="K1351" i="24" s="1"/>
  <c r="K1358" i="24" s="1"/>
  <c r="K1359" i="24" s="1"/>
  <c r="J1368" i="24"/>
  <c r="K1368" i="24" s="1"/>
  <c r="K1369" i="24" s="1"/>
  <c r="K1380" i="24" s="1"/>
  <c r="K1381" i="24" s="1"/>
  <c r="I1404" i="24"/>
  <c r="I1405" i="24" s="1"/>
  <c r="H1414" i="24"/>
  <c r="I1414" i="24" s="1"/>
  <c r="I1415" i="24" s="1"/>
  <c r="H1423" i="24"/>
  <c r="I1397" i="24"/>
  <c r="H1396" i="24"/>
  <c r="J1396" i="24" s="1"/>
  <c r="J1397" i="24" s="1"/>
  <c r="I1417" i="24" l="1"/>
  <c r="H1416" i="24"/>
  <c r="J1416" i="24" s="1"/>
  <c r="J1417" i="24" s="1"/>
  <c r="I1407" i="24"/>
  <c r="H1406" i="24"/>
  <c r="J1406" i="24" s="1"/>
  <c r="J1407" i="24" s="1"/>
  <c r="K1391" i="24"/>
  <c r="H65" i="23" s="1"/>
  <c r="I65" i="23" s="1"/>
  <c r="H1440" i="24"/>
  <c r="I1423" i="24"/>
  <c r="I1424" i="24" s="1"/>
  <c r="I1426" i="24" l="1"/>
  <c r="H1425" i="24"/>
  <c r="J1425" i="24" s="1"/>
  <c r="J1426" i="24" s="1"/>
  <c r="K1419" i="24" s="1"/>
  <c r="K1399" i="24"/>
  <c r="H67" i="23" s="1"/>
  <c r="I67" i="23" s="1"/>
  <c r="I1440" i="24"/>
  <c r="H1449" i="24"/>
  <c r="I1449" i="24" s="1"/>
  <c r="I1450" i="24" s="1"/>
  <c r="K1409" i="24"/>
  <c r="H66" i="23" s="1"/>
  <c r="I66" i="23" s="1"/>
  <c r="I1441" i="24" l="1"/>
  <c r="K1438" i="24" s="1"/>
  <c r="H64" i="23" s="1"/>
  <c r="I64" i="23" s="1"/>
  <c r="I1443" i="24"/>
  <c r="I1452" i="24"/>
  <c r="H1451" i="24"/>
  <c r="J1451" i="24" s="1"/>
  <c r="J1452" i="24" s="1"/>
  <c r="K1445" i="24" s="1"/>
  <c r="H63" i="23" s="1"/>
  <c r="I63" i="23" s="1"/>
  <c r="I68" i="23" s="1"/>
  <c r="I163" i="23" s="1"/>
  <c r="J12233" i="4" l="1"/>
  <c r="I12224" i="4"/>
  <c r="J12224" i="4" s="1"/>
  <c r="I12223" i="4"/>
  <c r="J12223" i="4" s="1"/>
  <c r="I12222" i="4"/>
  <c r="I12221" i="4"/>
  <c r="J12221" i="4" s="1"/>
  <c r="D710" i="8"/>
  <c r="J12232" i="4"/>
  <c r="J12231" i="4"/>
  <c r="J12230" i="4"/>
  <c r="J12229" i="4"/>
  <c r="J12228" i="4"/>
  <c r="J12227" i="4"/>
  <c r="I12182" i="4"/>
  <c r="J12182" i="4" s="1"/>
  <c r="I12190" i="4"/>
  <c r="I12188" i="4"/>
  <c r="J12234" i="4" l="1"/>
  <c r="G147" i="11"/>
  <c r="E146" i="11"/>
  <c r="G146" i="11"/>
  <c r="E147" i="11"/>
  <c r="E148" i="11"/>
  <c r="E72" i="15"/>
  <c r="I72" i="15" s="1"/>
  <c r="E71" i="15"/>
  <c r="I71" i="15" s="1"/>
  <c r="I70" i="15"/>
  <c r="E98" i="15"/>
  <c r="E97" i="15"/>
  <c r="E96" i="15"/>
  <c r="D709" i="8"/>
  <c r="I12201" i="4"/>
  <c r="J12209" i="4"/>
  <c r="J12204" i="4"/>
  <c r="D707" i="8"/>
  <c r="J12165" i="4"/>
  <c r="J12160" i="4"/>
  <c r="D706" i="8"/>
  <c r="J12139" i="4"/>
  <c r="J12144" i="4"/>
  <c r="E88" i="15"/>
  <c r="E87" i="15"/>
  <c r="A88" i="15"/>
  <c r="A89" i="15" s="1"/>
  <c r="A90" i="15" s="1"/>
  <c r="A91" i="15" s="1"/>
  <c r="A92" i="15" s="1"/>
  <c r="A93" i="15" s="1"/>
  <c r="A94" i="15" s="1"/>
  <c r="A95" i="15" s="1"/>
  <c r="E133" i="11"/>
  <c r="Q127" i="11"/>
  <c r="Q128" i="11" s="1"/>
  <c r="N253" i="9"/>
  <c r="N252" i="9"/>
  <c r="J335" i="4"/>
  <c r="E89" i="15" l="1"/>
  <c r="I89" i="15" s="1"/>
  <c r="C106" i="14"/>
  <c r="C105" i="14"/>
  <c r="C99" i="14"/>
  <c r="C98" i="14"/>
  <c r="C38" i="14"/>
  <c r="C37" i="14"/>
  <c r="C39" i="14"/>
  <c r="C16" i="14"/>
  <c r="C18" i="14"/>
  <c r="C17" i="14"/>
  <c r="F7" i="14"/>
  <c r="F8" i="14"/>
  <c r="F9" i="14"/>
  <c r="F10" i="14"/>
  <c r="F11" i="14"/>
  <c r="C12" i="14"/>
  <c r="F12" i="14" s="1"/>
  <c r="C6" i="14" l="1"/>
  <c r="F6" i="14" s="1"/>
  <c r="C5" i="14"/>
  <c r="F5" i="14" s="1"/>
  <c r="F13" i="14" l="1"/>
  <c r="F401" i="8" s="1"/>
  <c r="G93" i="15"/>
  <c r="G92" i="15"/>
  <c r="C28" i="14"/>
  <c r="C27" i="14"/>
  <c r="F33" i="14"/>
  <c r="F32" i="14"/>
  <c r="F31" i="14"/>
  <c r="F30" i="14"/>
  <c r="Q2381" i="4"/>
  <c r="E30" i="15"/>
  <c r="D118" i="13"/>
  <c r="I118" i="13" s="1"/>
  <c r="D117" i="13"/>
  <c r="I117" i="13" s="1"/>
  <c r="G24" i="15"/>
  <c r="E24" i="15"/>
  <c r="E23" i="15" s="1"/>
  <c r="A76" i="15"/>
  <c r="A77" i="15" s="1"/>
  <c r="A78" i="15" s="1"/>
  <c r="A79" i="15" s="1"/>
  <c r="A56" i="15"/>
  <c r="A57" i="15" s="1"/>
  <c r="A58" i="15" s="1"/>
  <c r="A59" i="15" s="1"/>
  <c r="A60" i="15" s="1"/>
  <c r="A61" i="15" s="1"/>
  <c r="A62" i="15" s="1"/>
  <c r="A63" i="15" s="1"/>
  <c r="A50" i="15"/>
  <c r="A51" i="15" s="1"/>
  <c r="A52" i="15" s="1"/>
  <c r="A43" i="15"/>
  <c r="A44" i="15" s="1"/>
  <c r="A45" i="15" s="1"/>
  <c r="A46" i="15" s="1"/>
  <c r="A34" i="15"/>
  <c r="A36" i="15" s="1"/>
  <c r="A37" i="15" s="1"/>
  <c r="A38" i="15" s="1"/>
  <c r="A39" i="15" s="1"/>
  <c r="A24" i="15"/>
  <c r="E27" i="16" l="1"/>
  <c r="F27" i="14"/>
  <c r="E29" i="15"/>
  <c r="A35" i="15"/>
  <c r="G119" i="11"/>
  <c r="A118" i="11"/>
  <c r="A119" i="11" s="1"/>
  <c r="A120" i="11" s="1"/>
  <c r="A121" i="11" s="1"/>
  <c r="G117" i="11"/>
  <c r="J578" i="22"/>
  <c r="J577" i="22"/>
  <c r="J582" i="22" s="1"/>
  <c r="T573" i="22"/>
  <c r="V572" i="22" s="1"/>
  <c r="E122" i="11" s="1"/>
  <c r="E120" i="11"/>
  <c r="E119" i="11"/>
  <c r="E117" i="11"/>
  <c r="E118" i="11" s="1"/>
  <c r="G94" i="11"/>
  <c r="A95" i="11"/>
  <c r="A96" i="11" s="1"/>
  <c r="A97" i="11" s="1"/>
  <c r="A98" i="11" s="1"/>
  <c r="T470" i="22"/>
  <c r="T364" i="22"/>
  <c r="L577" i="22" l="1"/>
  <c r="L578" i="22" s="1"/>
  <c r="V469" i="22"/>
  <c r="G105" i="11"/>
  <c r="G104" i="11"/>
  <c r="G112" i="11" s="1"/>
  <c r="J558" i="22"/>
  <c r="L544" i="22"/>
  <c r="J473" i="22"/>
  <c r="J471" i="22" s="1"/>
  <c r="T471" i="22" s="1"/>
  <c r="T578" i="22" l="1"/>
  <c r="V576" i="22" s="1"/>
  <c r="E123" i="11" s="1"/>
  <c r="L582" i="22"/>
  <c r="T582" i="22" s="1"/>
  <c r="V581" i="22" s="1"/>
  <c r="V563" i="22"/>
  <c r="N562" i="22"/>
  <c r="T561" i="22"/>
  <c r="V561" i="22" s="1"/>
  <c r="T560" i="22"/>
  <c r="V560" i="22" s="1"/>
  <c r="G559" i="22"/>
  <c r="G560" i="22" s="1"/>
  <c r="G561" i="22" s="1"/>
  <c r="G562" i="22" s="1"/>
  <c r="G563" i="22" s="1"/>
  <c r="J562" i="22"/>
  <c r="T562" i="22" s="1"/>
  <c r="V562" i="22" s="1"/>
  <c r="L548" i="22"/>
  <c r="L553" i="22" s="1"/>
  <c r="J548" i="22"/>
  <c r="J553" i="22" s="1"/>
  <c r="T544" i="22"/>
  <c r="V543" i="22" s="1"/>
  <c r="N537" i="22"/>
  <c r="J534" i="22"/>
  <c r="R530" i="22"/>
  <c r="N517" i="22"/>
  <c r="L517" i="22"/>
  <c r="J514" i="22"/>
  <c r="P510" i="22"/>
  <c r="P514" i="22" s="1"/>
  <c r="P517" i="22" s="1"/>
  <c r="J510" i="22"/>
  <c r="T506" i="22"/>
  <c r="V505" i="22" s="1"/>
  <c r="N499" i="22"/>
  <c r="J496" i="22"/>
  <c r="R492" i="22"/>
  <c r="L478" i="22"/>
  <c r="L476" i="22"/>
  <c r="J487" i="22"/>
  <c r="J409" i="22"/>
  <c r="N412" i="22"/>
  <c r="L412" i="22"/>
  <c r="P405" i="22"/>
  <c r="P409" i="22" s="1"/>
  <c r="P412" i="22" s="1"/>
  <c r="J405" i="22"/>
  <c r="T401" i="22"/>
  <c r="V400" i="22" s="1"/>
  <c r="E103" i="11" s="1"/>
  <c r="G108" i="11"/>
  <c r="G107" i="11"/>
  <c r="V458" i="22"/>
  <c r="G454" i="22"/>
  <c r="G455" i="22" s="1"/>
  <c r="G456" i="22" s="1"/>
  <c r="G457" i="22" s="1"/>
  <c r="G458" i="22" s="1"/>
  <c r="N457" i="22"/>
  <c r="T456" i="22"/>
  <c r="V456" i="22" s="1"/>
  <c r="T455" i="22"/>
  <c r="V455" i="22" s="1"/>
  <c r="J453" i="22"/>
  <c r="J457" i="22" s="1"/>
  <c r="L443" i="22"/>
  <c r="L448" i="22" s="1"/>
  <c r="J443" i="22"/>
  <c r="J448" i="22" s="1"/>
  <c r="T439" i="22"/>
  <c r="V438" i="22" s="1"/>
  <c r="E111" i="11" s="1"/>
  <c r="N432" i="22"/>
  <c r="J429" i="22"/>
  <c r="R425" i="22"/>
  <c r="J391" i="22"/>
  <c r="N394" i="22"/>
  <c r="R387" i="22"/>
  <c r="L371" i="22"/>
  <c r="J368" i="22"/>
  <c r="L373" i="22"/>
  <c r="I34" i="11"/>
  <c r="I33" i="11"/>
  <c r="I32" i="11"/>
  <c r="I30" i="11"/>
  <c r="I29" i="11"/>
  <c r="I28" i="11"/>
  <c r="I26" i="11"/>
  <c r="I25" i="11"/>
  <c r="I24" i="11"/>
  <c r="I22" i="11"/>
  <c r="I21" i="11"/>
  <c r="I14" i="11"/>
  <c r="I11" i="11"/>
  <c r="T325" i="22"/>
  <c r="V325" i="22" s="1"/>
  <c r="T306" i="22"/>
  <c r="V306" i="22" s="1"/>
  <c r="AK287" i="22"/>
  <c r="AK286" i="22"/>
  <c r="J283" i="22"/>
  <c r="T283" i="22" s="1"/>
  <c r="AK283" i="22"/>
  <c r="T276" i="22"/>
  <c r="T275" i="22"/>
  <c r="P272" i="22"/>
  <c r="T272" i="22" s="1"/>
  <c r="P271" i="22"/>
  <c r="T271" i="22" s="1"/>
  <c r="L350" i="22"/>
  <c r="L355" i="22" s="1"/>
  <c r="J350" i="22"/>
  <c r="J355" i="22" s="1"/>
  <c r="T346" i="22"/>
  <c r="V345" i="22" s="1"/>
  <c r="L335" i="22"/>
  <c r="L336" i="22" s="1"/>
  <c r="J335" i="22"/>
  <c r="J336" i="22" s="1"/>
  <c r="T331" i="22"/>
  <c r="V330" i="22" s="1"/>
  <c r="T323" i="22"/>
  <c r="V323" i="22" s="1"/>
  <c r="P321" i="22"/>
  <c r="N321" i="22"/>
  <c r="J321" i="22"/>
  <c r="P317" i="22"/>
  <c r="J317" i="22"/>
  <c r="L315" i="22"/>
  <c r="L314" i="22"/>
  <c r="T312" i="22"/>
  <c r="V311" i="22" s="1"/>
  <c r="P302" i="22"/>
  <c r="T304" i="22"/>
  <c r="V304" i="22" s="1"/>
  <c r="N302" i="22"/>
  <c r="J302" i="22"/>
  <c r="P298" i="22"/>
  <c r="J298" i="22"/>
  <c r="L296" i="22"/>
  <c r="L295" i="22"/>
  <c r="T293" i="22"/>
  <c r="V292" i="22" s="1"/>
  <c r="AK282" i="22"/>
  <c r="L282" i="22"/>
  <c r="L286" i="22" s="1"/>
  <c r="J282" i="22"/>
  <c r="J286" i="22" s="1"/>
  <c r="T269" i="22"/>
  <c r="T268" i="22"/>
  <c r="G75" i="11"/>
  <c r="N155" i="22"/>
  <c r="E43" i="11"/>
  <c r="E13" i="11"/>
  <c r="E12" i="11"/>
  <c r="T457" i="22" l="1"/>
  <c r="V457" i="22" s="1"/>
  <c r="E124" i="11" s="1"/>
  <c r="E79" i="15"/>
  <c r="J371" i="22"/>
  <c r="J373" i="22" s="1"/>
  <c r="T373" i="22" s="1"/>
  <c r="V373" i="22" s="1"/>
  <c r="J365" i="22"/>
  <c r="T365" i="22" s="1"/>
  <c r="V363" i="22" s="1"/>
  <c r="E94" i="11" s="1"/>
  <c r="T517" i="22"/>
  <c r="V516" i="22" s="1"/>
  <c r="E142" i="11"/>
  <c r="E140" i="11"/>
  <c r="E78" i="15"/>
  <c r="E136" i="11"/>
  <c r="V270" i="22"/>
  <c r="E131" i="11" s="1"/>
  <c r="T510" i="22"/>
  <c r="I36" i="11"/>
  <c r="J499" i="22"/>
  <c r="T499" i="22" s="1"/>
  <c r="V498" i="22" s="1"/>
  <c r="J525" i="22"/>
  <c r="J491" i="22"/>
  <c r="L496" i="22"/>
  <c r="T496" i="22" s="1"/>
  <c r="T487" i="22"/>
  <c r="V486" i="22" s="1"/>
  <c r="T553" i="22"/>
  <c r="V552" i="22" s="1"/>
  <c r="T473" i="22"/>
  <c r="V472" i="22" s="1"/>
  <c r="L514" i="22"/>
  <c r="T514" i="22" s="1"/>
  <c r="J549" i="22"/>
  <c r="T558" i="22"/>
  <c r="V558" i="22" s="1"/>
  <c r="T559" i="22" s="1"/>
  <c r="V559" i="22" s="1"/>
  <c r="J476" i="22"/>
  <c r="L549" i="22"/>
  <c r="T405" i="22"/>
  <c r="T412" i="22"/>
  <c r="V411" i="22" s="1"/>
  <c r="L409" i="22"/>
  <c r="T409" i="22" s="1"/>
  <c r="J382" i="22"/>
  <c r="L391" i="22" s="1"/>
  <c r="T391" i="22" s="1"/>
  <c r="L444" i="22"/>
  <c r="T453" i="22"/>
  <c r="V453" i="22" s="1"/>
  <c r="J444" i="22"/>
  <c r="T444" i="22" s="1"/>
  <c r="V442" i="22" s="1"/>
  <c r="T448" i="22"/>
  <c r="V447" i="22" s="1"/>
  <c r="E113" i="11" s="1"/>
  <c r="T371" i="22"/>
  <c r="V370" i="22" s="1"/>
  <c r="T368" i="22"/>
  <c r="V368" i="22" s="1"/>
  <c r="E139" i="11"/>
  <c r="V274" i="22"/>
  <c r="E132" i="11" s="1"/>
  <c r="J287" i="22"/>
  <c r="T287" i="22" s="1"/>
  <c r="T286" i="22"/>
  <c r="L317" i="22"/>
  <c r="T317" i="22" s="1"/>
  <c r="V314" i="22" s="1"/>
  <c r="L340" i="22"/>
  <c r="L298" i="22"/>
  <c r="T298" i="22" s="1"/>
  <c r="V295" i="22" s="1"/>
  <c r="T355" i="22"/>
  <c r="V354" i="22" s="1"/>
  <c r="L351" i="22"/>
  <c r="J351" i="22"/>
  <c r="T282" i="22"/>
  <c r="V281" i="22" s="1"/>
  <c r="J340" i="22"/>
  <c r="T336" i="22"/>
  <c r="T321" i="22"/>
  <c r="V319" i="22" s="1"/>
  <c r="T302" i="22"/>
  <c r="V300" i="22" s="1"/>
  <c r="V267" i="22"/>
  <c r="E129" i="11" s="1"/>
  <c r="T31" i="22"/>
  <c r="V31" i="22" s="1"/>
  <c r="E39" i="11" s="1"/>
  <c r="L35" i="22"/>
  <c r="T35" i="22" s="1"/>
  <c r="E41" i="11" s="1"/>
  <c r="T34" i="22"/>
  <c r="L253" i="22"/>
  <c r="L258" i="22" s="1"/>
  <c r="J253" i="22"/>
  <c r="J258" i="22" s="1"/>
  <c r="T249" i="22"/>
  <c r="V248" i="22" s="1"/>
  <c r="E89" i="11" s="1"/>
  <c r="L238" i="22"/>
  <c r="L239" i="22" s="1"/>
  <c r="J238" i="22"/>
  <c r="J239" i="22" s="1"/>
  <c r="T234" i="22"/>
  <c r="V233" i="22" s="1"/>
  <c r="E85" i="11" s="1"/>
  <c r="J223" i="22"/>
  <c r="J212" i="22"/>
  <c r="J226" i="22" s="1"/>
  <c r="J201" i="22"/>
  <c r="J190" i="22"/>
  <c r="L201" i="22" s="1"/>
  <c r="T172" i="22"/>
  <c r="V171" i="22" s="1"/>
  <c r="R163" i="22"/>
  <c r="J163" i="22"/>
  <c r="R140" i="22"/>
  <c r="J136" i="22"/>
  <c r="L145" i="22" s="1"/>
  <c r="J126" i="22"/>
  <c r="J117" i="22"/>
  <c r="L126" i="22" s="1"/>
  <c r="T109" i="22"/>
  <c r="V109" i="22" s="1"/>
  <c r="E59" i="11" s="1"/>
  <c r="N107" i="22"/>
  <c r="J107" i="22"/>
  <c r="L82" i="22"/>
  <c r="T80" i="22"/>
  <c r="V80" i="22" s="1"/>
  <c r="E49" i="11" s="1"/>
  <c r="L78" i="22"/>
  <c r="J78" i="22"/>
  <c r="J75" i="22" s="1"/>
  <c r="N227" i="22"/>
  <c r="N226" i="22"/>
  <c r="R219" i="22"/>
  <c r="N205" i="22"/>
  <c r="N204" i="22"/>
  <c r="R201" i="22"/>
  <c r="R223" i="22" s="1"/>
  <c r="R197" i="22"/>
  <c r="N183" i="22"/>
  <c r="L183" i="22"/>
  <c r="J180" i="22"/>
  <c r="P176" i="22"/>
  <c r="J176" i="22"/>
  <c r="L180" i="22" s="1"/>
  <c r="P166" i="22"/>
  <c r="N166" i="22"/>
  <c r="L166" i="22"/>
  <c r="P159" i="22"/>
  <c r="P163" i="22" s="1"/>
  <c r="J159" i="22"/>
  <c r="L163" i="22" s="1"/>
  <c r="T155" i="22"/>
  <c r="V154" i="22" s="1"/>
  <c r="E69" i="11" s="1"/>
  <c r="N148" i="22"/>
  <c r="J145" i="22"/>
  <c r="N129" i="22"/>
  <c r="P107" i="22"/>
  <c r="P103" i="22"/>
  <c r="J103" i="22"/>
  <c r="L101" i="22"/>
  <c r="L100" i="22"/>
  <c r="T98" i="22"/>
  <c r="V97" i="22" s="1"/>
  <c r="E55" i="11" s="1"/>
  <c r="AI91" i="22"/>
  <c r="L90" i="22"/>
  <c r="J90" i="22"/>
  <c r="L65" i="22"/>
  <c r="L58" i="22"/>
  <c r="J58" i="22"/>
  <c r="N47" i="22"/>
  <c r="J394" i="22" l="1"/>
  <c r="T394" i="22" s="1"/>
  <c r="V393" i="22" s="1"/>
  <c r="J420" i="22"/>
  <c r="J432" i="22" s="1"/>
  <c r="T432" i="22" s="1"/>
  <c r="V431" i="22" s="1"/>
  <c r="V285" i="22"/>
  <c r="T420" i="22"/>
  <c r="V419" i="22" s="1"/>
  <c r="E101" i="11"/>
  <c r="E105" i="11"/>
  <c r="T340" i="22"/>
  <c r="V339" i="22" s="1"/>
  <c r="E144" i="11" s="1"/>
  <c r="V508" i="22"/>
  <c r="E96" i="11"/>
  <c r="T454" i="22"/>
  <c r="V454" i="22" s="1"/>
  <c r="E75" i="15"/>
  <c r="T549" i="22"/>
  <c r="V547" i="22" s="1"/>
  <c r="E112" i="11" s="1"/>
  <c r="T491" i="22"/>
  <c r="J492" i="22"/>
  <c r="T492" i="22" s="1"/>
  <c r="L534" i="22"/>
  <c r="T534" i="22" s="1"/>
  <c r="T525" i="22"/>
  <c r="V524" i="22" s="1"/>
  <c r="E107" i="11" s="1"/>
  <c r="J537" i="22"/>
  <c r="T537" i="22" s="1"/>
  <c r="V536" i="22" s="1"/>
  <c r="E109" i="11" s="1"/>
  <c r="J529" i="22"/>
  <c r="J478" i="22"/>
  <c r="T478" i="22" s="1"/>
  <c r="V478" i="22" s="1"/>
  <c r="E97" i="11" s="1"/>
  <c r="T476" i="22"/>
  <c r="V475" i="22" s="1"/>
  <c r="E95" i="11" s="1"/>
  <c r="V403" i="22"/>
  <c r="E73" i="11"/>
  <c r="T382" i="22"/>
  <c r="V381" i="22" s="1"/>
  <c r="E99" i="11" s="1"/>
  <c r="J386" i="22"/>
  <c r="L429" i="22"/>
  <c r="T429" i="22" s="1"/>
  <c r="J424" i="22"/>
  <c r="E130" i="11"/>
  <c r="E137" i="11"/>
  <c r="E138" i="11"/>
  <c r="T351" i="22"/>
  <c r="V349" i="22" s="1"/>
  <c r="V334" i="22"/>
  <c r="J254" i="22"/>
  <c r="L254" i="22"/>
  <c r="T258" i="22"/>
  <c r="V257" i="22" s="1"/>
  <c r="E91" i="11" s="1"/>
  <c r="J243" i="22"/>
  <c r="L243" i="22"/>
  <c r="T166" i="22"/>
  <c r="V165" i="22" s="1"/>
  <c r="E71" i="11" s="1"/>
  <c r="L223" i="22"/>
  <c r="T223" i="22" s="1"/>
  <c r="J129" i="22"/>
  <c r="T129" i="22" s="1"/>
  <c r="V128" i="22" s="1"/>
  <c r="E63" i="11" s="1"/>
  <c r="J140" i="22"/>
  <c r="T107" i="22"/>
  <c r="V105" i="22" s="1"/>
  <c r="E57" i="11" s="1"/>
  <c r="T58" i="22"/>
  <c r="V56" i="22" s="1"/>
  <c r="J82" i="22"/>
  <c r="T82" i="22" s="1"/>
  <c r="V82" i="22" s="1"/>
  <c r="T47" i="22"/>
  <c r="V46" i="22" s="1"/>
  <c r="R141" i="22"/>
  <c r="T176" i="22"/>
  <c r="T239" i="22"/>
  <c r="AK90" i="22"/>
  <c r="J65" i="22"/>
  <c r="T65" i="22" s="1"/>
  <c r="T75" i="22"/>
  <c r="V74" i="22" s="1"/>
  <c r="E48" i="11" s="1"/>
  <c r="J195" i="22"/>
  <c r="T195" i="22" s="1"/>
  <c r="T190" i="22"/>
  <c r="V189" i="22" s="1"/>
  <c r="E77" i="11" s="1"/>
  <c r="L64" i="22"/>
  <c r="T90" i="22"/>
  <c r="L103" i="22"/>
  <c r="T103" i="22" s="1"/>
  <c r="V100" i="22" s="1"/>
  <c r="E56" i="11" s="1"/>
  <c r="T159" i="22"/>
  <c r="J227" i="22"/>
  <c r="T227" i="22" s="1"/>
  <c r="T226" i="22"/>
  <c r="T117" i="22"/>
  <c r="V116" i="22" s="1"/>
  <c r="E61" i="11" s="1"/>
  <c r="R122" i="22"/>
  <c r="T126" i="22"/>
  <c r="J64" i="22"/>
  <c r="T78" i="22"/>
  <c r="V77" i="22" s="1"/>
  <c r="E47" i="11" s="1"/>
  <c r="T163" i="22"/>
  <c r="J217" i="22"/>
  <c r="T212" i="22"/>
  <c r="V211" i="22" s="1"/>
  <c r="E81" i="11" s="1"/>
  <c r="J121" i="22"/>
  <c r="P180" i="22"/>
  <c r="P183" i="22" s="1"/>
  <c r="T183" i="22" s="1"/>
  <c r="T201" i="22"/>
  <c r="J204" i="22"/>
  <c r="E76" i="15" l="1"/>
  <c r="E104" i="11"/>
  <c r="J530" i="22"/>
  <c r="T530" i="22" s="1"/>
  <c r="T529" i="22"/>
  <c r="V527" i="22" s="1"/>
  <c r="V489" i="22"/>
  <c r="J387" i="22"/>
  <c r="T387" i="22" s="1"/>
  <c r="T386" i="22"/>
  <c r="V384" i="22" s="1"/>
  <c r="J425" i="22"/>
  <c r="T425" i="22" s="1"/>
  <c r="T424" i="22"/>
  <c r="E143" i="11"/>
  <c r="T243" i="22"/>
  <c r="V242" i="22" s="1"/>
  <c r="E87" i="11" s="1"/>
  <c r="T254" i="22"/>
  <c r="V252" i="22" s="1"/>
  <c r="E90" i="11" s="1"/>
  <c r="J148" i="22"/>
  <c r="T148" i="22" s="1"/>
  <c r="V147" i="22" s="1"/>
  <c r="E67" i="11" s="1"/>
  <c r="J196" i="22"/>
  <c r="J197" i="22" s="1"/>
  <c r="T197" i="22" s="1"/>
  <c r="T136" i="22"/>
  <c r="V135" i="22" s="1"/>
  <c r="E65" i="11" s="1"/>
  <c r="T145" i="22"/>
  <c r="V237" i="22"/>
  <c r="E86" i="11" s="1"/>
  <c r="V182" i="22"/>
  <c r="E75" i="11" s="1"/>
  <c r="V89" i="22"/>
  <c r="E58" i="11" s="1"/>
  <c r="V225" i="22"/>
  <c r="E83" i="11" s="1"/>
  <c r="V157" i="22"/>
  <c r="E70" i="11" s="1"/>
  <c r="T64" i="22"/>
  <c r="T204" i="22"/>
  <c r="J205" i="22"/>
  <c r="T205" i="22" s="1"/>
  <c r="J141" i="22"/>
  <c r="T141" i="22" s="1"/>
  <c r="T140" i="22"/>
  <c r="J218" i="22"/>
  <c r="T217" i="22"/>
  <c r="T180" i="22"/>
  <c r="V174" i="22" s="1"/>
  <c r="E74" i="11" s="1"/>
  <c r="J122" i="22"/>
  <c r="T122" i="22" s="1"/>
  <c r="T121" i="22"/>
  <c r="T33" i="22"/>
  <c r="E77" i="15" l="1"/>
  <c r="E100" i="11"/>
  <c r="V422" i="22"/>
  <c r="E108" i="11" s="1"/>
  <c r="E40" i="11"/>
  <c r="V32" i="22"/>
  <c r="V40" i="22" s="1"/>
  <c r="E42" i="11" s="1"/>
  <c r="T196" i="22"/>
  <c r="V193" i="22" s="1"/>
  <c r="E78" i="11" s="1"/>
  <c r="V119" i="22"/>
  <c r="E62" i="11" s="1"/>
  <c r="V63" i="22"/>
  <c r="E50" i="11" s="1"/>
  <c r="T218" i="22"/>
  <c r="J219" i="22"/>
  <c r="T219" i="22" s="1"/>
  <c r="V138" i="22"/>
  <c r="E66" i="11" s="1"/>
  <c r="V203" i="22"/>
  <c r="E79" i="11" s="1"/>
  <c r="E44" i="11" l="1"/>
  <c r="V215" i="22"/>
  <c r="E82" i="11" s="1"/>
  <c r="D67" i="8" l="1"/>
  <c r="I1012" i="4" l="1"/>
  <c r="I1010" i="4"/>
  <c r="I1008" i="4"/>
  <c r="J1008" i="4" s="1"/>
  <c r="J1009" i="4" s="1"/>
  <c r="J1006" i="4"/>
  <c r="J1005" i="4"/>
  <c r="J1004" i="4"/>
  <c r="J1003" i="4"/>
  <c r="G87" i="11"/>
  <c r="D28" i="13"/>
  <c r="I28" i="13" s="1"/>
  <c r="I27" i="13"/>
  <c r="D27" i="13"/>
  <c r="J1007" i="4" l="1"/>
  <c r="I1334" i="4"/>
  <c r="I1271" i="4"/>
  <c r="H1360" i="4" l="1"/>
  <c r="H1359" i="4"/>
  <c r="H1358" i="4"/>
  <c r="H1357" i="4"/>
  <c r="H1356" i="4"/>
  <c r="I1293" i="4" l="1"/>
  <c r="I1315" i="4" s="1"/>
  <c r="I1337" i="4" s="1"/>
  <c r="I1359" i="4" s="1"/>
  <c r="I1382" i="4" s="1"/>
  <c r="H1272" i="4"/>
  <c r="H1271" i="4"/>
  <c r="H1338" i="4" l="1"/>
  <c r="H1337" i="4"/>
  <c r="H1336" i="4"/>
  <c r="H1335" i="4"/>
  <c r="H1334" i="4"/>
  <c r="H1316" i="4"/>
  <c r="H1315" i="4"/>
  <c r="H1314" i="4"/>
  <c r="H1313" i="4"/>
  <c r="H1312" i="4"/>
  <c r="H1294" i="4"/>
  <c r="H1293" i="4"/>
  <c r="H1292" i="4"/>
  <c r="H1291" i="4"/>
  <c r="H1290" i="4"/>
  <c r="D246" i="8" l="1"/>
  <c r="I4427" i="4"/>
  <c r="J4427" i="4" s="1"/>
  <c r="H4424" i="4"/>
  <c r="J4424" i="4" s="1"/>
  <c r="I4433" i="4"/>
  <c r="I4431" i="4"/>
  <c r="I4429" i="4"/>
  <c r="J4429" i="4" s="1"/>
  <c r="J4430" i="4" s="1"/>
  <c r="I7318" i="4"/>
  <c r="I102" i="15"/>
  <c r="E101" i="15"/>
  <c r="E100" i="15"/>
  <c r="D705" i="8"/>
  <c r="I12097" i="4"/>
  <c r="J12097" i="4" s="1"/>
  <c r="I12096" i="4"/>
  <c r="J12096" i="4" s="1"/>
  <c r="J12104" i="4"/>
  <c r="I12098" i="4"/>
  <c r="J12098" i="4" s="1"/>
  <c r="I12074" i="4"/>
  <c r="C48" i="14"/>
  <c r="E15" i="20"/>
  <c r="D56" i="8"/>
  <c r="I829" i="4"/>
  <c r="I827" i="4"/>
  <c r="I825" i="4"/>
  <c r="J825" i="4" s="1"/>
  <c r="J826" i="4" s="1"/>
  <c r="J823" i="4"/>
  <c r="J824" i="4" s="1"/>
  <c r="J12100" i="4" l="1"/>
  <c r="A130" i="11" l="1"/>
  <c r="E85" i="15" l="1"/>
  <c r="E86" i="15" s="1"/>
  <c r="T17" i="15" s="1"/>
  <c r="E84" i="15"/>
  <c r="E83" i="15"/>
  <c r="I88" i="13"/>
  <c r="I97" i="13"/>
  <c r="D209" i="13"/>
  <c r="I209" i="13" s="1"/>
  <c r="I193" i="13"/>
  <c r="D192" i="13"/>
  <c r="D191" i="13"/>
  <c r="D190" i="13"/>
  <c r="D189" i="13"/>
  <c r="I189" i="13" s="1"/>
  <c r="I188" i="13"/>
  <c r="I187" i="13"/>
  <c r="D186" i="13"/>
  <c r="I186" i="13" s="1"/>
  <c r="D185" i="13"/>
  <c r="I185" i="13" s="1"/>
  <c r="D183" i="13"/>
  <c r="D181" i="13"/>
  <c r="D180" i="13"/>
  <c r="I180" i="13" s="1"/>
  <c r="D179" i="13"/>
  <c r="I179" i="13" s="1"/>
  <c r="I178" i="13"/>
  <c r="D177" i="13"/>
  <c r="I177" i="13" s="1"/>
  <c r="F176" i="13"/>
  <c r="D176" i="13"/>
  <c r="D175" i="13"/>
  <c r="I175" i="13" s="1"/>
  <c r="D174" i="13"/>
  <c r="I174" i="13" s="1"/>
  <c r="D173" i="13"/>
  <c r="I173" i="13" s="1"/>
  <c r="D172" i="13"/>
  <c r="I172" i="13" s="1"/>
  <c r="D171" i="13"/>
  <c r="I171" i="13" s="1"/>
  <c r="D170" i="13"/>
  <c r="D169" i="13"/>
  <c r="I169" i="13" s="1"/>
  <c r="D168" i="13"/>
  <c r="I168" i="13" s="1"/>
  <c r="I205" i="13"/>
  <c r="I204" i="13"/>
  <c r="I202" i="13"/>
  <c r="I201" i="13"/>
  <c r="I200" i="13"/>
  <c r="I199" i="13"/>
  <c r="I198" i="13"/>
  <c r="I197" i="13"/>
  <c r="I196" i="13"/>
  <c r="I105" i="13"/>
  <c r="I104" i="13"/>
  <c r="I103" i="13"/>
  <c r="I102" i="13"/>
  <c r="I101" i="13"/>
  <c r="I100" i="13"/>
  <c r="I99" i="13"/>
  <c r="I112" i="13"/>
  <c r="I111" i="13"/>
  <c r="I110" i="13"/>
  <c r="I109" i="13"/>
  <c r="I108" i="13"/>
  <c r="I107" i="13"/>
  <c r="I106" i="13"/>
  <c r="I68" i="13"/>
  <c r="I56" i="13"/>
  <c r="I55" i="13"/>
  <c r="I54" i="13"/>
  <c r="I53" i="13"/>
  <c r="I52" i="13"/>
  <c r="I51" i="13"/>
  <c r="I50" i="13"/>
  <c r="I32" i="13"/>
  <c r="D31" i="13"/>
  <c r="I31" i="13" s="1"/>
  <c r="D30" i="13"/>
  <c r="I30" i="13" s="1"/>
  <c r="I44" i="13"/>
  <c r="I43" i="13"/>
  <c r="I37" i="13"/>
  <c r="D29" i="13"/>
  <c r="I29" i="13" s="1"/>
  <c r="D26" i="13"/>
  <c r="I26" i="13" s="1"/>
  <c r="I24" i="13"/>
  <c r="D23" i="13"/>
  <c r="D22" i="13"/>
  <c r="I21" i="13"/>
  <c r="D20" i="13"/>
  <c r="I19" i="13"/>
  <c r="D18" i="13"/>
  <c r="D17" i="13"/>
  <c r="I17" i="13" s="1"/>
  <c r="D16" i="13"/>
  <c r="I15" i="13"/>
  <c r="D13" i="13"/>
  <c r="D10" i="13"/>
  <c r="I10" i="13" s="1"/>
  <c r="D9" i="13"/>
  <c r="D7" i="13"/>
  <c r="D6" i="13"/>
  <c r="C50" i="20"/>
  <c r="F50" i="20" s="1"/>
  <c r="C49" i="20"/>
  <c r="F49" i="20" s="1"/>
  <c r="C48" i="20"/>
  <c r="F48" i="20" s="1"/>
  <c r="C47" i="20"/>
  <c r="F47" i="20" s="1"/>
  <c r="C46" i="20"/>
  <c r="F42" i="20"/>
  <c r="C41" i="20"/>
  <c r="F41" i="20" s="1"/>
  <c r="C39" i="20"/>
  <c r="F39" i="20" s="1"/>
  <c r="C38" i="20"/>
  <c r="F38" i="20" s="1"/>
  <c r="C37" i="20"/>
  <c r="F37" i="20" s="1"/>
  <c r="F40" i="20"/>
  <c r="C33" i="20"/>
  <c r="F33" i="20" s="1"/>
  <c r="C29" i="20"/>
  <c r="C20" i="20"/>
  <c r="C31" i="20"/>
  <c r="C28" i="20"/>
  <c r="C30" i="20"/>
  <c r="C27" i="20"/>
  <c r="F32" i="20"/>
  <c r="C21" i="20"/>
  <c r="C19" i="20"/>
  <c r="C15" i="20"/>
  <c r="F15" i="20" s="1"/>
  <c r="C13" i="20"/>
  <c r="C12" i="20"/>
  <c r="C8" i="20"/>
  <c r="F8" i="20" s="1"/>
  <c r="C6" i="20"/>
  <c r="C5" i="20"/>
  <c r="F23" i="20"/>
  <c r="I99" i="15" l="1"/>
  <c r="I98" i="15"/>
  <c r="F43" i="20"/>
  <c r="I176" i="13"/>
  <c r="D96" i="13"/>
  <c r="I96" i="13" s="1"/>
  <c r="I94" i="15" l="1"/>
  <c r="E91" i="15"/>
  <c r="E41" i="14" l="1"/>
  <c r="G14" i="11" l="1"/>
  <c r="G13" i="11"/>
  <c r="G12" i="11"/>
  <c r="A12" i="11"/>
  <c r="H4367" i="4"/>
  <c r="A14" i="11" l="1"/>
  <c r="E14" i="16"/>
  <c r="G91" i="11"/>
  <c r="G79" i="11"/>
  <c r="G83" i="11" s="1"/>
  <c r="G71" i="11"/>
  <c r="G63" i="11"/>
  <c r="G67" i="11" s="1"/>
  <c r="G57" i="11"/>
  <c r="G61" i="11"/>
  <c r="G65" i="11" s="1"/>
  <c r="G69" i="11" s="1"/>
  <c r="G50" i="11"/>
  <c r="G59" i="11" s="1"/>
  <c r="G49" i="11"/>
  <c r="G56" i="11" s="1"/>
  <c r="G62" i="11" s="1"/>
  <c r="G66" i="11" s="1"/>
  <c r="G70" i="11" s="1"/>
  <c r="G48" i="11"/>
  <c r="G47" i="11"/>
  <c r="G95" i="11" s="1"/>
  <c r="G44" i="11"/>
  <c r="G43" i="11"/>
  <c r="G42" i="11"/>
  <c r="G41" i="11"/>
  <c r="G39" i="11"/>
  <c r="G111" i="11" l="1"/>
  <c r="G120" i="11"/>
  <c r="G77" i="11"/>
  <c r="G85" i="11" s="1"/>
  <c r="G73" i="11"/>
  <c r="G78" i="11"/>
  <c r="G82" i="11" s="1"/>
  <c r="G90" i="11" s="1"/>
  <c r="G74" i="11"/>
  <c r="G81" i="11" l="1"/>
  <c r="G89" i="11" s="1"/>
  <c r="G86" i="11"/>
  <c r="I2214" i="4" l="1"/>
  <c r="I12175" i="4"/>
  <c r="J12175" i="4" s="1"/>
  <c r="I12218" i="4" l="1"/>
  <c r="J12218" i="4" s="1"/>
  <c r="I12176" i="4"/>
  <c r="J12176" i="4" s="1"/>
  <c r="I12198" i="4"/>
  <c r="J12198" i="4" s="1"/>
  <c r="I12154" i="4"/>
  <c r="J12154" i="4" s="1"/>
  <c r="I12133" i="4"/>
  <c r="J12133" i="4" s="1"/>
  <c r="I1000" i="4"/>
  <c r="J1000" i="4" s="1"/>
  <c r="I12217" i="4"/>
  <c r="J12217" i="4" s="1"/>
  <c r="J12219" i="4" s="1"/>
  <c r="I12174" i="4"/>
  <c r="J12174" i="4" s="1"/>
  <c r="J12177" i="4" s="1"/>
  <c r="I12195" i="4"/>
  <c r="J12195" i="4" s="1"/>
  <c r="I12131" i="4"/>
  <c r="J12131" i="4" s="1"/>
  <c r="I12152" i="4"/>
  <c r="J12152" i="4" s="1"/>
  <c r="I997" i="4"/>
  <c r="J997" i="4" s="1"/>
  <c r="J1001" i="4" s="1"/>
  <c r="J1010" i="4" s="1"/>
  <c r="J1011" i="4" s="1"/>
  <c r="J1012" i="4" s="1"/>
  <c r="F67" i="8" s="1"/>
  <c r="H55" i="11" s="1"/>
  <c r="I55" i="11" s="1"/>
  <c r="I12197" i="4"/>
  <c r="J12197" i="4" s="1"/>
  <c r="I999" i="4"/>
  <c r="J999" i="4" s="1"/>
  <c r="I12196" i="4"/>
  <c r="J12196" i="4" s="1"/>
  <c r="I12132" i="4"/>
  <c r="J12132" i="4" s="1"/>
  <c r="I12153" i="4"/>
  <c r="J12153" i="4" s="1"/>
  <c r="I998" i="4"/>
  <c r="J998" i="4" s="1"/>
  <c r="I4421" i="4"/>
  <c r="J4421" i="4" s="1"/>
  <c r="I820" i="4"/>
  <c r="J820" i="4" s="1"/>
  <c r="I12093" i="4"/>
  <c r="J12093" i="4" s="1"/>
  <c r="I12090" i="4"/>
  <c r="J12090" i="4" s="1"/>
  <c r="I817" i="4"/>
  <c r="J817" i="4" s="1"/>
  <c r="I4418" i="4"/>
  <c r="J4418" i="4" s="1"/>
  <c r="I819" i="4"/>
  <c r="J819" i="4" s="1"/>
  <c r="I4420" i="4"/>
  <c r="J4420" i="4" s="1"/>
  <c r="I12092" i="4"/>
  <c r="J12092" i="4" s="1"/>
  <c r="I818" i="4"/>
  <c r="J818" i="4" s="1"/>
  <c r="I12091" i="4"/>
  <c r="J12091" i="4" s="1"/>
  <c r="I4419" i="4"/>
  <c r="J4419" i="4" s="1"/>
  <c r="J12155" i="4" l="1"/>
  <c r="J12134" i="4"/>
  <c r="J12199" i="4"/>
  <c r="J12094" i="4"/>
  <c r="J12105" i="4" s="1"/>
  <c r="J12106" i="4" s="1"/>
  <c r="J12107" i="4" s="1"/>
  <c r="F705" i="8" s="1"/>
  <c r="J4422" i="4"/>
  <c r="J821" i="4"/>
  <c r="J827" i="4" s="1"/>
  <c r="J828" i="4" s="1"/>
  <c r="J829" i="4" s="1"/>
  <c r="F56" i="8" s="1"/>
  <c r="H131" i="11" s="1"/>
  <c r="I131" i="11" s="1"/>
  <c r="C217" i="13" l="1"/>
  <c r="E217" i="13" s="1"/>
  <c r="C218" i="13"/>
  <c r="E218" i="13" s="1"/>
  <c r="C219" i="13"/>
  <c r="E219" i="13" s="1"/>
  <c r="C220" i="13"/>
  <c r="E220" i="13" s="1"/>
  <c r="C221" i="13"/>
  <c r="E221" i="13" s="1"/>
  <c r="C216" i="13"/>
  <c r="E216" i="13" s="1"/>
  <c r="E66" i="15"/>
  <c r="E67" i="15" s="1"/>
  <c r="E65" i="15"/>
  <c r="E64" i="15"/>
  <c r="E222" i="13" l="1"/>
  <c r="E13" i="15" s="1"/>
  <c r="I162" i="13" l="1"/>
  <c r="I160" i="13"/>
  <c r="I153" i="13"/>
  <c r="I141" i="13"/>
  <c r="I145" i="13"/>
  <c r="E44" i="15" s="1"/>
  <c r="I136" i="13"/>
  <c r="I137" i="13" s="1"/>
  <c r="E42" i="15" s="1"/>
  <c r="I95" i="13"/>
  <c r="I94" i="13"/>
  <c r="I70" i="13"/>
  <c r="I73" i="13" s="1"/>
  <c r="D206" i="13" l="1"/>
  <c r="I114" i="13"/>
  <c r="I164" i="13"/>
  <c r="E46" i="15" s="1"/>
  <c r="I142" i="13"/>
  <c r="E43" i="15" s="1"/>
  <c r="E45" i="15" s="1"/>
  <c r="I87" i="13"/>
  <c r="I86" i="13"/>
  <c r="I89" i="13" s="1"/>
  <c r="I79" i="13"/>
  <c r="I81" i="13" s="1"/>
  <c r="I61" i="13"/>
  <c r="I36" i="13"/>
  <c r="I40" i="13"/>
  <c r="I35" i="13"/>
  <c r="I41" i="13"/>
  <c r="I39" i="13"/>
  <c r="I38" i="13"/>
  <c r="D14" i="13"/>
  <c r="D12" i="13"/>
  <c r="D11" i="13"/>
  <c r="D8" i="13"/>
  <c r="D5" i="13"/>
  <c r="F13" i="13"/>
  <c r="E51" i="15" l="1"/>
  <c r="I206" i="13"/>
  <c r="I210" i="13" s="1"/>
  <c r="E50" i="15" s="1"/>
  <c r="D45" i="13"/>
  <c r="I121" i="13"/>
  <c r="E28" i="15" s="1"/>
  <c r="E25" i="15"/>
  <c r="F101" i="14"/>
  <c r="F38" i="14"/>
  <c r="F41" i="14"/>
  <c r="C55" i="14"/>
  <c r="C56" i="14"/>
  <c r="C57" i="14"/>
  <c r="C66" i="14"/>
  <c r="C67" i="14"/>
  <c r="C68" i="14"/>
  <c r="C77" i="14"/>
  <c r="C78" i="14"/>
  <c r="C79" i="14"/>
  <c r="C87" i="14"/>
  <c r="C88" i="14"/>
  <c r="C89" i="14"/>
  <c r="I101" i="15"/>
  <c r="I100" i="15"/>
  <c r="D36" i="8"/>
  <c r="I496" i="4"/>
  <c r="I494" i="4"/>
  <c r="I492" i="4"/>
  <c r="J492" i="4" s="1"/>
  <c r="J493" i="4" s="1"/>
  <c r="J490" i="4"/>
  <c r="J491" i="4" s="1"/>
  <c r="I489" i="4"/>
  <c r="J489" i="4" s="1"/>
  <c r="I487" i="4"/>
  <c r="J487" i="4" s="1"/>
  <c r="I486" i="4"/>
  <c r="J486" i="4" s="1"/>
  <c r="I485" i="4"/>
  <c r="J485" i="4" s="1"/>
  <c r="D344" i="8"/>
  <c r="J6174" i="4"/>
  <c r="I6181" i="4"/>
  <c r="I6179" i="4"/>
  <c r="I6177" i="4"/>
  <c r="J6177" i="4" s="1"/>
  <c r="J6178" i="4" s="1"/>
  <c r="J6175" i="4"/>
  <c r="I6171" i="4"/>
  <c r="J6171" i="4" s="1"/>
  <c r="I6170" i="4"/>
  <c r="J6170" i="4" s="1"/>
  <c r="I6168" i="4"/>
  <c r="J6168" i="4" s="1"/>
  <c r="D343" i="8"/>
  <c r="J6157" i="4"/>
  <c r="I6163" i="4"/>
  <c r="I6161" i="4"/>
  <c r="I6159" i="4"/>
  <c r="J6159" i="4" s="1"/>
  <c r="J6160" i="4" s="1"/>
  <c r="J6156" i="4"/>
  <c r="I6153" i="4"/>
  <c r="J6153" i="4" s="1"/>
  <c r="I6152" i="4"/>
  <c r="J6152" i="4" s="1"/>
  <c r="I6150" i="4"/>
  <c r="J6150" i="4" s="1"/>
  <c r="D306" i="8"/>
  <c r="I5488" i="4"/>
  <c r="I5486" i="4"/>
  <c r="I5484" i="4"/>
  <c r="J5484" i="4" s="1"/>
  <c r="J5485" i="4" s="1"/>
  <c r="I5482" i="4"/>
  <c r="J5482" i="4" s="1"/>
  <c r="J5481" i="4"/>
  <c r="I5478" i="4"/>
  <c r="J5478" i="4" s="1"/>
  <c r="I5477" i="4"/>
  <c r="J5477" i="4" s="1"/>
  <c r="I5475" i="4"/>
  <c r="J5475" i="4" s="1"/>
  <c r="D291" i="8"/>
  <c r="H5242" i="4"/>
  <c r="J5242" i="4" s="1"/>
  <c r="H5241" i="4"/>
  <c r="J5241" i="4" s="1"/>
  <c r="H5236" i="4"/>
  <c r="H5237" i="4" s="1"/>
  <c r="I5249" i="4"/>
  <c r="I5247" i="4"/>
  <c r="I5245" i="4"/>
  <c r="J5245" i="4" s="1"/>
  <c r="J5246" i="4" s="1"/>
  <c r="I5238" i="4"/>
  <c r="I5237" i="4"/>
  <c r="I5235" i="4"/>
  <c r="J5235" i="4" s="1"/>
  <c r="D290" i="8"/>
  <c r="I5230" i="4"/>
  <c r="I5228" i="4"/>
  <c r="I5226" i="4"/>
  <c r="J5226" i="4" s="1"/>
  <c r="J5227" i="4" s="1"/>
  <c r="J5224" i="4"/>
  <c r="J5223" i="4"/>
  <c r="I5220" i="4"/>
  <c r="J5220" i="4" s="1"/>
  <c r="I5219" i="4"/>
  <c r="J5219" i="4" s="1"/>
  <c r="I5217" i="4"/>
  <c r="J5217" i="4" s="1"/>
  <c r="D55" i="8"/>
  <c r="I812" i="4"/>
  <c r="I810" i="4"/>
  <c r="I808" i="4"/>
  <c r="J808" i="4" s="1"/>
  <c r="J809" i="4" s="1"/>
  <c r="J806" i="4"/>
  <c r="J807" i="4" s="1"/>
  <c r="I803" i="4"/>
  <c r="J803" i="4" s="1"/>
  <c r="I802" i="4"/>
  <c r="J802" i="4" s="1"/>
  <c r="I800" i="4"/>
  <c r="J800" i="4" s="1"/>
  <c r="D54" i="8"/>
  <c r="I795" i="4"/>
  <c r="I793" i="4"/>
  <c r="I791" i="4"/>
  <c r="J791" i="4" s="1"/>
  <c r="J792" i="4" s="1"/>
  <c r="J789" i="4"/>
  <c r="J790" i="4" s="1"/>
  <c r="I786" i="4"/>
  <c r="J786" i="4" s="1"/>
  <c r="I785" i="4"/>
  <c r="J785" i="4" s="1"/>
  <c r="I783" i="4"/>
  <c r="J783" i="4" s="1"/>
  <c r="D53" i="8"/>
  <c r="I778" i="4"/>
  <c r="I776" i="4"/>
  <c r="I774" i="4"/>
  <c r="J774" i="4" s="1"/>
  <c r="J775" i="4" s="1"/>
  <c r="J772" i="4"/>
  <c r="I769" i="4"/>
  <c r="J769" i="4" s="1"/>
  <c r="I768" i="4"/>
  <c r="J768" i="4" s="1"/>
  <c r="I766" i="4"/>
  <c r="J766" i="4" s="1"/>
  <c r="J6158" i="4" l="1"/>
  <c r="J5225" i="4"/>
  <c r="E49" i="15"/>
  <c r="E20" i="15" s="1"/>
  <c r="J6176" i="4"/>
  <c r="J5243" i="4"/>
  <c r="J5244" i="4" s="1"/>
  <c r="J488" i="4"/>
  <c r="J494" i="4" s="1"/>
  <c r="J5483" i="4"/>
  <c r="J5237" i="4"/>
  <c r="H5238" i="4"/>
  <c r="J5238" i="4" s="1"/>
  <c r="J773" i="4"/>
  <c r="T55" i="15"/>
  <c r="T56" i="15" s="1"/>
  <c r="J495" i="4" l="1"/>
  <c r="J496" i="4" s="1"/>
  <c r="F36" i="8" s="1"/>
  <c r="H44" i="11" s="1"/>
  <c r="I44" i="11" s="1"/>
  <c r="G38" i="15" l="1"/>
  <c r="G34" i="15"/>
  <c r="G33" i="15"/>
  <c r="F20" i="14"/>
  <c r="I7586" i="4"/>
  <c r="I7584" i="4"/>
  <c r="I7582" i="4"/>
  <c r="J7582" i="4" s="1"/>
  <c r="J7583" i="4" s="1"/>
  <c r="J7580" i="4"/>
  <c r="I7577" i="4"/>
  <c r="J7577" i="4" s="1"/>
  <c r="I7576" i="4"/>
  <c r="J7576" i="4" s="1"/>
  <c r="I7574" i="4"/>
  <c r="J7574" i="4" s="1"/>
  <c r="D443" i="8"/>
  <c r="I7695" i="4"/>
  <c r="I7693" i="4"/>
  <c r="I7691" i="4"/>
  <c r="J7691" i="4" s="1"/>
  <c r="J7692" i="4" s="1"/>
  <c r="J7689" i="4"/>
  <c r="J7690" i="4" s="1"/>
  <c r="I7686" i="4"/>
  <c r="J7686" i="4" s="1"/>
  <c r="I7685" i="4"/>
  <c r="J7685" i="4" s="1"/>
  <c r="I7683" i="4"/>
  <c r="J7683" i="4" s="1"/>
  <c r="D442" i="8"/>
  <c r="I7678" i="4"/>
  <c r="I7676" i="4"/>
  <c r="I7674" i="4"/>
  <c r="J7674" i="4" s="1"/>
  <c r="J7675" i="4" s="1"/>
  <c r="J7672" i="4"/>
  <c r="J7673" i="4" s="1"/>
  <c r="I7669" i="4"/>
  <c r="J7669" i="4" s="1"/>
  <c r="I7668" i="4"/>
  <c r="J7668" i="4" s="1"/>
  <c r="I7666" i="4"/>
  <c r="J7666" i="4" s="1"/>
  <c r="F22" i="14" l="1"/>
  <c r="E43" i="14"/>
  <c r="F43" i="14" s="1"/>
  <c r="F21" i="14"/>
  <c r="E42" i="14"/>
  <c r="F42" i="14" s="1"/>
  <c r="E59" i="14"/>
  <c r="E60" i="14"/>
  <c r="J7581" i="4"/>
  <c r="E62" i="14" l="1"/>
  <c r="F62" i="14" s="1"/>
  <c r="F59" i="14"/>
  <c r="E70" i="14"/>
  <c r="E71" i="14"/>
  <c r="F60" i="14"/>
  <c r="E61" i="14"/>
  <c r="E73" i="14" l="1"/>
  <c r="E94" i="14" s="1"/>
  <c r="F94" i="14" s="1"/>
  <c r="F61" i="14"/>
  <c r="E72" i="14"/>
  <c r="F71" i="14"/>
  <c r="E81" i="14"/>
  <c r="F81" i="14" s="1"/>
  <c r="E92" i="14"/>
  <c r="F92" i="14" s="1"/>
  <c r="F70" i="14"/>
  <c r="E80" i="14"/>
  <c r="F80" i="14" s="1"/>
  <c r="E91" i="14"/>
  <c r="F91" i="14" s="1"/>
  <c r="G58" i="15"/>
  <c r="G56" i="15"/>
  <c r="D441" i="8"/>
  <c r="I7661" i="4"/>
  <c r="I7659" i="4"/>
  <c r="I7657" i="4"/>
  <c r="J7657" i="4" s="1"/>
  <c r="J7658" i="4" s="1"/>
  <c r="J7652" i="4"/>
  <c r="J7656" i="4" s="1"/>
  <c r="I7649" i="4"/>
  <c r="J7649" i="4" s="1"/>
  <c r="I7648" i="4"/>
  <c r="J7648" i="4" s="1"/>
  <c r="I7646" i="4"/>
  <c r="J7646" i="4" s="1"/>
  <c r="D440" i="8"/>
  <c r="I7641" i="4"/>
  <c r="I7639" i="4"/>
  <c r="I7637" i="4"/>
  <c r="J7637" i="4" s="1"/>
  <c r="J7638" i="4" s="1"/>
  <c r="J7635" i="4"/>
  <c r="J7636" i="4" s="1"/>
  <c r="I7632" i="4"/>
  <c r="J7632" i="4" s="1"/>
  <c r="I7631" i="4"/>
  <c r="J7631" i="4" s="1"/>
  <c r="I7629" i="4"/>
  <c r="J7629" i="4" s="1"/>
  <c r="D439" i="8"/>
  <c r="J7618" i="4"/>
  <c r="I7624" i="4"/>
  <c r="I7622" i="4"/>
  <c r="I7620" i="4"/>
  <c r="J7620" i="4" s="1"/>
  <c r="J7621" i="4" s="1"/>
  <c r="J7616" i="4"/>
  <c r="J7617" i="4" s="1"/>
  <c r="I7613" i="4"/>
  <c r="J7613" i="4" s="1"/>
  <c r="I7612" i="4"/>
  <c r="J7612" i="4" s="1"/>
  <c r="I7610" i="4"/>
  <c r="J7610" i="4" s="1"/>
  <c r="D422" i="8"/>
  <c r="I7343" i="4"/>
  <c r="I7341" i="4"/>
  <c r="I7339" i="4"/>
  <c r="J7339" i="4" s="1"/>
  <c r="J7340" i="4" s="1"/>
  <c r="J7337" i="4"/>
  <c r="J7336" i="4"/>
  <c r="I7333" i="4"/>
  <c r="J7333" i="4" s="1"/>
  <c r="I7332" i="4"/>
  <c r="J7332" i="4" s="1"/>
  <c r="I7330" i="4"/>
  <c r="J7330" i="4" s="1"/>
  <c r="G49" i="15"/>
  <c r="D421" i="8"/>
  <c r="D420" i="8"/>
  <c r="J7319" i="4"/>
  <c r="J7301" i="4"/>
  <c r="I7325" i="4"/>
  <c r="I7323" i="4"/>
  <c r="I7321" i="4"/>
  <c r="J7321" i="4" s="1"/>
  <c r="J7322" i="4" s="1"/>
  <c r="J7318" i="4"/>
  <c r="I7315" i="4"/>
  <c r="J7315" i="4" s="1"/>
  <c r="I7314" i="4"/>
  <c r="J7314" i="4" s="1"/>
  <c r="I7312" i="4"/>
  <c r="J7312" i="4" s="1"/>
  <c r="I7307" i="4"/>
  <c r="I7305" i="4"/>
  <c r="I7303" i="4"/>
  <c r="J7303" i="4" s="1"/>
  <c r="J7304" i="4" s="1"/>
  <c r="J7300" i="4"/>
  <c r="I7297" i="4"/>
  <c r="J7297" i="4" s="1"/>
  <c r="I7296" i="4"/>
  <c r="J7296" i="4" s="1"/>
  <c r="I7294" i="4"/>
  <c r="J7294" i="4" s="1"/>
  <c r="G46" i="15"/>
  <c r="D296" i="8"/>
  <c r="I5343" i="4"/>
  <c r="I5341" i="4"/>
  <c r="I5339" i="4"/>
  <c r="J5339" i="4" s="1"/>
  <c r="J5340" i="4" s="1"/>
  <c r="J5337" i="4"/>
  <c r="J5336" i="4"/>
  <c r="I5333" i="4"/>
  <c r="J5333" i="4" s="1"/>
  <c r="I5332" i="4"/>
  <c r="J5332" i="4" s="1"/>
  <c r="I5330" i="4"/>
  <c r="J5330" i="4" s="1"/>
  <c r="D289" i="8"/>
  <c r="I5212" i="4"/>
  <c r="I5210" i="4"/>
  <c r="I5208" i="4"/>
  <c r="J5208" i="4" s="1"/>
  <c r="J5209" i="4" s="1"/>
  <c r="J5206" i="4"/>
  <c r="J5205" i="4"/>
  <c r="I5202" i="4"/>
  <c r="J5202" i="4" s="1"/>
  <c r="I5201" i="4"/>
  <c r="J5201" i="4" s="1"/>
  <c r="I5199" i="4"/>
  <c r="J5199" i="4" s="1"/>
  <c r="G45" i="15"/>
  <c r="G42" i="15"/>
  <c r="D243" i="8"/>
  <c r="I4364" i="4"/>
  <c r="J4364" i="4" s="1"/>
  <c r="I4373" i="4"/>
  <c r="I4371" i="4"/>
  <c r="I4369" i="4"/>
  <c r="J4369" i="4" s="1"/>
  <c r="J4370" i="4" s="1"/>
  <c r="I4361" i="4"/>
  <c r="J4361" i="4" s="1"/>
  <c r="I4360" i="4"/>
  <c r="J4360" i="4" s="1"/>
  <c r="I4358" i="4"/>
  <c r="J4358" i="4" s="1"/>
  <c r="D242" i="8"/>
  <c r="I4344" i="4"/>
  <c r="J4344" i="4" s="1"/>
  <c r="I4353" i="4"/>
  <c r="I4351" i="4"/>
  <c r="I4349" i="4"/>
  <c r="J4349" i="4" s="1"/>
  <c r="J4350" i="4" s="1"/>
  <c r="I4341" i="4"/>
  <c r="J4341" i="4" s="1"/>
  <c r="I4340" i="4"/>
  <c r="J4340" i="4" s="1"/>
  <c r="I4338" i="4"/>
  <c r="J4338" i="4" s="1"/>
  <c r="D241" i="8"/>
  <c r="I4324" i="4"/>
  <c r="J4324" i="4" s="1"/>
  <c r="C10" i="9"/>
  <c r="C11" i="9" s="1"/>
  <c r="C12" i="9" s="1"/>
  <c r="C13" i="9" s="1"/>
  <c r="C14" i="9" s="1"/>
  <c r="C15" i="9" s="1"/>
  <c r="C16" i="9" s="1"/>
  <c r="C17" i="9" s="1"/>
  <c r="C18" i="9" s="1"/>
  <c r="C19" i="9" s="1"/>
  <c r="C20" i="9" s="1"/>
  <c r="C21" i="9" s="1"/>
  <c r="C22" i="9" s="1"/>
  <c r="C23" i="9" s="1"/>
  <c r="C24" i="9" s="1"/>
  <c r="C25" i="9" s="1"/>
  <c r="C26" i="9" s="1"/>
  <c r="C27" i="9" s="1"/>
  <c r="C28" i="9" s="1"/>
  <c r="C29" i="9" s="1"/>
  <c r="C30" i="9" s="1"/>
  <c r="C31" i="9" s="1"/>
  <c r="C32" i="9" s="1"/>
  <c r="C33" i="9" s="1"/>
  <c r="C34" i="9" s="1"/>
  <c r="C35" i="9" s="1"/>
  <c r="C36" i="9" s="1"/>
  <c r="C37" i="9" s="1"/>
  <c r="C38" i="9" s="1"/>
  <c r="C39" i="9" s="1"/>
  <c r="C40" i="9" s="1"/>
  <c r="C41" i="9" s="1"/>
  <c r="C42" i="9" s="1"/>
  <c r="C43" i="9" s="1"/>
  <c r="C44" i="9" s="1"/>
  <c r="C45" i="9" s="1"/>
  <c r="C46" i="9" s="1"/>
  <c r="C47" i="9" s="1"/>
  <c r="C48" i="9" s="1"/>
  <c r="C49" i="9" s="1"/>
  <c r="C50" i="9" s="1"/>
  <c r="C51" i="9" s="1"/>
  <c r="C52" i="9" s="1"/>
  <c r="C53" i="9" s="1"/>
  <c r="C54" i="9" s="1"/>
  <c r="C55" i="9" s="1"/>
  <c r="C56" i="9" s="1"/>
  <c r="C57" i="9" s="1"/>
  <c r="C58" i="9" s="1"/>
  <c r="C59" i="9" s="1"/>
  <c r="C60" i="9" s="1"/>
  <c r="C61" i="9" s="1"/>
  <c r="C62" i="9" s="1"/>
  <c r="C63" i="9" s="1"/>
  <c r="C64" i="9" s="1"/>
  <c r="C65" i="9" s="1"/>
  <c r="C66" i="9" s="1"/>
  <c r="C67" i="9" s="1"/>
  <c r="C68" i="9" s="1"/>
  <c r="C69" i="9" s="1"/>
  <c r="C70" i="9" s="1"/>
  <c r="C71" i="9" s="1"/>
  <c r="C72" i="9" s="1"/>
  <c r="C73" i="9" s="1"/>
  <c r="C74" i="9" s="1"/>
  <c r="C75" i="9" s="1"/>
  <c r="C76" i="9" s="1"/>
  <c r="C77" i="9" s="1"/>
  <c r="C78" i="9" s="1"/>
  <c r="C79" i="9" s="1"/>
  <c r="C80" i="9" s="1"/>
  <c r="C81" i="9" s="1"/>
  <c r="C82" i="9" s="1"/>
  <c r="C83" i="9" s="1"/>
  <c r="C84" i="9" s="1"/>
  <c r="C85" i="9" s="1"/>
  <c r="C86" i="9" s="1"/>
  <c r="C87" i="9" s="1"/>
  <c r="C88" i="9" s="1"/>
  <c r="C89" i="9" s="1"/>
  <c r="C90" i="9" s="1"/>
  <c r="C91" i="9" s="1"/>
  <c r="C92" i="9" s="1"/>
  <c r="C93" i="9" s="1"/>
  <c r="C94" i="9" s="1"/>
  <c r="C95" i="9" s="1"/>
  <c r="C96" i="9" s="1"/>
  <c r="C97" i="9" s="1"/>
  <c r="C98" i="9" s="1"/>
  <c r="C99" i="9" s="1"/>
  <c r="C100" i="9" s="1"/>
  <c r="C101" i="9" s="1"/>
  <c r="C102" i="9" s="1"/>
  <c r="C103" i="9" s="1"/>
  <c r="C104" i="9" s="1"/>
  <c r="C105" i="9" s="1"/>
  <c r="C106" i="9" s="1"/>
  <c r="C107" i="9" s="1"/>
  <c r="C108" i="9" s="1"/>
  <c r="C109" i="9" s="1"/>
  <c r="C110" i="9" s="1"/>
  <c r="C111" i="9" s="1"/>
  <c r="C112" i="9" s="1"/>
  <c r="C113" i="9" s="1"/>
  <c r="C114" i="9" s="1"/>
  <c r="C115" i="9" s="1"/>
  <c r="C116" i="9" s="1"/>
  <c r="C117" i="9" s="1"/>
  <c r="C118" i="9" s="1"/>
  <c r="C119" i="9" s="1"/>
  <c r="C120" i="9" s="1"/>
  <c r="C121" i="9" s="1"/>
  <c r="C122" i="9" s="1"/>
  <c r="C123" i="9" s="1"/>
  <c r="C124" i="9" s="1"/>
  <c r="C125" i="9" s="1"/>
  <c r="C126" i="9" s="1"/>
  <c r="C127" i="9" s="1"/>
  <c r="C128" i="9" s="1"/>
  <c r="C129" i="9" s="1"/>
  <c r="C130" i="9" s="1"/>
  <c r="C131" i="9" s="1"/>
  <c r="C132" i="9" s="1"/>
  <c r="C133" i="9" s="1"/>
  <c r="C134" i="9" s="1"/>
  <c r="C135" i="9" s="1"/>
  <c r="C136" i="9" s="1"/>
  <c r="C137" i="9" s="1"/>
  <c r="C138" i="9" s="1"/>
  <c r="C139" i="9" s="1"/>
  <c r="C140" i="9" s="1"/>
  <c r="C141" i="9" s="1"/>
  <c r="C142" i="9" s="1"/>
  <c r="C143" i="9" s="1"/>
  <c r="C144" i="9" s="1"/>
  <c r="C145" i="9" s="1"/>
  <c r="C146" i="9" s="1"/>
  <c r="C147" i="9" s="1"/>
  <c r="C148" i="9" s="1"/>
  <c r="C149" i="9" s="1"/>
  <c r="C150" i="9" s="1"/>
  <c r="C151" i="9" s="1"/>
  <c r="C152" i="9" s="1"/>
  <c r="C153" i="9" s="1"/>
  <c r="C154" i="9" s="1"/>
  <c r="C155" i="9" s="1"/>
  <c r="C156" i="9" s="1"/>
  <c r="C157" i="9" s="1"/>
  <c r="C158" i="9" s="1"/>
  <c r="C159" i="9" s="1"/>
  <c r="C160" i="9" s="1"/>
  <c r="C161" i="9" s="1"/>
  <c r="C162" i="9" s="1"/>
  <c r="C163" i="9" s="1"/>
  <c r="C164" i="9" s="1"/>
  <c r="C165" i="9" s="1"/>
  <c r="C166" i="9" s="1"/>
  <c r="C167" i="9" s="1"/>
  <c r="C168" i="9" s="1"/>
  <c r="C169" i="9" s="1"/>
  <c r="C170" i="9" s="1"/>
  <c r="C171" i="9" s="1"/>
  <c r="I4333" i="4"/>
  <c r="I4331" i="4"/>
  <c r="I4329" i="4"/>
  <c r="J4329" i="4" s="1"/>
  <c r="J4330" i="4" s="1"/>
  <c r="I4321" i="4"/>
  <c r="J4321" i="4" s="1"/>
  <c r="I4320" i="4"/>
  <c r="J4320" i="4" s="1"/>
  <c r="I4318" i="4"/>
  <c r="J4318" i="4" s="1"/>
  <c r="E83" i="14" l="1"/>
  <c r="F83" i="14" s="1"/>
  <c r="F73" i="14"/>
  <c r="E93" i="14"/>
  <c r="F93" i="14" s="1"/>
  <c r="F72" i="14"/>
  <c r="E82" i="14"/>
  <c r="F82" i="14" s="1"/>
  <c r="C172" i="9"/>
  <c r="C173" i="9" s="1"/>
  <c r="C174" i="9" s="1"/>
  <c r="C175" i="9" s="1"/>
  <c r="C176" i="9" s="1"/>
  <c r="C177" i="9" s="1"/>
  <c r="C178" i="9" s="1"/>
  <c r="C179" i="9" s="1"/>
  <c r="C180" i="9" s="1"/>
  <c r="C181" i="9" s="1"/>
  <c r="C182" i="9" s="1"/>
  <c r="C183" i="9" s="1"/>
  <c r="C184" i="9" s="1"/>
  <c r="C185" i="9" s="1"/>
  <c r="C186" i="9" s="1"/>
  <c r="C187" i="9" s="1"/>
  <c r="C188" i="9" s="1"/>
  <c r="C189" i="9" s="1"/>
  <c r="C190" i="9" s="1"/>
  <c r="C191" i="9" s="1"/>
  <c r="C192" i="9" s="1"/>
  <c r="C193" i="9" s="1"/>
  <c r="C194" i="9" s="1"/>
  <c r="C195" i="9" s="1"/>
  <c r="C196" i="9" s="1"/>
  <c r="C197" i="9" s="1"/>
  <c r="C198" i="9" s="1"/>
  <c r="C199" i="9" s="1"/>
  <c r="C200" i="9" s="1"/>
  <c r="C201" i="9" s="1"/>
  <c r="C202" i="9" s="1"/>
  <c r="C203" i="9" s="1"/>
  <c r="C204" i="9" s="1"/>
  <c r="C205" i="9" s="1"/>
  <c r="C206" i="9" s="1"/>
  <c r="C207" i="9" s="1"/>
  <c r="C208" i="9" s="1"/>
  <c r="C209" i="9" s="1"/>
  <c r="C210" i="9" s="1"/>
  <c r="C211" i="9" s="1"/>
  <c r="C212" i="9" s="1"/>
  <c r="C213" i="9" s="1"/>
  <c r="C214" i="9" s="1"/>
  <c r="C215" i="9" s="1"/>
  <c r="C216" i="9" s="1"/>
  <c r="C217" i="9" s="1"/>
  <c r="C218" i="9" s="1"/>
  <c r="C219" i="9" s="1"/>
  <c r="C220" i="9" s="1"/>
  <c r="C221" i="9" s="1"/>
  <c r="C222" i="9" s="1"/>
  <c r="C223" i="9" s="1"/>
  <c r="C224" i="9" s="1"/>
  <c r="C225" i="9" s="1"/>
  <c r="C226" i="9" s="1"/>
  <c r="C227" i="9" s="1"/>
  <c r="C228" i="9" s="1"/>
  <c r="C229" i="9" s="1"/>
  <c r="C230" i="9" s="1"/>
  <c r="C231" i="9" s="1"/>
  <c r="C232" i="9" s="1"/>
  <c r="C233" i="9" s="1"/>
  <c r="C234" i="9" s="1"/>
  <c r="C235" i="9" s="1"/>
  <c r="C236" i="9" s="1"/>
  <c r="C237" i="9" s="1"/>
  <c r="C238" i="9" s="1"/>
  <c r="C239" i="9" s="1"/>
  <c r="C240" i="9" s="1"/>
  <c r="C241" i="9" s="1"/>
  <c r="C242" i="9" s="1"/>
  <c r="C243" i="9" s="1"/>
  <c r="C244" i="9" s="1"/>
  <c r="C245" i="9" s="1"/>
  <c r="C246" i="9" s="1"/>
  <c r="C247" i="9" s="1"/>
  <c r="C248" i="9" s="1"/>
  <c r="C249" i="9" s="1"/>
  <c r="C250" i="9" s="1"/>
  <c r="C251" i="9" s="1"/>
  <c r="C252" i="9" s="1"/>
  <c r="C253" i="9" s="1"/>
  <c r="C254" i="9" s="1"/>
  <c r="C255" i="9" s="1"/>
  <c r="C256" i="9" s="1"/>
  <c r="C257" i="9" s="1"/>
  <c r="C258" i="9" s="1"/>
  <c r="C259" i="9" s="1"/>
  <c r="C260" i="9" s="1"/>
  <c r="C261" i="9" s="1"/>
  <c r="C262" i="9" s="1"/>
  <c r="C263" i="9" s="1"/>
  <c r="C264" i="9" s="1"/>
  <c r="C265" i="9" s="1"/>
  <c r="C266" i="9" s="1"/>
  <c r="C267" i="9" s="1"/>
  <c r="C268" i="9" s="1"/>
  <c r="C269" i="9" s="1"/>
  <c r="C270" i="9" s="1"/>
  <c r="C271" i="9" s="1"/>
  <c r="C272" i="9" s="1"/>
  <c r="C273" i="9" s="1"/>
  <c r="C274" i="9" s="1"/>
  <c r="C275" i="9" s="1"/>
  <c r="C276" i="9" s="1"/>
  <c r="C277" i="9" s="1"/>
  <c r="C278" i="9" s="1"/>
  <c r="C279" i="9" s="1"/>
  <c r="C280" i="9" s="1"/>
  <c r="C281" i="9" s="1"/>
  <c r="C282" i="9" s="1"/>
  <c r="C283" i="9" s="1"/>
  <c r="C284" i="9" s="1"/>
  <c r="C285" i="9" s="1"/>
  <c r="C286" i="9" s="1"/>
  <c r="C287" i="9" s="1"/>
  <c r="C288" i="9" s="1"/>
  <c r="C289" i="9" s="1"/>
  <c r="C290" i="9" s="1"/>
  <c r="C291" i="9" s="1"/>
  <c r="C292" i="9" s="1"/>
  <c r="C293" i="9" s="1"/>
  <c r="C294" i="9" s="1"/>
  <c r="C295" i="9" s="1"/>
  <c r="C296" i="9" s="1"/>
  <c r="C297" i="9" s="1"/>
  <c r="C298" i="9" s="1"/>
  <c r="C299" i="9" s="1"/>
  <c r="C300" i="9" s="1"/>
  <c r="C301" i="9" s="1"/>
  <c r="C302" i="9" s="1"/>
  <c r="C303" i="9" s="1"/>
  <c r="C304" i="9" s="1"/>
  <c r="C305" i="9" s="1"/>
  <c r="C306" i="9" s="1"/>
  <c r="C307" i="9" s="1"/>
  <c r="C308" i="9" s="1"/>
  <c r="C309" i="9" s="1"/>
  <c r="C310" i="9" s="1"/>
  <c r="C311" i="9" s="1"/>
  <c r="C312" i="9" s="1"/>
  <c r="C313" i="9" s="1"/>
  <c r="C314" i="9" s="1"/>
  <c r="C315" i="9" s="1"/>
  <c r="C316" i="9" s="1"/>
  <c r="C317" i="9" s="1"/>
  <c r="C318" i="9" s="1"/>
  <c r="C319" i="9" s="1"/>
  <c r="C320" i="9" s="1"/>
  <c r="C321" i="9" s="1"/>
  <c r="C322" i="9" s="1"/>
  <c r="C323" i="9" s="1"/>
  <c r="C324" i="9" s="1"/>
  <c r="C325" i="9" s="1"/>
  <c r="C326" i="9" s="1"/>
  <c r="C327" i="9" s="1"/>
  <c r="C328" i="9" s="1"/>
  <c r="C329" i="9" s="1"/>
  <c r="C330" i="9" s="1"/>
  <c r="C331" i="9" s="1"/>
  <c r="C332" i="9" s="1"/>
  <c r="C333" i="9" s="1"/>
  <c r="C334" i="9" s="1"/>
  <c r="C335" i="9" s="1"/>
  <c r="C336" i="9" s="1"/>
  <c r="C337" i="9" s="1"/>
  <c r="C338" i="9" s="1"/>
  <c r="C339" i="9" s="1"/>
  <c r="C340" i="9" s="1"/>
  <c r="C341" i="9" s="1"/>
  <c r="C342" i="9" s="1"/>
  <c r="C343" i="9" s="1"/>
  <c r="C344" i="9" s="1"/>
  <c r="C345" i="9" s="1"/>
  <c r="C346" i="9" s="1"/>
  <c r="C347" i="9" s="1"/>
  <c r="C348" i="9" s="1"/>
  <c r="C349" i="9" s="1"/>
  <c r="C350" i="9" s="1"/>
  <c r="C351" i="9" s="1"/>
  <c r="C352" i="9" s="1"/>
  <c r="C353" i="9" s="1"/>
  <c r="C354" i="9" s="1"/>
  <c r="C355" i="9" s="1"/>
  <c r="C356" i="9" s="1"/>
  <c r="C357" i="9" s="1"/>
  <c r="C358" i="9" s="1"/>
  <c r="C359" i="9" s="1"/>
  <c r="C360" i="9" s="1"/>
  <c r="C361" i="9" s="1"/>
  <c r="C362" i="9" s="1"/>
  <c r="C363" i="9" s="1"/>
  <c r="C364" i="9" s="1"/>
  <c r="C365" i="9" s="1"/>
  <c r="C366" i="9" s="1"/>
  <c r="C367" i="9" s="1"/>
  <c r="C368" i="9" s="1"/>
  <c r="C369" i="9" s="1"/>
  <c r="C370" i="9" s="1"/>
  <c r="C371" i="9" s="1"/>
  <c r="C372" i="9" s="1"/>
  <c r="C373" i="9" s="1"/>
  <c r="C374" i="9" s="1"/>
  <c r="C375" i="9" s="1"/>
  <c r="C376" i="9" s="1"/>
  <c r="C377" i="9" s="1"/>
  <c r="C378" i="9" s="1"/>
  <c r="C379" i="9" s="1"/>
  <c r="C380" i="9" s="1"/>
  <c r="C381" i="9" s="1"/>
  <c r="C382" i="9" s="1"/>
  <c r="C383" i="9" s="1"/>
  <c r="C384" i="9" s="1"/>
  <c r="C385" i="9" s="1"/>
  <c r="C386" i="9" s="1"/>
  <c r="C387" i="9" s="1"/>
  <c r="C388" i="9" s="1"/>
  <c r="C389" i="9" s="1"/>
  <c r="C390" i="9" s="1"/>
  <c r="C391" i="9" s="1"/>
  <c r="C392" i="9" s="1"/>
  <c r="C393" i="9" s="1"/>
  <c r="C394" i="9" s="1"/>
  <c r="C395" i="9" s="1"/>
  <c r="C396" i="9" s="1"/>
  <c r="C397" i="9" s="1"/>
  <c r="C398" i="9" s="1"/>
  <c r="C399" i="9" s="1"/>
  <c r="C400" i="9" s="1"/>
  <c r="C401" i="9" s="1"/>
  <c r="C402" i="9" s="1"/>
  <c r="C403" i="9" s="1"/>
  <c r="C404" i="9" s="1"/>
  <c r="C405" i="9" s="1"/>
  <c r="C406" i="9" s="1"/>
  <c r="C407" i="9" s="1"/>
  <c r="C408" i="9" s="1"/>
  <c r="C409" i="9" s="1"/>
  <c r="C410" i="9" s="1"/>
  <c r="C411" i="9" s="1"/>
  <c r="C412" i="9" s="1"/>
  <c r="C413" i="9" s="1"/>
  <c r="C414" i="9" s="1"/>
  <c r="C415" i="9" s="1"/>
  <c r="C416" i="9" s="1"/>
  <c r="C417" i="9" s="1"/>
  <c r="C418" i="9" s="1"/>
  <c r="C419" i="9" s="1"/>
  <c r="C420" i="9" s="1"/>
  <c r="C421" i="9" s="1"/>
  <c r="C422" i="9" s="1"/>
  <c r="C423" i="9" s="1"/>
  <c r="C424" i="9" s="1"/>
  <c r="C425" i="9" s="1"/>
  <c r="C426" i="9" s="1"/>
  <c r="C427" i="9" s="1"/>
  <c r="C428" i="9" s="1"/>
  <c r="C429" i="9" s="1"/>
  <c r="C430" i="9" s="1"/>
  <c r="C431" i="9" s="1"/>
  <c r="C432" i="9" s="1"/>
  <c r="C433" i="9" s="1"/>
  <c r="C434" i="9" s="1"/>
  <c r="C435" i="9" s="1"/>
  <c r="C436" i="9" s="1"/>
  <c r="C437" i="9" s="1"/>
  <c r="C438" i="9" s="1"/>
  <c r="C439" i="9" s="1"/>
  <c r="C440" i="9" s="1"/>
  <c r="C441" i="9" s="1"/>
  <c r="C442" i="9" s="1"/>
  <c r="C443" i="9" s="1"/>
  <c r="C444" i="9" s="1"/>
  <c r="C445" i="9" s="1"/>
  <c r="C446" i="9" s="1"/>
  <c r="C447" i="9" s="1"/>
  <c r="C448" i="9" s="1"/>
  <c r="C449" i="9" s="1"/>
  <c r="C450" i="9" s="1"/>
  <c r="C451" i="9" s="1"/>
  <c r="C452" i="9" s="1"/>
  <c r="C453" i="9" s="1"/>
  <c r="C454" i="9" s="1"/>
  <c r="C455" i="9" s="1"/>
  <c r="C456" i="9" s="1"/>
  <c r="C457" i="9" s="1"/>
  <c r="C458" i="9" s="1"/>
  <c r="C459" i="9" s="1"/>
  <c r="C460" i="9" s="1"/>
  <c r="C461" i="9" s="1"/>
  <c r="C462" i="9" s="1"/>
  <c r="C463" i="9" s="1"/>
  <c r="C464" i="9" s="1"/>
  <c r="C465" i="9" s="1"/>
  <c r="C466" i="9" s="1"/>
  <c r="C467" i="9" s="1"/>
  <c r="C468" i="9" s="1"/>
  <c r="C469" i="9" s="1"/>
  <c r="C470" i="9" s="1"/>
  <c r="C471" i="9" s="1"/>
  <c r="C472" i="9" s="1"/>
  <c r="C473" i="9" s="1"/>
  <c r="C474" i="9" s="1"/>
  <c r="C475" i="9" s="1"/>
  <c r="C476" i="9" s="1"/>
  <c r="C477" i="9" s="1"/>
  <c r="C478" i="9" s="1"/>
  <c r="C479" i="9" s="1"/>
  <c r="C480" i="9" s="1"/>
  <c r="C481" i="9" s="1"/>
  <c r="C482" i="9" s="1"/>
  <c r="C483" i="9" s="1"/>
  <c r="C484" i="9" s="1"/>
  <c r="C485" i="9" s="1"/>
  <c r="C486" i="9" s="1"/>
  <c r="C487" i="9" s="1"/>
  <c r="C488" i="9" s="1"/>
  <c r="C489" i="9" s="1"/>
  <c r="C490" i="9" s="1"/>
  <c r="C491" i="9" s="1"/>
  <c r="C492" i="9" s="1"/>
  <c r="C493" i="9" s="1"/>
  <c r="C494" i="9" s="1"/>
  <c r="C495" i="9" s="1"/>
  <c r="C496" i="9" s="1"/>
  <c r="C497" i="9" s="1"/>
  <c r="C498" i="9" s="1"/>
  <c r="C499" i="9" s="1"/>
  <c r="C500" i="9" s="1"/>
  <c r="C501" i="9" s="1"/>
  <c r="C502" i="9" s="1"/>
  <c r="C503" i="9" s="1"/>
  <c r="C504" i="9" s="1"/>
  <c r="C505" i="9" s="1"/>
  <c r="C506" i="9" s="1"/>
  <c r="C507" i="9" s="1"/>
  <c r="C508" i="9" s="1"/>
  <c r="C509" i="9" s="1"/>
  <c r="C510" i="9" s="1"/>
  <c r="C511" i="9" s="1"/>
  <c r="C512" i="9" s="1"/>
  <c r="C513" i="9" s="1"/>
  <c r="C514" i="9" s="1"/>
  <c r="C515" i="9" s="1"/>
  <c r="C516" i="9" s="1"/>
  <c r="C517" i="9" s="1"/>
  <c r="C518" i="9" s="1"/>
  <c r="C519" i="9" s="1"/>
  <c r="C520" i="9" s="1"/>
  <c r="C521" i="9" s="1"/>
  <c r="C522" i="9" s="1"/>
  <c r="C523" i="9" s="1"/>
  <c r="C524" i="9" s="1"/>
  <c r="C525" i="9" s="1"/>
  <c r="C526" i="9" s="1"/>
  <c r="C527" i="9" s="1"/>
  <c r="C528" i="9" s="1"/>
  <c r="C529" i="9" s="1"/>
  <c r="C530" i="9" s="1"/>
  <c r="C531" i="9" s="1"/>
  <c r="C532" i="9" s="1"/>
  <c r="C533" i="9" s="1"/>
  <c r="C534" i="9" s="1"/>
  <c r="C535" i="9" s="1"/>
  <c r="C536" i="9" s="1"/>
  <c r="C537" i="9" s="1"/>
  <c r="C538" i="9" s="1"/>
  <c r="C539" i="9" s="1"/>
  <c r="C540" i="9" s="1"/>
  <c r="C541" i="9" s="1"/>
  <c r="C542" i="9" s="1"/>
  <c r="C543" i="9" s="1"/>
  <c r="C544" i="9" s="1"/>
  <c r="C545" i="9" s="1"/>
  <c r="C546" i="9" s="1"/>
  <c r="C547" i="9" s="1"/>
  <c r="C548" i="9" s="1"/>
  <c r="C549" i="9" s="1"/>
  <c r="C550" i="9" s="1"/>
  <c r="C551" i="9" s="1"/>
  <c r="C552" i="9" s="1"/>
  <c r="C553" i="9" s="1"/>
  <c r="C554" i="9" s="1"/>
  <c r="C555" i="9" s="1"/>
  <c r="C556" i="9" s="1"/>
  <c r="C557" i="9" s="1"/>
  <c r="C558" i="9" s="1"/>
  <c r="C559" i="9" s="1"/>
  <c r="C560" i="9" s="1"/>
  <c r="C561" i="9" s="1"/>
  <c r="C562" i="9" s="1"/>
  <c r="C563" i="9" s="1"/>
  <c r="C564" i="9" s="1"/>
  <c r="C565" i="9" s="1"/>
  <c r="C566" i="9" s="1"/>
  <c r="C567" i="9" s="1"/>
  <c r="C568" i="9" s="1"/>
  <c r="C569" i="9" s="1"/>
  <c r="C570" i="9" s="1"/>
  <c r="C571" i="9" s="1"/>
  <c r="C572" i="9" s="1"/>
  <c r="C573" i="9" s="1"/>
  <c r="C574" i="9" s="1"/>
  <c r="C575" i="9" s="1"/>
  <c r="C576" i="9" s="1"/>
  <c r="C577" i="9" s="1"/>
  <c r="C578" i="9" s="1"/>
  <c r="C579" i="9" s="1"/>
  <c r="C580" i="9" s="1"/>
  <c r="C581" i="9" s="1"/>
  <c r="C582" i="9" s="1"/>
  <c r="C583" i="9" s="1"/>
  <c r="C584" i="9" s="1"/>
  <c r="C585" i="9" s="1"/>
  <c r="C586" i="9" s="1"/>
  <c r="C587" i="9" s="1"/>
  <c r="C588" i="9" s="1"/>
  <c r="C589" i="9" s="1"/>
  <c r="C590" i="9" s="1"/>
  <c r="C591" i="9" s="1"/>
  <c r="C592" i="9" s="1"/>
  <c r="C593" i="9" s="1"/>
  <c r="C594" i="9" s="1"/>
  <c r="C595" i="9" s="1"/>
  <c r="C596" i="9" s="1"/>
  <c r="C597" i="9" s="1"/>
  <c r="C598" i="9" s="1"/>
  <c r="C599" i="9" s="1"/>
  <c r="C600" i="9" s="1"/>
  <c r="C601" i="9" s="1"/>
  <c r="C602" i="9" s="1"/>
  <c r="C603" i="9" s="1"/>
  <c r="C604" i="9" s="1"/>
  <c r="C605" i="9" s="1"/>
  <c r="C606" i="9" s="1"/>
  <c r="C607" i="9" s="1"/>
  <c r="C608" i="9" s="1"/>
  <c r="C609" i="9" s="1"/>
  <c r="C610" i="9" s="1"/>
  <c r="C611" i="9" s="1"/>
  <c r="C612" i="9" s="1"/>
  <c r="C613" i="9" s="1"/>
  <c r="C614" i="9" s="1"/>
  <c r="C615" i="9" s="1"/>
  <c r="C616" i="9" s="1"/>
  <c r="C617" i="9" s="1"/>
  <c r="C618" i="9" s="1"/>
  <c r="C619" i="9" s="1"/>
  <c r="C620" i="9" s="1"/>
  <c r="C621" i="9" s="1"/>
  <c r="C622" i="9" s="1"/>
  <c r="C623" i="9" s="1"/>
  <c r="C624" i="9" s="1"/>
  <c r="C625" i="9" s="1"/>
  <c r="C626" i="9" s="1"/>
  <c r="C627" i="9" s="1"/>
  <c r="C628" i="9" s="1"/>
  <c r="C629" i="9" s="1"/>
  <c r="C630" i="9" s="1"/>
  <c r="C631" i="9" s="1"/>
  <c r="C632" i="9" s="1"/>
  <c r="C633" i="9" s="1"/>
  <c r="C634" i="9" s="1"/>
  <c r="C635" i="9" s="1"/>
  <c r="C636" i="9" s="1"/>
  <c r="C637" i="9" s="1"/>
  <c r="C638" i="9" s="1"/>
  <c r="C639" i="9" s="1"/>
  <c r="C640" i="9" s="1"/>
  <c r="C641" i="9" s="1"/>
  <c r="C642" i="9" s="1"/>
  <c r="C643" i="9" s="1"/>
  <c r="C644" i="9" s="1"/>
  <c r="C645" i="9" s="1"/>
  <c r="C646" i="9" s="1"/>
  <c r="C647" i="9" s="1"/>
  <c r="C648" i="9" s="1"/>
  <c r="C649" i="9" s="1"/>
  <c r="C650" i="9" s="1"/>
  <c r="C651" i="9" s="1"/>
  <c r="C652" i="9" s="1"/>
  <c r="C653" i="9" s="1"/>
  <c r="C654" i="9" s="1"/>
  <c r="C655" i="9" s="1"/>
  <c r="C656" i="9" s="1"/>
  <c r="C657" i="9" s="1"/>
  <c r="C658" i="9" s="1"/>
  <c r="C659" i="9" s="1"/>
  <c r="C660" i="9" s="1"/>
  <c r="C661" i="9" s="1"/>
  <c r="C662" i="9" s="1"/>
  <c r="C663" i="9" s="1"/>
  <c r="C664" i="9" s="1"/>
  <c r="C665" i="9" s="1"/>
  <c r="C666" i="9" s="1"/>
  <c r="C667" i="9" s="1"/>
  <c r="C668" i="9" s="1"/>
  <c r="C669" i="9" s="1"/>
  <c r="C670" i="9" s="1"/>
  <c r="C671" i="9" s="1"/>
  <c r="C672" i="9" s="1"/>
  <c r="C673" i="9" s="1"/>
  <c r="C674" i="9" s="1"/>
  <c r="C675" i="9" s="1"/>
  <c r="C676" i="9" s="1"/>
  <c r="C677" i="9" s="1"/>
  <c r="C678" i="9" s="1"/>
  <c r="C679" i="9" s="1"/>
  <c r="C680" i="9" s="1"/>
  <c r="C681" i="9" s="1"/>
  <c r="C682" i="9" s="1"/>
  <c r="C683" i="9" s="1"/>
  <c r="C684" i="9" s="1"/>
  <c r="C685" i="9" s="1"/>
  <c r="C686" i="9" s="1"/>
  <c r="C687" i="9" s="1"/>
  <c r="C688" i="9" s="1"/>
  <c r="C689" i="9" s="1"/>
  <c r="C690" i="9" s="1"/>
  <c r="C691" i="9" s="1"/>
  <c r="C692" i="9" s="1"/>
  <c r="C693" i="9" s="1"/>
  <c r="C694" i="9" s="1"/>
  <c r="C695" i="9" s="1"/>
  <c r="C696" i="9" s="1"/>
  <c r="C697" i="9" s="1"/>
  <c r="C698" i="9" s="1"/>
  <c r="C699" i="9" s="1"/>
  <c r="C700" i="9" s="1"/>
  <c r="C701" i="9" s="1"/>
  <c r="C702" i="9" s="1"/>
  <c r="C703" i="9" s="1"/>
  <c r="C704" i="9" s="1"/>
  <c r="C705" i="9" s="1"/>
  <c r="C706" i="9" s="1"/>
  <c r="C707" i="9" s="1"/>
  <c r="C708" i="9" s="1"/>
  <c r="C709" i="9" s="1"/>
  <c r="C710" i="9" s="1"/>
  <c r="C711" i="9" s="1"/>
  <c r="C712" i="9" s="1"/>
  <c r="C713" i="9" s="1"/>
  <c r="C714" i="9" s="1"/>
  <c r="C715" i="9" s="1"/>
  <c r="C716" i="9" s="1"/>
  <c r="C717" i="9" s="1"/>
  <c r="C718" i="9" s="1"/>
  <c r="C719" i="9" s="1"/>
  <c r="C720" i="9" s="1"/>
  <c r="C721" i="9" s="1"/>
  <c r="C722" i="9" s="1"/>
  <c r="C723" i="9" s="1"/>
  <c r="C724" i="9" s="1"/>
  <c r="C725" i="9" s="1"/>
  <c r="C726" i="9" s="1"/>
  <c r="C727" i="9" s="1"/>
  <c r="C728" i="9" s="1"/>
  <c r="C729" i="9" s="1"/>
  <c r="C730" i="9" s="1"/>
  <c r="C731" i="9" s="1"/>
  <c r="C732" i="9" s="1"/>
  <c r="C733" i="9" s="1"/>
  <c r="C734" i="9" s="1"/>
  <c r="C735" i="9" s="1"/>
  <c r="C736" i="9" s="1"/>
  <c r="C737" i="9" s="1"/>
  <c r="C738" i="9" s="1"/>
  <c r="C739" i="9" s="1"/>
  <c r="C740" i="9" s="1"/>
  <c r="C741" i="9" s="1"/>
  <c r="C742" i="9" s="1"/>
  <c r="C743" i="9" s="1"/>
  <c r="C744" i="9" s="1"/>
  <c r="C745" i="9" s="1"/>
  <c r="C746" i="9" s="1"/>
  <c r="C747" i="9" s="1"/>
  <c r="C748" i="9" s="1"/>
  <c r="C749" i="9" s="1"/>
  <c r="C750" i="9" s="1"/>
  <c r="C751" i="9" s="1"/>
  <c r="C752" i="9" s="1"/>
  <c r="C753" i="9" s="1"/>
  <c r="C754" i="9" s="1"/>
  <c r="C755" i="9" s="1"/>
  <c r="C756" i="9" s="1"/>
  <c r="C757" i="9" s="1"/>
  <c r="C758" i="9" s="1"/>
  <c r="C759" i="9" s="1"/>
  <c r="C760" i="9" s="1"/>
  <c r="C761" i="9" s="1"/>
  <c r="C762" i="9" s="1"/>
  <c r="C763" i="9" s="1"/>
  <c r="C764" i="9" s="1"/>
  <c r="C765" i="9" s="1"/>
  <c r="C766" i="9" s="1"/>
  <c r="C767" i="9" s="1"/>
  <c r="C768" i="9" s="1"/>
  <c r="C769" i="9" s="1"/>
  <c r="C770" i="9" s="1"/>
  <c r="C771" i="9" s="1"/>
  <c r="C772" i="9" s="1"/>
  <c r="C773" i="9" s="1"/>
  <c r="C774" i="9" s="1"/>
  <c r="C775" i="9" s="1"/>
  <c r="C776" i="9" s="1"/>
  <c r="C777" i="9" s="1"/>
  <c r="C778" i="9" s="1"/>
  <c r="C779" i="9" s="1"/>
  <c r="C780" i="9" s="1"/>
  <c r="C781" i="9" s="1"/>
  <c r="C782" i="9" s="1"/>
  <c r="C783" i="9" s="1"/>
  <c r="C784" i="9" s="1"/>
  <c r="C785" i="9" s="1"/>
  <c r="C786" i="9" s="1"/>
  <c r="C787" i="9" s="1"/>
  <c r="C788" i="9" s="1"/>
  <c r="C789" i="9" s="1"/>
  <c r="C790" i="9" s="1"/>
  <c r="C791" i="9" s="1"/>
  <c r="C792" i="9" s="1"/>
  <c r="C793" i="9" s="1"/>
  <c r="C794" i="9" s="1"/>
  <c r="C795" i="9" s="1"/>
  <c r="C796" i="9" s="1"/>
  <c r="C797" i="9" s="1"/>
  <c r="C798" i="9" s="1"/>
  <c r="C799" i="9" s="1"/>
  <c r="C800" i="9" s="1"/>
  <c r="C801" i="9" s="1"/>
  <c r="C802" i="9" s="1"/>
  <c r="C803" i="9" s="1"/>
  <c r="C804" i="9" s="1"/>
  <c r="C805" i="9" s="1"/>
  <c r="C806" i="9" s="1"/>
  <c r="C807" i="9" s="1"/>
  <c r="C808" i="9" s="1"/>
  <c r="C809" i="9" s="1"/>
  <c r="C810" i="9" s="1"/>
  <c r="C811" i="9" s="1"/>
  <c r="C812" i="9" s="1"/>
  <c r="C813" i="9" s="1"/>
  <c r="C814" i="9" s="1"/>
  <c r="C815" i="9" s="1"/>
  <c r="C816" i="9" s="1"/>
  <c r="C817" i="9" s="1"/>
  <c r="C818" i="9" s="1"/>
  <c r="C819" i="9" s="1"/>
  <c r="C820" i="9" s="1"/>
  <c r="C821" i="9" s="1"/>
  <c r="C822" i="9" s="1"/>
  <c r="C823" i="9" s="1"/>
  <c r="C824" i="9" s="1"/>
  <c r="C825" i="9" s="1"/>
  <c r="C826" i="9" s="1"/>
  <c r="C827" i="9" s="1"/>
  <c r="C828" i="9" s="1"/>
  <c r="C829" i="9" s="1"/>
  <c r="C830" i="9" s="1"/>
  <c r="C831" i="9" s="1"/>
  <c r="C832" i="9" s="1"/>
  <c r="C833" i="9" s="1"/>
  <c r="C834" i="9" s="1"/>
  <c r="C835" i="9" s="1"/>
  <c r="C836" i="9" s="1"/>
  <c r="C837" i="9" s="1"/>
  <c r="C838" i="9" s="1"/>
  <c r="C839" i="9" s="1"/>
  <c r="C840" i="9" s="1"/>
  <c r="C841" i="9" s="1"/>
  <c r="C842" i="9" s="1"/>
  <c r="C843" i="9" s="1"/>
  <c r="C844" i="9" s="1"/>
  <c r="C845" i="9" s="1"/>
  <c r="C846" i="9" s="1"/>
  <c r="C847" i="9" s="1"/>
  <c r="C848" i="9" s="1"/>
  <c r="C849" i="9" s="1"/>
  <c r="C850" i="9" s="1"/>
  <c r="C851" i="9" s="1"/>
  <c r="C852" i="9" s="1"/>
  <c r="C853" i="9" s="1"/>
  <c r="C854" i="9" s="1"/>
  <c r="C855" i="9" s="1"/>
  <c r="C856" i="9" s="1"/>
  <c r="C857" i="9" s="1"/>
  <c r="C858" i="9" s="1"/>
  <c r="C859" i="9" s="1"/>
  <c r="C860" i="9" s="1"/>
  <c r="C861" i="9" s="1"/>
  <c r="C862" i="9" s="1"/>
  <c r="C863" i="9" s="1"/>
  <c r="C864" i="9" s="1"/>
  <c r="C865" i="9" s="1"/>
  <c r="C866" i="9" s="1"/>
  <c r="C867" i="9" s="1"/>
  <c r="C868" i="9" s="1"/>
  <c r="C869" i="9" s="1"/>
  <c r="C870" i="9" s="1"/>
  <c r="C871" i="9" s="1"/>
  <c r="C872" i="9" s="1"/>
  <c r="C873" i="9" s="1"/>
  <c r="C874" i="9" s="1"/>
  <c r="C875" i="9" s="1"/>
  <c r="C876" i="9" s="1"/>
  <c r="C877" i="9" s="1"/>
  <c r="C878" i="9" s="1"/>
  <c r="C879" i="9" s="1"/>
  <c r="C880" i="9" s="1"/>
  <c r="C881" i="9" s="1"/>
  <c r="C882" i="9" s="1"/>
  <c r="C883" i="9" s="1"/>
  <c r="C884" i="9" s="1"/>
  <c r="C885" i="9" s="1"/>
  <c r="C886" i="9" s="1"/>
  <c r="C887" i="9" s="1"/>
  <c r="C888" i="9" s="1"/>
  <c r="C889" i="9" s="1"/>
  <c r="C890" i="9" s="1"/>
  <c r="C891" i="9" s="1"/>
  <c r="C892" i="9" s="1"/>
  <c r="C893" i="9" s="1"/>
  <c r="C894" i="9" s="1"/>
  <c r="C895" i="9" s="1"/>
  <c r="C896" i="9" s="1"/>
  <c r="C897" i="9" s="1"/>
  <c r="C898" i="9" s="1"/>
  <c r="C899" i="9" s="1"/>
  <c r="C900" i="9" s="1"/>
  <c r="C901" i="9" s="1"/>
  <c r="C902" i="9" s="1"/>
  <c r="C903" i="9" s="1"/>
  <c r="C904" i="9" s="1"/>
  <c r="C905" i="9" s="1"/>
  <c r="C906" i="9" s="1"/>
  <c r="C907" i="9" s="1"/>
  <c r="C908" i="9" s="1"/>
  <c r="C909" i="9" s="1"/>
  <c r="C910" i="9" s="1"/>
  <c r="C911" i="9" s="1"/>
  <c r="C912" i="9" s="1"/>
  <c r="C913" i="9" s="1"/>
  <c r="C914" i="9" s="1"/>
  <c r="C915" i="9" s="1"/>
  <c r="C916" i="9" s="1"/>
  <c r="C917" i="9" s="1"/>
  <c r="C918" i="9" s="1"/>
  <c r="C919" i="9" s="1"/>
  <c r="C920" i="9" s="1"/>
  <c r="C921" i="9" s="1"/>
  <c r="C922" i="9" s="1"/>
  <c r="C923" i="9" s="1"/>
  <c r="C924" i="9" s="1"/>
  <c r="C925" i="9" s="1"/>
  <c r="C926" i="9" s="1"/>
  <c r="C927" i="9" s="1"/>
  <c r="C928" i="9" s="1"/>
  <c r="C929" i="9" s="1"/>
  <c r="C930" i="9" s="1"/>
  <c r="C931" i="9" s="1"/>
  <c r="C932" i="9" s="1"/>
  <c r="C933" i="9" s="1"/>
  <c r="C934" i="9" s="1"/>
  <c r="C935" i="9" s="1"/>
  <c r="C936" i="9" s="1"/>
  <c r="C937" i="9" s="1"/>
  <c r="C938" i="9" s="1"/>
  <c r="C939" i="9" s="1"/>
  <c r="C940" i="9" s="1"/>
  <c r="C941" i="9" s="1"/>
  <c r="C942" i="9" s="1"/>
  <c r="C943" i="9" s="1"/>
  <c r="C944" i="9" s="1"/>
  <c r="C945" i="9" s="1"/>
  <c r="C946" i="9" s="1"/>
  <c r="C947" i="9" s="1"/>
  <c r="C948" i="9" s="1"/>
  <c r="C949" i="9" s="1"/>
  <c r="C950" i="9" s="1"/>
  <c r="C951" i="9" s="1"/>
  <c r="C952" i="9" s="1"/>
  <c r="C953" i="9" s="1"/>
  <c r="C954" i="9" s="1"/>
  <c r="C955" i="9" s="1"/>
  <c r="C956" i="9" s="1"/>
  <c r="C957" i="9" s="1"/>
  <c r="C958" i="9" s="1"/>
  <c r="C959" i="9" s="1"/>
  <c r="C960" i="9" s="1"/>
  <c r="C961" i="9" s="1"/>
  <c r="C962" i="9" s="1"/>
  <c r="C963" i="9" s="1"/>
  <c r="C964" i="9" s="1"/>
  <c r="C965" i="9" s="1"/>
  <c r="C966" i="9" s="1"/>
  <c r="C967" i="9" s="1"/>
  <c r="C968" i="9" s="1"/>
  <c r="C969" i="9" s="1"/>
  <c r="C970" i="9" s="1"/>
  <c r="C971" i="9" s="1"/>
  <c r="C972" i="9" s="1"/>
  <c r="C973" i="9" s="1"/>
  <c r="C974" i="9" s="1"/>
  <c r="C975" i="9" s="1"/>
  <c r="C976" i="9" s="1"/>
  <c r="C977" i="9" s="1"/>
  <c r="C978" i="9" s="1"/>
  <c r="C979" i="9" s="1"/>
  <c r="C980" i="9" s="1"/>
  <c r="C981" i="9" s="1"/>
  <c r="C982" i="9" s="1"/>
  <c r="C983" i="9" s="1"/>
  <c r="C984" i="9" s="1"/>
  <c r="C985" i="9" s="1"/>
  <c r="C986" i="9" s="1"/>
  <c r="C987" i="9" s="1"/>
  <c r="C988" i="9" s="1"/>
  <c r="C989" i="9" s="1"/>
  <c r="C990" i="9" s="1"/>
  <c r="C991" i="9" s="1"/>
  <c r="C992" i="9" s="1"/>
  <c r="C993" i="9" s="1"/>
  <c r="C994" i="9" s="1"/>
  <c r="C995" i="9" s="1"/>
  <c r="C996" i="9" s="1"/>
  <c r="C997" i="9" s="1"/>
  <c r="C998" i="9" s="1"/>
  <c r="C999" i="9" s="1"/>
  <c r="C1000" i="9" s="1"/>
  <c r="C1001" i="9" s="1"/>
  <c r="C1002" i="9" s="1"/>
  <c r="C1003" i="9" s="1"/>
  <c r="C1004" i="9" s="1"/>
  <c r="C1005" i="9" s="1"/>
  <c r="C1006" i="9" s="1"/>
  <c r="C1007" i="9" s="1"/>
  <c r="C1008" i="9" s="1"/>
  <c r="C1009" i="9" s="1"/>
  <c r="C1010" i="9" s="1"/>
  <c r="C1011" i="9" s="1"/>
  <c r="C1012" i="9" s="1"/>
  <c r="C1013" i="9" s="1"/>
  <c r="C1014" i="9" s="1"/>
  <c r="C1015" i="9" s="1"/>
  <c r="C1016" i="9" s="1"/>
  <c r="C1017" i="9" s="1"/>
  <c r="C1018" i="9" s="1"/>
  <c r="C1019" i="9" s="1"/>
  <c r="C1020" i="9" s="1"/>
  <c r="C1021" i="9" s="1"/>
  <c r="C1022" i="9" s="1"/>
  <c r="C1023" i="9" s="1"/>
  <c r="C1024" i="9" s="1"/>
  <c r="C1025" i="9" s="1"/>
  <c r="C1026" i="9" s="1"/>
  <c r="C1027" i="9" s="1"/>
  <c r="C1028" i="9" s="1"/>
  <c r="C1029" i="9" s="1"/>
  <c r="C1030" i="9" s="1"/>
  <c r="C1031" i="9" s="1"/>
  <c r="C1032" i="9" s="1"/>
  <c r="C1033" i="9" s="1"/>
  <c r="C1034" i="9" s="1"/>
  <c r="C1035" i="9" s="1"/>
  <c r="C1036" i="9" s="1"/>
  <c r="C1037" i="9" s="1"/>
  <c r="C1038" i="9" s="1"/>
  <c r="C1039" i="9" s="1"/>
  <c r="C1040" i="9" s="1"/>
  <c r="J7302" i="4"/>
  <c r="J7619" i="4"/>
  <c r="J5207" i="4"/>
  <c r="J7338" i="4"/>
  <c r="J7320" i="4"/>
  <c r="J5338" i="4"/>
  <c r="G57" i="15"/>
  <c r="G59" i="15"/>
  <c r="G55" i="15"/>
  <c r="G20" i="15"/>
  <c r="G19" i="15"/>
  <c r="G16" i="15"/>
  <c r="G13" i="15"/>
  <c r="G12" i="15"/>
  <c r="I227" i="13"/>
  <c r="E12" i="15" s="1"/>
  <c r="C142" i="14" l="1"/>
  <c r="C138" i="14"/>
  <c r="C134" i="14"/>
  <c r="C129" i="14"/>
  <c r="C126" i="14"/>
  <c r="C125" i="14"/>
  <c r="C121" i="14"/>
  <c r="C120" i="14"/>
  <c r="C116" i="14"/>
  <c r="C115" i="14"/>
  <c r="C111" i="14"/>
  <c r="C110" i="14"/>
  <c r="I66" i="13"/>
  <c r="E52" i="15" s="1"/>
  <c r="I25" i="13"/>
  <c r="I23" i="13"/>
  <c r="I22" i="13"/>
  <c r="I20" i="13"/>
  <c r="I18" i="13"/>
  <c r="I16" i="13"/>
  <c r="I14" i="13"/>
  <c r="I13" i="13"/>
  <c r="I12" i="13"/>
  <c r="I11" i="13"/>
  <c r="I9" i="13"/>
  <c r="I8" i="13"/>
  <c r="I7" i="13"/>
  <c r="I6" i="13"/>
  <c r="E1439" i="12"/>
  <c r="E1437" i="12"/>
  <c r="E1435" i="12"/>
  <c r="E1413" i="12"/>
  <c r="F1413" i="12" s="1"/>
  <c r="F1389" i="12"/>
  <c r="F1407" i="12" s="1"/>
  <c r="F1439" i="12" s="1"/>
  <c r="E1389" i="12"/>
  <c r="F1383" i="12"/>
  <c r="E1383" i="12"/>
  <c r="E1377" i="12"/>
  <c r="E1371" i="12"/>
  <c r="F1362" i="12"/>
  <c r="G1360" i="12"/>
  <c r="D1356" i="12"/>
  <c r="C1358" i="12" s="1"/>
  <c r="D1355" i="12"/>
  <c r="E1350" i="12"/>
  <c r="E1348" i="12"/>
  <c r="E1346" i="12"/>
  <c r="E1277" i="12"/>
  <c r="F1277" i="12" s="1"/>
  <c r="E1284" i="12" s="1"/>
  <c r="F1284" i="12" s="1"/>
  <c r="F1272" i="12"/>
  <c r="E1272" i="12"/>
  <c r="E1266" i="12"/>
  <c r="E1260" i="12"/>
  <c r="F1251" i="12"/>
  <c r="G1249" i="12"/>
  <c r="F1269" i="12" s="1"/>
  <c r="H1269" i="12" s="1"/>
  <c r="C1247" i="12"/>
  <c r="C1246" i="12"/>
  <c r="E1226" i="12"/>
  <c r="E1225" i="12"/>
  <c r="D1222" i="12"/>
  <c r="F1220" i="12"/>
  <c r="E1220" i="12"/>
  <c r="E1214" i="12"/>
  <c r="E1208" i="12"/>
  <c r="F1199" i="12"/>
  <c r="C1195" i="12"/>
  <c r="F1193" i="12"/>
  <c r="E1193" i="12" s="1"/>
  <c r="E1187" i="12"/>
  <c r="E1181" i="12"/>
  <c r="G1178" i="12"/>
  <c r="G1170" i="12"/>
  <c r="F1181" i="12" s="1"/>
  <c r="C1168" i="12"/>
  <c r="G1164" i="12"/>
  <c r="F1164" i="12"/>
  <c r="E1164" i="12"/>
  <c r="F1161" i="12"/>
  <c r="E1161" i="12"/>
  <c r="F1158" i="12"/>
  <c r="E1158" i="12"/>
  <c r="H1156" i="12"/>
  <c r="H1161" i="12" s="1"/>
  <c r="H1164" i="12" s="1"/>
  <c r="F1156" i="12"/>
  <c r="E1156" i="12"/>
  <c r="H1153" i="12"/>
  <c r="E1153" i="12"/>
  <c r="J1150" i="12"/>
  <c r="C1148" i="12"/>
  <c r="C1147" i="12"/>
  <c r="S1145" i="12"/>
  <c r="V1145" i="12" s="1"/>
  <c r="N1143" i="12"/>
  <c r="N1146" i="12" s="1"/>
  <c r="T1142" i="12"/>
  <c r="T1143" i="12" s="1"/>
  <c r="S1142" i="12"/>
  <c r="N1142" i="12"/>
  <c r="N1145" i="12" s="1"/>
  <c r="H1141" i="12"/>
  <c r="H1140" i="12"/>
  <c r="H1139" i="12"/>
  <c r="T1138" i="12"/>
  <c r="S1138" i="12"/>
  <c r="H1138" i="12"/>
  <c r="T1137" i="12"/>
  <c r="S1137" i="12"/>
  <c r="H1137" i="12"/>
  <c r="T1136" i="12"/>
  <c r="S1136" i="12"/>
  <c r="U1135" i="12"/>
  <c r="T1135" i="12"/>
  <c r="S1135" i="12"/>
  <c r="F1119" i="12"/>
  <c r="F1125" i="12" s="1"/>
  <c r="F1112" i="12"/>
  <c r="F1130" i="12" s="1"/>
  <c r="F1108" i="12"/>
  <c r="E1108" i="12"/>
  <c r="E1105" i="12"/>
  <c r="E1102" i="12"/>
  <c r="E1099" i="12"/>
  <c r="E1096" i="12"/>
  <c r="G1090" i="12"/>
  <c r="F1087" i="12"/>
  <c r="E1082" i="12"/>
  <c r="F1082" i="12" s="1"/>
  <c r="G1085" i="12" s="1"/>
  <c r="E1090" i="12" s="1"/>
  <c r="F1079" i="12"/>
  <c r="E1079" i="12"/>
  <c r="E1076" i="12"/>
  <c r="E1073" i="12"/>
  <c r="E1070" i="12"/>
  <c r="E1067" i="12"/>
  <c r="F1058" i="12"/>
  <c r="E1053" i="12"/>
  <c r="F1053" i="12" s="1"/>
  <c r="G1056" i="12" s="1"/>
  <c r="F1050" i="12"/>
  <c r="E1050" i="12"/>
  <c r="E1047" i="12"/>
  <c r="E1044" i="12"/>
  <c r="E1041" i="12"/>
  <c r="E1038" i="12"/>
  <c r="F1029" i="12"/>
  <c r="E1024" i="12"/>
  <c r="E1022" i="12"/>
  <c r="F1018" i="12"/>
  <c r="E1018" i="12"/>
  <c r="E1015" i="12"/>
  <c r="E1012" i="12"/>
  <c r="E1009" i="12"/>
  <c r="E1006" i="12"/>
  <c r="F997" i="12"/>
  <c r="F992" i="12"/>
  <c r="G995" i="12" s="1"/>
  <c r="G1018" i="12" s="1"/>
  <c r="F988" i="12"/>
  <c r="E988" i="12"/>
  <c r="E985" i="12"/>
  <c r="H982" i="12"/>
  <c r="E982" i="12"/>
  <c r="H980" i="12"/>
  <c r="H985" i="12" s="1"/>
  <c r="H988" i="12" s="1"/>
  <c r="E980" i="12"/>
  <c r="H977" i="12"/>
  <c r="E977" i="12"/>
  <c r="G974" i="12"/>
  <c r="G988" i="12" s="1"/>
  <c r="F971" i="12"/>
  <c r="E971" i="12"/>
  <c r="E968" i="12"/>
  <c r="H965" i="12"/>
  <c r="E965" i="12"/>
  <c r="H963" i="12"/>
  <c r="H968" i="12" s="1"/>
  <c r="H971" i="12" s="1"/>
  <c r="E963" i="12"/>
  <c r="H960" i="12"/>
  <c r="E960" i="12"/>
  <c r="G957" i="12"/>
  <c r="G971" i="12" s="1"/>
  <c r="F954" i="12"/>
  <c r="E954" i="12"/>
  <c r="E951" i="12"/>
  <c r="H948" i="12"/>
  <c r="E948" i="12"/>
  <c r="H946" i="12"/>
  <c r="H951" i="12" s="1"/>
  <c r="H954" i="12" s="1"/>
  <c r="E946" i="12"/>
  <c r="H943" i="12"/>
  <c r="E943" i="12"/>
  <c r="I943" i="12" s="1"/>
  <c r="G940" i="12"/>
  <c r="F946" i="12" s="1"/>
  <c r="H936" i="12"/>
  <c r="G936" i="12"/>
  <c r="F936" i="12"/>
  <c r="E936" i="12"/>
  <c r="G928" i="12"/>
  <c r="F928" i="12"/>
  <c r="H925" i="12"/>
  <c r="G925" i="12"/>
  <c r="I921" i="12"/>
  <c r="H915" i="12"/>
  <c r="G915" i="12"/>
  <c r="E915" i="12"/>
  <c r="F914" i="12"/>
  <c r="E914" i="12"/>
  <c r="H910" i="12"/>
  <c r="H912" i="12" s="1"/>
  <c r="E907" i="12"/>
  <c r="G907" i="12" s="1"/>
  <c r="F916" i="12" s="1"/>
  <c r="E891" i="12"/>
  <c r="F891" i="12" s="1"/>
  <c r="F888" i="12"/>
  <c r="F902" i="12" s="1"/>
  <c r="F884" i="12"/>
  <c r="E884" i="12"/>
  <c r="E881" i="12"/>
  <c r="E878" i="12"/>
  <c r="E875" i="12"/>
  <c r="E872" i="12"/>
  <c r="F863" i="12"/>
  <c r="H861" i="12" s="1"/>
  <c r="F858" i="12"/>
  <c r="G861" i="12" s="1"/>
  <c r="G884" i="12" s="1"/>
  <c r="H851" i="12"/>
  <c r="G851" i="12"/>
  <c r="E851" i="12"/>
  <c r="F850" i="12"/>
  <c r="E850" i="12"/>
  <c r="H845" i="12"/>
  <c r="H847" i="12" s="1"/>
  <c r="E842" i="12"/>
  <c r="G842" i="12" s="1"/>
  <c r="F852" i="12" s="1"/>
  <c r="E826" i="12"/>
  <c r="F826" i="12" s="1"/>
  <c r="E832" i="12" s="1"/>
  <c r="F823" i="12"/>
  <c r="F837" i="12" s="1"/>
  <c r="F819" i="12"/>
  <c r="E819" i="12"/>
  <c r="E816" i="12"/>
  <c r="E813" i="12"/>
  <c r="E810" i="12"/>
  <c r="E807" i="12"/>
  <c r="F798" i="12"/>
  <c r="F790" i="12"/>
  <c r="G796" i="12" s="1"/>
  <c r="H781" i="12"/>
  <c r="H779" i="12"/>
  <c r="H776" i="12"/>
  <c r="G772" i="12"/>
  <c r="G771" i="12"/>
  <c r="F741" i="12"/>
  <c r="I743" i="12" s="1"/>
  <c r="F732" i="12"/>
  <c r="G732" i="12" s="1"/>
  <c r="G731" i="12"/>
  <c r="F727" i="12"/>
  <c r="G727" i="12" s="1"/>
  <c r="I720" i="12"/>
  <c r="K720" i="12" s="1"/>
  <c r="G717" i="12"/>
  <c r="H716" i="12"/>
  <c r="H717" i="12" s="1"/>
  <c r="G716" i="12"/>
  <c r="G715" i="12"/>
  <c r="F710" i="12"/>
  <c r="G710" i="12" s="1"/>
  <c r="G709" i="12"/>
  <c r="G705" i="12"/>
  <c r="I699" i="12"/>
  <c r="I700" i="12" s="1"/>
  <c r="K700" i="12" s="1"/>
  <c r="K698" i="12"/>
  <c r="G694" i="12"/>
  <c r="G693" i="12"/>
  <c r="G692" i="12"/>
  <c r="F692" i="12"/>
  <c r="E677" i="12"/>
  <c r="F677" i="12" s="1"/>
  <c r="G669" i="12"/>
  <c r="F669" i="12"/>
  <c r="E669" i="12"/>
  <c r="F666" i="12"/>
  <c r="E666" i="12"/>
  <c r="H663" i="12"/>
  <c r="F663" i="12"/>
  <c r="G662" i="12"/>
  <c r="G665" i="12" s="1"/>
  <c r="H661" i="12"/>
  <c r="H666" i="12" s="1"/>
  <c r="H669" i="12" s="1"/>
  <c r="G661" i="12"/>
  <c r="G663" i="12" s="1"/>
  <c r="F661" i="12"/>
  <c r="E661" i="12"/>
  <c r="H658" i="12"/>
  <c r="E658" i="12"/>
  <c r="J655" i="12"/>
  <c r="F652" i="12"/>
  <c r="E652" i="12"/>
  <c r="E649" i="12"/>
  <c r="E646" i="12"/>
  <c r="E643" i="12"/>
  <c r="E640" i="12"/>
  <c r="F631" i="12"/>
  <c r="E625" i="12"/>
  <c r="F621" i="12" s="1"/>
  <c r="G629" i="12" s="1"/>
  <c r="F618" i="12"/>
  <c r="E618" i="12"/>
  <c r="E615" i="12"/>
  <c r="E612" i="12"/>
  <c r="E609" i="12"/>
  <c r="E606" i="12"/>
  <c r="F597" i="12"/>
  <c r="J583" i="12"/>
  <c r="E583" i="12"/>
  <c r="E582" i="12"/>
  <c r="F579" i="12"/>
  <c r="E579" i="12"/>
  <c r="E576" i="12"/>
  <c r="E573" i="12"/>
  <c r="E570" i="12"/>
  <c r="E567" i="12"/>
  <c r="F558" i="12"/>
  <c r="I553" i="12"/>
  <c r="I552" i="12"/>
  <c r="I550" i="12"/>
  <c r="E549" i="12"/>
  <c r="E548" i="12"/>
  <c r="E547" i="12"/>
  <c r="G543" i="12"/>
  <c r="F543" i="12"/>
  <c r="E543" i="12"/>
  <c r="F540" i="12"/>
  <c r="E540" i="12"/>
  <c r="H537" i="12"/>
  <c r="F537" i="12"/>
  <c r="H535" i="12"/>
  <c r="H540" i="12" s="1"/>
  <c r="H543" i="12" s="1"/>
  <c r="F535" i="12"/>
  <c r="E535" i="12"/>
  <c r="H532" i="12"/>
  <c r="E532" i="12"/>
  <c r="J529" i="12"/>
  <c r="G526" i="12"/>
  <c r="F526" i="12"/>
  <c r="E526" i="12"/>
  <c r="F523" i="12"/>
  <c r="E523" i="12"/>
  <c r="F520" i="12"/>
  <c r="E520" i="12"/>
  <c r="F518" i="12"/>
  <c r="E518" i="12"/>
  <c r="E515" i="12"/>
  <c r="H512" i="12"/>
  <c r="F506" i="12"/>
  <c r="E506" i="12"/>
  <c r="G506" i="12" s="1"/>
  <c r="H506" i="12" s="1"/>
  <c r="E500" i="12"/>
  <c r="H500" i="12" s="1"/>
  <c r="E497" i="12"/>
  <c r="F497" i="12" s="1"/>
  <c r="E495" i="12"/>
  <c r="E494" i="12"/>
  <c r="L493" i="12"/>
  <c r="M493" i="12" s="1"/>
  <c r="M496" i="12" s="1"/>
  <c r="E493" i="12"/>
  <c r="E492" i="12"/>
  <c r="E491" i="12"/>
  <c r="E490" i="12"/>
  <c r="F490" i="12" s="1"/>
  <c r="F508" i="12" s="1"/>
  <c r="E475" i="12"/>
  <c r="F475" i="12" s="1"/>
  <c r="E473" i="12"/>
  <c r="E472" i="12"/>
  <c r="L471" i="12"/>
  <c r="M471" i="12" s="1"/>
  <c r="M474" i="12" s="1"/>
  <c r="E471" i="12"/>
  <c r="E470" i="12"/>
  <c r="E469" i="12"/>
  <c r="E468" i="12"/>
  <c r="F464" i="12"/>
  <c r="E464" i="12"/>
  <c r="E461" i="12"/>
  <c r="E458" i="12"/>
  <c r="E455" i="12"/>
  <c r="E452" i="12"/>
  <c r="F443" i="12"/>
  <c r="E437" i="12"/>
  <c r="E436" i="12"/>
  <c r="I435" i="12"/>
  <c r="E435" i="12"/>
  <c r="I434" i="12"/>
  <c r="E434" i="12"/>
  <c r="E433" i="12"/>
  <c r="F430" i="12"/>
  <c r="E430" i="12"/>
  <c r="E427" i="12"/>
  <c r="E424" i="12"/>
  <c r="E421" i="12"/>
  <c r="E418" i="12"/>
  <c r="F409" i="12"/>
  <c r="I403" i="12"/>
  <c r="E403" i="12"/>
  <c r="E402" i="12"/>
  <c r="I401" i="12"/>
  <c r="E401" i="12"/>
  <c r="I400" i="12"/>
  <c r="E400" i="12"/>
  <c r="I399" i="12"/>
  <c r="E399" i="12"/>
  <c r="E398" i="12"/>
  <c r="F395" i="12"/>
  <c r="E395" i="12"/>
  <c r="E392" i="12"/>
  <c r="E389" i="12"/>
  <c r="E386" i="12"/>
  <c r="E383" i="12"/>
  <c r="F374" i="12"/>
  <c r="E370" i="12"/>
  <c r="E369" i="12"/>
  <c r="E367" i="12"/>
  <c r="F364" i="12"/>
  <c r="E364" i="12"/>
  <c r="E361" i="12"/>
  <c r="E358" i="12"/>
  <c r="E355" i="12"/>
  <c r="E352" i="12"/>
  <c r="G348" i="12"/>
  <c r="F343" i="12"/>
  <c r="E336" i="12"/>
  <c r="E335" i="12"/>
  <c r="E334" i="12"/>
  <c r="E333" i="12"/>
  <c r="E332" i="12"/>
  <c r="E331" i="12"/>
  <c r="I331" i="12" s="1"/>
  <c r="I332" i="12" s="1"/>
  <c r="J328" i="12" s="1"/>
  <c r="E330" i="12"/>
  <c r="E329" i="12"/>
  <c r="E328" i="12"/>
  <c r="F325" i="12"/>
  <c r="E325" i="12"/>
  <c r="E322" i="12"/>
  <c r="E319" i="12"/>
  <c r="E316" i="12"/>
  <c r="E313" i="12"/>
  <c r="F304" i="12"/>
  <c r="I299" i="12"/>
  <c r="E299" i="12"/>
  <c r="I298" i="12"/>
  <c r="E298" i="12"/>
  <c r="I297" i="12"/>
  <c r="E297" i="12"/>
  <c r="I296" i="12"/>
  <c r="E296" i="12"/>
  <c r="F293" i="12"/>
  <c r="E293" i="12"/>
  <c r="E290" i="12"/>
  <c r="E287" i="12"/>
  <c r="E284" i="12"/>
  <c r="E281" i="12"/>
  <c r="F272" i="12"/>
  <c r="I261" i="12"/>
  <c r="I259" i="12"/>
  <c r="J258" i="12" s="1"/>
  <c r="F258" i="12" s="1"/>
  <c r="G270" i="12" s="1"/>
  <c r="G254" i="12"/>
  <c r="F254" i="12"/>
  <c r="E254" i="12"/>
  <c r="F251" i="12"/>
  <c r="E251" i="12"/>
  <c r="F248" i="12"/>
  <c r="G247" i="12"/>
  <c r="G250" i="12" s="1"/>
  <c r="F246" i="12"/>
  <c r="E246" i="12"/>
  <c r="E243" i="12"/>
  <c r="H240" i="12"/>
  <c r="F237" i="12"/>
  <c r="E237" i="12"/>
  <c r="E234" i="12"/>
  <c r="H231" i="12"/>
  <c r="H229" i="12"/>
  <c r="H234" i="12" s="1"/>
  <c r="H237" i="12" s="1"/>
  <c r="E229" i="12"/>
  <c r="H226" i="12"/>
  <c r="F220" i="12"/>
  <c r="E220" i="12"/>
  <c r="E217" i="12"/>
  <c r="H214" i="12"/>
  <c r="H212" i="12"/>
  <c r="H217" i="12" s="1"/>
  <c r="H220" i="12" s="1"/>
  <c r="E212" i="12"/>
  <c r="H209" i="12"/>
  <c r="F203" i="12"/>
  <c r="E203" i="12"/>
  <c r="E200" i="12"/>
  <c r="H197" i="12"/>
  <c r="E197" i="12"/>
  <c r="H195" i="12"/>
  <c r="H200" i="12" s="1"/>
  <c r="H203" i="12" s="1"/>
  <c r="E195" i="12"/>
  <c r="H192" i="12"/>
  <c r="E192" i="12"/>
  <c r="E209" i="12" s="1"/>
  <c r="E226" i="12" s="1"/>
  <c r="G189" i="12"/>
  <c r="F200" i="12" s="1"/>
  <c r="O185" i="12"/>
  <c r="R185" i="12" s="1"/>
  <c r="O184" i="12"/>
  <c r="G184" i="12"/>
  <c r="G185" i="12" s="1"/>
  <c r="B184" i="12"/>
  <c r="H184" i="12" s="1"/>
  <c r="O183" i="12"/>
  <c r="G183" i="12"/>
  <c r="B183" i="12"/>
  <c r="H183" i="12" s="1"/>
  <c r="O182" i="12"/>
  <c r="G182" i="12"/>
  <c r="B182" i="12"/>
  <c r="H182" i="12" s="1"/>
  <c r="O181" i="12"/>
  <c r="H181" i="12"/>
  <c r="G181" i="12"/>
  <c r="B181" i="12"/>
  <c r="F177" i="12"/>
  <c r="G175" i="12"/>
  <c r="F175" i="12"/>
  <c r="F178" i="12" s="1"/>
  <c r="F174" i="12"/>
  <c r="H167" i="12"/>
  <c r="H170" i="12" s="1"/>
  <c r="F167" i="12"/>
  <c r="F166" i="12"/>
  <c r="D162" i="12"/>
  <c r="D161" i="12"/>
  <c r="D160" i="12"/>
  <c r="F153" i="12"/>
  <c r="E153" i="12"/>
  <c r="E150" i="12"/>
  <c r="E147" i="12"/>
  <c r="E136" i="12"/>
  <c r="E135" i="12"/>
  <c r="E134" i="12"/>
  <c r="E133" i="12"/>
  <c r="F128" i="12"/>
  <c r="E128" i="12"/>
  <c r="E125" i="12"/>
  <c r="E122" i="12"/>
  <c r="E111" i="12"/>
  <c r="E110" i="12"/>
  <c r="E109" i="12"/>
  <c r="E108" i="12"/>
  <c r="E107" i="12"/>
  <c r="E106" i="12"/>
  <c r="E105" i="12"/>
  <c r="F102" i="12"/>
  <c r="E102" i="12"/>
  <c r="E99" i="12"/>
  <c r="F96" i="12"/>
  <c r="E96" i="12"/>
  <c r="G87" i="12"/>
  <c r="D157" i="12" s="1"/>
  <c r="H83" i="12"/>
  <c r="G83" i="12"/>
  <c r="F83" i="12"/>
  <c r="E83" i="12"/>
  <c r="K79" i="12"/>
  <c r="H68" i="12"/>
  <c r="H62" i="12"/>
  <c r="H63" i="12" s="1"/>
  <c r="H64" i="12" s="1"/>
  <c r="F62" i="12"/>
  <c r="F63" i="12" s="1"/>
  <c r="F64" i="12" s="1"/>
  <c r="E62" i="12"/>
  <c r="E63" i="12" s="1"/>
  <c r="I61" i="12"/>
  <c r="N184" i="12" s="1"/>
  <c r="G58" i="12"/>
  <c r="F58" i="12"/>
  <c r="E58" i="12"/>
  <c r="F37" i="12"/>
  <c r="F38" i="12" s="1"/>
  <c r="F39" i="12" s="1"/>
  <c r="E37" i="12"/>
  <c r="E38" i="12" s="1"/>
  <c r="E39" i="12" s="1"/>
  <c r="H36" i="12"/>
  <c r="H37" i="12" s="1"/>
  <c r="H38" i="12" s="1"/>
  <c r="H39" i="12" s="1"/>
  <c r="H33" i="12"/>
  <c r="G33" i="12"/>
  <c r="F33" i="12"/>
  <c r="E33" i="12"/>
  <c r="F29" i="12"/>
  <c r="W28" i="12"/>
  <c r="V28" i="12"/>
  <c r="W27" i="12"/>
  <c r="V27" i="12"/>
  <c r="W26" i="12"/>
  <c r="V26" i="12"/>
  <c r="W25" i="12"/>
  <c r="V25" i="12"/>
  <c r="W24" i="12"/>
  <c r="V24" i="12"/>
  <c r="W23" i="12"/>
  <c r="V23" i="12"/>
  <c r="W22" i="12"/>
  <c r="V22" i="12"/>
  <c r="W21" i="12"/>
  <c r="V21" i="12"/>
  <c r="W20" i="12"/>
  <c r="V20" i="12"/>
  <c r="W19" i="12"/>
  <c r="G192" i="12" s="1"/>
  <c r="G209" i="12" s="1"/>
  <c r="G226" i="12" s="1"/>
  <c r="G275" i="12" s="1"/>
  <c r="V19" i="12"/>
  <c r="W18" i="12"/>
  <c r="V18" i="12"/>
  <c r="H18" i="12"/>
  <c r="W17" i="12"/>
  <c r="I18" i="12" s="1"/>
  <c r="I23" i="12" s="1"/>
  <c r="I29" i="12" s="1"/>
  <c r="V17" i="12"/>
  <c r="W16" i="12"/>
  <c r="V16" i="12"/>
  <c r="W15" i="12"/>
  <c r="G1153" i="12" s="1"/>
  <c r="V15" i="12"/>
  <c r="H12" i="12"/>
  <c r="H13" i="12" s="1"/>
  <c r="H14" i="12" s="1"/>
  <c r="F12" i="12"/>
  <c r="F13" i="12" s="1"/>
  <c r="F14" i="12" s="1"/>
  <c r="E12" i="12"/>
  <c r="E13" i="12" s="1"/>
  <c r="E14" i="12" s="1"/>
  <c r="W11" i="12"/>
  <c r="V11" i="12"/>
  <c r="I11" i="12"/>
  <c r="N182" i="12" s="1"/>
  <c r="W10" i="12"/>
  <c r="V10" i="12"/>
  <c r="W9" i="12"/>
  <c r="V9" i="12"/>
  <c r="W8" i="12"/>
  <c r="G246" i="12" s="1"/>
  <c r="G640" i="12" s="1"/>
  <c r="G646" i="12" s="1"/>
  <c r="V8" i="12"/>
  <c r="W7" i="12"/>
  <c r="V7" i="12"/>
  <c r="H5" i="12"/>
  <c r="F4" i="12"/>
  <c r="H4" i="12" s="1"/>
  <c r="A41" i="11"/>
  <c r="A42" i="11" s="1"/>
  <c r="A43" i="11" s="1"/>
  <c r="A44" i="11" s="1"/>
  <c r="I83" i="12" l="1"/>
  <c r="I851" i="12"/>
  <c r="F328" i="12"/>
  <c r="G341" i="12" s="1"/>
  <c r="I946" i="12"/>
  <c r="I960" i="12"/>
  <c r="H58" i="12"/>
  <c r="I58" i="12" s="1"/>
  <c r="E90" i="12"/>
  <c r="H270" i="12"/>
  <c r="F980" i="12"/>
  <c r="H995" i="12"/>
  <c r="F7" i="12"/>
  <c r="I914" i="12"/>
  <c r="E1324" i="12"/>
  <c r="F1324" i="12" s="1"/>
  <c r="H629" i="12"/>
  <c r="F646" i="12"/>
  <c r="F643" i="12"/>
  <c r="H643" i="12" s="1"/>
  <c r="V1138" i="12"/>
  <c r="G1272" i="12"/>
  <c r="H1272" i="12" s="1"/>
  <c r="I14" i="12"/>
  <c r="F182" i="12" s="1"/>
  <c r="F105" i="12"/>
  <c r="D158" i="12" s="1"/>
  <c r="D163" i="12" s="1"/>
  <c r="H166" i="12" s="1"/>
  <c r="E674" i="12"/>
  <c r="F674" i="12" s="1"/>
  <c r="F688" i="12" s="1"/>
  <c r="I701" i="12"/>
  <c r="K701" i="12" s="1"/>
  <c r="K925" i="12"/>
  <c r="J296" i="12"/>
  <c r="F296" i="12" s="1"/>
  <c r="G302" i="12" s="1"/>
  <c r="H7" i="12"/>
  <c r="I68" i="12"/>
  <c r="I73" i="12" s="1"/>
  <c r="J548" i="12"/>
  <c r="F547" i="12" s="1"/>
  <c r="G556" i="12" s="1"/>
  <c r="H1090" i="12"/>
  <c r="H1143" i="12"/>
  <c r="F982" i="12"/>
  <c r="I982" i="12" s="1"/>
  <c r="F1006" i="12"/>
  <c r="H1006" i="12" s="1"/>
  <c r="I226" i="12"/>
  <c r="I1164" i="12"/>
  <c r="I33" i="12"/>
  <c r="I977" i="12"/>
  <c r="F1225" i="12"/>
  <c r="E1232" i="12" s="1"/>
  <c r="F1232" i="12" s="1"/>
  <c r="F481" i="12"/>
  <c r="E478" i="12"/>
  <c r="H478" i="12" s="1"/>
  <c r="E481" i="12"/>
  <c r="E683" i="12"/>
  <c r="F683" i="12"/>
  <c r="E680" i="12"/>
  <c r="H680" i="12" s="1"/>
  <c r="H796" i="12"/>
  <c r="F807" i="12"/>
  <c r="H807" i="12" s="1"/>
  <c r="H928" i="12"/>
  <c r="K928" i="12" s="1"/>
  <c r="F582" i="12"/>
  <c r="G595" i="12" s="1"/>
  <c r="E603" i="12" s="1"/>
  <c r="J974" i="12"/>
  <c r="G102" i="12"/>
  <c r="H102" i="12" s="1"/>
  <c r="I721" i="12"/>
  <c r="I722" i="12" s="1"/>
  <c r="F872" i="12"/>
  <c r="H872" i="12" s="1"/>
  <c r="I36" i="12"/>
  <c r="G93" i="12"/>
  <c r="G116" i="12" s="1"/>
  <c r="G119" i="12" s="1"/>
  <c r="J399" i="12"/>
  <c r="F398" i="12" s="1"/>
  <c r="G407" i="12" s="1"/>
  <c r="I661" i="12"/>
  <c r="J957" i="12"/>
  <c r="F985" i="12"/>
  <c r="I985" i="12" s="1"/>
  <c r="I669" i="12"/>
  <c r="H731" i="12"/>
  <c r="G293" i="12"/>
  <c r="H293" i="12" s="1"/>
  <c r="I20" i="12"/>
  <c r="I25" i="12" s="1"/>
  <c r="G90" i="12"/>
  <c r="H90" i="12" s="1"/>
  <c r="E93" i="12"/>
  <c r="F711" i="12"/>
  <c r="G711" i="12" s="1"/>
  <c r="H709" i="12" s="1"/>
  <c r="I936" i="12"/>
  <c r="I12" i="12"/>
  <c r="I39" i="12"/>
  <c r="F183" i="12" s="1"/>
  <c r="G195" i="12"/>
  <c r="G197" i="12" s="1"/>
  <c r="G200" i="12" s="1"/>
  <c r="I200" i="12" s="1"/>
  <c r="J434" i="12"/>
  <c r="O496" i="12"/>
  <c r="F649" i="12"/>
  <c r="H649" i="12" s="1"/>
  <c r="K699" i="12"/>
  <c r="I980" i="12"/>
  <c r="I988" i="12"/>
  <c r="S1146" i="12"/>
  <c r="V1146" i="12" s="1"/>
  <c r="I167" i="12"/>
  <c r="G206" i="12"/>
  <c r="G220" i="12" s="1"/>
  <c r="I220" i="12" s="1"/>
  <c r="E501" i="12"/>
  <c r="H501" i="12" s="1"/>
  <c r="E1122" i="12"/>
  <c r="H1122" i="12" s="1"/>
  <c r="E1396" i="12"/>
  <c r="F1396" i="12" s="1"/>
  <c r="E1399" i="12" s="1"/>
  <c r="H1399" i="12" s="1"/>
  <c r="I5" i="13"/>
  <c r="I45" i="13" s="1"/>
  <c r="H87" i="12"/>
  <c r="F99" i="12"/>
  <c r="F131" i="12"/>
  <c r="D159" i="12" s="1"/>
  <c r="J189" i="12"/>
  <c r="F197" i="12"/>
  <c r="G652" i="12"/>
  <c r="H652" i="12" s="1"/>
  <c r="I850" i="12"/>
  <c r="J850" i="12" s="1"/>
  <c r="H1018" i="12"/>
  <c r="E1125" i="12"/>
  <c r="E1128" i="12" s="1"/>
  <c r="V1142" i="12"/>
  <c r="I13" i="12"/>
  <c r="H20" i="12"/>
  <c r="K18" i="12"/>
  <c r="H23" i="12"/>
  <c r="I37" i="12"/>
  <c r="E64" i="12"/>
  <c r="I64" i="12" s="1"/>
  <c r="F184" i="12" s="1"/>
  <c r="I63" i="12"/>
  <c r="G113" i="12"/>
  <c r="F361" i="12"/>
  <c r="F358" i="12"/>
  <c r="F355" i="12"/>
  <c r="F352" i="12"/>
  <c r="E349" i="12"/>
  <c r="G364" i="12"/>
  <c r="H364" i="12" s="1"/>
  <c r="E346" i="12"/>
  <c r="E894" i="12"/>
  <c r="H894" i="12" s="1"/>
  <c r="F897" i="12"/>
  <c r="E897" i="12"/>
  <c r="E1287" i="12"/>
  <c r="H1287" i="12" s="1"/>
  <c r="F1290" i="12"/>
  <c r="E1290" i="12"/>
  <c r="H556" i="12"/>
  <c r="F570" i="12"/>
  <c r="G579" i="12"/>
  <c r="F576" i="12"/>
  <c r="E564" i="12"/>
  <c r="E561" i="12"/>
  <c r="F573" i="12"/>
  <c r="F567" i="12"/>
  <c r="I38" i="12"/>
  <c r="H70" i="12"/>
  <c r="H73" i="12"/>
  <c r="H248" i="12"/>
  <c r="J240" i="12"/>
  <c r="H246" i="12"/>
  <c r="H251" i="12" s="1"/>
  <c r="H254" i="12" s="1"/>
  <c r="I254" i="12" s="1"/>
  <c r="H243" i="12"/>
  <c r="G1156" i="12"/>
  <c r="G1158" i="12" s="1"/>
  <c r="G243" i="12"/>
  <c r="G281" i="12" s="1"/>
  <c r="G284" i="12" s="1"/>
  <c r="G287" i="12" s="1"/>
  <c r="I543" i="12"/>
  <c r="G1175" i="12"/>
  <c r="G1202" i="12" s="1"/>
  <c r="G1257" i="12" s="1"/>
  <c r="I1153" i="12"/>
  <c r="G515" i="12"/>
  <c r="G532" i="12" s="1"/>
  <c r="I532" i="12" s="1"/>
  <c r="G412" i="12"/>
  <c r="H43" i="12"/>
  <c r="I45" i="12"/>
  <c r="I50" i="12" s="1"/>
  <c r="I62" i="12"/>
  <c r="J206" i="12"/>
  <c r="H518" i="12"/>
  <c r="H520" i="12"/>
  <c r="H515" i="12"/>
  <c r="J512" i="12"/>
  <c r="H646" i="12"/>
  <c r="I663" i="12"/>
  <c r="G666" i="12"/>
  <c r="I666" i="12" s="1"/>
  <c r="G96" i="12"/>
  <c r="G99" i="12" s="1"/>
  <c r="G122" i="12" s="1"/>
  <c r="G125" i="12" s="1"/>
  <c r="G141" i="12" s="1"/>
  <c r="G147" i="12"/>
  <c r="G150" i="12" s="1"/>
  <c r="F173" i="12" s="1"/>
  <c r="G248" i="12"/>
  <c r="G251" i="12" s="1"/>
  <c r="H579" i="12"/>
  <c r="F1070" i="12"/>
  <c r="H1070" i="12" s="1"/>
  <c r="F1067" i="12"/>
  <c r="H1067" i="12" s="1"/>
  <c r="G1079" i="12"/>
  <c r="H1079" i="12" s="1"/>
  <c r="F1076" i="12"/>
  <c r="H1076" i="12" s="1"/>
  <c r="E1061" i="12"/>
  <c r="H1061" i="12" s="1"/>
  <c r="F1073" i="12"/>
  <c r="H1073" i="12" s="1"/>
  <c r="G1254" i="12"/>
  <c r="G307" i="12"/>
  <c r="G377" i="12" s="1"/>
  <c r="G600" i="12" s="1"/>
  <c r="I43" i="12"/>
  <c r="I48" i="12" s="1"/>
  <c r="I54" i="12" s="1"/>
  <c r="I70" i="12" s="1"/>
  <c r="I75" i="12" s="1"/>
  <c r="I170" i="12"/>
  <c r="H175" i="12"/>
  <c r="H178" i="12" s="1"/>
  <c r="I178" i="12" s="1"/>
  <c r="I192" i="12"/>
  <c r="I209" i="12"/>
  <c r="F290" i="12"/>
  <c r="F287" i="12"/>
  <c r="F284" i="12"/>
  <c r="H284" i="12" s="1"/>
  <c r="F281" i="12"/>
  <c r="E278" i="12"/>
  <c r="E275" i="12"/>
  <c r="H275" i="12" s="1"/>
  <c r="F427" i="12"/>
  <c r="F424" i="12"/>
  <c r="F421" i="12"/>
  <c r="F418" i="12"/>
  <c r="E415" i="12"/>
  <c r="E412" i="12"/>
  <c r="G618" i="12"/>
  <c r="H618" i="12" s="1"/>
  <c r="F615" i="12"/>
  <c r="F612" i="12"/>
  <c r="F606" i="12"/>
  <c r="F609" i="12"/>
  <c r="E600" i="12"/>
  <c r="H600" i="12" s="1"/>
  <c r="E1064" i="12"/>
  <c r="H1064" i="12" s="1"/>
  <c r="F195" i="12"/>
  <c r="G203" i="12"/>
  <c r="I203" i="12" s="1"/>
  <c r="F433" i="12"/>
  <c r="G441" i="12" s="1"/>
  <c r="H441" i="12" s="1"/>
  <c r="F468" i="12"/>
  <c r="F486" i="12" s="1"/>
  <c r="K721" i="12"/>
  <c r="H884" i="12"/>
  <c r="J940" i="12"/>
  <c r="G954" i="12"/>
  <c r="I954" i="12" s="1"/>
  <c r="F951" i="12"/>
  <c r="I951" i="12" s="1"/>
  <c r="F948" i="12"/>
  <c r="I948" i="12" s="1"/>
  <c r="H341" i="12"/>
  <c r="F715" i="12"/>
  <c r="I692" i="12"/>
  <c r="F693" i="12"/>
  <c r="F968" i="12"/>
  <c r="I968" i="12" s="1"/>
  <c r="F965" i="12"/>
  <c r="I965" i="12" s="1"/>
  <c r="F963" i="12"/>
  <c r="I963" i="12" s="1"/>
  <c r="H1056" i="12"/>
  <c r="F367" i="12"/>
  <c r="G372" i="12" s="1"/>
  <c r="F640" i="12"/>
  <c r="H640" i="12" s="1"/>
  <c r="F813" i="12"/>
  <c r="H813" i="12" s="1"/>
  <c r="E801" i="12"/>
  <c r="H801" i="12" s="1"/>
  <c r="G819" i="12"/>
  <c r="H819" i="12" s="1"/>
  <c r="F816" i="12"/>
  <c r="H816" i="12" s="1"/>
  <c r="E804" i="12"/>
  <c r="H804" i="12" s="1"/>
  <c r="F810" i="12"/>
  <c r="H810" i="12" s="1"/>
  <c r="E829" i="12"/>
  <c r="H829" i="12" s="1"/>
  <c r="F832" i="12"/>
  <c r="F835" i="12" s="1"/>
  <c r="O474" i="12"/>
  <c r="E637" i="12"/>
  <c r="H637" i="12" s="1"/>
  <c r="E634" i="12"/>
  <c r="H771" i="12"/>
  <c r="H783" i="12"/>
  <c r="F875" i="12"/>
  <c r="H875" i="12" s="1"/>
  <c r="F878" i="12"/>
  <c r="H878" i="12" s="1"/>
  <c r="E866" i="12"/>
  <c r="H866" i="12" s="1"/>
  <c r="E869" i="12"/>
  <c r="H869" i="12" s="1"/>
  <c r="F881" i="12"/>
  <c r="H881" i="12" s="1"/>
  <c r="I915" i="12"/>
  <c r="J914" i="12" s="1"/>
  <c r="I971" i="12"/>
  <c r="F1009" i="12"/>
  <c r="H1009" i="12" s="1"/>
  <c r="F1012" i="12"/>
  <c r="H1012" i="12" s="1"/>
  <c r="E1000" i="12"/>
  <c r="H1000" i="12" s="1"/>
  <c r="E1003" i="12"/>
  <c r="H1003" i="12" s="1"/>
  <c r="F1015" i="12"/>
  <c r="H1015" i="12" s="1"/>
  <c r="F1021" i="12"/>
  <c r="G1027" i="12" s="1"/>
  <c r="H1027" i="12" s="1"/>
  <c r="F1096" i="12"/>
  <c r="H1096" i="12" s="1"/>
  <c r="F1102" i="12"/>
  <c r="H1102" i="12" s="1"/>
  <c r="H1085" i="12"/>
  <c r="G1108" i="12"/>
  <c r="F1105" i="12"/>
  <c r="H1105" i="12" s="1"/>
  <c r="E1093" i="12"/>
  <c r="H1093" i="12" s="1"/>
  <c r="F1099" i="12"/>
  <c r="H1099" i="12" s="1"/>
  <c r="H1108" i="12"/>
  <c r="S1143" i="12"/>
  <c r="V1143" i="12" s="1"/>
  <c r="F1371" i="12"/>
  <c r="E1368" i="12"/>
  <c r="E1365" i="12"/>
  <c r="F1374" i="12"/>
  <c r="H1374" i="12" s="1"/>
  <c r="F1377" i="12"/>
  <c r="H1360" i="12"/>
  <c r="F1295" i="12"/>
  <c r="F1342" i="12"/>
  <c r="E1331" i="12"/>
  <c r="F1331" i="12" s="1"/>
  <c r="F1431" i="12"/>
  <c r="E1420" i="12"/>
  <c r="F1420" i="12" s="1"/>
  <c r="V1137" i="12"/>
  <c r="F1260" i="12"/>
  <c r="E1257" i="12"/>
  <c r="E1254" i="12"/>
  <c r="F1263" i="12"/>
  <c r="H1263" i="12" s="1"/>
  <c r="E1300" i="12"/>
  <c r="F1300" i="12" s="1"/>
  <c r="F1266" i="12"/>
  <c r="H1249" i="12"/>
  <c r="G1383" i="12"/>
  <c r="H1383" i="12" s="1"/>
  <c r="V1136" i="12"/>
  <c r="F1243" i="12"/>
  <c r="F1380" i="12"/>
  <c r="H1380" i="12" s="1"/>
  <c r="F1190" i="12"/>
  <c r="G1197" i="12"/>
  <c r="H1170" i="12"/>
  <c r="F1184" i="12"/>
  <c r="F1187" i="12"/>
  <c r="G1193" i="12"/>
  <c r="H1193" i="12" s="1"/>
  <c r="E1175" i="12"/>
  <c r="E1178" i="12"/>
  <c r="H1178" i="12" s="1"/>
  <c r="I2419" i="4"/>
  <c r="I2418" i="4"/>
  <c r="I195" i="12" l="1"/>
  <c r="H412" i="12"/>
  <c r="G212" i="12"/>
  <c r="G214" i="12" s="1"/>
  <c r="G138" i="12"/>
  <c r="E144" i="12" s="1"/>
  <c r="H144" i="12" s="1"/>
  <c r="H93" i="12"/>
  <c r="L698" i="12"/>
  <c r="E1402" i="12"/>
  <c r="F686" i="12"/>
  <c r="H287" i="12"/>
  <c r="I515" i="12"/>
  <c r="F217" i="12"/>
  <c r="K68" i="12"/>
  <c r="I246" i="12"/>
  <c r="H595" i="12"/>
  <c r="J943" i="12"/>
  <c r="H281" i="12"/>
  <c r="I48" i="13"/>
  <c r="I47" i="13" s="1"/>
  <c r="F1402" i="12"/>
  <c r="I243" i="12"/>
  <c r="J977" i="12"/>
  <c r="H1175" i="12"/>
  <c r="E835" i="12"/>
  <c r="G835" i="12" s="1"/>
  <c r="H835" i="12" s="1"/>
  <c r="J835" i="12" s="1"/>
  <c r="E1293" i="12"/>
  <c r="E484" i="12"/>
  <c r="E1405" i="12"/>
  <c r="H932" i="12"/>
  <c r="K932" i="12" s="1"/>
  <c r="K924" i="12" s="1"/>
  <c r="N183" i="12"/>
  <c r="G430" i="12"/>
  <c r="H430" i="12" s="1"/>
  <c r="H407" i="12"/>
  <c r="F214" i="12"/>
  <c r="I214" i="12" s="1"/>
  <c r="F212" i="12"/>
  <c r="I212" i="12" s="1"/>
  <c r="G223" i="12"/>
  <c r="E686" i="12"/>
  <c r="H1254" i="12"/>
  <c r="F900" i="12"/>
  <c r="V1140" i="12"/>
  <c r="H1257" i="12"/>
  <c r="F1128" i="12"/>
  <c r="G1128" i="12" s="1"/>
  <c r="H1128" i="12" s="1"/>
  <c r="J1128" i="12" s="1"/>
  <c r="F484" i="12"/>
  <c r="J1090" i="12"/>
  <c r="J801" i="12"/>
  <c r="F389" i="12"/>
  <c r="G395" i="12"/>
  <c r="H395" i="12" s="1"/>
  <c r="F392" i="12"/>
  <c r="E380" i="12"/>
  <c r="F383" i="12"/>
  <c r="F386" i="12"/>
  <c r="E377" i="12"/>
  <c r="H377" i="12" s="1"/>
  <c r="I1293" i="12"/>
  <c r="G1365" i="12"/>
  <c r="H523" i="12"/>
  <c r="K70" i="12"/>
  <c r="H29" i="12"/>
  <c r="K29" i="12" s="1"/>
  <c r="K23" i="12"/>
  <c r="F1208" i="12"/>
  <c r="F1211" i="12"/>
  <c r="H1211" i="12" s="1"/>
  <c r="H1197" i="12"/>
  <c r="F1214" i="12"/>
  <c r="F1217" i="12"/>
  <c r="H1217" i="12" s="1"/>
  <c r="E1205" i="12"/>
  <c r="H1205" i="12" s="1"/>
  <c r="G1220" i="12"/>
  <c r="H1220" i="12" s="1"/>
  <c r="E1202" i="12"/>
  <c r="H1202" i="12" s="1"/>
  <c r="E1426" i="12"/>
  <c r="E1429" i="12" s="1"/>
  <c r="E1423" i="12"/>
  <c r="H1423" i="12" s="1"/>
  <c r="F1435" i="12" s="1"/>
  <c r="F1426" i="12"/>
  <c r="F1337" i="12"/>
  <c r="E1337" i="12"/>
  <c r="E1334" i="12"/>
  <c r="H1334" i="12" s="1"/>
  <c r="H1365" i="12"/>
  <c r="F716" i="12"/>
  <c r="I715" i="12"/>
  <c r="F736" i="12"/>
  <c r="I736" i="12" s="1"/>
  <c r="J736" i="12" s="1"/>
  <c r="I723" i="12"/>
  <c r="K723" i="12" s="1"/>
  <c r="K722" i="12"/>
  <c r="H45" i="12"/>
  <c r="K45" i="12" s="1"/>
  <c r="H48" i="12"/>
  <c r="K43" i="12"/>
  <c r="I1316" i="12"/>
  <c r="G1368" i="12"/>
  <c r="H1368" i="12" s="1"/>
  <c r="G313" i="12"/>
  <c r="G316" i="12" s="1"/>
  <c r="G319" i="12" s="1"/>
  <c r="G290" i="12"/>
  <c r="H290" i="12" s="1"/>
  <c r="H138" i="12"/>
  <c r="E900" i="12"/>
  <c r="I175" i="12"/>
  <c r="G128" i="12"/>
  <c r="H128" i="12" s="1"/>
  <c r="F125" i="12"/>
  <c r="H125" i="12" s="1"/>
  <c r="E119" i="12"/>
  <c r="H119" i="12" s="1"/>
  <c r="E116" i="12"/>
  <c r="H116" i="12" s="1"/>
  <c r="H113" i="12"/>
  <c r="F122" i="12"/>
  <c r="H122" i="12" s="1"/>
  <c r="F1238" i="12"/>
  <c r="E1238" i="12"/>
  <c r="E1235" i="12"/>
  <c r="H1235" i="12" s="1"/>
  <c r="F1318" i="12"/>
  <c r="F1350" i="12" s="1"/>
  <c r="E1307" i="12"/>
  <c r="F1307" i="12" s="1"/>
  <c r="J1000" i="12"/>
  <c r="J866" i="12"/>
  <c r="G464" i="12"/>
  <c r="H464" i="12" s="1"/>
  <c r="F452" i="12"/>
  <c r="F455" i="12"/>
  <c r="E446" i="12"/>
  <c r="F461" i="12"/>
  <c r="F458" i="12"/>
  <c r="E449" i="12"/>
  <c r="F322" i="12"/>
  <c r="F319" i="12"/>
  <c r="F316" i="12"/>
  <c r="H316" i="12" s="1"/>
  <c r="F313" i="12"/>
  <c r="E310" i="12"/>
  <c r="E307" i="12"/>
  <c r="H307" i="12" s="1"/>
  <c r="G325" i="12"/>
  <c r="H325" i="12" s="1"/>
  <c r="J1061" i="12"/>
  <c r="G1161" i="12"/>
  <c r="I1161" i="12" s="1"/>
  <c r="G1181" i="12"/>
  <c r="H177" i="12"/>
  <c r="I177" i="12" s="1"/>
  <c r="I179" i="12" s="1"/>
  <c r="F181" i="12" s="1"/>
  <c r="F185" i="12" s="1"/>
  <c r="H174" i="12"/>
  <c r="I174" i="12" s="1"/>
  <c r="I176" i="12" s="1"/>
  <c r="H169" i="12"/>
  <c r="I169" i="12" s="1"/>
  <c r="I171" i="12" s="1"/>
  <c r="H173" i="12"/>
  <c r="I173" i="12" s="1"/>
  <c r="H99" i="12"/>
  <c r="I1158" i="12"/>
  <c r="I1156" i="12"/>
  <c r="F1405" i="12"/>
  <c r="G1405" i="12" s="1"/>
  <c r="H1405" i="12" s="1"/>
  <c r="F1038" i="12"/>
  <c r="H1038" i="12" s="1"/>
  <c r="F1041" i="12"/>
  <c r="H1041" i="12" s="1"/>
  <c r="G1050" i="12"/>
  <c r="H1050" i="12" s="1"/>
  <c r="F1047" i="12"/>
  <c r="H1047" i="12" s="1"/>
  <c r="E1035" i="12"/>
  <c r="H1035" i="12" s="1"/>
  <c r="E1032" i="12"/>
  <c r="H1032" i="12" s="1"/>
  <c r="F1044" i="12"/>
  <c r="H1044" i="12" s="1"/>
  <c r="H372" i="12"/>
  <c r="J960" i="12"/>
  <c r="F694" i="12"/>
  <c r="I694" i="12" s="1"/>
  <c r="I693" i="12"/>
  <c r="G229" i="12"/>
  <c r="G217" i="12"/>
  <c r="I217" i="12" s="1"/>
  <c r="H302" i="12"/>
  <c r="I166" i="12"/>
  <c r="I248" i="12"/>
  <c r="H75" i="12"/>
  <c r="K75" i="12" s="1"/>
  <c r="K73" i="12"/>
  <c r="F1293" i="12"/>
  <c r="G1293" i="12" s="1"/>
  <c r="H1293" i="12" s="1"/>
  <c r="J1293" i="12" s="1"/>
  <c r="I197" i="12"/>
  <c r="J192" i="12" s="1"/>
  <c r="H96" i="12"/>
  <c r="J90" i="12" s="1"/>
  <c r="I251" i="12"/>
  <c r="H25" i="12"/>
  <c r="K25" i="12" s="1"/>
  <c r="K20" i="12"/>
  <c r="G153" i="12" l="1"/>
  <c r="H153" i="12" s="1"/>
  <c r="F147" i="12"/>
  <c r="H147" i="12" s="1"/>
  <c r="E141" i="12"/>
  <c r="H141" i="12" s="1"/>
  <c r="J141" i="12" s="1"/>
  <c r="F150" i="12"/>
  <c r="H150" i="12" s="1"/>
  <c r="G686" i="12"/>
  <c r="H686" i="12" s="1"/>
  <c r="G484" i="12"/>
  <c r="H484" i="12" s="1"/>
  <c r="H319" i="12"/>
  <c r="J1153" i="12"/>
  <c r="L720" i="12"/>
  <c r="E19" i="15"/>
  <c r="E16" i="15"/>
  <c r="J209" i="12"/>
  <c r="J243" i="12"/>
  <c r="E1340" i="12"/>
  <c r="K16" i="12"/>
  <c r="F229" i="12"/>
  <c r="I229" i="12" s="1"/>
  <c r="F231" i="12"/>
  <c r="F234" i="12"/>
  <c r="J223" i="12"/>
  <c r="G237" i="12"/>
  <c r="I237" i="12" s="1"/>
  <c r="J692" i="12"/>
  <c r="K66" i="12"/>
  <c r="F1241" i="12"/>
  <c r="G900" i="12"/>
  <c r="H900" i="12" s="1"/>
  <c r="J900" i="12" s="1"/>
  <c r="G322" i="12"/>
  <c r="H322" i="12" s="1"/>
  <c r="G352" i="12"/>
  <c r="J1032" i="12"/>
  <c r="E1241" i="12"/>
  <c r="F1340" i="12"/>
  <c r="G1340" i="12" s="1"/>
  <c r="H1340" i="12" s="1"/>
  <c r="N181" i="12"/>
  <c r="N185" i="12" s="1"/>
  <c r="Q185" i="12" s="1"/>
  <c r="I168" i="12"/>
  <c r="G231" i="12"/>
  <c r="G278" i="12"/>
  <c r="G1184" i="12"/>
  <c r="H1181" i="12"/>
  <c r="H526" i="12"/>
  <c r="I526" i="12" s="1"/>
  <c r="H50" i="12"/>
  <c r="K50" i="12" s="1"/>
  <c r="H54" i="12"/>
  <c r="K54" i="12" s="1"/>
  <c r="K48" i="12"/>
  <c r="F717" i="12"/>
  <c r="I717" i="12" s="1"/>
  <c r="I716" i="12"/>
  <c r="H313" i="12"/>
  <c r="E1313" i="12"/>
  <c r="E1310" i="12"/>
  <c r="H1310" i="12" s="1"/>
  <c r="F1346" i="12" s="1"/>
  <c r="F1313" i="12"/>
  <c r="J116" i="12"/>
  <c r="F1429" i="12"/>
  <c r="G1429" i="12" s="1"/>
  <c r="H1429" i="12" s="1"/>
  <c r="I2566" i="4"/>
  <c r="K41" i="12" l="1"/>
  <c r="E1316" i="12"/>
  <c r="G1241" i="12"/>
  <c r="H1241" i="12" s="1"/>
  <c r="J1241" i="12" s="1"/>
  <c r="J715" i="12"/>
  <c r="S701" i="12" s="1"/>
  <c r="G234" i="12"/>
  <c r="I234" i="12" s="1"/>
  <c r="I231" i="12"/>
  <c r="G1187" i="12"/>
  <c r="H1184" i="12"/>
  <c r="G310" i="12"/>
  <c r="H278" i="12"/>
  <c r="J275" i="12" s="1"/>
  <c r="F1316" i="12"/>
  <c r="G1316" i="12" s="1"/>
  <c r="H1316" i="12" s="1"/>
  <c r="J1316" i="12" s="1"/>
  <c r="G355" i="12"/>
  <c r="H352" i="12"/>
  <c r="I11824" i="4"/>
  <c r="I11804" i="4"/>
  <c r="I11784" i="4"/>
  <c r="I11764" i="4"/>
  <c r="I11744" i="4"/>
  <c r="I11724" i="4"/>
  <c r="I11704" i="4"/>
  <c r="I11684" i="4"/>
  <c r="I11664" i="4"/>
  <c r="I11644" i="4"/>
  <c r="I11624" i="4"/>
  <c r="I11604" i="4"/>
  <c r="I11743" i="4"/>
  <c r="I9451" i="4"/>
  <c r="I9432" i="4"/>
  <c r="I9413" i="4"/>
  <c r="I9394" i="4"/>
  <c r="I9375" i="4"/>
  <c r="I9356" i="4"/>
  <c r="I9337" i="4"/>
  <c r="I9318" i="4"/>
  <c r="Z36" i="10"/>
  <c r="Z37" i="10"/>
  <c r="I12185" i="4" s="1"/>
  <c r="J12185" i="4" s="1"/>
  <c r="J12187" i="4" s="1"/>
  <c r="Z38" i="10"/>
  <c r="I9299" i="4"/>
  <c r="J226" i="12" l="1"/>
  <c r="G358" i="12"/>
  <c r="H355" i="12"/>
  <c r="G346" i="12"/>
  <c r="H310" i="12"/>
  <c r="J307" i="12" s="1"/>
  <c r="G1190" i="12"/>
  <c r="H1190" i="12" s="1"/>
  <c r="G1208" i="12"/>
  <c r="H1187" i="12"/>
  <c r="J1175" i="12" s="1"/>
  <c r="I11823" i="4"/>
  <c r="I11683" i="4"/>
  <c r="I11623" i="4"/>
  <c r="I11703" i="4"/>
  <c r="I11783" i="4"/>
  <c r="I11763" i="4"/>
  <c r="I11603" i="4"/>
  <c r="I11643" i="4"/>
  <c r="I11723" i="4"/>
  <c r="I11803" i="4"/>
  <c r="I11663" i="4"/>
  <c r="I2279" i="4"/>
  <c r="I1916" i="4"/>
  <c r="G349" i="12" l="1"/>
  <c r="H346" i="12"/>
  <c r="G1214" i="12"/>
  <c r="H1208" i="12"/>
  <c r="G361" i="12"/>
  <c r="H358" i="12"/>
  <c r="I1915" i="4"/>
  <c r="G1260" i="12" l="1"/>
  <c r="H1214" i="12"/>
  <c r="J1202" i="12" s="1"/>
  <c r="G383" i="12"/>
  <c r="H361" i="12"/>
  <c r="G380" i="12"/>
  <c r="H349" i="12"/>
  <c r="W60" i="10"/>
  <c r="W47" i="10"/>
  <c r="W41" i="10"/>
  <c r="W32" i="10"/>
  <c r="W33" i="10" s="1"/>
  <c r="W30" i="10"/>
  <c r="W22" i="10"/>
  <c r="J346" i="12" l="1"/>
  <c r="G415" i="12"/>
  <c r="H380" i="12"/>
  <c r="G1266" i="12"/>
  <c r="H1266" i="12" s="1"/>
  <c r="G1371" i="12"/>
  <c r="I1340" i="12"/>
  <c r="J1340" i="12" s="1"/>
  <c r="F1348" i="12" s="1"/>
  <c r="H1260" i="12"/>
  <c r="G386" i="12"/>
  <c r="H383" i="12"/>
  <c r="W28" i="10"/>
  <c r="W27" i="10" s="1"/>
  <c r="J1254" i="12" l="1"/>
  <c r="I1405" i="12"/>
  <c r="G1377" i="12"/>
  <c r="H1377" i="12" s="1"/>
  <c r="H1371" i="12"/>
  <c r="G418" i="12"/>
  <c r="G389" i="12"/>
  <c r="H386" i="12"/>
  <c r="G446" i="12"/>
  <c r="H415" i="12"/>
  <c r="J1365" i="12" l="1"/>
  <c r="G449" i="12"/>
  <c r="H449" i="12" s="1"/>
  <c r="G518" i="12"/>
  <c r="H446" i="12"/>
  <c r="G392" i="12"/>
  <c r="H392" i="12" s="1"/>
  <c r="H389" i="12"/>
  <c r="I1429" i="12"/>
  <c r="J1429" i="12" s="1"/>
  <c r="J1405" i="12"/>
  <c r="G421" i="12"/>
  <c r="H418" i="12"/>
  <c r="J377" i="12" l="1"/>
  <c r="F1437" i="12"/>
  <c r="G520" i="12"/>
  <c r="I506" i="12"/>
  <c r="J506" i="12" s="1"/>
  <c r="I518" i="12"/>
  <c r="G424" i="12"/>
  <c r="H421" i="12"/>
  <c r="I12126" i="4"/>
  <c r="I12124" i="4"/>
  <c r="I12122" i="4"/>
  <c r="J12122" i="4" s="1"/>
  <c r="J12123" i="4" s="1"/>
  <c r="G535" i="12" l="1"/>
  <c r="G523" i="12"/>
  <c r="I523" i="12" s="1"/>
  <c r="I520" i="12"/>
  <c r="G452" i="12"/>
  <c r="G427" i="12"/>
  <c r="H427" i="12" s="1"/>
  <c r="H424" i="12"/>
  <c r="J412" i="12" s="1"/>
  <c r="I1506" i="4"/>
  <c r="J515" i="12" l="1"/>
  <c r="G455" i="12"/>
  <c r="H452" i="12"/>
  <c r="G537" i="12"/>
  <c r="G561" i="12"/>
  <c r="I535" i="12"/>
  <c r="I12112" i="4"/>
  <c r="J12112" i="4" s="1"/>
  <c r="G564" i="12" l="1"/>
  <c r="H561" i="12"/>
  <c r="G540" i="12"/>
  <c r="I540" i="12" s="1"/>
  <c r="I537" i="12"/>
  <c r="J532" i="12" s="1"/>
  <c r="G458" i="12"/>
  <c r="I484" i="12"/>
  <c r="J484" i="12" s="1"/>
  <c r="G567" i="12"/>
  <c r="H455" i="12"/>
  <c r="I12048" i="4"/>
  <c r="J12048" i="4" s="1"/>
  <c r="J12054" i="4"/>
  <c r="I12068" i="4"/>
  <c r="J12068" i="4" s="1"/>
  <c r="J12082" i="4"/>
  <c r="G461" i="12" l="1"/>
  <c r="H461" i="12" s="1"/>
  <c r="H458" i="12"/>
  <c r="G603" i="12"/>
  <c r="H603" i="12" s="1"/>
  <c r="H564" i="12"/>
  <c r="G570" i="12"/>
  <c r="H567" i="12"/>
  <c r="I12056" i="4"/>
  <c r="J12056" i="4" s="1"/>
  <c r="J12059" i="4" s="1"/>
  <c r="I2240" i="4"/>
  <c r="J446" i="12" l="1"/>
  <c r="G606" i="12"/>
  <c r="G573" i="12"/>
  <c r="H570" i="12"/>
  <c r="G576" i="12" l="1"/>
  <c r="H576" i="12" s="1"/>
  <c r="H573" i="12"/>
  <c r="G609" i="12"/>
  <c r="H606" i="12"/>
  <c r="J561" i="12" l="1"/>
  <c r="G612" i="12"/>
  <c r="H609" i="12"/>
  <c r="G615" i="12" l="1"/>
  <c r="H612" i="12"/>
  <c r="I12115" i="4"/>
  <c r="J12115" i="4" s="1"/>
  <c r="G634" i="12" l="1"/>
  <c r="H615" i="12"/>
  <c r="J600" i="12" s="1"/>
  <c r="I12070" i="4"/>
  <c r="J12070" i="4" s="1"/>
  <c r="I12114" i="4"/>
  <c r="J12114" i="4" s="1"/>
  <c r="I12049" i="4"/>
  <c r="J12049" i="4" s="1"/>
  <c r="I12071" i="4"/>
  <c r="J12071" i="4" s="1"/>
  <c r="I686" i="12" l="1"/>
  <c r="H634" i="12"/>
  <c r="J634" i="12" s="1"/>
  <c r="J12050" i="4"/>
  <c r="J12060" i="4" s="1"/>
  <c r="J12061" i="4" s="1"/>
  <c r="J12062" i="4" s="1"/>
  <c r="I772" i="12" l="1"/>
  <c r="J772" i="12" s="1"/>
  <c r="G658" i="12"/>
  <c r="I658" i="12" s="1"/>
  <c r="J658" i="12" s="1"/>
  <c r="J686" i="12"/>
  <c r="A704" i="8"/>
  <c r="A705" i="8" s="1"/>
  <c r="A706" i="8" s="1"/>
  <c r="A707" i="8" s="1"/>
  <c r="A708" i="8" s="1"/>
  <c r="A709" i="8" s="1"/>
  <c r="F703" i="8" l="1"/>
  <c r="I296" i="4" l="1"/>
  <c r="I2071" i="4" l="1"/>
  <c r="I2022" i="4"/>
  <c r="I2107" i="4"/>
  <c r="I1969" i="4" l="1"/>
  <c r="K106" i="10"/>
  <c r="I2089" i="4"/>
  <c r="I1968" i="4"/>
  <c r="I2021" i="4"/>
  <c r="H262" i="4"/>
  <c r="I11822" i="4" l="1"/>
  <c r="I11802" i="4"/>
  <c r="I11782" i="4"/>
  <c r="I11762" i="4"/>
  <c r="I11742" i="4"/>
  <c r="I11722" i="4"/>
  <c r="I11702" i="4"/>
  <c r="I11682" i="4"/>
  <c r="I11662" i="4"/>
  <c r="I11642" i="4"/>
  <c r="I11622" i="4"/>
  <c r="I11602" i="4"/>
  <c r="I11356" i="4"/>
  <c r="I11284" i="4"/>
  <c r="I11825" i="4"/>
  <c r="I11805" i="4"/>
  <c r="I11785" i="4"/>
  <c r="I11765" i="4"/>
  <c r="I11745" i="4"/>
  <c r="I11725" i="4"/>
  <c r="I11705" i="4"/>
  <c r="I11685" i="4"/>
  <c r="I11665" i="4"/>
  <c r="I11645" i="4"/>
  <c r="I11625" i="4"/>
  <c r="I11605" i="4"/>
  <c r="I11583" i="4"/>
  <c r="I11565" i="4"/>
  <c r="I11547" i="4"/>
  <c r="I11529" i="4"/>
  <c r="I11511" i="4"/>
  <c r="I11493" i="4"/>
  <c r="I11475" i="4"/>
  <c r="I11458" i="4"/>
  <c r="I11441" i="4"/>
  <c r="I11424" i="4"/>
  <c r="I11407" i="4"/>
  <c r="I11390" i="4"/>
  <c r="I11373" i="4"/>
  <c r="I11338" i="4"/>
  <c r="I11320" i="4"/>
  <c r="I11302" i="4"/>
  <c r="I11266" i="4"/>
  <c r="I11248" i="4"/>
  <c r="I11231" i="4"/>
  <c r="I11230" i="4"/>
  <c r="I11213" i="4"/>
  <c r="I11196" i="4"/>
  <c r="I11179" i="4"/>
  <c r="I11162" i="4"/>
  <c r="I11145" i="4"/>
  <c r="I11128" i="4"/>
  <c r="I11111" i="4"/>
  <c r="I11093" i="4"/>
  <c r="I11076" i="4"/>
  <c r="I11059" i="4"/>
  <c r="I11042" i="4"/>
  <c r="I11025" i="4"/>
  <c r="I11008" i="4"/>
  <c r="I10991" i="4"/>
  <c r="I10974" i="4"/>
  <c r="I10957" i="4"/>
  <c r="I10940" i="4"/>
  <c r="I10923" i="4"/>
  <c r="I10906" i="4"/>
  <c r="I10889" i="4"/>
  <c r="I10872" i="4"/>
  <c r="I10855" i="4"/>
  <c r="I10838" i="4"/>
  <c r="I10821" i="4"/>
  <c r="I10804" i="4"/>
  <c r="I10787" i="4"/>
  <c r="I10770" i="4"/>
  <c r="I10753" i="4"/>
  <c r="I10736" i="4"/>
  <c r="I10719" i="4"/>
  <c r="I10702" i="4"/>
  <c r="I10685" i="4"/>
  <c r="I10668" i="4"/>
  <c r="I10651" i="4"/>
  <c r="I10634" i="4"/>
  <c r="I10617" i="4"/>
  <c r="I10600" i="4"/>
  <c r="I10583" i="4"/>
  <c r="I10566" i="4"/>
  <c r="I10549" i="4"/>
  <c r="I10532" i="4"/>
  <c r="I10515" i="4"/>
  <c r="I10498" i="4"/>
  <c r="I10481" i="4"/>
  <c r="I10464" i="4"/>
  <c r="I10447" i="4"/>
  <c r="I10430" i="4"/>
  <c r="I10413" i="4"/>
  <c r="I10396" i="4"/>
  <c r="I10379" i="4"/>
  <c r="I10362" i="4"/>
  <c r="I10345" i="4"/>
  <c r="I10328" i="4"/>
  <c r="I10311" i="4"/>
  <c r="I10294" i="4"/>
  <c r="I10276" i="4"/>
  <c r="I10258" i="4"/>
  <c r="I10240" i="4"/>
  <c r="I10222" i="4"/>
  <c r="I10204" i="4"/>
  <c r="I10186" i="4"/>
  <c r="I10168" i="4"/>
  <c r="I10150" i="4"/>
  <c r="I10132" i="4"/>
  <c r="I10114" i="4"/>
  <c r="I10096" i="4"/>
  <c r="I10078" i="4"/>
  <c r="I10060" i="4"/>
  <c r="I10042" i="4"/>
  <c r="I10024" i="4"/>
  <c r="I10006" i="4"/>
  <c r="I9989" i="4"/>
  <c r="I9972" i="4"/>
  <c r="I9955" i="4"/>
  <c r="I9938" i="4"/>
  <c r="I9921" i="4"/>
  <c r="I9904" i="4"/>
  <c r="I9887" i="4"/>
  <c r="I9870" i="4"/>
  <c r="I9853" i="4"/>
  <c r="I9836" i="4"/>
  <c r="I9819" i="4"/>
  <c r="I9802" i="4"/>
  <c r="I9785" i="4"/>
  <c r="I9768" i="4"/>
  <c r="I9751" i="4"/>
  <c r="I9733" i="4"/>
  <c r="I9715" i="4"/>
  <c r="I9697" i="4"/>
  <c r="I9679" i="4"/>
  <c r="I9661" i="4"/>
  <c r="I9643" i="4"/>
  <c r="I9625" i="4"/>
  <c r="I9607" i="4"/>
  <c r="I9589" i="4"/>
  <c r="I9571" i="4"/>
  <c r="I9554" i="4"/>
  <c r="I9537" i="4"/>
  <c r="I9520" i="4"/>
  <c r="I9503" i="4"/>
  <c r="I9486" i="4"/>
  <c r="I9469" i="4"/>
  <c r="I9452" i="4"/>
  <c r="I9433" i="4"/>
  <c r="I9414" i="4"/>
  <c r="I9395" i="4"/>
  <c r="I9376" i="4"/>
  <c r="I9357" i="4"/>
  <c r="I9338" i="4"/>
  <c r="I9319" i="4"/>
  <c r="I9300" i="4"/>
  <c r="I9281" i="4"/>
  <c r="I9264" i="4"/>
  <c r="I9247" i="4"/>
  <c r="I9230" i="4"/>
  <c r="I9213" i="4"/>
  <c r="I9196" i="4"/>
  <c r="I9179" i="4"/>
  <c r="I9162" i="4"/>
  <c r="I9145" i="4"/>
  <c r="I9128" i="4"/>
  <c r="I9111" i="4"/>
  <c r="I9094" i="4"/>
  <c r="I9077" i="4"/>
  <c r="I9060" i="4"/>
  <c r="I9043" i="4"/>
  <c r="I9026" i="4"/>
  <c r="I9009" i="4"/>
  <c r="I8992" i="4"/>
  <c r="I8975" i="4"/>
  <c r="I8958" i="4"/>
  <c r="I8941" i="4"/>
  <c r="I8924" i="4"/>
  <c r="I8907" i="4"/>
  <c r="I8890" i="4"/>
  <c r="I8873" i="4"/>
  <c r="I8856" i="4"/>
  <c r="I8839" i="4"/>
  <c r="I8822" i="4"/>
  <c r="I8805" i="4"/>
  <c r="I8788" i="4"/>
  <c r="I8771" i="4"/>
  <c r="I8754" i="4"/>
  <c r="I8737" i="4"/>
  <c r="I8720" i="4"/>
  <c r="I8669" i="4"/>
  <c r="I8652" i="4"/>
  <c r="I8635" i="4"/>
  <c r="I8618" i="4"/>
  <c r="I8600" i="4"/>
  <c r="I8583" i="4"/>
  <c r="I8566" i="4"/>
  <c r="I8549" i="4"/>
  <c r="I8532" i="4"/>
  <c r="I8515" i="4"/>
  <c r="I8498" i="4"/>
  <c r="I8481" i="4"/>
  <c r="I8464" i="4"/>
  <c r="I8447" i="4"/>
  <c r="I8430" i="4"/>
  <c r="I8413" i="4"/>
  <c r="I8396" i="4"/>
  <c r="I8375" i="4"/>
  <c r="K129" i="10"/>
  <c r="K127" i="10"/>
  <c r="K125" i="10"/>
  <c r="K118" i="10"/>
  <c r="K114" i="10"/>
  <c r="K110" i="10"/>
  <c r="K105" i="10"/>
  <c r="K102" i="10"/>
  <c r="K101" i="10"/>
  <c r="K100" i="10"/>
  <c r="K99" i="10"/>
  <c r="K98" i="10"/>
  <c r="K97" i="10"/>
  <c r="K96" i="10"/>
  <c r="K95" i="10"/>
  <c r="K94" i="10"/>
  <c r="K93" i="10"/>
  <c r="K92" i="10"/>
  <c r="K91" i="10"/>
  <c r="K86" i="10"/>
  <c r="K85" i="10"/>
  <c r="K84" i="10"/>
  <c r="K83" i="10"/>
  <c r="K82" i="10"/>
  <c r="K81" i="10"/>
  <c r="K80" i="10"/>
  <c r="K78" i="10"/>
  <c r="K77" i="10"/>
  <c r="K76" i="10"/>
  <c r="K75" i="10"/>
  <c r="K74" i="10"/>
  <c r="K73" i="10"/>
  <c r="K72" i="10"/>
  <c r="K71" i="10"/>
  <c r="K70" i="10"/>
  <c r="K69" i="10"/>
  <c r="K68" i="10"/>
  <c r="K67" i="10"/>
  <c r="K66" i="10"/>
  <c r="K64" i="10"/>
  <c r="K63" i="10"/>
  <c r="K61" i="10"/>
  <c r="K60" i="10"/>
  <c r="K59" i="10"/>
  <c r="K58" i="10"/>
  <c r="K57" i="10"/>
  <c r="K53" i="10"/>
  <c r="K51" i="10"/>
  <c r="K50" i="10"/>
  <c r="K49" i="10"/>
  <c r="K48" i="10"/>
  <c r="K46" i="10"/>
  <c r="K45" i="10"/>
  <c r="K44" i="10"/>
  <c r="K43" i="10"/>
  <c r="K37" i="10"/>
  <c r="K36" i="10"/>
  <c r="K35" i="10"/>
  <c r="K34" i="10"/>
  <c r="K33" i="10"/>
  <c r="K26" i="10"/>
  <c r="K20" i="10"/>
  <c r="K19" i="10"/>
  <c r="K18" i="10"/>
  <c r="K17" i="10"/>
  <c r="K12" i="10"/>
  <c r="K11" i="10"/>
  <c r="K10" i="10"/>
  <c r="K65" i="10" l="1"/>
  <c r="I11303" i="4"/>
  <c r="I11476" i="4"/>
  <c r="I11548" i="4"/>
  <c r="I11267" i="4"/>
  <c r="I11321" i="4"/>
  <c r="I11494" i="4"/>
  <c r="I11566" i="4"/>
  <c r="I11285" i="4"/>
  <c r="I11339" i="4"/>
  <c r="I11512" i="4"/>
  <c r="I11584" i="4"/>
  <c r="I11249" i="4"/>
  <c r="I11530" i="4"/>
  <c r="I9" i="4" l="1"/>
  <c r="I12043" i="4" l="1"/>
  <c r="I12041" i="4"/>
  <c r="I12039" i="4"/>
  <c r="I12023" i="4"/>
  <c r="I12021" i="4"/>
  <c r="I12019" i="4"/>
  <c r="I12000" i="4"/>
  <c r="I11998" i="4"/>
  <c r="I11996" i="4"/>
  <c r="I11989" i="4"/>
  <c r="I11988" i="4"/>
  <c r="I11983" i="4"/>
  <c r="I11981" i="4"/>
  <c r="I11979" i="4"/>
  <c r="I11972" i="4"/>
  <c r="I11971" i="4"/>
  <c r="I11966" i="4"/>
  <c r="I11964" i="4"/>
  <c r="I11962" i="4"/>
  <c r="I11955" i="4"/>
  <c r="I11954" i="4"/>
  <c r="I11949" i="4"/>
  <c r="I11947" i="4"/>
  <c r="I11945" i="4"/>
  <c r="I11938" i="4"/>
  <c r="I11937" i="4"/>
  <c r="I11932" i="4"/>
  <c r="I11930" i="4"/>
  <c r="I11928" i="4"/>
  <c r="I11921" i="4"/>
  <c r="I11920" i="4"/>
  <c r="I11915" i="4"/>
  <c r="I11913" i="4"/>
  <c r="I11911" i="4"/>
  <c r="I11904" i="4"/>
  <c r="I11903" i="4"/>
  <c r="I11898" i="4"/>
  <c r="I11896" i="4"/>
  <c r="I11894" i="4"/>
  <c r="I11887" i="4"/>
  <c r="I11886" i="4"/>
  <c r="I11881" i="4"/>
  <c r="I11879" i="4"/>
  <c r="I11877" i="4"/>
  <c r="I11870" i="4"/>
  <c r="I11869" i="4"/>
  <c r="I11864" i="4"/>
  <c r="I11862" i="4"/>
  <c r="I11860" i="4"/>
  <c r="I11853" i="4"/>
  <c r="I11852" i="4"/>
  <c r="I11847" i="4"/>
  <c r="I11845" i="4"/>
  <c r="I11843" i="4"/>
  <c r="I11836" i="4"/>
  <c r="I11835" i="4"/>
  <c r="I11829" i="4"/>
  <c r="I11827" i="4"/>
  <c r="I11816" i="4"/>
  <c r="I11814" i="4"/>
  <c r="I11809" i="4"/>
  <c r="I11807" i="4"/>
  <c r="I11796" i="4"/>
  <c r="I11794" i="4"/>
  <c r="I11789" i="4"/>
  <c r="I11787" i="4"/>
  <c r="I11776" i="4"/>
  <c r="I11774" i="4"/>
  <c r="I11769" i="4"/>
  <c r="I11767" i="4"/>
  <c r="I11756" i="4"/>
  <c r="I11754" i="4"/>
  <c r="I11749" i="4"/>
  <c r="I11747" i="4"/>
  <c r="I11736" i="4"/>
  <c r="I11734" i="4"/>
  <c r="I11729" i="4"/>
  <c r="I11727" i="4"/>
  <c r="I11716" i="4"/>
  <c r="I11714" i="4"/>
  <c r="I11709" i="4"/>
  <c r="I11707" i="4"/>
  <c r="I11696" i="4"/>
  <c r="I11694" i="4"/>
  <c r="I11689" i="4"/>
  <c r="I11687" i="4"/>
  <c r="I11676" i="4"/>
  <c r="I11674" i="4"/>
  <c r="I11669" i="4"/>
  <c r="I11667" i="4"/>
  <c r="I11656" i="4"/>
  <c r="I11654" i="4"/>
  <c r="I11649" i="4"/>
  <c r="I11647" i="4"/>
  <c r="I11636" i="4"/>
  <c r="I11634" i="4"/>
  <c r="I11629" i="4"/>
  <c r="I11627" i="4"/>
  <c r="I11616" i="4"/>
  <c r="I11614" i="4"/>
  <c r="I11609" i="4"/>
  <c r="I11607" i="4"/>
  <c r="I11596" i="4"/>
  <c r="I11594" i="4"/>
  <c r="I11588" i="4"/>
  <c r="I11586" i="4"/>
  <c r="I11577" i="4"/>
  <c r="I11575" i="4"/>
  <c r="I11570" i="4"/>
  <c r="I11568" i="4"/>
  <c r="I11559" i="4"/>
  <c r="I11557" i="4"/>
  <c r="I11552" i="4"/>
  <c r="I11550" i="4"/>
  <c r="I11541" i="4"/>
  <c r="I11539" i="4"/>
  <c r="I11534" i="4"/>
  <c r="I11532" i="4"/>
  <c r="I11523" i="4"/>
  <c r="I11521" i="4"/>
  <c r="I11516" i="4"/>
  <c r="I11514" i="4"/>
  <c r="I11505" i="4"/>
  <c r="I11503" i="4"/>
  <c r="I11498" i="4"/>
  <c r="I11496" i="4"/>
  <c r="I11487" i="4"/>
  <c r="I11485" i="4"/>
  <c r="I11480" i="4"/>
  <c r="I11478" i="4"/>
  <c r="I11469" i="4"/>
  <c r="I11467" i="4"/>
  <c r="I11462" i="4"/>
  <c r="I11460" i="4"/>
  <c r="I11452" i="4"/>
  <c r="I11450" i="4"/>
  <c r="I11445" i="4"/>
  <c r="I11443" i="4"/>
  <c r="I11435" i="4"/>
  <c r="I11433" i="4"/>
  <c r="I11428" i="4"/>
  <c r="I11426" i="4"/>
  <c r="I11418" i="4"/>
  <c r="I11416" i="4"/>
  <c r="I11411" i="4"/>
  <c r="I11409" i="4"/>
  <c r="I11401" i="4"/>
  <c r="I11399" i="4"/>
  <c r="I11394" i="4"/>
  <c r="I11392" i="4"/>
  <c r="I11384" i="4"/>
  <c r="I11382" i="4"/>
  <c r="I11377" i="4"/>
  <c r="I11375" i="4"/>
  <c r="I11367" i="4"/>
  <c r="I11365" i="4"/>
  <c r="I11360" i="4"/>
  <c r="I11358" i="4"/>
  <c r="I11350" i="4"/>
  <c r="I11348" i="4"/>
  <c r="I11343" i="4"/>
  <c r="I11341" i="4"/>
  <c r="I11332" i="4"/>
  <c r="I11330" i="4"/>
  <c r="I11325" i="4"/>
  <c r="I11323" i="4"/>
  <c r="I11314" i="4"/>
  <c r="I11312" i="4"/>
  <c r="I11307" i="4"/>
  <c r="I11305" i="4"/>
  <c r="I11296" i="4"/>
  <c r="I11294" i="4"/>
  <c r="I11289" i="4"/>
  <c r="I11287" i="4"/>
  <c r="I11278" i="4"/>
  <c r="I11276" i="4"/>
  <c r="I11271" i="4"/>
  <c r="I11269" i="4"/>
  <c r="I11260" i="4"/>
  <c r="I11258" i="4"/>
  <c r="I11253" i="4"/>
  <c r="I11251" i="4"/>
  <c r="I11242" i="4"/>
  <c r="I11240" i="4"/>
  <c r="I11235" i="4"/>
  <c r="I11233" i="4"/>
  <c r="I11224" i="4"/>
  <c r="I11222" i="4"/>
  <c r="I11217" i="4"/>
  <c r="I11215" i="4"/>
  <c r="I11207" i="4"/>
  <c r="I11205" i="4"/>
  <c r="I11200" i="4"/>
  <c r="I11198" i="4"/>
  <c r="I11190" i="4"/>
  <c r="I11188" i="4"/>
  <c r="I11183" i="4"/>
  <c r="I11181" i="4"/>
  <c r="I11173" i="4"/>
  <c r="I11171" i="4"/>
  <c r="I11166" i="4"/>
  <c r="I11164" i="4"/>
  <c r="I11156" i="4"/>
  <c r="I11154" i="4"/>
  <c r="I11149" i="4"/>
  <c r="I11147" i="4"/>
  <c r="I11139" i="4"/>
  <c r="I11137" i="4"/>
  <c r="I11132" i="4"/>
  <c r="I11130" i="4"/>
  <c r="I11122" i="4"/>
  <c r="I11120" i="4"/>
  <c r="I11115" i="4"/>
  <c r="I11113" i="4"/>
  <c r="I11105" i="4"/>
  <c r="I11103" i="4"/>
  <c r="I11097" i="4"/>
  <c r="I11095" i="4"/>
  <c r="I11087" i="4"/>
  <c r="I11085" i="4"/>
  <c r="I11080" i="4"/>
  <c r="I11078" i="4"/>
  <c r="I11070" i="4"/>
  <c r="I11068" i="4"/>
  <c r="I11063" i="4"/>
  <c r="I11061" i="4"/>
  <c r="I11053" i="4"/>
  <c r="I11051" i="4"/>
  <c r="I11046" i="4"/>
  <c r="I11044" i="4"/>
  <c r="I11036" i="4"/>
  <c r="I11034" i="4"/>
  <c r="I11029" i="4"/>
  <c r="I11027" i="4"/>
  <c r="I11019" i="4"/>
  <c r="I11017" i="4"/>
  <c r="I11012" i="4"/>
  <c r="I11010" i="4"/>
  <c r="I11002" i="4"/>
  <c r="I11000" i="4"/>
  <c r="I10995" i="4"/>
  <c r="I10993" i="4"/>
  <c r="I10985" i="4"/>
  <c r="I10983" i="4"/>
  <c r="I10978" i="4"/>
  <c r="I10976" i="4"/>
  <c r="I10968" i="4"/>
  <c r="I10966" i="4"/>
  <c r="I10961" i="4"/>
  <c r="I10959" i="4"/>
  <c r="I10951" i="4"/>
  <c r="I10949" i="4"/>
  <c r="I10944" i="4"/>
  <c r="I10942" i="4"/>
  <c r="I10934" i="4"/>
  <c r="I10932" i="4"/>
  <c r="I10927" i="4"/>
  <c r="I10925" i="4"/>
  <c r="I10917" i="4"/>
  <c r="I10915" i="4"/>
  <c r="I10910" i="4"/>
  <c r="I10908" i="4"/>
  <c r="I10900" i="4"/>
  <c r="I10898" i="4"/>
  <c r="I10893" i="4"/>
  <c r="I10891" i="4"/>
  <c r="I10883" i="4"/>
  <c r="I10881" i="4"/>
  <c r="I10876" i="4"/>
  <c r="I10874" i="4"/>
  <c r="I10866" i="4"/>
  <c r="I10864" i="4"/>
  <c r="I10859" i="4"/>
  <c r="I10857" i="4"/>
  <c r="I10849" i="4"/>
  <c r="I10847" i="4"/>
  <c r="I10842" i="4"/>
  <c r="I10840" i="4"/>
  <c r="I10832" i="4"/>
  <c r="I10830" i="4"/>
  <c r="I10825" i="4"/>
  <c r="I10823" i="4"/>
  <c r="I10815" i="4"/>
  <c r="I10813" i="4"/>
  <c r="I10808" i="4"/>
  <c r="I10806" i="4"/>
  <c r="I10798" i="4"/>
  <c r="I10796" i="4"/>
  <c r="I10791" i="4"/>
  <c r="I10789" i="4"/>
  <c r="I10781" i="4"/>
  <c r="I10779" i="4"/>
  <c r="I10774" i="4"/>
  <c r="I10772" i="4"/>
  <c r="I10764" i="4"/>
  <c r="I10762" i="4"/>
  <c r="I10757" i="4"/>
  <c r="I10755" i="4"/>
  <c r="I10747" i="4"/>
  <c r="I10745" i="4"/>
  <c r="I10740" i="4"/>
  <c r="I10738" i="4"/>
  <c r="I10730" i="4"/>
  <c r="I10728" i="4"/>
  <c r="I10723" i="4"/>
  <c r="I10721" i="4"/>
  <c r="I10713" i="4"/>
  <c r="I10711" i="4"/>
  <c r="I10706" i="4"/>
  <c r="I10704" i="4"/>
  <c r="I10696" i="4"/>
  <c r="I10694" i="4"/>
  <c r="I10689" i="4"/>
  <c r="I10687" i="4"/>
  <c r="I10679" i="4"/>
  <c r="I10677" i="4"/>
  <c r="I10672" i="4"/>
  <c r="I10670" i="4"/>
  <c r="I10662" i="4"/>
  <c r="I10660" i="4"/>
  <c r="I10655" i="4"/>
  <c r="I10653" i="4"/>
  <c r="I10645" i="4"/>
  <c r="I10643" i="4"/>
  <c r="I10638" i="4"/>
  <c r="I10636" i="4"/>
  <c r="I10628" i="4"/>
  <c r="I10626" i="4"/>
  <c r="I10621" i="4"/>
  <c r="I10619" i="4"/>
  <c r="I10611" i="4"/>
  <c r="I10609" i="4"/>
  <c r="I10604" i="4"/>
  <c r="I10602" i="4"/>
  <c r="I10594" i="4"/>
  <c r="I10592" i="4"/>
  <c r="I10587" i="4"/>
  <c r="I10585" i="4"/>
  <c r="I10577" i="4"/>
  <c r="I10575" i="4"/>
  <c r="I10570" i="4"/>
  <c r="I10568" i="4"/>
  <c r="I10560" i="4"/>
  <c r="I10558" i="4"/>
  <c r="I10553" i="4"/>
  <c r="I10551" i="4"/>
  <c r="I10543" i="4"/>
  <c r="I10541" i="4"/>
  <c r="I10536" i="4"/>
  <c r="I10534" i="4"/>
  <c r="I10526" i="4"/>
  <c r="I10524" i="4"/>
  <c r="I10519" i="4"/>
  <c r="I10517" i="4"/>
  <c r="I10509" i="4"/>
  <c r="I10507" i="4"/>
  <c r="I10502" i="4"/>
  <c r="I10500" i="4"/>
  <c r="I10492" i="4"/>
  <c r="I10490" i="4"/>
  <c r="I10485" i="4"/>
  <c r="I10483" i="4"/>
  <c r="I10475" i="4"/>
  <c r="I10473" i="4"/>
  <c r="I10468" i="4"/>
  <c r="I10466" i="4"/>
  <c r="I10458" i="4"/>
  <c r="I10456" i="4"/>
  <c r="I10451" i="4"/>
  <c r="I10449" i="4"/>
  <c r="I10441" i="4"/>
  <c r="I10439" i="4"/>
  <c r="I10434" i="4"/>
  <c r="I10432" i="4"/>
  <c r="I10424" i="4"/>
  <c r="I10422" i="4"/>
  <c r="I10417" i="4"/>
  <c r="I10415" i="4"/>
  <c r="I10407" i="4"/>
  <c r="I10405" i="4"/>
  <c r="I10400" i="4"/>
  <c r="I10398" i="4"/>
  <c r="I10390" i="4"/>
  <c r="I10388" i="4"/>
  <c r="I10383" i="4"/>
  <c r="I10381" i="4"/>
  <c r="I10373" i="4"/>
  <c r="I10371" i="4"/>
  <c r="I10366" i="4"/>
  <c r="I10364" i="4"/>
  <c r="I10356" i="4"/>
  <c r="I10354" i="4"/>
  <c r="I10349" i="4"/>
  <c r="I10347" i="4"/>
  <c r="I10339" i="4"/>
  <c r="I10337" i="4"/>
  <c r="I10332" i="4"/>
  <c r="I10330" i="4"/>
  <c r="I10322" i="4"/>
  <c r="I10320" i="4"/>
  <c r="I10315" i="4"/>
  <c r="I10313" i="4"/>
  <c r="I10305" i="4"/>
  <c r="I10303" i="4"/>
  <c r="I10298" i="4"/>
  <c r="I10296" i="4"/>
  <c r="I10288" i="4"/>
  <c r="I10287" i="4"/>
  <c r="I10285" i="4"/>
  <c r="I10280" i="4"/>
  <c r="I10278" i="4"/>
  <c r="I10270" i="4"/>
  <c r="I10269" i="4"/>
  <c r="I10267" i="4"/>
  <c r="I10262" i="4"/>
  <c r="I10260" i="4"/>
  <c r="I10252" i="4"/>
  <c r="I10251" i="4"/>
  <c r="I10249" i="4"/>
  <c r="I10244" i="4"/>
  <c r="I10242" i="4"/>
  <c r="I10234" i="4"/>
  <c r="I10233" i="4"/>
  <c r="I10231" i="4"/>
  <c r="I10226" i="4"/>
  <c r="I10224" i="4"/>
  <c r="I10216" i="4"/>
  <c r="I10215" i="4"/>
  <c r="I10213" i="4"/>
  <c r="I10208" i="4"/>
  <c r="I10206" i="4"/>
  <c r="I10198" i="4"/>
  <c r="I10197" i="4"/>
  <c r="I10195" i="4"/>
  <c r="I10190" i="4"/>
  <c r="I10188" i="4"/>
  <c r="I10180" i="4"/>
  <c r="I10179" i="4"/>
  <c r="I10177" i="4"/>
  <c r="I10172" i="4"/>
  <c r="I10170" i="4"/>
  <c r="I10162" i="4"/>
  <c r="I10161" i="4"/>
  <c r="I10159" i="4"/>
  <c r="I10154" i="4"/>
  <c r="I10152" i="4"/>
  <c r="I10144" i="4"/>
  <c r="I10143" i="4"/>
  <c r="I10141" i="4"/>
  <c r="I10136" i="4"/>
  <c r="I10134" i="4"/>
  <c r="I10126" i="4"/>
  <c r="I10125" i="4"/>
  <c r="I10123" i="4"/>
  <c r="I10118" i="4"/>
  <c r="I10116" i="4"/>
  <c r="I10108" i="4"/>
  <c r="I10107" i="4"/>
  <c r="I10105" i="4"/>
  <c r="I10100" i="4"/>
  <c r="I10098" i="4"/>
  <c r="I10090" i="4"/>
  <c r="I10089" i="4"/>
  <c r="I10087" i="4"/>
  <c r="I10082" i="4"/>
  <c r="I10080" i="4"/>
  <c r="I10072" i="4"/>
  <c r="I10071" i="4"/>
  <c r="I10069" i="4"/>
  <c r="I10064" i="4"/>
  <c r="I10062" i="4"/>
  <c r="I10054" i="4"/>
  <c r="I10053" i="4"/>
  <c r="I10051" i="4"/>
  <c r="I10046" i="4"/>
  <c r="I10044" i="4"/>
  <c r="I10036" i="4"/>
  <c r="I10035" i="4"/>
  <c r="I10033" i="4"/>
  <c r="I10028" i="4"/>
  <c r="I10026" i="4"/>
  <c r="I10018" i="4"/>
  <c r="I10017" i="4"/>
  <c r="I10015" i="4"/>
  <c r="I10010" i="4"/>
  <c r="I10008" i="4"/>
  <c r="I10000" i="4"/>
  <c r="I9998" i="4"/>
  <c r="I9993" i="4"/>
  <c r="I9991" i="4"/>
  <c r="I9983" i="4"/>
  <c r="I9981" i="4"/>
  <c r="I9976" i="4"/>
  <c r="I9974" i="4"/>
  <c r="I9966" i="4"/>
  <c r="I9964" i="4"/>
  <c r="I9959" i="4"/>
  <c r="I9957" i="4"/>
  <c r="I9949" i="4"/>
  <c r="I9947" i="4"/>
  <c r="I9942" i="4"/>
  <c r="I9940" i="4"/>
  <c r="I9932" i="4"/>
  <c r="I9930" i="4"/>
  <c r="I9925" i="4"/>
  <c r="I9923" i="4"/>
  <c r="I9915" i="4"/>
  <c r="I9913" i="4"/>
  <c r="I9908" i="4"/>
  <c r="I9906" i="4"/>
  <c r="I9898" i="4"/>
  <c r="I9896" i="4"/>
  <c r="I9891" i="4"/>
  <c r="I9889" i="4"/>
  <c r="I9881" i="4"/>
  <c r="I9879" i="4"/>
  <c r="I9874" i="4"/>
  <c r="I9872" i="4"/>
  <c r="I9864" i="4"/>
  <c r="I9862" i="4"/>
  <c r="I9857" i="4"/>
  <c r="I9855" i="4"/>
  <c r="I9847" i="4"/>
  <c r="I9845" i="4"/>
  <c r="I9840" i="4"/>
  <c r="I9838" i="4"/>
  <c r="I9830" i="4"/>
  <c r="I9828" i="4"/>
  <c r="I9823" i="4"/>
  <c r="I9821" i="4"/>
  <c r="I9813" i="4"/>
  <c r="I9811" i="4"/>
  <c r="I9806" i="4"/>
  <c r="I9804" i="4"/>
  <c r="I9796" i="4"/>
  <c r="I9794" i="4"/>
  <c r="I9789" i="4"/>
  <c r="I9787" i="4"/>
  <c r="I9779" i="4"/>
  <c r="I9777" i="4"/>
  <c r="I9772" i="4"/>
  <c r="I9770" i="4"/>
  <c r="I9762" i="4"/>
  <c r="I9760" i="4"/>
  <c r="I9755" i="4"/>
  <c r="I9753" i="4"/>
  <c r="I9745" i="4"/>
  <c r="I9743" i="4"/>
  <c r="I9737" i="4"/>
  <c r="I9735" i="4"/>
  <c r="I9726" i="4"/>
  <c r="I9724" i="4"/>
  <c r="I9719" i="4"/>
  <c r="I9717" i="4"/>
  <c r="I9708" i="4"/>
  <c r="I9706" i="4"/>
  <c r="I9701" i="4"/>
  <c r="I9699" i="4"/>
  <c r="I9690" i="4"/>
  <c r="I9688" i="4"/>
  <c r="I9683" i="4"/>
  <c r="I9681" i="4"/>
  <c r="I9672" i="4"/>
  <c r="I9670" i="4"/>
  <c r="I9665" i="4"/>
  <c r="I9663" i="4"/>
  <c r="I9654" i="4"/>
  <c r="I9652" i="4"/>
  <c r="I9647" i="4"/>
  <c r="I9645" i="4"/>
  <c r="I9636" i="4"/>
  <c r="I9634" i="4"/>
  <c r="I9629" i="4"/>
  <c r="I9627" i="4"/>
  <c r="I9618" i="4"/>
  <c r="I9616" i="4"/>
  <c r="I9611" i="4"/>
  <c r="I9609" i="4"/>
  <c r="I9600" i="4"/>
  <c r="I9598" i="4"/>
  <c r="I9593" i="4"/>
  <c r="I9591" i="4"/>
  <c r="I9582" i="4"/>
  <c r="I9580" i="4"/>
  <c r="I9575" i="4"/>
  <c r="I9573" i="4"/>
  <c r="I9565" i="4"/>
  <c r="I9563" i="4"/>
  <c r="I9558" i="4"/>
  <c r="I9556" i="4"/>
  <c r="I9548" i="4"/>
  <c r="I9546" i="4"/>
  <c r="I9541" i="4"/>
  <c r="I9539" i="4"/>
  <c r="I9531" i="4"/>
  <c r="I9529" i="4"/>
  <c r="I9524" i="4"/>
  <c r="I9522" i="4"/>
  <c r="I9514" i="4"/>
  <c r="I9512" i="4"/>
  <c r="I9507" i="4"/>
  <c r="I9505" i="4"/>
  <c r="I9497" i="4"/>
  <c r="I9495" i="4"/>
  <c r="I9490" i="4"/>
  <c r="I9488" i="4"/>
  <c r="I9480" i="4"/>
  <c r="I9478" i="4"/>
  <c r="I9473" i="4"/>
  <c r="I9471" i="4"/>
  <c r="I9463" i="4"/>
  <c r="I9461" i="4"/>
  <c r="I9456" i="4"/>
  <c r="I9454" i="4"/>
  <c r="I9445" i="4"/>
  <c r="I9444" i="4"/>
  <c r="I9442" i="4"/>
  <c r="I9437" i="4"/>
  <c r="I9435" i="4"/>
  <c r="I9426" i="4"/>
  <c r="I9425" i="4"/>
  <c r="I9423" i="4"/>
  <c r="I9418" i="4"/>
  <c r="I9416" i="4"/>
  <c r="I9407" i="4"/>
  <c r="I9406" i="4"/>
  <c r="I9404" i="4"/>
  <c r="I9399" i="4"/>
  <c r="I9397" i="4"/>
  <c r="I9388" i="4"/>
  <c r="I9387" i="4"/>
  <c r="I9385" i="4"/>
  <c r="I9380" i="4"/>
  <c r="I9378" i="4"/>
  <c r="I9369" i="4"/>
  <c r="I9368" i="4"/>
  <c r="I9366" i="4"/>
  <c r="I9361" i="4"/>
  <c r="I9359" i="4"/>
  <c r="I9350" i="4"/>
  <c r="I9349" i="4"/>
  <c r="I9347" i="4"/>
  <c r="I9342" i="4"/>
  <c r="I9340" i="4"/>
  <c r="I9331" i="4"/>
  <c r="I9330" i="4"/>
  <c r="I9328" i="4"/>
  <c r="I9323" i="4"/>
  <c r="I9321" i="4"/>
  <c r="I9312" i="4"/>
  <c r="I9311" i="4"/>
  <c r="I9309" i="4"/>
  <c r="I9304" i="4"/>
  <c r="I9302" i="4"/>
  <c r="I9293" i="4"/>
  <c r="I9292" i="4"/>
  <c r="I9290" i="4"/>
  <c r="I9285" i="4"/>
  <c r="I9283" i="4"/>
  <c r="I9275" i="4"/>
  <c r="I9273" i="4"/>
  <c r="I9268" i="4"/>
  <c r="I9266" i="4"/>
  <c r="I9258" i="4"/>
  <c r="I9256" i="4"/>
  <c r="I9251" i="4"/>
  <c r="I9249" i="4"/>
  <c r="I9241" i="4"/>
  <c r="I9239" i="4"/>
  <c r="I9234" i="4"/>
  <c r="I9232" i="4"/>
  <c r="I9224" i="4"/>
  <c r="I9222" i="4"/>
  <c r="I9217" i="4"/>
  <c r="I9215" i="4"/>
  <c r="I9207" i="4"/>
  <c r="I9205" i="4"/>
  <c r="I9200" i="4"/>
  <c r="I9198" i="4"/>
  <c r="I9190" i="4"/>
  <c r="I9188" i="4"/>
  <c r="I9183" i="4"/>
  <c r="I9181" i="4"/>
  <c r="I9173" i="4"/>
  <c r="I9171" i="4"/>
  <c r="I9166" i="4"/>
  <c r="I9164" i="4"/>
  <c r="I9156" i="4"/>
  <c r="I9154" i="4"/>
  <c r="I9149" i="4"/>
  <c r="I9147" i="4"/>
  <c r="I9139" i="4"/>
  <c r="I9137" i="4"/>
  <c r="I9132" i="4"/>
  <c r="I9130" i="4"/>
  <c r="I9122" i="4"/>
  <c r="I9120" i="4"/>
  <c r="I9115" i="4"/>
  <c r="I9113" i="4"/>
  <c r="I9105" i="4"/>
  <c r="I9103" i="4"/>
  <c r="I9098" i="4"/>
  <c r="I9096" i="4"/>
  <c r="I9088" i="4"/>
  <c r="I9086" i="4"/>
  <c r="I9081" i="4"/>
  <c r="I9079" i="4"/>
  <c r="I9071" i="4"/>
  <c r="I9069" i="4"/>
  <c r="I9064" i="4"/>
  <c r="I9062" i="4"/>
  <c r="I9054" i="4"/>
  <c r="I9052" i="4"/>
  <c r="I9047" i="4"/>
  <c r="I9045" i="4"/>
  <c r="I9037" i="4"/>
  <c r="I9035" i="4"/>
  <c r="I9034" i="4"/>
  <c r="I9030" i="4"/>
  <c r="I9028" i="4"/>
  <c r="I9020" i="4"/>
  <c r="I9018" i="4"/>
  <c r="I9013" i="4"/>
  <c r="I9011" i="4"/>
  <c r="I9003" i="4"/>
  <c r="I9001" i="4"/>
  <c r="I8996" i="4"/>
  <c r="I8994" i="4"/>
  <c r="I8986" i="4"/>
  <c r="I8984" i="4"/>
  <c r="I8979" i="4"/>
  <c r="I8977" i="4"/>
  <c r="I8969" i="4"/>
  <c r="I8967" i="4"/>
  <c r="I8962" i="4"/>
  <c r="I8960" i="4"/>
  <c r="I8952" i="4"/>
  <c r="I8950" i="4"/>
  <c r="I8945" i="4"/>
  <c r="I8943" i="4"/>
  <c r="I8935" i="4"/>
  <c r="I8933" i="4"/>
  <c r="I8928" i="4"/>
  <c r="I8926" i="4"/>
  <c r="I8918" i="4"/>
  <c r="I8916" i="4"/>
  <c r="I8911" i="4"/>
  <c r="I8909" i="4"/>
  <c r="I8901" i="4"/>
  <c r="I8899" i="4"/>
  <c r="I8894" i="4"/>
  <c r="I8892" i="4"/>
  <c r="I8884" i="4"/>
  <c r="I8882" i="4"/>
  <c r="I8877" i="4"/>
  <c r="I8875" i="4"/>
  <c r="I8867" i="4"/>
  <c r="I8865" i="4"/>
  <c r="I8860" i="4"/>
  <c r="I8858" i="4"/>
  <c r="I8850" i="4"/>
  <c r="I8848" i="4"/>
  <c r="I8843" i="4"/>
  <c r="I8841" i="4"/>
  <c r="I8833" i="4"/>
  <c r="I8831" i="4"/>
  <c r="I8826" i="4"/>
  <c r="I8824" i="4"/>
  <c r="I8816" i="4"/>
  <c r="I8814" i="4"/>
  <c r="I8809" i="4"/>
  <c r="I8807" i="4"/>
  <c r="I8799" i="4"/>
  <c r="I8797" i="4"/>
  <c r="I8792" i="4"/>
  <c r="I8790" i="4"/>
  <c r="I8782" i="4"/>
  <c r="I8780" i="4"/>
  <c r="I8775" i="4"/>
  <c r="I8773" i="4"/>
  <c r="I8765" i="4"/>
  <c r="I8763" i="4"/>
  <c r="I8758" i="4"/>
  <c r="I8756" i="4"/>
  <c r="I8748" i="4"/>
  <c r="I8746" i="4"/>
  <c r="I8741" i="4"/>
  <c r="I8739" i="4"/>
  <c r="I8731" i="4"/>
  <c r="I8729" i="4"/>
  <c r="I8724" i="4"/>
  <c r="I8722" i="4"/>
  <c r="I8714" i="4"/>
  <c r="I8712" i="4"/>
  <c r="I8707" i="4"/>
  <c r="I8705" i="4"/>
  <c r="I8697" i="4"/>
  <c r="I8695" i="4"/>
  <c r="I8690" i="4"/>
  <c r="I8688" i="4"/>
  <c r="I8680" i="4"/>
  <c r="I8678" i="4"/>
  <c r="I8673" i="4"/>
  <c r="I8671" i="4"/>
  <c r="I8663" i="4"/>
  <c r="I8661" i="4"/>
  <c r="I8656" i="4"/>
  <c r="I8654" i="4"/>
  <c r="I8646" i="4"/>
  <c r="I8644" i="4"/>
  <c r="I8639" i="4"/>
  <c r="I8637" i="4"/>
  <c r="I8629" i="4"/>
  <c r="I8627" i="4"/>
  <c r="I8622" i="4"/>
  <c r="I8620" i="4"/>
  <c r="I8612" i="4"/>
  <c r="I8610" i="4"/>
  <c r="I8607" i="4"/>
  <c r="I8605" i="4"/>
  <c r="I8603" i="4"/>
  <c r="I8601" i="4"/>
  <c r="I8594" i="4"/>
  <c r="I8592" i="4"/>
  <c r="I8587" i="4"/>
  <c r="I8585" i="4"/>
  <c r="I8577" i="4"/>
  <c r="I8575" i="4"/>
  <c r="I8570" i="4"/>
  <c r="I8568" i="4"/>
  <c r="I8560" i="4"/>
  <c r="I8558" i="4"/>
  <c r="I8553" i="4"/>
  <c r="I8551" i="4"/>
  <c r="I8543" i="4"/>
  <c r="I8541" i="4"/>
  <c r="I8536" i="4"/>
  <c r="I8534" i="4"/>
  <c r="I8526" i="4"/>
  <c r="I8524" i="4"/>
  <c r="I8519" i="4"/>
  <c r="I8517" i="4"/>
  <c r="I8509" i="4"/>
  <c r="I8507" i="4"/>
  <c r="I8502" i="4"/>
  <c r="I8500" i="4"/>
  <c r="I8492" i="4"/>
  <c r="I8490" i="4"/>
  <c r="I8485" i="4"/>
  <c r="I8483" i="4"/>
  <c r="I8475" i="4"/>
  <c r="I8473" i="4"/>
  <c r="I8468" i="4"/>
  <c r="I8466" i="4"/>
  <c r="I8458" i="4"/>
  <c r="I8456" i="4"/>
  <c r="I8451" i="4"/>
  <c r="I8449" i="4"/>
  <c r="I8441" i="4"/>
  <c r="I8439" i="4"/>
  <c r="I8434" i="4"/>
  <c r="I8432" i="4"/>
  <c r="I8424" i="4"/>
  <c r="I8422" i="4"/>
  <c r="I8417" i="4"/>
  <c r="I8415" i="4"/>
  <c r="I8407" i="4"/>
  <c r="I8405" i="4"/>
  <c r="I8400" i="4"/>
  <c r="I8398" i="4"/>
  <c r="I8390" i="4"/>
  <c r="I8388" i="4"/>
  <c r="I8382" i="4"/>
  <c r="I8379" i="4"/>
  <c r="I8377" i="4"/>
  <c r="I8369" i="4"/>
  <c r="I8367" i="4"/>
  <c r="I8361" i="4"/>
  <c r="I8359" i="4"/>
  <c r="I8357" i="4"/>
  <c r="I8348" i="4"/>
  <c r="I8347" i="4"/>
  <c r="I8345" i="4"/>
  <c r="I8340" i="4"/>
  <c r="I8338" i="4"/>
  <c r="I8336" i="4"/>
  <c r="I8327" i="4"/>
  <c r="I8326" i="4"/>
  <c r="I8324" i="4"/>
  <c r="I8319" i="4"/>
  <c r="I8317" i="4"/>
  <c r="I8315" i="4"/>
  <c r="I8307" i="4"/>
  <c r="I8306" i="4"/>
  <c r="I8304" i="4"/>
  <c r="I8299" i="4"/>
  <c r="I8297" i="4"/>
  <c r="I8295" i="4"/>
  <c r="I8287" i="4"/>
  <c r="I8286" i="4"/>
  <c r="I8284" i="4"/>
  <c r="I8279" i="4"/>
  <c r="I8277" i="4"/>
  <c r="I8275" i="4"/>
  <c r="I8269" i="4"/>
  <c r="I8268" i="4"/>
  <c r="I8266" i="4"/>
  <c r="I8261" i="4"/>
  <c r="I8259" i="4"/>
  <c r="I8257" i="4"/>
  <c r="I8251" i="4"/>
  <c r="I8250" i="4"/>
  <c r="I8248" i="4"/>
  <c r="I8243" i="4"/>
  <c r="I8241" i="4"/>
  <c r="I8239" i="4"/>
  <c r="I8233" i="4"/>
  <c r="I8232" i="4"/>
  <c r="I8230" i="4"/>
  <c r="I8225" i="4"/>
  <c r="I8223" i="4"/>
  <c r="I8221" i="4"/>
  <c r="I8215" i="4"/>
  <c r="I8214" i="4"/>
  <c r="I8212" i="4"/>
  <c r="I8207" i="4"/>
  <c r="I8205" i="4"/>
  <c r="I8203" i="4"/>
  <c r="I8197" i="4"/>
  <c r="I8196" i="4"/>
  <c r="I8194" i="4"/>
  <c r="I8189" i="4"/>
  <c r="I8187" i="4"/>
  <c r="I8185" i="4"/>
  <c r="I8179" i="4"/>
  <c r="I8178" i="4"/>
  <c r="I8176" i="4"/>
  <c r="I8171" i="4"/>
  <c r="I8169" i="4"/>
  <c r="I8167" i="4"/>
  <c r="I8161" i="4"/>
  <c r="I8160" i="4"/>
  <c r="I8158" i="4"/>
  <c r="I8153" i="4"/>
  <c r="I8151" i="4"/>
  <c r="I8149" i="4"/>
  <c r="I8143" i="4"/>
  <c r="I8142" i="4"/>
  <c r="I8140" i="4"/>
  <c r="I8135" i="4"/>
  <c r="I8133" i="4"/>
  <c r="I8131" i="4"/>
  <c r="I8125" i="4"/>
  <c r="I8124" i="4"/>
  <c r="I8122" i="4"/>
  <c r="I8117" i="4"/>
  <c r="I8115" i="4"/>
  <c r="I8113" i="4"/>
  <c r="I8107" i="4"/>
  <c r="I8106" i="4"/>
  <c r="I8104" i="4"/>
  <c r="I8099" i="4"/>
  <c r="I8097" i="4"/>
  <c r="I8095" i="4"/>
  <c r="I8089" i="4"/>
  <c r="I8088" i="4"/>
  <c r="I8086" i="4"/>
  <c r="I8081" i="4"/>
  <c r="I8079" i="4"/>
  <c r="I8077" i="4"/>
  <c r="I8071" i="4"/>
  <c r="I8070" i="4"/>
  <c r="I8068" i="4"/>
  <c r="I8063" i="4"/>
  <c r="I8061" i="4"/>
  <c r="I8059" i="4"/>
  <c r="I8053" i="4"/>
  <c r="I8052" i="4"/>
  <c r="I8050" i="4"/>
  <c r="I8045" i="4"/>
  <c r="I8043" i="4"/>
  <c r="I8041" i="4"/>
  <c r="I8035" i="4"/>
  <c r="I8034" i="4"/>
  <c r="I8032" i="4"/>
  <c r="I8027" i="4"/>
  <c r="I8025" i="4"/>
  <c r="I8023" i="4"/>
  <c r="I8017" i="4"/>
  <c r="I8016" i="4"/>
  <c r="I8014" i="4"/>
  <c r="I8009" i="4"/>
  <c r="I8007" i="4"/>
  <c r="I8005" i="4"/>
  <c r="I7995" i="4"/>
  <c r="I7994" i="4"/>
  <c r="I7992" i="4"/>
  <c r="I7987" i="4"/>
  <c r="I7985" i="4"/>
  <c r="I7983" i="4"/>
  <c r="I7973" i="4"/>
  <c r="I7972" i="4"/>
  <c r="I7970" i="4"/>
  <c r="I7965" i="4"/>
  <c r="I7963" i="4"/>
  <c r="I7961" i="4"/>
  <c r="I7951" i="4"/>
  <c r="I7950" i="4"/>
  <c r="I7948" i="4"/>
  <c r="I7943" i="4"/>
  <c r="I7941" i="4"/>
  <c r="I7939" i="4"/>
  <c r="I7934" i="4"/>
  <c r="I7933" i="4"/>
  <c r="I7931" i="4"/>
  <c r="I7926" i="4"/>
  <c r="I7924" i="4"/>
  <c r="I7922" i="4"/>
  <c r="I7914" i="4"/>
  <c r="I7913" i="4"/>
  <c r="I7911" i="4"/>
  <c r="I7906" i="4"/>
  <c r="I7904" i="4"/>
  <c r="I7902" i="4"/>
  <c r="I7896" i="4"/>
  <c r="I7895" i="4"/>
  <c r="I7893" i="4"/>
  <c r="I7888" i="4"/>
  <c r="I7886" i="4"/>
  <c r="I7884" i="4"/>
  <c r="I7875" i="4"/>
  <c r="I7874" i="4"/>
  <c r="I7872" i="4"/>
  <c r="I7867" i="4"/>
  <c r="I7865" i="4"/>
  <c r="I7863" i="4"/>
  <c r="I7857" i="4"/>
  <c r="I7856" i="4"/>
  <c r="I7854" i="4"/>
  <c r="I7849" i="4"/>
  <c r="I7847" i="4"/>
  <c r="I7845" i="4"/>
  <c r="I7839" i="4"/>
  <c r="I7838" i="4"/>
  <c r="I7836" i="4"/>
  <c r="I7831" i="4"/>
  <c r="I7829" i="4"/>
  <c r="I7827" i="4"/>
  <c r="I7818" i="4"/>
  <c r="I7817" i="4"/>
  <c r="I7815" i="4"/>
  <c r="I7810" i="4"/>
  <c r="I7808" i="4"/>
  <c r="I7806" i="4"/>
  <c r="I7800" i="4"/>
  <c r="I7799" i="4"/>
  <c r="I7797" i="4"/>
  <c r="I7792" i="4"/>
  <c r="I7790" i="4"/>
  <c r="I7788" i="4"/>
  <c r="I7782" i="4"/>
  <c r="I7781" i="4"/>
  <c r="I7779" i="4"/>
  <c r="I7774" i="4"/>
  <c r="I7772" i="4"/>
  <c r="I7770" i="4"/>
  <c r="I7762" i="4"/>
  <c r="I7761" i="4"/>
  <c r="I7759" i="4"/>
  <c r="I7754" i="4"/>
  <c r="I7752" i="4"/>
  <c r="I7750" i="4"/>
  <c r="I7742" i="4"/>
  <c r="I7741" i="4"/>
  <c r="I7739" i="4"/>
  <c r="I7734" i="4"/>
  <c r="I7732" i="4"/>
  <c r="I7730" i="4"/>
  <c r="I7722" i="4"/>
  <c r="I7721" i="4"/>
  <c r="I7719" i="4"/>
  <c r="I7714" i="4"/>
  <c r="I7712" i="4"/>
  <c r="I7710" i="4"/>
  <c r="I7703" i="4"/>
  <c r="I7702" i="4"/>
  <c r="I7700" i="4"/>
  <c r="I7605" i="4"/>
  <c r="I7603" i="4"/>
  <c r="I7601" i="4"/>
  <c r="I7595" i="4"/>
  <c r="I7594" i="4"/>
  <c r="I7592" i="4"/>
  <c r="I7569" i="4"/>
  <c r="I7567" i="4"/>
  <c r="I7565" i="4"/>
  <c r="I7559" i="4"/>
  <c r="I7558" i="4"/>
  <c r="I7556" i="4"/>
  <c r="I7551" i="4"/>
  <c r="I7549" i="4"/>
  <c r="I7547" i="4"/>
  <c r="I7541" i="4"/>
  <c r="I7540" i="4"/>
  <c r="I7538" i="4"/>
  <c r="I7533" i="4"/>
  <c r="I7531" i="4"/>
  <c r="I7529" i="4"/>
  <c r="I7520" i="4"/>
  <c r="I7519" i="4"/>
  <c r="I7517" i="4"/>
  <c r="I7512" i="4"/>
  <c r="I7510" i="4"/>
  <c r="I7508" i="4"/>
  <c r="I7501" i="4"/>
  <c r="I7500" i="4"/>
  <c r="I7498" i="4"/>
  <c r="I7493" i="4"/>
  <c r="I7491" i="4"/>
  <c r="I7489" i="4"/>
  <c r="I7480" i="4"/>
  <c r="I7479" i="4"/>
  <c r="I7477" i="4"/>
  <c r="I7472" i="4"/>
  <c r="I7470" i="4"/>
  <c r="I7468" i="4"/>
  <c r="I7460" i="4"/>
  <c r="I7459" i="4"/>
  <c r="I7457" i="4"/>
  <c r="I7452" i="4"/>
  <c r="I7450" i="4"/>
  <c r="I7448" i="4"/>
  <c r="I7442" i="4"/>
  <c r="I7441" i="4"/>
  <c r="I7439" i="4"/>
  <c r="I7434" i="4"/>
  <c r="I7432" i="4"/>
  <c r="I7430" i="4"/>
  <c r="I7424" i="4"/>
  <c r="I7423" i="4"/>
  <c r="I7421" i="4"/>
  <c r="I7416" i="4"/>
  <c r="I7414" i="4"/>
  <c r="I7412" i="4"/>
  <c r="I7405" i="4"/>
  <c r="I7404" i="4"/>
  <c r="I7402" i="4"/>
  <c r="I7397" i="4"/>
  <c r="I7395" i="4"/>
  <c r="I7393" i="4"/>
  <c r="I7386" i="4"/>
  <c r="I7385" i="4"/>
  <c r="I7383" i="4"/>
  <c r="I7378" i="4"/>
  <c r="I7376" i="4"/>
  <c r="I7374" i="4"/>
  <c r="I7369" i="4"/>
  <c r="I7368" i="4"/>
  <c r="I7366" i="4"/>
  <c r="I7361" i="4"/>
  <c r="I7359" i="4"/>
  <c r="I7357" i="4"/>
  <c r="I7351" i="4"/>
  <c r="I7350" i="4"/>
  <c r="I7348" i="4"/>
  <c r="I7289" i="4"/>
  <c r="I7287" i="4"/>
  <c r="I7285" i="4"/>
  <c r="I7278" i="4"/>
  <c r="I7277" i="4"/>
  <c r="I7275" i="4"/>
  <c r="I7270" i="4"/>
  <c r="I7268" i="4"/>
  <c r="I7266" i="4"/>
  <c r="I7259" i="4"/>
  <c r="I7258" i="4"/>
  <c r="I7256" i="4"/>
  <c r="I7251" i="4"/>
  <c r="I7249" i="4"/>
  <c r="I7247" i="4"/>
  <c r="I7242" i="4"/>
  <c r="I7241" i="4"/>
  <c r="I7236" i="4"/>
  <c r="I7234" i="4"/>
  <c r="I7232" i="4"/>
  <c r="I7225" i="4"/>
  <c r="I7224" i="4"/>
  <c r="I7222" i="4"/>
  <c r="I7217" i="4"/>
  <c r="I7215" i="4"/>
  <c r="I7213" i="4"/>
  <c r="I7208" i="4"/>
  <c r="I7207" i="4"/>
  <c r="I7205" i="4"/>
  <c r="I7200" i="4"/>
  <c r="I7198" i="4"/>
  <c r="I7196" i="4"/>
  <c r="I7185" i="4"/>
  <c r="I7184" i="4"/>
  <c r="I7182" i="4"/>
  <c r="I7177" i="4"/>
  <c r="I7175" i="4"/>
  <c r="I7173" i="4"/>
  <c r="I7162" i="4"/>
  <c r="I7161" i="4"/>
  <c r="I7159" i="4"/>
  <c r="I7154" i="4"/>
  <c r="I7152" i="4"/>
  <c r="I7150" i="4"/>
  <c r="I7145" i="4"/>
  <c r="I7144" i="4"/>
  <c r="I7139" i="4"/>
  <c r="I7137" i="4"/>
  <c r="I7135" i="4"/>
  <c r="I7130" i="4"/>
  <c r="I7129" i="4"/>
  <c r="I7124" i="4"/>
  <c r="I7122" i="4"/>
  <c r="I7120" i="4"/>
  <c r="I7115" i="4"/>
  <c r="I7114" i="4"/>
  <c r="I7108" i="4"/>
  <c r="I7106" i="4"/>
  <c r="I7104" i="4"/>
  <c r="I7098" i="4"/>
  <c r="I7097" i="4"/>
  <c r="I7095" i="4"/>
  <c r="I7090" i="4"/>
  <c r="I7088" i="4"/>
  <c r="I7086" i="4"/>
  <c r="I7081" i="4"/>
  <c r="I7080" i="4"/>
  <c r="I7078" i="4"/>
  <c r="I7073" i="4"/>
  <c r="I7071" i="4"/>
  <c r="I7069" i="4"/>
  <c r="I7064" i="4"/>
  <c r="I7063" i="4"/>
  <c r="I7061" i="4"/>
  <c r="I7056" i="4"/>
  <c r="I7054" i="4"/>
  <c r="I7052" i="4"/>
  <c r="I7047" i="4"/>
  <c r="I7046" i="4"/>
  <c r="I7044" i="4"/>
  <c r="I7039" i="4"/>
  <c r="I7037" i="4"/>
  <c r="I7035" i="4"/>
  <c r="I7029" i="4"/>
  <c r="I7028" i="4"/>
  <c r="I7026" i="4"/>
  <c r="I7021" i="4"/>
  <c r="I7019" i="4"/>
  <c r="I7017" i="4"/>
  <c r="I7011" i="4"/>
  <c r="I7010" i="4"/>
  <c r="I7008" i="4"/>
  <c r="I7003" i="4"/>
  <c r="I7001" i="4"/>
  <c r="I6999" i="4"/>
  <c r="I6993" i="4"/>
  <c r="I6992" i="4"/>
  <c r="I6990" i="4"/>
  <c r="I6985" i="4"/>
  <c r="I6983" i="4"/>
  <c r="I6981" i="4"/>
  <c r="I6975" i="4"/>
  <c r="I6974" i="4"/>
  <c r="I6972" i="4"/>
  <c r="I6967" i="4"/>
  <c r="I6965" i="4"/>
  <c r="I6963" i="4"/>
  <c r="I6958" i="4"/>
  <c r="I6957" i="4"/>
  <c r="I6955" i="4"/>
  <c r="I6950" i="4"/>
  <c r="I6948" i="4"/>
  <c r="I6946" i="4"/>
  <c r="I6941" i="4"/>
  <c r="I6940" i="4"/>
  <c r="I6938" i="4"/>
  <c r="I6933" i="4"/>
  <c r="I6931" i="4"/>
  <c r="I6929" i="4"/>
  <c r="I6924" i="4"/>
  <c r="I6923" i="4"/>
  <c r="I6921" i="4"/>
  <c r="I6916" i="4"/>
  <c r="I6914" i="4"/>
  <c r="I6912" i="4"/>
  <c r="I6907" i="4"/>
  <c r="I6906" i="4"/>
  <c r="I6904" i="4"/>
  <c r="I6899" i="4"/>
  <c r="I6897" i="4"/>
  <c r="I6895" i="4"/>
  <c r="I6890" i="4"/>
  <c r="I6889" i="4"/>
  <c r="I6887" i="4"/>
  <c r="I6882" i="4"/>
  <c r="I6880" i="4"/>
  <c r="I6878" i="4"/>
  <c r="I6873" i="4"/>
  <c r="I6872" i="4"/>
  <c r="I6870" i="4"/>
  <c r="I6865" i="4"/>
  <c r="I6863" i="4"/>
  <c r="I6861" i="4"/>
  <c r="I6856" i="4"/>
  <c r="I6855" i="4"/>
  <c r="I6853" i="4"/>
  <c r="I6848" i="4"/>
  <c r="I6846" i="4"/>
  <c r="I6844" i="4"/>
  <c r="I6839" i="4"/>
  <c r="I6838" i="4"/>
  <c r="I6836" i="4"/>
  <c r="I6835" i="4"/>
  <c r="I6830" i="4"/>
  <c r="I6828" i="4"/>
  <c r="I6826" i="4"/>
  <c r="I6821" i="4"/>
  <c r="I6820" i="4"/>
  <c r="I6818" i="4"/>
  <c r="I6817" i="4"/>
  <c r="I6812" i="4"/>
  <c r="I6810" i="4"/>
  <c r="I6808" i="4"/>
  <c r="I6803" i="4"/>
  <c r="I6802" i="4"/>
  <c r="I6800" i="4"/>
  <c r="I6795" i="4"/>
  <c r="I6793" i="4"/>
  <c r="I6791" i="4"/>
  <c r="I6786" i="4"/>
  <c r="I6785" i="4"/>
  <c r="I6783" i="4"/>
  <c r="I6778" i="4"/>
  <c r="I6776" i="4"/>
  <c r="I6774" i="4"/>
  <c r="I6769" i="4"/>
  <c r="I6768" i="4"/>
  <c r="I6766" i="4"/>
  <c r="I6761" i="4"/>
  <c r="I6759" i="4"/>
  <c r="I6757" i="4"/>
  <c r="I6752" i="4"/>
  <c r="I6751" i="4"/>
  <c r="I6749" i="4"/>
  <c r="I6744" i="4"/>
  <c r="I6742" i="4"/>
  <c r="I6740" i="4"/>
  <c r="I6735" i="4"/>
  <c r="I6734" i="4"/>
  <c r="I6732" i="4"/>
  <c r="I6727" i="4"/>
  <c r="I6725" i="4"/>
  <c r="I6723" i="4"/>
  <c r="I6718" i="4"/>
  <c r="I6717" i="4"/>
  <c r="I6715" i="4"/>
  <c r="I6709" i="4"/>
  <c r="I6707" i="4"/>
  <c r="I6705" i="4"/>
  <c r="I6697" i="4"/>
  <c r="I6696" i="4"/>
  <c r="I6694" i="4"/>
  <c r="I6689" i="4"/>
  <c r="I6687" i="4"/>
  <c r="I6685" i="4"/>
  <c r="I6679" i="4"/>
  <c r="I6678" i="4"/>
  <c r="I6676" i="4"/>
  <c r="I6671" i="4"/>
  <c r="I6669" i="4"/>
  <c r="I6667" i="4"/>
  <c r="I6660" i="4"/>
  <c r="I6659" i="4"/>
  <c r="I6657" i="4"/>
  <c r="I6652" i="4"/>
  <c r="I6650" i="4"/>
  <c r="I6648" i="4"/>
  <c r="I6640" i="4"/>
  <c r="I6639" i="4"/>
  <c r="I6637" i="4"/>
  <c r="I6632" i="4"/>
  <c r="I6630" i="4"/>
  <c r="I6628" i="4"/>
  <c r="I6620" i="4"/>
  <c r="I6619" i="4"/>
  <c r="I6617" i="4"/>
  <c r="I6612" i="4"/>
  <c r="I6610" i="4"/>
  <c r="I6608" i="4"/>
  <c r="I6602" i="4"/>
  <c r="I6601" i="4"/>
  <c r="I6599" i="4"/>
  <c r="I6594" i="4"/>
  <c r="I6592" i="4"/>
  <c r="I6590" i="4"/>
  <c r="I6584" i="4"/>
  <c r="I6583" i="4"/>
  <c r="I6581" i="4"/>
  <c r="I6576" i="4"/>
  <c r="I6574" i="4"/>
  <c r="I6572" i="4"/>
  <c r="I6566" i="4"/>
  <c r="I6565" i="4"/>
  <c r="I6563" i="4"/>
  <c r="I6558" i="4"/>
  <c r="I6556" i="4"/>
  <c r="I6554" i="4"/>
  <c r="I6548" i="4"/>
  <c r="I6547" i="4"/>
  <c r="I6545" i="4"/>
  <c r="I6540" i="4"/>
  <c r="I6538" i="4"/>
  <c r="I6536" i="4"/>
  <c r="I6530" i="4"/>
  <c r="I6529" i="4"/>
  <c r="I6527" i="4"/>
  <c r="I6522" i="4"/>
  <c r="I6520" i="4"/>
  <c r="I6518" i="4"/>
  <c r="I6512" i="4"/>
  <c r="I6511" i="4"/>
  <c r="I6509" i="4"/>
  <c r="I6504" i="4"/>
  <c r="I6502" i="4"/>
  <c r="I6500" i="4"/>
  <c r="I6493" i="4"/>
  <c r="I6492" i="4"/>
  <c r="I6490" i="4"/>
  <c r="I6485" i="4"/>
  <c r="I6483" i="4"/>
  <c r="I6481" i="4"/>
  <c r="I6474" i="4"/>
  <c r="I6473" i="4"/>
  <c r="I6471" i="4"/>
  <c r="I6466" i="4"/>
  <c r="I6464" i="4"/>
  <c r="I6462" i="4"/>
  <c r="I6455" i="4"/>
  <c r="I6454" i="4"/>
  <c r="I6452" i="4"/>
  <c r="I6447" i="4"/>
  <c r="I6445" i="4"/>
  <c r="I6443" i="4"/>
  <c r="I6436" i="4"/>
  <c r="I6435" i="4"/>
  <c r="I6433" i="4"/>
  <c r="I6428" i="4"/>
  <c r="I6426" i="4"/>
  <c r="I6424" i="4"/>
  <c r="I6417" i="4"/>
  <c r="I6416" i="4"/>
  <c r="I6414" i="4"/>
  <c r="I6409" i="4"/>
  <c r="I6407" i="4"/>
  <c r="I6405" i="4"/>
  <c r="I6396" i="4"/>
  <c r="I6395" i="4"/>
  <c r="I6393" i="4"/>
  <c r="I6388" i="4"/>
  <c r="I6386" i="4"/>
  <c r="I6384" i="4"/>
  <c r="I6376" i="4"/>
  <c r="I6375" i="4"/>
  <c r="I6373" i="4"/>
  <c r="I6368" i="4"/>
  <c r="I6366" i="4"/>
  <c r="I6364" i="4"/>
  <c r="I6358" i="4"/>
  <c r="I6357" i="4"/>
  <c r="I6355" i="4"/>
  <c r="I6350" i="4"/>
  <c r="I6348" i="4"/>
  <c r="I6346" i="4"/>
  <c r="I6338" i="4"/>
  <c r="I6337" i="4"/>
  <c r="I6335" i="4"/>
  <c r="I6330" i="4"/>
  <c r="I6328" i="4"/>
  <c r="I6326" i="4"/>
  <c r="I6318" i="4"/>
  <c r="I6317" i="4"/>
  <c r="I6315" i="4"/>
  <c r="I6310" i="4"/>
  <c r="I6308" i="4"/>
  <c r="I6306" i="4"/>
  <c r="I6300" i="4"/>
  <c r="I6299" i="4"/>
  <c r="I6297" i="4"/>
  <c r="I6292" i="4"/>
  <c r="I6290" i="4"/>
  <c r="I6288" i="4"/>
  <c r="I6282" i="4"/>
  <c r="I6281" i="4"/>
  <c r="I6279" i="4"/>
  <c r="I6274" i="4"/>
  <c r="I6272" i="4"/>
  <c r="I6270" i="4"/>
  <c r="I6264" i="4"/>
  <c r="I6263" i="4"/>
  <c r="I6261" i="4"/>
  <c r="I6256" i="4"/>
  <c r="I6254" i="4"/>
  <c r="I6252" i="4"/>
  <c r="I6246" i="4"/>
  <c r="I6245" i="4"/>
  <c r="I6243" i="4"/>
  <c r="I6238" i="4"/>
  <c r="I6236" i="4"/>
  <c r="I6234" i="4"/>
  <c r="I6228" i="4"/>
  <c r="I6227" i="4"/>
  <c r="I6225" i="4"/>
  <c r="I6220" i="4"/>
  <c r="I6218" i="4"/>
  <c r="I6216" i="4"/>
  <c r="I6209" i="4"/>
  <c r="I6208" i="4"/>
  <c r="I6206" i="4"/>
  <c r="I6201" i="4"/>
  <c r="I6199" i="4"/>
  <c r="I6197" i="4"/>
  <c r="I6190" i="4"/>
  <c r="I6189" i="4"/>
  <c r="I6187" i="4"/>
  <c r="I6145" i="4"/>
  <c r="I6143" i="4"/>
  <c r="I6141" i="4"/>
  <c r="I6136" i="4"/>
  <c r="I6135" i="4"/>
  <c r="I6133" i="4"/>
  <c r="I6128" i="4"/>
  <c r="I6126" i="4"/>
  <c r="I6124" i="4"/>
  <c r="I6118" i="4"/>
  <c r="I6117" i="4"/>
  <c r="I6115" i="4"/>
  <c r="I6110" i="4"/>
  <c r="I6108" i="4"/>
  <c r="I6106" i="4"/>
  <c r="I6100" i="4"/>
  <c r="I6099" i="4"/>
  <c r="I6097" i="4"/>
  <c r="I6092" i="4"/>
  <c r="I6090" i="4"/>
  <c r="I6088" i="4"/>
  <c r="I6082" i="4"/>
  <c r="I6081" i="4"/>
  <c r="I6079" i="4"/>
  <c r="I6074" i="4"/>
  <c r="I6072" i="4"/>
  <c r="I6070" i="4"/>
  <c r="I6064" i="4"/>
  <c r="I6063" i="4"/>
  <c r="I6061" i="4"/>
  <c r="I6060" i="4"/>
  <c r="I6055" i="4"/>
  <c r="I6053" i="4"/>
  <c r="I6051" i="4"/>
  <c r="I6044" i="4"/>
  <c r="I6043" i="4"/>
  <c r="I6041" i="4"/>
  <c r="I6036" i="4"/>
  <c r="I6034" i="4"/>
  <c r="I6032" i="4"/>
  <c r="I6026" i="4"/>
  <c r="I6025" i="4"/>
  <c r="I6023" i="4"/>
  <c r="I6018" i="4"/>
  <c r="I6016" i="4"/>
  <c r="I6014" i="4"/>
  <c r="I6007" i="4"/>
  <c r="I6006" i="4"/>
  <c r="I6004" i="4"/>
  <c r="I5999" i="4"/>
  <c r="I5997" i="4"/>
  <c r="I5995" i="4"/>
  <c r="I5986" i="4"/>
  <c r="I5985" i="4"/>
  <c r="I5983" i="4"/>
  <c r="I5978" i="4"/>
  <c r="I5976" i="4"/>
  <c r="I5974" i="4"/>
  <c r="I5968" i="4"/>
  <c r="I5967" i="4"/>
  <c r="I5965" i="4"/>
  <c r="I5958" i="4"/>
  <c r="I5956" i="4"/>
  <c r="I5954" i="4"/>
  <c r="I5948" i="4"/>
  <c r="I5947" i="4"/>
  <c r="I5945" i="4"/>
  <c r="I5940" i="4"/>
  <c r="I5938" i="4"/>
  <c r="I5936" i="4"/>
  <c r="I5930" i="4"/>
  <c r="I5929" i="4"/>
  <c r="I5927" i="4"/>
  <c r="I5922" i="4"/>
  <c r="I5920" i="4"/>
  <c r="I5918" i="4"/>
  <c r="I5910" i="4"/>
  <c r="I5909" i="4"/>
  <c r="I5907" i="4"/>
  <c r="I5902" i="4"/>
  <c r="I5900" i="4"/>
  <c r="I5898" i="4"/>
  <c r="I5892" i="4"/>
  <c r="I5891" i="4"/>
  <c r="I5889" i="4"/>
  <c r="I5884" i="4"/>
  <c r="I5882" i="4"/>
  <c r="I5880" i="4"/>
  <c r="I5874" i="4"/>
  <c r="I5873" i="4"/>
  <c r="I5871" i="4"/>
  <c r="I5866" i="4"/>
  <c r="I5864" i="4"/>
  <c r="I5862" i="4"/>
  <c r="I5856" i="4"/>
  <c r="I5855" i="4"/>
  <c r="I5853" i="4"/>
  <c r="I5848" i="4"/>
  <c r="I5846" i="4"/>
  <c r="I5844" i="4"/>
  <c r="I5838" i="4"/>
  <c r="I5837" i="4"/>
  <c r="I5835" i="4"/>
  <c r="I5830" i="4"/>
  <c r="I5828" i="4"/>
  <c r="I5826" i="4"/>
  <c r="I5820" i="4"/>
  <c r="I5819" i="4"/>
  <c r="I5817" i="4"/>
  <c r="I5812" i="4"/>
  <c r="I5810" i="4"/>
  <c r="I5808" i="4"/>
  <c r="I5802" i="4"/>
  <c r="I5801" i="4"/>
  <c r="I5799" i="4"/>
  <c r="I5794" i="4"/>
  <c r="I5792" i="4"/>
  <c r="I5790" i="4"/>
  <c r="I5784" i="4"/>
  <c r="I5783" i="4"/>
  <c r="I5781" i="4"/>
  <c r="I5776" i="4"/>
  <c r="I5774" i="4"/>
  <c r="I5772" i="4"/>
  <c r="I5766" i="4"/>
  <c r="I5765" i="4"/>
  <c r="I5763" i="4"/>
  <c r="I5758" i="4"/>
  <c r="I5756" i="4"/>
  <c r="I5754" i="4"/>
  <c r="I5748" i="4"/>
  <c r="I5747" i="4"/>
  <c r="I5745" i="4"/>
  <c r="I5740" i="4"/>
  <c r="I5738" i="4"/>
  <c r="I5736" i="4"/>
  <c r="I5730" i="4"/>
  <c r="I5729" i="4"/>
  <c r="I5727" i="4"/>
  <c r="I5722" i="4"/>
  <c r="I5720" i="4"/>
  <c r="I5718" i="4"/>
  <c r="I5712" i="4"/>
  <c r="I5711" i="4"/>
  <c r="I5709" i="4"/>
  <c r="I5704" i="4"/>
  <c r="I5702" i="4"/>
  <c r="I5700" i="4"/>
  <c r="I5694" i="4"/>
  <c r="I5693" i="4"/>
  <c r="I5691" i="4"/>
  <c r="I5686" i="4"/>
  <c r="I5684" i="4"/>
  <c r="I5682" i="4"/>
  <c r="I5676" i="4"/>
  <c r="I5675" i="4"/>
  <c r="I5673" i="4"/>
  <c r="I5668" i="4"/>
  <c r="I5666" i="4"/>
  <c r="I5664" i="4"/>
  <c r="I5658" i="4"/>
  <c r="I5657" i="4"/>
  <c r="I5655" i="4"/>
  <c r="I5650" i="4"/>
  <c r="I5648" i="4"/>
  <c r="I5646" i="4"/>
  <c r="I5640" i="4"/>
  <c r="I5639" i="4"/>
  <c r="I5637" i="4"/>
  <c r="I5632" i="4"/>
  <c r="I5630" i="4"/>
  <c r="I5628" i="4"/>
  <c r="I5622" i="4"/>
  <c r="I5621" i="4"/>
  <c r="I5619" i="4"/>
  <c r="I5614" i="4"/>
  <c r="I5612" i="4"/>
  <c r="I5610" i="4"/>
  <c r="I5604" i="4"/>
  <c r="I5603" i="4"/>
  <c r="I5601" i="4"/>
  <c r="I5596" i="4"/>
  <c r="I5594" i="4"/>
  <c r="I5592" i="4"/>
  <c r="I5586" i="4"/>
  <c r="I5585" i="4"/>
  <c r="I5583" i="4"/>
  <c r="I5578" i="4"/>
  <c r="I5576" i="4"/>
  <c r="I5574" i="4"/>
  <c r="I5568" i="4"/>
  <c r="I5567" i="4"/>
  <c r="I5565" i="4"/>
  <c r="I5560" i="4"/>
  <c r="I5558" i="4"/>
  <c r="I5556" i="4"/>
  <c r="I5550" i="4"/>
  <c r="I5549" i="4"/>
  <c r="I5547" i="4"/>
  <c r="I5542" i="4"/>
  <c r="I5540" i="4"/>
  <c r="I5538" i="4"/>
  <c r="I5532" i="4"/>
  <c r="I5531" i="4"/>
  <c r="I5529" i="4"/>
  <c r="I5524" i="4"/>
  <c r="I5522" i="4"/>
  <c r="I5520" i="4"/>
  <c r="I5514" i="4"/>
  <c r="I5513" i="4"/>
  <c r="I5511" i="4"/>
  <c r="I5506" i="4"/>
  <c r="I5504" i="4"/>
  <c r="I5502" i="4"/>
  <c r="I5496" i="4"/>
  <c r="I5495" i="4"/>
  <c r="I5493" i="4"/>
  <c r="I5470" i="4"/>
  <c r="I5468" i="4"/>
  <c r="I5466" i="4"/>
  <c r="I5460" i="4"/>
  <c r="I5459" i="4"/>
  <c r="I5457" i="4"/>
  <c r="I5452" i="4"/>
  <c r="I5450" i="4"/>
  <c r="I5448" i="4"/>
  <c r="I5441" i="4"/>
  <c r="I5440" i="4"/>
  <c r="I5438" i="4"/>
  <c r="I5433" i="4"/>
  <c r="I5431" i="4"/>
  <c r="I5429" i="4"/>
  <c r="I5422" i="4"/>
  <c r="I5421" i="4"/>
  <c r="I5419" i="4"/>
  <c r="I5414" i="4"/>
  <c r="I5412" i="4"/>
  <c r="I5410" i="4"/>
  <c r="I5403" i="4"/>
  <c r="I5402" i="4"/>
  <c r="I5400" i="4"/>
  <c r="I5395" i="4"/>
  <c r="I5393" i="4"/>
  <c r="I5391" i="4"/>
  <c r="I5386" i="4"/>
  <c r="I5385" i="4"/>
  <c r="I5383" i="4"/>
  <c r="I5378" i="4"/>
  <c r="I5376" i="4"/>
  <c r="I5374" i="4"/>
  <c r="I5369" i="4"/>
  <c r="I5368" i="4"/>
  <c r="I5366" i="4"/>
  <c r="I5361" i="4"/>
  <c r="I5359" i="4"/>
  <c r="I5357" i="4"/>
  <c r="I5352" i="4"/>
  <c r="I5351" i="4"/>
  <c r="I5349" i="4"/>
  <c r="I5325" i="4"/>
  <c r="I5323" i="4"/>
  <c r="I5321" i="4"/>
  <c r="I5315" i="4"/>
  <c r="I5314" i="4"/>
  <c r="I5312" i="4"/>
  <c r="I5307" i="4"/>
  <c r="I5305" i="4"/>
  <c r="I5303" i="4"/>
  <c r="I5297" i="4"/>
  <c r="I5296" i="4"/>
  <c r="I5294" i="4"/>
  <c r="I5287" i="4"/>
  <c r="I5285" i="4"/>
  <c r="I5283" i="4"/>
  <c r="I5277" i="4"/>
  <c r="I5276" i="4"/>
  <c r="I5274" i="4"/>
  <c r="I5269" i="4"/>
  <c r="I5267" i="4"/>
  <c r="I5265" i="4"/>
  <c r="I5257" i="4"/>
  <c r="I5256" i="4"/>
  <c r="I5254" i="4"/>
  <c r="I5194" i="4"/>
  <c r="I5192" i="4"/>
  <c r="I5190" i="4"/>
  <c r="I5184" i="4"/>
  <c r="I5183" i="4"/>
  <c r="I5181" i="4"/>
  <c r="I5176" i="4"/>
  <c r="I5174" i="4"/>
  <c r="I5172" i="4"/>
  <c r="I5166" i="4"/>
  <c r="I5165" i="4"/>
  <c r="I5163" i="4"/>
  <c r="I5158" i="4"/>
  <c r="I5156" i="4"/>
  <c r="I5154" i="4"/>
  <c r="I5148" i="4"/>
  <c r="I5147" i="4"/>
  <c r="I5145" i="4"/>
  <c r="I5140" i="4"/>
  <c r="I5138" i="4"/>
  <c r="I5136" i="4"/>
  <c r="I5130" i="4"/>
  <c r="I5129" i="4"/>
  <c r="I5127" i="4"/>
  <c r="I5122" i="4"/>
  <c r="I5120" i="4"/>
  <c r="I5118" i="4"/>
  <c r="I5112" i="4"/>
  <c r="I5111" i="4"/>
  <c r="I5109" i="4"/>
  <c r="I5104" i="4"/>
  <c r="I5102" i="4"/>
  <c r="I5100" i="4"/>
  <c r="I5094" i="4"/>
  <c r="I5093" i="4"/>
  <c r="I5091" i="4"/>
  <c r="I5086" i="4"/>
  <c r="I5084" i="4"/>
  <c r="I5082" i="4"/>
  <c r="I5076" i="4"/>
  <c r="I5075" i="4"/>
  <c r="I5073" i="4"/>
  <c r="I5067" i="4"/>
  <c r="I5065" i="4"/>
  <c r="I5063" i="4"/>
  <c r="I5057" i="4"/>
  <c r="I5056" i="4"/>
  <c r="I5054" i="4"/>
  <c r="I5049" i="4"/>
  <c r="I5047" i="4"/>
  <c r="I5044" i="4"/>
  <c r="I5038" i="4"/>
  <c r="I5037" i="4"/>
  <c r="I5035" i="4"/>
  <c r="I5030" i="4"/>
  <c r="I5028" i="4"/>
  <c r="I5025" i="4"/>
  <c r="I5019" i="4"/>
  <c r="I5018" i="4"/>
  <c r="I5016" i="4"/>
  <c r="I5011" i="4"/>
  <c r="I5009" i="4"/>
  <c r="I5006" i="4"/>
  <c r="I5000" i="4"/>
  <c r="I4999" i="4"/>
  <c r="I4997" i="4"/>
  <c r="I4992" i="4"/>
  <c r="I4990" i="4"/>
  <c r="I4987" i="4"/>
  <c r="I4981" i="4"/>
  <c r="I4980" i="4"/>
  <c r="I4978" i="4"/>
  <c r="I4973" i="4"/>
  <c r="I4971" i="4"/>
  <c r="I4969" i="4"/>
  <c r="I4963" i="4"/>
  <c r="I4962" i="4"/>
  <c r="I4960" i="4"/>
  <c r="I4955" i="4"/>
  <c r="I4953" i="4"/>
  <c r="I4951" i="4"/>
  <c r="I4945" i="4"/>
  <c r="I4944" i="4"/>
  <c r="I4942" i="4"/>
  <c r="I4937" i="4"/>
  <c r="I4935" i="4"/>
  <c r="I4933" i="4"/>
  <c r="I4928" i="4"/>
  <c r="I4927" i="4"/>
  <c r="I4925" i="4"/>
  <c r="I4920" i="4"/>
  <c r="I4918" i="4"/>
  <c r="I4916" i="4"/>
  <c r="I4910" i="4"/>
  <c r="I4909" i="4"/>
  <c r="I4907" i="4"/>
  <c r="I4902" i="4"/>
  <c r="I4900" i="4"/>
  <c r="I4898" i="4"/>
  <c r="I4892" i="4"/>
  <c r="I4891" i="4"/>
  <c r="I4889" i="4"/>
  <c r="I4884" i="4"/>
  <c r="I4882" i="4"/>
  <c r="I4880" i="4"/>
  <c r="I4873" i="4"/>
  <c r="I4872" i="4"/>
  <c r="I4870" i="4"/>
  <c r="I4865" i="4"/>
  <c r="I4863" i="4"/>
  <c r="I4861" i="4"/>
  <c r="I4854" i="4"/>
  <c r="I4853" i="4"/>
  <c r="I4851" i="4"/>
  <c r="I4846" i="4"/>
  <c r="I4844" i="4"/>
  <c r="I4842" i="4"/>
  <c r="I4834" i="4"/>
  <c r="I4833" i="4"/>
  <c r="I4831" i="4"/>
  <c r="I4826" i="4"/>
  <c r="I4824" i="4"/>
  <c r="I4822" i="4"/>
  <c r="I4813" i="4"/>
  <c r="I4812" i="4"/>
  <c r="I4810" i="4"/>
  <c r="I4805" i="4"/>
  <c r="I4803" i="4"/>
  <c r="I4801" i="4"/>
  <c r="I4793" i="4"/>
  <c r="I4792" i="4"/>
  <c r="I4790" i="4"/>
  <c r="I4785" i="4"/>
  <c r="I4783" i="4"/>
  <c r="I4781" i="4"/>
  <c r="I4773" i="4"/>
  <c r="I4772" i="4"/>
  <c r="I4770" i="4"/>
  <c r="I4765" i="4"/>
  <c r="I4763" i="4"/>
  <c r="I4761" i="4"/>
  <c r="I4753" i="4"/>
  <c r="I4752" i="4"/>
  <c r="I4750" i="4"/>
  <c r="I4745" i="4"/>
  <c r="I4743" i="4"/>
  <c r="I4741" i="4"/>
  <c r="I4733" i="4"/>
  <c r="I4732" i="4"/>
  <c r="I4730" i="4"/>
  <c r="I4725" i="4"/>
  <c r="I4723" i="4"/>
  <c r="I4721" i="4"/>
  <c r="I4713" i="4"/>
  <c r="I4712" i="4"/>
  <c r="I4710" i="4"/>
  <c r="I4705" i="4"/>
  <c r="I4703" i="4"/>
  <c r="I4701" i="4"/>
  <c r="I4693" i="4"/>
  <c r="I4692" i="4"/>
  <c r="I4690" i="4"/>
  <c r="I4685" i="4"/>
  <c r="I4683" i="4"/>
  <c r="I4681" i="4"/>
  <c r="I4673" i="4"/>
  <c r="I4672" i="4"/>
  <c r="I4670" i="4"/>
  <c r="I4665" i="4"/>
  <c r="I4663" i="4"/>
  <c r="I4661" i="4"/>
  <c r="I4655" i="4"/>
  <c r="I4654" i="4"/>
  <c r="I4652" i="4"/>
  <c r="I4647" i="4"/>
  <c r="I4645" i="4"/>
  <c r="I4643" i="4"/>
  <c r="I4637" i="4"/>
  <c r="I4636" i="4"/>
  <c r="I4634" i="4"/>
  <c r="I4629" i="4"/>
  <c r="I4627" i="4"/>
  <c r="I4625" i="4"/>
  <c r="I4619" i="4"/>
  <c r="I4618" i="4"/>
  <c r="I4616" i="4"/>
  <c r="I4611" i="4"/>
  <c r="I4609" i="4"/>
  <c r="I4607" i="4"/>
  <c r="I4601" i="4"/>
  <c r="I4600" i="4"/>
  <c r="I4598" i="4"/>
  <c r="I4593" i="4"/>
  <c r="I4591" i="4"/>
  <c r="I4589" i="4"/>
  <c r="I4581" i="4"/>
  <c r="I4580" i="4"/>
  <c r="I4578" i="4"/>
  <c r="I4573" i="4"/>
  <c r="I4571" i="4"/>
  <c r="I4569" i="4"/>
  <c r="I4561" i="4"/>
  <c r="I4560" i="4"/>
  <c r="I4558" i="4"/>
  <c r="I4553" i="4"/>
  <c r="I4551" i="4"/>
  <c r="I4549" i="4"/>
  <c r="I4541" i="4"/>
  <c r="I4540" i="4"/>
  <c r="I4538" i="4"/>
  <c r="I4533" i="4"/>
  <c r="I4531" i="4"/>
  <c r="I4529" i="4"/>
  <c r="I4521" i="4"/>
  <c r="I4520" i="4"/>
  <c r="I4518" i="4"/>
  <c r="I4513" i="4"/>
  <c r="I4511" i="4"/>
  <c r="I4509" i="4"/>
  <c r="I4501" i="4"/>
  <c r="I4500" i="4"/>
  <c r="I4498" i="4"/>
  <c r="I4493" i="4"/>
  <c r="I4491" i="4"/>
  <c r="I4489" i="4"/>
  <c r="I4481" i="4"/>
  <c r="I4480" i="4"/>
  <c r="I4478" i="4"/>
  <c r="I4473" i="4"/>
  <c r="I4471" i="4"/>
  <c r="I4469" i="4"/>
  <c r="I4461" i="4"/>
  <c r="I4460" i="4"/>
  <c r="I4458" i="4"/>
  <c r="I4453" i="4"/>
  <c r="I4451" i="4"/>
  <c r="I4449" i="4"/>
  <c r="I4441" i="4"/>
  <c r="I4440" i="4"/>
  <c r="I4438" i="4"/>
  <c r="I4413" i="4"/>
  <c r="I4411" i="4"/>
  <c r="I4409" i="4"/>
  <c r="I4401" i="4"/>
  <c r="I4400" i="4"/>
  <c r="I4398" i="4"/>
  <c r="I4393" i="4"/>
  <c r="I4391" i="4"/>
  <c r="I4389" i="4"/>
  <c r="I4381" i="4"/>
  <c r="I4380" i="4"/>
  <c r="I4378" i="4"/>
  <c r="I4313" i="4"/>
  <c r="I4311" i="4"/>
  <c r="I4309" i="4"/>
  <c r="I4301" i="4"/>
  <c r="I4300" i="4"/>
  <c r="I4298" i="4"/>
  <c r="I4293" i="4"/>
  <c r="I4291" i="4"/>
  <c r="I4289" i="4"/>
  <c r="I4281" i="4"/>
  <c r="I4280" i="4"/>
  <c r="I4278" i="4"/>
  <c r="I4273" i="4"/>
  <c r="I4271" i="4"/>
  <c r="I4269" i="4"/>
  <c r="I4263" i="4"/>
  <c r="I4262" i="4"/>
  <c r="I4260" i="4"/>
  <c r="I4255" i="4"/>
  <c r="I4253" i="4"/>
  <c r="I4251" i="4"/>
  <c r="I4243" i="4"/>
  <c r="I4242" i="4"/>
  <c r="I4240" i="4"/>
  <c r="I4235" i="4"/>
  <c r="I4233" i="4"/>
  <c r="I4231" i="4"/>
  <c r="I4223" i="4"/>
  <c r="I4222" i="4"/>
  <c r="I4220" i="4"/>
  <c r="I4215" i="4"/>
  <c r="I4213" i="4"/>
  <c r="I4211" i="4"/>
  <c r="I4203" i="4"/>
  <c r="I4202" i="4"/>
  <c r="I4200" i="4"/>
  <c r="I4195" i="4"/>
  <c r="I4193" i="4"/>
  <c r="I4191" i="4"/>
  <c r="I4183" i="4"/>
  <c r="I4182" i="4"/>
  <c r="I4180" i="4"/>
  <c r="I4175" i="4"/>
  <c r="I4173" i="4"/>
  <c r="I4171" i="4"/>
  <c r="I4163" i="4"/>
  <c r="I4162" i="4"/>
  <c r="I4160" i="4"/>
  <c r="I4155" i="4"/>
  <c r="I4153" i="4"/>
  <c r="I4151" i="4"/>
  <c r="I4143" i="4"/>
  <c r="I4142" i="4"/>
  <c r="I4140" i="4"/>
  <c r="I4135" i="4"/>
  <c r="I4133" i="4"/>
  <c r="I4131" i="4"/>
  <c r="I4123" i="4"/>
  <c r="I4122" i="4"/>
  <c r="I4120" i="4"/>
  <c r="I4115" i="4"/>
  <c r="I4113" i="4"/>
  <c r="I4111" i="4"/>
  <c r="I4103" i="4"/>
  <c r="I4102" i="4"/>
  <c r="I4100" i="4"/>
  <c r="I4095" i="4"/>
  <c r="I4093" i="4"/>
  <c r="I4091" i="4"/>
  <c r="I4083" i="4"/>
  <c r="I4082" i="4"/>
  <c r="I4081" i="4"/>
  <c r="I4080" i="4"/>
  <c r="I4075" i="4"/>
  <c r="I4073" i="4"/>
  <c r="I4071" i="4"/>
  <c r="I4063" i="4"/>
  <c r="I4062" i="4"/>
  <c r="I4060" i="4"/>
  <c r="I4055" i="4"/>
  <c r="I4053" i="4"/>
  <c r="I4051" i="4"/>
  <c r="I4043" i="4"/>
  <c r="I4042" i="4"/>
  <c r="I4040" i="4"/>
  <c r="I4035" i="4"/>
  <c r="I4033" i="4"/>
  <c r="I4031" i="4"/>
  <c r="I4023" i="4"/>
  <c r="I4022" i="4"/>
  <c r="I4020" i="4"/>
  <c r="I4015" i="4"/>
  <c r="I4013" i="4"/>
  <c r="I4011" i="4"/>
  <c r="I4004" i="4"/>
  <c r="I4003" i="4"/>
  <c r="I4001" i="4"/>
  <c r="I3996" i="4"/>
  <c r="I3994" i="4"/>
  <c r="I3992" i="4"/>
  <c r="I3985" i="4"/>
  <c r="I3984" i="4"/>
  <c r="I3982" i="4"/>
  <c r="I3981" i="4"/>
  <c r="I3977" i="4"/>
  <c r="I3975" i="4"/>
  <c r="I3973" i="4"/>
  <c r="I3966" i="4"/>
  <c r="I3965" i="4"/>
  <c r="I3963" i="4"/>
  <c r="I3958" i="4"/>
  <c r="I3956" i="4"/>
  <c r="I3954" i="4"/>
  <c r="I3946" i="4"/>
  <c r="I3945" i="4"/>
  <c r="I3943" i="4"/>
  <c r="I3938" i="4"/>
  <c r="I3936" i="4"/>
  <c r="I3934" i="4"/>
  <c r="I3926" i="4"/>
  <c r="I3925" i="4"/>
  <c r="I3923" i="4"/>
  <c r="I3918" i="4"/>
  <c r="I3916" i="4"/>
  <c r="I3914" i="4"/>
  <c r="I3906" i="4"/>
  <c r="I3905" i="4"/>
  <c r="I3903" i="4"/>
  <c r="I3898" i="4"/>
  <c r="I3896" i="4"/>
  <c r="I3894" i="4"/>
  <c r="I3886" i="4"/>
  <c r="I3885" i="4"/>
  <c r="I3883" i="4"/>
  <c r="I3878" i="4"/>
  <c r="I3876" i="4"/>
  <c r="I3874" i="4"/>
  <c r="I3866" i="4"/>
  <c r="I3865" i="4"/>
  <c r="I3863" i="4"/>
  <c r="I3858" i="4"/>
  <c r="I3856" i="4"/>
  <c r="I3854" i="4"/>
  <c r="I3846" i="4"/>
  <c r="I3845" i="4"/>
  <c r="I3843" i="4"/>
  <c r="I3838" i="4"/>
  <c r="I3836" i="4"/>
  <c r="I3834" i="4"/>
  <c r="I3826" i="4"/>
  <c r="I3825" i="4"/>
  <c r="I3823" i="4"/>
  <c r="I3818" i="4"/>
  <c r="I3816" i="4"/>
  <c r="I3814" i="4"/>
  <c r="I3806" i="4"/>
  <c r="I3805" i="4"/>
  <c r="I3803" i="4"/>
  <c r="I3798" i="4"/>
  <c r="I3796" i="4"/>
  <c r="I3794" i="4"/>
  <c r="I3786" i="4"/>
  <c r="I3785" i="4"/>
  <c r="I3783" i="4"/>
  <c r="I3778" i="4"/>
  <c r="I3776" i="4"/>
  <c r="I3774" i="4"/>
  <c r="I3766" i="4"/>
  <c r="I3765" i="4"/>
  <c r="I3763" i="4"/>
  <c r="I3758" i="4"/>
  <c r="I3756" i="4"/>
  <c r="I3754" i="4"/>
  <c r="I3746" i="4"/>
  <c r="I3745" i="4"/>
  <c r="I3743" i="4"/>
  <c r="I3738" i="4"/>
  <c r="I3736" i="4"/>
  <c r="I3734" i="4"/>
  <c r="I3726" i="4"/>
  <c r="I3725" i="4"/>
  <c r="I3723" i="4"/>
  <c r="I3718" i="4"/>
  <c r="I3716" i="4"/>
  <c r="I3714" i="4"/>
  <c r="I3707" i="4"/>
  <c r="I3706" i="4"/>
  <c r="I3704" i="4"/>
  <c r="I3699" i="4"/>
  <c r="I3697" i="4"/>
  <c r="I3695" i="4"/>
  <c r="I3688" i="4"/>
  <c r="I3687" i="4"/>
  <c r="I3685" i="4"/>
  <c r="I3680" i="4"/>
  <c r="I3678" i="4"/>
  <c r="I3676" i="4"/>
  <c r="I3669" i="4"/>
  <c r="I3668" i="4"/>
  <c r="I3666" i="4"/>
  <c r="I3660" i="4"/>
  <c r="I3658" i="4"/>
  <c r="I3656" i="4"/>
  <c r="I3651" i="4"/>
  <c r="I3650" i="4"/>
  <c r="I3648" i="4"/>
  <c r="I3643" i="4"/>
  <c r="I3641" i="4"/>
  <c r="I3639" i="4"/>
  <c r="I3634" i="4"/>
  <c r="I3633" i="4"/>
  <c r="I3631" i="4"/>
  <c r="I3626" i="4"/>
  <c r="I3624" i="4"/>
  <c r="I3622" i="4"/>
  <c r="I3617" i="4"/>
  <c r="I3616" i="4"/>
  <c r="I3614" i="4"/>
  <c r="I3609" i="4"/>
  <c r="I3607" i="4"/>
  <c r="I3605" i="4"/>
  <c r="I3599" i="4"/>
  <c r="I3598" i="4"/>
  <c r="I3596" i="4"/>
  <c r="I3591" i="4"/>
  <c r="I3589" i="4"/>
  <c r="I3587" i="4"/>
  <c r="I3582" i="4"/>
  <c r="I3581" i="4"/>
  <c r="I3579" i="4"/>
  <c r="I3574" i="4"/>
  <c r="I3572" i="4"/>
  <c r="I3570" i="4"/>
  <c r="I3565" i="4"/>
  <c r="I3564" i="4"/>
  <c r="I3562" i="4"/>
  <c r="I3557" i="4"/>
  <c r="I3555" i="4"/>
  <c r="I3553" i="4"/>
  <c r="I3547" i="4"/>
  <c r="I3546" i="4"/>
  <c r="I3544" i="4"/>
  <c r="I3539" i="4"/>
  <c r="I3537" i="4"/>
  <c r="I3535" i="4"/>
  <c r="I3529" i="4"/>
  <c r="I3528" i="4"/>
  <c r="I3526" i="4"/>
  <c r="I3521" i="4"/>
  <c r="I3519" i="4"/>
  <c r="I3517" i="4"/>
  <c r="I3511" i="4"/>
  <c r="I3510" i="4"/>
  <c r="I3508" i="4"/>
  <c r="I3503" i="4"/>
  <c r="I3501" i="4"/>
  <c r="I3499" i="4"/>
  <c r="I3493" i="4"/>
  <c r="I3492" i="4"/>
  <c r="I3490" i="4"/>
  <c r="I3485" i="4"/>
  <c r="I3483" i="4"/>
  <c r="I3481" i="4"/>
  <c r="I3475" i="4"/>
  <c r="I3474" i="4"/>
  <c r="I3472" i="4"/>
  <c r="I3467" i="4"/>
  <c r="I3465" i="4"/>
  <c r="I3463" i="4"/>
  <c r="I3456" i="4"/>
  <c r="I3455" i="4"/>
  <c r="I3453" i="4"/>
  <c r="I3448" i="4"/>
  <c r="I3446" i="4"/>
  <c r="I3444" i="4"/>
  <c r="I3438" i="4"/>
  <c r="I3437" i="4"/>
  <c r="I3435" i="4"/>
  <c r="I3430" i="4"/>
  <c r="I3428" i="4"/>
  <c r="I3426" i="4"/>
  <c r="I3420" i="4"/>
  <c r="I3419" i="4"/>
  <c r="I3417" i="4"/>
  <c r="I3412" i="4"/>
  <c r="I3410" i="4"/>
  <c r="I3408" i="4"/>
  <c r="I3402" i="4"/>
  <c r="I3401" i="4"/>
  <c r="I3399" i="4"/>
  <c r="I3394" i="4"/>
  <c r="I3392" i="4"/>
  <c r="I3390" i="4"/>
  <c r="I3384" i="4"/>
  <c r="I3383" i="4"/>
  <c r="I3381" i="4"/>
  <c r="I3376" i="4"/>
  <c r="I3374" i="4"/>
  <c r="I3372" i="4"/>
  <c r="I3366" i="4"/>
  <c r="I3365" i="4"/>
  <c r="I3363" i="4"/>
  <c r="I3358" i="4"/>
  <c r="I3356" i="4"/>
  <c r="I3354" i="4"/>
  <c r="I3347" i="4"/>
  <c r="I3346" i="4"/>
  <c r="I3344" i="4"/>
  <c r="I3339" i="4"/>
  <c r="I3337" i="4"/>
  <c r="I3335" i="4"/>
  <c r="I3328" i="4"/>
  <c r="I3327" i="4"/>
  <c r="I3325" i="4"/>
  <c r="I3320" i="4"/>
  <c r="I3318" i="4"/>
  <c r="I3316" i="4"/>
  <c r="I3309" i="4"/>
  <c r="I3308" i="4"/>
  <c r="I3306" i="4"/>
  <c r="I3301" i="4"/>
  <c r="I3299" i="4"/>
  <c r="I3297" i="4"/>
  <c r="I3290" i="4"/>
  <c r="I3289" i="4"/>
  <c r="I3287" i="4"/>
  <c r="I3282" i="4"/>
  <c r="I3280" i="4"/>
  <c r="I3278" i="4"/>
  <c r="I3272" i="4"/>
  <c r="I3271" i="4"/>
  <c r="I3269" i="4"/>
  <c r="I3264" i="4"/>
  <c r="I3262" i="4"/>
  <c r="I3260" i="4"/>
  <c r="I3254" i="4"/>
  <c r="I3253" i="4"/>
  <c r="I3251" i="4"/>
  <c r="I3246" i="4"/>
  <c r="I3244" i="4"/>
  <c r="I3242" i="4"/>
  <c r="I3236" i="4"/>
  <c r="I3235" i="4"/>
  <c r="I3233" i="4"/>
  <c r="I3228" i="4"/>
  <c r="I3226" i="4"/>
  <c r="I3224" i="4"/>
  <c r="I3218" i="4"/>
  <c r="I3217" i="4"/>
  <c r="I3215" i="4"/>
  <c r="I3210" i="4"/>
  <c r="I3208" i="4"/>
  <c r="I3206" i="4"/>
  <c r="I3200" i="4"/>
  <c r="I3199" i="4"/>
  <c r="I3197" i="4"/>
  <c r="I3192" i="4"/>
  <c r="I3190" i="4"/>
  <c r="I3188" i="4"/>
  <c r="I3182" i="4"/>
  <c r="I3181" i="4"/>
  <c r="I3179" i="4"/>
  <c r="I3174" i="4"/>
  <c r="I3172" i="4"/>
  <c r="I3170" i="4"/>
  <c r="I3164" i="4"/>
  <c r="I3163" i="4"/>
  <c r="I3161" i="4"/>
  <c r="I3156" i="4"/>
  <c r="I3154" i="4"/>
  <c r="I3152" i="4"/>
  <c r="I3146" i="4"/>
  <c r="I3145" i="4"/>
  <c r="I3143" i="4"/>
  <c r="I3136" i="4"/>
  <c r="I3134" i="4"/>
  <c r="I3126" i="4"/>
  <c r="I3125" i="4"/>
  <c r="I3123" i="4"/>
  <c r="I3118" i="4"/>
  <c r="I3116" i="4"/>
  <c r="I3107" i="4"/>
  <c r="I3106" i="4"/>
  <c r="I3104" i="4"/>
  <c r="I3099" i="4"/>
  <c r="I3097" i="4"/>
  <c r="I3095" i="4"/>
  <c r="I3088" i="4"/>
  <c r="I3087" i="4"/>
  <c r="I3085" i="4"/>
  <c r="I3080" i="4"/>
  <c r="I3078" i="4"/>
  <c r="I3076" i="4"/>
  <c r="I3069" i="4"/>
  <c r="I3068" i="4"/>
  <c r="I3066" i="4"/>
  <c r="I3061" i="4"/>
  <c r="I3059" i="4"/>
  <c r="I3057" i="4"/>
  <c r="I3050" i="4"/>
  <c r="I3049" i="4"/>
  <c r="I3047" i="4"/>
  <c r="I3042" i="4"/>
  <c r="I3040" i="4"/>
  <c r="I3038" i="4"/>
  <c r="I3030" i="4"/>
  <c r="I3029" i="4"/>
  <c r="I3027" i="4"/>
  <c r="I3022" i="4"/>
  <c r="I3020" i="4"/>
  <c r="I3018" i="4"/>
  <c r="I3010" i="4"/>
  <c r="I3009" i="4"/>
  <c r="I3007" i="4"/>
  <c r="I3002" i="4"/>
  <c r="I3000" i="4"/>
  <c r="I2998" i="4"/>
  <c r="I2990" i="4"/>
  <c r="I2989" i="4"/>
  <c r="I2987" i="4"/>
  <c r="I2982" i="4"/>
  <c r="I2980" i="4"/>
  <c r="I2978" i="4"/>
  <c r="I2970" i="4"/>
  <c r="I2969" i="4"/>
  <c r="I2967" i="4"/>
  <c r="I2962" i="4"/>
  <c r="I2960" i="4"/>
  <c r="I2958" i="4"/>
  <c r="I2950" i="4"/>
  <c r="I2949" i="4"/>
  <c r="I2947" i="4"/>
  <c r="I2942" i="4"/>
  <c r="I2940" i="4"/>
  <c r="I2938" i="4"/>
  <c r="I2930" i="4"/>
  <c r="I2929" i="4"/>
  <c r="I2927" i="4"/>
  <c r="I2922" i="4"/>
  <c r="I2920" i="4"/>
  <c r="I2918" i="4"/>
  <c r="I2910" i="4"/>
  <c r="I2909" i="4"/>
  <c r="I2907" i="4"/>
  <c r="I2902" i="4"/>
  <c r="I2900" i="4"/>
  <c r="I2898" i="4"/>
  <c r="I2890" i="4"/>
  <c r="I2889" i="4"/>
  <c r="I2887" i="4"/>
  <c r="I2882" i="4"/>
  <c r="I2880" i="4"/>
  <c r="I2878" i="4"/>
  <c r="I2870" i="4"/>
  <c r="I2869" i="4"/>
  <c r="I2867" i="4"/>
  <c r="I2862" i="4"/>
  <c r="I2860" i="4"/>
  <c r="I2858" i="4"/>
  <c r="I2851" i="4"/>
  <c r="I2850" i="4"/>
  <c r="I2848" i="4"/>
  <c r="I2843" i="4"/>
  <c r="I2841" i="4"/>
  <c r="I2839" i="4"/>
  <c r="I2832" i="4"/>
  <c r="I2831" i="4"/>
  <c r="I2829" i="4"/>
  <c r="I2824" i="4"/>
  <c r="I2822" i="4"/>
  <c r="I2820" i="4"/>
  <c r="I2813" i="4"/>
  <c r="I2812" i="4"/>
  <c r="I2810" i="4"/>
  <c r="I2805" i="4"/>
  <c r="I2803" i="4"/>
  <c r="I2801" i="4"/>
  <c r="J12222" i="4" s="1"/>
  <c r="J12225" i="4" s="1"/>
  <c r="J12235" i="4" s="1"/>
  <c r="I2794" i="4"/>
  <c r="I2793" i="4"/>
  <c r="I2791" i="4"/>
  <c r="I2786" i="4"/>
  <c r="I2784" i="4"/>
  <c r="I2782" i="4"/>
  <c r="I2775" i="4"/>
  <c r="I2774" i="4"/>
  <c r="I2772" i="4"/>
  <c r="I2767" i="4"/>
  <c r="I2765" i="4"/>
  <c r="I2763" i="4"/>
  <c r="I2756" i="4"/>
  <c r="I2755" i="4"/>
  <c r="I2753" i="4"/>
  <c r="I2748" i="4"/>
  <c r="I2746" i="4"/>
  <c r="I2744" i="4"/>
  <c r="I2736" i="4"/>
  <c r="I2735" i="4"/>
  <c r="I2733" i="4"/>
  <c r="I2728" i="4"/>
  <c r="I2726" i="4"/>
  <c r="I2724" i="4"/>
  <c r="I2717" i="4"/>
  <c r="I2716" i="4"/>
  <c r="I2714" i="4"/>
  <c r="I2709" i="4"/>
  <c r="I2707" i="4"/>
  <c r="I2705" i="4"/>
  <c r="I2698" i="4"/>
  <c r="I2697" i="4"/>
  <c r="I2695" i="4"/>
  <c r="I2690" i="4"/>
  <c r="I2688" i="4"/>
  <c r="I2686" i="4"/>
  <c r="I2679" i="4"/>
  <c r="I2678" i="4"/>
  <c r="I2676" i="4"/>
  <c r="I2671" i="4"/>
  <c r="I2669" i="4"/>
  <c r="I2667" i="4"/>
  <c r="I2660" i="4"/>
  <c r="I2659" i="4"/>
  <c r="I2657" i="4"/>
  <c r="I2652" i="4"/>
  <c r="I2650" i="4"/>
  <c r="I2648" i="4"/>
  <c r="I2641" i="4"/>
  <c r="I2640" i="4"/>
  <c r="I2638" i="4"/>
  <c r="I2631" i="4"/>
  <c r="I2629" i="4"/>
  <c r="I2617" i="4"/>
  <c r="I2616" i="4"/>
  <c r="I2614" i="4"/>
  <c r="I2609" i="4"/>
  <c r="I2607" i="4"/>
  <c r="I2599" i="4"/>
  <c r="I2598" i="4"/>
  <c r="I2596" i="4"/>
  <c r="I2591" i="4"/>
  <c r="I2589" i="4"/>
  <c r="I2586" i="4"/>
  <c r="I2581" i="4"/>
  <c r="I2580" i="4"/>
  <c r="I2578" i="4"/>
  <c r="I2573" i="4"/>
  <c r="I2571" i="4"/>
  <c r="I2569" i="4"/>
  <c r="I2563" i="4"/>
  <c r="I2562" i="4"/>
  <c r="I2560" i="4"/>
  <c r="I2555" i="4"/>
  <c r="I2553" i="4"/>
  <c r="I2551" i="4"/>
  <c r="I2545" i="4"/>
  <c r="I2544" i="4"/>
  <c r="I2542" i="4"/>
  <c r="I2537" i="4"/>
  <c r="I2535" i="4"/>
  <c r="I2533" i="4"/>
  <c r="I2526" i="4"/>
  <c r="I2525" i="4"/>
  <c r="I2523" i="4"/>
  <c r="I2518" i="4"/>
  <c r="I2516" i="4"/>
  <c r="I2514" i="4"/>
  <c r="I2507" i="4"/>
  <c r="I2506" i="4"/>
  <c r="I2504" i="4"/>
  <c r="I2499" i="4"/>
  <c r="I2497" i="4"/>
  <c r="I2495" i="4"/>
  <c r="I2488" i="4"/>
  <c r="I2487" i="4"/>
  <c r="I2485" i="4"/>
  <c r="I2480" i="4"/>
  <c r="I2478" i="4"/>
  <c r="I2476" i="4"/>
  <c r="I2469" i="4"/>
  <c r="I2468" i="4"/>
  <c r="I2466" i="4"/>
  <c r="I2461" i="4"/>
  <c r="I2459" i="4"/>
  <c r="I2457" i="4"/>
  <c r="I2451" i="4"/>
  <c r="I2450" i="4"/>
  <c r="I2448" i="4"/>
  <c r="I2443" i="4"/>
  <c r="I2441" i="4"/>
  <c r="I2439" i="4"/>
  <c r="I2434" i="4"/>
  <c r="I2433" i="4"/>
  <c r="I2431" i="4"/>
  <c r="I2426" i="4"/>
  <c r="I2424" i="4"/>
  <c r="I2422" i="4"/>
  <c r="I2415" i="4"/>
  <c r="I2414" i="4"/>
  <c r="I2412" i="4"/>
  <c r="I2407" i="4"/>
  <c r="I2405" i="4"/>
  <c r="I2403" i="4"/>
  <c r="I2397" i="4"/>
  <c r="I2396" i="4"/>
  <c r="I2394" i="4"/>
  <c r="I2389" i="4"/>
  <c r="I2387" i="4"/>
  <c r="I2385" i="4"/>
  <c r="I2378" i="4"/>
  <c r="I2377" i="4"/>
  <c r="I2375" i="4"/>
  <c r="I2370" i="4"/>
  <c r="I2368" i="4"/>
  <c r="I2366" i="4"/>
  <c r="I2361" i="4"/>
  <c r="I2360" i="4"/>
  <c r="I2358" i="4"/>
  <c r="I2353" i="4"/>
  <c r="I2351" i="4"/>
  <c r="I2349" i="4"/>
  <c r="I2344" i="4"/>
  <c r="I2343" i="4"/>
  <c r="I2341" i="4"/>
  <c r="I2336" i="4"/>
  <c r="I2334" i="4"/>
  <c r="I2332" i="4"/>
  <c r="I2327" i="4"/>
  <c r="I2326" i="4"/>
  <c r="I2324" i="4"/>
  <c r="I2319" i="4"/>
  <c r="I2317" i="4"/>
  <c r="I2310" i="4"/>
  <c r="I2309" i="4"/>
  <c r="I2307" i="4"/>
  <c r="I2302" i="4"/>
  <c r="I2300" i="4"/>
  <c r="I2291" i="4"/>
  <c r="I2290" i="4"/>
  <c r="I2288" i="4"/>
  <c r="I2283" i="4"/>
  <c r="I2281" i="4"/>
  <c r="I2271" i="4"/>
  <c r="I2270" i="4"/>
  <c r="I2268" i="4"/>
  <c r="I2263" i="4"/>
  <c r="I2261" i="4"/>
  <c r="I2252" i="4"/>
  <c r="I2251" i="4"/>
  <c r="I2249" i="4"/>
  <c r="I2244" i="4"/>
  <c r="I2242" i="4"/>
  <c r="I2233" i="4"/>
  <c r="I2232" i="4"/>
  <c r="I2230" i="4"/>
  <c r="I2225" i="4"/>
  <c r="I2223" i="4"/>
  <c r="I2216" i="4"/>
  <c r="I2215" i="4"/>
  <c r="I2213" i="4"/>
  <c r="I2208" i="4"/>
  <c r="I2206" i="4"/>
  <c r="I2204" i="4"/>
  <c r="I2199" i="4"/>
  <c r="I2198" i="4"/>
  <c r="I2196" i="4"/>
  <c r="I2190" i="4"/>
  <c r="I2188" i="4"/>
  <c r="I2186" i="4"/>
  <c r="I2182" i="4"/>
  <c r="I2179" i="4"/>
  <c r="I2174" i="4"/>
  <c r="I2172" i="4"/>
  <c r="I2170" i="4"/>
  <c r="I2163" i="4"/>
  <c r="I2162" i="4"/>
  <c r="I2160" i="4"/>
  <c r="I2155" i="4"/>
  <c r="I2153" i="4"/>
  <c r="I2151" i="4"/>
  <c r="I2149" i="4"/>
  <c r="I2147" i="4"/>
  <c r="I2146" i="4"/>
  <c r="I2140" i="4"/>
  <c r="I2138" i="4"/>
  <c r="I2132" i="4"/>
  <c r="I2126" i="4"/>
  <c r="I2124" i="4"/>
  <c r="I2117" i="4"/>
  <c r="I2111" i="4"/>
  <c r="I2109" i="4"/>
  <c r="I2101" i="4"/>
  <c r="I2100" i="4"/>
  <c r="I2098" i="4"/>
  <c r="I2093" i="4"/>
  <c r="I2091" i="4"/>
  <c r="I2083" i="4"/>
  <c r="I2082" i="4"/>
  <c r="I2080" i="4"/>
  <c r="I2075" i="4"/>
  <c r="I2073" i="4"/>
  <c r="I2065" i="4"/>
  <c r="I2064" i="4"/>
  <c r="I2062" i="4"/>
  <c r="I2026" i="4"/>
  <c r="I2024" i="4"/>
  <c r="I2015" i="4"/>
  <c r="I2014" i="4"/>
  <c r="I2011" i="4"/>
  <c r="I2010" i="4"/>
  <c r="I2009" i="4"/>
  <c r="I1973" i="4"/>
  <c r="I1971" i="4"/>
  <c r="I1962" i="4"/>
  <c r="I1961" i="4"/>
  <c r="I1958" i="4"/>
  <c r="I1957" i="4"/>
  <c r="I1956" i="4"/>
  <c r="I1920" i="4"/>
  <c r="I1918" i="4"/>
  <c r="I1909" i="4"/>
  <c r="I1908" i="4"/>
  <c r="I1905" i="4"/>
  <c r="I1904" i="4"/>
  <c r="I1903" i="4"/>
  <c r="I1898" i="4"/>
  <c r="I1896" i="4"/>
  <c r="I1890" i="4"/>
  <c r="I1889" i="4"/>
  <c r="I1886" i="4"/>
  <c r="I1881" i="4"/>
  <c r="I1879" i="4"/>
  <c r="I1877" i="4"/>
  <c r="I1873" i="4"/>
  <c r="I1872" i="4"/>
  <c r="I1869" i="4"/>
  <c r="I1864" i="4"/>
  <c r="I1862" i="4"/>
  <c r="I1860" i="4"/>
  <c r="I1856" i="4"/>
  <c r="I1855" i="4"/>
  <c r="I1852" i="4"/>
  <c r="I1847" i="4"/>
  <c r="I1845" i="4"/>
  <c r="I1843" i="4"/>
  <c r="I1839" i="4"/>
  <c r="I1837" i="4"/>
  <c r="I1832" i="4"/>
  <c r="I1830" i="4"/>
  <c r="I1828" i="4"/>
  <c r="I1824" i="4"/>
  <c r="I1822" i="4"/>
  <c r="I1817" i="4"/>
  <c r="I1815" i="4"/>
  <c r="I1813" i="4"/>
  <c r="I1809" i="4"/>
  <c r="I1807" i="4"/>
  <c r="I1802" i="4"/>
  <c r="I1800" i="4"/>
  <c r="I1798" i="4"/>
  <c r="I1789" i="4"/>
  <c r="I1788" i="4"/>
  <c r="I1786" i="4"/>
  <c r="I1781" i="4"/>
  <c r="I1779" i="4"/>
  <c r="I1777" i="4"/>
  <c r="I1769" i="4"/>
  <c r="I1768" i="4"/>
  <c r="I1766" i="4"/>
  <c r="I1761" i="4"/>
  <c r="I1759" i="4"/>
  <c r="I1757" i="4"/>
  <c r="I1747" i="4"/>
  <c r="I1746" i="4"/>
  <c r="I1744" i="4"/>
  <c r="I1739" i="4"/>
  <c r="I1737" i="4"/>
  <c r="I1735" i="4"/>
  <c r="I1727" i="4"/>
  <c r="I1726" i="4"/>
  <c r="I1724" i="4"/>
  <c r="I1719" i="4"/>
  <c r="I1717" i="4"/>
  <c r="I1715" i="4"/>
  <c r="I1707" i="4"/>
  <c r="I1706" i="4"/>
  <c r="I1704" i="4"/>
  <c r="I1699" i="4"/>
  <c r="I1697" i="4"/>
  <c r="I1695" i="4"/>
  <c r="I1687" i="4"/>
  <c r="I1686" i="4"/>
  <c r="I1684" i="4"/>
  <c r="I1679" i="4"/>
  <c r="I1677" i="4"/>
  <c r="I1675" i="4"/>
  <c r="I1667" i="4"/>
  <c r="I1666" i="4"/>
  <c r="I1664" i="4"/>
  <c r="I1658" i="4"/>
  <c r="I1656" i="4"/>
  <c r="I1654" i="4"/>
  <c r="I1642" i="4"/>
  <c r="I1641" i="4"/>
  <c r="I1637" i="4"/>
  <c r="I1632" i="4"/>
  <c r="I1630" i="4"/>
  <c r="I1628" i="4"/>
  <c r="I1616" i="4"/>
  <c r="I1615" i="4"/>
  <c r="I1611" i="4"/>
  <c r="I1606" i="4"/>
  <c r="I1604" i="4"/>
  <c r="I1602" i="4"/>
  <c r="I1587" i="4"/>
  <c r="I1586" i="4"/>
  <c r="I1582" i="4"/>
  <c r="I1577" i="4"/>
  <c r="I1575" i="4"/>
  <c r="I1573" i="4"/>
  <c r="I1558" i="4"/>
  <c r="I1557" i="4"/>
  <c r="I1553" i="4"/>
  <c r="I1548" i="4"/>
  <c r="I1546" i="4"/>
  <c r="I1544" i="4"/>
  <c r="I1529" i="4"/>
  <c r="I1528" i="4"/>
  <c r="I1524" i="4"/>
  <c r="I1519" i="4"/>
  <c r="I1517" i="4"/>
  <c r="I1515" i="4"/>
  <c r="I1500" i="4"/>
  <c r="I1499" i="4"/>
  <c r="I1495" i="4"/>
  <c r="I1490" i="4"/>
  <c r="I1488" i="4"/>
  <c r="I1486" i="4"/>
  <c r="I1471" i="4"/>
  <c r="I1470" i="4"/>
  <c r="I1466" i="4"/>
  <c r="I1461" i="4"/>
  <c r="I1459" i="4"/>
  <c r="I1457" i="4"/>
  <c r="I1445" i="4"/>
  <c r="I1444" i="4"/>
  <c r="I1440" i="4"/>
  <c r="I1435" i="4"/>
  <c r="I1433" i="4"/>
  <c r="I1431" i="4"/>
  <c r="I1419" i="4"/>
  <c r="I1418" i="4"/>
  <c r="I1414" i="4"/>
  <c r="I1409" i="4"/>
  <c r="I1407" i="4"/>
  <c r="I1405" i="4"/>
  <c r="I1398" i="4"/>
  <c r="I1397" i="4"/>
  <c r="I1395" i="4"/>
  <c r="I1390" i="4"/>
  <c r="I1388" i="4"/>
  <c r="I1386" i="4"/>
  <c r="I1376" i="4"/>
  <c r="I1375" i="4"/>
  <c r="I1373" i="4"/>
  <c r="I1368" i="4"/>
  <c r="I1366" i="4"/>
  <c r="I1364" i="4"/>
  <c r="I1353" i="4"/>
  <c r="I1352" i="4"/>
  <c r="I1350" i="4"/>
  <c r="I1345" i="4"/>
  <c r="I1343" i="4"/>
  <c r="I1341" i="4"/>
  <c r="I1331" i="4"/>
  <c r="I1330" i="4"/>
  <c r="I1328" i="4"/>
  <c r="I1323" i="4"/>
  <c r="I1321" i="4"/>
  <c r="I1319" i="4"/>
  <c r="I1309" i="4"/>
  <c r="I1308" i="4"/>
  <c r="I1306" i="4"/>
  <c r="I1301" i="4"/>
  <c r="I1299" i="4"/>
  <c r="I1297" i="4"/>
  <c r="I1287" i="4"/>
  <c r="I1286" i="4"/>
  <c r="I1284" i="4"/>
  <c r="I1279" i="4"/>
  <c r="I1277" i="4"/>
  <c r="I1275" i="4"/>
  <c r="I1268" i="4"/>
  <c r="I1267" i="4"/>
  <c r="I1265" i="4"/>
  <c r="I1260" i="4"/>
  <c r="I1258" i="4"/>
  <c r="I1256" i="4"/>
  <c r="I1249" i="4"/>
  <c r="I1248" i="4"/>
  <c r="I1246" i="4"/>
  <c r="I1241" i="4"/>
  <c r="I1239" i="4"/>
  <c r="I1237" i="4"/>
  <c r="I1231" i="4"/>
  <c r="I1230" i="4"/>
  <c r="I1228" i="4"/>
  <c r="I1223" i="4"/>
  <c r="I1221" i="4"/>
  <c r="I1219" i="4"/>
  <c r="I1213" i="4"/>
  <c r="I1212" i="4"/>
  <c r="I1210" i="4"/>
  <c r="I1205" i="4"/>
  <c r="I1203" i="4"/>
  <c r="I1201" i="4"/>
  <c r="I1195" i="4"/>
  <c r="I1194" i="4"/>
  <c r="I1192" i="4"/>
  <c r="I1187" i="4"/>
  <c r="I1185" i="4"/>
  <c r="I1183" i="4"/>
  <c r="I1178" i="4"/>
  <c r="I1177" i="4"/>
  <c r="I1175" i="4"/>
  <c r="I1170" i="4"/>
  <c r="I1168" i="4"/>
  <c r="I1166" i="4"/>
  <c r="I1161" i="4"/>
  <c r="I1160" i="4"/>
  <c r="I1158" i="4"/>
  <c r="I1153" i="4"/>
  <c r="I1151" i="4"/>
  <c r="I1149" i="4"/>
  <c r="I1144" i="4"/>
  <c r="I1143" i="4"/>
  <c r="I1141" i="4"/>
  <c r="I1136" i="4"/>
  <c r="I1134" i="4"/>
  <c r="I1132" i="4"/>
  <c r="I1124" i="4"/>
  <c r="I1123" i="4"/>
  <c r="I1121" i="4"/>
  <c r="I1114" i="4"/>
  <c r="I1112" i="4"/>
  <c r="I1110" i="4"/>
  <c r="I1101" i="4"/>
  <c r="I1100" i="4"/>
  <c r="I1098" i="4"/>
  <c r="I1092" i="4"/>
  <c r="I1090" i="4"/>
  <c r="I1088" i="4"/>
  <c r="I1080" i="4"/>
  <c r="I1079" i="4"/>
  <c r="I1077" i="4"/>
  <c r="I1072" i="4"/>
  <c r="I1070" i="4"/>
  <c r="I1068" i="4"/>
  <c r="I1060" i="4"/>
  <c r="I1059" i="4"/>
  <c r="I1057" i="4"/>
  <c r="I1052" i="4"/>
  <c r="I1050" i="4"/>
  <c r="I1048" i="4"/>
  <c r="I1040" i="4"/>
  <c r="I1039" i="4"/>
  <c r="I1037" i="4"/>
  <c r="I1032" i="4"/>
  <c r="I1030" i="4"/>
  <c r="I1028" i="4"/>
  <c r="I1020" i="4"/>
  <c r="I1019" i="4"/>
  <c r="I1017" i="4"/>
  <c r="I992" i="4"/>
  <c r="I990" i="4"/>
  <c r="I988" i="4"/>
  <c r="I980" i="4"/>
  <c r="I979" i="4"/>
  <c r="I977" i="4"/>
  <c r="I972" i="4"/>
  <c r="I970" i="4"/>
  <c r="I968" i="4"/>
  <c r="I960" i="4"/>
  <c r="I959" i="4"/>
  <c r="I957" i="4"/>
  <c r="I952" i="4"/>
  <c r="I950" i="4"/>
  <c r="I948" i="4"/>
  <c r="I940" i="4"/>
  <c r="I939" i="4"/>
  <c r="I937" i="4"/>
  <c r="I932" i="4"/>
  <c r="I930" i="4"/>
  <c r="I928" i="4"/>
  <c r="I920" i="4"/>
  <c r="I919" i="4"/>
  <c r="I917" i="4"/>
  <c r="I912" i="4"/>
  <c r="I910" i="4"/>
  <c r="I908" i="4"/>
  <c r="I900" i="4"/>
  <c r="I899" i="4"/>
  <c r="I897" i="4"/>
  <c r="I890" i="4"/>
  <c r="I888" i="4"/>
  <c r="I886" i="4"/>
  <c r="I878" i="4"/>
  <c r="I877" i="4"/>
  <c r="I875" i="4"/>
  <c r="I870" i="4"/>
  <c r="I868" i="4"/>
  <c r="I866" i="4"/>
  <c r="I858" i="4"/>
  <c r="I857" i="4"/>
  <c r="I855" i="4"/>
  <c r="I850" i="4"/>
  <c r="I848" i="4"/>
  <c r="I846" i="4"/>
  <c r="I838" i="4"/>
  <c r="I837" i="4"/>
  <c r="I835" i="4"/>
  <c r="I761" i="4"/>
  <c r="I759" i="4"/>
  <c r="I757" i="4"/>
  <c r="I749" i="4"/>
  <c r="I748" i="4"/>
  <c r="I746" i="4"/>
  <c r="I741" i="4"/>
  <c r="I739" i="4"/>
  <c r="I737" i="4"/>
  <c r="I727" i="4"/>
  <c r="I726" i="4"/>
  <c r="I724" i="4"/>
  <c r="I719" i="4"/>
  <c r="I717" i="4"/>
  <c r="I715" i="4"/>
  <c r="I709" i="4"/>
  <c r="I708" i="4"/>
  <c r="I706" i="4"/>
  <c r="I701" i="4"/>
  <c r="I699" i="4"/>
  <c r="I697" i="4"/>
  <c r="I689" i="4"/>
  <c r="I688" i="4"/>
  <c r="I686" i="4"/>
  <c r="I681" i="4"/>
  <c r="I679" i="4"/>
  <c r="I677" i="4"/>
  <c r="I669" i="4"/>
  <c r="I668" i="4"/>
  <c r="I666" i="4"/>
  <c r="I661" i="4"/>
  <c r="I659" i="4"/>
  <c r="I657" i="4"/>
  <c r="I649" i="4"/>
  <c r="I648" i="4"/>
  <c r="I646" i="4"/>
  <c r="I641" i="4"/>
  <c r="I639" i="4"/>
  <c r="I637" i="4"/>
  <c r="I632" i="4"/>
  <c r="I630" i="4"/>
  <c r="I629" i="4"/>
  <c r="I627" i="4"/>
  <c r="I622" i="4"/>
  <c r="I620" i="4"/>
  <c r="I618" i="4"/>
  <c r="I613" i="4"/>
  <c r="I611" i="4"/>
  <c r="I610" i="4"/>
  <c r="I608" i="4"/>
  <c r="I603" i="4"/>
  <c r="I601" i="4"/>
  <c r="I599" i="4"/>
  <c r="I594" i="4"/>
  <c r="I592" i="4"/>
  <c r="I591" i="4"/>
  <c r="I589" i="4"/>
  <c r="I584" i="4"/>
  <c r="I582" i="4"/>
  <c r="I580" i="4"/>
  <c r="I575" i="4"/>
  <c r="I573" i="4"/>
  <c r="I572" i="4"/>
  <c r="I570" i="4"/>
  <c r="I565" i="4"/>
  <c r="I563" i="4"/>
  <c r="I561" i="4"/>
  <c r="I556" i="4"/>
  <c r="I554" i="4"/>
  <c r="I553" i="4"/>
  <c r="I551" i="4"/>
  <c r="I550" i="4"/>
  <c r="I545" i="4"/>
  <c r="I543" i="4"/>
  <c r="I541" i="4"/>
  <c r="I538" i="4"/>
  <c r="I536" i="4"/>
  <c r="I535" i="4"/>
  <c r="I534" i="4"/>
  <c r="I530" i="4"/>
  <c r="I528" i="4"/>
  <c r="I526" i="4"/>
  <c r="I523" i="4"/>
  <c r="I521" i="4"/>
  <c r="I520" i="4"/>
  <c r="I519" i="4"/>
  <c r="I515" i="4"/>
  <c r="I513" i="4"/>
  <c r="I511" i="4"/>
  <c r="I506" i="4"/>
  <c r="I504" i="4"/>
  <c r="I503" i="4"/>
  <c r="I501" i="4"/>
  <c r="I500" i="4"/>
  <c r="I481" i="4"/>
  <c r="I479" i="4"/>
  <c r="I477" i="4"/>
  <c r="I474" i="4"/>
  <c r="I472" i="4"/>
  <c r="I471" i="4"/>
  <c r="I470" i="4"/>
  <c r="I466" i="4"/>
  <c r="I464" i="4"/>
  <c r="I462" i="4"/>
  <c r="I460" i="4"/>
  <c r="I458" i="4"/>
  <c r="I457" i="4"/>
  <c r="I456" i="4"/>
  <c r="I452" i="4"/>
  <c r="I450" i="4"/>
  <c r="I448" i="4"/>
  <c r="I446" i="4"/>
  <c r="I444" i="4"/>
  <c r="I443" i="4"/>
  <c r="I442" i="4"/>
  <c r="I437" i="4"/>
  <c r="I435" i="4"/>
  <c r="I433" i="4"/>
  <c r="I431" i="4"/>
  <c r="I429" i="4"/>
  <c r="I428" i="4"/>
  <c r="I427" i="4"/>
  <c r="I423" i="4"/>
  <c r="I421" i="4"/>
  <c r="I419" i="4"/>
  <c r="I417" i="4"/>
  <c r="I415" i="4"/>
  <c r="I414" i="4"/>
  <c r="I413" i="4"/>
  <c r="I409" i="4"/>
  <c r="I407" i="4"/>
  <c r="I405" i="4"/>
  <c r="I403" i="4"/>
  <c r="I401" i="4"/>
  <c r="I400" i="4"/>
  <c r="I399" i="4"/>
  <c r="I395" i="4"/>
  <c r="I393" i="4"/>
  <c r="I391" i="4"/>
  <c r="I389" i="4"/>
  <c r="I387" i="4"/>
  <c r="I386" i="4"/>
  <c r="I385" i="4"/>
  <c r="I381" i="4"/>
  <c r="I379" i="4"/>
  <c r="I377" i="4"/>
  <c r="I375" i="4"/>
  <c r="I373" i="4"/>
  <c r="I372" i="4"/>
  <c r="I371" i="4"/>
  <c r="I367" i="4"/>
  <c r="I365" i="4"/>
  <c r="I363" i="4"/>
  <c r="I361" i="4"/>
  <c r="I359" i="4"/>
  <c r="I358" i="4"/>
  <c r="I357" i="4"/>
  <c r="I353" i="4"/>
  <c r="I351" i="4"/>
  <c r="I349" i="4"/>
  <c r="I347" i="4"/>
  <c r="I345" i="4"/>
  <c r="I344" i="4"/>
  <c r="I343" i="4"/>
  <c r="I339" i="4"/>
  <c r="I337" i="4"/>
  <c r="I334" i="4"/>
  <c r="I332" i="4"/>
  <c r="I330" i="4"/>
  <c r="I329" i="4"/>
  <c r="I328" i="4"/>
  <c r="I323" i="4"/>
  <c r="I321" i="4"/>
  <c r="I319" i="4"/>
  <c r="I312" i="4"/>
  <c r="I310" i="4"/>
  <c r="I309" i="4"/>
  <c r="I307" i="4"/>
  <c r="I302" i="4"/>
  <c r="I300" i="4"/>
  <c r="I298" i="4"/>
  <c r="I295" i="4"/>
  <c r="I293" i="4"/>
  <c r="I292" i="4"/>
  <c r="I290" i="4"/>
  <c r="I285" i="4"/>
  <c r="I283" i="4"/>
  <c r="I281" i="4"/>
  <c r="I279" i="4"/>
  <c r="I277" i="4"/>
  <c r="I276" i="4"/>
  <c r="I271" i="4"/>
  <c r="I269" i="4"/>
  <c r="I267" i="4"/>
  <c r="I265" i="4"/>
  <c r="I263" i="4"/>
  <c r="I262" i="4"/>
  <c r="I257" i="4"/>
  <c r="I255" i="4"/>
  <c r="I253" i="4"/>
  <c r="I248" i="4"/>
  <c r="I246" i="4"/>
  <c r="I245" i="4"/>
  <c r="I244" i="4"/>
  <c r="I240" i="4"/>
  <c r="I238" i="4"/>
  <c r="I236" i="4"/>
  <c r="I231" i="4"/>
  <c r="I229" i="4"/>
  <c r="I227" i="4"/>
  <c r="I223" i="4"/>
  <c r="I221" i="4"/>
  <c r="I219" i="4"/>
  <c r="I213" i="4"/>
  <c r="I212" i="4"/>
  <c r="I210" i="4"/>
  <c r="I205" i="4"/>
  <c r="I203" i="4"/>
  <c r="I201" i="4"/>
  <c r="I199" i="4"/>
  <c r="I197" i="4"/>
  <c r="I196" i="4"/>
  <c r="I195" i="4"/>
  <c r="I191" i="4"/>
  <c r="I189" i="4"/>
  <c r="I187" i="4"/>
  <c r="I175" i="4"/>
  <c r="I174" i="4"/>
  <c r="I172" i="4"/>
  <c r="I167" i="4"/>
  <c r="I165" i="4"/>
  <c r="I163" i="4"/>
  <c r="I153" i="4"/>
  <c r="I151" i="4"/>
  <c r="I150" i="4"/>
  <c r="I148" i="4"/>
  <c r="I147" i="4"/>
  <c r="I143" i="4"/>
  <c r="I141" i="4"/>
  <c r="I139" i="4"/>
  <c r="I131" i="4"/>
  <c r="I130" i="4"/>
  <c r="I128" i="4"/>
  <c r="I127" i="4"/>
  <c r="I123" i="4"/>
  <c r="I121" i="4"/>
  <c r="I119" i="4"/>
  <c r="I103" i="4"/>
  <c r="I101" i="4"/>
  <c r="I100" i="4"/>
  <c r="I97" i="4"/>
  <c r="I92" i="4"/>
  <c r="I90" i="4"/>
  <c r="I88" i="4"/>
  <c r="I83" i="4"/>
  <c r="I81" i="4"/>
  <c r="I80" i="4"/>
  <c r="I78" i="4"/>
  <c r="I77" i="4"/>
  <c r="I73" i="4"/>
  <c r="I71" i="4"/>
  <c r="I69" i="4"/>
  <c r="I61" i="4"/>
  <c r="I59" i="4"/>
  <c r="I58" i="4"/>
  <c r="I56" i="4"/>
  <c r="J56" i="4" s="1"/>
  <c r="I55" i="4"/>
  <c r="I51" i="4"/>
  <c r="I47" i="4"/>
  <c r="I35" i="4"/>
  <c r="I34" i="4"/>
  <c r="I32" i="4"/>
  <c r="I31" i="4"/>
  <c r="I27" i="4"/>
  <c r="I12" i="4"/>
  <c r="I11" i="4"/>
  <c r="A700" i="8"/>
  <c r="A688" i="8"/>
  <c r="A689" i="8" s="1"/>
  <c r="A690" i="8" s="1"/>
  <c r="A691" i="8" s="1"/>
  <c r="A692" i="8" s="1"/>
  <c r="A693" i="8" s="1"/>
  <c r="A694" i="8" s="1"/>
  <c r="A695" i="8" s="1"/>
  <c r="A696" i="8" s="1"/>
  <c r="A674" i="8"/>
  <c r="A675" i="8" s="1"/>
  <c r="A676" i="8" s="1"/>
  <c r="A677" i="8" s="1"/>
  <c r="A678" i="8" s="1"/>
  <c r="A679" i="8" s="1"/>
  <c r="A680" i="8" s="1"/>
  <c r="A681" i="8" s="1"/>
  <c r="A682" i="8" s="1"/>
  <c r="A683" i="8" s="1"/>
  <c r="A684" i="8" s="1"/>
  <c r="A644" i="8"/>
  <c r="A645" i="8" s="1"/>
  <c r="A646" i="8" s="1"/>
  <c r="A647" i="8" s="1"/>
  <c r="A648" i="8" s="1"/>
  <c r="A649" i="8" s="1"/>
  <c r="A650" i="8" s="1"/>
  <c r="A651" i="8" s="1"/>
  <c r="A652" i="8" s="1"/>
  <c r="A653" i="8" s="1"/>
  <c r="A654" i="8" s="1"/>
  <c r="A655" i="8" s="1"/>
  <c r="A656" i="8" s="1"/>
  <c r="A657" i="8" s="1"/>
  <c r="A658" i="8" s="1"/>
  <c r="A659" i="8" s="1"/>
  <c r="A660" i="8" s="1"/>
  <c r="A661" i="8" s="1"/>
  <c r="A662" i="8" s="1"/>
  <c r="A663" i="8" s="1"/>
  <c r="A664" i="8" s="1"/>
  <c r="A665" i="8" s="1"/>
  <c r="A666" i="8" s="1"/>
  <c r="A667" i="8" s="1"/>
  <c r="A668" i="8" s="1"/>
  <c r="A669" i="8" s="1"/>
  <c r="A670" i="8" s="1"/>
  <c r="A563" i="8"/>
  <c r="A564" i="8" s="1"/>
  <c r="A565" i="8" s="1"/>
  <c r="A566" i="8" s="1"/>
  <c r="A567" i="8" s="1"/>
  <c r="A568" i="8" s="1"/>
  <c r="A569" i="8" s="1"/>
  <c r="A570" i="8" s="1"/>
  <c r="A571" i="8" s="1"/>
  <c r="A572" i="8" s="1"/>
  <c r="A573" i="8" s="1"/>
  <c r="A574" i="8" s="1"/>
  <c r="A575" i="8" s="1"/>
  <c r="A576" i="8" s="1"/>
  <c r="A577" i="8" s="1"/>
  <c r="A578" i="8" s="1"/>
  <c r="A579" i="8" s="1"/>
  <c r="A580" i="8" s="1"/>
  <c r="A581" i="8" s="1"/>
  <c r="A582" i="8" s="1"/>
  <c r="A583" i="8" s="1"/>
  <c r="A584" i="8" s="1"/>
  <c r="A585" i="8" s="1"/>
  <c r="A586" i="8" s="1"/>
  <c r="A587" i="8" s="1"/>
  <c r="A588" i="8" s="1"/>
  <c r="A589" i="8" s="1"/>
  <c r="A590" i="8" s="1"/>
  <c r="A591" i="8" s="1"/>
  <c r="A592" i="8" s="1"/>
  <c r="A593" i="8" s="1"/>
  <c r="A594" i="8" s="1"/>
  <c r="A595" i="8" s="1"/>
  <c r="A596" i="8" s="1"/>
  <c r="A597" i="8" s="1"/>
  <c r="A598" i="8" s="1"/>
  <c r="A599" i="8" s="1"/>
  <c r="A600" i="8" s="1"/>
  <c r="A601" i="8" s="1"/>
  <c r="A602" i="8" s="1"/>
  <c r="A603" i="8" s="1"/>
  <c r="A604" i="8" s="1"/>
  <c r="A605" i="8" s="1"/>
  <c r="A606" i="8" s="1"/>
  <c r="A607" i="8" s="1"/>
  <c r="A608" i="8" s="1"/>
  <c r="A609" i="8" s="1"/>
  <c r="A610" i="8" s="1"/>
  <c r="A611" i="8" s="1"/>
  <c r="A612" i="8" s="1"/>
  <c r="A613" i="8" s="1"/>
  <c r="A614" i="8" s="1"/>
  <c r="A615" i="8" s="1"/>
  <c r="A616" i="8" s="1"/>
  <c r="A617" i="8" s="1"/>
  <c r="A618" i="8" s="1"/>
  <c r="A619" i="8" s="1"/>
  <c r="A620" i="8" s="1"/>
  <c r="A621" i="8" s="1"/>
  <c r="A622" i="8" s="1"/>
  <c r="A623" i="8" s="1"/>
  <c r="A624" i="8" s="1"/>
  <c r="A625" i="8" s="1"/>
  <c r="A626" i="8" s="1"/>
  <c r="A627" i="8" s="1"/>
  <c r="A628" i="8" s="1"/>
  <c r="A629" i="8" s="1"/>
  <c r="A630" i="8" s="1"/>
  <c r="A631" i="8" s="1"/>
  <c r="A632" i="8" s="1"/>
  <c r="A633" i="8" s="1"/>
  <c r="A634" i="8" s="1"/>
  <c r="A635" i="8" s="1"/>
  <c r="A636" i="8" s="1"/>
  <c r="A637" i="8" s="1"/>
  <c r="A638" i="8" s="1"/>
  <c r="A639" i="8" s="1"/>
  <c r="A640" i="8" s="1"/>
  <c r="A482" i="8"/>
  <c r="A483" i="8" s="1"/>
  <c r="A484" i="8" s="1"/>
  <c r="A485" i="8" s="1"/>
  <c r="A486" i="8" s="1"/>
  <c r="A487" i="8" s="1"/>
  <c r="A488" i="8" s="1"/>
  <c r="A489" i="8" s="1"/>
  <c r="A490" i="8" s="1"/>
  <c r="A491" i="8" s="1"/>
  <c r="A492" i="8" s="1"/>
  <c r="A493" i="8" s="1"/>
  <c r="A494" i="8" s="1"/>
  <c r="A495" i="8" s="1"/>
  <c r="A496" i="8" s="1"/>
  <c r="A497" i="8" s="1"/>
  <c r="A498" i="8" s="1"/>
  <c r="A499" i="8" s="1"/>
  <c r="A500" i="8" s="1"/>
  <c r="A501" i="8" s="1"/>
  <c r="A502" i="8" s="1"/>
  <c r="A503" i="8" s="1"/>
  <c r="A504" i="8" s="1"/>
  <c r="A505" i="8" s="1"/>
  <c r="A506" i="8" s="1"/>
  <c r="A507" i="8" s="1"/>
  <c r="A508" i="8" s="1"/>
  <c r="A509" i="8" s="1"/>
  <c r="A510" i="8" s="1"/>
  <c r="A511" i="8" s="1"/>
  <c r="A512" i="8" s="1"/>
  <c r="A513" i="8" s="1"/>
  <c r="A514" i="8" s="1"/>
  <c r="A515" i="8" s="1"/>
  <c r="A516" i="8" s="1"/>
  <c r="A517" i="8" s="1"/>
  <c r="A518" i="8" s="1"/>
  <c r="A519" i="8" s="1"/>
  <c r="A520" i="8" s="1"/>
  <c r="A521" i="8" s="1"/>
  <c r="A522" i="8" s="1"/>
  <c r="A523" i="8" s="1"/>
  <c r="A524" i="8" s="1"/>
  <c r="A525" i="8" s="1"/>
  <c r="A526" i="8" s="1"/>
  <c r="A527" i="8" s="1"/>
  <c r="A528" i="8" s="1"/>
  <c r="A529" i="8" s="1"/>
  <c r="A530" i="8" s="1"/>
  <c r="A531" i="8" s="1"/>
  <c r="A532" i="8" s="1"/>
  <c r="A533" i="8" s="1"/>
  <c r="A534" i="8" s="1"/>
  <c r="A535" i="8" s="1"/>
  <c r="A536" i="8" s="1"/>
  <c r="A537" i="8" s="1"/>
  <c r="A538" i="8" s="1"/>
  <c r="A539" i="8" s="1"/>
  <c r="A540" i="8" s="1"/>
  <c r="A541" i="8" s="1"/>
  <c r="A542" i="8" s="1"/>
  <c r="A543" i="8" s="1"/>
  <c r="A544" i="8" s="1"/>
  <c r="A545" i="8" s="1"/>
  <c r="A546" i="8" s="1"/>
  <c r="A547" i="8" s="1"/>
  <c r="A548" i="8" s="1"/>
  <c r="A549" i="8" s="1"/>
  <c r="A550" i="8" s="1"/>
  <c r="A551" i="8" s="1"/>
  <c r="A552" i="8" s="1"/>
  <c r="A553" i="8" s="1"/>
  <c r="A554" i="8" s="1"/>
  <c r="A555" i="8" s="1"/>
  <c r="A556" i="8" s="1"/>
  <c r="A557" i="8" s="1"/>
  <c r="A558" i="8" s="1"/>
  <c r="A559" i="8" s="1"/>
  <c r="A411" i="8"/>
  <c r="A412" i="8" s="1"/>
  <c r="A413" i="8" s="1"/>
  <c r="A414" i="8" s="1"/>
  <c r="A415" i="8" s="1"/>
  <c r="A416" i="8" s="1"/>
  <c r="A417" i="8" s="1"/>
  <c r="A418" i="8" s="1"/>
  <c r="A419" i="8" s="1"/>
  <c r="A420" i="8" s="1"/>
  <c r="A421" i="8" s="1"/>
  <c r="A422" i="8" s="1"/>
  <c r="A423" i="8" s="1"/>
  <c r="A424" i="8" s="1"/>
  <c r="A425" i="8" s="1"/>
  <c r="A426" i="8" s="1"/>
  <c r="A427" i="8" s="1"/>
  <c r="A428" i="8" s="1"/>
  <c r="A429" i="8" s="1"/>
  <c r="A430" i="8" s="1"/>
  <c r="A431" i="8" s="1"/>
  <c r="A432" i="8" s="1"/>
  <c r="A433" i="8" s="1"/>
  <c r="A434" i="8" s="1"/>
  <c r="A379" i="8"/>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4" i="8" s="1"/>
  <c r="A405" i="8" s="1"/>
  <c r="A406" i="8" s="1"/>
  <c r="A407" i="8" s="1"/>
  <c r="A349" i="8"/>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00" i="8"/>
  <c r="A301" i="8" s="1"/>
  <c r="A302" i="8" s="1"/>
  <c r="A303" i="8" s="1"/>
  <c r="A304" i="8" s="1"/>
  <c r="A305" i="8" s="1"/>
  <c r="A283" i="8"/>
  <c r="A284" i="8" s="1"/>
  <c r="A285" i="8" s="1"/>
  <c r="A286" i="8" s="1"/>
  <c r="A287" i="8" s="1"/>
  <c r="A288" i="8" s="1"/>
  <c r="A289" i="8" s="1"/>
  <c r="A209" i="8"/>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178" i="8"/>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150" i="8"/>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24" i="8"/>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99" i="8"/>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60" i="8"/>
  <c r="A61" i="8" s="1"/>
  <c r="A62" i="8" s="1"/>
  <c r="A63" i="8" s="1"/>
  <c r="A64" i="8" s="1"/>
  <c r="A65" i="8" s="1"/>
  <c r="A66"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43" i="8"/>
  <c r="A44" i="8" s="1"/>
  <c r="A45" i="8" s="1"/>
  <c r="A46" i="8" s="1"/>
  <c r="A47" i="8" s="1"/>
  <c r="A48" i="8" s="1"/>
  <c r="A49" i="8" s="1"/>
  <c r="A50" i="8" s="1"/>
  <c r="A51" i="8" s="1"/>
  <c r="A52" i="8" s="1"/>
  <c r="A53" i="8" s="1"/>
  <c r="A54" i="8" s="1"/>
  <c r="A55" i="8" s="1"/>
  <c r="A56" i="8" s="1"/>
  <c r="A26" i="8"/>
  <c r="A27" i="8" s="1"/>
  <c r="A28" i="8" s="1"/>
  <c r="A29" i="8" s="1"/>
  <c r="A30" i="8" s="1"/>
  <c r="A31" i="8" s="1"/>
  <c r="A32" i="8" s="1"/>
  <c r="A33" i="8" s="1"/>
  <c r="A34" i="8" s="1"/>
  <c r="A35" i="8" s="1"/>
  <c r="A36" i="8" s="1"/>
  <c r="A37" i="8" s="1"/>
  <c r="A38" i="8" s="1"/>
  <c r="A39" i="8" s="1"/>
  <c r="A8" i="8"/>
  <c r="A9" i="8" s="1"/>
  <c r="A10" i="8" s="1"/>
  <c r="A11" i="8" s="1"/>
  <c r="A12" i="8" s="1"/>
  <c r="A13" i="8" s="1"/>
  <c r="A14" i="8" s="1"/>
  <c r="A15" i="8" s="1"/>
  <c r="A16" i="8" s="1"/>
  <c r="A17" i="8" s="1"/>
  <c r="A18" i="8" s="1"/>
  <c r="A19" i="8" s="1"/>
  <c r="A20" i="8" s="1"/>
  <c r="A21" i="8" s="1"/>
  <c r="A22" i="8" s="1"/>
  <c r="J12236" i="4" l="1"/>
  <c r="J12237" i="4" s="1"/>
  <c r="F710" i="8" s="1"/>
  <c r="H148" i="11" s="1"/>
  <c r="I148" i="11" s="1"/>
  <c r="A306" i="8"/>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290" i="8"/>
  <c r="A291" i="8" s="1"/>
  <c r="A292" i="8" s="1"/>
  <c r="A293" i="8" s="1"/>
  <c r="A294" i="8" s="1"/>
  <c r="A295" i="8" s="1"/>
  <c r="A296" i="8" s="1"/>
  <c r="A439" i="8"/>
  <c r="A440" i="8" s="1"/>
  <c r="A441" i="8" s="1"/>
  <c r="A442" i="8" s="1"/>
  <c r="A443" i="8" s="1"/>
  <c r="A444" i="8" s="1"/>
  <c r="A445" i="8" s="1"/>
  <c r="A446" i="8" s="1"/>
  <c r="A447" i="8" s="1"/>
  <c r="A448" i="8" s="1"/>
  <c r="A449" i="8" s="1"/>
  <c r="A450" i="8" s="1"/>
  <c r="A451" i="8" s="1"/>
  <c r="A452" i="8" s="1"/>
  <c r="A453" i="8" s="1"/>
  <c r="A454" i="8" s="1"/>
  <c r="A455" i="8" s="1"/>
  <c r="A456" i="8" s="1"/>
  <c r="A457" i="8" s="1"/>
  <c r="A458" i="8" s="1"/>
  <c r="A459" i="8" s="1"/>
  <c r="A460" i="8" s="1"/>
  <c r="A461" i="8" s="1"/>
  <c r="A462" i="8" s="1"/>
  <c r="A463" i="8" s="1"/>
  <c r="A464" i="8" s="1"/>
  <c r="A465" i="8" s="1"/>
  <c r="A466" i="8" s="1"/>
  <c r="A467" i="8" s="1"/>
  <c r="A468" i="8" s="1"/>
  <c r="A469" i="8" s="1"/>
  <c r="A470" i="8" s="1"/>
  <c r="A471" i="8" s="1"/>
  <c r="A472" i="8" s="1"/>
  <c r="A473" i="8" s="1"/>
  <c r="A474" i="8" s="1"/>
  <c r="A475" i="8" s="1"/>
  <c r="A476" i="8" s="1"/>
  <c r="A477" i="8" s="1"/>
  <c r="A478" i="8" s="1"/>
  <c r="A435" i="8"/>
  <c r="A241" i="8"/>
  <c r="A242" i="8" s="1"/>
  <c r="A243" i="8" s="1"/>
  <c r="A244" i="8" s="1"/>
  <c r="A245" i="8" s="1"/>
  <c r="T699" i="8"/>
  <c r="T698" i="8"/>
  <c r="T697" i="8"/>
  <c r="T696" i="8"/>
  <c r="T695" i="8"/>
  <c r="A246" i="8" l="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J5063" i="4"/>
  <c r="J12039" i="4"/>
  <c r="J5321" i="4"/>
  <c r="J5303" i="4"/>
  <c r="J12019" i="4"/>
  <c r="J7565" i="4"/>
  <c r="J5954" i="4"/>
  <c r="I1086" i="4" l="1"/>
  <c r="I1066" i="4"/>
  <c r="I1046" i="4"/>
  <c r="I1026" i="4"/>
  <c r="I986" i="4"/>
  <c r="I966" i="4"/>
  <c r="I946" i="4"/>
  <c r="I926" i="4"/>
  <c r="I906" i="4"/>
  <c r="I884" i="4"/>
  <c r="I864" i="4"/>
  <c r="I844" i="4"/>
  <c r="I11958" i="4"/>
  <c r="I11890" i="4"/>
  <c r="I1713" i="4"/>
  <c r="I1673" i="4"/>
  <c r="I11924" i="4"/>
  <c r="I11975" i="4"/>
  <c r="I11839" i="4"/>
  <c r="I2120" i="4"/>
  <c r="I11941" i="4"/>
  <c r="I11873" i="4"/>
  <c r="I11992" i="4"/>
  <c r="I11856" i="4"/>
  <c r="I2134" i="4"/>
  <c r="I1693" i="4"/>
  <c r="I11907" i="4"/>
  <c r="I1733" i="4"/>
  <c r="I1108" i="4"/>
  <c r="H3637" i="4"/>
  <c r="H3654" i="4"/>
  <c r="J3656" i="4"/>
  <c r="J3639" i="4"/>
  <c r="J2586" i="4"/>
  <c r="J1110" i="4"/>
  <c r="I7410" i="4" l="1"/>
  <c r="I7391" i="4"/>
  <c r="J11996" i="4"/>
  <c r="J11979" i="4"/>
  <c r="J11962" i="4"/>
  <c r="J11945" i="4"/>
  <c r="J11928" i="4"/>
  <c r="J11911" i="4"/>
  <c r="J11894" i="4"/>
  <c r="J11877" i="4"/>
  <c r="J11860" i="4"/>
  <c r="J11843" i="4"/>
  <c r="H10379" i="4"/>
  <c r="J10288" i="4"/>
  <c r="J10270" i="4"/>
  <c r="J10252" i="4"/>
  <c r="J10234" i="4"/>
  <c r="J10216" i="4"/>
  <c r="J10198" i="4"/>
  <c r="J10180" i="4"/>
  <c r="J10162" i="4"/>
  <c r="J10144" i="4"/>
  <c r="J10126" i="4"/>
  <c r="J10108" i="4"/>
  <c r="J10090" i="4"/>
  <c r="J10072" i="4"/>
  <c r="J10054" i="4"/>
  <c r="J10036" i="4"/>
  <c r="J10018" i="4"/>
  <c r="H9179" i="4"/>
  <c r="H9162" i="4"/>
  <c r="H9145" i="4"/>
  <c r="H9128" i="4"/>
  <c r="H9111" i="4"/>
  <c r="H9094" i="4"/>
  <c r="H9077" i="4"/>
  <c r="J8607" i="4"/>
  <c r="J8601" i="4"/>
  <c r="J8357" i="4"/>
  <c r="J8336" i="4"/>
  <c r="J8315" i="4"/>
  <c r="J8295" i="4"/>
  <c r="J8275" i="4"/>
  <c r="J8257" i="4"/>
  <c r="J8239" i="4"/>
  <c r="J8221" i="4"/>
  <c r="J8203" i="4"/>
  <c r="J8185" i="4"/>
  <c r="J8167" i="4"/>
  <c r="J8149" i="4"/>
  <c r="J8131" i="4"/>
  <c r="J8113" i="4"/>
  <c r="J8095" i="4"/>
  <c r="J8077" i="4"/>
  <c r="J8059" i="4"/>
  <c r="J8041" i="4"/>
  <c r="J8023" i="4"/>
  <c r="J8005" i="4"/>
  <c r="J7983" i="4"/>
  <c r="J7961" i="4"/>
  <c r="J7939" i="4"/>
  <c r="J7922" i="4"/>
  <c r="J7902" i="4"/>
  <c r="J7884" i="4"/>
  <c r="J7863" i="4"/>
  <c r="J7845" i="4"/>
  <c r="J7827" i="4"/>
  <c r="J7806" i="4"/>
  <c r="J7788" i="4"/>
  <c r="J7770" i="4"/>
  <c r="J7750" i="4"/>
  <c r="J7730" i="4"/>
  <c r="J7710" i="4"/>
  <c r="J7601" i="4"/>
  <c r="J7547" i="4"/>
  <c r="J7529" i="4"/>
  <c r="J7508" i="4"/>
  <c r="J7489" i="4"/>
  <c r="J7468" i="4"/>
  <c r="J7448" i="4"/>
  <c r="J7430" i="4"/>
  <c r="J7412" i="4"/>
  <c r="J7393" i="4"/>
  <c r="J7374" i="4"/>
  <c r="J7357" i="4"/>
  <c r="J7285" i="4"/>
  <c r="J7266" i="4"/>
  <c r="J7247" i="4"/>
  <c r="J7232" i="4"/>
  <c r="J7213" i="4"/>
  <c r="J7196" i="4"/>
  <c r="J7173" i="4"/>
  <c r="J7150" i="4"/>
  <c r="J7135" i="4"/>
  <c r="J7120" i="4"/>
  <c r="J7104" i="4"/>
  <c r="J7086" i="4"/>
  <c r="J7069" i="4"/>
  <c r="J7052" i="4"/>
  <c r="J7035" i="4"/>
  <c r="J7017" i="4"/>
  <c r="J6999" i="4"/>
  <c r="J6981" i="4"/>
  <c r="J6963" i="4"/>
  <c r="J6946" i="4"/>
  <c r="J6929" i="4"/>
  <c r="J6912" i="4"/>
  <c r="J6895" i="4"/>
  <c r="J6878" i="4"/>
  <c r="J6861" i="4"/>
  <c r="J6844" i="4"/>
  <c r="J6835" i="4"/>
  <c r="J6826" i="4"/>
  <c r="J6817" i="4"/>
  <c r="J6808" i="4"/>
  <c r="J6791" i="4"/>
  <c r="J6774" i="4"/>
  <c r="J6757" i="4"/>
  <c r="J6740" i="4"/>
  <c r="J6723" i="4"/>
  <c r="J6705" i="4"/>
  <c r="J6685" i="4"/>
  <c r="J6667" i="4"/>
  <c r="J6648" i="4"/>
  <c r="J6628" i="4"/>
  <c r="J6608" i="4"/>
  <c r="J6590" i="4"/>
  <c r="J6572" i="4"/>
  <c r="J6554" i="4"/>
  <c r="J6536" i="4"/>
  <c r="J6518" i="4"/>
  <c r="J6500" i="4"/>
  <c r="J6481" i="4"/>
  <c r="J6462" i="4"/>
  <c r="J6443" i="4"/>
  <c r="J6424" i="4"/>
  <c r="J6405" i="4"/>
  <c r="J6384" i="4"/>
  <c r="J6364" i="4"/>
  <c r="J6346" i="4"/>
  <c r="J6326" i="4"/>
  <c r="J6306" i="4"/>
  <c r="J6288" i="4"/>
  <c r="J6270" i="4"/>
  <c r="J6252" i="4"/>
  <c r="J6234" i="4"/>
  <c r="J6216" i="4"/>
  <c r="J6197" i="4"/>
  <c r="J6141" i="4"/>
  <c r="J6124" i="4"/>
  <c r="J6106" i="4"/>
  <c r="J6088" i="4"/>
  <c r="J6070" i="4"/>
  <c r="J6060" i="4"/>
  <c r="J6051" i="4"/>
  <c r="J6032" i="4"/>
  <c r="J6014" i="4"/>
  <c r="J5995" i="4"/>
  <c r="J5974" i="4"/>
  <c r="J5936" i="4"/>
  <c r="J5918" i="4"/>
  <c r="J5898" i="4"/>
  <c r="J5880" i="4"/>
  <c r="J5862" i="4"/>
  <c r="J5844" i="4"/>
  <c r="J5826" i="4"/>
  <c r="J5808" i="4"/>
  <c r="J5790" i="4"/>
  <c r="J5772" i="4"/>
  <c r="J5754" i="4"/>
  <c r="J5736" i="4"/>
  <c r="J5718" i="4"/>
  <c r="J5700" i="4"/>
  <c r="J5682" i="4"/>
  <c r="J5664" i="4"/>
  <c r="J5646" i="4"/>
  <c r="J5628" i="4"/>
  <c r="J5610" i="4"/>
  <c r="J5592" i="4"/>
  <c r="J5574" i="4"/>
  <c r="J5556" i="4"/>
  <c r="J5538" i="4"/>
  <c r="J5520" i="4"/>
  <c r="J5502" i="4"/>
  <c r="J5466" i="4"/>
  <c r="J5448" i="4"/>
  <c r="J5429" i="4"/>
  <c r="J5410" i="4"/>
  <c r="J5391" i="4"/>
  <c r="J5374" i="4"/>
  <c r="J5357" i="4"/>
  <c r="J5283" i="4"/>
  <c r="J5265" i="4"/>
  <c r="J5190" i="4"/>
  <c r="J5172" i="4"/>
  <c r="J5154" i="4"/>
  <c r="J5136" i="4"/>
  <c r="J5118" i="4"/>
  <c r="J5100" i="4"/>
  <c r="J5082" i="4"/>
  <c r="J4969" i="4"/>
  <c r="J4951" i="4"/>
  <c r="J4933" i="4"/>
  <c r="J4916" i="4"/>
  <c r="J4898" i="4"/>
  <c r="J4880" i="4"/>
  <c r="J4861" i="4"/>
  <c r="J4842" i="4"/>
  <c r="J4822" i="4"/>
  <c r="J4801" i="4"/>
  <c r="J4781" i="4"/>
  <c r="J4761" i="4"/>
  <c r="J4741" i="4"/>
  <c r="J4721" i="4"/>
  <c r="J4701" i="4"/>
  <c r="J4681" i="4"/>
  <c r="J4661" i="4"/>
  <c r="J4643" i="4"/>
  <c r="J4625" i="4"/>
  <c r="J4607" i="4"/>
  <c r="J4589" i="4"/>
  <c r="J4569" i="4"/>
  <c r="J4549" i="4"/>
  <c r="J4529" i="4"/>
  <c r="J4509" i="4"/>
  <c r="J4489" i="4"/>
  <c r="J4469" i="4"/>
  <c r="J4449" i="4"/>
  <c r="J4409" i="4"/>
  <c r="J4389" i="4"/>
  <c r="J4309" i="4"/>
  <c r="J4289" i="4"/>
  <c r="J4269" i="4"/>
  <c r="J4251" i="4"/>
  <c r="J4231" i="4"/>
  <c r="J4211" i="4"/>
  <c r="J4191" i="4"/>
  <c r="J4171" i="4"/>
  <c r="J4151" i="4"/>
  <c r="J4131" i="4"/>
  <c r="J4111" i="4"/>
  <c r="J4091" i="4"/>
  <c r="J4071" i="4"/>
  <c r="J4051" i="4"/>
  <c r="J4031" i="4"/>
  <c r="J4011" i="4"/>
  <c r="J3992" i="4"/>
  <c r="J3973" i="4"/>
  <c r="J3954" i="4"/>
  <c r="J3934" i="4"/>
  <c r="J3914" i="4"/>
  <c r="J3894" i="4"/>
  <c r="J3874" i="4"/>
  <c r="J3854" i="4"/>
  <c r="J3834" i="4"/>
  <c r="J3814" i="4"/>
  <c r="J3794" i="4"/>
  <c r="J3774" i="4"/>
  <c r="J3754" i="4"/>
  <c r="J3734" i="4"/>
  <c r="J3714" i="4"/>
  <c r="J3695" i="4"/>
  <c r="J3676" i="4"/>
  <c r="J3622" i="4"/>
  <c r="J3605" i="4"/>
  <c r="J3587" i="4"/>
  <c r="J3570" i="4"/>
  <c r="J3553" i="4"/>
  <c r="J3535" i="4"/>
  <c r="J3517" i="4"/>
  <c r="J3499" i="4"/>
  <c r="J3481" i="4"/>
  <c r="J3463" i="4"/>
  <c r="J3444" i="4"/>
  <c r="J3426" i="4"/>
  <c r="J3408" i="4"/>
  <c r="J3390" i="4"/>
  <c r="J3372" i="4"/>
  <c r="J3354" i="4"/>
  <c r="J3335" i="4"/>
  <c r="J3316" i="4"/>
  <c r="J3297" i="4"/>
  <c r="J3278" i="4"/>
  <c r="J3260" i="4"/>
  <c r="J3242" i="4"/>
  <c r="J3224" i="4"/>
  <c r="J3206" i="4"/>
  <c r="J3188" i="4"/>
  <c r="J3170" i="4"/>
  <c r="J3152" i="4"/>
  <c r="J3095" i="4"/>
  <c r="J3076" i="4"/>
  <c r="J3057" i="4"/>
  <c r="J3038" i="4"/>
  <c r="J3018" i="4"/>
  <c r="J2998" i="4"/>
  <c r="J2978" i="4"/>
  <c r="J2958" i="4"/>
  <c r="J2938" i="4"/>
  <c r="J2918" i="4"/>
  <c r="J2898" i="4"/>
  <c r="J2878" i="4"/>
  <c r="J2858" i="4"/>
  <c r="J2839" i="4"/>
  <c r="J2820" i="4"/>
  <c r="J2801" i="4"/>
  <c r="J2782" i="4"/>
  <c r="J2763" i="4"/>
  <c r="J2744" i="4"/>
  <c r="J2724" i="4"/>
  <c r="J2705" i="4"/>
  <c r="J2686" i="4"/>
  <c r="J2667" i="4"/>
  <c r="J2648" i="4"/>
  <c r="J2569" i="4"/>
  <c r="J2551" i="4"/>
  <c r="J2533" i="4"/>
  <c r="J2514" i="4"/>
  <c r="J2495" i="4"/>
  <c r="J2476" i="4"/>
  <c r="J2457" i="4"/>
  <c r="J2439" i="4"/>
  <c r="J2422" i="4"/>
  <c r="J2403" i="4"/>
  <c r="J2385" i="4"/>
  <c r="J2366" i="4"/>
  <c r="J2349" i="4"/>
  <c r="J2332" i="4"/>
  <c r="J2204" i="4"/>
  <c r="J2186" i="4"/>
  <c r="J2170" i="4"/>
  <c r="J2151" i="4"/>
  <c r="J2149" i="4"/>
  <c r="J2132" i="4"/>
  <c r="J2117" i="4"/>
  <c r="J1877" i="4"/>
  <c r="J1860" i="4"/>
  <c r="J1843" i="4"/>
  <c r="J1828" i="4"/>
  <c r="J1813" i="4"/>
  <c r="J1798" i="4"/>
  <c r="J1777" i="4"/>
  <c r="J1757" i="4"/>
  <c r="J1735" i="4"/>
  <c r="J1715" i="4"/>
  <c r="J1695" i="4"/>
  <c r="J1675" i="4"/>
  <c r="J1654" i="4"/>
  <c r="J1628" i="4"/>
  <c r="J1602" i="4"/>
  <c r="J1573" i="4"/>
  <c r="J1544" i="4"/>
  <c r="J1515" i="4"/>
  <c r="J1486" i="4"/>
  <c r="J1457" i="4"/>
  <c r="J1431" i="4"/>
  <c r="J1405" i="4"/>
  <c r="J1386" i="4"/>
  <c r="J1364" i="4"/>
  <c r="J1341" i="4"/>
  <c r="J1319" i="4"/>
  <c r="J1297" i="4"/>
  <c r="J1275" i="4"/>
  <c r="J1256" i="4"/>
  <c r="J1237" i="4"/>
  <c r="J1219" i="4"/>
  <c r="J1201" i="4"/>
  <c r="J1183" i="4"/>
  <c r="J1166" i="4"/>
  <c r="J1149" i="4"/>
  <c r="J1132" i="4"/>
  <c r="J1088" i="4"/>
  <c r="J1068" i="4"/>
  <c r="J1048" i="4"/>
  <c r="J1028" i="4"/>
  <c r="J988" i="4"/>
  <c r="J968" i="4"/>
  <c r="J948" i="4"/>
  <c r="J928" i="4"/>
  <c r="J908" i="4"/>
  <c r="J886" i="4"/>
  <c r="J866" i="4"/>
  <c r="J846" i="4"/>
  <c r="J757" i="4"/>
  <c r="J737" i="4"/>
  <c r="J715" i="4"/>
  <c r="J697" i="4"/>
  <c r="J677" i="4"/>
  <c r="J657" i="4"/>
  <c r="J637" i="4"/>
  <c r="J632" i="4"/>
  <c r="J618" i="4"/>
  <c r="J613" i="4"/>
  <c r="J599" i="4"/>
  <c r="J594" i="4"/>
  <c r="J580" i="4"/>
  <c r="J575" i="4"/>
  <c r="J561" i="4"/>
  <c r="J556" i="4"/>
  <c r="J550" i="4"/>
  <c r="J541" i="4"/>
  <c r="J538" i="4"/>
  <c r="J534" i="4"/>
  <c r="J526" i="4"/>
  <c r="J523" i="4"/>
  <c r="J519" i="4"/>
  <c r="J511" i="4"/>
  <c r="J506" i="4"/>
  <c r="J500" i="4"/>
  <c r="J477" i="4"/>
  <c r="J474" i="4"/>
  <c r="J470" i="4"/>
  <c r="J462" i="4"/>
  <c r="J460" i="4"/>
  <c r="J456" i="4"/>
  <c r="J448" i="4"/>
  <c r="J446" i="4"/>
  <c r="J442" i="4"/>
  <c r="J433" i="4"/>
  <c r="J431" i="4"/>
  <c r="J427" i="4"/>
  <c r="J419" i="4"/>
  <c r="J417" i="4"/>
  <c r="J413" i="4"/>
  <c r="J405" i="4"/>
  <c r="J403" i="4"/>
  <c r="J399" i="4"/>
  <c r="J391" i="4"/>
  <c r="J389" i="4"/>
  <c r="J385" i="4"/>
  <c r="J377" i="4"/>
  <c r="J375" i="4"/>
  <c r="J371" i="4"/>
  <c r="J363" i="4"/>
  <c r="J361" i="4"/>
  <c r="J357" i="4"/>
  <c r="J349" i="4"/>
  <c r="J347" i="4"/>
  <c r="J343" i="4"/>
  <c r="J334" i="4"/>
  <c r="J332" i="4"/>
  <c r="J328" i="4"/>
  <c r="J319" i="4"/>
  <c r="J312" i="4"/>
  <c r="J298" i="4"/>
  <c r="J295" i="4"/>
  <c r="J281" i="4"/>
  <c r="J279" i="4"/>
  <c r="J267" i="4"/>
  <c r="J265" i="4"/>
  <c r="J253" i="4"/>
  <c r="J248" i="4"/>
  <c r="J244" i="4"/>
  <c r="J236" i="4"/>
  <c r="J231" i="4"/>
  <c r="J227" i="4"/>
  <c r="J219" i="4"/>
  <c r="J201" i="4"/>
  <c r="J187" i="4"/>
  <c r="J163" i="4"/>
  <c r="J153" i="4"/>
  <c r="J147" i="4"/>
  <c r="J139" i="4"/>
  <c r="J127" i="4"/>
  <c r="J119" i="4"/>
  <c r="J103" i="4"/>
  <c r="J88" i="4"/>
  <c r="J83" i="4"/>
  <c r="J77" i="4"/>
  <c r="J69" i="4"/>
  <c r="J61" i="4"/>
  <c r="J55" i="4"/>
  <c r="J31" i="4"/>
  <c r="J8306" i="4" l="1"/>
  <c r="J8232" i="4"/>
  <c r="J8088" i="4"/>
  <c r="J8016" i="4"/>
  <c r="J7933" i="4"/>
  <c r="J8347" i="4"/>
  <c r="J8268" i="4"/>
  <c r="J8196" i="4"/>
  <c r="J8124" i="4"/>
  <c r="J8052" i="4"/>
  <c r="J7972" i="4"/>
  <c r="J7895" i="4"/>
  <c r="J7817" i="4"/>
  <c r="J7741" i="4"/>
  <c r="J7479" i="4"/>
  <c r="J7404" i="4"/>
  <c r="J7277" i="4"/>
  <c r="J7063" i="4"/>
  <c r="J7702" i="4"/>
  <c r="J7441" i="4"/>
  <c r="J7224" i="4"/>
  <c r="J7046" i="4"/>
  <c r="J6974" i="4"/>
  <c r="J6906" i="4"/>
  <c r="J6838" i="4"/>
  <c r="J6802" i="4"/>
  <c r="J6734" i="4"/>
  <c r="J6659" i="4"/>
  <c r="J6583" i="4"/>
  <c r="J6511" i="4"/>
  <c r="J6435" i="4"/>
  <c r="J6357" i="4"/>
  <c r="J6208" i="4"/>
  <c r="J6043" i="4"/>
  <c r="J5891" i="4"/>
  <c r="J5747" i="4"/>
  <c r="J5675" i="4"/>
  <c r="J7781" i="4"/>
  <c r="J7519" i="4"/>
  <c r="J7368" i="4"/>
  <c r="J7097" i="4"/>
  <c r="J7010" i="4"/>
  <c r="J6872" i="4"/>
  <c r="J6820" i="4"/>
  <c r="J6768" i="4"/>
  <c r="J6696" i="4"/>
  <c r="J6619" i="4"/>
  <c r="J6547" i="4"/>
  <c r="J6473" i="4"/>
  <c r="J6395" i="4"/>
  <c r="J6317" i="4"/>
  <c r="J6135" i="4"/>
  <c r="J6063" i="4"/>
  <c r="J6006" i="4"/>
  <c r="J5929" i="4"/>
  <c r="J5711" i="4"/>
  <c r="J5639" i="4"/>
  <c r="J5567" i="4"/>
  <c r="J5495" i="4"/>
  <c r="J6025" i="4"/>
  <c r="J5985" i="4"/>
  <c r="J5947" i="4"/>
  <c r="J5909" i="4"/>
  <c r="J5873" i="4"/>
  <c r="J5837" i="4"/>
  <c r="J5801" i="4"/>
  <c r="J5765" i="4"/>
  <c r="J5729" i="4"/>
  <c r="J5693" i="4"/>
  <c r="J5531" i="4"/>
  <c r="J5421" i="4"/>
  <c r="J5351" i="4"/>
  <c r="J5256" i="4"/>
  <c r="J5129" i="4"/>
  <c r="J5056" i="4"/>
  <c r="J4980" i="4"/>
  <c r="J4909" i="4"/>
  <c r="J4833" i="4"/>
  <c r="J4752" i="4"/>
  <c r="J4672" i="4"/>
  <c r="J4600" i="4"/>
  <c r="J4520" i="4"/>
  <c r="J4440" i="4"/>
  <c r="J4122" i="4"/>
  <c r="J4042" i="4"/>
  <c r="J3905" i="4"/>
  <c r="J3598" i="4"/>
  <c r="J3528" i="4"/>
  <c r="J3455" i="4"/>
  <c r="J3383" i="4"/>
  <c r="J3308" i="4"/>
  <c r="J3163" i="4"/>
  <c r="J3049" i="4"/>
  <c r="J2969" i="4"/>
  <c r="J2735" i="4"/>
  <c r="J2659" i="4"/>
  <c r="J2544" i="4"/>
  <c r="J2468" i="4"/>
  <c r="J2396" i="4"/>
  <c r="J2326" i="4"/>
  <c r="J2290" i="4"/>
  <c r="J2270" i="4"/>
  <c r="J2251" i="4"/>
  <c r="J2232" i="4"/>
  <c r="J2215" i="4"/>
  <c r="J2146" i="4"/>
  <c r="J1961" i="4"/>
  <c r="J1768" i="4"/>
  <c r="J1586" i="4"/>
  <c r="J1470" i="4"/>
  <c r="J1375" i="4"/>
  <c r="J1286" i="4"/>
  <c r="J1212" i="4"/>
  <c r="J1143" i="4"/>
  <c r="J1059" i="4"/>
  <c r="J959" i="4"/>
  <c r="J877" i="4"/>
  <c r="J726" i="4"/>
  <c r="J610" i="4"/>
  <c r="J572" i="4"/>
  <c r="J292" i="4"/>
  <c r="J80" i="4"/>
  <c r="J34" i="4"/>
  <c r="J11" i="4"/>
  <c r="J939" i="4"/>
  <c r="J8326" i="4"/>
  <c r="J8286" i="4"/>
  <c r="J8250" i="4"/>
  <c r="J8178" i="4"/>
  <c r="J8142" i="4"/>
  <c r="J8106" i="4"/>
  <c r="J8070" i="4"/>
  <c r="J8034" i="4"/>
  <c r="J7994" i="4"/>
  <c r="J7950" i="4"/>
  <c r="J7913" i="4"/>
  <c r="J7874" i="4"/>
  <c r="J7838" i="4"/>
  <c r="J7761" i="4"/>
  <c r="J7721" i="4"/>
  <c r="J7540" i="4"/>
  <c r="J7500" i="4"/>
  <c r="J7459" i="4"/>
  <c r="J7423" i="4"/>
  <c r="J7385" i="4"/>
  <c r="J7350" i="4"/>
  <c r="J7258" i="4"/>
  <c r="J7207" i="4"/>
  <c r="J7161" i="4"/>
  <c r="J7028" i="4"/>
  <c r="J6992" i="4"/>
  <c r="J6957" i="4"/>
  <c r="J6923" i="4"/>
  <c r="J6889" i="4"/>
  <c r="J5657" i="4"/>
  <c r="J5621" i="4"/>
  <c r="J5513" i="4"/>
  <c r="J5402" i="4"/>
  <c r="J5314" i="4"/>
  <c r="J5111" i="4"/>
  <c r="J5037" i="4"/>
  <c r="J4962" i="4"/>
  <c r="J4891" i="4"/>
  <c r="J4812" i="4"/>
  <c r="J4732" i="4"/>
  <c r="J4654" i="4"/>
  <c r="J4580" i="4"/>
  <c r="J4500" i="4"/>
  <c r="J4400" i="4"/>
  <c r="J4262" i="4"/>
  <c r="J4182" i="4"/>
  <c r="J4022" i="4"/>
  <c r="J3965" i="4"/>
  <c r="J3885" i="4"/>
  <c r="J3805" i="4"/>
  <c r="J3581" i="4"/>
  <c r="J3510" i="4"/>
  <c r="J3289" i="4"/>
  <c r="J3217" i="4"/>
  <c r="J3145" i="4"/>
  <c r="J3125" i="4"/>
  <c r="J3029" i="4"/>
  <c r="J2949" i="4"/>
  <c r="J2869" i="4"/>
  <c r="J2640" i="4"/>
  <c r="J2616" i="4"/>
  <c r="J2598" i="4"/>
  <c r="J2525" i="4"/>
  <c r="J2450" i="4"/>
  <c r="J2377" i="4"/>
  <c r="J1872" i="4"/>
  <c r="J1746" i="4"/>
  <c r="J1666" i="4"/>
  <c r="J1557" i="4"/>
  <c r="J1444" i="4"/>
  <c r="J1352" i="4"/>
  <c r="J1267" i="4"/>
  <c r="J1123" i="4"/>
  <c r="J1039" i="4"/>
  <c r="J857" i="4"/>
  <c r="J553" i="4"/>
  <c r="J130" i="4"/>
  <c r="J4480" i="4"/>
  <c r="J4082" i="4"/>
  <c r="J4003" i="4"/>
  <c r="J1528" i="4"/>
  <c r="J1418" i="4"/>
  <c r="J1330" i="4"/>
  <c r="J837" i="4"/>
  <c r="J688" i="4"/>
  <c r="J503" i="4"/>
  <c r="J174" i="4"/>
  <c r="J4927" i="4"/>
  <c r="J4853" i="4"/>
  <c r="J4772" i="4"/>
  <c r="J4618" i="4"/>
  <c r="J4540" i="4"/>
  <c r="J4460" i="4"/>
  <c r="J4300" i="4"/>
  <c r="J3984" i="4"/>
  <c r="J3865" i="4"/>
  <c r="J3785" i="4"/>
  <c r="J3633" i="4"/>
  <c r="J3564" i="4"/>
  <c r="J3492" i="4"/>
  <c r="J3419" i="4"/>
  <c r="J3346" i="4"/>
  <c r="J3271" i="4"/>
  <c r="J3199" i="4"/>
  <c r="J2014" i="4"/>
  <c r="J1908" i="4"/>
  <c r="J1499" i="4"/>
  <c r="J1397" i="4"/>
  <c r="J1230" i="4"/>
  <c r="J748" i="4"/>
  <c r="J668" i="4"/>
  <c r="J212" i="4"/>
  <c r="J5585" i="4"/>
  <c r="J5549" i="4"/>
  <c r="J3845" i="4"/>
  <c r="J3687" i="4"/>
  <c r="J3253" i="4"/>
  <c r="J3181" i="4"/>
  <c r="J2414" i="4"/>
  <c r="J2343" i="4"/>
  <c r="J2162" i="4"/>
  <c r="J58" i="4"/>
  <c r="J6785" i="4"/>
  <c r="J6751" i="4"/>
  <c r="J6717" i="4"/>
  <c r="J6678" i="4"/>
  <c r="J6639" i="4"/>
  <c r="J6601" i="4"/>
  <c r="J6565" i="4"/>
  <c r="J6529" i="4"/>
  <c r="J6492" i="4"/>
  <c r="J6454" i="4"/>
  <c r="J6416" i="4"/>
  <c r="J6375" i="4"/>
  <c r="J6337" i="4"/>
  <c r="J6299" i="4"/>
  <c r="J6263" i="4"/>
  <c r="J6227" i="4"/>
  <c r="J6081" i="4"/>
  <c r="J5459" i="4"/>
  <c r="J5296" i="4"/>
  <c r="J5165" i="4"/>
  <c r="J5093" i="4"/>
  <c r="J5018" i="4"/>
  <c r="J4944" i="4"/>
  <c r="J4872" i="4"/>
  <c r="J4792" i="4"/>
  <c r="J4712" i="4"/>
  <c r="J4636" i="4"/>
  <c r="J4560" i="4"/>
  <c r="J4380" i="4"/>
  <c r="J4242" i="4"/>
  <c r="J4162" i="4"/>
  <c r="J1855" i="4"/>
  <c r="J1726" i="4"/>
  <c r="J1641" i="4"/>
  <c r="J1248" i="4"/>
  <c r="J1177" i="4"/>
  <c r="J1100" i="4"/>
  <c r="J1019" i="4"/>
  <c r="J919" i="4"/>
  <c r="J591" i="4"/>
  <c r="J5603" i="4"/>
  <c r="J5440" i="4"/>
  <c r="J5368" i="4"/>
  <c r="J5276" i="4"/>
  <c r="J5147" i="4"/>
  <c r="J5075" i="4"/>
  <c r="J4999" i="4"/>
  <c r="J4222" i="4"/>
  <c r="J4142" i="4"/>
  <c r="J4062" i="4"/>
  <c r="J3945" i="4"/>
  <c r="J3009" i="4"/>
  <c r="J2850" i="4"/>
  <c r="J2774" i="4"/>
  <c r="J2697" i="4"/>
  <c r="J2580" i="4"/>
  <c r="J2506" i="4"/>
  <c r="J2433" i="4"/>
  <c r="J2360" i="4"/>
  <c r="J1706" i="4"/>
  <c r="J1079" i="4"/>
  <c r="J979" i="4"/>
  <c r="J309" i="4"/>
  <c r="J150" i="4"/>
  <c r="J3546" i="4"/>
  <c r="J3474" i="4"/>
  <c r="J3068" i="4"/>
  <c r="J2989" i="4"/>
  <c r="J2755" i="4"/>
  <c r="J2678" i="4"/>
  <c r="J629" i="4"/>
  <c r="J100" i="4"/>
  <c r="J9292" i="4"/>
  <c r="J9406" i="4"/>
  <c r="J9387" i="4"/>
  <c r="J9349" i="4"/>
  <c r="J9330" i="4"/>
  <c r="J9311" i="4"/>
  <c r="J11776" i="4"/>
  <c r="J11696" i="4"/>
  <c r="J11541" i="4"/>
  <c r="J11469" i="4"/>
  <c r="J11401" i="4"/>
  <c r="J11190" i="4"/>
  <c r="J11122" i="4"/>
  <c r="J11053" i="4"/>
  <c r="J10917" i="4"/>
  <c r="J10849" i="4"/>
  <c r="J10781" i="4"/>
  <c r="J10713" i="4"/>
  <c r="J10645" i="4"/>
  <c r="J10577" i="4"/>
  <c r="J10509" i="4"/>
  <c r="J10441" i="4"/>
  <c r="J10373" i="4"/>
  <c r="J10305" i="4"/>
  <c r="J10287" i="4"/>
  <c r="J10269" i="4"/>
  <c r="J10251" i="4"/>
  <c r="J10233" i="4"/>
  <c r="J10197" i="4"/>
  <c r="J10179" i="4"/>
  <c r="J10161" i="4"/>
  <c r="J10143" i="4"/>
  <c r="J10125" i="4"/>
  <c r="J10107" i="4"/>
  <c r="J10089" i="4"/>
  <c r="J10071" i="4"/>
  <c r="J10053" i="4"/>
  <c r="J10035" i="4"/>
  <c r="J10017" i="4"/>
  <c r="J9949" i="4"/>
  <c r="J9881" i="4"/>
  <c r="J9813" i="4"/>
  <c r="J9745" i="4"/>
  <c r="J9672" i="4"/>
  <c r="J9531" i="4"/>
  <c r="J9463" i="4"/>
  <c r="J9241" i="4"/>
  <c r="J9173" i="4"/>
  <c r="J9105" i="4"/>
  <c r="J9037" i="4"/>
  <c r="J9020" i="4"/>
  <c r="J8952" i="4"/>
  <c r="J8884" i="4"/>
  <c r="J8816" i="4"/>
  <c r="J8612" i="4"/>
  <c r="J8577" i="4"/>
  <c r="J8441" i="4"/>
  <c r="J8287" i="4"/>
  <c r="J8215" i="4"/>
  <c r="J8143" i="4"/>
  <c r="J8071" i="4"/>
  <c r="J7995" i="4"/>
  <c r="J7914" i="4"/>
  <c r="J11816" i="4"/>
  <c r="J11736" i="4"/>
  <c r="J11656" i="4"/>
  <c r="J11577" i="4"/>
  <c r="J11505" i="4"/>
  <c r="J11435" i="4"/>
  <c r="J11367" i="4"/>
  <c r="J11296" i="4"/>
  <c r="J11224" i="4"/>
  <c r="J11156" i="4"/>
  <c r="J11087" i="4"/>
  <c r="J11019" i="4"/>
  <c r="J10951" i="4"/>
  <c r="J10883" i="4"/>
  <c r="J10815" i="4"/>
  <c r="J10747" i="4"/>
  <c r="J10679" i="4"/>
  <c r="J10611" i="4"/>
  <c r="J10543" i="4"/>
  <c r="J10475" i="4"/>
  <c r="J10407" i="4"/>
  <c r="J10339" i="4"/>
  <c r="J9983" i="4"/>
  <c r="J9915" i="4"/>
  <c r="J9847" i="4"/>
  <c r="J9779" i="4"/>
  <c r="J9708" i="4"/>
  <c r="J9636" i="4"/>
  <c r="J9565" i="4"/>
  <c r="J9497" i="4"/>
  <c r="J9275" i="4"/>
  <c r="J9207" i="4"/>
  <c r="J9139" i="4"/>
  <c r="J9071" i="4"/>
  <c r="J8986" i="4"/>
  <c r="J8918" i="4"/>
  <c r="J8850" i="4"/>
  <c r="J8782" i="4"/>
  <c r="J8714" i="4"/>
  <c r="J8646" i="4"/>
  <c r="J8543" i="4"/>
  <c r="J8475" i="4"/>
  <c r="J8407" i="4"/>
  <c r="J8327" i="4"/>
  <c r="J8251" i="4"/>
  <c r="J8179" i="4"/>
  <c r="J8107" i="4"/>
  <c r="J8035" i="4"/>
  <c r="J7951" i="4"/>
  <c r="J7875" i="4"/>
  <c r="J7800" i="4"/>
  <c r="J7722" i="4"/>
  <c r="J7541" i="4"/>
  <c r="J7460" i="4"/>
  <c r="J7386" i="4"/>
  <c r="J7259" i="4"/>
  <c r="J7162" i="4"/>
  <c r="J11596" i="4"/>
  <c r="J11452" i="4"/>
  <c r="J11314" i="4"/>
  <c r="J11036" i="4"/>
  <c r="J10900" i="4"/>
  <c r="J10764" i="4"/>
  <c r="J10628" i="4"/>
  <c r="J10492" i="4"/>
  <c r="J10356" i="4"/>
  <c r="J9932" i="4"/>
  <c r="J9654" i="4"/>
  <c r="J9514" i="4"/>
  <c r="J9407" i="4"/>
  <c r="J9331" i="4"/>
  <c r="J9224" i="4"/>
  <c r="J9088" i="4"/>
  <c r="J8901" i="4"/>
  <c r="J8765" i="4"/>
  <c r="J8629" i="4"/>
  <c r="J8560" i="4"/>
  <c r="J8424" i="4"/>
  <c r="J7595" i="4"/>
  <c r="J7424" i="4"/>
  <c r="J7208" i="4"/>
  <c r="J7029" i="4"/>
  <c r="J6958" i="4"/>
  <c r="J6890" i="4"/>
  <c r="J6786" i="4"/>
  <c r="J6718" i="4"/>
  <c r="J6640" i="4"/>
  <c r="J6566" i="4"/>
  <c r="J6493" i="4"/>
  <c r="J6417" i="4"/>
  <c r="J6338" i="4"/>
  <c r="J6264" i="4"/>
  <c r="J6190" i="4"/>
  <c r="J6082" i="4"/>
  <c r="J5948" i="4"/>
  <c r="J5874" i="4"/>
  <c r="J5802" i="4"/>
  <c r="J11989" i="4"/>
  <c r="J11972" i="4"/>
  <c r="J11955" i="4"/>
  <c r="J11938" i="4"/>
  <c r="J11921" i="4"/>
  <c r="J11904" i="4"/>
  <c r="J11887" i="4"/>
  <c r="J11870" i="4"/>
  <c r="J11853" i="4"/>
  <c r="J11836" i="4"/>
  <c r="J11676" i="4"/>
  <c r="J11523" i="4"/>
  <c r="J11384" i="4"/>
  <c r="J11242" i="4"/>
  <c r="J11105" i="4"/>
  <c r="J10968" i="4"/>
  <c r="J10832" i="4"/>
  <c r="J10696" i="4"/>
  <c r="J10560" i="4"/>
  <c r="J10424" i="4"/>
  <c r="J10000" i="4"/>
  <c r="J9864" i="4"/>
  <c r="J9726" i="4"/>
  <c r="J9582" i="4"/>
  <c r="J9445" i="4"/>
  <c r="J9369" i="4"/>
  <c r="J9293" i="4"/>
  <c r="J9156" i="4"/>
  <c r="J8969" i="4"/>
  <c r="J8833" i="4"/>
  <c r="J8697" i="4"/>
  <c r="J8492" i="4"/>
  <c r="J7762" i="4"/>
  <c r="J7501" i="4"/>
  <c r="J7351" i="4"/>
  <c r="J6993" i="4"/>
  <c r="J6924" i="4"/>
  <c r="J6856" i="4"/>
  <c r="J6752" i="4"/>
  <c r="J6679" i="4"/>
  <c r="J6602" i="4"/>
  <c r="J6530" i="4"/>
  <c r="J6376" i="4"/>
  <c r="J6300" i="4"/>
  <c r="J6228" i="4"/>
  <c r="J6118" i="4"/>
  <c r="J5986" i="4"/>
  <c r="J5910" i="4"/>
  <c r="J5838" i="4"/>
  <c r="J5766" i="4"/>
  <c r="J5694" i="4"/>
  <c r="J5622" i="4"/>
  <c r="J5550" i="4"/>
  <c r="J11559" i="4"/>
  <c r="J11278" i="4"/>
  <c r="J11002" i="4"/>
  <c r="J10730" i="4"/>
  <c r="J10458" i="4"/>
  <c r="J9898" i="4"/>
  <c r="J9618" i="4"/>
  <c r="J9312" i="4"/>
  <c r="J9190" i="4"/>
  <c r="J8867" i="4"/>
  <c r="J8458" i="4"/>
  <c r="J6044" i="4"/>
  <c r="J6007" i="4"/>
  <c r="J5968" i="4"/>
  <c r="J5930" i="4"/>
  <c r="J5892" i="4"/>
  <c r="J5856" i="4"/>
  <c r="J5820" i="4"/>
  <c r="J5784" i="4"/>
  <c r="J5748" i="4"/>
  <c r="J5712" i="4"/>
  <c r="J5676" i="4"/>
  <c r="J5514" i="4"/>
  <c r="J5403" i="4"/>
  <c r="J5315" i="4"/>
  <c r="J5184" i="4"/>
  <c r="J5112" i="4"/>
  <c r="J5038" i="4"/>
  <c r="J4963" i="4"/>
  <c r="J4892" i="4"/>
  <c r="J4813" i="4"/>
  <c r="J4655" i="4"/>
  <c r="J4581" i="4"/>
  <c r="J4501" i="4"/>
  <c r="J4263" i="4"/>
  <c r="J4103" i="4"/>
  <c r="J4023" i="4"/>
  <c r="J3966" i="4"/>
  <c r="J3886" i="4"/>
  <c r="J3806" i="4"/>
  <c r="J3726" i="4"/>
  <c r="J3651" i="4"/>
  <c r="J3582" i="4"/>
  <c r="J3511" i="4"/>
  <c r="J3438" i="4"/>
  <c r="J3366" i="4"/>
  <c r="J3218" i="4"/>
  <c r="J3146" i="4"/>
  <c r="J3126" i="4"/>
  <c r="J3107" i="4"/>
  <c r="J3030" i="4"/>
  <c r="J2870" i="4"/>
  <c r="J2794" i="4"/>
  <c r="J2717" i="4"/>
  <c r="J2641" i="4"/>
  <c r="J2617" i="4"/>
  <c r="J2599" i="4"/>
  <c r="J2526" i="4"/>
  <c r="J2451" i="4"/>
  <c r="J2378" i="4"/>
  <c r="J2199" i="4"/>
  <c r="J1873" i="4"/>
  <c r="J1747" i="4"/>
  <c r="J1667" i="4"/>
  <c r="J1558" i="4"/>
  <c r="J1445" i="4"/>
  <c r="J1353" i="4"/>
  <c r="J1268" i="4"/>
  <c r="J1195" i="4"/>
  <c r="J1124" i="4"/>
  <c r="J1040" i="4"/>
  <c r="J940" i="4"/>
  <c r="J858" i="4"/>
  <c r="J709" i="4"/>
  <c r="J536" i="4"/>
  <c r="J504" i="4"/>
  <c r="J151" i="4"/>
  <c r="J1020" i="4"/>
  <c r="J838" i="4"/>
  <c r="J689" i="4"/>
  <c r="J630" i="4"/>
  <c r="J11796" i="4"/>
  <c r="J11487" i="4"/>
  <c r="J11207" i="4"/>
  <c r="J10934" i="4"/>
  <c r="J10662" i="4"/>
  <c r="J10390" i="4"/>
  <c r="J9830" i="4"/>
  <c r="J9548" i="4"/>
  <c r="J9426" i="4"/>
  <c r="J9122" i="4"/>
  <c r="J8799" i="4"/>
  <c r="J8390" i="4"/>
  <c r="J8369" i="4"/>
  <c r="J8348" i="4"/>
  <c r="J8307" i="4"/>
  <c r="J8269" i="4"/>
  <c r="J8233" i="4"/>
  <c r="J8197" i="4"/>
  <c r="J8125" i="4"/>
  <c r="J8089" i="4"/>
  <c r="J8053" i="4"/>
  <c r="J8017" i="4"/>
  <c r="J7973" i="4"/>
  <c r="J7934" i="4"/>
  <c r="J7896" i="4"/>
  <c r="J7818" i="4"/>
  <c r="J7782" i="4"/>
  <c r="J7703" i="4"/>
  <c r="J7559" i="4"/>
  <c r="J7520" i="4"/>
  <c r="J7480" i="4"/>
  <c r="J7442" i="4"/>
  <c r="J7405" i="4"/>
  <c r="J7369" i="4"/>
  <c r="J7278" i="4"/>
  <c r="J7242" i="4"/>
  <c r="J7225" i="4"/>
  <c r="J7185" i="4"/>
  <c r="J7145" i="4"/>
  <c r="J7130" i="4"/>
  <c r="J7115" i="4"/>
  <c r="J7098" i="4"/>
  <c r="J7064" i="4"/>
  <c r="J7047" i="4"/>
  <c r="J7011" i="4"/>
  <c r="J6975" i="4"/>
  <c r="J6941" i="4"/>
  <c r="J6907" i="4"/>
  <c r="J6873" i="4"/>
  <c r="J6839" i="4"/>
  <c r="J5640" i="4"/>
  <c r="J5496" i="4"/>
  <c r="J5460" i="4"/>
  <c r="J5386" i="4"/>
  <c r="J5297" i="4"/>
  <c r="J5166" i="4"/>
  <c r="J5094" i="4"/>
  <c r="J5019" i="4"/>
  <c r="J4945" i="4"/>
  <c r="J4873" i="4"/>
  <c r="J4793" i="4"/>
  <c r="J4713" i="4"/>
  <c r="J4637" i="4"/>
  <c r="J4561" i="4"/>
  <c r="J4481" i="4"/>
  <c r="J4381" i="4"/>
  <c r="J4163" i="4"/>
  <c r="J4083" i="4"/>
  <c r="J4004" i="4"/>
  <c r="J3866" i="4"/>
  <c r="J3786" i="4"/>
  <c r="J3707" i="4"/>
  <c r="J3634" i="4"/>
  <c r="J3565" i="4"/>
  <c r="J3420" i="4"/>
  <c r="J3347" i="4"/>
  <c r="J3272" i="4"/>
  <c r="J3200" i="4"/>
  <c r="J3088" i="4"/>
  <c r="J2930" i="4"/>
  <c r="J2851" i="4"/>
  <c r="J2775" i="4"/>
  <c r="J2698" i="4"/>
  <c r="J2581" i="4"/>
  <c r="J2507" i="4"/>
  <c r="J2434" i="4"/>
  <c r="J2361" i="4"/>
  <c r="J2182" i="4"/>
  <c r="J2163" i="4"/>
  <c r="J2015" i="4"/>
  <c r="J1856" i="4"/>
  <c r="J1727" i="4"/>
  <c r="J1642" i="4"/>
  <c r="J1529" i="4"/>
  <c r="J1419" i="4"/>
  <c r="J1331" i="4"/>
  <c r="J1249" i="4"/>
  <c r="J1178" i="4"/>
  <c r="J1101" i="4"/>
  <c r="J920" i="4"/>
  <c r="J592" i="4"/>
  <c r="J11350" i="4"/>
  <c r="J10798" i="4"/>
  <c r="J8935" i="4"/>
  <c r="J6821" i="4"/>
  <c r="J2271" i="4"/>
  <c r="J2147" i="4"/>
  <c r="J611" i="4"/>
  <c r="J277" i="4"/>
  <c r="J175" i="4"/>
  <c r="J4223" i="4"/>
  <c r="J4143" i="4"/>
  <c r="J2216" i="4"/>
  <c r="J1839" i="4"/>
  <c r="J1824" i="4"/>
  <c r="J1789" i="4"/>
  <c r="J1707" i="4"/>
  <c r="J1616" i="4"/>
  <c r="J1231" i="4"/>
  <c r="J1161" i="4"/>
  <c r="J1080" i="4"/>
  <c r="J980" i="4"/>
  <c r="J373" i="4"/>
  <c r="J310" i="4"/>
  <c r="J263" i="4"/>
  <c r="J11070" i="4"/>
  <c r="J9388" i="4"/>
  <c r="J9258" i="4"/>
  <c r="J8663" i="4"/>
  <c r="J5586" i="4"/>
  <c r="J5422" i="4"/>
  <c r="J5257" i="4"/>
  <c r="J5130" i="4"/>
  <c r="J5057" i="4"/>
  <c r="J4981" i="4"/>
  <c r="J4203" i="4"/>
  <c r="J4123" i="4"/>
  <c r="J4043" i="4"/>
  <c r="J3926" i="4"/>
  <c r="J3069" i="4"/>
  <c r="J2990" i="4"/>
  <c r="J2910" i="4"/>
  <c r="J2756" i="4"/>
  <c r="J2679" i="4"/>
  <c r="J2563" i="4"/>
  <c r="J2488" i="4"/>
  <c r="J2415" i="4"/>
  <c r="J2344" i="4"/>
  <c r="J2310" i="4"/>
  <c r="J1687" i="4"/>
  <c r="J1587" i="4"/>
  <c r="J1060" i="4"/>
  <c r="J960" i="4"/>
  <c r="J573" i="4"/>
  <c r="J59" i="4"/>
  <c r="J10866" i="4"/>
  <c r="J9054" i="4"/>
  <c r="J3599" i="4"/>
  <c r="J3456" i="4"/>
  <c r="J3384" i="4"/>
  <c r="J3309" i="4"/>
  <c r="J2890" i="4"/>
  <c r="J2813" i="4"/>
  <c r="J2660" i="4"/>
  <c r="J2545" i="4"/>
  <c r="J2469" i="4"/>
  <c r="J472" i="4"/>
  <c r="J415" i="4"/>
  <c r="J387" i="4"/>
  <c r="J131" i="4"/>
  <c r="J11716" i="4"/>
  <c r="J11139" i="4"/>
  <c r="J8731" i="4"/>
  <c r="J8594" i="4"/>
  <c r="J6769" i="4"/>
  <c r="J6735" i="4"/>
  <c r="J6697" i="4"/>
  <c r="J6620" i="4"/>
  <c r="J6584" i="4"/>
  <c r="J6548" i="4"/>
  <c r="J6436" i="4"/>
  <c r="J6396" i="4"/>
  <c r="J6318" i="4"/>
  <c r="J6282" i="4"/>
  <c r="J6246" i="4"/>
  <c r="J6136" i="4"/>
  <c r="J6100" i="4"/>
  <c r="J6064" i="4"/>
  <c r="J5277" i="4"/>
  <c r="J5148" i="4"/>
  <c r="J4928" i="4"/>
  <c r="J4854" i="4"/>
  <c r="J4693" i="4"/>
  <c r="J4619" i="4"/>
  <c r="J4541" i="4"/>
  <c r="J4063" i="4"/>
  <c r="J3985" i="4"/>
  <c r="J1500" i="4"/>
  <c r="J1398" i="4"/>
  <c r="J749" i="4"/>
  <c r="J669" i="4"/>
  <c r="J458" i="4"/>
  <c r="J345" i="4"/>
  <c r="J213" i="4"/>
  <c r="J11636" i="4"/>
  <c r="J10526" i="4"/>
  <c r="J9690" i="4"/>
  <c r="J8526" i="4"/>
  <c r="J4910" i="4"/>
  <c r="J4673" i="4"/>
  <c r="J4601" i="4"/>
  <c r="J4281" i="4"/>
  <c r="J3846" i="4"/>
  <c r="J3766" i="4"/>
  <c r="J3688" i="4"/>
  <c r="J3617" i="4"/>
  <c r="J3547" i="4"/>
  <c r="J3475" i="4"/>
  <c r="J3402" i="4"/>
  <c r="J3328" i="4"/>
  <c r="J3254" i="4"/>
  <c r="J2233" i="4"/>
  <c r="J1962" i="4"/>
  <c r="J1890" i="4"/>
  <c r="J1376" i="4"/>
  <c r="J1287" i="4"/>
  <c r="J1213" i="4"/>
  <c r="J878" i="4"/>
  <c r="J727" i="4"/>
  <c r="J649" i="4"/>
  <c r="J246" i="4"/>
  <c r="J11418" i="4"/>
  <c r="J9350" i="4"/>
  <c r="J5532" i="4"/>
  <c r="J3906" i="4"/>
  <c r="J3746" i="4"/>
  <c r="J3669" i="4"/>
  <c r="J3236" i="4"/>
  <c r="J2327" i="4"/>
  <c r="J2252" i="4"/>
  <c r="J359" i="4"/>
  <c r="J330" i="4"/>
  <c r="J2101" i="4"/>
  <c r="J2083" i="4"/>
  <c r="J2065" i="4"/>
  <c r="J1957" i="4"/>
  <c r="J2010" i="4"/>
  <c r="J1904" i="4"/>
  <c r="J2009" i="4"/>
  <c r="J1903" i="4"/>
  <c r="J2082" i="4"/>
  <c r="J1956" i="4"/>
  <c r="J2100" i="4"/>
  <c r="J11937" i="4"/>
  <c r="J11869" i="4"/>
  <c r="J10267" i="4"/>
  <c r="J10195" i="4"/>
  <c r="J10123" i="4"/>
  <c r="J10051" i="4"/>
  <c r="J9423" i="4"/>
  <c r="J11971" i="4"/>
  <c r="J11903" i="4"/>
  <c r="J11835" i="4"/>
  <c r="J11814" i="4"/>
  <c r="J11794" i="4"/>
  <c r="J11774" i="4"/>
  <c r="J11754" i="4"/>
  <c r="J11734" i="4"/>
  <c r="J11714" i="4"/>
  <c r="J11694" i="4"/>
  <c r="J11674" i="4"/>
  <c r="J11654" i="4"/>
  <c r="J11634" i="4"/>
  <c r="J11614" i="4"/>
  <c r="J11594" i="4"/>
  <c r="J11575" i="4"/>
  <c r="J11557" i="4"/>
  <c r="J11521" i="4"/>
  <c r="J11503" i="4"/>
  <c r="J11485" i="4"/>
  <c r="J11467" i="4"/>
  <c r="J11450" i="4"/>
  <c r="J11433" i="4"/>
  <c r="J11416" i="4"/>
  <c r="J11399" i="4"/>
  <c r="J11382" i="4"/>
  <c r="J11365" i="4"/>
  <c r="J11348" i="4"/>
  <c r="J11330" i="4"/>
  <c r="J11312" i="4"/>
  <c r="J11294" i="4"/>
  <c r="J11276" i="4"/>
  <c r="J11258" i="4"/>
  <c r="J11240" i="4"/>
  <c r="J11222" i="4"/>
  <c r="J11205" i="4"/>
  <c r="J11188" i="4"/>
  <c r="J11171" i="4"/>
  <c r="J11154" i="4"/>
  <c r="J11137" i="4"/>
  <c r="J11120" i="4"/>
  <c r="J11103" i="4"/>
  <c r="J11085" i="4"/>
  <c r="J11068" i="4"/>
  <c r="J11051" i="4"/>
  <c r="J11034" i="4"/>
  <c r="J11017" i="4"/>
  <c r="J11000" i="4"/>
  <c r="J10983" i="4"/>
  <c r="J10966" i="4"/>
  <c r="J10949" i="4"/>
  <c r="J10932" i="4"/>
  <c r="J10898" i="4"/>
  <c r="J10881" i="4"/>
  <c r="J10864" i="4"/>
  <c r="J10847" i="4"/>
  <c r="J10830" i="4"/>
  <c r="J10813" i="4"/>
  <c r="J10796" i="4"/>
  <c r="J10779" i="4"/>
  <c r="J10762" i="4"/>
  <c r="J10745" i="4"/>
  <c r="J10728" i="4"/>
  <c r="J10694" i="4"/>
  <c r="J10677" i="4"/>
  <c r="J10660" i="4"/>
  <c r="J10643" i="4"/>
  <c r="J10626" i="4"/>
  <c r="J10609" i="4"/>
  <c r="J10592" i="4"/>
  <c r="J10575" i="4"/>
  <c r="J10558" i="4"/>
  <c r="J10541" i="4"/>
  <c r="J10524" i="4"/>
  <c r="J10507" i="4"/>
  <c r="J10490" i="4"/>
  <c r="J10473" i="4"/>
  <c r="J10456" i="4"/>
  <c r="J10439" i="4"/>
  <c r="J10422" i="4"/>
  <c r="J10405" i="4"/>
  <c r="J10388" i="4"/>
  <c r="J11886" i="4"/>
  <c r="J10285" i="4"/>
  <c r="J10177" i="4"/>
  <c r="J10087" i="4"/>
  <c r="J9442" i="4"/>
  <c r="J9347" i="4"/>
  <c r="J8345" i="4"/>
  <c r="J8304" i="4"/>
  <c r="J8266" i="4"/>
  <c r="J8230" i="4"/>
  <c r="J8194" i="4"/>
  <c r="J8158" i="4"/>
  <c r="J8122" i="4"/>
  <c r="J8086" i="4"/>
  <c r="J8050" i="4"/>
  <c r="J8014" i="4"/>
  <c r="J7970" i="4"/>
  <c r="J7931" i="4"/>
  <c r="J7893" i="4"/>
  <c r="J7854" i="4"/>
  <c r="J7815" i="4"/>
  <c r="J7779" i="4"/>
  <c r="J7739" i="4"/>
  <c r="J7700" i="4"/>
  <c r="J7556" i="4"/>
  <c r="J7517" i="4"/>
  <c r="J7477" i="4"/>
  <c r="J7439" i="4"/>
  <c r="J7402" i="4"/>
  <c r="J7366" i="4"/>
  <c r="J7275" i="4"/>
  <c r="J7144" i="4"/>
  <c r="J7095" i="4"/>
  <c r="J7061" i="4"/>
  <c r="J7026" i="4"/>
  <c r="J6990" i="4"/>
  <c r="J6955" i="4"/>
  <c r="J6921" i="4"/>
  <c r="J6887" i="4"/>
  <c r="J6853" i="4"/>
  <c r="J6800" i="4"/>
  <c r="J6766" i="4"/>
  <c r="J6732" i="4"/>
  <c r="J6694" i="4"/>
  <c r="J6657" i="4"/>
  <c r="J6617" i="4"/>
  <c r="J6581" i="4"/>
  <c r="J6545" i="4"/>
  <c r="J6509" i="4"/>
  <c r="J6471" i="4"/>
  <c r="J6433" i="4"/>
  <c r="J6393" i="4"/>
  <c r="J6355" i="4"/>
  <c r="J6315" i="4"/>
  <c r="J6279" i="4"/>
  <c r="J6243" i="4"/>
  <c r="J6206" i="4"/>
  <c r="J6133" i="4"/>
  <c r="J6097" i="4"/>
  <c r="J6061" i="4"/>
  <c r="J3943" i="4"/>
  <c r="J3903" i="4"/>
  <c r="J3863" i="4"/>
  <c r="J3823" i="4"/>
  <c r="J3743" i="4"/>
  <c r="J3704" i="4"/>
  <c r="J3666" i="4"/>
  <c r="J3631" i="4"/>
  <c r="J3596" i="4"/>
  <c r="J3562" i="4"/>
  <c r="J3526" i="4"/>
  <c r="J3490" i="4"/>
  <c r="J3453" i="4"/>
  <c r="J3417" i="4"/>
  <c r="J3381" i="4"/>
  <c r="J3344" i="4"/>
  <c r="J3306" i="4"/>
  <c r="J3269" i="4"/>
  <c r="J3233" i="4"/>
  <c r="J3197" i="4"/>
  <c r="J3161" i="4"/>
  <c r="J3104" i="4"/>
  <c r="J3066" i="4"/>
  <c r="J3027" i="4"/>
  <c r="J11954" i="4"/>
  <c r="J10231" i="4"/>
  <c r="J10141" i="4"/>
  <c r="J10033" i="4"/>
  <c r="J9385" i="4"/>
  <c r="J9309" i="4"/>
  <c r="J9290" i="4"/>
  <c r="J9273" i="4"/>
  <c r="J9256" i="4"/>
  <c r="J9239" i="4"/>
  <c r="J9222" i="4"/>
  <c r="J9205" i="4"/>
  <c r="J9188" i="4"/>
  <c r="J9171" i="4"/>
  <c r="J9154" i="4"/>
  <c r="J9137" i="4"/>
  <c r="J9120" i="4"/>
  <c r="J9103" i="4"/>
  <c r="J9086" i="4"/>
  <c r="J9069" i="4"/>
  <c r="J9052" i="4"/>
  <c r="J9035" i="4"/>
  <c r="J8367" i="4"/>
  <c r="J8324" i="4"/>
  <c r="J8284" i="4"/>
  <c r="J8248" i="4"/>
  <c r="J8212" i="4"/>
  <c r="J8176" i="4"/>
  <c r="J8140" i="4"/>
  <c r="J8104" i="4"/>
  <c r="J8068" i="4"/>
  <c r="J8032" i="4"/>
  <c r="J7992" i="4"/>
  <c r="J7948" i="4"/>
  <c r="J7911" i="4"/>
  <c r="J7872" i="4"/>
  <c r="J7836" i="4"/>
  <c r="J7797" i="4"/>
  <c r="J7759" i="4"/>
  <c r="J7719" i="4"/>
  <c r="J7592" i="4"/>
  <c r="J7538" i="4"/>
  <c r="J7498" i="4"/>
  <c r="J7457" i="4"/>
  <c r="J7421" i="4"/>
  <c r="J7383" i="4"/>
  <c r="J7348" i="4"/>
  <c r="J7256" i="4"/>
  <c r="J7114" i="4"/>
  <c r="J7078" i="4"/>
  <c r="J7044" i="4"/>
  <c r="J7008" i="4"/>
  <c r="J6972" i="4"/>
  <c r="J6938" i="4"/>
  <c r="J6904" i="4"/>
  <c r="J6836" i="4"/>
  <c r="J6783" i="4"/>
  <c r="J6749" i="4"/>
  <c r="J6715" i="4"/>
  <c r="J6676" i="4"/>
  <c r="J6637" i="4"/>
  <c r="J6599" i="4"/>
  <c r="J6563" i="4"/>
  <c r="J6527" i="4"/>
  <c r="J6490" i="4"/>
  <c r="J6452" i="4"/>
  <c r="J6414" i="4"/>
  <c r="J6373" i="4"/>
  <c r="J6335" i="4"/>
  <c r="J6297" i="4"/>
  <c r="J6261" i="4"/>
  <c r="J6225" i="4"/>
  <c r="J6187" i="4"/>
  <c r="J6115" i="4"/>
  <c r="J6079" i="4"/>
  <c r="J3963" i="4"/>
  <c r="J3923" i="4"/>
  <c r="J3883" i="4"/>
  <c r="J3843" i="4"/>
  <c r="J3803" i="4"/>
  <c r="J3763" i="4"/>
  <c r="J3723" i="4"/>
  <c r="J3685" i="4"/>
  <c r="J3648" i="4"/>
  <c r="J3614" i="4"/>
  <c r="J3579" i="4"/>
  <c r="J10159" i="4"/>
  <c r="J9404" i="4"/>
  <c r="J7241" i="4"/>
  <c r="J7205" i="4"/>
  <c r="J7159" i="4"/>
  <c r="J6818" i="4"/>
  <c r="J3544" i="4"/>
  <c r="J3399" i="4"/>
  <c r="J3251" i="4"/>
  <c r="J3085" i="4"/>
  <c r="J2987" i="4"/>
  <c r="J2947" i="4"/>
  <c r="J2907" i="4"/>
  <c r="J2867" i="4"/>
  <c r="J2829" i="4"/>
  <c r="J2791" i="4"/>
  <c r="J2753" i="4"/>
  <c r="J2714" i="4"/>
  <c r="J2676" i="4"/>
  <c r="J2638" i="4"/>
  <c r="J2578" i="4"/>
  <c r="J2542" i="4"/>
  <c r="J2504" i="4"/>
  <c r="J2466" i="4"/>
  <c r="J2431" i="4"/>
  <c r="J2394" i="4"/>
  <c r="J2358" i="4"/>
  <c r="J2324" i="4"/>
  <c r="J2249" i="4"/>
  <c r="J2196" i="4"/>
  <c r="J2098" i="4"/>
  <c r="J589" i="4"/>
  <c r="J520" i="4"/>
  <c r="J501" i="4"/>
  <c r="J428" i="4"/>
  <c r="J372" i="4"/>
  <c r="J290" i="4"/>
  <c r="J262" i="4"/>
  <c r="J32" i="4"/>
  <c r="J11988" i="4"/>
  <c r="J10371" i="4"/>
  <c r="J10354" i="4"/>
  <c r="J10337" i="4"/>
  <c r="J10320" i="4"/>
  <c r="J10303" i="4"/>
  <c r="J10105" i="4"/>
  <c r="J9366" i="4"/>
  <c r="J8592" i="4"/>
  <c r="J8575" i="4"/>
  <c r="J8558" i="4"/>
  <c r="J8541" i="4"/>
  <c r="J8524" i="4"/>
  <c r="J8507" i="4"/>
  <c r="J8490" i="4"/>
  <c r="J8473" i="4"/>
  <c r="J8456" i="4"/>
  <c r="J8439" i="4"/>
  <c r="J8422" i="4"/>
  <c r="J8405" i="4"/>
  <c r="J8388" i="4"/>
  <c r="J7129" i="4"/>
  <c r="J6023" i="4"/>
  <c r="J5983" i="4"/>
  <c r="J5945" i="4"/>
  <c r="J5907" i="4"/>
  <c r="J5871" i="4"/>
  <c r="J5835" i="4"/>
  <c r="J5799" i="4"/>
  <c r="J5763" i="4"/>
  <c r="J5727" i="4"/>
  <c r="J5691" i="4"/>
  <c r="J5655" i="4"/>
  <c r="J5619" i="4"/>
  <c r="J5583" i="4"/>
  <c r="J5547" i="4"/>
  <c r="J5511" i="4"/>
  <c r="J5457" i="4"/>
  <c r="J5419" i="4"/>
  <c r="J5383" i="4"/>
  <c r="J5349" i="4"/>
  <c r="J5294" i="4"/>
  <c r="J5254" i="4"/>
  <c r="J5163" i="4"/>
  <c r="J5127" i="4"/>
  <c r="J5091" i="4"/>
  <c r="J5054" i="4"/>
  <c r="J5016" i="4"/>
  <c r="J4978" i="4"/>
  <c r="J4942" i="4"/>
  <c r="J4907" i="4"/>
  <c r="J4870" i="4"/>
  <c r="J4831" i="4"/>
  <c r="J4790" i="4"/>
  <c r="J4750" i="4"/>
  <c r="J4710" i="4"/>
  <c r="J4670" i="4"/>
  <c r="J4634" i="4"/>
  <c r="J4598" i="4"/>
  <c r="J4558" i="4"/>
  <c r="J4518" i="4"/>
  <c r="J4478" i="4"/>
  <c r="J4438" i="4"/>
  <c r="J4378" i="4"/>
  <c r="J4278" i="4"/>
  <c r="J4240" i="4"/>
  <c r="J4200" i="4"/>
  <c r="J4160" i="4"/>
  <c r="J4120" i="4"/>
  <c r="J4080" i="4"/>
  <c r="J4040" i="4"/>
  <c r="J4001" i="4"/>
  <c r="J3435" i="4"/>
  <c r="J3287" i="4"/>
  <c r="J3143" i="4"/>
  <c r="J2614" i="4"/>
  <c r="J2307" i="4"/>
  <c r="J2230" i="4"/>
  <c r="J2179" i="4"/>
  <c r="J2080" i="4"/>
  <c r="J1905" i="4"/>
  <c r="J1837" i="4"/>
  <c r="J1786" i="4"/>
  <c r="J1744" i="4"/>
  <c r="J1704" i="4"/>
  <c r="J1664" i="4"/>
  <c r="J1611" i="4"/>
  <c r="J1553" i="4"/>
  <c r="J1495" i="4"/>
  <c r="J1440" i="4"/>
  <c r="J1395" i="4"/>
  <c r="J1350" i="4"/>
  <c r="J1306" i="4"/>
  <c r="J1265" i="4"/>
  <c r="J11920" i="4"/>
  <c r="J10249" i="4"/>
  <c r="J10069" i="4"/>
  <c r="J9328" i="4"/>
  <c r="J7222" i="4"/>
  <c r="J7182" i="4"/>
  <c r="J3472" i="4"/>
  <c r="J3325" i="4"/>
  <c r="J3179" i="4"/>
  <c r="J3123" i="4"/>
  <c r="J3007" i="4"/>
  <c r="J2967" i="4"/>
  <c r="J2927" i="4"/>
  <c r="J2887" i="4"/>
  <c r="J2848" i="4"/>
  <c r="J2810" i="4"/>
  <c r="J2772" i="4"/>
  <c r="J2733" i="4"/>
  <c r="J2695" i="4"/>
  <c r="J2657" i="4"/>
  <c r="J2596" i="4"/>
  <c r="J2560" i="4"/>
  <c r="J2523" i="4"/>
  <c r="J2485" i="4"/>
  <c r="J2448" i="4"/>
  <c r="J2412" i="4"/>
  <c r="J2375" i="4"/>
  <c r="J2341" i="4"/>
  <c r="J2288" i="4"/>
  <c r="J2213" i="4"/>
  <c r="J2062" i="4"/>
  <c r="J1958" i="4"/>
  <c r="J1869" i="4"/>
  <c r="J1822" i="4"/>
  <c r="J627" i="4"/>
  <c r="J551" i="4"/>
  <c r="J457" i="4"/>
  <c r="J400" i="4"/>
  <c r="J344" i="4"/>
  <c r="J276" i="4"/>
  <c r="J245" i="4"/>
  <c r="J78" i="4"/>
  <c r="J11852" i="4"/>
  <c r="J10213" i="4"/>
  <c r="J10015" i="4"/>
  <c r="J9998" i="4"/>
  <c r="J9981" i="4"/>
  <c r="J9964" i="4"/>
  <c r="J9947" i="4"/>
  <c r="J9930" i="4"/>
  <c r="J9913" i="4"/>
  <c r="J9896" i="4"/>
  <c r="J9879" i="4"/>
  <c r="J9862" i="4"/>
  <c r="J9828" i="4"/>
  <c r="J9811" i="4"/>
  <c r="J9794" i="4"/>
  <c r="J9777" i="4"/>
  <c r="J9760" i="4"/>
  <c r="J9743" i="4"/>
  <c r="J9724" i="4"/>
  <c r="J9688" i="4"/>
  <c r="J9670" i="4"/>
  <c r="J9652" i="4"/>
  <c r="J9634" i="4"/>
  <c r="J9616" i="4"/>
  <c r="J9598" i="4"/>
  <c r="J9580" i="4"/>
  <c r="J9563" i="4"/>
  <c r="J9546" i="4"/>
  <c r="J9529" i="4"/>
  <c r="J9512" i="4"/>
  <c r="J9495" i="4"/>
  <c r="J9478" i="4"/>
  <c r="J9461" i="4"/>
  <c r="J9018" i="4"/>
  <c r="J9001" i="4"/>
  <c r="J8984" i="4"/>
  <c r="J8967" i="4"/>
  <c r="J8950" i="4"/>
  <c r="J8933" i="4"/>
  <c r="J8916" i="4"/>
  <c r="J8899" i="4"/>
  <c r="J8882" i="4"/>
  <c r="J8865" i="4"/>
  <c r="J8848" i="4"/>
  <c r="J8831" i="4"/>
  <c r="J8814" i="4"/>
  <c r="J8797" i="4"/>
  <c r="J8780" i="4"/>
  <c r="J8763" i="4"/>
  <c r="J8746" i="4"/>
  <c r="J8712" i="4"/>
  <c r="J8695" i="4"/>
  <c r="J8678" i="4"/>
  <c r="J8644" i="4"/>
  <c r="J8627" i="4"/>
  <c r="J8610" i="4"/>
  <c r="J6041" i="4"/>
  <c r="J6004" i="4"/>
  <c r="J5965" i="4"/>
  <c r="J5927" i="4"/>
  <c r="J5889" i="4"/>
  <c r="J5853" i="4"/>
  <c r="J5817" i="4"/>
  <c r="J5781" i="4"/>
  <c r="J5745" i="4"/>
  <c r="J5709" i="4"/>
  <c r="J5673" i="4"/>
  <c r="J5637" i="4"/>
  <c r="J5601" i="4"/>
  <c r="J5565" i="4"/>
  <c r="J5529" i="4"/>
  <c r="J5493" i="4"/>
  <c r="J5438" i="4"/>
  <c r="J5400" i="4"/>
  <c r="J5366" i="4"/>
  <c r="J5312" i="4"/>
  <c r="J5274" i="4"/>
  <c r="J5181" i="4"/>
  <c r="J5145" i="4"/>
  <c r="J5109" i="4"/>
  <c r="J5073" i="4"/>
  <c r="J5035" i="4"/>
  <c r="J4997" i="4"/>
  <c r="J4960" i="4"/>
  <c r="J4925" i="4"/>
  <c r="J4889" i="4"/>
  <c r="J4851" i="4"/>
  <c r="J4810" i="4"/>
  <c r="J4770" i="4"/>
  <c r="J4730" i="4"/>
  <c r="J4690" i="4"/>
  <c r="J4652" i="4"/>
  <c r="J4616" i="4"/>
  <c r="J4578" i="4"/>
  <c r="J4538" i="4"/>
  <c r="J4498" i="4"/>
  <c r="J4458" i="4"/>
  <c r="J4398" i="4"/>
  <c r="J4298" i="4"/>
  <c r="J4260" i="4"/>
  <c r="J4220" i="4"/>
  <c r="J4180" i="4"/>
  <c r="J4140" i="4"/>
  <c r="J4100" i="4"/>
  <c r="J4060" i="4"/>
  <c r="J4020" i="4"/>
  <c r="J3982" i="4"/>
  <c r="J3508" i="4"/>
  <c r="J3363" i="4"/>
  <c r="J3215" i="4"/>
  <c r="J3047" i="4"/>
  <c r="J2268" i="4"/>
  <c r="J2011" i="4"/>
  <c r="J1807" i="4"/>
  <c r="J1766" i="4"/>
  <c r="J1724" i="4"/>
  <c r="J1684" i="4"/>
  <c r="J1637" i="4"/>
  <c r="J1582" i="4"/>
  <c r="J1414" i="4"/>
  <c r="J1246" i="4"/>
  <c r="J1210" i="4"/>
  <c r="J1175" i="4"/>
  <c r="J1141" i="4"/>
  <c r="J1098" i="4"/>
  <c r="J1057" i="4"/>
  <c r="J1017" i="4"/>
  <c r="J957" i="4"/>
  <c r="J917" i="4"/>
  <c r="J875" i="4"/>
  <c r="J835" i="4"/>
  <c r="J724" i="4"/>
  <c r="J686" i="4"/>
  <c r="J646" i="4"/>
  <c r="J443" i="4"/>
  <c r="J329" i="4"/>
  <c r="J307" i="4"/>
  <c r="J196" i="4"/>
  <c r="J172" i="4"/>
  <c r="J1466" i="4"/>
  <c r="J1284" i="4"/>
  <c r="J608" i="4"/>
  <c r="J414" i="4"/>
  <c r="J128" i="4"/>
  <c r="J1328" i="4"/>
  <c r="J1228" i="4"/>
  <c r="J1192" i="4"/>
  <c r="J1158" i="4"/>
  <c r="J1121" i="4"/>
  <c r="J1077" i="4"/>
  <c r="J1037" i="4"/>
  <c r="J977" i="4"/>
  <c r="J937" i="4"/>
  <c r="J897" i="4"/>
  <c r="J855" i="4"/>
  <c r="J746" i="4"/>
  <c r="J706" i="4"/>
  <c r="J666" i="4"/>
  <c r="J570" i="4"/>
  <c r="J386" i="4"/>
  <c r="J210" i="4"/>
  <c r="J1373" i="4"/>
  <c r="J535" i="4"/>
  <c r="J471" i="4"/>
  <c r="J358" i="4"/>
  <c r="J97" i="4"/>
  <c r="J148" i="4"/>
  <c r="J101" i="4"/>
  <c r="J35" i="4"/>
  <c r="J12" i="4"/>
  <c r="J2064" i="4"/>
  <c r="J10915" i="4"/>
  <c r="J10711" i="4"/>
  <c r="J9845" i="4"/>
  <c r="J8661" i="4"/>
  <c r="J9706" i="4"/>
  <c r="J6870" i="4"/>
  <c r="J8729" i="4"/>
  <c r="J11539" i="4"/>
  <c r="J3783" i="4"/>
  <c r="J1886" i="4"/>
  <c r="J1852" i="4"/>
  <c r="J1524" i="4"/>
  <c r="J2160" i="4"/>
  <c r="J11332" i="4"/>
  <c r="J11260" i="4"/>
  <c r="J10985" i="4"/>
  <c r="J11756" i="4"/>
  <c r="J10215" i="4"/>
  <c r="J9600" i="4"/>
  <c r="J10594" i="4"/>
  <c r="J9966" i="4"/>
  <c r="J9762" i="4"/>
  <c r="J10322" i="4"/>
  <c r="J9796" i="4"/>
  <c r="J8680" i="4"/>
  <c r="J8509" i="4"/>
  <c r="J11616" i="4"/>
  <c r="J11173" i="4"/>
  <c r="J9003" i="4"/>
  <c r="J7857" i="4"/>
  <c r="J7839" i="4"/>
  <c r="J7742" i="4"/>
  <c r="J6803" i="4"/>
  <c r="J9480" i="4"/>
  <c r="J6358" i="4"/>
  <c r="J5604" i="4"/>
  <c r="J4834" i="4"/>
  <c r="J8748" i="4"/>
  <c r="J7081" i="4"/>
  <c r="J6660" i="4"/>
  <c r="J6512" i="4"/>
  <c r="J6209" i="4"/>
  <c r="J5730" i="4"/>
  <c r="J5658" i="4"/>
  <c r="J5441" i="4"/>
  <c r="J5369" i="4"/>
  <c r="J5352" i="4"/>
  <c r="J5000" i="4"/>
  <c r="J4753" i="4"/>
  <c r="J4401" i="4"/>
  <c r="J6474" i="4"/>
  <c r="J6026" i="4"/>
  <c r="J5076" i="4"/>
  <c r="J4773" i="4"/>
  <c r="J4733" i="4"/>
  <c r="J4521" i="4"/>
  <c r="J4441" i="4"/>
  <c r="J4183" i="4"/>
  <c r="J8161" i="4"/>
  <c r="J4461" i="4"/>
  <c r="J4301" i="4"/>
  <c r="J3493" i="4"/>
  <c r="J3290" i="4"/>
  <c r="J3050" i="4"/>
  <c r="J2970" i="4"/>
  <c r="J1769" i="4"/>
  <c r="J1309" i="4"/>
  <c r="J5568" i="4"/>
  <c r="J3946" i="4"/>
  <c r="J3529" i="4"/>
  <c r="J3182" i="4"/>
  <c r="J3010" i="4"/>
  <c r="J2736" i="4"/>
  <c r="J2291" i="4"/>
  <c r="J1809" i="4"/>
  <c r="J2950" i="4"/>
  <c r="J2832" i="4"/>
  <c r="J2397" i="4"/>
  <c r="J1471" i="4"/>
  <c r="J401" i="4"/>
  <c r="J293" i="4"/>
  <c r="J4243" i="4"/>
  <c r="J1144" i="4"/>
  <c r="J521" i="4"/>
  <c r="J197" i="4"/>
  <c r="J3164" i="4"/>
  <c r="J1909" i="4"/>
  <c r="J429" i="4"/>
  <c r="J3826" i="4"/>
  <c r="J900" i="4"/>
  <c r="J554" i="4"/>
  <c r="J444" i="4"/>
  <c r="J81" i="4"/>
  <c r="J4081" i="4"/>
  <c r="J8214" i="4"/>
  <c r="J8160" i="4"/>
  <c r="J7558" i="4"/>
  <c r="J6189" i="4"/>
  <c r="J7856" i="4"/>
  <c r="J7594" i="4"/>
  <c r="J6855" i="4"/>
  <c r="J6281" i="4"/>
  <c r="J6117" i="4"/>
  <c r="J5819" i="4"/>
  <c r="J7799" i="4"/>
  <c r="J7184" i="4"/>
  <c r="J6099" i="4"/>
  <c r="J5967" i="4"/>
  <c r="J5855" i="4"/>
  <c r="J5783" i="4"/>
  <c r="J5385" i="4"/>
  <c r="J4202" i="4"/>
  <c r="J6245" i="4"/>
  <c r="J5183" i="4"/>
  <c r="J4692" i="4"/>
  <c r="J3925" i="4"/>
  <c r="J3765" i="4"/>
  <c r="J4102" i="4"/>
  <c r="J3825" i="4"/>
  <c r="J3616" i="4"/>
  <c r="J3235" i="4"/>
  <c r="J2831" i="4"/>
  <c r="J2793" i="4"/>
  <c r="J2562" i="4"/>
  <c r="J7080" i="4"/>
  <c r="J3745" i="4"/>
  <c r="J2909" i="4"/>
  <c r="J2812" i="4"/>
  <c r="J2309" i="4"/>
  <c r="J2198" i="4"/>
  <c r="J1788" i="4"/>
  <c r="J1615" i="4"/>
  <c r="J3706" i="4"/>
  <c r="J1889" i="4"/>
  <c r="J899" i="4"/>
  <c r="J708" i="4"/>
  <c r="J3725" i="4"/>
  <c r="J3437" i="4"/>
  <c r="J3365" i="4"/>
  <c r="J3327" i="4"/>
  <c r="J2929" i="4"/>
  <c r="J2716" i="4"/>
  <c r="J2487" i="4"/>
  <c r="J1686" i="4"/>
  <c r="J648" i="4"/>
  <c r="J229" i="4"/>
  <c r="J1308" i="4"/>
  <c r="J1160" i="4"/>
  <c r="J6940" i="4"/>
  <c r="J4280" i="4"/>
  <c r="J3668" i="4"/>
  <c r="J3650" i="4"/>
  <c r="J3401" i="4"/>
  <c r="J3106" i="4"/>
  <c r="J3087" i="4"/>
  <c r="J2889" i="4"/>
  <c r="J1194" i="4"/>
  <c r="J9444" i="4"/>
  <c r="J9425" i="4"/>
  <c r="J9368" i="4"/>
  <c r="J9091" i="4" l="1"/>
  <c r="J11438" i="4"/>
  <c r="J8873" i="4"/>
  <c r="J8635" i="4"/>
  <c r="J9145" i="4"/>
  <c r="J1733" i="4"/>
  <c r="J1915" i="4"/>
  <c r="J9281" i="4"/>
  <c r="J8396" i="4"/>
  <c r="J8839" i="4"/>
  <c r="J9060" i="4"/>
  <c r="J2089" i="4"/>
  <c r="J8703" i="4"/>
  <c r="J8669" i="4"/>
  <c r="J8566" i="4"/>
  <c r="J8600" i="4"/>
  <c r="J5916" i="4"/>
  <c r="J8464" i="4"/>
  <c r="J9643" i="4"/>
  <c r="J10481" i="4"/>
  <c r="J9785" i="4"/>
  <c r="J8924" i="4"/>
  <c r="J11544" i="4"/>
  <c r="J8498" i="4"/>
  <c r="J9077" i="4"/>
  <c r="J9111" i="4"/>
  <c r="J8788" i="4"/>
  <c r="J10345" i="4"/>
  <c r="J11231" i="4"/>
  <c r="J1969" i="4"/>
  <c r="J8618" i="4"/>
  <c r="J10276" i="4"/>
  <c r="J9697" i="4"/>
  <c r="J10753" i="4"/>
  <c r="J10114" i="4"/>
  <c r="J9589" i="4"/>
  <c r="J8737" i="4"/>
  <c r="J9057" i="4"/>
  <c r="J11642" i="4"/>
  <c r="J9125" i="4"/>
  <c r="J8856" i="4"/>
  <c r="J8720" i="4"/>
  <c r="J10617" i="4"/>
  <c r="J9921" i="4"/>
  <c r="J11604" i="4"/>
  <c r="J10237" i="4"/>
  <c r="J8515" i="4"/>
  <c r="J1673" i="4"/>
  <c r="J1362" i="4"/>
  <c r="J8870" i="4"/>
  <c r="J10447" i="4"/>
  <c r="J9751" i="4"/>
  <c r="J8771" i="4"/>
  <c r="J8887" i="4"/>
  <c r="J10379" i="4"/>
  <c r="J11424" i="4"/>
  <c r="J11373" i="4"/>
  <c r="J10495" i="4"/>
  <c r="J10168" i="4"/>
  <c r="J10478" i="4"/>
  <c r="J11702" i="4"/>
  <c r="J10222" i="4"/>
  <c r="J9486" i="4"/>
  <c r="J8907" i="4"/>
  <c r="J8853" i="4"/>
  <c r="J8447" i="4"/>
  <c r="J2107" i="4"/>
  <c r="J10855" i="4"/>
  <c r="J10311" i="4"/>
  <c r="J9733" i="4"/>
  <c r="J9469" i="4"/>
  <c r="J8481" i="4"/>
  <c r="J8904" i="4"/>
  <c r="J10060" i="4"/>
  <c r="J9955" i="4"/>
  <c r="J9376" i="4"/>
  <c r="J9836" i="4"/>
  <c r="J11785" i="4"/>
  <c r="J10634" i="4"/>
  <c r="J9043" i="4"/>
  <c r="J8413" i="4"/>
  <c r="J1916" i="4"/>
  <c r="J10204" i="4"/>
  <c r="J10719" i="4"/>
  <c r="J10042" i="4"/>
  <c r="J1693" i="4"/>
  <c r="J9711" i="4"/>
  <c r="J9625" i="4"/>
  <c r="J11230" i="4"/>
  <c r="J2240" i="4"/>
  <c r="J10804" i="4"/>
  <c r="J9162" i="4"/>
  <c r="J11584" i="4"/>
  <c r="J10362" i="4"/>
  <c r="J9679" i="4"/>
  <c r="J1968" i="4"/>
  <c r="J9537" i="4"/>
  <c r="J8583" i="4"/>
  <c r="J9213" i="4"/>
  <c r="J2120" i="4"/>
  <c r="J2022" i="4"/>
  <c r="J9074" i="4"/>
  <c r="J8822" i="4"/>
  <c r="J8532" i="4"/>
  <c r="J11764" i="4"/>
  <c r="J10583" i="4"/>
  <c r="J9887" i="4"/>
  <c r="J11390" i="4"/>
  <c r="J9338" i="4"/>
  <c r="J2134" i="4"/>
  <c r="J10651" i="4"/>
  <c r="J11722" i="4"/>
  <c r="J9935" i="4"/>
  <c r="J9009" i="4"/>
  <c r="J10532" i="4"/>
  <c r="J9938" i="4"/>
  <c r="J9142" i="4"/>
  <c r="J9040" i="4"/>
  <c r="J10549" i="4"/>
  <c r="J11356" i="4"/>
  <c r="J9901" i="4"/>
  <c r="J8958" i="4"/>
  <c r="J10096" i="4"/>
  <c r="J10464" i="4"/>
  <c r="J9870" i="4"/>
  <c r="J9357" i="4"/>
  <c r="J11924" i="4"/>
  <c r="J11583" i="4"/>
  <c r="J11335" i="4"/>
  <c r="J11458" i="4"/>
  <c r="J11248" i="4"/>
  <c r="J11890" i="4"/>
  <c r="J11566" i="4"/>
  <c r="J11662" i="4"/>
  <c r="J10838" i="4"/>
  <c r="J10872" i="4"/>
  <c r="J8430" i="4"/>
  <c r="J11284" i="4"/>
  <c r="J10258" i="4"/>
  <c r="J1713" i="4"/>
  <c r="J10273" i="4"/>
  <c r="J11339" i="4"/>
  <c r="J10461" i="4"/>
  <c r="J9554" i="4"/>
  <c r="J11605" i="4"/>
  <c r="J10078" i="4"/>
  <c r="J7391" i="4"/>
  <c r="J11704" i="4"/>
  <c r="J9693" i="4"/>
  <c r="J8652" i="4"/>
  <c r="J10413" i="4"/>
  <c r="J11303" i="4"/>
  <c r="J11802" i="4"/>
  <c r="J9503" i="4"/>
  <c r="J11508" i="4"/>
  <c r="J10328" i="4"/>
  <c r="J11210" i="4"/>
  <c r="J11493" i="4"/>
  <c r="J11624" i="4"/>
  <c r="J8941" i="4"/>
  <c r="J11476" i="4"/>
  <c r="J11407" i="4"/>
  <c r="J11455" i="4"/>
  <c r="J11321" i="4"/>
  <c r="J9196" i="4"/>
  <c r="J9094" i="4"/>
  <c r="J8805" i="4"/>
  <c r="J9853" i="4"/>
  <c r="J9986" i="4"/>
  <c r="J9768" i="4"/>
  <c r="J11530" i="4"/>
  <c r="J10566" i="4"/>
  <c r="J9571" i="4"/>
  <c r="J11299" i="4"/>
  <c r="J9128" i="4"/>
  <c r="J9395" i="4"/>
  <c r="J10430" i="4"/>
  <c r="J11562" i="4"/>
  <c r="J11076" i="4"/>
  <c r="J11475" i="4"/>
  <c r="J10988" i="4"/>
  <c r="J11725" i="4"/>
  <c r="J10971" i="4"/>
  <c r="J11193" i="4"/>
  <c r="J11039" i="4"/>
  <c r="J2071" i="4"/>
  <c r="J10685" i="4"/>
  <c r="J8975" i="4"/>
  <c r="J11941" i="4"/>
  <c r="J8754" i="4"/>
  <c r="J10821" i="4"/>
  <c r="J9230" i="4"/>
  <c r="J9661" i="4"/>
  <c r="J11128" i="4"/>
  <c r="J10736" i="4"/>
  <c r="J8992" i="4"/>
  <c r="J11529" i="4"/>
  <c r="J10294" i="4"/>
  <c r="J11472" i="4"/>
  <c r="J10529" i="4"/>
  <c r="J10546" i="4"/>
  <c r="J9607" i="4"/>
  <c r="J10940" i="4"/>
  <c r="J11093" i="4"/>
  <c r="J11622" i="4"/>
  <c r="J11245" i="4"/>
  <c r="J9247" i="4"/>
  <c r="J11145" i="4"/>
  <c r="J11682" i="4"/>
  <c r="J10444" i="4"/>
  <c r="J10991" i="4"/>
  <c r="J11684" i="4"/>
  <c r="J11059" i="4"/>
  <c r="J2279" i="4"/>
  <c r="J11404" i="4"/>
  <c r="J11705" i="4"/>
  <c r="J9264" i="4"/>
  <c r="J10498" i="4"/>
  <c r="J9300" i="4"/>
  <c r="J11822" i="4"/>
  <c r="J8890" i="4"/>
  <c r="J9433" i="4"/>
  <c r="J9639" i="4"/>
  <c r="J10427" i="4"/>
  <c r="J11511" i="4"/>
  <c r="J11267" i="4"/>
  <c r="J10906" i="4"/>
  <c r="J11664" i="4"/>
  <c r="J10957" i="4"/>
  <c r="J10132" i="4"/>
  <c r="J9969" i="4"/>
  <c r="J10006" i="4"/>
  <c r="J11338" i="4"/>
  <c r="J11975" i="4"/>
  <c r="J10512" i="4"/>
  <c r="J11025" i="4"/>
  <c r="J10515" i="4"/>
  <c r="J11824" i="4"/>
  <c r="J9657" i="4"/>
  <c r="J10974" i="4"/>
  <c r="J11765" i="4"/>
  <c r="J11782" i="4"/>
  <c r="J11249" i="4"/>
  <c r="J7410" i="4"/>
  <c r="J9176" i="4"/>
  <c r="J9884" i="4"/>
  <c r="J2021" i="4"/>
  <c r="J9918" i="4"/>
  <c r="J11320" i="4"/>
  <c r="J11625" i="4"/>
  <c r="J11162" i="4"/>
  <c r="J11580" i="4"/>
  <c r="J9108" i="4"/>
  <c r="J8686" i="4"/>
  <c r="J10787" i="4"/>
  <c r="J10003" i="4"/>
  <c r="J10668" i="4"/>
  <c r="J9179" i="4"/>
  <c r="J11805" i="4"/>
  <c r="J11724" i="4"/>
  <c r="J11526" i="4"/>
  <c r="J11784" i="4"/>
  <c r="J11856" i="4"/>
  <c r="J11873" i="4"/>
  <c r="J9603" i="4"/>
  <c r="J10600" i="4"/>
  <c r="J11665" i="4"/>
  <c r="J11196" i="4"/>
  <c r="J9159" i="4"/>
  <c r="J10563" i="4"/>
  <c r="J11992" i="4"/>
  <c r="J11266" i="4"/>
  <c r="J11744" i="4"/>
  <c r="J11441" i="4"/>
  <c r="J9819" i="4"/>
  <c r="J10396" i="4"/>
  <c r="J9585" i="4"/>
  <c r="J11958" i="4"/>
  <c r="J11213" i="4"/>
  <c r="J11005" i="4"/>
  <c r="J10186" i="4"/>
  <c r="J9729" i="4"/>
  <c r="J9972" i="4"/>
  <c r="J10770" i="4"/>
  <c r="J11645" i="4"/>
  <c r="J11176" i="4"/>
  <c r="J11421" i="4"/>
  <c r="J11263" i="4"/>
  <c r="J9989" i="4"/>
  <c r="J10255" i="4"/>
  <c r="J9904" i="4"/>
  <c r="J11317" i="4"/>
  <c r="J11008" i="4"/>
  <c r="J11762" i="4"/>
  <c r="J9952" i="4"/>
  <c r="J11302" i="4"/>
  <c r="J8549" i="4"/>
  <c r="J9867" i="4"/>
  <c r="J9715" i="4"/>
  <c r="J9675" i="4"/>
  <c r="J9414" i="4"/>
  <c r="J11804" i="4"/>
  <c r="J11227" i="4"/>
  <c r="J11825" i="4"/>
  <c r="J11745" i="4"/>
  <c r="J11056" i="4"/>
  <c r="J10291" i="4"/>
  <c r="J10240" i="4"/>
  <c r="J11685" i="4"/>
  <c r="J10889" i="4"/>
  <c r="J11602" i="4"/>
  <c r="J11111" i="4"/>
  <c r="J11547" i="4"/>
  <c r="J8375" i="4"/>
  <c r="J11548" i="4"/>
  <c r="J11490" i="4"/>
  <c r="J10150" i="4"/>
  <c r="J11512" i="4"/>
  <c r="J11042" i="4"/>
  <c r="J11285" i="4"/>
  <c r="J9621" i="4"/>
  <c r="J10954" i="4"/>
  <c r="J9026" i="4"/>
  <c r="J11565" i="4"/>
  <c r="J11494" i="4"/>
  <c r="J10923" i="4"/>
  <c r="J9520" i="4"/>
  <c r="J10702" i="4"/>
  <c r="J10024" i="4"/>
  <c r="J9319" i="4"/>
  <c r="J11073" i="4"/>
  <c r="J11281" i="4"/>
  <c r="J11907" i="4"/>
  <c r="J9802" i="4"/>
  <c r="J11742" i="4"/>
  <c r="J11644" i="4"/>
  <c r="J11179" i="4"/>
  <c r="J9452" i="4"/>
  <c r="J11839" i="4"/>
  <c r="J11022" i="4"/>
  <c r="J11090" i="4"/>
  <c r="J1108" i="4"/>
  <c r="J1026" i="4"/>
  <c r="J926" i="4"/>
  <c r="J844" i="4"/>
  <c r="J906" i="4"/>
  <c r="J864" i="4"/>
  <c r="J1086" i="4"/>
  <c r="J1046" i="4"/>
  <c r="J986" i="4"/>
  <c r="J946" i="4"/>
  <c r="J1066" i="4"/>
  <c r="J966" i="4"/>
  <c r="J884" i="4"/>
  <c r="I7821" i="4" l="1"/>
  <c r="I7998" i="4"/>
  <c r="J7998" i="4" s="1"/>
  <c r="I7728" i="4"/>
  <c r="I2893" i="4"/>
  <c r="J2893" i="4" s="1"/>
  <c r="I2816" i="4"/>
  <c r="J2816" i="4" s="1"/>
  <c r="I2739" i="4"/>
  <c r="J2739" i="4" s="1"/>
  <c r="I2682" i="4"/>
  <c r="J2682" i="4" s="1"/>
  <c r="I2644" i="4"/>
  <c r="J2644" i="4" s="1"/>
  <c r="I2854" i="4"/>
  <c r="J2854" i="4" s="1"/>
  <c r="I2720" i="4"/>
  <c r="J2720" i="4" s="1"/>
  <c r="I2913" i="4"/>
  <c r="J2913" i="4" s="1"/>
  <c r="I2835" i="4"/>
  <c r="J2835" i="4" s="1"/>
  <c r="I7976" i="4"/>
  <c r="J7976" i="4" s="1"/>
  <c r="I7954" i="4"/>
  <c r="J7954" i="4" s="1"/>
  <c r="I2873" i="4"/>
  <c r="J2873" i="4" s="1"/>
  <c r="I2797" i="4"/>
  <c r="J2797" i="4" s="1"/>
  <c r="I2663" i="4"/>
  <c r="J2663" i="4" s="1"/>
  <c r="I8331" i="4"/>
  <c r="I2778" i="4"/>
  <c r="J2778" i="4" s="1"/>
  <c r="I2759" i="4"/>
  <c r="J2759" i="4" s="1"/>
  <c r="I2701" i="4"/>
  <c r="J2701" i="4" s="1"/>
  <c r="I112" i="4"/>
  <c r="J112" i="4" s="1"/>
  <c r="J8331" i="4" l="1"/>
  <c r="I8352" i="4"/>
  <c r="J8352" i="4" s="1"/>
  <c r="J7728" i="4"/>
  <c r="J7821" i="4"/>
  <c r="J9" i="4"/>
  <c r="J2023" i="4" l="1"/>
  <c r="J2072" i="4" s="1"/>
  <c r="I752" i="4" l="1"/>
  <c r="J752" i="4" s="1"/>
  <c r="I730" i="4"/>
  <c r="J730" i="4" s="1"/>
  <c r="I672" i="4"/>
  <c r="J672" i="4" s="1"/>
  <c r="I595" i="4"/>
  <c r="J595" i="4" s="1"/>
  <c r="I557" i="4"/>
  <c r="J557" i="4" s="1"/>
  <c r="I712" i="4"/>
  <c r="J712" i="4" s="1"/>
  <c r="I652" i="4"/>
  <c r="J652" i="4" s="1"/>
  <c r="I576" i="4"/>
  <c r="J576" i="4" s="1"/>
  <c r="I633" i="4"/>
  <c r="J633" i="4" s="1"/>
  <c r="I692" i="4"/>
  <c r="J692" i="4" s="1"/>
  <c r="I614" i="4"/>
  <c r="J614" i="4" s="1"/>
  <c r="J2090" i="4" l="1"/>
  <c r="J2108" i="4" l="1"/>
  <c r="J2123" i="4" l="1"/>
  <c r="J2150" i="4" l="1"/>
  <c r="J2152" i="4" l="1"/>
  <c r="J2171" i="4" l="1"/>
  <c r="J2185" i="4" l="1"/>
  <c r="J2187" i="4" l="1"/>
  <c r="I250" i="4" l="1"/>
  <c r="J250" i="4" s="1"/>
  <c r="J2205" i="4" l="1"/>
  <c r="J2222" i="4" l="1"/>
  <c r="J2241" i="4" l="1"/>
  <c r="J2260" i="4" l="1"/>
  <c r="J2280" i="4" l="1"/>
  <c r="I11840" i="4" l="1"/>
  <c r="I11993" i="4" s="1"/>
  <c r="J11993" i="4" s="1"/>
  <c r="I11942" i="4" l="1"/>
  <c r="J11942" i="4" s="1"/>
  <c r="I11908" i="4"/>
  <c r="J11908" i="4" s="1"/>
  <c r="J11840" i="4"/>
  <c r="I11925" i="4"/>
  <c r="J11925" i="4" s="1"/>
  <c r="I11976" i="4"/>
  <c r="J11976" i="4" s="1"/>
  <c r="I11857" i="4"/>
  <c r="J11857" i="4" s="1"/>
  <c r="I11874" i="4"/>
  <c r="J11874" i="4" s="1"/>
  <c r="I11959" i="4"/>
  <c r="J11959" i="4" s="1"/>
  <c r="I11891" i="4"/>
  <c r="J11891" i="4" s="1"/>
  <c r="I7389" i="4" l="1"/>
  <c r="J7389" i="4" s="1"/>
  <c r="I7408" i="4"/>
  <c r="J7408" i="4" s="1"/>
  <c r="I8002" i="4" l="1"/>
  <c r="J8002" i="4" s="1"/>
  <c r="I1626" i="4"/>
  <c r="J1626" i="4" s="1"/>
  <c r="I1510" i="4"/>
  <c r="J1510" i="4" s="1"/>
  <c r="I1455" i="4"/>
  <c r="J1455" i="4" s="1"/>
  <c r="I1568" i="4"/>
  <c r="J1568" i="4" s="1"/>
  <c r="I1481" i="4"/>
  <c r="J1481" i="4" s="1"/>
  <c r="I7980" i="4"/>
  <c r="J7980" i="4" s="1"/>
  <c r="I7958" i="4"/>
  <c r="J7958" i="4" s="1"/>
  <c r="I1652" i="4"/>
  <c r="J1652" i="4" s="1"/>
  <c r="I1597" i="4"/>
  <c r="J1597" i="4" s="1"/>
  <c r="I1429" i="4"/>
  <c r="J1429" i="4" s="1"/>
  <c r="I755" i="4"/>
  <c r="J755" i="4" s="1"/>
  <c r="I733" i="4"/>
  <c r="J733" i="4" s="1"/>
  <c r="I1539" i="4"/>
  <c r="J1539" i="4" s="1"/>
  <c r="I317" i="4"/>
  <c r="J317" i="4" s="1"/>
  <c r="I111" i="4"/>
  <c r="J111" i="4" s="1"/>
  <c r="I183" i="4"/>
  <c r="J183" i="4" s="1"/>
  <c r="I42" i="4"/>
  <c r="J42" i="4" s="1"/>
  <c r="I159" i="4"/>
  <c r="J159" i="4" s="1"/>
  <c r="I66" i="4"/>
  <c r="J66" i="4" s="1"/>
  <c r="I18" i="4"/>
  <c r="J18" i="4" s="1"/>
  <c r="J202" i="4"/>
  <c r="I1106" i="4" l="1"/>
  <c r="I1085" i="4"/>
  <c r="I1065" i="4"/>
  <c r="I1045" i="4"/>
  <c r="I1025" i="4"/>
  <c r="I985" i="4"/>
  <c r="I965" i="4"/>
  <c r="I945" i="4"/>
  <c r="I925" i="4"/>
  <c r="I905" i="4"/>
  <c r="I883" i="4"/>
  <c r="I863" i="4"/>
  <c r="I843" i="4"/>
  <c r="I1732" i="4"/>
  <c r="J1732" i="4" s="1"/>
  <c r="I1692" i="4"/>
  <c r="J1692" i="4" s="1"/>
  <c r="I1672" i="4"/>
  <c r="J1672" i="4" s="1"/>
  <c r="I1712" i="4"/>
  <c r="J1712" i="4" s="1"/>
  <c r="J24" i="4"/>
  <c r="I1129" i="4" l="1"/>
  <c r="J1129" i="4" s="1"/>
  <c r="J48" i="4"/>
  <c r="J1045" i="4" l="1"/>
  <c r="J905" i="4"/>
  <c r="J925" i="4"/>
  <c r="J1106" i="4"/>
  <c r="J1065" i="4"/>
  <c r="J883" i="4"/>
  <c r="J985" i="4"/>
  <c r="J1025" i="4"/>
  <c r="J863" i="4"/>
  <c r="J965" i="4"/>
  <c r="J1085" i="4"/>
  <c r="J945" i="4"/>
  <c r="J843" i="4"/>
  <c r="J70" i="4" l="1"/>
  <c r="I1774" i="4" l="1"/>
  <c r="J1774" i="4" s="1"/>
  <c r="I1534" i="4"/>
  <c r="J1534" i="4" s="1"/>
  <c r="I1381" i="4"/>
  <c r="J1381" i="4" s="1"/>
  <c r="I1336" i="4"/>
  <c r="J1336" i="4" s="1"/>
  <c r="I1314" i="4"/>
  <c r="J1314" i="4" s="1"/>
  <c r="I1292" i="4"/>
  <c r="J1292" i="4" s="1"/>
  <c r="I1424" i="4"/>
  <c r="J1424" i="4" s="1"/>
  <c r="I1754" i="4"/>
  <c r="J1754" i="4" s="1"/>
  <c r="I1450" i="4"/>
  <c r="J1450" i="4" s="1"/>
  <c r="I1273" i="4"/>
  <c r="J1273" i="4" s="1"/>
  <c r="I1647" i="4"/>
  <c r="J1647" i="4" s="1"/>
  <c r="I1592" i="4"/>
  <c r="J1592" i="4" s="1"/>
  <c r="I1505" i="4"/>
  <c r="J1505" i="4" s="1"/>
  <c r="I1254" i="4"/>
  <c r="J1254" i="4" s="1"/>
  <c r="I1794" i="4"/>
  <c r="J1794" i="4" s="1"/>
  <c r="I1563" i="4"/>
  <c r="J1563" i="4" s="1"/>
  <c r="I1621" i="4"/>
  <c r="J1621" i="4" s="1"/>
  <c r="I1358" i="4"/>
  <c r="J1358" i="4" s="1"/>
  <c r="I1476" i="4"/>
  <c r="J1476" i="4" s="1"/>
  <c r="I11841" i="4" l="1"/>
  <c r="I2276" i="4"/>
  <c r="J2276" i="4" s="1"/>
  <c r="J89" i="4"/>
  <c r="I2237" i="4" l="1"/>
  <c r="J2237" i="4" s="1"/>
  <c r="I11960" i="4"/>
  <c r="J11960" i="4" s="1"/>
  <c r="I11943" i="4"/>
  <c r="J11943" i="4" s="1"/>
  <c r="I11875" i="4"/>
  <c r="J11875" i="4" s="1"/>
  <c r="I11909" i="4"/>
  <c r="J11909" i="4" s="1"/>
  <c r="I11926" i="4"/>
  <c r="J11926" i="4" s="1"/>
  <c r="I11977" i="4"/>
  <c r="J11977" i="4" s="1"/>
  <c r="I11892" i="4"/>
  <c r="J11892" i="4" s="1"/>
  <c r="I11994" i="4"/>
  <c r="J11994" i="4" s="1"/>
  <c r="I11858" i="4"/>
  <c r="J11858" i="4" s="1"/>
  <c r="J11841" i="4"/>
  <c r="I8355" i="4" l="1"/>
  <c r="J8355" i="4" s="1"/>
  <c r="I8313" i="4"/>
  <c r="J8313" i="4" s="1"/>
  <c r="I8293" i="4"/>
  <c r="J8293" i="4" s="1"/>
  <c r="I8334" i="4"/>
  <c r="J8334" i="4" s="1"/>
  <c r="I713" i="4"/>
  <c r="J713" i="4" s="1"/>
  <c r="I475" i="4"/>
  <c r="J475" i="4" s="1"/>
  <c r="I12075" i="4" l="1"/>
  <c r="J12075" i="4" s="1"/>
  <c r="I4818" i="4"/>
  <c r="J4818" i="4" s="1"/>
  <c r="I8333" i="4"/>
  <c r="J8333" i="4" s="1"/>
  <c r="I8312" i="4"/>
  <c r="J8312" i="4" s="1"/>
  <c r="I7823" i="4"/>
  <c r="J7823" i="4" s="1"/>
  <c r="I7767" i="4"/>
  <c r="J7767" i="4" s="1"/>
  <c r="I7708" i="4"/>
  <c r="I5042" i="4"/>
  <c r="J5042" i="4" s="1"/>
  <c r="I4859" i="4"/>
  <c r="J4859" i="4" s="1"/>
  <c r="I4738" i="4"/>
  <c r="J4738" i="4" s="1"/>
  <c r="I4586" i="4"/>
  <c r="J4586" i="4" s="1"/>
  <c r="I4466" i="4"/>
  <c r="J4466" i="4" s="1"/>
  <c r="I4386" i="4"/>
  <c r="J4386" i="4" s="1"/>
  <c r="I4286" i="4"/>
  <c r="J4286" i="4" s="1"/>
  <c r="I4189" i="4"/>
  <c r="J4189" i="4" s="1"/>
  <c r="I4109" i="4"/>
  <c r="J4109" i="4" s="1"/>
  <c r="I4029" i="4"/>
  <c r="J4029" i="4" s="1"/>
  <c r="I3932" i="4"/>
  <c r="J3932" i="4" s="1"/>
  <c r="I3852" i="4"/>
  <c r="J3852" i="4" s="1"/>
  <c r="I3832" i="4"/>
  <c r="J3832" i="4" s="1"/>
  <c r="I3772" i="4"/>
  <c r="J3772" i="4" s="1"/>
  <c r="I3603" i="4"/>
  <c r="J3603" i="4" s="1"/>
  <c r="I3551" i="4"/>
  <c r="J3551" i="4" s="1"/>
  <c r="I3497" i="4"/>
  <c r="J3497" i="4" s="1"/>
  <c r="I3461" i="4"/>
  <c r="J3461" i="4" s="1"/>
  <c r="I3424" i="4"/>
  <c r="J3424" i="4" s="1"/>
  <c r="I3388" i="4"/>
  <c r="J3388" i="4" s="1"/>
  <c r="I3352" i="4"/>
  <c r="J3352" i="4" s="1"/>
  <c r="I3314" i="4"/>
  <c r="J3314" i="4" s="1"/>
  <c r="I3276" i="4"/>
  <c r="J3276" i="4" s="1"/>
  <c r="I3240" i="4"/>
  <c r="J3240" i="4" s="1"/>
  <c r="J3204" i="4"/>
  <c r="I3168" i="4"/>
  <c r="J3168" i="4" s="1"/>
  <c r="I3093" i="4"/>
  <c r="J3093" i="4" s="1"/>
  <c r="I3055" i="4"/>
  <c r="J3055" i="4" s="1"/>
  <c r="I3015" i="4"/>
  <c r="J3015" i="4" s="1"/>
  <c r="I2975" i="4"/>
  <c r="J2975" i="4" s="1"/>
  <c r="I2935" i="4"/>
  <c r="J2935" i="4" s="1"/>
  <c r="I2916" i="4"/>
  <c r="J2916" i="4" s="1"/>
  <c r="I2856" i="4"/>
  <c r="J2856" i="4" s="1"/>
  <c r="I2780" i="4"/>
  <c r="J2780" i="4" s="1"/>
  <c r="I2722" i="4"/>
  <c r="J2722" i="4" s="1"/>
  <c r="I7979" i="4"/>
  <c r="J7979" i="4" s="1"/>
  <c r="I5004" i="4"/>
  <c r="J5004" i="4" s="1"/>
  <c r="I4878" i="4"/>
  <c r="J4878" i="4" s="1"/>
  <c r="I4546" i="4"/>
  <c r="J4546" i="4" s="1"/>
  <c r="I4149" i="4"/>
  <c r="J4149" i="4" s="1"/>
  <c r="I3812" i="4"/>
  <c r="J3812" i="4" s="1"/>
  <c r="I3479" i="4"/>
  <c r="J3479" i="4" s="1"/>
  <c r="I3406" i="4"/>
  <c r="J3406" i="4" s="1"/>
  <c r="I3333" i="4"/>
  <c r="J3333" i="4" s="1"/>
  <c r="I3258" i="4"/>
  <c r="J3258" i="4" s="1"/>
  <c r="I3186" i="4"/>
  <c r="J3186" i="4" s="1"/>
  <c r="I3074" i="4"/>
  <c r="J3074" i="4" s="1"/>
  <c r="I2995" i="4"/>
  <c r="J2995" i="4" s="1"/>
  <c r="J2818" i="4"/>
  <c r="I1651" i="4"/>
  <c r="J1651" i="4" s="1"/>
  <c r="I1596" i="4"/>
  <c r="J1596" i="4" s="1"/>
  <c r="I1454" i="4"/>
  <c r="J1454" i="4" s="1"/>
  <c r="I7978" i="4"/>
  <c r="J7978" i="4" s="1"/>
  <c r="I7956" i="4"/>
  <c r="J7956" i="4" s="1"/>
  <c r="I4985" i="4"/>
  <c r="J4985" i="4" s="1"/>
  <c r="I4798" i="4"/>
  <c r="J4798" i="4" s="1"/>
  <c r="I4566" i="4"/>
  <c r="J4566" i="4" s="1"/>
  <c r="I4306" i="4"/>
  <c r="I4327" i="4" s="1"/>
  <c r="I4249" i="4"/>
  <c r="J4249" i="4" s="1"/>
  <c r="I4089" i="4"/>
  <c r="J4089" i="4" s="1"/>
  <c r="I3971" i="4"/>
  <c r="J3971" i="4" s="1"/>
  <c r="I3912" i="4"/>
  <c r="J3912" i="4" s="1"/>
  <c r="I3752" i="4"/>
  <c r="J3752" i="4" s="1"/>
  <c r="I3693" i="4"/>
  <c r="J3693" i="4" s="1"/>
  <c r="I2876" i="4"/>
  <c r="J2876" i="4" s="1"/>
  <c r="I2742" i="4"/>
  <c r="J2742" i="4" s="1"/>
  <c r="I8354" i="4"/>
  <c r="J8354" i="4" s="1"/>
  <c r="I7727" i="4"/>
  <c r="I5446" i="4"/>
  <c r="J5446" i="4" s="1"/>
  <c r="I5408" i="4"/>
  <c r="J5408" i="4" s="1"/>
  <c r="I5023" i="4"/>
  <c r="J5023" i="4" s="1"/>
  <c r="I4758" i="4"/>
  <c r="J4758" i="4" s="1"/>
  <c r="I4678" i="4"/>
  <c r="J4678" i="4" s="1"/>
  <c r="I4526" i="4"/>
  <c r="J4526" i="4" s="1"/>
  <c r="I4506" i="4"/>
  <c r="J4506" i="4" s="1"/>
  <c r="I4486" i="4"/>
  <c r="I4406" i="4"/>
  <c r="I4209" i="4"/>
  <c r="J4209" i="4" s="1"/>
  <c r="I4129" i="4"/>
  <c r="J4129" i="4" s="1"/>
  <c r="I4049" i="4"/>
  <c r="J4049" i="4" s="1"/>
  <c r="I3990" i="4"/>
  <c r="J3990" i="4" s="1"/>
  <c r="I3952" i="4"/>
  <c r="J3952" i="4" s="1"/>
  <c r="I3872" i="4"/>
  <c r="J3872" i="4" s="1"/>
  <c r="I3792" i="4"/>
  <c r="J3792" i="4" s="1"/>
  <c r="I3712" i="4"/>
  <c r="J3712" i="4" s="1"/>
  <c r="I3674" i="4"/>
  <c r="J3674" i="4" s="1"/>
  <c r="I2837" i="4"/>
  <c r="J2837" i="4" s="1"/>
  <c r="I2761" i="4"/>
  <c r="J2761" i="4" s="1"/>
  <c r="I2703" i="4"/>
  <c r="J2703" i="4" s="1"/>
  <c r="I2646" i="4"/>
  <c r="J2646" i="4" s="1"/>
  <c r="I1538" i="4"/>
  <c r="J1538" i="4" s="1"/>
  <c r="I1128" i="4"/>
  <c r="J1128" i="4" s="1"/>
  <c r="I8001" i="4"/>
  <c r="J8001" i="4" s="1"/>
  <c r="I7957" i="4"/>
  <c r="J7957" i="4" s="1"/>
  <c r="I7747" i="4"/>
  <c r="J7747" i="4" s="1"/>
  <c r="I5992" i="4"/>
  <c r="J5992" i="4" s="1"/>
  <c r="I4778" i="4"/>
  <c r="J4778" i="4" s="1"/>
  <c r="I4698" i="4"/>
  <c r="J4698" i="4" s="1"/>
  <c r="I4229" i="4"/>
  <c r="J4229" i="4" s="1"/>
  <c r="I4069" i="4"/>
  <c r="J4069" i="4" s="1"/>
  <c r="I3892" i="4"/>
  <c r="J3892" i="4" s="1"/>
  <c r="I3732" i="4"/>
  <c r="J3732" i="4" s="1"/>
  <c r="I3442" i="4"/>
  <c r="J3442" i="4" s="1"/>
  <c r="I3370" i="4"/>
  <c r="J3370" i="4" s="1"/>
  <c r="I3295" i="4"/>
  <c r="J3295" i="4" s="1"/>
  <c r="I3222" i="4"/>
  <c r="J3222" i="4" s="1"/>
  <c r="I3150" i="4"/>
  <c r="J3150" i="4" s="1"/>
  <c r="I3035" i="4"/>
  <c r="J3035" i="4" s="1"/>
  <c r="I2955" i="4"/>
  <c r="J2955" i="4" s="1"/>
  <c r="I2896" i="4"/>
  <c r="J2896" i="4" s="1"/>
  <c r="I2684" i="4"/>
  <c r="J2684" i="4" s="1"/>
  <c r="I1509" i="4"/>
  <c r="J1509" i="4" s="1"/>
  <c r="I1428" i="4"/>
  <c r="J1428" i="4" s="1"/>
  <c r="I8292" i="4"/>
  <c r="J8292" i="4" s="1"/>
  <c r="I8000" i="4"/>
  <c r="J8000" i="4" s="1"/>
  <c r="I7920" i="4"/>
  <c r="J7920" i="4" s="1"/>
  <c r="I5427" i="4"/>
  <c r="J5427" i="4" s="1"/>
  <c r="I4839" i="4"/>
  <c r="J4839" i="4" s="1"/>
  <c r="I4718" i="4"/>
  <c r="J4718" i="4" s="1"/>
  <c r="I4446" i="4"/>
  <c r="J4446" i="4" s="1"/>
  <c r="I4169" i="4"/>
  <c r="J4169" i="4" s="1"/>
  <c r="I4009" i="4"/>
  <c r="J4009" i="4" s="1"/>
  <c r="I2799" i="4"/>
  <c r="J2799" i="4" s="1"/>
  <c r="I2665" i="4"/>
  <c r="J2665" i="4" s="1"/>
  <c r="I1625" i="4"/>
  <c r="J1625" i="4" s="1"/>
  <c r="I754" i="4"/>
  <c r="J754" i="4" s="1"/>
  <c r="I732" i="4"/>
  <c r="J732" i="4" s="1"/>
  <c r="I1480" i="4"/>
  <c r="J1480" i="4" s="1"/>
  <c r="I1567" i="4"/>
  <c r="J1567" i="4" s="1"/>
  <c r="I508" i="4"/>
  <c r="J508" i="4" s="1"/>
  <c r="I316" i="4"/>
  <c r="J316" i="4" s="1"/>
  <c r="I675" i="4"/>
  <c r="J675" i="4" s="1"/>
  <c r="I251" i="4"/>
  <c r="J251" i="4" s="1"/>
  <c r="I635" i="4"/>
  <c r="J635" i="4" s="1"/>
  <c r="I578" i="4"/>
  <c r="J578" i="4" s="1"/>
  <c r="I695" i="4"/>
  <c r="J695" i="4" s="1"/>
  <c r="I616" i="4"/>
  <c r="J616" i="4" s="1"/>
  <c r="I597" i="4"/>
  <c r="J597" i="4" s="1"/>
  <c r="I655" i="4"/>
  <c r="J655" i="4" s="1"/>
  <c r="I559" i="4"/>
  <c r="J559" i="4" s="1"/>
  <c r="I109" i="4"/>
  <c r="J109" i="4" s="1"/>
  <c r="I65" i="4"/>
  <c r="J65" i="4" s="1"/>
  <c r="I182" i="4"/>
  <c r="J182" i="4" s="1"/>
  <c r="I41" i="4"/>
  <c r="J41" i="4" s="1"/>
  <c r="I110" i="4"/>
  <c r="J110" i="4" s="1"/>
  <c r="I158" i="4"/>
  <c r="J158" i="4" s="1"/>
  <c r="I17" i="4"/>
  <c r="J17" i="4" s="1"/>
  <c r="J254" i="4"/>
  <c r="J264" i="4" s="1"/>
  <c r="J4486" i="4" l="1"/>
  <c r="I12203" i="4"/>
  <c r="J4406" i="4"/>
  <c r="I4426" i="4"/>
  <c r="J4426" i="4" s="1"/>
  <c r="J7727" i="4"/>
  <c r="J7708" i="4"/>
  <c r="I7654" i="4"/>
  <c r="J7654" i="4" s="1"/>
  <c r="J4306" i="4"/>
  <c r="I1105" i="4"/>
  <c r="J1105" i="4" s="1"/>
  <c r="I1084" i="4"/>
  <c r="J1084" i="4" s="1"/>
  <c r="I1064" i="4"/>
  <c r="J1064" i="4" s="1"/>
  <c r="I1044" i="4"/>
  <c r="J1044" i="4" s="1"/>
  <c r="I1024" i="4"/>
  <c r="J1024" i="4" s="1"/>
  <c r="I984" i="4"/>
  <c r="J984" i="4" s="1"/>
  <c r="I964" i="4"/>
  <c r="J964" i="4" s="1"/>
  <c r="I944" i="4"/>
  <c r="J944" i="4" s="1"/>
  <c r="I924" i="4"/>
  <c r="J924" i="4" s="1"/>
  <c r="I904" i="4"/>
  <c r="J904" i="4" s="1"/>
  <c r="I882" i="4"/>
  <c r="J882" i="4" s="1"/>
  <c r="I862" i="4"/>
  <c r="J862" i="4" s="1"/>
  <c r="I842" i="4"/>
  <c r="J842" i="4" s="1"/>
  <c r="I1711" i="4"/>
  <c r="J1711" i="4" s="1"/>
  <c r="I1691" i="4"/>
  <c r="J1691" i="4" s="1"/>
  <c r="I1731" i="4"/>
  <c r="J1731" i="4" s="1"/>
  <c r="I1671" i="4"/>
  <c r="J1671" i="4" s="1"/>
  <c r="J266" i="4"/>
  <c r="J268" i="4" l="1"/>
  <c r="J278" i="4" s="1"/>
  <c r="J280" i="4" l="1"/>
  <c r="J282" i="4" s="1"/>
  <c r="I4984" i="4" l="1"/>
  <c r="J4984" i="4" s="1"/>
  <c r="J336" i="4" l="1"/>
  <c r="J346" i="4" s="1"/>
  <c r="J5022" i="4" l="1"/>
  <c r="J348" i="4"/>
  <c r="J333" i="4"/>
  <c r="J350" i="4"/>
  <c r="J360" i="4" s="1"/>
  <c r="J351" i="4" l="1"/>
  <c r="J362" i="4"/>
  <c r="J364" i="4"/>
  <c r="J374" i="4"/>
  <c r="J376" i="4" s="1"/>
  <c r="I5003" i="4" l="1"/>
  <c r="J5003" i="4" s="1"/>
  <c r="J365" i="4"/>
  <c r="J378" i="4"/>
  <c r="J388" i="4" s="1"/>
  <c r="J390" i="4" s="1"/>
  <c r="J379" i="4" l="1"/>
  <c r="J392" i="4"/>
  <c r="J402" i="4" s="1"/>
  <c r="J404" i="4" s="1"/>
  <c r="I5041" i="4" l="1"/>
  <c r="J5041" i="4" s="1"/>
  <c r="J393" i="4"/>
  <c r="J406" i="4"/>
  <c r="J416" i="4" s="1"/>
  <c r="J418" i="4" l="1"/>
  <c r="J407" i="4"/>
  <c r="J420" i="4"/>
  <c r="J430" i="4" s="1"/>
  <c r="J432" i="4" s="1"/>
  <c r="I2104" i="4" l="1"/>
  <c r="J2104" i="4" s="1"/>
  <c r="J2105" i="4" s="1"/>
  <c r="I1965" i="4"/>
  <c r="J1965" i="4" s="1"/>
  <c r="I2068" i="4"/>
  <c r="J2068" i="4" s="1"/>
  <c r="J2069" i="4" s="1"/>
  <c r="I2018" i="4"/>
  <c r="J2018" i="4" s="1"/>
  <c r="J2019" i="4" s="1"/>
  <c r="I2236" i="4"/>
  <c r="J2236" i="4" s="1"/>
  <c r="I2086" i="4"/>
  <c r="J2086" i="4" s="1"/>
  <c r="J2087" i="4" s="1"/>
  <c r="I1912" i="4"/>
  <c r="J1912" i="4" s="1"/>
  <c r="I2275" i="4"/>
  <c r="J2275" i="4" s="1"/>
  <c r="J421" i="4"/>
  <c r="J434" i="4"/>
  <c r="J445" i="4"/>
  <c r="I12076" i="4" l="1"/>
  <c r="J12076" i="4" s="1"/>
  <c r="I1104" i="4"/>
  <c r="J1104" i="4" s="1"/>
  <c r="I1083" i="4"/>
  <c r="J1083" i="4" s="1"/>
  <c r="I1063" i="4"/>
  <c r="J1063" i="4" s="1"/>
  <c r="I1043" i="4"/>
  <c r="J1043" i="4" s="1"/>
  <c r="I1023" i="4"/>
  <c r="J1023" i="4" s="1"/>
  <c r="I983" i="4"/>
  <c r="J983" i="4" s="1"/>
  <c r="I963" i="4"/>
  <c r="J963" i="4" s="1"/>
  <c r="I943" i="4"/>
  <c r="J943" i="4" s="1"/>
  <c r="I923" i="4"/>
  <c r="J923" i="4" s="1"/>
  <c r="I903" i="4"/>
  <c r="J903" i="4" s="1"/>
  <c r="I881" i="4"/>
  <c r="J881" i="4" s="1"/>
  <c r="I861" i="4"/>
  <c r="J861" i="4" s="1"/>
  <c r="I841" i="4"/>
  <c r="J841" i="4" s="1"/>
  <c r="I1670" i="4"/>
  <c r="J1670" i="4" s="1"/>
  <c r="I8291" i="4"/>
  <c r="J8291" i="4" s="1"/>
  <c r="I7977" i="4"/>
  <c r="J7977" i="4" s="1"/>
  <c r="I7955" i="4"/>
  <c r="J7955" i="4" s="1"/>
  <c r="I7919" i="4"/>
  <c r="J7919" i="4" s="1"/>
  <c r="I5426" i="4"/>
  <c r="J5426" i="4" s="1"/>
  <c r="I4838" i="4"/>
  <c r="J4838" i="4" s="1"/>
  <c r="I4797" i="4"/>
  <c r="J4797" i="4" s="1"/>
  <c r="I4717" i="4"/>
  <c r="J4717" i="4" s="1"/>
  <c r="I4565" i="4"/>
  <c r="J4565" i="4" s="1"/>
  <c r="I4445" i="4"/>
  <c r="J4445" i="4" s="1"/>
  <c r="I4305" i="4"/>
  <c r="I4227" i="4"/>
  <c r="J4227" i="4" s="1"/>
  <c r="I4147" i="4"/>
  <c r="J4147" i="4" s="1"/>
  <c r="I4067" i="4"/>
  <c r="J4067" i="4" s="1"/>
  <c r="I4008" i="4"/>
  <c r="J4008" i="4" s="1"/>
  <c r="I3970" i="4"/>
  <c r="J3970" i="4" s="1"/>
  <c r="I3890" i="4"/>
  <c r="J3890" i="4" s="1"/>
  <c r="I3810" i="4"/>
  <c r="J3810" i="4" s="1"/>
  <c r="I3730" i="4"/>
  <c r="J3730" i="4" s="1"/>
  <c r="I3692" i="4"/>
  <c r="J3692" i="4" s="1"/>
  <c r="I2874" i="4"/>
  <c r="J2874" i="4" s="1"/>
  <c r="I2798" i="4"/>
  <c r="J2798" i="4" s="1"/>
  <c r="I2702" i="4"/>
  <c r="J2702" i="4" s="1"/>
  <c r="I1566" i="4"/>
  <c r="J1566" i="4" s="1"/>
  <c r="I1537" i="4"/>
  <c r="J1537" i="4" s="1"/>
  <c r="I1479" i="4"/>
  <c r="J1479" i="4" s="1"/>
  <c r="I753" i="4"/>
  <c r="J753" i="4" s="1"/>
  <c r="I731" i="4"/>
  <c r="J731" i="4" s="1"/>
  <c r="I7726" i="4"/>
  <c r="J7726" i="4" s="1"/>
  <c r="I5407" i="4"/>
  <c r="J5407" i="4" s="1"/>
  <c r="I4677" i="4"/>
  <c r="J4677" i="4" s="1"/>
  <c r="I4505" i="4"/>
  <c r="J4505" i="4" s="1"/>
  <c r="I4385" i="4"/>
  <c r="J4385" i="4" s="1"/>
  <c r="I4107" i="4"/>
  <c r="J4107" i="4" s="1"/>
  <c r="I3989" i="4"/>
  <c r="J3989" i="4" s="1"/>
  <c r="I3930" i="4"/>
  <c r="J3930" i="4" s="1"/>
  <c r="I3770" i="4"/>
  <c r="J3770" i="4" s="1"/>
  <c r="I3711" i="4"/>
  <c r="J3711" i="4" s="1"/>
  <c r="I3585" i="4"/>
  <c r="J3585" i="4" s="1"/>
  <c r="I2760" i="4"/>
  <c r="J2760" i="4" s="1"/>
  <c r="I2664" i="4"/>
  <c r="J2664" i="4" s="1"/>
  <c r="I1730" i="4"/>
  <c r="J1730" i="4" s="1"/>
  <c r="I1127" i="4"/>
  <c r="J1127" i="4" s="1"/>
  <c r="I8311" i="4"/>
  <c r="J8311" i="4" s="1"/>
  <c r="I4877" i="4"/>
  <c r="J4877" i="4" s="1"/>
  <c r="I4697" i="4"/>
  <c r="J4697" i="4" s="1"/>
  <c r="I4405" i="4"/>
  <c r="I4207" i="4"/>
  <c r="J4207" i="4" s="1"/>
  <c r="I4047" i="4"/>
  <c r="J4047" i="4" s="1"/>
  <c r="I3870" i="4"/>
  <c r="J3870" i="4" s="1"/>
  <c r="I3568" i="4"/>
  <c r="J3568" i="4" s="1"/>
  <c r="I3478" i="4"/>
  <c r="J3478" i="4" s="1"/>
  <c r="I3405" i="4"/>
  <c r="J3405" i="4" s="1"/>
  <c r="I3331" i="4"/>
  <c r="J3331" i="4" s="1"/>
  <c r="I3257" i="4"/>
  <c r="J3257" i="4" s="1"/>
  <c r="I3185" i="4"/>
  <c r="J3185" i="4" s="1"/>
  <c r="I3073" i="4"/>
  <c r="J3073" i="4" s="1"/>
  <c r="I2994" i="4"/>
  <c r="J2994" i="4" s="1"/>
  <c r="I2779" i="4"/>
  <c r="I2683" i="4"/>
  <c r="J2683" i="4" s="1"/>
  <c r="I8332" i="4"/>
  <c r="J8332" i="4" s="1"/>
  <c r="I7999" i="4"/>
  <c r="J7999" i="4" s="1"/>
  <c r="I7822" i="4"/>
  <c r="J7822" i="4" s="1"/>
  <c r="I7766" i="4"/>
  <c r="J7766" i="4" s="1"/>
  <c r="I7707" i="4"/>
  <c r="I4858" i="4"/>
  <c r="J4858" i="4" s="1"/>
  <c r="I4817" i="4"/>
  <c r="J4817" i="4" s="1"/>
  <c r="I4737" i="4"/>
  <c r="J4737" i="4" s="1"/>
  <c r="I4585" i="4"/>
  <c r="J4585" i="4" s="1"/>
  <c r="I4465" i="4"/>
  <c r="J4465" i="4" s="1"/>
  <c r="I4247" i="4"/>
  <c r="J4247" i="4" s="1"/>
  <c r="I4167" i="4"/>
  <c r="J4167" i="4" s="1"/>
  <c r="I4087" i="4"/>
  <c r="J4087" i="4" s="1"/>
  <c r="I3910" i="4"/>
  <c r="J3910" i="4" s="1"/>
  <c r="I3830" i="4"/>
  <c r="J3830" i="4" s="1"/>
  <c r="I3750" i="4"/>
  <c r="J3750" i="4" s="1"/>
  <c r="I3602" i="4"/>
  <c r="J3602" i="4" s="1"/>
  <c r="I3550" i="4"/>
  <c r="J3550" i="4" s="1"/>
  <c r="I3496" i="4"/>
  <c r="J3496" i="4" s="1"/>
  <c r="I3459" i="4"/>
  <c r="J3459" i="4" s="1"/>
  <c r="I3423" i="4"/>
  <c r="J3423" i="4" s="1"/>
  <c r="I3387" i="4"/>
  <c r="J3387" i="4" s="1"/>
  <c r="I3350" i="4"/>
  <c r="J3350" i="4" s="1"/>
  <c r="I3312" i="4"/>
  <c r="J3312" i="4" s="1"/>
  <c r="I3275" i="4"/>
  <c r="J3275" i="4" s="1"/>
  <c r="I3239" i="4"/>
  <c r="J3239" i="4" s="1"/>
  <c r="I3203" i="4"/>
  <c r="J3203" i="4" s="1"/>
  <c r="I3167" i="4"/>
  <c r="J3167" i="4" s="1"/>
  <c r="I3092" i="4"/>
  <c r="J3092" i="4" s="1"/>
  <c r="I3054" i="4"/>
  <c r="J3054" i="4" s="1"/>
  <c r="I3014" i="4"/>
  <c r="J3014" i="4" s="1"/>
  <c r="I2974" i="4"/>
  <c r="J2974" i="4" s="1"/>
  <c r="I2934" i="4"/>
  <c r="J2934" i="4" s="1"/>
  <c r="I2817" i="4"/>
  <c r="J2817" i="4" s="1"/>
  <c r="I2740" i="4"/>
  <c r="J2740" i="4" s="1"/>
  <c r="I2721" i="4"/>
  <c r="J2721" i="4" s="1"/>
  <c r="I1710" i="4"/>
  <c r="J1710" i="4" s="1"/>
  <c r="I8353" i="4"/>
  <c r="J8353" i="4" s="1"/>
  <c r="I5445" i="4"/>
  <c r="J5445" i="4" s="1"/>
  <c r="I4757" i="4"/>
  <c r="J4757" i="4" s="1"/>
  <c r="I4525" i="4"/>
  <c r="J4525" i="4" s="1"/>
  <c r="I4485" i="4"/>
  <c r="J4485" i="4" s="1"/>
  <c r="I4187" i="4"/>
  <c r="J4187" i="4" s="1"/>
  <c r="I4027" i="4"/>
  <c r="J4027" i="4" s="1"/>
  <c r="I3850" i="4"/>
  <c r="J3850" i="4" s="1"/>
  <c r="I3673" i="4"/>
  <c r="J3673" i="4" s="1"/>
  <c r="I3532" i="4"/>
  <c r="J3532" i="4" s="1"/>
  <c r="I2836" i="4"/>
  <c r="J2836" i="4" s="1"/>
  <c r="I2645" i="4"/>
  <c r="J2645" i="4" s="1"/>
  <c r="I1624" i="4"/>
  <c r="J1624" i="4" s="1"/>
  <c r="I7746" i="4"/>
  <c r="J7746" i="4" s="1"/>
  <c r="I5991" i="4"/>
  <c r="J5991" i="4" s="1"/>
  <c r="I4777" i="4"/>
  <c r="J4777" i="4" s="1"/>
  <c r="I4545" i="4"/>
  <c r="J4545" i="4" s="1"/>
  <c r="I4285" i="4"/>
  <c r="J4285" i="4" s="1"/>
  <c r="I4127" i="4"/>
  <c r="J4127" i="4" s="1"/>
  <c r="I3950" i="4"/>
  <c r="J3950" i="4" s="1"/>
  <c r="I3790" i="4"/>
  <c r="J3790" i="4" s="1"/>
  <c r="I3620" i="4"/>
  <c r="J3620" i="4" s="1"/>
  <c r="I3514" i="4"/>
  <c r="J3514" i="4" s="1"/>
  <c r="I3441" i="4"/>
  <c r="J3441" i="4" s="1"/>
  <c r="I3369" i="4"/>
  <c r="J3369" i="4" s="1"/>
  <c r="I3293" i="4"/>
  <c r="J3293" i="4" s="1"/>
  <c r="I3221" i="4"/>
  <c r="J3221" i="4" s="1"/>
  <c r="I3149" i="4"/>
  <c r="J3149" i="4" s="1"/>
  <c r="I3034" i="4"/>
  <c r="J3034" i="4" s="1"/>
  <c r="I2954" i="4"/>
  <c r="J2954" i="4" s="1"/>
  <c r="I2855" i="4"/>
  <c r="J2855" i="4" s="1"/>
  <c r="I1690" i="4"/>
  <c r="J1690" i="4" s="1"/>
  <c r="I1508" i="4"/>
  <c r="J1508" i="4" s="1"/>
  <c r="I1453" i="4"/>
  <c r="J1453" i="4" s="1"/>
  <c r="I1427" i="4"/>
  <c r="J1427" i="4" s="1"/>
  <c r="I1650" i="4"/>
  <c r="J1650" i="4" s="1"/>
  <c r="I1595" i="4"/>
  <c r="J1595" i="4" s="1"/>
  <c r="I693" i="4"/>
  <c r="J693" i="4" s="1"/>
  <c r="I654" i="4"/>
  <c r="J654" i="4" s="1"/>
  <c r="I634" i="4"/>
  <c r="J634" i="4" s="1"/>
  <c r="I577" i="4"/>
  <c r="J577" i="4" s="1"/>
  <c r="I558" i="4"/>
  <c r="J558" i="4" s="1"/>
  <c r="I615" i="4"/>
  <c r="J615" i="4" s="1"/>
  <c r="I673" i="4"/>
  <c r="J673" i="4" s="1"/>
  <c r="I315" i="4"/>
  <c r="J315" i="4" s="1"/>
  <c r="I596" i="4"/>
  <c r="J596" i="4" s="1"/>
  <c r="I157" i="4"/>
  <c r="J157" i="4" s="1"/>
  <c r="I181" i="4"/>
  <c r="J181" i="4" s="1"/>
  <c r="I108" i="4"/>
  <c r="J108" i="4" s="1"/>
  <c r="I63" i="4"/>
  <c r="J63" i="4" s="1"/>
  <c r="I39" i="4"/>
  <c r="J39" i="4" s="1"/>
  <c r="I16" i="4"/>
  <c r="J16" i="4" s="1"/>
  <c r="J447" i="4"/>
  <c r="J435" i="4"/>
  <c r="J449" i="4"/>
  <c r="J459" i="4" s="1"/>
  <c r="J2779" i="4" l="1"/>
  <c r="I12202" i="4"/>
  <c r="J4405" i="4"/>
  <c r="I4425" i="4"/>
  <c r="J4425" i="4" s="1"/>
  <c r="J7707" i="4"/>
  <c r="I7653" i="4"/>
  <c r="J7653" i="4" s="1"/>
  <c r="J4305" i="4"/>
  <c r="I4325" i="4"/>
  <c r="I4345" i="4" s="1"/>
  <c r="J461" i="4"/>
  <c r="J450" i="4"/>
  <c r="J463" i="4"/>
  <c r="J473" i="4" s="1"/>
  <c r="J4428" i="4" l="1"/>
  <c r="J4431" i="4" s="1"/>
  <c r="J4432" i="4" s="1"/>
  <c r="J4433" i="4" s="1"/>
  <c r="F246" i="8" s="1"/>
  <c r="J7655" i="4"/>
  <c r="I4365" i="4"/>
  <c r="J4365" i="4" s="1"/>
  <c r="J4345" i="4"/>
  <c r="J4325" i="4"/>
  <c r="I4819" i="4"/>
  <c r="J4819" i="4" s="1"/>
  <c r="I4759" i="4"/>
  <c r="J4759" i="4" s="1"/>
  <c r="I4679" i="4"/>
  <c r="J4679" i="4" s="1"/>
  <c r="I4527" i="4"/>
  <c r="J4527" i="4" s="1"/>
  <c r="I4507" i="4"/>
  <c r="J4507" i="4" s="1"/>
  <c r="I4487" i="4"/>
  <c r="J4487" i="4" s="1"/>
  <c r="I4248" i="4"/>
  <c r="J4248" i="4" s="1"/>
  <c r="I4168" i="4"/>
  <c r="J4168" i="4" s="1"/>
  <c r="I4088" i="4"/>
  <c r="J4088" i="4" s="1"/>
  <c r="I3911" i="4"/>
  <c r="J3911" i="4" s="1"/>
  <c r="I3751" i="4"/>
  <c r="J3751" i="4" s="1"/>
  <c r="I4799" i="4"/>
  <c r="J4799" i="4" s="1"/>
  <c r="I4719" i="4"/>
  <c r="J4719" i="4" s="1"/>
  <c r="I4447" i="4"/>
  <c r="J4447" i="4" s="1"/>
  <c r="I4208" i="4"/>
  <c r="J4208" i="4" s="1"/>
  <c r="I4048" i="4"/>
  <c r="J4048" i="4" s="1"/>
  <c r="I3871" i="4"/>
  <c r="J3871" i="4" s="1"/>
  <c r="I4739" i="4"/>
  <c r="J4739" i="4" s="1"/>
  <c r="I4467" i="4"/>
  <c r="J4467" i="4" s="1"/>
  <c r="I4148" i="4"/>
  <c r="J4148" i="4" s="1"/>
  <c r="I3811" i="4"/>
  <c r="J3811" i="4" s="1"/>
  <c r="I5993" i="4"/>
  <c r="J5993" i="4" s="1"/>
  <c r="I4779" i="4"/>
  <c r="J4779" i="4" s="1"/>
  <c r="I4699" i="4"/>
  <c r="J4699" i="4" s="1"/>
  <c r="I4547" i="4"/>
  <c r="J4547" i="4" s="1"/>
  <c r="I4387" i="4"/>
  <c r="J4387" i="4" s="1"/>
  <c r="I4287" i="4"/>
  <c r="J4287" i="4" s="1"/>
  <c r="I4188" i="4"/>
  <c r="J4188" i="4" s="1"/>
  <c r="I4108" i="4"/>
  <c r="J4108" i="4" s="1"/>
  <c r="I4028" i="4"/>
  <c r="J4028" i="4" s="1"/>
  <c r="I3931" i="4"/>
  <c r="J3931" i="4" s="1"/>
  <c r="I3851" i="4"/>
  <c r="J3851" i="4" s="1"/>
  <c r="I3771" i="4"/>
  <c r="J3771" i="4" s="1"/>
  <c r="I2914" i="4"/>
  <c r="J2914" i="4" s="1"/>
  <c r="I4840" i="4"/>
  <c r="J4840" i="4" s="1"/>
  <c r="I4567" i="4"/>
  <c r="J4567" i="4" s="1"/>
  <c r="J4407" i="4"/>
  <c r="I4307" i="4"/>
  <c r="I4326" i="4" s="1"/>
  <c r="I4267" i="4"/>
  <c r="J4267" i="4" s="1"/>
  <c r="I4128" i="4"/>
  <c r="J4128" i="4" s="1"/>
  <c r="I3951" i="4"/>
  <c r="J3951" i="4" s="1"/>
  <c r="I3791" i="4"/>
  <c r="J3791" i="4" s="1"/>
  <c r="I7825" i="4"/>
  <c r="J7825" i="4" s="1"/>
  <c r="I4587" i="4"/>
  <c r="J4587" i="4" s="1"/>
  <c r="I4228" i="4"/>
  <c r="J4228" i="4" s="1"/>
  <c r="I4068" i="4"/>
  <c r="J4068" i="4" s="1"/>
  <c r="I3891" i="4"/>
  <c r="J3891" i="4" s="1"/>
  <c r="I3831" i="4"/>
  <c r="J3831" i="4" s="1"/>
  <c r="I3731" i="4"/>
  <c r="J3731" i="4" s="1"/>
  <c r="I2894" i="4"/>
  <c r="J2894" i="4" s="1"/>
  <c r="J464" i="4"/>
  <c r="J476" i="4"/>
  <c r="J478" i="4"/>
  <c r="I4346" i="4" l="1"/>
  <c r="J4326" i="4"/>
  <c r="J4307" i="4"/>
  <c r="I4347" i="4"/>
  <c r="I4366" i="4" s="1"/>
  <c r="J4366" i="4" s="1"/>
  <c r="I2118" i="4"/>
  <c r="J2118" i="4" s="1"/>
  <c r="I2133" i="4"/>
  <c r="J2133" i="4" s="1"/>
  <c r="J479" i="4"/>
  <c r="I4367" i="4" l="1"/>
  <c r="J4367" i="4" s="1"/>
  <c r="J4368" i="4" s="1"/>
  <c r="J4346" i="4"/>
  <c r="J4327" i="4"/>
  <c r="J4347" i="4"/>
  <c r="I539" i="4"/>
  <c r="J539" i="4" s="1"/>
  <c r="J2725" i="4"/>
  <c r="J4328" i="4" l="1"/>
  <c r="J4348" i="4"/>
  <c r="I1130" i="4"/>
  <c r="J1130" i="4" s="1"/>
  <c r="J600" i="4"/>
  <c r="J619" i="4" l="1"/>
  <c r="I509" i="4" l="1"/>
  <c r="J509" i="4" s="1"/>
  <c r="J658" i="4"/>
  <c r="J758" i="4" l="1"/>
  <c r="J845" i="4" l="1"/>
  <c r="J847" i="4" s="1"/>
  <c r="I2294" i="4" l="1"/>
  <c r="J2294" i="4" s="1"/>
  <c r="J2859" i="4"/>
  <c r="I2548" i="4" l="1"/>
  <c r="J2879" i="4"/>
  <c r="I12118" i="4" l="1"/>
  <c r="J12118" i="4" s="1"/>
  <c r="I12120" i="4" s="1"/>
  <c r="J12120" i="4" s="1"/>
  <c r="J12121" i="4" s="1"/>
  <c r="I2549" i="4"/>
  <c r="I2255" i="4"/>
  <c r="I2256" i="4"/>
  <c r="J2256" i="4" s="1"/>
  <c r="I2219" i="4"/>
  <c r="J2219" i="4" s="1"/>
  <c r="I2202" i="4"/>
  <c r="J2202" i="4" s="1"/>
  <c r="J2203" i="4" s="1"/>
  <c r="J2566" i="4"/>
  <c r="J2548" i="4"/>
  <c r="J2899" i="4"/>
  <c r="J2549" i="4" l="1"/>
  <c r="J2567" i="4"/>
  <c r="J887" i="4"/>
  <c r="J2255" i="4" l="1"/>
  <c r="J909" i="4"/>
  <c r="J2919" i="4"/>
  <c r="J929" i="4" l="1"/>
  <c r="J949" i="4" l="1"/>
  <c r="J2939" i="4"/>
  <c r="J969" i="4" l="1"/>
  <c r="J2959" i="4" l="1"/>
  <c r="J2979" i="4" l="1"/>
  <c r="J1069" i="4" l="1"/>
  <c r="J2999" i="4" l="1"/>
  <c r="J1089" i="4"/>
  <c r="J3019" i="4" l="1"/>
  <c r="J1131" i="4"/>
  <c r="J1133" i="4" s="1"/>
  <c r="I6440" i="4" l="1"/>
  <c r="J6440" i="4" s="1"/>
  <c r="I2474" i="4"/>
  <c r="I2531" i="4"/>
  <c r="J2531" i="4" s="1"/>
  <c r="I6459" i="4"/>
  <c r="J6459" i="4" s="1"/>
  <c r="I2454" i="4"/>
  <c r="J2454" i="4" s="1"/>
  <c r="I6421" i="4"/>
  <c r="J6421" i="4" s="1"/>
  <c r="I107" i="4"/>
  <c r="J107" i="4" s="1"/>
  <c r="J2474" i="4" l="1"/>
  <c r="I2493" i="4"/>
  <c r="J2493" i="4" s="1"/>
  <c r="J3115" i="4"/>
  <c r="J1298" i="4" l="1"/>
  <c r="J1655" i="4" l="1"/>
  <c r="J1674" i="4" l="1"/>
  <c r="J1676" i="4" s="1"/>
  <c r="J1716" i="4" l="1"/>
  <c r="J1758" i="4" l="1"/>
  <c r="J1799" i="4" l="1"/>
  <c r="J3621" i="4"/>
  <c r="J3623" i="4" s="1"/>
  <c r="J1812" i="4" l="1"/>
  <c r="J1814" i="4" s="1"/>
  <c r="J3657" i="4" l="1"/>
  <c r="J1827" i="4" l="1"/>
  <c r="J1829" i="4" s="1"/>
  <c r="J1842" i="4"/>
  <c r="J1844" i="4" s="1"/>
  <c r="J1859" i="4" l="1"/>
  <c r="J1861" i="4" s="1"/>
  <c r="J3715" i="4"/>
  <c r="I5261" i="4" l="1"/>
  <c r="J5261" i="4" s="1"/>
  <c r="J1876" i="4"/>
  <c r="J1878" i="4" s="1"/>
  <c r="J1913" i="4"/>
  <c r="J1966" i="4" s="1"/>
  <c r="J3735" i="4"/>
  <c r="J1970" i="4" l="1"/>
  <c r="J1893" i="4"/>
  <c r="J1895" i="4" s="1"/>
  <c r="J1917" i="4"/>
  <c r="J3775" i="4" l="1"/>
  <c r="J3835" i="4" l="1"/>
  <c r="J3855" i="4" l="1"/>
  <c r="J3875" i="4" l="1"/>
  <c r="I1649" i="4" l="1"/>
  <c r="J1649" i="4" s="1"/>
  <c r="I1594" i="4"/>
  <c r="J1594" i="4" s="1"/>
  <c r="I1507" i="4"/>
  <c r="J1507" i="4" s="1"/>
  <c r="I1452" i="4"/>
  <c r="J1452" i="4" s="1"/>
  <c r="I1426" i="4"/>
  <c r="J1426" i="4" s="1"/>
  <c r="I1217" i="4"/>
  <c r="J1217" i="4" s="1"/>
  <c r="I1235" i="4"/>
  <c r="J1235" i="4" s="1"/>
  <c r="I1623" i="4"/>
  <c r="J1623" i="4" s="1"/>
  <c r="I1565" i="4"/>
  <c r="J1565" i="4" s="1"/>
  <c r="I1478" i="4"/>
  <c r="J1478" i="4" s="1"/>
  <c r="I1199" i="4"/>
  <c r="J1199" i="4" s="1"/>
  <c r="I735" i="4"/>
  <c r="J735" i="4" s="1"/>
  <c r="I1536" i="4"/>
  <c r="J1536" i="4" s="1"/>
  <c r="J3895" i="4"/>
  <c r="I64" i="4" l="1"/>
  <c r="J64" i="4" s="1"/>
  <c r="J3935" i="4"/>
  <c r="I1234" i="4" l="1"/>
  <c r="J1234" i="4" s="1"/>
  <c r="J4012" i="4"/>
  <c r="I2257" i="4" l="1"/>
  <c r="J2257" i="4" s="1"/>
  <c r="I2274" i="4"/>
  <c r="J2274" i="4" s="1"/>
  <c r="J4032" i="4"/>
  <c r="J4052" i="4" l="1"/>
  <c r="J4072" i="4" l="1"/>
  <c r="J4092" i="4" l="1"/>
  <c r="J4112" i="4" l="1"/>
  <c r="J4132" i="4" l="1"/>
  <c r="J4152" i="4" l="1"/>
  <c r="I6362" i="4" l="1"/>
  <c r="J6362" i="4" s="1"/>
  <c r="I6702" i="4"/>
  <c r="J6702" i="4" s="1"/>
  <c r="I6624" i="4"/>
  <c r="J6624" i="4" s="1"/>
  <c r="I6588" i="4"/>
  <c r="J6588" i="4" s="1"/>
  <c r="I6552" i="4"/>
  <c r="J6552" i="4" s="1"/>
  <c r="I6460" i="4"/>
  <c r="J6460" i="4" s="1"/>
  <c r="I6049" i="4"/>
  <c r="J6049" i="4" s="1"/>
  <c r="I6011" i="4"/>
  <c r="J6011" i="4" s="1"/>
  <c r="I5990" i="4"/>
  <c r="J5990" i="4" s="1"/>
  <c r="I5952" i="4"/>
  <c r="J5952" i="4" s="1"/>
  <c r="I5464" i="4"/>
  <c r="J5464" i="4" s="1"/>
  <c r="I2530" i="4"/>
  <c r="J2530" i="4" s="1"/>
  <c r="I1562" i="4"/>
  <c r="J1562" i="4" s="1"/>
  <c r="I1475" i="4"/>
  <c r="J1475" i="4" s="1"/>
  <c r="I1423" i="4"/>
  <c r="J1423" i="4" s="1"/>
  <c r="I1357" i="4"/>
  <c r="J1357" i="4" s="1"/>
  <c r="I1272" i="4"/>
  <c r="J1272" i="4" s="1"/>
  <c r="I1253" i="4"/>
  <c r="J1253" i="4" s="1"/>
  <c r="I6534" i="4"/>
  <c r="J6534" i="4" s="1"/>
  <c r="I6030" i="4"/>
  <c r="J6030" i="4" s="1"/>
  <c r="I5972" i="4"/>
  <c r="J5972" i="4" s="1"/>
  <c r="I5896" i="4"/>
  <c r="J5896" i="4" s="1"/>
  <c r="I2511" i="4"/>
  <c r="J2511" i="4" s="1"/>
  <c r="I1620" i="4"/>
  <c r="J1620" i="4" s="1"/>
  <c r="I6644" i="4"/>
  <c r="J6644" i="4" s="1"/>
  <c r="I6606" i="4"/>
  <c r="J6606" i="4" s="1"/>
  <c r="I6380" i="4"/>
  <c r="J6380" i="4" s="1"/>
  <c r="I5915" i="4"/>
  <c r="J5915" i="4" s="1"/>
  <c r="I5281" i="4"/>
  <c r="J5281" i="4" s="1"/>
  <c r="I6516" i="4"/>
  <c r="J6516" i="4" s="1"/>
  <c r="I6441" i="4"/>
  <c r="J6441" i="4" s="1"/>
  <c r="I6400" i="4"/>
  <c r="J6400" i="4" s="1"/>
  <c r="I6250" i="4"/>
  <c r="J6250" i="4" s="1"/>
  <c r="I6194" i="4"/>
  <c r="J6194" i="4" s="1"/>
  <c r="I6048" i="4"/>
  <c r="J6048" i="4" s="1"/>
  <c r="I5934" i="4"/>
  <c r="J5934" i="4" s="1"/>
  <c r="I2168" i="4"/>
  <c r="J2168" i="4" s="1"/>
  <c r="I1533" i="4"/>
  <c r="J1533" i="4" s="1"/>
  <c r="I1402" i="4"/>
  <c r="J1402" i="4" s="1"/>
  <c r="I1380" i="4"/>
  <c r="J1380" i="4" s="1"/>
  <c r="I1335" i="4"/>
  <c r="J1335" i="4" s="1"/>
  <c r="I1313" i="4"/>
  <c r="J1313" i="4" s="1"/>
  <c r="I1291" i="4"/>
  <c r="J1291" i="4" s="1"/>
  <c r="I6664" i="4"/>
  <c r="J6664" i="4" s="1"/>
  <c r="I6498" i="4"/>
  <c r="J6498" i="4" s="1"/>
  <c r="I6422" i="4"/>
  <c r="J6422" i="4" s="1"/>
  <c r="I6342" i="4"/>
  <c r="J6342" i="4" s="1"/>
  <c r="I6232" i="4"/>
  <c r="J6232" i="4" s="1"/>
  <c r="J6086" i="4"/>
  <c r="I1795" i="4"/>
  <c r="J1795" i="4" s="1"/>
  <c r="I1449" i="4"/>
  <c r="J1449" i="4" s="1"/>
  <c r="I6683" i="4"/>
  <c r="J6683" i="4" s="1"/>
  <c r="I6570" i="4"/>
  <c r="J6570" i="4" s="1"/>
  <c r="I6479" i="4"/>
  <c r="J6479" i="4" s="1"/>
  <c r="I6322" i="4"/>
  <c r="J6322" i="4" s="1"/>
  <c r="I6213" i="4"/>
  <c r="J6213" i="4" s="1"/>
  <c r="I6068" i="4"/>
  <c r="J6068" i="4" s="1"/>
  <c r="I1646" i="4"/>
  <c r="J1646" i="4" s="1"/>
  <c r="I1504" i="4"/>
  <c r="J1504" i="4" s="1"/>
  <c r="I1591" i="4"/>
  <c r="J1591" i="4" s="1"/>
  <c r="I234" i="4"/>
  <c r="J234" i="4" s="1"/>
  <c r="I180" i="4"/>
  <c r="J180" i="4" s="1"/>
  <c r="I44" i="4"/>
  <c r="J44" i="4" s="1"/>
  <c r="I67" i="4"/>
  <c r="J67" i="4" s="1"/>
  <c r="I136" i="4"/>
  <c r="J136" i="4" s="1"/>
  <c r="I106" i="4"/>
  <c r="J106" i="4" s="1"/>
  <c r="I156" i="4"/>
  <c r="J156" i="4" s="1"/>
  <c r="I85" i="4"/>
  <c r="J85" i="4" s="1"/>
  <c r="I20" i="4"/>
  <c r="J20" i="4" s="1"/>
  <c r="J4172" i="4"/>
  <c r="I5680" i="4" l="1"/>
  <c r="J5680" i="4" s="1"/>
  <c r="I5608" i="4"/>
  <c r="J5608" i="4" s="1"/>
  <c r="I5536" i="4"/>
  <c r="J5536" i="4" s="1"/>
  <c r="I5716" i="4"/>
  <c r="J5716" i="4" s="1"/>
  <c r="I5644" i="4"/>
  <c r="J5644" i="4" s="1"/>
  <c r="I5500" i="4"/>
  <c r="J5500" i="4" s="1"/>
  <c r="I5626" i="4"/>
  <c r="J5626" i="4" s="1"/>
  <c r="I5734" i="4"/>
  <c r="J5734" i="4" s="1"/>
  <c r="I5662" i="4"/>
  <c r="J5662" i="4" s="1"/>
  <c r="I5590" i="4"/>
  <c r="J5590" i="4" s="1"/>
  <c r="I5518" i="4"/>
  <c r="J5518" i="4" s="1"/>
  <c r="I5572" i="4"/>
  <c r="J5572" i="4" s="1"/>
  <c r="I5698" i="4"/>
  <c r="J5698" i="4" s="1"/>
  <c r="I5554" i="4"/>
  <c r="J5554" i="4" s="1"/>
  <c r="J4192" i="4"/>
  <c r="J4470" i="4" l="1"/>
  <c r="I4967" i="4" l="1"/>
  <c r="J4967" i="4" s="1"/>
  <c r="I6665" i="4"/>
  <c r="J6665" i="4" s="1"/>
  <c r="J5188" i="4"/>
  <c r="J4530" i="4"/>
  <c r="I2492" i="4" l="1"/>
  <c r="J2492" i="4" s="1"/>
  <c r="I5860" i="4"/>
  <c r="J5860" i="4" s="1"/>
  <c r="I5806" i="4"/>
  <c r="J5806" i="4" s="1"/>
  <c r="I5770" i="4"/>
  <c r="J5770" i="4" s="1"/>
  <c r="I5842" i="4"/>
  <c r="J5842" i="4" s="1"/>
  <c r="I5752" i="4"/>
  <c r="J5752" i="4" s="1"/>
  <c r="I5788" i="4"/>
  <c r="J5788" i="4" s="1"/>
  <c r="I5824" i="4"/>
  <c r="J5824" i="4" s="1"/>
  <c r="I5878" i="4"/>
  <c r="J5878" i="4" s="1"/>
  <c r="J4570" i="4"/>
  <c r="I6104" i="4" l="1"/>
  <c r="I6122" i="4" s="1"/>
  <c r="J6122" i="4" s="1"/>
  <c r="J4742" i="4"/>
  <c r="J6104" i="4" l="1"/>
  <c r="I5098" i="4"/>
  <c r="I5080" i="4"/>
  <c r="J5080" i="4" s="1"/>
  <c r="J5064" i="4"/>
  <c r="I4820" i="4" l="1"/>
  <c r="J4820" i="4" s="1"/>
  <c r="I5170" i="4"/>
  <c r="J5170" i="4" s="1"/>
  <c r="I5116" i="4"/>
  <c r="J5116" i="4" s="1"/>
  <c r="I5134" i="4"/>
  <c r="J5134" i="4" s="1"/>
  <c r="I5152" i="4"/>
  <c r="J5152" i="4" s="1"/>
  <c r="J5098" i="4"/>
  <c r="J5083" i="4"/>
  <c r="J5191" i="4" l="1"/>
  <c r="I5260" i="4" l="1"/>
  <c r="J5260" i="4" s="1"/>
  <c r="J2381" i="4"/>
  <c r="I2400" i="4"/>
  <c r="J2400" i="4" s="1"/>
  <c r="J5557" i="4" l="1"/>
  <c r="I2364" i="4" l="1"/>
  <c r="J2364" i="4" s="1"/>
  <c r="J2365" i="4" s="1"/>
  <c r="J2367" i="4" s="1"/>
  <c r="J5863" i="4"/>
  <c r="J2382" i="4" l="1"/>
  <c r="J5899" i="4"/>
  <c r="I1198" i="4" l="1"/>
  <c r="I1751" i="4"/>
  <c r="J1751" i="4" s="1"/>
  <c r="I7959" i="4"/>
  <c r="I8003" i="4"/>
  <c r="I7981" i="4"/>
  <c r="I2936" i="4"/>
  <c r="I734" i="4"/>
  <c r="J734" i="4" s="1"/>
  <c r="I2956" i="4" l="1"/>
  <c r="J2936" i="4"/>
  <c r="J6015" i="4"/>
  <c r="I2976" i="4" l="1"/>
  <c r="J2956" i="4"/>
  <c r="I2996" i="4" l="1"/>
  <c r="J2976" i="4"/>
  <c r="I3016" i="4" l="1"/>
  <c r="J2996" i="4"/>
  <c r="J6307" i="4"/>
  <c r="I3036" i="4" l="1"/>
  <c r="J3036" i="4" s="1"/>
  <c r="J3016" i="4"/>
  <c r="J6365" i="4"/>
  <c r="I1622" i="4" l="1"/>
  <c r="J1622" i="4" s="1"/>
  <c r="I1648" i="4"/>
  <c r="J1648" i="4" s="1"/>
  <c r="I1593" i="4"/>
  <c r="J1593" i="4" s="1"/>
  <c r="J1506" i="4"/>
  <c r="I1451" i="4"/>
  <c r="J1451" i="4" s="1"/>
  <c r="I1564" i="4"/>
  <c r="J1564" i="4" s="1"/>
  <c r="J1477" i="4"/>
  <c r="J1198" i="4"/>
  <c r="I1216" i="4"/>
  <c r="J1216" i="4" s="1"/>
  <c r="I1535" i="4"/>
  <c r="J1535" i="4" s="1"/>
  <c r="J1425" i="4"/>
  <c r="J6444" i="4"/>
  <c r="J6706" i="4" l="1"/>
  <c r="J6827" i="4" l="1"/>
  <c r="J7105" i="4" l="1"/>
  <c r="J7116" i="4"/>
  <c r="I3053" i="4" l="1"/>
  <c r="I3091" i="4" s="1"/>
  <c r="J3091" i="4" s="1"/>
  <c r="J7151" i="4"/>
  <c r="I3072" i="4" l="1"/>
  <c r="J3072" i="4" s="1"/>
  <c r="J3053" i="4"/>
  <c r="J7197" i="4"/>
  <c r="I524" i="4" l="1"/>
  <c r="J524" i="4" s="1"/>
  <c r="J525" i="4" s="1"/>
  <c r="J527" i="4" s="1"/>
  <c r="J7449" i="4"/>
  <c r="I21" i="4" l="1"/>
  <c r="J21" i="4" s="1"/>
  <c r="I7245" i="4"/>
  <c r="J7245" i="4" s="1"/>
  <c r="J7490" i="4"/>
  <c r="J7602" i="4" l="1"/>
  <c r="J7711" i="4" l="1"/>
  <c r="J7751" i="4" l="1"/>
  <c r="I217" i="4" l="1"/>
  <c r="J217" i="4" s="1"/>
  <c r="J7903" i="4"/>
  <c r="I7409" i="4" l="1"/>
  <c r="J7409" i="4" s="1"/>
  <c r="I7390" i="4"/>
  <c r="J7390" i="4" s="1"/>
  <c r="I7264" i="4"/>
  <c r="J7264" i="4" s="1"/>
  <c r="I7230" i="4"/>
  <c r="J7230" i="4" s="1"/>
  <c r="I7194" i="4"/>
  <c r="J7194" i="4" s="1"/>
  <c r="I7171" i="4"/>
  <c r="J7171" i="4" s="1"/>
  <c r="J8006" i="4"/>
  <c r="J7282" i="4" l="1"/>
  <c r="I7562" i="4"/>
  <c r="J7562" i="4" s="1"/>
  <c r="I7523" i="4"/>
  <c r="J7523" i="4" s="1"/>
  <c r="I7190" i="4"/>
  <c r="J7190" i="4" s="1"/>
  <c r="I7167" i="4"/>
  <c r="J7167" i="4" s="1"/>
  <c r="I7354" i="4"/>
  <c r="J7354" i="4" s="1"/>
  <c r="I7262" i="4" l="1"/>
  <c r="J7262" i="4" s="1"/>
  <c r="I7168" i="4"/>
  <c r="I7485" i="4"/>
  <c r="J7485" i="4" s="1"/>
  <c r="I7525" i="4"/>
  <c r="J7525" i="4" s="1"/>
  <c r="I7544" i="4"/>
  <c r="J7544" i="4" s="1"/>
  <c r="J7504" i="4"/>
  <c r="J8276" i="4"/>
  <c r="I7191" i="4" l="1"/>
  <c r="J7191" i="4" s="1"/>
  <c r="J7168" i="4"/>
  <c r="J8296" i="4"/>
  <c r="I7524" i="4" l="1"/>
  <c r="J7524" i="4" s="1"/>
  <c r="I7463" i="4"/>
  <c r="J7463" i="4" s="1"/>
  <c r="I7165" i="4"/>
  <c r="J7165" i="4" s="1"/>
  <c r="I7483" i="4"/>
  <c r="I7445" i="4"/>
  <c r="J7445" i="4" s="1"/>
  <c r="I7188" i="4"/>
  <c r="J7188" i="4" s="1"/>
  <c r="I45" i="4"/>
  <c r="J45" i="4" s="1"/>
  <c r="I7484" i="4" l="1"/>
  <c r="J7484" i="4" s="1"/>
  <c r="J7483" i="4"/>
  <c r="J8414" i="4"/>
  <c r="J7283" i="4" l="1"/>
  <c r="I7355" i="4"/>
  <c r="J7355" i="4" s="1"/>
  <c r="I7372" i="4" l="1"/>
  <c r="J7372" i="4" s="1"/>
  <c r="J8857" i="4" l="1"/>
  <c r="J8871" i="4" l="1"/>
  <c r="J8874" i="4" s="1"/>
  <c r="I7263" i="4" l="1"/>
  <c r="J7263" i="4" s="1"/>
  <c r="J9126" i="4"/>
  <c r="J9129" i="4" s="1"/>
  <c r="I7446" i="4" l="1"/>
  <c r="J7446" i="4" s="1"/>
  <c r="I7169" i="4"/>
  <c r="I7526" i="4"/>
  <c r="J7526" i="4" s="1"/>
  <c r="I7465" i="4"/>
  <c r="J7465" i="4" s="1"/>
  <c r="J7505" i="4"/>
  <c r="I7486" i="4"/>
  <c r="J7486" i="4" s="1"/>
  <c r="I7192" i="4" l="1"/>
  <c r="J7192" i="4" s="1"/>
  <c r="J7169" i="4"/>
  <c r="I7563" i="4" l="1"/>
  <c r="I7545" i="4"/>
  <c r="I7527" i="4"/>
  <c r="I7464" i="4"/>
  <c r="J7464" i="4" s="1"/>
  <c r="I7170" i="4"/>
  <c r="I7487" i="4"/>
  <c r="J7506" i="4" l="1"/>
  <c r="J7487" i="4"/>
  <c r="I7193" i="4"/>
  <c r="J7193" i="4" s="1"/>
  <c r="J7170" i="4"/>
  <c r="J7563" i="4" l="1"/>
  <c r="J7545" i="4"/>
  <c r="J7527" i="4"/>
  <c r="I7166" i="4" l="1"/>
  <c r="J7166" i="4" s="1"/>
  <c r="I7189" i="4"/>
  <c r="J7189" i="4" s="1"/>
  <c r="J7281" i="4"/>
  <c r="I7229" i="4" l="1"/>
  <c r="J7229" i="4" s="1"/>
  <c r="I7228" i="4"/>
  <c r="J7228" i="4" s="1"/>
  <c r="J9470" i="4" l="1"/>
  <c r="I7118" i="4" l="1"/>
  <c r="J7118" i="4" s="1"/>
  <c r="J7119" i="4" s="1"/>
  <c r="J7121" i="4" s="1"/>
  <c r="I7211" i="4" l="1"/>
  <c r="J7211" i="4" s="1"/>
  <c r="J9640" i="4"/>
  <c r="J9658" i="4" l="1"/>
  <c r="J9676" i="4" l="1"/>
  <c r="J9712" i="4" l="1"/>
  <c r="J9970" i="4" l="1"/>
  <c r="J9973" i="4" s="1"/>
  <c r="I6193" i="4" l="1"/>
  <c r="I6379" i="4"/>
  <c r="I6439" i="4"/>
  <c r="J6439" i="4" s="1"/>
  <c r="I6663" i="4"/>
  <c r="J6663" i="4" s="1"/>
  <c r="I4966" i="4"/>
  <c r="J4966" i="4" s="1"/>
  <c r="J10238" i="4"/>
  <c r="J10241" i="4" s="1"/>
  <c r="J10256" i="4" l="1"/>
  <c r="J10259" i="4" s="1"/>
  <c r="I6212" i="4" l="1"/>
  <c r="I6533" i="4"/>
  <c r="I6420" i="4"/>
  <c r="I6341" i="4"/>
  <c r="I6267" i="4"/>
  <c r="I6478" i="4"/>
  <c r="I6303" i="4"/>
  <c r="I6231" i="4"/>
  <c r="I6285" i="4"/>
  <c r="I6497" i="4"/>
  <c r="I6399" i="4"/>
  <c r="I6321" i="4"/>
  <c r="I6605" i="4"/>
  <c r="I6551" i="4"/>
  <c r="I6361" i="4"/>
  <c r="I6012" i="4"/>
  <c r="J6012" i="4" s="1"/>
  <c r="I6477" i="4"/>
  <c r="I6496" i="4"/>
  <c r="I6643" i="4"/>
  <c r="J6643" i="4" s="1"/>
  <c r="I6515" i="4"/>
  <c r="J6515" i="4" s="1"/>
  <c r="I1598" i="4"/>
  <c r="J1598" i="4" s="1"/>
  <c r="I6458" i="4"/>
  <c r="J6458" i="4" s="1"/>
  <c r="I1540" i="4"/>
  <c r="J1540" i="4" s="1"/>
  <c r="I6623" i="4"/>
  <c r="J6623" i="4" s="1"/>
  <c r="I6587" i="4"/>
  <c r="J6587" i="4" s="1"/>
  <c r="I2512" i="4"/>
  <c r="J2512" i="4" s="1"/>
  <c r="I1569" i="4"/>
  <c r="J1569" i="4" s="1"/>
  <c r="I1511" i="4"/>
  <c r="J1511" i="4" s="1"/>
  <c r="I1482" i="4"/>
  <c r="J1482" i="4" s="1"/>
  <c r="J1359" i="4"/>
  <c r="I6569" i="4"/>
  <c r="J6569" i="4" s="1"/>
  <c r="J1382" i="4"/>
  <c r="J1293" i="4"/>
  <c r="J1337" i="4"/>
  <c r="J1315" i="4"/>
  <c r="I6701" i="4" l="1"/>
  <c r="I6249" i="4"/>
  <c r="I6703" i="4"/>
  <c r="I1422" i="4"/>
  <c r="J1422" i="4" s="1"/>
  <c r="I1752" i="4"/>
  <c r="I5169" i="4"/>
  <c r="J5169" i="4" s="1"/>
  <c r="I155" i="4"/>
  <c r="J155" i="4" s="1"/>
  <c r="I43" i="4"/>
  <c r="J43" i="4" s="1"/>
  <c r="I19" i="4"/>
  <c r="J19" i="4" s="1"/>
  <c r="I84" i="4"/>
  <c r="J84" i="4" s="1"/>
  <c r="I2167" i="4"/>
  <c r="J2167" i="4" s="1"/>
  <c r="I1645" i="4"/>
  <c r="J1645" i="4" s="1"/>
  <c r="I1503" i="4"/>
  <c r="J1503" i="4" s="1"/>
  <c r="J6605" i="4"/>
  <c r="I1561" i="4"/>
  <c r="J1561" i="4" s="1"/>
  <c r="I1401" i="4"/>
  <c r="J1401" i="4" s="1"/>
  <c r="I1356" i="4"/>
  <c r="J1356" i="4" s="1"/>
  <c r="I1290" i="4"/>
  <c r="J1290" i="4" s="1"/>
  <c r="J6533" i="4"/>
  <c r="J6551" i="4"/>
  <c r="I1619" i="4"/>
  <c r="J1619" i="4" s="1"/>
  <c r="I1590" i="4"/>
  <c r="J1590" i="4" s="1"/>
  <c r="I1474" i="4"/>
  <c r="J1474" i="4" s="1"/>
  <c r="I1532" i="4"/>
  <c r="J1532" i="4" s="1"/>
  <c r="I1379" i="4"/>
  <c r="J1379" i="4" s="1"/>
  <c r="J1334" i="4"/>
  <c r="I1312" i="4"/>
  <c r="J1312" i="4" s="1"/>
  <c r="I1448" i="4"/>
  <c r="J1448" i="4" s="1"/>
  <c r="J1271" i="4"/>
  <c r="I1252" i="4"/>
  <c r="J1252" i="4" s="1"/>
  <c r="I232" i="4"/>
  <c r="J232" i="4" s="1"/>
  <c r="I233" i="4"/>
  <c r="J233" i="4" s="1"/>
  <c r="I135" i="4"/>
  <c r="J135" i="4" s="1"/>
  <c r="I105" i="4"/>
  <c r="J105" i="4" s="1"/>
  <c r="I179" i="4"/>
  <c r="J179" i="4" s="1"/>
  <c r="J6497" i="4"/>
  <c r="J6496" i="4"/>
  <c r="J6478" i="4"/>
  <c r="J6477" i="4"/>
  <c r="I7880" i="4" l="1"/>
  <c r="J7880" i="4" s="1"/>
  <c r="I2166" i="4"/>
  <c r="J2166" i="4" s="1"/>
  <c r="I1772" i="4"/>
  <c r="J1772" i="4" s="1"/>
  <c r="I1792" i="4"/>
  <c r="J1792" i="4" s="1"/>
  <c r="J1752" i="4"/>
  <c r="I86" i="4"/>
  <c r="J86" i="4" s="1"/>
  <c r="J6701" i="4"/>
  <c r="J6303" i="4"/>
  <c r="J6321" i="4"/>
  <c r="J6267" i="4"/>
  <c r="J6341" i="4"/>
  <c r="J6212" i="4"/>
  <c r="J6231" i="4"/>
  <c r="J6249" i="4"/>
  <c r="J6285" i="4"/>
  <c r="J6193" i="4"/>
  <c r="J235" i="4"/>
  <c r="J237" i="4" s="1"/>
  <c r="J247" i="4" s="1"/>
  <c r="I7466" i="4" l="1"/>
  <c r="J6379" i="4"/>
  <c r="J6361" i="4"/>
  <c r="J11040" i="4"/>
  <c r="J11043" i="4" s="1"/>
  <c r="J6399" i="4" l="1"/>
  <c r="I5733" i="4" l="1"/>
  <c r="J5733" i="4" s="1"/>
  <c r="I5661" i="4"/>
  <c r="J5661" i="4" s="1"/>
  <c r="I5589" i="4"/>
  <c r="J5589" i="4" s="1"/>
  <c r="I5517" i="4"/>
  <c r="J5517" i="4" s="1"/>
  <c r="I5625" i="4"/>
  <c r="J5625" i="4" s="1"/>
  <c r="I5679" i="4"/>
  <c r="J5679" i="4" s="1"/>
  <c r="I5535" i="4"/>
  <c r="J5535" i="4" s="1"/>
  <c r="I5499" i="4"/>
  <c r="J5499" i="4" s="1"/>
  <c r="I5715" i="4"/>
  <c r="J5715" i="4" s="1"/>
  <c r="I5643" i="4"/>
  <c r="J5643" i="4" s="1"/>
  <c r="I5571" i="4"/>
  <c r="J5571" i="4" s="1"/>
  <c r="I5697" i="4"/>
  <c r="J5697" i="4" s="1"/>
  <c r="I5553" i="4"/>
  <c r="J5553" i="4" s="1"/>
  <c r="I5607" i="4"/>
  <c r="J5607" i="4" s="1"/>
  <c r="J6703" i="4"/>
  <c r="J6420" i="4"/>
  <c r="J11211" i="4"/>
  <c r="J11214" i="4" s="1"/>
  <c r="I6103" i="4" l="1"/>
  <c r="J6103" i="4" s="1"/>
  <c r="J11246" i="4"/>
  <c r="J11250" i="4" s="1"/>
  <c r="J11264" i="4" l="1"/>
  <c r="J11268" i="4" s="1"/>
  <c r="J11300" i="4" l="1"/>
  <c r="J11304" i="4" s="1"/>
  <c r="J11318" i="4" l="1"/>
  <c r="J11322" i="4" s="1"/>
  <c r="J11527" i="4" l="1"/>
  <c r="J11531" i="4" s="1"/>
  <c r="J11563" i="4" l="1"/>
  <c r="J11567" i="4" s="1"/>
  <c r="J11581" i="4" l="1"/>
  <c r="J11585" i="4" s="1"/>
  <c r="I5079" i="4" l="1"/>
  <c r="J5079" i="4" s="1"/>
  <c r="J5081" i="4" s="1"/>
  <c r="I5933" i="4" l="1"/>
  <c r="J5933" i="4" s="1"/>
  <c r="I5951" i="4"/>
  <c r="J5951" i="4" s="1"/>
  <c r="J11980" i="4"/>
  <c r="I5372" i="4" l="1"/>
  <c r="J5372" i="4" s="1"/>
  <c r="J12020" i="4"/>
  <c r="I5389" i="4" l="1"/>
  <c r="J5389" i="4" s="1"/>
  <c r="I5913" i="4"/>
  <c r="J5913" i="4" s="1"/>
  <c r="J12040" i="4"/>
  <c r="I5895" i="4" l="1"/>
  <c r="J5895" i="4" s="1"/>
  <c r="J394" i="4" l="1"/>
  <c r="J408" i="4" l="1"/>
  <c r="J395" i="4"/>
  <c r="I5971" i="4" l="1"/>
  <c r="J5971" i="4" s="1"/>
  <c r="J5973" i="4" s="1"/>
  <c r="J5975" i="4" s="1"/>
  <c r="I5406" i="4"/>
  <c r="I5355" i="4"/>
  <c r="J5355" i="4" s="1"/>
  <c r="J5356" i="4" s="1"/>
  <c r="J5358" i="4" s="1"/>
  <c r="F29" i="8"/>
  <c r="J422" i="4"/>
  <c r="J409" i="4"/>
  <c r="I5425" i="4" l="1"/>
  <c r="J5425" i="4" s="1"/>
  <c r="J5406" i="4"/>
  <c r="F30" i="8"/>
  <c r="J436" i="4"/>
  <c r="J423" i="4"/>
  <c r="F31" i="8" l="1"/>
  <c r="J451" i="4"/>
  <c r="J437" i="4"/>
  <c r="F32" i="8" l="1"/>
  <c r="J465" i="4"/>
  <c r="J452" i="4"/>
  <c r="I5444" i="4" l="1"/>
  <c r="J5444" i="4" s="1"/>
  <c r="F33" i="8"/>
  <c r="H42" i="11" s="1"/>
  <c r="J480" i="4"/>
  <c r="J466" i="4"/>
  <c r="H130" i="11" l="1"/>
  <c r="I42" i="11"/>
  <c r="F34" i="8"/>
  <c r="J481" i="4"/>
  <c r="I130" i="11" l="1"/>
  <c r="H118" i="11"/>
  <c r="I118" i="11" s="1"/>
  <c r="F35" i="8"/>
  <c r="I12180" i="4" s="1"/>
  <c r="J12180" i="4" s="1"/>
  <c r="H50" i="11" l="1"/>
  <c r="H97" i="11" s="1"/>
  <c r="I97" i="11" s="1"/>
  <c r="I12137" i="4"/>
  <c r="I5859" i="4"/>
  <c r="I6121" i="4"/>
  <c r="J6121" i="4" s="1"/>
  <c r="J120" i="4"/>
  <c r="J7885" i="4"/>
  <c r="I50" i="11" l="1"/>
  <c r="H59" i="11"/>
  <c r="H140" i="11" s="1"/>
  <c r="J12137" i="4"/>
  <c r="I12158" i="4"/>
  <c r="I5877" i="4"/>
  <c r="J5877" i="4" s="1"/>
  <c r="J5859" i="4"/>
  <c r="I5841" i="4"/>
  <c r="J5841" i="4" s="1"/>
  <c r="I5823" i="4"/>
  <c r="J5823" i="4" s="1"/>
  <c r="I5805" i="4"/>
  <c r="J5805" i="4" s="1"/>
  <c r="I6010" i="4"/>
  <c r="J6010" i="4" s="1"/>
  <c r="I5989" i="4"/>
  <c r="J5989" i="4" s="1"/>
  <c r="I59" i="11" l="1"/>
  <c r="J12158" i="4"/>
  <c r="J12202" i="4"/>
  <c r="I140" i="11"/>
  <c r="H119" i="11"/>
  <c r="I119" i="11" s="1"/>
  <c r="J522" i="4"/>
  <c r="J528" i="4" s="1"/>
  <c r="I6029" i="4" l="1"/>
  <c r="J6029" i="4" s="1"/>
  <c r="J529" i="4"/>
  <c r="J530" i="4" s="1"/>
  <c r="F38" i="8" l="1"/>
  <c r="J140" i="4"/>
  <c r="J537" i="4"/>
  <c r="J540" i="4" l="1"/>
  <c r="J542" i="4" s="1"/>
  <c r="J543" i="4" l="1"/>
  <c r="J544" i="4" s="1"/>
  <c r="I6067" i="4" l="1"/>
  <c r="J6067" i="4" s="1"/>
  <c r="J6069" i="4" s="1"/>
  <c r="J6071" i="4" s="1"/>
  <c r="J545" i="4"/>
  <c r="J352" i="4"/>
  <c r="J164" i="4" l="1"/>
  <c r="F39" i="8"/>
  <c r="H43" i="11" s="1"/>
  <c r="I43" i="11" s="1"/>
  <c r="J366" i="4"/>
  <c r="J353" i="4"/>
  <c r="I6047" i="4" l="1"/>
  <c r="J6085" i="4" s="1"/>
  <c r="F26" i="8"/>
  <c r="J380" i="4"/>
  <c r="J381" i="4" s="1"/>
  <c r="J367" i="4"/>
  <c r="J6047" i="4" l="1"/>
  <c r="F28" i="8"/>
  <c r="F27" i="8"/>
  <c r="I184" i="4" l="1"/>
  <c r="J184" i="4" s="1"/>
  <c r="I137" i="4"/>
  <c r="J137" i="4" s="1"/>
  <c r="I160" i="4"/>
  <c r="J160" i="4" s="1"/>
  <c r="I40" i="4" l="1"/>
  <c r="J40" i="4" s="1"/>
  <c r="J198" i="4"/>
  <c r="J203" i="4" s="1"/>
  <c r="I113" i="4" l="1"/>
  <c r="J113" i="4" s="1"/>
  <c r="J204" i="4"/>
  <c r="J205" i="4" s="1"/>
  <c r="F15" i="8" l="1"/>
  <c r="H13" i="11" s="1"/>
  <c r="I13" i="11" s="1"/>
  <c r="J2116" i="4"/>
  <c r="I2510" i="4" l="1"/>
  <c r="I161" i="4"/>
  <c r="J161" i="4" s="1"/>
  <c r="I4564" i="4" l="1"/>
  <c r="I2529" i="4"/>
  <c r="J2529" i="4" s="1"/>
  <c r="J2510" i="4"/>
  <c r="J2131" i="4"/>
  <c r="J2135" i="4" s="1"/>
  <c r="J2137" i="4" s="1"/>
  <c r="J2138" i="4" s="1"/>
  <c r="I4584" i="4" l="1"/>
  <c r="J4584" i="4" s="1"/>
  <c r="I4816" i="4"/>
  <c r="J4816" i="4" s="1"/>
  <c r="J2139" i="4"/>
  <c r="J2140" i="4" s="1"/>
  <c r="J636" i="4"/>
  <c r="J638" i="4" s="1"/>
  <c r="I4544" i="4" l="1"/>
  <c r="J4544" i="4" s="1"/>
  <c r="I4524" i="4"/>
  <c r="J4524" i="4" s="1"/>
  <c r="F116" i="8"/>
  <c r="J4564" i="4" l="1"/>
  <c r="I3710" i="4" l="1"/>
  <c r="J3710" i="4" s="1"/>
  <c r="J269" i="4"/>
  <c r="J2169" i="4"/>
  <c r="I3691" i="4" l="1"/>
  <c r="J3691" i="4" s="1"/>
  <c r="J270" i="4"/>
  <c r="J271" i="4" s="1"/>
  <c r="I3672" i="4" l="1"/>
  <c r="J3672" i="4" s="1"/>
  <c r="J3675" i="4" s="1"/>
  <c r="J3677" i="4" s="1"/>
  <c r="F19" i="8"/>
  <c r="H39" i="11" s="1"/>
  <c r="I39" i="11" s="1"/>
  <c r="J283" i="4"/>
  <c r="I3769" i="4" l="1"/>
  <c r="J3769" i="4" s="1"/>
  <c r="J284" i="4"/>
  <c r="J285" i="4" s="1"/>
  <c r="I3749" i="4" l="1"/>
  <c r="J3749" i="4" s="1"/>
  <c r="F20" i="8"/>
  <c r="J678" i="4"/>
  <c r="I3729" i="4" l="1"/>
  <c r="J3729" i="4" s="1"/>
  <c r="I3533" i="4" l="1"/>
  <c r="J3533" i="4" s="1"/>
  <c r="I3515" i="4"/>
  <c r="J3515" i="4" s="1"/>
  <c r="J716" i="4" l="1"/>
  <c r="I3849" i="4" l="1"/>
  <c r="J3849" i="4" s="1"/>
  <c r="I3829" i="4" l="1"/>
  <c r="J3829" i="4" s="1"/>
  <c r="I4464" i="4" l="1"/>
  <c r="J4464" i="4" s="1"/>
  <c r="I7824" i="4" l="1"/>
  <c r="J7824" i="4" s="1"/>
  <c r="J867" i="4"/>
  <c r="I4444" i="4" l="1"/>
  <c r="J4444" i="4" s="1"/>
  <c r="I7881" i="4" l="1"/>
  <c r="J7881" i="4" s="1"/>
  <c r="J4404" i="4"/>
  <c r="I4384" i="4" l="1"/>
  <c r="J4384" i="4" s="1"/>
  <c r="I4484" i="4" l="1"/>
  <c r="J4484" i="4" s="1"/>
  <c r="I4146" i="4" l="1"/>
  <c r="J4146" i="4" s="1"/>
  <c r="I4126" i="4" l="1"/>
  <c r="J4126" i="4" s="1"/>
  <c r="I3969" i="4" l="1"/>
  <c r="J3969" i="4" s="1"/>
  <c r="J989" i="4"/>
  <c r="I3988" i="4" l="1"/>
  <c r="J3988" i="4" s="1"/>
  <c r="I4007" i="4" l="1"/>
  <c r="J4007" i="4" s="1"/>
  <c r="I4186" i="4" l="1"/>
  <c r="J4186" i="4" s="1"/>
  <c r="J1029" i="4"/>
  <c r="I4166" i="4" l="1"/>
  <c r="J4166" i="4" s="1"/>
  <c r="I4246" i="4" l="1"/>
  <c r="J4246" i="4" s="1"/>
  <c r="I4226" i="4" l="1"/>
  <c r="J4226" i="4" s="1"/>
  <c r="J1049" i="4"/>
  <c r="I4206" i="4" l="1"/>
  <c r="J4206" i="4" s="1"/>
  <c r="I4086" i="4" l="1"/>
  <c r="J4086" i="4" s="1"/>
  <c r="I4106" i="4" l="1"/>
  <c r="J4106" i="4" s="1"/>
  <c r="I4504" i="4" l="1"/>
  <c r="J4504" i="4" s="1"/>
  <c r="I4026" i="4"/>
  <c r="J4026" i="4" s="1"/>
  <c r="I4046" i="4"/>
  <c r="I4676" i="4" l="1"/>
  <c r="J4676" i="4" s="1"/>
  <c r="I4066" i="4"/>
  <c r="J4066" i="4" s="1"/>
  <c r="J4046" i="4"/>
  <c r="I3889" i="4" l="1"/>
  <c r="I3949" i="4" l="1"/>
  <c r="J3949" i="4" s="1"/>
  <c r="J3889" i="4"/>
  <c r="I3869" i="4" l="1"/>
  <c r="J3869" i="4" s="1"/>
  <c r="I3929" i="4"/>
  <c r="J3929" i="4" s="1"/>
  <c r="I3909" i="4" l="1"/>
  <c r="J3909" i="4" s="1"/>
  <c r="I4304" i="4" l="1"/>
  <c r="J4304" i="4" s="1"/>
  <c r="I4284" i="4" l="1"/>
  <c r="J4284" i="4" s="1"/>
  <c r="I4736" i="4"/>
  <c r="J4736" i="4" s="1"/>
  <c r="I4776" i="4"/>
  <c r="J4776" i="4" s="1"/>
  <c r="J4796" i="4" l="1"/>
  <c r="I4756" i="4" l="1"/>
  <c r="J4756" i="4" s="1"/>
  <c r="I7917" i="4" l="1"/>
  <c r="J7917" i="4" s="1"/>
  <c r="I7899" i="4"/>
  <c r="J7899" i="4" s="1"/>
  <c r="I7860" i="4" l="1"/>
  <c r="J7860" i="4" s="1"/>
  <c r="I7861" i="4" s="1"/>
  <c r="I7803" i="4"/>
  <c r="J7803" i="4" s="1"/>
  <c r="I7842" i="4"/>
  <c r="J7842" i="4" s="1"/>
  <c r="I7843" i="4" s="1"/>
  <c r="J7843" i="4" s="1"/>
  <c r="I7785" i="4" l="1"/>
  <c r="J7785" i="4" s="1"/>
  <c r="J7861" i="4"/>
  <c r="J1200" i="4"/>
  <c r="J1202" i="4" s="1"/>
  <c r="I7900" i="4" l="1"/>
  <c r="I7937" i="4"/>
  <c r="J7937" i="4" s="1"/>
  <c r="I7918" i="4" l="1"/>
  <c r="J7918" i="4" s="1"/>
  <c r="J7900" i="4"/>
  <c r="J7598" i="4" l="1"/>
  <c r="J7599" i="4" l="1"/>
  <c r="J7600" i="4" s="1"/>
  <c r="I7725" i="4"/>
  <c r="J7725" i="4" s="1"/>
  <c r="J7729" i="4" s="1"/>
  <c r="J7706" i="4"/>
  <c r="J7709" i="4" s="1"/>
  <c r="J2606" i="4"/>
  <c r="J1274" i="4" l="1"/>
  <c r="J1276" i="4" s="1"/>
  <c r="I8074" i="4" l="1"/>
  <c r="I8020" i="4" l="1"/>
  <c r="J2628" i="4"/>
  <c r="I8128" i="4" l="1"/>
  <c r="J8128" i="4" s="1"/>
  <c r="I8110" i="4"/>
  <c r="I8056" i="4" l="1"/>
  <c r="J8074" i="4" l="1"/>
  <c r="I8075" i="4" s="1"/>
  <c r="J8075" i="4" s="1"/>
  <c r="J8076" i="4" s="1"/>
  <c r="J8078" i="4" s="1"/>
  <c r="J8020" i="4" l="1"/>
  <c r="I8092" i="4" l="1"/>
  <c r="J8092" i="4" s="1"/>
  <c r="I8093" i="4" s="1"/>
  <c r="J8093" i="4" s="1"/>
  <c r="J8094" i="4" s="1"/>
  <c r="J8096" i="4" s="1"/>
  <c r="J8110" i="4" l="1"/>
  <c r="I8111" i="4" s="1"/>
  <c r="J8111" i="4" s="1"/>
  <c r="I8129" i="4" s="1"/>
  <c r="J8129" i="4" s="1"/>
  <c r="J8056" i="4" l="1"/>
  <c r="I8057" i="4" s="1"/>
  <c r="J8057" i="4" s="1"/>
  <c r="J8058" i="4" s="1"/>
  <c r="J8060" i="4" s="1"/>
  <c r="J1365" i="4" l="1"/>
  <c r="J1387" i="4" l="1"/>
  <c r="I8182" i="4" l="1"/>
  <c r="J8182" i="4" s="1"/>
  <c r="I8183" i="4" s="1"/>
  <c r="J8183" i="4" s="1"/>
  <c r="J8184" i="4" s="1"/>
  <c r="J8186" i="4" s="1"/>
  <c r="I8200" i="4" l="1"/>
  <c r="J8200" i="4" s="1"/>
  <c r="I8201" i="4" s="1"/>
  <c r="J8201" i="4" s="1"/>
  <c r="I8236" i="4" l="1"/>
  <c r="J8236" i="4" s="1"/>
  <c r="I8237" i="4" s="1"/>
  <c r="J8237" i="4" s="1"/>
  <c r="I8218" i="4"/>
  <c r="J8218" i="4" s="1"/>
  <c r="I8219" i="4" s="1"/>
  <c r="J8219" i="4" s="1"/>
  <c r="J1456" i="4" l="1"/>
  <c r="J1458" i="4"/>
  <c r="I8146" i="4" l="1"/>
  <c r="J8146" i="4" s="1"/>
  <c r="I8147" i="4" s="1"/>
  <c r="J8147" i="4" s="1"/>
  <c r="I8254" i="4" l="1"/>
  <c r="J8254" i="4" s="1"/>
  <c r="I8255" i="4" s="1"/>
  <c r="J8255" i="4" s="1"/>
  <c r="I8164" i="4" l="1"/>
  <c r="J8164" i="4" s="1"/>
  <c r="I8165" i="4" s="1"/>
  <c r="J8165" i="4" s="1"/>
  <c r="I8290" i="4" l="1"/>
  <c r="I8272" i="4"/>
  <c r="J8272" i="4" s="1"/>
  <c r="I8273" i="4" s="1"/>
  <c r="J8273" i="4" s="1"/>
  <c r="I10937" i="4" l="1"/>
  <c r="J10937" i="4" s="1"/>
  <c r="I9568" i="4"/>
  <c r="J9568" i="4" s="1"/>
  <c r="I10410" i="4"/>
  <c r="J10410" i="4" s="1"/>
  <c r="I9023" i="4"/>
  <c r="J9023" i="4" s="1"/>
  <c r="I8351" i="4"/>
  <c r="J8351" i="4" s="1"/>
  <c r="I8310" i="4"/>
  <c r="J8310" i="4" s="1"/>
  <c r="I8330" i="4"/>
  <c r="J8330" i="4" s="1"/>
  <c r="J8290" i="4"/>
  <c r="I10393" i="4" l="1"/>
  <c r="J10393" i="4" s="1"/>
  <c r="I9551" i="4"/>
  <c r="J9551" i="4" s="1"/>
  <c r="J9552" i="4" s="1"/>
  <c r="J9555" i="4" s="1"/>
  <c r="I10920" i="4"/>
  <c r="J10920" i="4" s="1"/>
  <c r="I9006" i="4"/>
  <c r="J9006" i="4" s="1"/>
  <c r="I9534" i="4" l="1"/>
  <c r="J9534" i="4" s="1"/>
  <c r="I10376" i="4"/>
  <c r="J10376" i="4" s="1"/>
  <c r="I10903" i="4"/>
  <c r="J10903" i="4" s="1"/>
  <c r="I8989" i="4"/>
  <c r="J8989" i="4" s="1"/>
  <c r="J8990" i="4" s="1"/>
  <c r="J8993" i="4" s="1"/>
  <c r="J1516" i="4"/>
  <c r="I10886" i="4" l="1"/>
  <c r="J10886" i="4" s="1"/>
  <c r="J10887" i="4" s="1"/>
  <c r="J10890" i="4" s="1"/>
  <c r="I9517" i="4"/>
  <c r="J9517" i="4" s="1"/>
  <c r="J9518" i="4" s="1"/>
  <c r="J9521" i="4" s="1"/>
  <c r="I10359" i="4"/>
  <c r="J10359" i="4" s="1"/>
  <c r="I8972" i="4"/>
  <c r="J8972" i="4" s="1"/>
  <c r="I10869" i="4" l="1"/>
  <c r="J10869" i="4" s="1"/>
  <c r="I9500" i="4"/>
  <c r="J9500" i="4" s="1"/>
  <c r="I10342" i="4"/>
  <c r="J10342" i="4" s="1"/>
  <c r="J10343" i="4" s="1"/>
  <c r="J10346" i="4" s="1"/>
  <c r="I8955" i="4"/>
  <c r="J8955" i="4" s="1"/>
  <c r="I10325" i="4" l="1"/>
  <c r="J10325" i="4" s="1"/>
  <c r="I10852" i="4"/>
  <c r="J10852" i="4" s="1"/>
  <c r="I9483" i="4"/>
  <c r="J9483" i="4" s="1"/>
  <c r="I8938" i="4"/>
  <c r="J8938" i="4" s="1"/>
  <c r="I8921" i="4"/>
  <c r="J8921" i="4" s="1"/>
  <c r="I9466" i="4" l="1"/>
  <c r="J9466" i="4" s="1"/>
  <c r="I10835" i="4"/>
  <c r="J10835" i="4" s="1"/>
  <c r="I10308" i="4"/>
  <c r="J10308" i="4" s="1"/>
  <c r="I8478" i="4" l="1"/>
  <c r="I8580" i="4" s="1"/>
  <c r="J8580" i="4" s="1"/>
  <c r="J8581" i="4" s="1"/>
  <c r="J8584" i="4" s="1"/>
  <c r="J8602" i="4" s="1"/>
  <c r="I8495" i="4" l="1"/>
  <c r="J8495" i="4" s="1"/>
  <c r="J8478" i="4"/>
  <c r="I8529" i="4"/>
  <c r="J8529" i="4" s="1"/>
  <c r="I8546" i="4"/>
  <c r="J8546" i="4" s="1"/>
  <c r="I8512" i="4"/>
  <c r="J8512" i="4" s="1"/>
  <c r="I8632" i="4"/>
  <c r="J8632" i="4" s="1"/>
  <c r="J8633" i="4" s="1"/>
  <c r="J8636" i="4" s="1"/>
  <c r="I8615" i="4"/>
  <c r="J8615" i="4" s="1"/>
  <c r="I8597" i="4"/>
  <c r="J8597" i="4" s="1"/>
  <c r="I8563" i="4"/>
  <c r="J8563" i="4" s="1"/>
  <c r="I8461" i="4"/>
  <c r="J8461" i="4" s="1"/>
  <c r="I8444" i="4" l="1"/>
  <c r="J8444" i="4" s="1"/>
  <c r="I8427" i="4" l="1"/>
  <c r="J8427" i="4" s="1"/>
  <c r="J8428" i="4" s="1"/>
  <c r="J8431" i="4" s="1"/>
  <c r="I8393" i="4" l="1"/>
  <c r="I8410" i="4" s="1"/>
  <c r="J8410" i="4" s="1"/>
  <c r="J8393" i="4" l="1"/>
  <c r="J8394" i="4" s="1"/>
  <c r="J8397" i="4" s="1"/>
  <c r="I8372" i="4" l="1"/>
  <c r="J8372" i="4" s="1"/>
  <c r="J8373" i="4" s="1"/>
  <c r="J8376" i="4" s="1"/>
  <c r="I9850" i="4" l="1"/>
  <c r="J9850" i="4" s="1"/>
  <c r="J9851" i="4" s="1"/>
  <c r="J9854" i="4" s="1"/>
  <c r="I9833" i="4" l="1"/>
  <c r="J9833" i="4" s="1"/>
  <c r="I9816" i="4" l="1"/>
  <c r="J9816" i="4" s="1"/>
  <c r="I9799" i="4" l="1"/>
  <c r="J9799" i="4" s="1"/>
  <c r="I9782" i="4" l="1"/>
  <c r="J9782" i="4" s="1"/>
  <c r="J9783" i="4" s="1"/>
  <c r="J9786" i="4" s="1"/>
  <c r="I9765" i="4" l="1"/>
  <c r="J9765" i="4" s="1"/>
  <c r="I9748" i="4" l="1"/>
  <c r="J9748" i="4" s="1"/>
  <c r="J1696" i="4"/>
  <c r="I10219" i="4" l="1"/>
  <c r="J10219" i="4" s="1"/>
  <c r="I8836" i="4"/>
  <c r="J8836" i="4" s="1"/>
  <c r="I11819" i="4"/>
  <c r="J11819" i="4" s="1"/>
  <c r="I8819" i="4" l="1"/>
  <c r="J8819" i="4" s="1"/>
  <c r="I10201" i="4"/>
  <c r="J10201" i="4" s="1"/>
  <c r="J10202" i="4" s="1"/>
  <c r="J10205" i="4" s="1"/>
  <c r="I11799" i="4"/>
  <c r="J11799" i="4" s="1"/>
  <c r="I11779" i="4" l="1"/>
  <c r="J11779" i="4" s="1"/>
  <c r="I10183" i="4" l="1"/>
  <c r="J10183" i="4" s="1"/>
  <c r="I8802" i="4"/>
  <c r="J8802" i="4" s="1"/>
  <c r="I11759" i="4"/>
  <c r="J11759" i="4" s="1"/>
  <c r="I10165" i="4" l="1"/>
  <c r="J10165" i="4" s="1"/>
  <c r="I8785" i="4"/>
  <c r="J8785" i="4" s="1"/>
  <c r="J8786" i="4" s="1"/>
  <c r="J8789" i="4" s="1"/>
  <c r="I11739" i="4"/>
  <c r="J11739" i="4" s="1"/>
  <c r="I11719" i="4" l="1"/>
  <c r="J11719" i="4" s="1"/>
  <c r="J11720" i="4" s="1"/>
  <c r="I10147" i="4"/>
  <c r="J10147" i="4" s="1"/>
  <c r="I8768" i="4"/>
  <c r="J8768" i="4" s="1"/>
  <c r="I11699" i="4" l="1"/>
  <c r="J11699" i="4" s="1"/>
  <c r="I10129" i="4"/>
  <c r="J10129" i="4" s="1"/>
  <c r="I8751" i="4"/>
  <c r="J8751" i="4" s="1"/>
  <c r="I11679" i="4" l="1"/>
  <c r="J11679" i="4" s="1"/>
  <c r="J11680" i="4" s="1"/>
  <c r="I10111" i="4"/>
  <c r="J10111" i="4" s="1"/>
  <c r="I8734" i="4"/>
  <c r="J8734" i="4" s="1"/>
  <c r="I11659" i="4" l="1"/>
  <c r="J11659" i="4" s="1"/>
  <c r="I10093" i="4"/>
  <c r="J10093" i="4" s="1"/>
  <c r="I8717" i="4"/>
  <c r="J8717" i="4" s="1"/>
  <c r="I10075" i="4" l="1"/>
  <c r="J10075" i="4" s="1"/>
  <c r="I11639" i="4"/>
  <c r="J11639" i="4" s="1"/>
  <c r="I8700" i="4"/>
  <c r="J8700" i="4" s="1"/>
  <c r="I10057" i="4" l="1"/>
  <c r="J10057" i="4" s="1"/>
  <c r="I11619" i="4"/>
  <c r="J11619" i="4" s="1"/>
  <c r="I8683" i="4"/>
  <c r="J8683" i="4" s="1"/>
  <c r="I11599" i="4" l="1"/>
  <c r="J11599" i="4" s="1"/>
  <c r="J11600" i="4" s="1"/>
  <c r="I10039" i="4"/>
  <c r="J10039" i="4" s="1"/>
  <c r="I8666" i="4"/>
  <c r="J8666" i="4" s="1"/>
  <c r="I8649" i="4" l="1"/>
  <c r="J8649" i="4" s="1"/>
  <c r="I10021" i="4"/>
  <c r="J10021" i="4" s="1"/>
  <c r="I11108" i="4" l="1"/>
  <c r="J11108" i="4" s="1"/>
  <c r="J11109" i="4" s="1"/>
  <c r="J11112" i="4" s="1"/>
  <c r="I11125" i="4" l="1"/>
  <c r="J11125" i="4" s="1"/>
  <c r="I11142" i="4" l="1"/>
  <c r="J11142" i="4" s="1"/>
  <c r="I11159" i="4" l="1"/>
  <c r="J11159" i="4" s="1"/>
  <c r="J3133" i="4" l="1"/>
  <c r="J3241" i="4" l="1"/>
  <c r="J3243" i="4" s="1"/>
  <c r="J3259" i="4" l="1"/>
  <c r="J3261" i="4" s="1"/>
  <c r="J4084" i="4" l="1"/>
  <c r="J4090" i="4" s="1"/>
  <c r="J4093" i="4" l="1"/>
  <c r="J4094" i="4" s="1"/>
  <c r="J4095" i="4" s="1"/>
  <c r="J4448" i="4" l="1"/>
  <c r="J4450" i="4" s="1"/>
  <c r="I11387" i="4" l="1"/>
  <c r="J11387" i="4" s="1"/>
  <c r="I11370" i="4" l="1"/>
  <c r="J11370" i="4" s="1"/>
  <c r="I11353" i="4" l="1"/>
  <c r="J11353" i="4" s="1"/>
  <c r="J4682" i="4" l="1"/>
  <c r="J4722" i="4" l="1"/>
  <c r="J4782" i="4" l="1"/>
  <c r="J4800" i="4" l="1"/>
  <c r="J4802" i="4" l="1"/>
  <c r="J7745" i="4" l="1"/>
  <c r="J4821" i="4"/>
  <c r="J4823" i="4" s="1"/>
  <c r="I7765" i="4" l="1"/>
  <c r="J7765" i="4" s="1"/>
  <c r="I12037" i="4" l="1"/>
  <c r="J12037" i="4" s="1"/>
  <c r="I12016" i="4" l="1"/>
  <c r="J12016" i="4" s="1"/>
  <c r="I6139" i="4" l="1"/>
  <c r="J6139" i="4" s="1"/>
  <c r="I4931" i="4" l="1"/>
  <c r="J4931" i="4" s="1"/>
  <c r="J4932" i="4" s="1"/>
  <c r="J4934" i="4" s="1"/>
  <c r="I4658" i="4" l="1"/>
  <c r="I4896" i="4" l="1"/>
  <c r="J4896" i="4" s="1"/>
  <c r="I4949" i="4"/>
  <c r="J4949" i="4" s="1"/>
  <c r="J4895" i="4" l="1"/>
  <c r="J4897" i="4" s="1"/>
  <c r="J4899" i="4" s="1"/>
  <c r="I4948" i="4" l="1"/>
  <c r="J4948" i="4" s="1"/>
  <c r="J4950" i="4" s="1"/>
  <c r="J4952" i="4" s="1"/>
  <c r="J4658" i="4" l="1"/>
  <c r="I4640" i="4"/>
  <c r="J4640" i="4" s="1"/>
  <c r="I4913" i="4" l="1"/>
  <c r="J4913" i="4" s="1"/>
  <c r="I7427" i="4"/>
  <c r="J7427" i="4" s="1"/>
  <c r="I7032" i="4" l="1"/>
  <c r="J7032" i="4" s="1"/>
  <c r="I7050" i="4" l="1"/>
  <c r="J7050" i="4" s="1"/>
  <c r="I7067" i="4" l="1"/>
  <c r="J7067" i="4" s="1"/>
  <c r="I7101" i="4" l="1"/>
  <c r="J7101" i="4" s="1"/>
  <c r="F229" i="8"/>
  <c r="I6978" i="4" l="1"/>
  <c r="J6978" i="4" s="1"/>
  <c r="I115" i="4"/>
  <c r="J115" i="4" s="1"/>
  <c r="J6996" i="4" l="1"/>
  <c r="J2419" i="4"/>
  <c r="I7014" i="4" l="1"/>
  <c r="J7014" i="4" s="1"/>
  <c r="I7084" i="4" l="1"/>
  <c r="J7084" i="4" s="1"/>
  <c r="I2472" i="4" l="1"/>
  <c r="J2472" i="4" s="1"/>
  <c r="I2491" i="4" l="1"/>
  <c r="J2491" i="4" s="1"/>
  <c r="I114" i="4"/>
  <c r="J114" i="4" s="1"/>
  <c r="I2313" i="4" l="1"/>
  <c r="J2313" i="4" s="1"/>
  <c r="J2314" i="4" s="1"/>
  <c r="J2316" i="4" s="1"/>
  <c r="J2494" i="4"/>
  <c r="J2496" i="4" s="1"/>
  <c r="I2330" i="4" l="1"/>
  <c r="J2330" i="4" s="1"/>
  <c r="J2331" i="4" s="1"/>
  <c r="J2333" i="4" s="1"/>
  <c r="I2347" i="4" l="1"/>
  <c r="J2347" i="4" s="1"/>
  <c r="J2348" i="4" s="1"/>
  <c r="J2350" i="4" s="1"/>
  <c r="I6876" i="4" l="1"/>
  <c r="J6876" i="4" s="1"/>
  <c r="I6910" i="4" l="1"/>
  <c r="J6910" i="4" s="1"/>
  <c r="I6927" i="4" l="1"/>
  <c r="J6927" i="4" s="1"/>
  <c r="I6789" i="4" l="1"/>
  <c r="J6789" i="4" s="1"/>
  <c r="I6806" i="4" l="1"/>
  <c r="J6806" i="4" s="1"/>
  <c r="I6403" i="4" l="1"/>
  <c r="J6403" i="4" s="1"/>
  <c r="I6859" i="4" l="1"/>
  <c r="J6859" i="4" s="1"/>
  <c r="I6824" i="4"/>
  <c r="J6824" i="4" s="1"/>
  <c r="I6842" i="4" l="1"/>
  <c r="J6842" i="4" s="1"/>
  <c r="J6843" i="4" s="1"/>
  <c r="J6845" i="4" s="1"/>
  <c r="I6961" i="4" l="1"/>
  <c r="J6961" i="4" s="1"/>
  <c r="I6893" i="4" l="1"/>
  <c r="J6893" i="4" s="1"/>
  <c r="I6772" i="4" l="1"/>
  <c r="J6772" i="4" s="1"/>
  <c r="I116" i="4" l="1"/>
  <c r="J116" i="4" s="1"/>
  <c r="I6721" i="4" l="1"/>
  <c r="J6721" i="4" s="1"/>
  <c r="J6722" i="4" s="1"/>
  <c r="J6724" i="4" s="1"/>
  <c r="I6755" i="4" l="1"/>
  <c r="J6755" i="4" s="1"/>
  <c r="I6738" i="4"/>
  <c r="J6738" i="4" s="1"/>
  <c r="J2418" i="4" l="1"/>
  <c r="I6944" i="4" l="1"/>
  <c r="J6944" i="4" s="1"/>
  <c r="I2420" i="4" l="1"/>
  <c r="J2420" i="4" s="1"/>
  <c r="I7033" i="4"/>
  <c r="J7033" i="4" s="1"/>
  <c r="I2383" i="4"/>
  <c r="J2383" i="4" s="1"/>
  <c r="I7102" i="4"/>
  <c r="J7102" i="4" s="1"/>
  <c r="I6979" i="4"/>
  <c r="J6979" i="4" s="1"/>
  <c r="I7015" i="4"/>
  <c r="J7015" i="4" s="1"/>
  <c r="I6997" i="4"/>
  <c r="J6997" i="4" s="1"/>
  <c r="J2384" i="4" l="1"/>
  <c r="J2386" i="4" s="1"/>
  <c r="J2421" i="4"/>
  <c r="J2423" i="4" s="1"/>
  <c r="I2437" i="4" l="1"/>
  <c r="J2437" i="4" s="1"/>
  <c r="J2438" i="4" s="1"/>
  <c r="J2440" i="4" s="1"/>
  <c r="I1361" i="4" l="1"/>
  <c r="J1361" i="4" s="1"/>
  <c r="I1571" i="4"/>
  <c r="I1484" i="4"/>
  <c r="J1484" i="4" s="1"/>
  <c r="I1339" i="4"/>
  <c r="J1339" i="4" s="1"/>
  <c r="I1403" i="4"/>
  <c r="J1403" i="4" s="1"/>
  <c r="I1317" i="4"/>
  <c r="J1317" i="4" s="1"/>
  <c r="I1542" i="4"/>
  <c r="J1542" i="4" s="1"/>
  <c r="I1384" i="4"/>
  <c r="J1384" i="4" s="1"/>
  <c r="I1513" i="4"/>
  <c r="J1513" i="4" s="1"/>
  <c r="I1295" i="4"/>
  <c r="J1295" i="4" s="1"/>
  <c r="I134" i="4"/>
  <c r="J134" i="4" s="1"/>
  <c r="I15" i="4"/>
  <c r="J15" i="4" s="1"/>
  <c r="I104" i="4"/>
  <c r="J104" i="4" s="1"/>
  <c r="I62" i="4"/>
  <c r="J62" i="4" s="1"/>
  <c r="I154" i="4"/>
  <c r="J154" i="4" s="1"/>
  <c r="I38" i="4"/>
  <c r="J38" i="4" s="1"/>
  <c r="J46" i="4" s="1"/>
  <c r="I178" i="4"/>
  <c r="J178" i="4" s="1"/>
  <c r="I216" i="4"/>
  <c r="J216" i="4" s="1"/>
  <c r="J22" i="4" l="1"/>
  <c r="J162" i="4"/>
  <c r="J138" i="4"/>
  <c r="J218" i="4"/>
  <c r="J220" i="4" s="1"/>
  <c r="I1600" i="4"/>
  <c r="J1600" i="4" s="1"/>
  <c r="J1571" i="4"/>
  <c r="J1404" i="4"/>
  <c r="J1406" i="4" s="1"/>
  <c r="J5187" i="4" l="1"/>
  <c r="J5189" i="4" s="1"/>
  <c r="J7466" i="4" l="1"/>
  <c r="I5280" i="4" l="1"/>
  <c r="J5280" i="4" s="1"/>
  <c r="J5282" i="4" s="1"/>
  <c r="J5284" i="4" s="1"/>
  <c r="I6344" i="4" l="1"/>
  <c r="J6344" i="4" s="1"/>
  <c r="I6324" i="4"/>
  <c r="J6324" i="4" s="1"/>
  <c r="I6645" i="4"/>
  <c r="J6645" i="4" s="1"/>
  <c r="I117" i="4"/>
  <c r="J117" i="4" s="1"/>
  <c r="I185" i="4"/>
  <c r="J185" i="4" s="1"/>
  <c r="I5914" i="4" l="1"/>
  <c r="J5914" i="4" s="1"/>
  <c r="I6682" i="4"/>
  <c r="J6682" i="4" s="1"/>
  <c r="J186" i="4"/>
  <c r="J188" i="4" s="1"/>
  <c r="J118" i="4"/>
  <c r="I1294" i="4" l="1"/>
  <c r="J1294" i="4" s="1"/>
  <c r="J1296" i="4" s="1"/>
  <c r="I1338" i="4"/>
  <c r="J1338" i="4" s="1"/>
  <c r="I1570" i="4"/>
  <c r="I1316" i="4"/>
  <c r="J1316" i="4" s="1"/>
  <c r="I1512" i="4"/>
  <c r="J1512" i="4" s="1"/>
  <c r="I1541" i="4"/>
  <c r="J1541" i="4" s="1"/>
  <c r="I1483" i="4"/>
  <c r="J1483" i="4" s="1"/>
  <c r="I1360" i="4"/>
  <c r="J1360" i="4" s="1"/>
  <c r="I1383" i="4"/>
  <c r="J1383" i="4" s="1"/>
  <c r="J1363" i="4" l="1"/>
  <c r="J1318" i="4"/>
  <c r="J1320" i="4" s="1"/>
  <c r="J1485" i="4"/>
  <c r="J1487" i="4" s="1"/>
  <c r="I1599" i="4"/>
  <c r="J1599" i="4" s="1"/>
  <c r="J1601" i="4" s="1"/>
  <c r="J1603" i="4" s="1"/>
  <c r="J1570" i="4"/>
  <c r="J1572" i="4" s="1"/>
  <c r="J1574" i="4" s="1"/>
  <c r="J1543" i="4"/>
  <c r="J1545" i="4" s="1"/>
  <c r="J1340" i="4"/>
  <c r="J1342" i="4" s="1"/>
  <c r="J1385" i="4"/>
  <c r="J1514" i="4"/>
  <c r="I6382" i="4" l="1"/>
  <c r="I6625" i="4"/>
  <c r="J6625" i="4" s="1"/>
  <c r="I6700" i="4" l="1"/>
  <c r="J6700" i="4" s="1"/>
  <c r="I6402" i="4"/>
  <c r="J6402" i="4" s="1"/>
  <c r="J6382" i="4"/>
  <c r="J5151" i="4" l="1"/>
  <c r="J5153" i="4" s="1"/>
  <c r="J5155" i="4" s="1"/>
  <c r="I4914" i="4" l="1"/>
  <c r="J4914" i="4" s="1"/>
  <c r="I6401" i="4"/>
  <c r="J6401" i="4" s="1"/>
  <c r="I6268" i="4"/>
  <c r="J6268" i="4" s="1"/>
  <c r="I6214" i="4"/>
  <c r="J6214" i="4" s="1"/>
  <c r="I4641" i="4"/>
  <c r="J4641" i="4" s="1"/>
  <c r="I6381" i="4"/>
  <c r="J6381" i="4" s="1"/>
  <c r="I6195" i="4"/>
  <c r="J6195" i="4" s="1"/>
  <c r="J6196" i="4" s="1"/>
  <c r="J6198" i="4" s="1"/>
  <c r="I6286" i="4"/>
  <c r="J6286" i="4" s="1"/>
  <c r="I6343" i="4"/>
  <c r="J6343" i="4" s="1"/>
  <c r="I6323" i="4"/>
  <c r="J6323" i="4" s="1"/>
  <c r="I4659" i="4"/>
  <c r="J4659" i="4" s="1"/>
  <c r="I6646" i="4"/>
  <c r="J6646" i="4" s="1"/>
  <c r="I6304" i="4"/>
  <c r="J6304" i="4" s="1"/>
  <c r="I4605" i="4"/>
  <c r="J4605" i="4" s="1"/>
  <c r="I7428" i="4"/>
  <c r="J7428" i="4" s="1"/>
  <c r="I6626" i="4"/>
  <c r="J6626" i="4" s="1"/>
  <c r="I4623" i="4"/>
  <c r="J4623" i="4" s="1"/>
  <c r="J4660" i="4" l="1"/>
  <c r="J4662" i="4" s="1"/>
  <c r="J4642" i="4"/>
  <c r="J4644" i="4" s="1"/>
  <c r="J4915" i="4"/>
  <c r="J4917" i="4" s="1"/>
  <c r="I7148" i="4" l="1"/>
  <c r="J7148" i="4" s="1"/>
  <c r="I7133" i="4"/>
  <c r="J7133" i="4" s="1"/>
  <c r="J8038" i="4" l="1"/>
  <c r="J5555" i="4" l="1"/>
  <c r="J5573" i="4" l="1"/>
  <c r="J5575" i="4" s="1"/>
  <c r="J5591" i="4" l="1"/>
  <c r="J5593" i="4" s="1"/>
  <c r="I249" i="4" l="1"/>
  <c r="J249" i="4" s="1"/>
  <c r="J252" i="4" s="1"/>
  <c r="J255" i="4" s="1"/>
  <c r="J256" i="4" s="1"/>
  <c r="J257" i="4" s="1"/>
  <c r="F18" i="8" s="1"/>
  <c r="I3294" i="4" l="1"/>
  <c r="I2915" i="4"/>
  <c r="J2915" i="4" s="1"/>
  <c r="I2895" i="4"/>
  <c r="J2895" i="4" s="1"/>
  <c r="I2875" i="4"/>
  <c r="J2875" i="4" s="1"/>
  <c r="I2741" i="4"/>
  <c r="J2741" i="4" s="1"/>
  <c r="I507" i="4"/>
  <c r="J507" i="4" s="1"/>
  <c r="I674" i="4"/>
  <c r="J674" i="4" s="1"/>
  <c r="I694" i="4"/>
  <c r="J694" i="4" s="1"/>
  <c r="I653" i="4"/>
  <c r="J653" i="4" s="1"/>
  <c r="J696" i="4" l="1"/>
  <c r="J698" i="4" s="1"/>
  <c r="J2877" i="4"/>
  <c r="J2897" i="4"/>
  <c r="J510" i="4"/>
  <c r="J512" i="4" s="1"/>
  <c r="J2917" i="4"/>
  <c r="J676" i="4"/>
  <c r="J656" i="4"/>
  <c r="J2743" i="4"/>
  <c r="J2745" i="4" s="1"/>
  <c r="I3351" i="4"/>
  <c r="J3351" i="4" s="1"/>
  <c r="J3353" i="4" s="1"/>
  <c r="J3355" i="4" s="1"/>
  <c r="I3460" i="4"/>
  <c r="J3460" i="4" s="1"/>
  <c r="J3462" i="4" s="1"/>
  <c r="J3464" i="4" s="1"/>
  <c r="I3313" i="4"/>
  <c r="J3313" i="4" s="1"/>
  <c r="I3332" i="4"/>
  <c r="J3332" i="4" s="1"/>
  <c r="J3294" i="4"/>
  <c r="J3296" i="4" l="1"/>
  <c r="J3298" i="4" s="1"/>
  <c r="J3334" i="4"/>
  <c r="J3336" i="4" s="1"/>
  <c r="J3315" i="4"/>
  <c r="J3317" i="4" s="1"/>
  <c r="J12074" i="4" l="1"/>
  <c r="J12078" i="4" s="1"/>
  <c r="J7959" i="4" l="1"/>
  <c r="I7879" i="4"/>
  <c r="J7879" i="4" s="1"/>
  <c r="J8003" i="4"/>
  <c r="J7981" i="4"/>
  <c r="I313" i="4" l="1"/>
  <c r="J313" i="4" s="1"/>
  <c r="I314" i="4" l="1"/>
  <c r="J314" i="4" s="1"/>
  <c r="J318" i="4" s="1"/>
  <c r="J320" i="4" s="1"/>
  <c r="J331" i="4" s="1"/>
  <c r="J337" i="4" l="1"/>
  <c r="J338" i="4" s="1"/>
  <c r="J339" i="4" s="1"/>
  <c r="F25" i="8" s="1"/>
  <c r="H40" i="11" s="1"/>
  <c r="H146" i="11" s="1"/>
  <c r="I146" i="11" s="1"/>
  <c r="I1107" i="4"/>
  <c r="J1107" i="4" s="1"/>
  <c r="J1109" i="4" s="1"/>
  <c r="J1111" i="4" s="1"/>
  <c r="I40" i="11" l="1"/>
  <c r="H41" i="11"/>
  <c r="I41" i="11" s="1"/>
  <c r="H129" i="11"/>
  <c r="H117" i="11" s="1"/>
  <c r="I117" i="11" s="1"/>
  <c r="I1147" i="4"/>
  <c r="J1147" i="4" s="1"/>
  <c r="J1148" i="4" s="1"/>
  <c r="J1150" i="4" s="1"/>
  <c r="I45" i="11" l="1"/>
  <c r="E17" i="16" s="1"/>
  <c r="I129" i="11"/>
  <c r="H94" i="11"/>
  <c r="I94" i="11" s="1"/>
  <c r="I1164" i="4"/>
  <c r="J1164" i="4" s="1"/>
  <c r="J1165" i="4" s="1"/>
  <c r="J1167" i="4" s="1"/>
  <c r="I1181" i="4" l="1"/>
  <c r="J1181" i="4" s="1"/>
  <c r="J1182" i="4" s="1"/>
  <c r="J1184" i="4" s="1"/>
  <c r="I2622" i="4" l="1"/>
  <c r="J2622" i="4" s="1"/>
  <c r="I1775" i="4"/>
  <c r="J1775" i="4" s="1"/>
  <c r="I1796" i="4"/>
  <c r="J1796" i="4" s="1"/>
  <c r="I1755" i="4"/>
  <c r="J1755" i="4" s="1"/>
  <c r="I1753" i="4" l="1"/>
  <c r="J1753" i="4" s="1"/>
  <c r="I1793" i="4"/>
  <c r="J1793" i="4" s="1"/>
  <c r="J1797" i="4" s="1"/>
  <c r="I1773" i="4"/>
  <c r="J1773" i="4" s="1"/>
  <c r="J1776" i="4" l="1"/>
  <c r="J1778" i="4" s="1"/>
  <c r="I2119" i="4" l="1"/>
  <c r="J2119" i="4" s="1"/>
  <c r="J2121" i="4" l="1"/>
  <c r="J2124" i="4" s="1"/>
  <c r="J2125" i="4" s="1"/>
  <c r="J2126" i="4" s="1"/>
  <c r="F115" i="8" s="1"/>
  <c r="I2584" i="4"/>
  <c r="J2584" i="4" s="1"/>
  <c r="I2620" i="4"/>
  <c r="I2602" i="4"/>
  <c r="I2621" i="4" l="1"/>
  <c r="J2621" i="4" s="1"/>
  <c r="J2602" i="4"/>
  <c r="J2585" i="4"/>
  <c r="I2587" i="4" l="1"/>
  <c r="J2587" i="4" s="1"/>
  <c r="J2588" i="4" s="1"/>
  <c r="I2624" i="4"/>
  <c r="J2624" i="4" s="1"/>
  <c r="I2623" i="4"/>
  <c r="J2623" i="4" s="1"/>
  <c r="J2620" i="4"/>
  <c r="J2603" i="4"/>
  <c r="I2605" i="4" s="1"/>
  <c r="J2605" i="4" s="1"/>
  <c r="I3110" i="4" l="1"/>
  <c r="J3110" i="4" s="1"/>
  <c r="J2625" i="4"/>
  <c r="J2627" i="4" s="1"/>
  <c r="I3129" i="4" l="1"/>
  <c r="J3129" i="4" s="1"/>
  <c r="I3637" i="4" l="1"/>
  <c r="J3637" i="4" s="1"/>
  <c r="J3130" i="4"/>
  <c r="J3131" i="4" s="1"/>
  <c r="I3654" i="4"/>
  <c r="J3654" i="4" s="1"/>
  <c r="I3111" i="4"/>
  <c r="J3111" i="4" s="1"/>
  <c r="J3112" i="4" s="1"/>
  <c r="I3114" i="4" s="1"/>
  <c r="J3114" i="4" s="1"/>
  <c r="I4266" i="4" l="1"/>
  <c r="J4266" i="4" s="1"/>
  <c r="J4268" i="4" s="1"/>
  <c r="J4270" i="4" s="1"/>
  <c r="J3638" i="4"/>
  <c r="J3640" i="4" s="1"/>
  <c r="J3655" i="4"/>
  <c r="I4604" i="4" l="1"/>
  <c r="J4604" i="4" s="1"/>
  <c r="J4606" i="4" s="1"/>
  <c r="J4608" i="4" s="1"/>
  <c r="I4622" i="4" l="1"/>
  <c r="J4622" i="4" s="1"/>
  <c r="J4624" i="4" s="1"/>
  <c r="J4626" i="4" s="1"/>
  <c r="I4857" i="4" l="1"/>
  <c r="J4857" i="4" s="1"/>
  <c r="J4860" i="4" s="1"/>
  <c r="J4862" i="4" s="1"/>
  <c r="J6385" i="4"/>
  <c r="I4876" i="4" l="1"/>
  <c r="J4876" i="4" s="1"/>
  <c r="J4879" i="4" s="1"/>
  <c r="J4881" i="4" s="1"/>
  <c r="J5301" i="4" l="1"/>
  <c r="I5061" i="4"/>
  <c r="J5061" i="4" s="1"/>
  <c r="J5319" i="4"/>
  <c r="I5097" i="4" l="1"/>
  <c r="J5097" i="4" s="1"/>
  <c r="J5099" i="4" s="1"/>
  <c r="J5101" i="4" s="1"/>
  <c r="I5115" i="4" l="1"/>
  <c r="J5115" i="4" s="1"/>
  <c r="J5117" i="4" s="1"/>
  <c r="J5119" i="4" s="1"/>
  <c r="I5263" i="4" l="1"/>
  <c r="J5263" i="4" s="1"/>
  <c r="I5133" i="4"/>
  <c r="J5133" i="4" s="1"/>
  <c r="I5262" i="4" l="1"/>
  <c r="J5262" i="4" s="1"/>
  <c r="J5264" i="4" s="1"/>
  <c r="J5266" i="4" s="1"/>
  <c r="J5135" i="4"/>
  <c r="J5137" i="4" s="1"/>
  <c r="J5300" i="4" l="1"/>
  <c r="J5302" i="4" s="1"/>
  <c r="J5304" i="4" s="1"/>
  <c r="J5318" i="4" l="1"/>
  <c r="J5320" i="4" s="1"/>
  <c r="J5322" i="4" s="1"/>
  <c r="I5463" i="4" l="1"/>
  <c r="J5463" i="4" s="1"/>
  <c r="J5465" i="4" s="1"/>
  <c r="J5467" i="4" s="1"/>
  <c r="I5769" i="4" l="1"/>
  <c r="J5769" i="4" s="1"/>
  <c r="I5787" i="4"/>
  <c r="J5787" i="4" s="1"/>
  <c r="I5751" i="4"/>
  <c r="J5751" i="4" s="1"/>
  <c r="J5753" i="4" l="1"/>
  <c r="J5755" i="4" s="1"/>
  <c r="J5789" i="4"/>
  <c r="J5791" i="4" s="1"/>
  <c r="J5771" i="4"/>
  <c r="J5773" i="4" s="1"/>
  <c r="I12010" i="4"/>
  <c r="J12010" i="4" s="1"/>
  <c r="I12031" i="4"/>
  <c r="J12031" i="4" s="1"/>
  <c r="I12033" i="4" l="1"/>
  <c r="J12033" i="4" s="1"/>
  <c r="I12011" i="4" l="1"/>
  <c r="J12011" i="4" s="1"/>
  <c r="I12034" i="4"/>
  <c r="J12034" i="4" s="1"/>
  <c r="I12014" i="4" l="1"/>
  <c r="J12014" i="4" s="1"/>
  <c r="I12035" i="4"/>
  <c r="J12035" i="4" s="1"/>
  <c r="I12013" i="4" l="1"/>
  <c r="J12013" i="4" s="1"/>
  <c r="I8039" i="4" l="1"/>
  <c r="J8039" i="4" s="1"/>
  <c r="I12015" i="4" l="1"/>
  <c r="J12015" i="4" s="1"/>
  <c r="I12017" i="4" l="1"/>
  <c r="J12017" i="4" s="1"/>
  <c r="I12036" i="4" l="1"/>
  <c r="J12036" i="4" s="1"/>
  <c r="I12012" i="4"/>
  <c r="J12012" i="4" s="1"/>
  <c r="I12032" i="4" l="1"/>
  <c r="J12032" i="4" s="1"/>
  <c r="I12009" i="4"/>
  <c r="J12009" i="4" s="1"/>
  <c r="I10580" i="4" l="1"/>
  <c r="J10580" i="4" s="1"/>
  <c r="I9193" i="4"/>
  <c r="J9193" i="4" s="1"/>
  <c r="I10597" i="4" l="1"/>
  <c r="J10597" i="4" s="1"/>
  <c r="J10598" i="4" s="1"/>
  <c r="J10601" i="4" s="1"/>
  <c r="I9210" i="4"/>
  <c r="J9210" i="4" s="1"/>
  <c r="I10614" i="4" l="1"/>
  <c r="J10614" i="4" s="1"/>
  <c r="I9227" i="4"/>
  <c r="J9227" i="4" s="1"/>
  <c r="I10631" i="4" l="1"/>
  <c r="J10631" i="4" s="1"/>
  <c r="I9244" i="4"/>
  <c r="J9244" i="4" s="1"/>
  <c r="I9261" i="4" l="1"/>
  <c r="J9261" i="4" s="1"/>
  <c r="I10648" i="4"/>
  <c r="J10648" i="4" s="1"/>
  <c r="I10665" i="4" l="1"/>
  <c r="J10665" i="4" s="1"/>
  <c r="I9278" i="4"/>
  <c r="J9278" i="4" s="1"/>
  <c r="I10682" i="4" l="1"/>
  <c r="J10682" i="4" s="1"/>
  <c r="I9296" i="4"/>
  <c r="J9296" i="4" s="1"/>
  <c r="J9297" i="4" s="1"/>
  <c r="I10699" i="4" l="1"/>
  <c r="J10699" i="4" s="1"/>
  <c r="I9315" i="4"/>
  <c r="J9315" i="4" s="1"/>
  <c r="I10716" i="4" l="1"/>
  <c r="J10716" i="4" s="1"/>
  <c r="I9334" i="4"/>
  <c r="J9334" i="4" s="1"/>
  <c r="I10733" i="4" l="1"/>
  <c r="J10733" i="4" s="1"/>
  <c r="I9353" i="4"/>
  <c r="J9353" i="4" s="1"/>
  <c r="J9354" i="4" s="1"/>
  <c r="I9372" i="4" l="1"/>
  <c r="J9372" i="4" s="1"/>
  <c r="I10750" i="4"/>
  <c r="J10750" i="4" s="1"/>
  <c r="I10767" i="4" l="1"/>
  <c r="J10767" i="4" s="1"/>
  <c r="I9391" i="4"/>
  <c r="J9391" i="4" s="1"/>
  <c r="J9392" i="4" s="1"/>
  <c r="I9410" i="4" l="1"/>
  <c r="J9410" i="4" s="1"/>
  <c r="J9411" i="4" s="1"/>
  <c r="I10784" i="4"/>
  <c r="J10784" i="4" s="1"/>
  <c r="I9429" i="4" l="1"/>
  <c r="J9429" i="4" s="1"/>
  <c r="J9430" i="4" s="1"/>
  <c r="I10801" i="4"/>
  <c r="J10801" i="4" s="1"/>
  <c r="I9448" i="4" l="1"/>
  <c r="J9448" i="4" s="1"/>
  <c r="J9449" i="4" s="1"/>
  <c r="I10818" i="4"/>
  <c r="J10818" i="4" s="1"/>
  <c r="J5060" i="4" l="1"/>
  <c r="J5062" i="4" s="1"/>
  <c r="I2295" i="4"/>
  <c r="J2295" i="4" s="1"/>
  <c r="I2401" i="4" l="1"/>
  <c r="J2401" i="4" s="1"/>
  <c r="J2402" i="4" s="1"/>
  <c r="J2404" i="4" s="1"/>
  <c r="I3809" i="4" l="1"/>
  <c r="J3809" i="4" s="1"/>
  <c r="J3813" i="4" s="1"/>
  <c r="J3815" i="4" s="1"/>
  <c r="I3789" i="4" l="1"/>
  <c r="J3789" i="4" s="1"/>
  <c r="J3793" i="4" s="1"/>
  <c r="J3795" i="4" s="1"/>
  <c r="J6607" i="4"/>
  <c r="J6609" i="4" s="1"/>
  <c r="I4716" i="4" l="1"/>
  <c r="J4716" i="4" s="1"/>
  <c r="J4720" i="4" s="1"/>
  <c r="I4696" i="4" l="1"/>
  <c r="J4696" i="4" s="1"/>
  <c r="J4700" i="4" s="1"/>
  <c r="J4702" i="4" s="1"/>
  <c r="I4837" i="4" l="1"/>
  <c r="J4837" i="4" s="1"/>
  <c r="J4841" i="4" s="1"/>
  <c r="J4843" i="4" s="1"/>
  <c r="I3013" i="4" l="1"/>
  <c r="J3013" i="4" s="1"/>
  <c r="I3033" i="4"/>
  <c r="J3033" i="4" s="1"/>
  <c r="I2973" i="4" l="1"/>
  <c r="J2973" i="4" s="1"/>
  <c r="I2993" i="4"/>
  <c r="J2993" i="4" s="1"/>
  <c r="J3037" i="4"/>
  <c r="J3039" i="4" s="1"/>
  <c r="J3017" i="4"/>
  <c r="J2997" i="4" l="1"/>
  <c r="I2953" i="4"/>
  <c r="J2953" i="4" s="1"/>
  <c r="I2933" i="4"/>
  <c r="J2933" i="4" s="1"/>
  <c r="J2977" i="4"/>
  <c r="J2937" i="4" l="1"/>
  <c r="J2957" i="4"/>
  <c r="J6877" i="4" l="1"/>
  <c r="J6879" i="4" s="1"/>
  <c r="J6894" i="4" l="1"/>
  <c r="J6896" i="4" s="1"/>
  <c r="J7122" i="4" l="1"/>
  <c r="J7123" i="4" l="1"/>
  <c r="J7124" i="4" l="1"/>
  <c r="F410" i="8" l="1"/>
  <c r="J7131" i="4"/>
  <c r="J7134" i="4" s="1"/>
  <c r="J7136" i="4" s="1"/>
  <c r="J7137" i="4" l="1"/>
  <c r="J7138" i="4" l="1"/>
  <c r="J7139" i="4" l="1"/>
  <c r="F411" i="8" l="1"/>
  <c r="J7146" i="4"/>
  <c r="J7149" i="4" l="1"/>
  <c r="J7152" i="4" s="1"/>
  <c r="J7153" i="4" l="1"/>
  <c r="J7154" i="4" l="1"/>
  <c r="F412" i="8" l="1"/>
  <c r="J7174" i="4" l="1"/>
  <c r="J7243" i="4" l="1"/>
  <c r="J7246" i="4" s="1"/>
  <c r="J7248" i="4" s="1"/>
  <c r="J7249" i="4" l="1"/>
  <c r="J7250" i="4" l="1"/>
  <c r="J7251" i="4" l="1"/>
  <c r="F417" i="8" l="1"/>
  <c r="J7429" i="4" l="1"/>
  <c r="J7431" i="4" s="1"/>
  <c r="J7488" i="4" l="1"/>
  <c r="J7509" i="4" l="1"/>
  <c r="J7748" i="4" l="1"/>
  <c r="J7749" i="4" l="1"/>
  <c r="I7768" i="4" l="1"/>
  <c r="J7768" i="4" s="1"/>
  <c r="J7769" i="4" s="1"/>
  <c r="J7771" i="4" s="1"/>
  <c r="I7786" i="4" l="1"/>
  <c r="J7786" i="4" s="1"/>
  <c r="I7804" i="4" s="1"/>
  <c r="J7804" i="4" s="1"/>
  <c r="J7805" i="4" s="1"/>
  <c r="J7807" i="4" l="1"/>
  <c r="J7901" i="4" l="1"/>
  <c r="J7940" i="4" l="1"/>
  <c r="J7962" i="4" l="1"/>
  <c r="J7984" i="4" l="1"/>
  <c r="J8040" i="4" l="1"/>
  <c r="J8042" i="4" s="1"/>
  <c r="J8316" i="4" l="1"/>
  <c r="J8337" i="4" l="1"/>
  <c r="I495" i="8" l="1"/>
  <c r="J9007" i="4" l="1"/>
  <c r="J9010" i="4" s="1"/>
  <c r="J9694" i="4" l="1"/>
  <c r="J10292" i="4" l="1"/>
  <c r="J10295" i="4" s="1"/>
  <c r="J10870" i="4" l="1"/>
  <c r="J10873" i="4" s="1"/>
  <c r="J11074" i="4" l="1"/>
  <c r="J11077" i="4" s="1"/>
  <c r="J11143" i="4" l="1"/>
  <c r="J11146" i="4" s="1"/>
  <c r="J11620" i="4" l="1"/>
  <c r="J11640" i="4" l="1"/>
  <c r="J11700" i="4" l="1"/>
  <c r="J11740" i="4" l="1"/>
  <c r="J11800" i="4" l="1"/>
  <c r="J11854" i="4" l="1"/>
  <c r="J11859" i="4" l="1"/>
  <c r="J11861" i="4" s="1"/>
  <c r="J11862" i="4" s="1"/>
  <c r="J11863" i="4" l="1"/>
  <c r="J11864" i="4" l="1"/>
  <c r="F688" i="8" l="1"/>
  <c r="J11871" i="4"/>
  <c r="J11876" i="4" s="1"/>
  <c r="J11878" i="4" s="1"/>
  <c r="J11879" i="4" l="1"/>
  <c r="J11880" i="4" l="1"/>
  <c r="J11881" i="4" l="1"/>
  <c r="F689" i="8" l="1"/>
  <c r="J11888" i="4"/>
  <c r="J11893" i="4" s="1"/>
  <c r="J11895" i="4" s="1"/>
  <c r="J11896" i="4" l="1"/>
  <c r="J11897" i="4" l="1"/>
  <c r="J11898" i="4" l="1"/>
  <c r="F690" i="8" l="1"/>
  <c r="J11905" i="4"/>
  <c r="J11910" i="4" s="1"/>
  <c r="J11912" i="4" s="1"/>
  <c r="J11913" i="4" l="1"/>
  <c r="J11914" i="4" l="1"/>
  <c r="J11915" i="4" l="1"/>
  <c r="F691" i="8" l="1"/>
  <c r="J11922" i="4"/>
  <c r="J11927" i="4" s="1"/>
  <c r="J11929" i="4" s="1"/>
  <c r="J11930" i="4" l="1"/>
  <c r="J11931" i="4" l="1"/>
  <c r="J11932" i="4" l="1"/>
  <c r="F692" i="8" l="1"/>
  <c r="J11939" i="4"/>
  <c r="J11944" i="4" s="1"/>
  <c r="J11946" i="4" s="1"/>
  <c r="J11947" i="4" l="1"/>
  <c r="J11948" i="4" l="1"/>
  <c r="J11949" i="4" l="1"/>
  <c r="F693" i="8" l="1"/>
  <c r="J11956" i="4"/>
  <c r="J11961" i="4" s="1"/>
  <c r="J11963" i="4" s="1"/>
  <c r="J11964" i="4" l="1"/>
  <c r="J11965" i="4" l="1"/>
  <c r="J11966" i="4" l="1"/>
  <c r="F694" i="8" l="1"/>
  <c r="J11973" i="4"/>
  <c r="J11978" i="4" s="1"/>
  <c r="J11981" i="4" l="1"/>
  <c r="J11982" i="4" s="1"/>
  <c r="J11983" i="4" l="1"/>
  <c r="F695" i="8" l="1"/>
  <c r="J11990" i="4"/>
  <c r="J11995" i="4" s="1"/>
  <c r="J11997" i="4" s="1"/>
  <c r="J11998" i="4" l="1"/>
  <c r="J11999" i="4" l="1"/>
  <c r="J12000" i="4" l="1"/>
  <c r="J12038" i="4"/>
  <c r="J12018" i="4"/>
  <c r="F696" i="8" l="1"/>
  <c r="J11763" i="4" l="1"/>
  <c r="J11766" i="4" s="1"/>
  <c r="J11783" i="4"/>
  <c r="J11643" i="4"/>
  <c r="J11723" i="4"/>
  <c r="J11663" i="4"/>
  <c r="J11603" i="4"/>
  <c r="J11623" i="4"/>
  <c r="J11803" i="4"/>
  <c r="J11743" i="4"/>
  <c r="J11683" i="4"/>
  <c r="J11703" i="4"/>
  <c r="J11823" i="4"/>
  <c r="J11746" i="4" l="1"/>
  <c r="J11826" i="4"/>
  <c r="J11837" i="4" s="1"/>
  <c r="J11842" i="4" s="1"/>
  <c r="J11806" i="4"/>
  <c r="J11726" i="4"/>
  <c r="J11706" i="4"/>
  <c r="J11626" i="4"/>
  <c r="J11646" i="4"/>
  <c r="J11666" i="4"/>
  <c r="J11686" i="4"/>
  <c r="J11606" i="4"/>
  <c r="J11786" i="4"/>
  <c r="J11844" i="4" l="1"/>
  <c r="J11845" i="4" s="1"/>
  <c r="J11846" i="4" l="1"/>
  <c r="J11847" i="4" s="1"/>
  <c r="F687" i="8" s="1"/>
  <c r="K41" i="10"/>
  <c r="I9678" i="4" l="1"/>
  <c r="J9678" i="4" s="1"/>
  <c r="J9680" i="4" s="1"/>
  <c r="I9624" i="4"/>
  <c r="J9624" i="4" s="1"/>
  <c r="J9626" i="4" s="1"/>
  <c r="I9696" i="4"/>
  <c r="J9696" i="4" s="1"/>
  <c r="J9698" i="4" s="1"/>
  <c r="I9588" i="4"/>
  <c r="J9588" i="4" s="1"/>
  <c r="J9590" i="4" s="1"/>
  <c r="I9606" i="4"/>
  <c r="J9606" i="4" s="1"/>
  <c r="J9608" i="4" s="1"/>
  <c r="J9432" i="4"/>
  <c r="J9318" i="4"/>
  <c r="J9375" i="4"/>
  <c r="I9642" i="4"/>
  <c r="J9642" i="4" s="1"/>
  <c r="J9644" i="4" s="1"/>
  <c r="I9732" i="4"/>
  <c r="J9732" i="4" s="1"/>
  <c r="J9734" i="4" s="1"/>
  <c r="I9660" i="4"/>
  <c r="J9660" i="4" s="1"/>
  <c r="J9662" i="4" s="1"/>
  <c r="J9337" i="4"/>
  <c r="I9714" i="4"/>
  <c r="J9714" i="4" s="1"/>
  <c r="J9716" i="4" s="1"/>
  <c r="J9299" i="4"/>
  <c r="J9394" i="4"/>
  <c r="J9356" i="4"/>
  <c r="J9451" i="4"/>
  <c r="J9413" i="4"/>
  <c r="J9358" i="4" l="1"/>
  <c r="J9339" i="4"/>
  <c r="J9377" i="4"/>
  <c r="J9396" i="4"/>
  <c r="J9320" i="4"/>
  <c r="J9415" i="4"/>
  <c r="J9301" i="4"/>
  <c r="J9434" i="4"/>
  <c r="J9453" i="4"/>
  <c r="K38" i="10" l="1"/>
  <c r="J299" i="4" l="1"/>
  <c r="J296" i="4" l="1"/>
  <c r="J297" i="4" s="1"/>
  <c r="I2505" i="4" l="1"/>
  <c r="J2505" i="4" s="1"/>
  <c r="I2467" i="4"/>
  <c r="J2467" i="4" s="1"/>
  <c r="I2432" i="4"/>
  <c r="J2432" i="4" s="1"/>
  <c r="I2325" i="4"/>
  <c r="J2325" i="4" s="1"/>
  <c r="I2524" i="4"/>
  <c r="J2524" i="4" s="1"/>
  <c r="I2486" i="4"/>
  <c r="J2486" i="4" s="1"/>
  <c r="I2342" i="4"/>
  <c r="J2342" i="4" s="1"/>
  <c r="I502" i="4"/>
  <c r="J502" i="4" s="1"/>
  <c r="I308" i="4"/>
  <c r="J308" i="4" s="1"/>
  <c r="I291" i="4"/>
  <c r="J291" i="4" s="1"/>
  <c r="J311" i="4" l="1"/>
  <c r="J321" i="4" s="1"/>
  <c r="J322" i="4" s="1"/>
  <c r="J323" i="4" s="1"/>
  <c r="F22" i="8" s="1"/>
  <c r="J2345" i="4"/>
  <c r="J2351" i="4" s="1"/>
  <c r="J2352" i="4" s="1"/>
  <c r="J2353" i="4" s="1"/>
  <c r="F131" i="8" s="1"/>
  <c r="J2527" i="4"/>
  <c r="J2532" i="4" s="1"/>
  <c r="J2534" i="4" s="1"/>
  <c r="J2435" i="4"/>
  <c r="J2441" i="4" s="1"/>
  <c r="J2442" i="4" s="1"/>
  <c r="J2443" i="4" s="1"/>
  <c r="F136" i="8" s="1"/>
  <c r="J2508" i="4"/>
  <c r="J2513" i="4" s="1"/>
  <c r="J2515" i="4" s="1"/>
  <c r="I2395" i="4"/>
  <c r="J2395" i="4" s="1"/>
  <c r="I2359" i="4"/>
  <c r="J2359" i="4" s="1"/>
  <c r="J2362" i="4" s="1"/>
  <c r="J2368" i="4" s="1"/>
  <c r="J2369" i="4" s="1"/>
  <c r="J2370" i="4" s="1"/>
  <c r="F132" i="8" s="1"/>
  <c r="I2413" i="4"/>
  <c r="J2413" i="4" s="1"/>
  <c r="I2376" i="4"/>
  <c r="J2376" i="4" s="1"/>
  <c r="J294" i="4"/>
  <c r="J300" i="4" s="1"/>
  <c r="J301" i="4" s="1"/>
  <c r="J302" i="4" s="1"/>
  <c r="F21" i="8" s="1"/>
  <c r="J505" i="4"/>
  <c r="J513" i="4" s="1"/>
  <c r="J514" i="4" s="1"/>
  <c r="J515" i="4" s="1"/>
  <c r="F37" i="8" s="1"/>
  <c r="J2489" i="4"/>
  <c r="J2497" i="4" s="1"/>
  <c r="J2498" i="4" s="1"/>
  <c r="J2499" i="4" s="1"/>
  <c r="F139" i="8" s="1"/>
  <c r="J2328" i="4"/>
  <c r="J2334" i="4" s="1"/>
  <c r="J2335" i="4" s="1"/>
  <c r="J2336" i="4" s="1"/>
  <c r="F130" i="8" s="1"/>
  <c r="J2470" i="4"/>
  <c r="I784" i="4" l="1"/>
  <c r="J784" i="4" s="1"/>
  <c r="J787" i="4" s="1"/>
  <c r="J793" i="4" s="1"/>
  <c r="J794" i="4" s="1"/>
  <c r="J795" i="4" s="1"/>
  <c r="F54" i="8" s="1"/>
  <c r="I801" i="4"/>
  <c r="J801" i="4" s="1"/>
  <c r="J804" i="4" s="1"/>
  <c r="J810" i="4" s="1"/>
  <c r="J811" i="4" s="1"/>
  <c r="J812" i="4" s="1"/>
  <c r="F55" i="8" s="1"/>
  <c r="I767" i="4"/>
  <c r="J767" i="4" s="1"/>
  <c r="I7684" i="4"/>
  <c r="J7684" i="4" s="1"/>
  <c r="J7687" i="4" s="1"/>
  <c r="J7693" i="4" s="1"/>
  <c r="J7694" i="4" s="1"/>
  <c r="J7695" i="4" s="1"/>
  <c r="F443" i="8" s="1"/>
  <c r="I7667" i="4"/>
  <c r="J7667" i="4" s="1"/>
  <c r="I7647" i="4"/>
  <c r="J7647" i="4" s="1"/>
  <c r="I4339" i="4"/>
  <c r="J4339" i="4" s="1"/>
  <c r="I7611" i="4"/>
  <c r="J7611" i="4" s="1"/>
  <c r="I7630" i="4"/>
  <c r="J7630" i="4" s="1"/>
  <c r="J7633" i="4" s="1"/>
  <c r="J7639" i="4" s="1"/>
  <c r="J7640" i="4" s="1"/>
  <c r="J7641" i="4" s="1"/>
  <c r="F440" i="8" s="1"/>
  <c r="H58" i="15" s="1"/>
  <c r="I4319" i="4"/>
  <c r="J4319" i="4" s="1"/>
  <c r="I4359" i="4"/>
  <c r="J4359" i="4" s="1"/>
  <c r="J2516" i="4"/>
  <c r="J2517" i="4" s="1"/>
  <c r="J2518" i="4" s="1"/>
  <c r="F140" i="8" s="1"/>
  <c r="J2535" i="4"/>
  <c r="J2536" i="4" s="1"/>
  <c r="J2537" i="4" s="1"/>
  <c r="F141" i="8" s="1"/>
  <c r="J2416" i="4"/>
  <c r="J2424" i="4" s="1"/>
  <c r="J2425" i="4" s="1"/>
  <c r="J2426" i="4" s="1"/>
  <c r="F135" i="8" s="1"/>
  <c r="J2398" i="4"/>
  <c r="J2405" i="4" s="1"/>
  <c r="J2406" i="4" s="1"/>
  <c r="J2407" i="4" s="1"/>
  <c r="F134" i="8" s="1"/>
  <c r="H44" i="15" s="1"/>
  <c r="I44" i="15" s="1"/>
  <c r="I12069" i="4"/>
  <c r="J12069" i="4" s="1"/>
  <c r="I8325" i="4"/>
  <c r="J8325" i="4" s="1"/>
  <c r="I8285" i="4"/>
  <c r="J8285" i="4" s="1"/>
  <c r="J8288" i="4" s="1"/>
  <c r="J8294" i="4" s="1"/>
  <c r="J8297" i="4" s="1"/>
  <c r="I8249" i="4"/>
  <c r="J8249" i="4" s="1"/>
  <c r="I8213" i="4"/>
  <c r="J8213" i="4" s="1"/>
  <c r="I8177" i="4"/>
  <c r="J8177" i="4" s="1"/>
  <c r="J8180" i="4" s="1"/>
  <c r="J8187" i="4" s="1"/>
  <c r="J8188" i="4" s="1"/>
  <c r="J8189" i="4" s="1"/>
  <c r="F469" i="8" s="1"/>
  <c r="I8141" i="4"/>
  <c r="J8141" i="4" s="1"/>
  <c r="J8144" i="4" s="1"/>
  <c r="J8148" i="4" s="1"/>
  <c r="J8150" i="4" s="1"/>
  <c r="J8151" i="4" s="1"/>
  <c r="I8105" i="4"/>
  <c r="J8105" i="4" s="1"/>
  <c r="I8069" i="4"/>
  <c r="J8069" i="4" s="1"/>
  <c r="J8072" i="4" s="1"/>
  <c r="J8079" i="4" s="1"/>
  <c r="J8080" i="4" s="1"/>
  <c r="J8081" i="4" s="1"/>
  <c r="F463" i="8" s="1"/>
  <c r="I8033" i="4"/>
  <c r="J8033" i="4" s="1"/>
  <c r="I7993" i="4"/>
  <c r="J7993" i="4" s="1"/>
  <c r="J7996" i="4" s="1"/>
  <c r="J8004" i="4" s="1"/>
  <c r="J8007" i="4" s="1"/>
  <c r="I7949" i="4"/>
  <c r="J7949" i="4" s="1"/>
  <c r="I7912" i="4"/>
  <c r="J7912" i="4" s="1"/>
  <c r="I7873" i="4"/>
  <c r="J7873" i="4" s="1"/>
  <c r="J7876" i="4" s="1"/>
  <c r="I7837" i="4"/>
  <c r="J7837" i="4" s="1"/>
  <c r="I7798" i="4"/>
  <c r="J7798" i="4" s="1"/>
  <c r="J7801" i="4" s="1"/>
  <c r="J7808" i="4" s="1"/>
  <c r="I7760" i="4"/>
  <c r="J7760" i="4" s="1"/>
  <c r="I7720" i="4"/>
  <c r="J7720" i="4" s="1"/>
  <c r="I7593" i="4"/>
  <c r="J7593" i="4" s="1"/>
  <c r="I4961" i="4"/>
  <c r="J4961" i="4" s="1"/>
  <c r="I4926" i="4"/>
  <c r="J4926" i="4" s="1"/>
  <c r="I4890" i="4"/>
  <c r="J4890" i="4" s="1"/>
  <c r="I4852" i="4"/>
  <c r="J4852" i="4" s="1"/>
  <c r="I4811" i="4"/>
  <c r="J4811" i="4" s="1"/>
  <c r="I4771" i="4"/>
  <c r="J4771" i="4" s="1"/>
  <c r="I4731" i="4"/>
  <c r="J4731" i="4" s="1"/>
  <c r="I4691" i="4"/>
  <c r="J4691" i="4" s="1"/>
  <c r="I4579" i="4"/>
  <c r="J4579" i="4" s="1"/>
  <c r="I4539" i="4"/>
  <c r="J4539" i="4" s="1"/>
  <c r="I4499" i="4"/>
  <c r="J4499" i="4" s="1"/>
  <c r="I4459" i="4"/>
  <c r="J4459" i="4" s="1"/>
  <c r="I4399" i="4"/>
  <c r="J4399" i="4" s="1"/>
  <c r="I4299" i="4"/>
  <c r="J4299" i="4" s="1"/>
  <c r="I4261" i="4"/>
  <c r="J4261" i="4" s="1"/>
  <c r="I4221" i="4"/>
  <c r="J4221" i="4" s="1"/>
  <c r="I4181" i="4"/>
  <c r="J4181" i="4" s="1"/>
  <c r="I4141" i="4"/>
  <c r="J4141" i="4" s="1"/>
  <c r="I4101" i="4"/>
  <c r="J4101" i="4" s="1"/>
  <c r="I4061" i="4"/>
  <c r="J4061" i="4" s="1"/>
  <c r="J4064" i="4" s="1"/>
  <c r="J4070" i="4" s="1"/>
  <c r="J4073" i="4" s="1"/>
  <c r="I4021" i="4"/>
  <c r="J4021" i="4" s="1"/>
  <c r="I3983" i="4"/>
  <c r="J3983" i="4" s="1"/>
  <c r="I3964" i="4"/>
  <c r="J3964" i="4" s="1"/>
  <c r="I3924" i="4"/>
  <c r="J3924" i="4" s="1"/>
  <c r="J3927" i="4" s="1"/>
  <c r="J3933" i="4" s="1"/>
  <c r="J3936" i="4" s="1"/>
  <c r="J3937" i="4" s="1"/>
  <c r="J3938" i="4" s="1"/>
  <c r="F221" i="8" s="1"/>
  <c r="I3884" i="4"/>
  <c r="J3884" i="4" s="1"/>
  <c r="I3844" i="4"/>
  <c r="J3844" i="4" s="1"/>
  <c r="I3804" i="4"/>
  <c r="J3804" i="4" s="1"/>
  <c r="I3764" i="4"/>
  <c r="J3764" i="4" s="1"/>
  <c r="I3724" i="4"/>
  <c r="J3724" i="4" s="1"/>
  <c r="I3686" i="4"/>
  <c r="J3686" i="4" s="1"/>
  <c r="I3649" i="4"/>
  <c r="J3649" i="4" s="1"/>
  <c r="I3615" i="4"/>
  <c r="J3615" i="4" s="1"/>
  <c r="J3618" i="4" s="1"/>
  <c r="J3624" i="4" s="1"/>
  <c r="I3580" i="4"/>
  <c r="J3580" i="4" s="1"/>
  <c r="I3545" i="4"/>
  <c r="J3545" i="4" s="1"/>
  <c r="I3509" i="4"/>
  <c r="J3509" i="4" s="1"/>
  <c r="I3473" i="4"/>
  <c r="J3473" i="4" s="1"/>
  <c r="I3436" i="4"/>
  <c r="J3436" i="4" s="1"/>
  <c r="I3400" i="4"/>
  <c r="J3400" i="4" s="1"/>
  <c r="I3364" i="4"/>
  <c r="J3364" i="4" s="1"/>
  <c r="I3326" i="4"/>
  <c r="J3326" i="4" s="1"/>
  <c r="I3288" i="4"/>
  <c r="J3288" i="4" s="1"/>
  <c r="I3252" i="4"/>
  <c r="J3252" i="4" s="1"/>
  <c r="I3216" i="4"/>
  <c r="J3216" i="4" s="1"/>
  <c r="I3180" i="4"/>
  <c r="J3180" i="4" s="1"/>
  <c r="I3144" i="4"/>
  <c r="J3144" i="4" s="1"/>
  <c r="I3124" i="4"/>
  <c r="J3124" i="4" s="1"/>
  <c r="I3105" i="4"/>
  <c r="J3105" i="4" s="1"/>
  <c r="I3067" i="4"/>
  <c r="J3067" i="4" s="1"/>
  <c r="I3028" i="4"/>
  <c r="J3028" i="4" s="1"/>
  <c r="I2988" i="4"/>
  <c r="J2988" i="4" s="1"/>
  <c r="I2948" i="4"/>
  <c r="J2948" i="4" s="1"/>
  <c r="I2908" i="4"/>
  <c r="J2908" i="4" s="1"/>
  <c r="I2868" i="4"/>
  <c r="J2868" i="4" s="1"/>
  <c r="I2830" i="4"/>
  <c r="J2830" i="4" s="1"/>
  <c r="I2792" i="4"/>
  <c r="J2792" i="4" s="1"/>
  <c r="J2795" i="4" s="1"/>
  <c r="J2800" i="4" s="1"/>
  <c r="J2802" i="4" s="1"/>
  <c r="J2803" i="4" s="1"/>
  <c r="I2754" i="4"/>
  <c r="J2754" i="4" s="1"/>
  <c r="I2715" i="4"/>
  <c r="J2715" i="4" s="1"/>
  <c r="J2718" i="4" s="1"/>
  <c r="J2723" i="4" s="1"/>
  <c r="J2726" i="4" s="1"/>
  <c r="I2677" i="4"/>
  <c r="J2677" i="4" s="1"/>
  <c r="I2639" i="4"/>
  <c r="J2639" i="4" s="1"/>
  <c r="I8346" i="4"/>
  <c r="J8346" i="4" s="1"/>
  <c r="I8305" i="4"/>
  <c r="J8305" i="4" s="1"/>
  <c r="I8267" i="4"/>
  <c r="J8267" i="4" s="1"/>
  <c r="I8231" i="4"/>
  <c r="J8231" i="4" s="1"/>
  <c r="I8195" i="4"/>
  <c r="J8195" i="4" s="1"/>
  <c r="I8159" i="4"/>
  <c r="J8159" i="4" s="1"/>
  <c r="I8123" i="4"/>
  <c r="J8123" i="4" s="1"/>
  <c r="I8087" i="4"/>
  <c r="J8087" i="4" s="1"/>
  <c r="J8090" i="4" s="1"/>
  <c r="J8097" i="4" s="1"/>
  <c r="I8051" i="4"/>
  <c r="J8051" i="4" s="1"/>
  <c r="J8054" i="4" s="1"/>
  <c r="J8061" i="4" s="1"/>
  <c r="I8015" i="4"/>
  <c r="J8015" i="4" s="1"/>
  <c r="J8018" i="4" s="1"/>
  <c r="I7971" i="4"/>
  <c r="J7971" i="4" s="1"/>
  <c r="I7932" i="4"/>
  <c r="J7932" i="4" s="1"/>
  <c r="I7894" i="4"/>
  <c r="J7894" i="4" s="1"/>
  <c r="I7855" i="4"/>
  <c r="J7855" i="4" s="1"/>
  <c r="J7858" i="4" s="1"/>
  <c r="J7862" i="4" s="1"/>
  <c r="J7864" i="4" s="1"/>
  <c r="J7865" i="4" s="1"/>
  <c r="J7866" i="4" s="1"/>
  <c r="J7867" i="4" s="1"/>
  <c r="F452" i="8" s="1"/>
  <c r="I7816" i="4"/>
  <c r="J7816" i="4" s="1"/>
  <c r="I7780" i="4"/>
  <c r="J7780" i="4" s="1"/>
  <c r="I7740" i="4"/>
  <c r="J7740" i="4" s="1"/>
  <c r="I7701" i="4"/>
  <c r="J7701" i="4" s="1"/>
  <c r="J7704" i="4" s="1"/>
  <c r="J7712" i="4" s="1"/>
  <c r="I4943" i="4"/>
  <c r="J4943" i="4" s="1"/>
  <c r="I4908" i="4"/>
  <c r="J4908" i="4" s="1"/>
  <c r="I4871" i="4"/>
  <c r="J4871" i="4" s="1"/>
  <c r="I4832" i="4"/>
  <c r="J4832" i="4" s="1"/>
  <c r="I4791" i="4"/>
  <c r="J4791" i="4" s="1"/>
  <c r="I4751" i="4"/>
  <c r="J4751" i="4" s="1"/>
  <c r="I4711" i="4"/>
  <c r="J4711" i="4" s="1"/>
  <c r="I4671" i="4"/>
  <c r="J4671" i="4" s="1"/>
  <c r="I4559" i="4"/>
  <c r="J4559" i="4" s="1"/>
  <c r="J4562" i="4" s="1"/>
  <c r="J4568" i="4" s="1"/>
  <c r="J4571" i="4" s="1"/>
  <c r="I4519" i="4"/>
  <c r="J4519" i="4" s="1"/>
  <c r="I4479" i="4"/>
  <c r="J4479" i="4" s="1"/>
  <c r="I4439" i="4"/>
  <c r="J4439" i="4" s="1"/>
  <c r="I4379" i="4"/>
  <c r="J4379" i="4" s="1"/>
  <c r="I4279" i="4"/>
  <c r="J4279" i="4" s="1"/>
  <c r="J4282" i="4" s="1"/>
  <c r="J4288" i="4" s="1"/>
  <c r="J4290" i="4" s="1"/>
  <c r="J4291" i="4" s="1"/>
  <c r="I4241" i="4"/>
  <c r="J4241" i="4" s="1"/>
  <c r="I4201" i="4"/>
  <c r="J4201" i="4" s="1"/>
  <c r="I4161" i="4"/>
  <c r="J4161" i="4" s="1"/>
  <c r="I4121" i="4"/>
  <c r="J4121" i="4" s="1"/>
  <c r="I4041" i="4"/>
  <c r="J4041" i="4" s="1"/>
  <c r="I4002" i="4"/>
  <c r="J4002" i="4" s="1"/>
  <c r="I3944" i="4"/>
  <c r="J3944" i="4" s="1"/>
  <c r="J3947" i="4" s="1"/>
  <c r="J3953" i="4" s="1"/>
  <c r="J3955" i="4" s="1"/>
  <c r="J3956" i="4" s="1"/>
  <c r="I3904" i="4"/>
  <c r="J3904" i="4" s="1"/>
  <c r="I3864" i="4"/>
  <c r="J3864" i="4" s="1"/>
  <c r="I3824" i="4"/>
  <c r="J3824" i="4" s="1"/>
  <c r="J3827" i="4" s="1"/>
  <c r="J3833" i="4" s="1"/>
  <c r="J3836" i="4" s="1"/>
  <c r="J3837" i="4" s="1"/>
  <c r="J3838" i="4" s="1"/>
  <c r="F216" i="8" s="1"/>
  <c r="I3784" i="4"/>
  <c r="J3784" i="4" s="1"/>
  <c r="I3744" i="4"/>
  <c r="J3744" i="4" s="1"/>
  <c r="I3705" i="4"/>
  <c r="J3705" i="4" s="1"/>
  <c r="I3667" i="4"/>
  <c r="J3667" i="4" s="1"/>
  <c r="I3632" i="4"/>
  <c r="J3632" i="4" s="1"/>
  <c r="I3597" i="4"/>
  <c r="J3597" i="4" s="1"/>
  <c r="I3563" i="4"/>
  <c r="J3563" i="4" s="1"/>
  <c r="I3527" i="4"/>
  <c r="J3527" i="4" s="1"/>
  <c r="I3491" i="4"/>
  <c r="J3491" i="4" s="1"/>
  <c r="I3454" i="4"/>
  <c r="J3454" i="4" s="1"/>
  <c r="I3418" i="4"/>
  <c r="J3418" i="4" s="1"/>
  <c r="I3382" i="4"/>
  <c r="J3382" i="4" s="1"/>
  <c r="I3345" i="4"/>
  <c r="J3345" i="4" s="1"/>
  <c r="I3307" i="4"/>
  <c r="J3307" i="4" s="1"/>
  <c r="I3270" i="4"/>
  <c r="J3270" i="4" s="1"/>
  <c r="I3234" i="4"/>
  <c r="J3234" i="4" s="1"/>
  <c r="I3198" i="4"/>
  <c r="J3198" i="4" s="1"/>
  <c r="I3162" i="4"/>
  <c r="J3162" i="4" s="1"/>
  <c r="I3086" i="4"/>
  <c r="J3086" i="4" s="1"/>
  <c r="J3089" i="4" s="1"/>
  <c r="J3094" i="4" s="1"/>
  <c r="J3096" i="4" s="1"/>
  <c r="J3097" i="4" s="1"/>
  <c r="I3048" i="4"/>
  <c r="J3048" i="4" s="1"/>
  <c r="I3008" i="4"/>
  <c r="J3008" i="4" s="1"/>
  <c r="I2968" i="4"/>
  <c r="J2968" i="4" s="1"/>
  <c r="I2928" i="4"/>
  <c r="J2928" i="4" s="1"/>
  <c r="I2888" i="4"/>
  <c r="J2888" i="4" s="1"/>
  <c r="I2849" i="4"/>
  <c r="J2849" i="4" s="1"/>
  <c r="I2811" i="4"/>
  <c r="J2811" i="4" s="1"/>
  <c r="I2773" i="4"/>
  <c r="J2773" i="4" s="1"/>
  <c r="I2734" i="4"/>
  <c r="J2734" i="4" s="1"/>
  <c r="I2696" i="4"/>
  <c r="J2696" i="4" s="1"/>
  <c r="I2658" i="4"/>
  <c r="J2658" i="4" s="1"/>
  <c r="I2099" i="4"/>
  <c r="J2099" i="4" s="1"/>
  <c r="J2102" i="4" s="1"/>
  <c r="J2109" i="4" s="1"/>
  <c r="J2110" i="4" s="1"/>
  <c r="J2111" i="4" s="1"/>
  <c r="F114" i="8" s="1"/>
  <c r="I2081" i="4"/>
  <c r="J2081" i="4" s="1"/>
  <c r="J2084" i="4" s="1"/>
  <c r="J2091" i="4" s="1"/>
  <c r="J2092" i="4" s="1"/>
  <c r="J2093" i="4" s="1"/>
  <c r="F113" i="8" s="1"/>
  <c r="I2063" i="4"/>
  <c r="J2063" i="4" s="1"/>
  <c r="I1959" i="4"/>
  <c r="J1959" i="4" s="1"/>
  <c r="I1887" i="4"/>
  <c r="J1887" i="4" s="1"/>
  <c r="I1870" i="4"/>
  <c r="J1870" i="4" s="1"/>
  <c r="I1853" i="4"/>
  <c r="J1853" i="4" s="1"/>
  <c r="I1767" i="4"/>
  <c r="J1767" i="4" s="1"/>
  <c r="I1725" i="4"/>
  <c r="J1725" i="4" s="1"/>
  <c r="I1685" i="4"/>
  <c r="J1685" i="4" s="1"/>
  <c r="I1638" i="4"/>
  <c r="J1638" i="4" s="1"/>
  <c r="I1583" i="4"/>
  <c r="J1583" i="4" s="1"/>
  <c r="I1525" i="4"/>
  <c r="J1525" i="4" s="1"/>
  <c r="I1467" i="4"/>
  <c r="J1467" i="4" s="1"/>
  <c r="I1415" i="4"/>
  <c r="J1415" i="4" s="1"/>
  <c r="I1176" i="4"/>
  <c r="J1176" i="4" s="1"/>
  <c r="I1099" i="4"/>
  <c r="J1099" i="4" s="1"/>
  <c r="I1058" i="4"/>
  <c r="J1058" i="4" s="1"/>
  <c r="J1061" i="4" s="1"/>
  <c r="J1067" i="4" s="1"/>
  <c r="J1070" i="4" s="1"/>
  <c r="J1071" i="4" s="1"/>
  <c r="J1072" i="4" s="1"/>
  <c r="F70" i="8" s="1"/>
  <c r="I1018" i="4"/>
  <c r="J1018" i="4" s="1"/>
  <c r="I958" i="4"/>
  <c r="J958" i="4" s="1"/>
  <c r="J961" i="4" s="1"/>
  <c r="J967" i="4" s="1"/>
  <c r="J970" i="4" s="1"/>
  <c r="I918" i="4"/>
  <c r="J918" i="4" s="1"/>
  <c r="J921" i="4" s="1"/>
  <c r="J927" i="4" s="1"/>
  <c r="J930" i="4" s="1"/>
  <c r="J931" i="4" s="1"/>
  <c r="J932" i="4" s="1"/>
  <c r="F63" i="8" s="1"/>
  <c r="I876" i="4"/>
  <c r="J876" i="4" s="1"/>
  <c r="I836" i="4"/>
  <c r="J836" i="4" s="1"/>
  <c r="I725" i="4"/>
  <c r="J725" i="4" s="1"/>
  <c r="I687" i="4"/>
  <c r="J687" i="4" s="1"/>
  <c r="I647" i="4"/>
  <c r="J647" i="4" s="1"/>
  <c r="I628" i="4"/>
  <c r="J628" i="4" s="1"/>
  <c r="I609" i="4"/>
  <c r="J609" i="4" s="1"/>
  <c r="I590" i="4"/>
  <c r="J590" i="4" s="1"/>
  <c r="I571" i="4"/>
  <c r="J571" i="4" s="1"/>
  <c r="I552" i="4"/>
  <c r="J552" i="4" s="1"/>
  <c r="I2145" i="4"/>
  <c r="J2145" i="4" s="1"/>
  <c r="I2012" i="4"/>
  <c r="J2012" i="4" s="1"/>
  <c r="I1906" i="4"/>
  <c r="J1906" i="4" s="1"/>
  <c r="I1787" i="4"/>
  <c r="J1787" i="4" s="1"/>
  <c r="I1745" i="4"/>
  <c r="J1745" i="4" s="1"/>
  <c r="J1748" i="4" s="1"/>
  <c r="I1705" i="4"/>
  <c r="J1705" i="4" s="1"/>
  <c r="I1665" i="4"/>
  <c r="J1665" i="4" s="1"/>
  <c r="I1612" i="4"/>
  <c r="J1612" i="4" s="1"/>
  <c r="I1554" i="4"/>
  <c r="J1554" i="4" s="1"/>
  <c r="I1496" i="4"/>
  <c r="J1496" i="4" s="1"/>
  <c r="I1441" i="4"/>
  <c r="J1441" i="4" s="1"/>
  <c r="I1122" i="4"/>
  <c r="J1122" i="4" s="1"/>
  <c r="J1125" i="4" s="1"/>
  <c r="J1134" i="4" s="1"/>
  <c r="J1135" i="4" s="1"/>
  <c r="J1136" i="4" s="1"/>
  <c r="F72" i="8" s="1"/>
  <c r="I1078" i="4"/>
  <c r="J1078" i="4" s="1"/>
  <c r="I1038" i="4"/>
  <c r="J1038" i="4" s="1"/>
  <c r="I978" i="4"/>
  <c r="J978" i="4" s="1"/>
  <c r="I938" i="4"/>
  <c r="J938" i="4" s="1"/>
  <c r="J941" i="4" s="1"/>
  <c r="J947" i="4" s="1"/>
  <c r="J950" i="4" s="1"/>
  <c r="I898" i="4"/>
  <c r="J898" i="4" s="1"/>
  <c r="I856" i="4"/>
  <c r="J856" i="4" s="1"/>
  <c r="I747" i="4"/>
  <c r="J747" i="4" s="1"/>
  <c r="I707" i="4"/>
  <c r="J707" i="4" s="1"/>
  <c r="I667" i="4"/>
  <c r="J667" i="4" s="1"/>
  <c r="I99" i="4"/>
  <c r="J99" i="4" s="1"/>
  <c r="J2379" i="4"/>
  <c r="J2387" i="4" s="1"/>
  <c r="J2388" i="4" s="1"/>
  <c r="J2389" i="4" s="1"/>
  <c r="F133" i="8" s="1"/>
  <c r="E16" i="14" s="1"/>
  <c r="H64" i="15" l="1"/>
  <c r="I64" i="15" s="1"/>
  <c r="H83" i="15"/>
  <c r="I83" i="15" s="1"/>
  <c r="F47" i="14"/>
  <c r="I6151" i="4"/>
  <c r="J6151" i="4" s="1"/>
  <c r="J6154" i="4" s="1"/>
  <c r="J6161" i="4" s="1"/>
  <c r="J6162" i="4" s="1"/>
  <c r="J6163" i="4" s="1"/>
  <c r="F343" i="8" s="1"/>
  <c r="I5476" i="4"/>
  <c r="J5476" i="4" s="1"/>
  <c r="J5479" i="4" s="1"/>
  <c r="J5486" i="4" s="1"/>
  <c r="J5487" i="4" s="1"/>
  <c r="J5488" i="4" s="1"/>
  <c r="F306" i="8" s="1"/>
  <c r="I5218" i="4"/>
  <c r="J5218" i="4" s="1"/>
  <c r="J5221" i="4" s="1"/>
  <c r="J5228" i="4" s="1"/>
  <c r="J5229" i="4" s="1"/>
  <c r="J5230" i="4" s="1"/>
  <c r="F290" i="8" s="1"/>
  <c r="I5236" i="4"/>
  <c r="J5236" i="4" s="1"/>
  <c r="J5239" i="4" s="1"/>
  <c r="J5247" i="4" s="1"/>
  <c r="J5248" i="4" s="1"/>
  <c r="J5249" i="4" s="1"/>
  <c r="F291" i="8" s="1"/>
  <c r="I6169" i="4"/>
  <c r="J6169" i="4" s="1"/>
  <c r="J6172" i="4" s="1"/>
  <c r="J6179" i="4" s="1"/>
  <c r="I5331" i="4"/>
  <c r="J5331" i="4" s="1"/>
  <c r="I5200" i="4"/>
  <c r="J5200" i="4" s="1"/>
  <c r="J7614" i="4"/>
  <c r="J7622" i="4" s="1"/>
  <c r="J7623" i="4" s="1"/>
  <c r="J7624" i="4" s="1"/>
  <c r="F439" i="8" s="1"/>
  <c r="H56" i="15" s="1"/>
  <c r="J4342" i="4"/>
  <c r="J4351" i="4" s="1"/>
  <c r="J4352" i="4" s="1"/>
  <c r="J4353" i="4" s="1"/>
  <c r="F242" i="8" s="1"/>
  <c r="J7650" i="4"/>
  <c r="J7659" i="4" s="1"/>
  <c r="J7660" i="4" s="1"/>
  <c r="J7661" i="4" s="1"/>
  <c r="F441" i="8" s="1"/>
  <c r="H60" i="15" s="1"/>
  <c r="I60" i="15" s="1"/>
  <c r="J7670" i="4"/>
  <c r="J7676" i="4" s="1"/>
  <c r="J7677" i="4" s="1"/>
  <c r="J7678" i="4" s="1"/>
  <c r="F442" i="8" s="1"/>
  <c r="J4362" i="4"/>
  <c r="J4371" i="4" s="1"/>
  <c r="J4372" i="4" s="1"/>
  <c r="J4373" i="4" s="1"/>
  <c r="F243" i="8" s="1"/>
  <c r="J770" i="4"/>
  <c r="J776" i="4" s="1"/>
  <c r="J777" i="4" s="1"/>
  <c r="J778" i="4" s="1"/>
  <c r="F53" i="8" s="1"/>
  <c r="J4322" i="4"/>
  <c r="J4331" i="4" s="1"/>
  <c r="J4332" i="4" s="1"/>
  <c r="J4333" i="4" s="1"/>
  <c r="F241" i="8" s="1"/>
  <c r="H67" i="15" s="1"/>
  <c r="H86" i="15" s="1"/>
  <c r="I58" i="15"/>
  <c r="E37" i="14"/>
  <c r="J670" i="4"/>
  <c r="J679" i="4" s="1"/>
  <c r="J680" i="4" s="1"/>
  <c r="J681" i="4" s="1"/>
  <c r="F48" i="8" s="1"/>
  <c r="J901" i="4"/>
  <c r="J907" i="4" s="1"/>
  <c r="J710" i="4"/>
  <c r="J714" i="4" s="1"/>
  <c r="J859" i="4"/>
  <c r="J865" i="4" s="1"/>
  <c r="J951" i="4"/>
  <c r="J952" i="4" s="1"/>
  <c r="F64" i="8" s="1"/>
  <c r="J1041" i="4"/>
  <c r="J1047" i="4" s="1"/>
  <c r="J1708" i="4"/>
  <c r="J1714" i="4" s="1"/>
  <c r="J1790" i="4"/>
  <c r="J1800" i="4" s="1"/>
  <c r="J1801" i="4" s="1"/>
  <c r="J1802" i="4" s="1"/>
  <c r="F104" i="8" s="1"/>
  <c r="J555" i="4"/>
  <c r="J560" i="4" s="1"/>
  <c r="J562" i="4" s="1"/>
  <c r="J563" i="4" s="1"/>
  <c r="J564" i="4" s="1"/>
  <c r="J565" i="4" s="1"/>
  <c r="F42" i="8" s="1"/>
  <c r="J593" i="4"/>
  <c r="J598" i="4" s="1"/>
  <c r="J631" i="4"/>
  <c r="J639" i="4" s="1"/>
  <c r="J690" i="4"/>
  <c r="J699" i="4" s="1"/>
  <c r="J700" i="4" s="1"/>
  <c r="J701" i="4" s="1"/>
  <c r="F49" i="8" s="1"/>
  <c r="J839" i="4"/>
  <c r="J848" i="4" s="1"/>
  <c r="J849" i="4" s="1"/>
  <c r="J850" i="4" s="1"/>
  <c r="F59" i="8" s="1"/>
  <c r="J1021" i="4"/>
  <c r="J1027" i="4" s="1"/>
  <c r="J1102" i="4"/>
  <c r="J1112" i="4" s="1"/>
  <c r="J1113" i="4" s="1"/>
  <c r="J1114" i="4" s="1"/>
  <c r="J1728" i="4"/>
  <c r="J1734" i="4" s="1"/>
  <c r="J1736" i="4" s="1"/>
  <c r="J2066" i="4"/>
  <c r="J2073" i="4" s="1"/>
  <c r="J2699" i="4"/>
  <c r="J2704" i="4" s="1"/>
  <c r="J2706" i="4" s="1"/>
  <c r="J2776" i="4"/>
  <c r="J2781" i="4" s="1"/>
  <c r="J2783" i="4" s="1"/>
  <c r="J2852" i="4"/>
  <c r="J2857" i="4" s="1"/>
  <c r="J2931" i="4"/>
  <c r="J2940" i="4" s="1"/>
  <c r="J2941" i="4" s="1"/>
  <c r="J2942" i="4" s="1"/>
  <c r="F164" i="8" s="1"/>
  <c r="J3011" i="4"/>
  <c r="J3020" i="4" s="1"/>
  <c r="J3021" i="4" s="1"/>
  <c r="J3022" i="4" s="1"/>
  <c r="F168" i="8" s="1"/>
  <c r="J3098" i="4"/>
  <c r="J3099" i="4" s="1"/>
  <c r="F172" i="8" s="1"/>
  <c r="J3201" i="4"/>
  <c r="J3205" i="4" s="1"/>
  <c r="J3207" i="4" s="1"/>
  <c r="J3273" i="4"/>
  <c r="J3277" i="4" s="1"/>
  <c r="J3279" i="4" s="1"/>
  <c r="J3348" i="4"/>
  <c r="J3356" i="4" s="1"/>
  <c r="J3357" i="4" s="1"/>
  <c r="J3358" i="4" s="1"/>
  <c r="F188" i="8" s="1"/>
  <c r="J3421" i="4"/>
  <c r="J3425" i="4" s="1"/>
  <c r="J3427" i="4" s="1"/>
  <c r="J3494" i="4"/>
  <c r="J3498" i="4" s="1"/>
  <c r="J3500" i="4" s="1"/>
  <c r="J3566" i="4"/>
  <c r="J3569" i="4" s="1"/>
  <c r="J3571" i="4" s="1"/>
  <c r="J3635" i="4"/>
  <c r="J3641" i="4" s="1"/>
  <c r="J3708" i="4"/>
  <c r="J3713" i="4" s="1"/>
  <c r="J3787" i="4"/>
  <c r="J3796" i="4" s="1"/>
  <c r="J3797" i="4" s="1"/>
  <c r="J3798" i="4" s="1"/>
  <c r="F214" i="8" s="1"/>
  <c r="J3867" i="4"/>
  <c r="J3873" i="4" s="1"/>
  <c r="J3957" i="4"/>
  <c r="J3958" i="4" s="1"/>
  <c r="F222" i="8" s="1"/>
  <c r="J4044" i="4"/>
  <c r="J4050" i="4" s="1"/>
  <c r="J4164" i="4"/>
  <c r="J4170" i="4" s="1"/>
  <c r="J4244" i="4"/>
  <c r="J4250" i="4" s="1"/>
  <c r="J4252" i="4" s="1"/>
  <c r="J4382" i="4"/>
  <c r="J4388" i="4" s="1"/>
  <c r="J4390" i="4" s="1"/>
  <c r="J4482" i="4"/>
  <c r="J4488" i="4" s="1"/>
  <c r="J4490" i="4" s="1"/>
  <c r="J4572" i="4"/>
  <c r="J4573" i="4" s="1"/>
  <c r="F253" i="8" s="1"/>
  <c r="J4714" i="4"/>
  <c r="J4723" i="4" s="1"/>
  <c r="J4724" i="4" s="1"/>
  <c r="J4725" i="4" s="1"/>
  <c r="F261" i="8" s="1"/>
  <c r="J4794" i="4"/>
  <c r="J4803" i="4" s="1"/>
  <c r="J4874" i="4"/>
  <c r="J4882" i="4" s="1"/>
  <c r="J4883" i="4" s="1"/>
  <c r="J4884" i="4" s="1"/>
  <c r="F269" i="8" s="1"/>
  <c r="J4946" i="4"/>
  <c r="J4953" i="4" s="1"/>
  <c r="J4954" i="4" s="1"/>
  <c r="J4955" i="4" s="1"/>
  <c r="F273" i="8" s="1"/>
  <c r="J7743" i="4"/>
  <c r="J7752" i="4" s="1"/>
  <c r="J7819" i="4"/>
  <c r="J7826" i="4" s="1"/>
  <c r="J7828" i="4" s="1"/>
  <c r="J7897" i="4"/>
  <c r="J7904" i="4" s="1"/>
  <c r="J7974" i="4"/>
  <c r="J7982" i="4" s="1"/>
  <c r="J8062" i="4"/>
  <c r="J8063" i="4" s="1"/>
  <c r="F462" i="8" s="1"/>
  <c r="J8126" i="4"/>
  <c r="J8130" i="4" s="1"/>
  <c r="J8132" i="4" s="1"/>
  <c r="J8198" i="4"/>
  <c r="J8202" i="4" s="1"/>
  <c r="J8204" i="4" s="1"/>
  <c r="J8270" i="4"/>
  <c r="J8274" i="4" s="1"/>
  <c r="J8349" i="4"/>
  <c r="J8356" i="4" s="1"/>
  <c r="J8358" i="4" s="1"/>
  <c r="J2680" i="4"/>
  <c r="J2685" i="4" s="1"/>
  <c r="J2687" i="4" s="1"/>
  <c r="J2757" i="4"/>
  <c r="J2762" i="4" s="1"/>
  <c r="J2764" i="4" s="1"/>
  <c r="J2833" i="4"/>
  <c r="J2838" i="4" s="1"/>
  <c r="J2840" i="4" s="1"/>
  <c r="J2911" i="4"/>
  <c r="J2920" i="4" s="1"/>
  <c r="J2921" i="4" s="1"/>
  <c r="J2922" i="4" s="1"/>
  <c r="F163" i="8" s="1"/>
  <c r="J2991" i="4"/>
  <c r="J3000" i="4" s="1"/>
  <c r="J3001" i="4" s="1"/>
  <c r="J3002" i="4" s="1"/>
  <c r="F167" i="8" s="1"/>
  <c r="J3070" i="4"/>
  <c r="J3075" i="4" s="1"/>
  <c r="J3077" i="4" s="1"/>
  <c r="J3127" i="4"/>
  <c r="J3134" i="4" s="1"/>
  <c r="J3135" i="4" s="1"/>
  <c r="J3136" i="4" s="1"/>
  <c r="F174" i="8" s="1"/>
  <c r="J3183" i="4"/>
  <c r="J3187" i="4" s="1"/>
  <c r="J3189" i="4" s="1"/>
  <c r="J3255" i="4"/>
  <c r="J3262" i="4" s="1"/>
  <c r="J3329" i="4"/>
  <c r="J3337" i="4" s="1"/>
  <c r="J3338" i="4" s="1"/>
  <c r="J3339" i="4" s="1"/>
  <c r="F187" i="8" s="1"/>
  <c r="J3403" i="4"/>
  <c r="J3407" i="4" s="1"/>
  <c r="J3409" i="4" s="1"/>
  <c r="J3476" i="4"/>
  <c r="J3480" i="4" s="1"/>
  <c r="J3482" i="4" s="1"/>
  <c r="J3548" i="4"/>
  <c r="J3552" i="4" s="1"/>
  <c r="J3554" i="4" s="1"/>
  <c r="J3625" i="4"/>
  <c r="J3626" i="4" s="1"/>
  <c r="F203" i="8" s="1"/>
  <c r="J3689" i="4"/>
  <c r="J3694" i="4" s="1"/>
  <c r="J3696" i="4" s="1"/>
  <c r="J3767" i="4"/>
  <c r="J3773" i="4" s="1"/>
  <c r="J3847" i="4"/>
  <c r="J3853" i="4" s="1"/>
  <c r="J3986" i="4"/>
  <c r="J3991" i="4" s="1"/>
  <c r="J3993" i="4" s="1"/>
  <c r="J4074" i="4"/>
  <c r="J4075" i="4" s="1"/>
  <c r="F228" i="8" s="1"/>
  <c r="J4144" i="4"/>
  <c r="J4150" i="4" s="1"/>
  <c r="J4224" i="4"/>
  <c r="J4230" i="4" s="1"/>
  <c r="J4232" i="4" s="1"/>
  <c r="J4302" i="4"/>
  <c r="J4308" i="4" s="1"/>
  <c r="J4310" i="4" s="1"/>
  <c r="J4462" i="4"/>
  <c r="J4468" i="4" s="1"/>
  <c r="J4542" i="4"/>
  <c r="J4548" i="4" s="1"/>
  <c r="J4550" i="4" s="1"/>
  <c r="J4694" i="4"/>
  <c r="J4703" i="4" s="1"/>
  <c r="J4704" i="4" s="1"/>
  <c r="J4705" i="4" s="1"/>
  <c r="F260" i="8" s="1"/>
  <c r="J4774" i="4"/>
  <c r="J4780" i="4" s="1"/>
  <c r="J4855" i="4"/>
  <c r="J4863" i="4" s="1"/>
  <c r="J4864" i="4" s="1"/>
  <c r="J4865" i="4" s="1"/>
  <c r="F268" i="8" s="1"/>
  <c r="J4929" i="4"/>
  <c r="J4935" i="4" s="1"/>
  <c r="J4936" i="4" s="1"/>
  <c r="J4937" i="4" s="1"/>
  <c r="F272" i="8" s="1"/>
  <c r="J7596" i="4"/>
  <c r="J7603" i="4" s="1"/>
  <c r="J7763" i="4"/>
  <c r="J7772" i="4" s="1"/>
  <c r="J7840" i="4"/>
  <c r="J7844" i="4" s="1"/>
  <c r="J7846" i="4" s="1"/>
  <c r="J7915" i="4"/>
  <c r="J7921" i="4" s="1"/>
  <c r="J7923" i="4" s="1"/>
  <c r="J8008" i="4"/>
  <c r="J8009" i="4" s="1"/>
  <c r="F459" i="8" s="1"/>
  <c r="J8152" i="4"/>
  <c r="J8153" i="4" s="1"/>
  <c r="F467" i="8" s="1"/>
  <c r="J8216" i="4"/>
  <c r="J8220" i="4" s="1"/>
  <c r="J8222" i="4" s="1"/>
  <c r="J8298" i="4"/>
  <c r="J8299" i="4" s="1"/>
  <c r="F475" i="8" s="1"/>
  <c r="I7079" i="4"/>
  <c r="J7079" i="4" s="1"/>
  <c r="I7045" i="4"/>
  <c r="J7045" i="4" s="1"/>
  <c r="I7009" i="4"/>
  <c r="J7009" i="4" s="1"/>
  <c r="I6973" i="4"/>
  <c r="J6973" i="4" s="1"/>
  <c r="I6939" i="4"/>
  <c r="J6939" i="4" s="1"/>
  <c r="I6905" i="4"/>
  <c r="J6905" i="4" s="1"/>
  <c r="I6871" i="4"/>
  <c r="J6871" i="4" s="1"/>
  <c r="I6837" i="4"/>
  <c r="J6837" i="4" s="1"/>
  <c r="I6819" i="4"/>
  <c r="J6819" i="4" s="1"/>
  <c r="I6801" i="4"/>
  <c r="J6801" i="4" s="1"/>
  <c r="I6767" i="4"/>
  <c r="J6767" i="4" s="1"/>
  <c r="I6733" i="4"/>
  <c r="J6733" i="4" s="1"/>
  <c r="J6736" i="4" s="1"/>
  <c r="J6739" i="4" s="1"/>
  <c r="J6741" i="4" s="1"/>
  <c r="J6742" i="4" s="1"/>
  <c r="I6695" i="4"/>
  <c r="J6695" i="4" s="1"/>
  <c r="J6698" i="4" s="1"/>
  <c r="J6704" i="4" s="1"/>
  <c r="J6707" i="4" s="1"/>
  <c r="I6658" i="4"/>
  <c r="J6658" i="4" s="1"/>
  <c r="I6618" i="4"/>
  <c r="J6618" i="4" s="1"/>
  <c r="I6582" i="4"/>
  <c r="J6582" i="4" s="1"/>
  <c r="I6546" i="4"/>
  <c r="J6546" i="4" s="1"/>
  <c r="I6510" i="4"/>
  <c r="J6510" i="4" s="1"/>
  <c r="I6472" i="4"/>
  <c r="J6472" i="4" s="1"/>
  <c r="I6434" i="4"/>
  <c r="J6434" i="4" s="1"/>
  <c r="J6437" i="4" s="1"/>
  <c r="J6442" i="4" s="1"/>
  <c r="J6445" i="4" s="1"/>
  <c r="I6394" i="4"/>
  <c r="J6394" i="4" s="1"/>
  <c r="I6356" i="4"/>
  <c r="J6356" i="4" s="1"/>
  <c r="I6316" i="4"/>
  <c r="J6316" i="4" s="1"/>
  <c r="I6280" i="4"/>
  <c r="J6280" i="4" s="1"/>
  <c r="I6244" i="4"/>
  <c r="J6244" i="4" s="1"/>
  <c r="I6207" i="4"/>
  <c r="J6207" i="4" s="1"/>
  <c r="I6134" i="4"/>
  <c r="J6134" i="4" s="1"/>
  <c r="I6098" i="4"/>
  <c r="J6098" i="4" s="1"/>
  <c r="I6062" i="4"/>
  <c r="J6062" i="4" s="1"/>
  <c r="I6042" i="4"/>
  <c r="J6042" i="4" s="1"/>
  <c r="I6005" i="4"/>
  <c r="J6005" i="4" s="1"/>
  <c r="J6008" i="4" s="1"/>
  <c r="J6013" i="4" s="1"/>
  <c r="J6016" i="4" s="1"/>
  <c r="J6017" i="4" s="1"/>
  <c r="J6018" i="4" s="1"/>
  <c r="F335" i="8" s="1"/>
  <c r="I5966" i="4"/>
  <c r="J5966" i="4" s="1"/>
  <c r="I5928" i="4"/>
  <c r="J5928" i="4" s="1"/>
  <c r="I5890" i="4"/>
  <c r="J5890" i="4" s="1"/>
  <c r="I5854" i="4"/>
  <c r="J5854" i="4" s="1"/>
  <c r="J5857" i="4" s="1"/>
  <c r="J5861" i="4" s="1"/>
  <c r="J5864" i="4" s="1"/>
  <c r="I5818" i="4"/>
  <c r="J5818" i="4" s="1"/>
  <c r="I5782" i="4"/>
  <c r="J5782" i="4" s="1"/>
  <c r="I5746" i="4"/>
  <c r="J5746" i="4" s="1"/>
  <c r="I5710" i="4"/>
  <c r="J5710" i="4" s="1"/>
  <c r="I5674" i="4"/>
  <c r="J5674" i="4" s="1"/>
  <c r="I5638" i="4"/>
  <c r="J5638" i="4" s="1"/>
  <c r="I5602" i="4"/>
  <c r="J5602" i="4" s="1"/>
  <c r="I5566" i="4"/>
  <c r="J5566" i="4" s="1"/>
  <c r="I5530" i="4"/>
  <c r="J5530" i="4" s="1"/>
  <c r="I5494" i="4"/>
  <c r="J5494" i="4" s="1"/>
  <c r="I5439" i="4"/>
  <c r="J5439" i="4" s="1"/>
  <c r="I5401" i="4"/>
  <c r="J5401" i="4" s="1"/>
  <c r="I5367" i="4"/>
  <c r="J5367" i="4" s="1"/>
  <c r="I5313" i="4"/>
  <c r="J5313" i="4" s="1"/>
  <c r="I5275" i="4"/>
  <c r="J5275" i="4" s="1"/>
  <c r="I5182" i="4"/>
  <c r="J5182" i="4" s="1"/>
  <c r="I5146" i="4"/>
  <c r="J5146" i="4" s="1"/>
  <c r="I5110" i="4"/>
  <c r="J5110" i="4" s="1"/>
  <c r="I5074" i="4"/>
  <c r="J5074" i="4" s="1"/>
  <c r="I5036" i="4"/>
  <c r="J5036" i="4" s="1"/>
  <c r="I4998" i="4"/>
  <c r="J4998" i="4" s="1"/>
  <c r="I4653" i="4"/>
  <c r="J4653" i="4" s="1"/>
  <c r="I4617" i="4"/>
  <c r="J4617" i="4" s="1"/>
  <c r="I7096" i="4"/>
  <c r="J7096" i="4" s="1"/>
  <c r="I7062" i="4"/>
  <c r="J7062" i="4" s="1"/>
  <c r="I7027" i="4"/>
  <c r="J7027" i="4" s="1"/>
  <c r="I6991" i="4"/>
  <c r="J6991" i="4" s="1"/>
  <c r="I6956" i="4"/>
  <c r="J6956" i="4" s="1"/>
  <c r="I6922" i="4"/>
  <c r="J6922" i="4" s="1"/>
  <c r="I6888" i="4"/>
  <c r="J6888" i="4" s="1"/>
  <c r="I6854" i="4"/>
  <c r="J6854" i="4" s="1"/>
  <c r="I6784" i="4"/>
  <c r="J6784" i="4" s="1"/>
  <c r="I6750" i="4"/>
  <c r="J6750" i="4" s="1"/>
  <c r="I6716" i="4"/>
  <c r="J6716" i="4" s="1"/>
  <c r="I6677" i="4"/>
  <c r="J6677" i="4" s="1"/>
  <c r="I6638" i="4"/>
  <c r="J6638" i="4" s="1"/>
  <c r="I6600" i="4"/>
  <c r="J6600" i="4" s="1"/>
  <c r="I6564" i="4"/>
  <c r="J6564" i="4" s="1"/>
  <c r="I6528" i="4"/>
  <c r="J6528" i="4" s="1"/>
  <c r="I6491" i="4"/>
  <c r="J6491" i="4" s="1"/>
  <c r="J6494" i="4" s="1"/>
  <c r="J6499" i="4" s="1"/>
  <c r="J6501" i="4" s="1"/>
  <c r="J6502" i="4" s="1"/>
  <c r="I6453" i="4"/>
  <c r="J6453" i="4" s="1"/>
  <c r="I6415" i="4"/>
  <c r="J6415" i="4" s="1"/>
  <c r="I6374" i="4"/>
  <c r="J6374" i="4" s="1"/>
  <c r="I6336" i="4"/>
  <c r="J6336" i="4" s="1"/>
  <c r="I6298" i="4"/>
  <c r="J6298" i="4" s="1"/>
  <c r="I6262" i="4"/>
  <c r="J6262" i="4" s="1"/>
  <c r="I6226" i="4"/>
  <c r="J6226" i="4" s="1"/>
  <c r="I6188" i="4"/>
  <c r="J6188" i="4" s="1"/>
  <c r="I6116" i="4"/>
  <c r="J6116" i="4" s="1"/>
  <c r="I6080" i="4"/>
  <c r="J6080" i="4" s="1"/>
  <c r="I6024" i="4"/>
  <c r="J6024" i="4" s="1"/>
  <c r="I5984" i="4"/>
  <c r="J5984" i="4" s="1"/>
  <c r="I5946" i="4"/>
  <c r="J5946" i="4" s="1"/>
  <c r="I5908" i="4"/>
  <c r="J5908" i="4" s="1"/>
  <c r="I5872" i="4"/>
  <c r="J5872" i="4" s="1"/>
  <c r="I5836" i="4"/>
  <c r="J5836" i="4" s="1"/>
  <c r="I5800" i="4"/>
  <c r="J5800" i="4" s="1"/>
  <c r="I5764" i="4"/>
  <c r="J5764" i="4" s="1"/>
  <c r="I5728" i="4"/>
  <c r="J5728" i="4" s="1"/>
  <c r="I5692" i="4"/>
  <c r="J5692" i="4" s="1"/>
  <c r="I5656" i="4"/>
  <c r="J5656" i="4" s="1"/>
  <c r="I5620" i="4"/>
  <c r="J5620" i="4" s="1"/>
  <c r="I5584" i="4"/>
  <c r="J5584" i="4" s="1"/>
  <c r="I5548" i="4"/>
  <c r="J5548" i="4" s="1"/>
  <c r="I5512" i="4"/>
  <c r="J5512" i="4" s="1"/>
  <c r="I5458" i="4"/>
  <c r="J5458" i="4" s="1"/>
  <c r="I5420" i="4"/>
  <c r="J5420" i="4" s="1"/>
  <c r="I5384" i="4"/>
  <c r="J5384" i="4" s="1"/>
  <c r="I5350" i="4"/>
  <c r="J5350" i="4" s="1"/>
  <c r="I5295" i="4"/>
  <c r="J5295" i="4" s="1"/>
  <c r="I5255" i="4"/>
  <c r="J5255" i="4" s="1"/>
  <c r="I5164" i="4"/>
  <c r="J5164" i="4" s="1"/>
  <c r="I5128" i="4"/>
  <c r="J5128" i="4" s="1"/>
  <c r="I5092" i="4"/>
  <c r="J5092" i="4" s="1"/>
  <c r="I5017" i="4"/>
  <c r="J5017" i="4" s="1"/>
  <c r="I4979" i="4"/>
  <c r="J4979" i="4" s="1"/>
  <c r="I4635" i="4"/>
  <c r="J4635" i="4" s="1"/>
  <c r="I4599" i="4"/>
  <c r="J4599" i="4" s="1"/>
  <c r="I2180" i="4"/>
  <c r="J2180" i="4" s="1"/>
  <c r="I1838" i="4"/>
  <c r="J1838" i="4" s="1"/>
  <c r="I1823" i="4"/>
  <c r="J1823" i="4" s="1"/>
  <c r="J1825" i="4" s="1"/>
  <c r="J1830" i="4" s="1"/>
  <c r="I1808" i="4"/>
  <c r="J1808" i="4" s="1"/>
  <c r="J1810" i="4" s="1"/>
  <c r="J1815" i="4" s="1"/>
  <c r="J1816" i="4" s="1"/>
  <c r="J1817" i="4" s="1"/>
  <c r="F105" i="8" s="1"/>
  <c r="I1613" i="4"/>
  <c r="J1613" i="4" s="1"/>
  <c r="I1555" i="4"/>
  <c r="J1555" i="4" s="1"/>
  <c r="I1497" i="4"/>
  <c r="J1497" i="4" s="1"/>
  <c r="I1442" i="4"/>
  <c r="J1442" i="4" s="1"/>
  <c r="I1374" i="4"/>
  <c r="J1374" i="4" s="1"/>
  <c r="I1329" i="4"/>
  <c r="J1329" i="4" s="1"/>
  <c r="I1285" i="4"/>
  <c r="J1285" i="4" s="1"/>
  <c r="I1247" i="4"/>
  <c r="J1247" i="4" s="1"/>
  <c r="J1250" i="4" s="1"/>
  <c r="J1255" i="4" s="1"/>
  <c r="J1257" i="4" s="1"/>
  <c r="J1258" i="4" s="1"/>
  <c r="J1259" i="4" s="1"/>
  <c r="J1260" i="4" s="1"/>
  <c r="F79" i="8" s="1"/>
  <c r="I211" i="4"/>
  <c r="J211" i="4" s="1"/>
  <c r="I173" i="4"/>
  <c r="J173" i="4" s="1"/>
  <c r="I149" i="4"/>
  <c r="J149" i="4" s="1"/>
  <c r="I129" i="4"/>
  <c r="J129" i="4" s="1"/>
  <c r="I98" i="4"/>
  <c r="J98" i="4" s="1"/>
  <c r="I79" i="4"/>
  <c r="J79" i="4" s="1"/>
  <c r="J82" i="4" s="1"/>
  <c r="J87" i="4" s="1"/>
  <c r="J90" i="4" s="1"/>
  <c r="J91" i="4" s="1"/>
  <c r="J92" i="4" s="1"/>
  <c r="F10" i="8" s="1"/>
  <c r="H12" i="11" s="1"/>
  <c r="I12" i="11" s="1"/>
  <c r="I16" i="11" s="1"/>
  <c r="I33" i="4"/>
  <c r="J33" i="4" s="1"/>
  <c r="I10" i="4"/>
  <c r="J10" i="4" s="1"/>
  <c r="I2161" i="4"/>
  <c r="J2161" i="4" s="1"/>
  <c r="I1639" i="4"/>
  <c r="J1639" i="4" s="1"/>
  <c r="I1584" i="4"/>
  <c r="J1584" i="4" s="1"/>
  <c r="I1526" i="4"/>
  <c r="J1526" i="4" s="1"/>
  <c r="I1468" i="4"/>
  <c r="J1468" i="4" s="1"/>
  <c r="I1416" i="4"/>
  <c r="J1416" i="4" s="1"/>
  <c r="I1396" i="4"/>
  <c r="J1396" i="4" s="1"/>
  <c r="I1351" i="4"/>
  <c r="J1351" i="4" s="1"/>
  <c r="I1307" i="4"/>
  <c r="J1307" i="4" s="1"/>
  <c r="I1266" i="4"/>
  <c r="J1266" i="4" s="1"/>
  <c r="I228" i="4"/>
  <c r="J228" i="4" s="1"/>
  <c r="I57" i="4"/>
  <c r="J57" i="4" s="1"/>
  <c r="J60" i="4" s="1"/>
  <c r="J68" i="4" s="1"/>
  <c r="J71" i="4" s="1"/>
  <c r="J72" i="4" s="1"/>
  <c r="J73" i="4" s="1"/>
  <c r="F9" i="8" s="1"/>
  <c r="J750" i="4"/>
  <c r="J756" i="4" s="1"/>
  <c r="J981" i="4"/>
  <c r="J987" i="4" s="1"/>
  <c r="J1081" i="4"/>
  <c r="J1087" i="4" s="1"/>
  <c r="J1668" i="4"/>
  <c r="J1677" i="4" s="1"/>
  <c r="J2148" i="4"/>
  <c r="J2153" i="4" s="1"/>
  <c r="J2154" i="4" s="1"/>
  <c r="J2155" i="4" s="1"/>
  <c r="F117" i="8" s="1"/>
  <c r="J574" i="4"/>
  <c r="J579" i="4" s="1"/>
  <c r="J581" i="4" s="1"/>
  <c r="J612" i="4"/>
  <c r="J617" i="4" s="1"/>
  <c r="J650" i="4"/>
  <c r="J659" i="4" s="1"/>
  <c r="J660" i="4" s="1"/>
  <c r="J661" i="4" s="1"/>
  <c r="F47" i="8" s="1"/>
  <c r="J728" i="4"/>
  <c r="J736" i="4" s="1"/>
  <c r="J738" i="4" s="1"/>
  <c r="J879" i="4"/>
  <c r="J885" i="4" s="1"/>
  <c r="J971" i="4"/>
  <c r="J972" i="4" s="1"/>
  <c r="F65" i="8" s="1"/>
  <c r="J1179" i="4"/>
  <c r="J1185" i="4" s="1"/>
  <c r="J1186" i="4" s="1"/>
  <c r="J1187" i="4" s="1"/>
  <c r="F75" i="8" s="1"/>
  <c r="J1688" i="4"/>
  <c r="J1694" i="4" s="1"/>
  <c r="J1770" i="4"/>
  <c r="J1779" i="4" s="1"/>
  <c r="J1780" i="4" s="1"/>
  <c r="J1781" i="4" s="1"/>
  <c r="F103" i="8" s="1"/>
  <c r="J2661" i="4"/>
  <c r="J2666" i="4" s="1"/>
  <c r="J2668" i="4" s="1"/>
  <c r="J2737" i="4"/>
  <c r="J2746" i="4" s="1"/>
  <c r="J2747" i="4" s="1"/>
  <c r="J2748" i="4" s="1"/>
  <c r="F154" i="8" s="1"/>
  <c r="J2814" i="4"/>
  <c r="J2819" i="4" s="1"/>
  <c r="J2821" i="4" s="1"/>
  <c r="J2891" i="4"/>
  <c r="J2900" i="4" s="1"/>
  <c r="J2901" i="4" s="1"/>
  <c r="J2902" i="4" s="1"/>
  <c r="F162" i="8" s="1"/>
  <c r="J2971" i="4"/>
  <c r="J2980" i="4" s="1"/>
  <c r="J2981" i="4" s="1"/>
  <c r="J2982" i="4" s="1"/>
  <c r="F166" i="8" s="1"/>
  <c r="J3051" i="4"/>
  <c r="J3056" i="4" s="1"/>
  <c r="J3058" i="4" s="1"/>
  <c r="J3165" i="4"/>
  <c r="J3169" i="4" s="1"/>
  <c r="J3171" i="4" s="1"/>
  <c r="J3237" i="4"/>
  <c r="J3244" i="4" s="1"/>
  <c r="J3310" i="4"/>
  <c r="J3318" i="4" s="1"/>
  <c r="J3319" i="4" s="1"/>
  <c r="J3320" i="4" s="1"/>
  <c r="F186" i="8" s="1"/>
  <c r="J3385" i="4"/>
  <c r="J3389" i="4" s="1"/>
  <c r="J3391" i="4" s="1"/>
  <c r="J3457" i="4"/>
  <c r="J3465" i="4" s="1"/>
  <c r="J3466" i="4" s="1"/>
  <c r="J3467" i="4" s="1"/>
  <c r="F194" i="8" s="1"/>
  <c r="J3530" i="4"/>
  <c r="J3534" i="4" s="1"/>
  <c r="J3536" i="4" s="1"/>
  <c r="J3600" i="4"/>
  <c r="J3604" i="4" s="1"/>
  <c r="J3606" i="4" s="1"/>
  <c r="J3670" i="4"/>
  <c r="J3678" i="4" s="1"/>
  <c r="J3747" i="4"/>
  <c r="J3753" i="4" s="1"/>
  <c r="J3755" i="4" s="1"/>
  <c r="J3907" i="4"/>
  <c r="J3913" i="4" s="1"/>
  <c r="J3915" i="4" s="1"/>
  <c r="J4005" i="4"/>
  <c r="J4010" i="4" s="1"/>
  <c r="J4124" i="4"/>
  <c r="J4130" i="4" s="1"/>
  <c r="J4204" i="4"/>
  <c r="J4210" i="4" s="1"/>
  <c r="J4212" i="4" s="1"/>
  <c r="J4292" i="4"/>
  <c r="J4293" i="4" s="1"/>
  <c r="F239" i="8" s="1"/>
  <c r="J4442" i="4"/>
  <c r="J4451" i="4" s="1"/>
  <c r="J4522" i="4"/>
  <c r="J4528" i="4" s="1"/>
  <c r="J4531" i="4" s="1"/>
  <c r="J4674" i="4"/>
  <c r="J4680" i="4" s="1"/>
  <c r="J4754" i="4"/>
  <c r="J4760" i="4" s="1"/>
  <c r="J4762" i="4" s="1"/>
  <c r="J4835" i="4"/>
  <c r="J4844" i="4" s="1"/>
  <c r="J4845" i="4" s="1"/>
  <c r="J4846" i="4" s="1"/>
  <c r="F267" i="8" s="1"/>
  <c r="J4911" i="4"/>
  <c r="J4918" i="4" s="1"/>
  <c r="J4919" i="4" s="1"/>
  <c r="J4920" i="4" s="1"/>
  <c r="F271" i="8" s="1"/>
  <c r="J7713" i="4"/>
  <c r="J7714" i="4" s="1"/>
  <c r="F444" i="8" s="1"/>
  <c r="H62" i="15" s="1"/>
  <c r="I62" i="15" s="1"/>
  <c r="J7783" i="4"/>
  <c r="J7787" i="4" s="1"/>
  <c r="J7789" i="4" s="1"/>
  <c r="J7790" i="4" s="1"/>
  <c r="J7935" i="4"/>
  <c r="J7938" i="4" s="1"/>
  <c r="J8098" i="4"/>
  <c r="J8099" i="4" s="1"/>
  <c r="F464" i="8" s="1"/>
  <c r="J8162" i="4"/>
  <c r="J8166" i="4" s="1"/>
  <c r="J8168" i="4" s="1"/>
  <c r="J8234" i="4"/>
  <c r="J8238" i="4" s="1"/>
  <c r="J8240" i="4" s="1"/>
  <c r="J8308" i="4"/>
  <c r="J8314" i="4" s="1"/>
  <c r="J2642" i="4"/>
  <c r="J2647" i="4" s="1"/>
  <c r="J2649" i="4" s="1"/>
  <c r="J2727" i="4"/>
  <c r="J2728" i="4" s="1"/>
  <c r="F153" i="8" s="1"/>
  <c r="J2804" i="4"/>
  <c r="J2805" i="4" s="1"/>
  <c r="F157" i="8" s="1"/>
  <c r="J2871" i="4"/>
  <c r="J2880" i="4" s="1"/>
  <c r="J2881" i="4" s="1"/>
  <c r="J2882" i="4" s="1"/>
  <c r="F161" i="8" s="1"/>
  <c r="J2951" i="4"/>
  <c r="J2960" i="4" s="1"/>
  <c r="J2961" i="4" s="1"/>
  <c r="J2962" i="4" s="1"/>
  <c r="F165" i="8" s="1"/>
  <c r="J3031" i="4"/>
  <c r="J3040" i="4" s="1"/>
  <c r="J3041" i="4" s="1"/>
  <c r="J3042" i="4" s="1"/>
  <c r="F169" i="8" s="1"/>
  <c r="J3108" i="4"/>
  <c r="J3116" i="4" s="1"/>
  <c r="J3117" i="4" s="1"/>
  <c r="J3118" i="4" s="1"/>
  <c r="F173" i="8" s="1"/>
  <c r="J3147" i="4"/>
  <c r="J3151" i="4" s="1"/>
  <c r="J3153" i="4" s="1"/>
  <c r="J3219" i="4"/>
  <c r="J3223" i="4" s="1"/>
  <c r="J3225" i="4" s="1"/>
  <c r="J3291" i="4"/>
  <c r="J3299" i="4" s="1"/>
  <c r="J3300" i="4" s="1"/>
  <c r="J3301" i="4" s="1"/>
  <c r="F185" i="8" s="1"/>
  <c r="J3367" i="4"/>
  <c r="J3371" i="4" s="1"/>
  <c r="J3373" i="4" s="1"/>
  <c r="J3439" i="4"/>
  <c r="J3443" i="4" s="1"/>
  <c r="J3445" i="4" s="1"/>
  <c r="J3512" i="4"/>
  <c r="J3516" i="4" s="1"/>
  <c r="J3518" i="4" s="1"/>
  <c r="J3583" i="4"/>
  <c r="J3586" i="4" s="1"/>
  <c r="J3588" i="4" s="1"/>
  <c r="J3652" i="4"/>
  <c r="J3658" i="4" s="1"/>
  <c r="J3659" i="4" s="1"/>
  <c r="J3660" i="4" s="1"/>
  <c r="F205" i="8" s="1"/>
  <c r="H20" i="15" s="1"/>
  <c r="H77" i="15" s="1"/>
  <c r="I77" i="15" s="1"/>
  <c r="J3727" i="4"/>
  <c r="J3733" i="4" s="1"/>
  <c r="J3807" i="4"/>
  <c r="J3816" i="4" s="1"/>
  <c r="J3817" i="4" s="1"/>
  <c r="J3818" i="4" s="1"/>
  <c r="F215" i="8" s="1"/>
  <c r="J3887" i="4"/>
  <c r="J3893" i="4" s="1"/>
  <c r="J3967" i="4"/>
  <c r="J3972" i="4" s="1"/>
  <c r="J3974" i="4" s="1"/>
  <c r="J4024" i="4"/>
  <c r="J4030" i="4" s="1"/>
  <c r="J4104" i="4"/>
  <c r="J4110" i="4" s="1"/>
  <c r="J4184" i="4"/>
  <c r="J4190" i="4" s="1"/>
  <c r="J4264" i="4"/>
  <c r="J4271" i="4" s="1"/>
  <c r="J4272" i="4" s="1"/>
  <c r="J4273" i="4" s="1"/>
  <c r="F238" i="8" s="1"/>
  <c r="J4402" i="4"/>
  <c r="J4408" i="4" s="1"/>
  <c r="J4410" i="4" s="1"/>
  <c r="J4502" i="4"/>
  <c r="J4508" i="4" s="1"/>
  <c r="J4510" i="4" s="1"/>
  <c r="J4582" i="4"/>
  <c r="J4588" i="4" s="1"/>
  <c r="J4590" i="4" s="1"/>
  <c r="J4734" i="4"/>
  <c r="J4740" i="4" s="1"/>
  <c r="J4814" i="4"/>
  <c r="J4824" i="4" s="1"/>
  <c r="J4893" i="4"/>
  <c r="J4900" i="4" s="1"/>
  <c r="J4901" i="4" s="1"/>
  <c r="J4902" i="4" s="1"/>
  <c r="F270" i="8" s="1"/>
  <c r="J4964" i="4"/>
  <c r="J4968" i="4" s="1"/>
  <c r="J4970" i="4" s="1"/>
  <c r="J7723" i="4"/>
  <c r="J7731" i="4" s="1"/>
  <c r="J7809" i="4"/>
  <c r="J7810" i="4" s="1"/>
  <c r="F449" i="8" s="1"/>
  <c r="J7952" i="4"/>
  <c r="J7960" i="4" s="1"/>
  <c r="J7963" i="4" s="1"/>
  <c r="J8036" i="4"/>
  <c r="J8043" i="4" s="1"/>
  <c r="J8108" i="4"/>
  <c r="J8112" i="4" s="1"/>
  <c r="J8114" i="4" s="1"/>
  <c r="J8252" i="4"/>
  <c r="J8256" i="4" s="1"/>
  <c r="J8258" i="4" s="1"/>
  <c r="J8328" i="4"/>
  <c r="J8335" i="4" s="1"/>
  <c r="J12072" i="4"/>
  <c r="J12083" i="4" s="1"/>
  <c r="J12084" i="4" s="1"/>
  <c r="J12085" i="4" s="1"/>
  <c r="F704" i="8" s="1"/>
  <c r="H91" i="15" s="1"/>
  <c r="I91" i="15" s="1"/>
  <c r="H16" i="15" l="1"/>
  <c r="H75" i="15" s="1"/>
  <c r="I75" i="15" s="1"/>
  <c r="H96" i="15"/>
  <c r="I96" i="15" s="1"/>
  <c r="H29" i="15"/>
  <c r="H92" i="15"/>
  <c r="I92" i="15" s="1"/>
  <c r="H57" i="11"/>
  <c r="F37" i="14"/>
  <c r="E98" i="14"/>
  <c r="I56" i="15"/>
  <c r="J5203" i="4"/>
  <c r="J5210" i="4" s="1"/>
  <c r="J5211" i="4" s="1"/>
  <c r="J5212" i="4" s="1"/>
  <c r="F289" i="8" s="1"/>
  <c r="H43" i="15" s="1"/>
  <c r="J5334" i="4"/>
  <c r="J5341" i="4" s="1"/>
  <c r="J5342" i="4" s="1"/>
  <c r="J5343" i="4" s="1"/>
  <c r="F296" i="8" s="1"/>
  <c r="H46" i="15" s="1"/>
  <c r="J6180" i="4"/>
  <c r="J6181" i="4" s="1"/>
  <c r="F344" i="8" s="1"/>
  <c r="I20" i="15"/>
  <c r="E55" i="14"/>
  <c r="F16" i="14"/>
  <c r="J3410" i="4"/>
  <c r="J3411" i="4" s="1"/>
  <c r="J3412" i="4" s="1"/>
  <c r="F191" i="8" s="1"/>
  <c r="J7732" i="4"/>
  <c r="J7733" i="4" s="1"/>
  <c r="J7734" i="4" s="1"/>
  <c r="F445" i="8" s="1"/>
  <c r="J4743" i="4"/>
  <c r="J4744" i="4" s="1"/>
  <c r="J4745" i="4" s="1"/>
  <c r="F262" i="8" s="1"/>
  <c r="J8241" i="4"/>
  <c r="J8242" i="4" s="1"/>
  <c r="J8243" i="4" s="1"/>
  <c r="F472" i="8" s="1"/>
  <c r="J888" i="4"/>
  <c r="I7878" i="4" s="1"/>
  <c r="J7878" i="4" s="1"/>
  <c r="J3896" i="4"/>
  <c r="J3897" i="4" s="1"/>
  <c r="J3898" i="4" s="1"/>
  <c r="F219" i="8" s="1"/>
  <c r="J3172" i="4"/>
  <c r="J3173" i="4" s="1"/>
  <c r="J3174" i="4" s="1"/>
  <c r="F178" i="8" s="1"/>
  <c r="J3519" i="4"/>
  <c r="J3520" i="4" s="1"/>
  <c r="J3521" i="4" s="1"/>
  <c r="F197" i="8" s="1"/>
  <c r="J3916" i="4"/>
  <c r="J3917" i="4" s="1"/>
  <c r="J3918" i="4" s="1"/>
  <c r="F220" i="8" s="1"/>
  <c r="J3392" i="4"/>
  <c r="J3393" i="4" s="1"/>
  <c r="J3394" i="4" s="1"/>
  <c r="F190" i="8" s="1"/>
  <c r="J4193" i="4"/>
  <c r="J4194" i="4" s="1"/>
  <c r="J4195" i="4" s="1"/>
  <c r="F234" i="8" s="1"/>
  <c r="J4213" i="4"/>
  <c r="J4214" i="4" s="1"/>
  <c r="J4215" i="4" s="1"/>
  <c r="F235" i="8" s="1"/>
  <c r="J2765" i="4"/>
  <c r="J2766" i="4" s="1"/>
  <c r="J2767" i="4" s="1"/>
  <c r="F155" i="8" s="1"/>
  <c r="J4113" i="4"/>
  <c r="J4114" i="4" s="1"/>
  <c r="J4115" i="4" s="1"/>
  <c r="F230" i="8" s="1"/>
  <c r="J3226" i="4"/>
  <c r="J3227" i="4" s="1"/>
  <c r="J3228" i="4" s="1"/>
  <c r="F181" i="8" s="1"/>
  <c r="J4133" i="4"/>
  <c r="J4134" i="4" s="1"/>
  <c r="J4135" i="4" s="1"/>
  <c r="F231" i="8" s="1"/>
  <c r="J4153" i="4"/>
  <c r="J4154" i="4" s="1"/>
  <c r="J4155" i="4" s="1"/>
  <c r="F232" i="8" s="1"/>
  <c r="J7985" i="4"/>
  <c r="J7986" i="4" s="1"/>
  <c r="J7987" i="4" s="1"/>
  <c r="F458" i="8" s="1"/>
  <c r="J4591" i="4"/>
  <c r="J4592" i="4" s="1"/>
  <c r="J4593" i="4" s="1"/>
  <c r="F254" i="8" s="1"/>
  <c r="H23" i="15" s="1"/>
  <c r="J4683" i="4"/>
  <c r="J4684" i="4" s="1"/>
  <c r="J4685" i="4" s="1"/>
  <c r="F259" i="8" s="1"/>
  <c r="J8338" i="4"/>
  <c r="J8339" i="4" s="1"/>
  <c r="J8340" i="4" s="1"/>
  <c r="F477" i="8" s="1"/>
  <c r="J3589" i="4"/>
  <c r="J3590" i="4" s="1"/>
  <c r="J3591" i="4" s="1"/>
  <c r="F201" i="8" s="1"/>
  <c r="J4763" i="4"/>
  <c r="J4764" i="4" s="1"/>
  <c r="J4765" i="4" s="1"/>
  <c r="F263" i="8" s="1"/>
  <c r="J3756" i="4"/>
  <c r="J3757" i="4" s="1"/>
  <c r="J3758" i="4" s="1"/>
  <c r="F212" i="8" s="1"/>
  <c r="J3059" i="4"/>
  <c r="J3060" i="4" s="1"/>
  <c r="J3061" i="4" s="1"/>
  <c r="F170" i="8" s="1"/>
  <c r="J582" i="4"/>
  <c r="J583" i="4" s="1"/>
  <c r="J584" i="4" s="1"/>
  <c r="F43" i="8" s="1"/>
  <c r="J3776" i="4"/>
  <c r="J3777" i="4" s="1"/>
  <c r="J3778" i="4" s="1"/>
  <c r="F213" i="8" s="1"/>
  <c r="J8205" i="4"/>
  <c r="J8206" i="4" s="1"/>
  <c r="J8207" i="4" s="1"/>
  <c r="F470" i="8" s="1"/>
  <c r="J4551" i="4"/>
  <c r="J4552" i="4" s="1"/>
  <c r="J4553" i="4" s="1"/>
  <c r="F252" i="8" s="1"/>
  <c r="J3697" i="4"/>
  <c r="J3698" i="4" s="1"/>
  <c r="J3699" i="4" s="1"/>
  <c r="F209" i="8" s="1"/>
  <c r="J3078" i="4"/>
  <c r="J3079" i="4" s="1"/>
  <c r="J3080" i="4" s="1"/>
  <c r="F171" i="8" s="1"/>
  <c r="J8115" i="4"/>
  <c r="J8116" i="4" s="1"/>
  <c r="J8117" i="4" s="1"/>
  <c r="F465" i="8" s="1"/>
  <c r="J739" i="4"/>
  <c r="J740" i="4" s="1"/>
  <c r="J741" i="4" s="1"/>
  <c r="F51" i="8" s="1"/>
  <c r="J4971" i="4"/>
  <c r="J4972" i="4" s="1"/>
  <c r="J4973" i="4" s="1"/>
  <c r="F274" i="8" s="1"/>
  <c r="J8169" i="4"/>
  <c r="J8170" i="4" s="1"/>
  <c r="J8171" i="4" s="1"/>
  <c r="F468" i="8" s="1"/>
  <c r="J1697" i="4"/>
  <c r="J1698" i="4" s="1"/>
  <c r="J1699" i="4" s="1"/>
  <c r="F99" i="8" s="1"/>
  <c r="J7924" i="4"/>
  <c r="J7925" i="4" s="1"/>
  <c r="J7926" i="4" s="1"/>
  <c r="F455" i="8" s="1"/>
  <c r="J4471" i="4"/>
  <c r="J4472" i="4" s="1"/>
  <c r="J4473" i="4" s="1"/>
  <c r="F248" i="8" s="1"/>
  <c r="J8359" i="4"/>
  <c r="J8360" i="4" s="1"/>
  <c r="J8361" i="4" s="1"/>
  <c r="F478" i="8" s="1"/>
  <c r="J4511" i="4"/>
  <c r="J4512" i="4" s="1"/>
  <c r="J4513" i="4" s="1"/>
  <c r="F250" i="8" s="1"/>
  <c r="J3374" i="4"/>
  <c r="J3375" i="4" s="1"/>
  <c r="J3537" i="4"/>
  <c r="J3538" i="4" s="1"/>
  <c r="J3539" i="4" s="1"/>
  <c r="F198" i="8" s="1"/>
  <c r="J2822" i="4"/>
  <c r="J2823" i="4" s="1"/>
  <c r="J2824" i="4" s="1"/>
  <c r="F158" i="8" s="1"/>
  <c r="J3994" i="4"/>
  <c r="J3995" i="4" s="1"/>
  <c r="J3996" i="4" s="1"/>
  <c r="F224" i="8" s="1"/>
  <c r="J7847" i="4"/>
  <c r="J7848" i="4" s="1"/>
  <c r="J7849" i="4" s="1"/>
  <c r="F451" i="8" s="1"/>
  <c r="J4311" i="4"/>
  <c r="J4312" i="4" s="1"/>
  <c r="J4313" i="4" s="1"/>
  <c r="F240" i="8" s="1"/>
  <c r="J3190" i="4"/>
  <c r="J3191" i="4" s="1"/>
  <c r="J3192" i="4" s="1"/>
  <c r="F179" i="8" s="1"/>
  <c r="J8277" i="4"/>
  <c r="J8278" i="4" s="1"/>
  <c r="J8279" i="4" s="1"/>
  <c r="F474" i="8" s="1"/>
  <c r="H132" i="11" s="1"/>
  <c r="J3975" i="4"/>
  <c r="J3976" i="4" s="1"/>
  <c r="J3977" i="4" s="1"/>
  <c r="F223" i="8" s="1"/>
  <c r="J2650" i="4"/>
  <c r="J2651" i="4" s="1"/>
  <c r="J2652" i="4" s="1"/>
  <c r="F149" i="8" s="1"/>
  <c r="J990" i="4"/>
  <c r="J991" i="4" s="1"/>
  <c r="J992" i="4" s="1"/>
  <c r="F66" i="8" s="1"/>
  <c r="J8223" i="4"/>
  <c r="J8224" i="4" s="1"/>
  <c r="J8225" i="4" s="1"/>
  <c r="F471" i="8" s="1"/>
  <c r="J4783" i="4"/>
  <c r="J4784" i="4" s="1"/>
  <c r="J4785" i="4" s="1"/>
  <c r="F264" i="8" s="1"/>
  <c r="J3483" i="4"/>
  <c r="J3484" i="4" s="1"/>
  <c r="J3485" i="4" s="1"/>
  <c r="F195" i="8" s="1"/>
  <c r="J2841" i="4"/>
  <c r="J2842" i="4" s="1"/>
  <c r="J2843" i="4" s="1"/>
  <c r="F159" i="8" s="1"/>
  <c r="J8259" i="4"/>
  <c r="J8260" i="4" s="1"/>
  <c r="J8261" i="4" s="1"/>
  <c r="F473" i="8" s="1"/>
  <c r="J4411" i="4"/>
  <c r="J4412" i="4" s="1"/>
  <c r="J4413" i="4" s="1"/>
  <c r="F245" i="8" s="1"/>
  <c r="J4033" i="4"/>
  <c r="J4034" i="4" s="1"/>
  <c r="J4035" i="4" s="1"/>
  <c r="F226" i="8" s="1"/>
  <c r="J3736" i="4"/>
  <c r="J3737" i="4" s="1"/>
  <c r="J3738" i="4" s="1"/>
  <c r="F211" i="8" s="1"/>
  <c r="J3446" i="4"/>
  <c r="J3447" i="4" s="1"/>
  <c r="J3154" i="4"/>
  <c r="J3155" i="4" s="1"/>
  <c r="J3156" i="4" s="1"/>
  <c r="F177" i="8" s="1"/>
  <c r="J8317" i="4"/>
  <c r="J7941" i="4"/>
  <c r="J7942" i="4" s="1"/>
  <c r="J7943" i="4" s="1"/>
  <c r="F456" i="8" s="1"/>
  <c r="H57" i="15" s="1"/>
  <c r="J4013" i="4"/>
  <c r="J4014" i="4" s="1"/>
  <c r="J4015" i="4" s="1"/>
  <c r="F225" i="8" s="1"/>
  <c r="J3607" i="4"/>
  <c r="J3608" i="4" s="1"/>
  <c r="J2669" i="4"/>
  <c r="J2670" i="4" s="1"/>
  <c r="J2671" i="4" s="1"/>
  <c r="F150" i="8" s="1"/>
  <c r="J620" i="4"/>
  <c r="J621" i="4" s="1"/>
  <c r="J622" i="4" s="1"/>
  <c r="F45" i="8" s="1"/>
  <c r="J1090" i="4"/>
  <c r="J1091" i="4" s="1"/>
  <c r="J1092" i="4" s="1"/>
  <c r="F71" i="8" s="1"/>
  <c r="J759" i="4"/>
  <c r="J760" i="4" s="1"/>
  <c r="J761" i="4" s="1"/>
  <c r="F52" i="8" s="1"/>
  <c r="J4233" i="4"/>
  <c r="J4234" i="4" s="1"/>
  <c r="J4235" i="4" s="1"/>
  <c r="F236" i="8" s="1"/>
  <c r="J3856" i="4"/>
  <c r="J3857" i="4" s="1"/>
  <c r="J3858" i="4" s="1"/>
  <c r="F217" i="8" s="1"/>
  <c r="J3555" i="4"/>
  <c r="J3556" i="4" s="1"/>
  <c r="J3557" i="4" s="1"/>
  <c r="F199" i="8" s="1"/>
  <c r="H97" i="15" s="1"/>
  <c r="I97" i="15" s="1"/>
  <c r="J2688" i="4"/>
  <c r="J2689" i="4" s="1"/>
  <c r="J2690" i="4" s="1"/>
  <c r="F151" i="8" s="1"/>
  <c r="J8133" i="4"/>
  <c r="J8134" i="4" s="1"/>
  <c r="J8135" i="4" s="1"/>
  <c r="F466" i="8" s="1"/>
  <c r="J7829" i="4"/>
  <c r="J7830" i="4" s="1"/>
  <c r="J7831" i="4" s="1"/>
  <c r="F450" i="8" s="1"/>
  <c r="J4491" i="4"/>
  <c r="J4492" i="4" s="1"/>
  <c r="J4493" i="4" s="1"/>
  <c r="F249" i="8" s="1"/>
  <c r="J4391" i="4"/>
  <c r="J4392" i="4" s="1"/>
  <c r="J4393" i="4" s="1"/>
  <c r="F244" i="8" s="1"/>
  <c r="J4253" i="4"/>
  <c r="J4254" i="4" s="1"/>
  <c r="J4255" i="4" s="1"/>
  <c r="F237" i="8" s="1"/>
  <c r="J4173" i="4"/>
  <c r="J4174" i="4" s="1"/>
  <c r="J4175" i="4" s="1"/>
  <c r="F233" i="8" s="1"/>
  <c r="J4053" i="4"/>
  <c r="J4054" i="4" s="1"/>
  <c r="J4055" i="4" s="1"/>
  <c r="F227" i="8" s="1"/>
  <c r="J3876" i="4"/>
  <c r="J3877" i="4" s="1"/>
  <c r="J3878" i="4" s="1"/>
  <c r="F218" i="8" s="1"/>
  <c r="J3716" i="4"/>
  <c r="J3717" i="4" s="1"/>
  <c r="J3718" i="4" s="1"/>
  <c r="F210" i="8" s="1"/>
  <c r="J3572" i="4"/>
  <c r="J3573" i="4" s="1"/>
  <c r="J3574" i="4" s="1"/>
  <c r="F200" i="8" s="1"/>
  <c r="J3501" i="4"/>
  <c r="J3502" i="4" s="1"/>
  <c r="J3503" i="4" s="1"/>
  <c r="F196" i="8" s="1"/>
  <c r="J3428" i="4"/>
  <c r="J3429" i="4" s="1"/>
  <c r="J3430" i="4" s="1"/>
  <c r="F192" i="8" s="1"/>
  <c r="J3280" i="4"/>
  <c r="J3281" i="4" s="1"/>
  <c r="J3282" i="4" s="1"/>
  <c r="F184" i="8" s="1"/>
  <c r="J3208" i="4"/>
  <c r="J3209" i="4" s="1"/>
  <c r="J3210" i="4" s="1"/>
  <c r="F180" i="8" s="1"/>
  <c r="J2860" i="4"/>
  <c r="J2861" i="4" s="1"/>
  <c r="J2862" i="4" s="1"/>
  <c r="F160" i="8" s="1"/>
  <c r="J2784" i="4"/>
  <c r="J2785" i="4" s="1"/>
  <c r="J2786" i="4" s="1"/>
  <c r="F156" i="8" s="1"/>
  <c r="J2707" i="4"/>
  <c r="J2708" i="4" s="1"/>
  <c r="J2709" i="4" s="1"/>
  <c r="F152" i="8" s="1"/>
  <c r="J1737" i="4"/>
  <c r="J1738" i="4" s="1"/>
  <c r="J1739" i="4" s="1"/>
  <c r="F101" i="8" s="1"/>
  <c r="J1030" i="4"/>
  <c r="J1031" i="4" s="1"/>
  <c r="J1032" i="4" s="1"/>
  <c r="F68" i="8" s="1"/>
  <c r="J640" i="4"/>
  <c r="J641" i="4" s="1"/>
  <c r="F46" i="8" s="1"/>
  <c r="J8044" i="4"/>
  <c r="J8045" i="4" s="1"/>
  <c r="F461" i="8" s="1"/>
  <c r="J4532" i="4"/>
  <c r="J4533" i="4" s="1"/>
  <c r="F251" i="8" s="1"/>
  <c r="J4452" i="4"/>
  <c r="J4453" i="4" s="1"/>
  <c r="F247" i="8" s="1"/>
  <c r="J1269" i="4"/>
  <c r="J1277" i="4" s="1"/>
  <c r="J1354" i="4"/>
  <c r="J1366" i="4" s="1"/>
  <c r="J1367" i="4" s="1"/>
  <c r="J1368" i="4" s="1"/>
  <c r="F84" i="8" s="1"/>
  <c r="H144" i="11" s="1"/>
  <c r="I144" i="11" s="1"/>
  <c r="J13" i="4"/>
  <c r="J25" i="4" s="1"/>
  <c r="J26" i="4" s="1"/>
  <c r="J27" i="4" s="1"/>
  <c r="F7" i="8" s="1"/>
  <c r="J132" i="4"/>
  <c r="J141" i="4" s="1"/>
  <c r="J142" i="4" s="1"/>
  <c r="J143" i="4" s="1"/>
  <c r="F12" i="8" s="1"/>
  <c r="J176" i="4"/>
  <c r="J189" i="4" s="1"/>
  <c r="J190" i="4" s="1"/>
  <c r="J191" i="4" s="1"/>
  <c r="F14" i="8" s="1"/>
  <c r="J1332" i="4"/>
  <c r="J1343" i="4" s="1"/>
  <c r="J1344" i="4" s="1"/>
  <c r="J1345" i="4" s="1"/>
  <c r="F83" i="8" s="1"/>
  <c r="J1840" i="4"/>
  <c r="J1845" i="4" s="1"/>
  <c r="J4602" i="4"/>
  <c r="J4609" i="4" s="1"/>
  <c r="J4610" i="4" s="1"/>
  <c r="J4611" i="4" s="1"/>
  <c r="F255" i="8" s="1"/>
  <c r="J4982" i="4"/>
  <c r="J4986" i="4" s="1"/>
  <c r="I4988" i="4" s="1"/>
  <c r="J4988" i="4" s="1"/>
  <c r="J4989" i="4" s="1"/>
  <c r="J5095" i="4"/>
  <c r="J5102" i="4" s="1"/>
  <c r="J5103" i="4" s="1"/>
  <c r="J5104" i="4" s="1"/>
  <c r="F283" i="8" s="1"/>
  <c r="J5167" i="4"/>
  <c r="J5171" i="4" s="1"/>
  <c r="J5173" i="4" s="1"/>
  <c r="J5298" i="4"/>
  <c r="J5305" i="4" s="1"/>
  <c r="J5306" i="4" s="1"/>
  <c r="J5307" i="4" s="1"/>
  <c r="F294" i="8" s="1"/>
  <c r="J5387" i="4"/>
  <c r="J5390" i="4" s="1"/>
  <c r="J5392" i="4" s="1"/>
  <c r="J5461" i="4"/>
  <c r="J5468" i="4" s="1"/>
  <c r="J5469" i="4" s="1"/>
  <c r="J5470" i="4" s="1"/>
  <c r="F305" i="8" s="1"/>
  <c r="J5551" i="4"/>
  <c r="J5558" i="4" s="1"/>
  <c r="J5623" i="4"/>
  <c r="J5627" i="4" s="1"/>
  <c r="J5629" i="4" s="1"/>
  <c r="J5695" i="4"/>
  <c r="J5699" i="4" s="1"/>
  <c r="J5701" i="4" s="1"/>
  <c r="J5767" i="4"/>
  <c r="J5774" i="4" s="1"/>
  <c r="J5775" i="4" s="1"/>
  <c r="J5776" i="4" s="1"/>
  <c r="F322" i="8" s="1"/>
  <c r="J5839" i="4"/>
  <c r="J5843" i="4" s="1"/>
  <c r="J5845" i="4" s="1"/>
  <c r="J5911" i="4"/>
  <c r="J5917" i="4" s="1"/>
  <c r="J5919" i="4" s="1"/>
  <c r="J5987" i="4"/>
  <c r="J5994" i="4" s="1"/>
  <c r="J5996" i="4" s="1"/>
  <c r="J6083" i="4"/>
  <c r="J6087" i="4" s="1"/>
  <c r="J6089" i="4" s="1"/>
  <c r="J6191" i="4"/>
  <c r="J6199" i="4" s="1"/>
  <c r="J6265" i="4"/>
  <c r="J6269" i="4" s="1"/>
  <c r="J6271" i="4" s="1"/>
  <c r="J6339" i="4"/>
  <c r="J6345" i="4" s="1"/>
  <c r="J6347" i="4" s="1"/>
  <c r="J6418" i="4"/>
  <c r="J6423" i="4" s="1"/>
  <c r="J6425" i="4" s="1"/>
  <c r="J6503" i="4"/>
  <c r="J6504" i="4" s="1"/>
  <c r="F364" i="8" s="1"/>
  <c r="J6567" i="4"/>
  <c r="J6571" i="4" s="1"/>
  <c r="J6573" i="4" s="1"/>
  <c r="J6641" i="4"/>
  <c r="J6647" i="4" s="1"/>
  <c r="J6649" i="4" s="1"/>
  <c r="J6719" i="4"/>
  <c r="J6725" i="4" s="1"/>
  <c r="J6726" i="4" s="1"/>
  <c r="J6727" i="4" s="1"/>
  <c r="F378" i="8" s="1"/>
  <c r="J6787" i="4"/>
  <c r="J6790" i="4" s="1"/>
  <c r="J6792" i="4" s="1"/>
  <c r="J6891" i="4"/>
  <c r="J6897" i="4" s="1"/>
  <c r="J6959" i="4"/>
  <c r="J6962" i="4" s="1"/>
  <c r="J6964" i="4" s="1"/>
  <c r="J7030" i="4"/>
  <c r="J7034" i="4" s="1"/>
  <c r="J7036" i="4" s="1"/>
  <c r="J7099" i="4"/>
  <c r="J7103" i="4" s="1"/>
  <c r="J4656" i="4"/>
  <c r="J4663" i="4" s="1"/>
  <c r="J4664" i="4" s="1"/>
  <c r="J4665" i="4" s="1"/>
  <c r="F258" i="8" s="1"/>
  <c r="J5039" i="4"/>
  <c r="J5043" i="4" s="1"/>
  <c r="I5045" i="4" s="1"/>
  <c r="J5045" i="4" s="1"/>
  <c r="J5046" i="4" s="1"/>
  <c r="J5113" i="4"/>
  <c r="J5120" i="4" s="1"/>
  <c r="J5121" i="4" s="1"/>
  <c r="J5122" i="4" s="1"/>
  <c r="F284" i="8" s="1"/>
  <c r="J5185" i="4"/>
  <c r="J5192" i="4" s="1"/>
  <c r="J5193" i="4" s="1"/>
  <c r="J5194" i="4" s="1"/>
  <c r="J5316" i="4"/>
  <c r="J5323" i="4" s="1"/>
  <c r="J5324" i="4" s="1"/>
  <c r="J5325" i="4" s="1"/>
  <c r="F295" i="8" s="1"/>
  <c r="J5404" i="4"/>
  <c r="J5409" i="4" s="1"/>
  <c r="J5411" i="4" s="1"/>
  <c r="J5497" i="4"/>
  <c r="J5501" i="4" s="1"/>
  <c r="J5503" i="4" s="1"/>
  <c r="J5569" i="4"/>
  <c r="J5576" i="4" s="1"/>
  <c r="J5641" i="4"/>
  <c r="J5645" i="4" s="1"/>
  <c r="J5647" i="4" s="1"/>
  <c r="J5713" i="4"/>
  <c r="J5717" i="4" s="1"/>
  <c r="J5719" i="4" s="1"/>
  <c r="J5785" i="4"/>
  <c r="J5792" i="4" s="1"/>
  <c r="J5793" i="4" s="1"/>
  <c r="J5794" i="4" s="1"/>
  <c r="F323" i="8" s="1"/>
  <c r="J5865" i="4"/>
  <c r="J5866" i="4" s="1"/>
  <c r="F327" i="8" s="1"/>
  <c r="J5931" i="4"/>
  <c r="J5935" i="4" s="1"/>
  <c r="J5937" i="4" s="1"/>
  <c r="J6065" i="4"/>
  <c r="J6072" i="4" s="1"/>
  <c r="J6137" i="4"/>
  <c r="J6140" i="4" s="1"/>
  <c r="J6142" i="4" s="1"/>
  <c r="J6247" i="4"/>
  <c r="J6251" i="4" s="1"/>
  <c r="J6253" i="4" s="1"/>
  <c r="J6319" i="4"/>
  <c r="J6325" i="4" s="1"/>
  <c r="J6327" i="4" s="1"/>
  <c r="J6397" i="4"/>
  <c r="J6404" i="4" s="1"/>
  <c r="J6406" i="4" s="1"/>
  <c r="J6475" i="4"/>
  <c r="J6480" i="4" s="1"/>
  <c r="J6482" i="4" s="1"/>
  <c r="J6549" i="4"/>
  <c r="J6553" i="4" s="1"/>
  <c r="J6555" i="4" s="1"/>
  <c r="J6621" i="4"/>
  <c r="J6627" i="4" s="1"/>
  <c r="J6629" i="4" s="1"/>
  <c r="J6708" i="4"/>
  <c r="J6709" i="4" s="1"/>
  <c r="F375" i="8" s="1"/>
  <c r="J6770" i="4"/>
  <c r="J6773" i="4" s="1"/>
  <c r="J6775" i="4" s="1"/>
  <c r="J6874" i="4"/>
  <c r="J6880" i="4" s="1"/>
  <c r="J6942" i="4"/>
  <c r="J6945" i="4" s="1"/>
  <c r="J6947" i="4" s="1"/>
  <c r="J7012" i="4"/>
  <c r="J7016" i="4" s="1"/>
  <c r="J7018" i="4" s="1"/>
  <c r="J7082" i="4"/>
  <c r="J7085" i="4" s="1"/>
  <c r="J7087" i="4" s="1"/>
  <c r="I12113" i="4"/>
  <c r="J12113" i="4" s="1"/>
  <c r="I5055" i="4"/>
  <c r="J5055" i="4" s="1"/>
  <c r="I2579" i="4"/>
  <c r="J2579" i="4" s="1"/>
  <c r="I2543" i="4"/>
  <c r="J2543" i="4" s="1"/>
  <c r="I1640" i="4"/>
  <c r="J1640" i="4" s="1"/>
  <c r="J1643" i="4" s="1"/>
  <c r="J1653" i="4" s="1"/>
  <c r="J1656" i="4" s="1"/>
  <c r="I1585" i="4"/>
  <c r="J1585" i="4" s="1"/>
  <c r="I1527" i="4"/>
  <c r="J1527" i="4" s="1"/>
  <c r="J1530" i="4" s="1"/>
  <c r="I1469" i="4"/>
  <c r="J1469" i="4" s="1"/>
  <c r="I1417" i="4"/>
  <c r="J1417" i="4" s="1"/>
  <c r="J1420" i="4" s="1"/>
  <c r="J1430" i="4" s="1"/>
  <c r="J1432" i="4" s="1"/>
  <c r="I1211" i="4"/>
  <c r="J1211" i="4" s="1"/>
  <c r="J1214" i="4" s="1"/>
  <c r="J1218" i="4" s="1"/>
  <c r="J1220" i="4" s="1"/>
  <c r="J1221" i="4" s="1"/>
  <c r="J1222" i="4" s="1"/>
  <c r="J1223" i="4" s="1"/>
  <c r="F77" i="8" s="1"/>
  <c r="I2615" i="4"/>
  <c r="J2615" i="4" s="1"/>
  <c r="I2597" i="4"/>
  <c r="J2597" i="4" s="1"/>
  <c r="I2561" i="4"/>
  <c r="J2561" i="4" s="1"/>
  <c r="I2181" i="4"/>
  <c r="J2181" i="4" s="1"/>
  <c r="J2183" i="4" s="1"/>
  <c r="J2188" i="4" s="1"/>
  <c r="I1614" i="4"/>
  <c r="J1614" i="4" s="1"/>
  <c r="J1617" i="4" s="1"/>
  <c r="J1627" i="4" s="1"/>
  <c r="J1629" i="4" s="1"/>
  <c r="I1556" i="4"/>
  <c r="J1556" i="4" s="1"/>
  <c r="I1498" i="4"/>
  <c r="J1498" i="4" s="1"/>
  <c r="J1501" i="4" s="1"/>
  <c r="I1443" i="4"/>
  <c r="J1443" i="4" s="1"/>
  <c r="I1229" i="4"/>
  <c r="J1229" i="4" s="1"/>
  <c r="J1232" i="4" s="1"/>
  <c r="J1236" i="4" s="1"/>
  <c r="J1238" i="4" s="1"/>
  <c r="J1239" i="4" s="1"/>
  <c r="J1240" i="4" s="1"/>
  <c r="J1241" i="4" s="1"/>
  <c r="F78" i="8" s="1"/>
  <c r="I1193" i="4"/>
  <c r="J1193" i="4" s="1"/>
  <c r="J7964" i="4"/>
  <c r="J7965" i="4" s="1"/>
  <c r="F457" i="8" s="1"/>
  <c r="J4825" i="4"/>
  <c r="J4826" i="4" s="1"/>
  <c r="F266" i="8" s="1"/>
  <c r="J7791" i="4"/>
  <c r="J7792" i="4" s="1"/>
  <c r="F448" i="8" s="1"/>
  <c r="J3679" i="4"/>
  <c r="J3680" i="4" s="1"/>
  <c r="F208" i="8" s="1"/>
  <c r="J3245" i="4"/>
  <c r="J3246" i="4" s="1"/>
  <c r="F182" i="8" s="1"/>
  <c r="J1678" i="4"/>
  <c r="J1679" i="4" s="1"/>
  <c r="F98" i="8" s="1"/>
  <c r="J230" i="4"/>
  <c r="J238" i="4" s="1"/>
  <c r="J239" i="4" s="1"/>
  <c r="J240" i="4" s="1"/>
  <c r="F17" i="8" s="1"/>
  <c r="J1310" i="4"/>
  <c r="J1321" i="4" s="1"/>
  <c r="J1399" i="4"/>
  <c r="J1407" i="4" s="1"/>
  <c r="J1408" i="4" s="1"/>
  <c r="J1409" i="4" s="1"/>
  <c r="F86" i="8" s="1"/>
  <c r="J2164" i="4"/>
  <c r="J2172" i="4" s="1"/>
  <c r="J2173" i="4" s="1"/>
  <c r="J2174" i="4" s="1"/>
  <c r="F118" i="8" s="1"/>
  <c r="J36" i="4"/>
  <c r="J49" i="4" s="1"/>
  <c r="J50" i="4" s="1"/>
  <c r="J51" i="4" s="1"/>
  <c r="F8" i="8" s="1"/>
  <c r="J102" i="4"/>
  <c r="J121" i="4" s="1"/>
  <c r="J122" i="4" s="1"/>
  <c r="J123" i="4" s="1"/>
  <c r="F11" i="8" s="1"/>
  <c r="J152" i="4"/>
  <c r="J165" i="4" s="1"/>
  <c r="J166" i="4" s="1"/>
  <c r="J167" i="4" s="1"/>
  <c r="F13" i="8" s="1"/>
  <c r="J214" i="4"/>
  <c r="J221" i="4" s="1"/>
  <c r="J222" i="4" s="1"/>
  <c r="J223" i="4" s="1"/>
  <c r="F16" i="8" s="1"/>
  <c r="J1288" i="4"/>
  <c r="J1299" i="4" s="1"/>
  <c r="J1300" i="4" s="1"/>
  <c r="J1301" i="4" s="1"/>
  <c r="F81" i="8" s="1"/>
  <c r="H71" i="11" s="1"/>
  <c r="J1377" i="4"/>
  <c r="J1388" i="4" s="1"/>
  <c r="J1389" i="4" s="1"/>
  <c r="J1390" i="4" s="1"/>
  <c r="F85" i="8" s="1"/>
  <c r="H75" i="11" s="1"/>
  <c r="I75" i="11" s="1"/>
  <c r="J1831" i="4"/>
  <c r="J1832" i="4" s="1"/>
  <c r="F106" i="8" s="1"/>
  <c r="J4638" i="4"/>
  <c r="J4645" i="4" s="1"/>
  <c r="J4646" i="4" s="1"/>
  <c r="J4647" i="4" s="1"/>
  <c r="F257" i="8" s="1"/>
  <c r="J5020" i="4"/>
  <c r="J5024" i="4" s="1"/>
  <c r="I5026" i="4" s="1"/>
  <c r="J5026" i="4" s="1"/>
  <c r="J5027" i="4" s="1"/>
  <c r="J5131" i="4"/>
  <c r="J5138" i="4" s="1"/>
  <c r="J5139" i="4" s="1"/>
  <c r="J5140" i="4" s="1"/>
  <c r="F285" i="8" s="1"/>
  <c r="J5258" i="4"/>
  <c r="J5267" i="4" s="1"/>
  <c r="J5268" i="4" s="1"/>
  <c r="J5269" i="4" s="1"/>
  <c r="F292" i="8" s="1"/>
  <c r="J5353" i="4"/>
  <c r="J5359" i="4" s="1"/>
  <c r="J5423" i="4"/>
  <c r="J5428" i="4" s="1"/>
  <c r="J5430" i="4" s="1"/>
  <c r="J5515" i="4"/>
  <c r="J5519" i="4" s="1"/>
  <c r="J5521" i="4" s="1"/>
  <c r="J5587" i="4"/>
  <c r="J5594" i="4" s="1"/>
  <c r="J5659" i="4"/>
  <c r="J5663" i="4" s="1"/>
  <c r="J5665" i="4" s="1"/>
  <c r="J5731" i="4"/>
  <c r="J5735" i="4" s="1"/>
  <c r="J5737" i="4" s="1"/>
  <c r="J5803" i="4"/>
  <c r="J5807" i="4" s="1"/>
  <c r="J5809" i="4" s="1"/>
  <c r="J5875" i="4"/>
  <c r="J5879" i="4" s="1"/>
  <c r="J5881" i="4" s="1"/>
  <c r="J5949" i="4"/>
  <c r="J5953" i="4" s="1"/>
  <c r="J5955" i="4" s="1"/>
  <c r="J6027" i="4"/>
  <c r="J6031" i="4" s="1"/>
  <c r="J6033" i="4" s="1"/>
  <c r="J6119" i="4"/>
  <c r="J6123" i="4" s="1"/>
  <c r="J6125" i="4" s="1"/>
  <c r="J6229" i="4"/>
  <c r="J6233" i="4" s="1"/>
  <c r="J6235" i="4" s="1"/>
  <c r="J6301" i="4"/>
  <c r="J6305" i="4" s="1"/>
  <c r="J6377" i="4"/>
  <c r="J6383" i="4" s="1"/>
  <c r="J6456" i="4"/>
  <c r="J6461" i="4" s="1"/>
  <c r="J6463" i="4" s="1"/>
  <c r="J6531" i="4"/>
  <c r="J6535" i="4" s="1"/>
  <c r="J6537" i="4" s="1"/>
  <c r="J6603" i="4"/>
  <c r="J6610" i="4" s="1"/>
  <c r="J6680" i="4"/>
  <c r="J6684" i="4" s="1"/>
  <c r="J6686" i="4" s="1"/>
  <c r="J6753" i="4"/>
  <c r="J6756" i="4" s="1"/>
  <c r="J6758" i="4" s="1"/>
  <c r="J6857" i="4"/>
  <c r="J6860" i="4" s="1"/>
  <c r="J6862" i="4" s="1"/>
  <c r="J6925" i="4"/>
  <c r="J6928" i="4" s="1"/>
  <c r="J6930" i="4" s="1"/>
  <c r="J6994" i="4"/>
  <c r="J6998" i="4" s="1"/>
  <c r="J7000" i="4" s="1"/>
  <c r="J7065" i="4"/>
  <c r="J7068" i="4" s="1"/>
  <c r="J7070" i="4" s="1"/>
  <c r="J4620" i="4"/>
  <c r="J4627" i="4" s="1"/>
  <c r="J4628" i="4" s="1"/>
  <c r="J4629" i="4" s="1"/>
  <c r="F256" i="8" s="1"/>
  <c r="J5001" i="4"/>
  <c r="J5005" i="4" s="1"/>
  <c r="I5007" i="4" s="1"/>
  <c r="J5007" i="4" s="1"/>
  <c r="J5008" i="4" s="1"/>
  <c r="J5077" i="4"/>
  <c r="J5084" i="4" s="1"/>
  <c r="J5149" i="4"/>
  <c r="J5156" i="4" s="1"/>
  <c r="J5157" i="4" s="1"/>
  <c r="J5158" i="4" s="1"/>
  <c r="F286" i="8" s="1"/>
  <c r="J5278" i="4"/>
  <c r="J5285" i="4" s="1"/>
  <c r="J5286" i="4" s="1"/>
  <c r="J5287" i="4" s="1"/>
  <c r="F293" i="8" s="1"/>
  <c r="J5370" i="4"/>
  <c r="J5373" i="4" s="1"/>
  <c r="J5375" i="4" s="1"/>
  <c r="J5442" i="4"/>
  <c r="J5447" i="4" s="1"/>
  <c r="J5449" i="4" s="1"/>
  <c r="J5533" i="4"/>
  <c r="J5537" i="4" s="1"/>
  <c r="J5539" i="4" s="1"/>
  <c r="J5605" i="4"/>
  <c r="J5609" i="4" s="1"/>
  <c r="J5611" i="4" s="1"/>
  <c r="J5677" i="4"/>
  <c r="J5681" i="4" s="1"/>
  <c r="J5683" i="4" s="1"/>
  <c r="J5749" i="4"/>
  <c r="J5756" i="4" s="1"/>
  <c r="J5757" i="4" s="1"/>
  <c r="J5758" i="4" s="1"/>
  <c r="F321" i="8" s="1"/>
  <c r="J5821" i="4"/>
  <c r="J5825" i="4" s="1"/>
  <c r="J5827" i="4" s="1"/>
  <c r="J5893" i="4"/>
  <c r="J5897" i="4" s="1"/>
  <c r="J5969" i="4"/>
  <c r="J5976" i="4" s="1"/>
  <c r="J6045" i="4"/>
  <c r="J6050" i="4" s="1"/>
  <c r="J6052" i="4" s="1"/>
  <c r="J6101" i="4"/>
  <c r="J6105" i="4" s="1"/>
  <c r="J6107" i="4" s="1"/>
  <c r="J6210" i="4"/>
  <c r="J6215" i="4" s="1"/>
  <c r="J6217" i="4" s="1"/>
  <c r="J6283" i="4"/>
  <c r="J6287" i="4" s="1"/>
  <c r="J6289" i="4" s="1"/>
  <c r="J6359" i="4"/>
  <c r="J6363" i="4" s="1"/>
  <c r="J6446" i="4"/>
  <c r="J6447" i="4" s="1"/>
  <c r="F361" i="8" s="1"/>
  <c r="J6513" i="4"/>
  <c r="J6517" i="4" s="1"/>
  <c r="J6519" i="4" s="1"/>
  <c r="J6585" i="4"/>
  <c r="J6589" i="4" s="1"/>
  <c r="J6591" i="4" s="1"/>
  <c r="J6661" i="4"/>
  <c r="J6666" i="4" s="1"/>
  <c r="J6668" i="4" s="1"/>
  <c r="J6743" i="4"/>
  <c r="J6744" i="4" s="1"/>
  <c r="F379" i="8" s="1"/>
  <c r="J6804" i="4"/>
  <c r="J6807" i="4" s="1"/>
  <c r="J6809" i="4" s="1"/>
  <c r="J6822" i="4" s="1"/>
  <c r="J6825" i="4" s="1"/>
  <c r="J6840" i="4"/>
  <c r="J6846" i="4" s="1"/>
  <c r="J6908" i="4"/>
  <c r="J6911" i="4" s="1"/>
  <c r="J6913" i="4" s="1"/>
  <c r="J6976" i="4"/>
  <c r="J6980" i="4" s="1"/>
  <c r="J6982" i="4" s="1"/>
  <c r="J7048" i="4"/>
  <c r="J7051" i="4" s="1"/>
  <c r="J7053" i="4" s="1"/>
  <c r="J7773" i="4"/>
  <c r="J7774" i="4" s="1"/>
  <c r="F447" i="8" s="1"/>
  <c r="H61" i="15" s="1"/>
  <c r="J7604" i="4"/>
  <c r="J7605" i="4" s="1"/>
  <c r="F438" i="8" s="1"/>
  <c r="H55" i="15" s="1"/>
  <c r="J3263" i="4"/>
  <c r="J3264" i="4" s="1"/>
  <c r="F183" i="8" s="1"/>
  <c r="J7905" i="4"/>
  <c r="J7906" i="4" s="1"/>
  <c r="F454" i="8" s="1"/>
  <c r="J7753" i="4"/>
  <c r="J7754" i="4" s="1"/>
  <c r="F446" i="8" s="1"/>
  <c r="H59" i="15" s="1"/>
  <c r="J4804" i="4"/>
  <c r="J4805" i="4" s="1"/>
  <c r="F265" i="8" s="1"/>
  <c r="J3642" i="4"/>
  <c r="J3643" i="4" s="1"/>
  <c r="F204" i="8" s="1"/>
  <c r="H19" i="15" s="1"/>
  <c r="J2074" i="4"/>
  <c r="J2075" i="4" s="1"/>
  <c r="F112" i="8" s="1"/>
  <c r="J601" i="4"/>
  <c r="J1717" i="4"/>
  <c r="J1718" i="4" s="1"/>
  <c r="J1719" i="4" s="1"/>
  <c r="F100" i="8" s="1"/>
  <c r="J1050" i="4"/>
  <c r="J1051" i="4" s="1"/>
  <c r="J1052" i="4" s="1"/>
  <c r="F69" i="8" s="1"/>
  <c r="J868" i="4"/>
  <c r="J869" i="4" s="1"/>
  <c r="J870" i="4" s="1"/>
  <c r="F60" i="8" s="1"/>
  <c r="J717" i="4"/>
  <c r="J910" i="4"/>
  <c r="I16" i="15" l="1"/>
  <c r="I12138" i="4"/>
  <c r="J12138" i="4" s="1"/>
  <c r="I12181" i="4"/>
  <c r="J12181" i="4" s="1"/>
  <c r="I23" i="15"/>
  <c r="I67" i="15"/>
  <c r="H28" i="15"/>
  <c r="I28" i="15" s="1"/>
  <c r="I29" i="15"/>
  <c r="H133" i="11"/>
  <c r="I132" i="11"/>
  <c r="H76" i="15"/>
  <c r="I76" i="15" s="1"/>
  <c r="H24" i="15"/>
  <c r="I24" i="15" s="1"/>
  <c r="I71" i="11"/>
  <c r="H105" i="11"/>
  <c r="I105" i="11" s="1"/>
  <c r="H138" i="11"/>
  <c r="I138" i="11" s="1"/>
  <c r="I57" i="11"/>
  <c r="H91" i="11"/>
  <c r="H85" i="15"/>
  <c r="H61" i="11"/>
  <c r="H99" i="11" s="1"/>
  <c r="H103" i="11" s="1"/>
  <c r="H136" i="11"/>
  <c r="I136" i="11" s="1"/>
  <c r="E12" i="16"/>
  <c r="F55" i="14"/>
  <c r="E66" i="14"/>
  <c r="I46" i="15"/>
  <c r="I55" i="15"/>
  <c r="I61" i="15"/>
  <c r="I57" i="15"/>
  <c r="I59" i="15"/>
  <c r="I19" i="15"/>
  <c r="F288" i="8"/>
  <c r="H42" i="15" s="1"/>
  <c r="J889" i="4"/>
  <c r="J890" i="4" s="1"/>
  <c r="F61" i="8" s="1"/>
  <c r="J7071" i="4"/>
  <c r="J7072" i="4" s="1"/>
  <c r="J7073" i="4" s="1"/>
  <c r="F398" i="8" s="1"/>
  <c r="J7054" i="4"/>
  <c r="J7055" i="4" s="1"/>
  <c r="J7056" i="4" s="1"/>
  <c r="F397" i="8" s="1"/>
  <c r="J6810" i="4"/>
  <c r="J6811" i="4" s="1"/>
  <c r="J6812" i="4" s="1"/>
  <c r="F383" i="8" s="1"/>
  <c r="J5684" i="4"/>
  <c r="J5685" i="4" s="1"/>
  <c r="J5686" i="4" s="1"/>
  <c r="F317" i="8" s="1"/>
  <c r="J6108" i="4"/>
  <c r="J6109" i="4" s="1"/>
  <c r="J6110" i="4" s="1"/>
  <c r="F340" i="8" s="1"/>
  <c r="J6126" i="4"/>
  <c r="J6127" i="4" s="1"/>
  <c r="J6128" i="4" s="1"/>
  <c r="F341" i="8" s="1"/>
  <c r="J5956" i="4"/>
  <c r="J5957" i="4" s="1"/>
  <c r="J5958" i="4" s="1"/>
  <c r="F332" i="8" s="1"/>
  <c r="J5810" i="4"/>
  <c r="J5811" i="4" s="1"/>
  <c r="J5812" i="4" s="1"/>
  <c r="F324" i="8" s="1"/>
  <c r="J6538" i="4"/>
  <c r="J6539" i="4" s="1"/>
  <c r="J6540" i="4" s="1"/>
  <c r="F366" i="8" s="1"/>
  <c r="J5612" i="4"/>
  <c r="J5613" i="4" s="1"/>
  <c r="J5614" i="4" s="1"/>
  <c r="F313" i="8" s="1"/>
  <c r="J5009" i="4"/>
  <c r="J5010" i="4" s="1"/>
  <c r="J5011" i="4" s="1"/>
  <c r="F276" i="8" s="1"/>
  <c r="H93" i="15" s="1"/>
  <c r="I93" i="15" s="1"/>
  <c r="J5882" i="4"/>
  <c r="J5883" i="4" s="1"/>
  <c r="J5884" i="4" s="1"/>
  <c r="F328" i="8" s="1"/>
  <c r="J3448" i="4"/>
  <c r="F193" i="8" s="1"/>
  <c r="J6520" i="4"/>
  <c r="J6521" i="4" s="1"/>
  <c r="J6522" i="4" s="1"/>
  <c r="F365" i="8" s="1"/>
  <c r="J5828" i="4"/>
  <c r="J5829" i="4" s="1"/>
  <c r="J5830" i="4" s="1"/>
  <c r="F325" i="8" s="1"/>
  <c r="J6931" i="4"/>
  <c r="J6932" i="4" s="1"/>
  <c r="J6236" i="4"/>
  <c r="J6237" i="4" s="1"/>
  <c r="J6238" i="4" s="1"/>
  <c r="F350" i="8" s="1"/>
  <c r="J5522" i="4"/>
  <c r="J5376" i="4"/>
  <c r="J5377" i="4" s="1"/>
  <c r="J5378" i="4" s="1"/>
  <c r="F300" i="8" s="1"/>
  <c r="J6863" i="4"/>
  <c r="J6864" i="4" s="1"/>
  <c r="J6865" i="4" s="1"/>
  <c r="F386" i="8" s="1"/>
  <c r="J3609" i="4"/>
  <c r="F202" i="8" s="1"/>
  <c r="J6464" i="4"/>
  <c r="J6465" i="4" s="1"/>
  <c r="J6466" i="4" s="1"/>
  <c r="F362" i="8" s="1"/>
  <c r="J6983" i="4"/>
  <c r="J6984" i="4" s="1"/>
  <c r="J6985" i="4" s="1"/>
  <c r="F393" i="8" s="1"/>
  <c r="J6759" i="4"/>
  <c r="J5666" i="4"/>
  <c r="J5667" i="4" s="1"/>
  <c r="J5668" i="4" s="1"/>
  <c r="F316" i="8" s="1"/>
  <c r="J6290" i="4"/>
  <c r="J6291" i="4" s="1"/>
  <c r="J6292" i="4" s="1"/>
  <c r="F353" i="8" s="1"/>
  <c r="J3376" i="4"/>
  <c r="F189" i="8" s="1"/>
  <c r="J6592" i="4"/>
  <c r="J6593" i="4" s="1"/>
  <c r="J6594" i="4" s="1"/>
  <c r="F369" i="8" s="1"/>
  <c r="J5900" i="4"/>
  <c r="J6308" i="4"/>
  <c r="J6309" i="4" s="1"/>
  <c r="J6310" i="4" s="1"/>
  <c r="F354" i="8" s="1"/>
  <c r="J6218" i="4"/>
  <c r="J6219" i="4" s="1"/>
  <c r="J6220" i="4" s="1"/>
  <c r="F349" i="8" s="1"/>
  <c r="J5540" i="4"/>
  <c r="J5541" i="4" s="1"/>
  <c r="J5542" i="4" s="1"/>
  <c r="F309" i="8" s="1"/>
  <c r="J8318" i="4"/>
  <c r="J8319" i="4" s="1"/>
  <c r="F476" i="8" s="1"/>
  <c r="J6914" i="4"/>
  <c r="J6915" i="4" s="1"/>
  <c r="J6916" i="4" s="1"/>
  <c r="F389" i="8" s="1"/>
  <c r="J6669" i="4"/>
  <c r="J6670" i="4" s="1"/>
  <c r="J6671" i="4" s="1"/>
  <c r="F373" i="8" s="1"/>
  <c r="J6366" i="4"/>
  <c r="J6367" i="4" s="1"/>
  <c r="J6368" i="4" s="1"/>
  <c r="F357" i="8" s="1"/>
  <c r="J6053" i="4"/>
  <c r="J6054" i="4" s="1"/>
  <c r="J6055" i="4" s="1"/>
  <c r="F337" i="8" s="1"/>
  <c r="J5450" i="4"/>
  <c r="J5451" i="4" s="1"/>
  <c r="J5452" i="4" s="1"/>
  <c r="F304" i="8" s="1"/>
  <c r="J7001" i="4"/>
  <c r="J7002" i="4" s="1"/>
  <c r="J7003" i="4" s="1"/>
  <c r="F394" i="8" s="1"/>
  <c r="E18" i="14" s="1"/>
  <c r="J6687" i="4"/>
  <c r="J6688" i="4" s="1"/>
  <c r="J6689" i="4" s="1"/>
  <c r="F374" i="8" s="1"/>
  <c r="J6386" i="4"/>
  <c r="J6387" i="4" s="1"/>
  <c r="J6388" i="4" s="1"/>
  <c r="F358" i="8" s="1"/>
  <c r="J6034" i="4"/>
  <c r="J6035" i="4" s="1"/>
  <c r="J5738" i="4"/>
  <c r="J5739" i="4" s="1"/>
  <c r="J5740" i="4" s="1"/>
  <c r="F320" i="8" s="1"/>
  <c r="J5431" i="4"/>
  <c r="J5432" i="4" s="1"/>
  <c r="J5433" i="4" s="1"/>
  <c r="F303" i="8" s="1"/>
  <c r="J5028" i="4"/>
  <c r="J5029" i="4" s="1"/>
  <c r="J5030" i="4" s="1"/>
  <c r="F277" i="8" s="1"/>
  <c r="J1517" i="4"/>
  <c r="J1518" i="4" s="1"/>
  <c r="J1519" i="4" s="1"/>
  <c r="F90" i="8" s="1"/>
  <c r="J1630" i="4"/>
  <c r="J1631" i="4" s="1"/>
  <c r="J1632" i="4" s="1"/>
  <c r="F94" i="8" s="1"/>
  <c r="H12" i="15" s="1"/>
  <c r="J1433" i="4"/>
  <c r="J1434" i="4" s="1"/>
  <c r="J1435" i="4" s="1"/>
  <c r="F87" i="8" s="1"/>
  <c r="J1546" i="4"/>
  <c r="J1547" i="4" s="1"/>
  <c r="J1548" i="4" s="1"/>
  <c r="F91" i="8" s="1"/>
  <c r="J6881" i="4"/>
  <c r="J6882" i="4" s="1"/>
  <c r="F387" i="8" s="1"/>
  <c r="E23" i="14" s="1"/>
  <c r="F23" i="14" s="1"/>
  <c r="J6073" i="4"/>
  <c r="J6074" i="4" s="1"/>
  <c r="F338" i="8" s="1"/>
  <c r="J5577" i="4"/>
  <c r="J5578" i="4" s="1"/>
  <c r="F311" i="8" s="1"/>
  <c r="J6200" i="4"/>
  <c r="J6201" i="4" s="1"/>
  <c r="F348" i="8" s="1"/>
  <c r="J5559" i="4"/>
  <c r="J5560" i="4" s="1"/>
  <c r="F310" i="8" s="1"/>
  <c r="J1846" i="4"/>
  <c r="J1847" i="4" s="1"/>
  <c r="F107" i="8" s="1"/>
  <c r="J1278" i="4"/>
  <c r="J1279" i="4" s="1"/>
  <c r="F80" i="8" s="1"/>
  <c r="J6898" i="4"/>
  <c r="J6899" i="4" s="1"/>
  <c r="F388" i="8" s="1"/>
  <c r="J2189" i="4"/>
  <c r="J2190" i="4" s="1"/>
  <c r="F119" i="8" s="1"/>
  <c r="J6847" i="4"/>
  <c r="J6848" i="4" s="1"/>
  <c r="F385" i="8" s="1"/>
  <c r="J5977" i="4"/>
  <c r="J5978" i="4" s="1"/>
  <c r="F333" i="8" s="1"/>
  <c r="J5901" i="4"/>
  <c r="J5902" i="4" s="1"/>
  <c r="F329" i="8" s="1"/>
  <c r="J5085" i="4"/>
  <c r="J5086" i="4" s="1"/>
  <c r="F282" i="8" s="1"/>
  <c r="I43" i="15" s="1"/>
  <c r="J2564" i="4"/>
  <c r="J2618" i="4"/>
  <c r="J2629" i="4" s="1"/>
  <c r="J2630" i="4" s="1"/>
  <c r="J2631" i="4" s="1"/>
  <c r="F146" i="8" s="1"/>
  <c r="J1657" i="4"/>
  <c r="J1658" i="4" s="1"/>
  <c r="F95" i="8" s="1"/>
  <c r="H13" i="15" s="1"/>
  <c r="J2582" i="4"/>
  <c r="J2589" i="4" s="1"/>
  <c r="J2590" i="4" s="1"/>
  <c r="J2591" i="4" s="1"/>
  <c r="F144" i="8" s="1"/>
  <c r="I2269" i="4"/>
  <c r="J2269" i="4" s="1"/>
  <c r="I2231" i="4"/>
  <c r="J2231" i="4" s="1"/>
  <c r="J2234" i="4" s="1"/>
  <c r="J2238" i="4" s="1"/>
  <c r="J2242" i="4" s="1"/>
  <c r="J2243" i="4" s="1"/>
  <c r="J2244" i="4" s="1"/>
  <c r="F125" i="8" s="1"/>
  <c r="I7882" i="4"/>
  <c r="J7882" i="4" s="1"/>
  <c r="I8021" i="4" s="1"/>
  <c r="J8021" i="4" s="1"/>
  <c r="J8022" i="4" s="1"/>
  <c r="J8024" i="4" s="1"/>
  <c r="J8025" i="4" s="1"/>
  <c r="I1750" i="4"/>
  <c r="J1750" i="4" s="1"/>
  <c r="J1756" i="4" s="1"/>
  <c r="J1759" i="4" s="1"/>
  <c r="J1760" i="4" s="1"/>
  <c r="J1761" i="4" s="1"/>
  <c r="F102" i="8" s="1"/>
  <c r="J911" i="4"/>
  <c r="J912" i="4" s="1"/>
  <c r="F62" i="8" s="1"/>
  <c r="J6611" i="4"/>
  <c r="J6612" i="4" s="1"/>
  <c r="F370" i="8" s="1"/>
  <c r="J5595" i="4"/>
  <c r="J5596" i="4" s="1"/>
  <c r="F312" i="8" s="1"/>
  <c r="J5360" i="4"/>
  <c r="J5361" i="4" s="1"/>
  <c r="F299" i="8" s="1"/>
  <c r="J1322" i="4"/>
  <c r="J1323" i="4" s="1"/>
  <c r="F82" i="8" s="1"/>
  <c r="H79" i="11" s="1"/>
  <c r="H109" i="11" s="1"/>
  <c r="I109" i="11" s="1"/>
  <c r="J718" i="4"/>
  <c r="J719" i="4" s="1"/>
  <c r="F50" i="8" s="1"/>
  <c r="J602" i="4"/>
  <c r="J603" i="4" s="1"/>
  <c r="F44" i="8" s="1"/>
  <c r="J1196" i="4"/>
  <c r="J1203" i="4" s="1"/>
  <c r="J1204" i="4" s="1"/>
  <c r="J1205" i="4" s="1"/>
  <c r="F76" i="8" s="1"/>
  <c r="H84" i="15" s="1"/>
  <c r="I84" i="15" s="1"/>
  <c r="J1446" i="4"/>
  <c r="J1459" i="4" s="1"/>
  <c r="J1460" i="4" s="1"/>
  <c r="J1461" i="4" s="1"/>
  <c r="F88" i="8" s="1"/>
  <c r="J1559" i="4"/>
  <c r="J1575" i="4" s="1"/>
  <c r="J1576" i="4" s="1"/>
  <c r="J1577" i="4" s="1"/>
  <c r="F92" i="8" s="1"/>
  <c r="J2600" i="4"/>
  <c r="J2607" i="4" s="1"/>
  <c r="J2608" i="4" s="1"/>
  <c r="J2609" i="4" s="1"/>
  <c r="F145" i="8" s="1"/>
  <c r="J1472" i="4"/>
  <c r="J1488" i="4" s="1"/>
  <c r="J1489" i="4" s="1"/>
  <c r="J1490" i="4" s="1"/>
  <c r="F89" i="8" s="1"/>
  <c r="J1588" i="4"/>
  <c r="J1604" i="4" s="1"/>
  <c r="J1605" i="4" s="1"/>
  <c r="J1606" i="4" s="1"/>
  <c r="F93" i="8" s="1"/>
  <c r="J2546" i="4"/>
  <c r="J2550" i="4" s="1"/>
  <c r="J2552" i="4" s="1"/>
  <c r="J5058" i="4"/>
  <c r="J5065" i="4" s="1"/>
  <c r="J5066" i="4" s="1"/>
  <c r="J5067" i="4" s="1"/>
  <c r="F279" i="8" s="1"/>
  <c r="J12116" i="4"/>
  <c r="J12124" i="4" s="1"/>
  <c r="J12125" i="4" s="1"/>
  <c r="J12126" i="4" s="1"/>
  <c r="J6828" i="4"/>
  <c r="J7088" i="4"/>
  <c r="J7019" i="4"/>
  <c r="J6948" i="4"/>
  <c r="J6776" i="4"/>
  <c r="J6630" i="4"/>
  <c r="J6556" i="4"/>
  <c r="J6483" i="4"/>
  <c r="J6407" i="4"/>
  <c r="J6328" i="4"/>
  <c r="J6254" i="4"/>
  <c r="J6143" i="4"/>
  <c r="J5938" i="4"/>
  <c r="J5720" i="4"/>
  <c r="J5648" i="4"/>
  <c r="J5649" i="4" s="1"/>
  <c r="J5650" i="4" s="1"/>
  <c r="F315" i="8" s="1"/>
  <c r="J5504" i="4"/>
  <c r="J5412" i="4"/>
  <c r="J5047" i="4"/>
  <c r="J7106" i="4"/>
  <c r="J7037" i="4"/>
  <c r="J7038" i="4" s="1"/>
  <c r="J7039" i="4" s="1"/>
  <c r="F396" i="8" s="1"/>
  <c r="J6965" i="4"/>
  <c r="J6793" i="4"/>
  <c r="J6650" i="4"/>
  <c r="J6574" i="4"/>
  <c r="J6426" i="4"/>
  <c r="J6348" i="4"/>
  <c r="J6349" i="4" s="1"/>
  <c r="J6350" i="4" s="1"/>
  <c r="F356" i="8" s="1"/>
  <c r="J6272" i="4"/>
  <c r="J6090" i="4"/>
  <c r="J5997" i="4"/>
  <c r="J5998" i="4" s="1"/>
  <c r="J5999" i="4" s="1"/>
  <c r="F334" i="8" s="1"/>
  <c r="J5920" i="4"/>
  <c r="J5846" i="4"/>
  <c r="J5702" i="4"/>
  <c r="J5630" i="4"/>
  <c r="J5393" i="4"/>
  <c r="J5174" i="4"/>
  <c r="J5175" i="4" s="1"/>
  <c r="J5176" i="4" s="1"/>
  <c r="F287" i="8" s="1"/>
  <c r="J4990" i="4"/>
  <c r="I12159" i="4" l="1"/>
  <c r="I86" i="15"/>
  <c r="I12136" i="4"/>
  <c r="I12157" i="4" s="1"/>
  <c r="I12179" i="4"/>
  <c r="J12179" i="4" s="1"/>
  <c r="J12183" i="4" s="1"/>
  <c r="J12188" i="4" s="1"/>
  <c r="J2568" i="4"/>
  <c r="J2570" i="4" s="1"/>
  <c r="J12159" i="4"/>
  <c r="J12203" i="4"/>
  <c r="J12136" i="4"/>
  <c r="J12140" i="4" s="1"/>
  <c r="J12145" i="4" s="1"/>
  <c r="J12146" i="4" s="1"/>
  <c r="J12147" i="4" s="1"/>
  <c r="F706" i="8" s="1"/>
  <c r="H87" i="15" s="1"/>
  <c r="I87" i="15" s="1"/>
  <c r="H63" i="11"/>
  <c r="H101" i="11" s="1"/>
  <c r="I101" i="11" s="1"/>
  <c r="I133" i="11"/>
  <c r="F18" i="14"/>
  <c r="E39" i="14"/>
  <c r="H78" i="15"/>
  <c r="I78" i="15" s="1"/>
  <c r="H58" i="11"/>
  <c r="H147" i="11" s="1"/>
  <c r="I147" i="11" s="1"/>
  <c r="I91" i="11"/>
  <c r="H113" i="11"/>
  <c r="H124" i="11" s="1"/>
  <c r="I124" i="11" s="1"/>
  <c r="H107" i="11"/>
  <c r="I107" i="11" s="1"/>
  <c r="I99" i="11"/>
  <c r="H83" i="11"/>
  <c r="I83" i="11" s="1"/>
  <c r="I79" i="11"/>
  <c r="H65" i="11"/>
  <c r="I61" i="11"/>
  <c r="H87" i="11"/>
  <c r="I87" i="11" s="1"/>
  <c r="H66" i="15"/>
  <c r="I66" i="15" s="1"/>
  <c r="I85" i="15"/>
  <c r="H142" i="11"/>
  <c r="I142" i="11" s="1"/>
  <c r="H49" i="11"/>
  <c r="H65" i="15"/>
  <c r="I65" i="15" s="1"/>
  <c r="H47" i="11"/>
  <c r="H48" i="11"/>
  <c r="E77" i="14"/>
  <c r="F66" i="14"/>
  <c r="I42" i="15"/>
  <c r="I12" i="15"/>
  <c r="I13" i="15"/>
  <c r="E130" i="14"/>
  <c r="E57" i="14"/>
  <c r="J6036" i="4"/>
  <c r="F336" i="8" s="1"/>
  <c r="J6933" i="4"/>
  <c r="F390" i="8" s="1"/>
  <c r="J5523" i="4"/>
  <c r="J5524" i="4" s="1"/>
  <c r="F308" i="8" s="1"/>
  <c r="J6760" i="4"/>
  <c r="J6761" i="4" s="1"/>
  <c r="F380" i="8" s="1"/>
  <c r="J7883" i="4"/>
  <c r="J7886" i="4" s="1"/>
  <c r="J7887" i="4" s="1"/>
  <c r="J7888" i="4" s="1"/>
  <c r="F453" i="8" s="1"/>
  <c r="J5631" i="4"/>
  <c r="J5632" i="4" s="1"/>
  <c r="F314" i="8" s="1"/>
  <c r="J5847" i="4"/>
  <c r="J5848" i="4" s="1"/>
  <c r="F326" i="8" s="1"/>
  <c r="J6273" i="4"/>
  <c r="J6274" i="4" s="1"/>
  <c r="F352" i="8" s="1"/>
  <c r="J6427" i="4"/>
  <c r="J6428" i="4" s="1"/>
  <c r="F360" i="8" s="1"/>
  <c r="J6651" i="4"/>
  <c r="J6652" i="4" s="1"/>
  <c r="F372" i="8" s="1"/>
  <c r="J6966" i="4"/>
  <c r="J6967" i="4" s="1"/>
  <c r="F392" i="8" s="1"/>
  <c r="J7107" i="4"/>
  <c r="J7108" i="4" s="1"/>
  <c r="F400" i="8" s="1"/>
  <c r="J5413" i="4"/>
  <c r="J5414" i="4" s="1"/>
  <c r="F302" i="8" s="1"/>
  <c r="J5939" i="4"/>
  <c r="J5940" i="4" s="1"/>
  <c r="F331" i="8" s="1"/>
  <c r="J6255" i="4"/>
  <c r="J6256" i="4" s="1"/>
  <c r="F351" i="8" s="1"/>
  <c r="J6408" i="4"/>
  <c r="J6409" i="4" s="1"/>
  <c r="F359" i="8" s="1"/>
  <c r="J6557" i="4"/>
  <c r="J6558" i="4" s="1"/>
  <c r="F367" i="8" s="1"/>
  <c r="J6777" i="4"/>
  <c r="J6778" i="4" s="1"/>
  <c r="F381" i="8" s="1"/>
  <c r="J7020" i="4"/>
  <c r="J7021" i="4" s="1"/>
  <c r="F395" i="8" s="1"/>
  <c r="J6829" i="4"/>
  <c r="J6830" i="4" s="1"/>
  <c r="F384" i="8" s="1"/>
  <c r="J4991" i="4"/>
  <c r="J4992" i="4" s="1"/>
  <c r="F275" i="8" s="1"/>
  <c r="J5394" i="4"/>
  <c r="J5395" i="4" s="1"/>
  <c r="F301" i="8" s="1"/>
  <c r="J5703" i="4"/>
  <c r="J5704" i="4" s="1"/>
  <c r="F318" i="8" s="1"/>
  <c r="J5921" i="4"/>
  <c r="J5922" i="4" s="1"/>
  <c r="F330" i="8" s="1"/>
  <c r="J6091" i="4"/>
  <c r="J6092" i="4" s="1"/>
  <c r="F339" i="8" s="1"/>
  <c r="J6575" i="4"/>
  <c r="J6576" i="4" s="1"/>
  <c r="F368" i="8" s="1"/>
  <c r="J6794" i="4"/>
  <c r="J6795" i="4" s="1"/>
  <c r="F382" i="8" s="1"/>
  <c r="E19" i="14" s="1"/>
  <c r="J5048" i="4"/>
  <c r="J5049" i="4" s="1"/>
  <c r="F278" i="8" s="1"/>
  <c r="J5505" i="4"/>
  <c r="J5506" i="4" s="1"/>
  <c r="F307" i="8" s="1"/>
  <c r="J5721" i="4"/>
  <c r="J5722" i="4" s="1"/>
  <c r="F319" i="8" s="1"/>
  <c r="J6144" i="4"/>
  <c r="J6145" i="4" s="1"/>
  <c r="F342" i="8" s="1"/>
  <c r="J6329" i="4"/>
  <c r="J6330" i="4" s="1"/>
  <c r="F355" i="8" s="1"/>
  <c r="E56" i="14" s="1"/>
  <c r="F56" i="14" s="1"/>
  <c r="J6484" i="4"/>
  <c r="J6485" i="4" s="1"/>
  <c r="F363" i="8" s="1"/>
  <c r="J6631" i="4"/>
  <c r="J6632" i="4" s="1"/>
  <c r="F371" i="8" s="1"/>
  <c r="J6949" i="4"/>
  <c r="J6950" i="4" s="1"/>
  <c r="F391" i="8" s="1"/>
  <c r="J7089" i="4"/>
  <c r="J7090" i="4" s="1"/>
  <c r="F399" i="8" s="1"/>
  <c r="J8026" i="4"/>
  <c r="J8027" i="4" s="1"/>
  <c r="F460" i="8" s="1"/>
  <c r="J2272" i="4"/>
  <c r="J2277" i="4" s="1"/>
  <c r="J2553" i="4"/>
  <c r="J2554" i="4" s="1"/>
  <c r="J2555" i="4" s="1"/>
  <c r="F142" i="8" s="1"/>
  <c r="J12189" i="4" l="1"/>
  <c r="J12190" i="4" s="1"/>
  <c r="F708" i="8" s="1"/>
  <c r="H149" i="11" s="1"/>
  <c r="I149" i="11" s="1"/>
  <c r="J2571" i="4"/>
  <c r="J2572" i="4" s="1"/>
  <c r="J2573" i="4" s="1"/>
  <c r="F143" i="8" s="1"/>
  <c r="F27" i="20" s="1"/>
  <c r="I63" i="11"/>
  <c r="J12157" i="4"/>
  <c r="J12161" i="4" s="1"/>
  <c r="J12166" i="4" s="1"/>
  <c r="J12167" i="4" s="1"/>
  <c r="J12168" i="4" s="1"/>
  <c r="F707" i="8" s="1"/>
  <c r="H88" i="15" s="1"/>
  <c r="I88" i="15" s="1"/>
  <c r="J12201" i="4"/>
  <c r="H67" i="11"/>
  <c r="I67" i="11" s="1"/>
  <c r="F39" i="14"/>
  <c r="E99" i="14"/>
  <c r="E106" i="14" s="1"/>
  <c r="I58" i="11"/>
  <c r="H139" i="11"/>
  <c r="I139" i="11" s="1"/>
  <c r="E14" i="20"/>
  <c r="F14" i="20" s="1"/>
  <c r="I113" i="11"/>
  <c r="I48" i="11"/>
  <c r="H96" i="11"/>
  <c r="I96" i="11" s="1"/>
  <c r="I47" i="11"/>
  <c r="H95" i="11"/>
  <c r="H120" i="11" s="1"/>
  <c r="H56" i="11"/>
  <c r="I56" i="11" s="1"/>
  <c r="I49" i="11"/>
  <c r="H69" i="11"/>
  <c r="I65" i="11"/>
  <c r="F28" i="20"/>
  <c r="F21" i="20"/>
  <c r="F30" i="20"/>
  <c r="F20" i="20"/>
  <c r="H45" i="15"/>
  <c r="E13" i="20"/>
  <c r="F6" i="20"/>
  <c r="F57" i="14"/>
  <c r="E68" i="14"/>
  <c r="F77" i="14"/>
  <c r="E87" i="14"/>
  <c r="F87" i="14" s="1"/>
  <c r="I7575" i="4"/>
  <c r="J7575" i="4" s="1"/>
  <c r="I7313" i="4"/>
  <c r="J7313" i="4" s="1"/>
  <c r="I7295" i="4"/>
  <c r="J7295" i="4" s="1"/>
  <c r="I7331" i="4"/>
  <c r="J7331" i="4" s="1"/>
  <c r="F130" i="14"/>
  <c r="E134" i="14"/>
  <c r="J2281" i="4"/>
  <c r="I2473" i="4" s="1"/>
  <c r="J2473" i="4" s="1"/>
  <c r="I7539" i="4"/>
  <c r="J7539" i="4" s="1"/>
  <c r="I7499" i="4"/>
  <c r="J7499" i="4" s="1"/>
  <c r="I7458" i="4"/>
  <c r="J7458" i="4" s="1"/>
  <c r="I7422" i="4"/>
  <c r="J7422" i="4" s="1"/>
  <c r="I7384" i="4"/>
  <c r="J7384" i="4" s="1"/>
  <c r="I7349" i="4"/>
  <c r="J7349" i="4" s="1"/>
  <c r="I7257" i="4"/>
  <c r="J7257" i="4" s="1"/>
  <c r="I7223" i="4"/>
  <c r="J7223" i="4" s="1"/>
  <c r="I7183" i="4"/>
  <c r="J7183" i="4" s="1"/>
  <c r="J7186" i="4" s="1"/>
  <c r="J7195" i="4" s="1"/>
  <c r="J7198" i="4" s="1"/>
  <c r="I7557" i="4"/>
  <c r="J7557" i="4" s="1"/>
  <c r="I7518" i="4"/>
  <c r="J7518" i="4" s="1"/>
  <c r="I7478" i="4"/>
  <c r="J7478" i="4" s="1"/>
  <c r="I7440" i="4"/>
  <c r="J7440" i="4" s="1"/>
  <c r="I7403" i="4"/>
  <c r="J7403" i="4" s="1"/>
  <c r="I7367" i="4"/>
  <c r="J7367" i="4" s="1"/>
  <c r="I7276" i="4"/>
  <c r="J7276" i="4" s="1"/>
  <c r="I7206" i="4"/>
  <c r="J7206" i="4" s="1"/>
  <c r="I7160" i="4"/>
  <c r="J7160" i="4" s="1"/>
  <c r="J12205" i="4" l="1"/>
  <c r="J12210" i="4" s="1"/>
  <c r="J12211" i="4" s="1"/>
  <c r="J12212" i="4" s="1"/>
  <c r="F709" i="8" s="1"/>
  <c r="H90" i="15" s="1"/>
  <c r="I90" i="15" s="1"/>
  <c r="F7" i="20"/>
  <c r="I51" i="11"/>
  <c r="E18" i="16" s="1"/>
  <c r="H62" i="11"/>
  <c r="H100" i="11" s="1"/>
  <c r="H108" i="11" s="1"/>
  <c r="I108" i="11" s="1"/>
  <c r="E40" i="14"/>
  <c r="E29" i="14"/>
  <c r="F29" i="14" s="1"/>
  <c r="I45" i="15"/>
  <c r="H30" i="15"/>
  <c r="I30" i="15" s="1"/>
  <c r="H137" i="11"/>
  <c r="I137" i="11" s="1"/>
  <c r="I95" i="11"/>
  <c r="I69" i="11"/>
  <c r="H77" i="11"/>
  <c r="H73" i="11"/>
  <c r="F22" i="20"/>
  <c r="F13" i="20"/>
  <c r="F19" i="20"/>
  <c r="E12" i="20"/>
  <c r="F5" i="20"/>
  <c r="F9" i="20" s="1"/>
  <c r="E89" i="14"/>
  <c r="F89" i="14" s="1"/>
  <c r="F68" i="14"/>
  <c r="J7298" i="4"/>
  <c r="J7305" i="4" s="1"/>
  <c r="J7306" i="4" s="1"/>
  <c r="J7307" i="4" s="1"/>
  <c r="F420" i="8" s="1"/>
  <c r="H49" i="15" s="1"/>
  <c r="H52" i="15" s="1"/>
  <c r="I52" i="15" s="1"/>
  <c r="J7316" i="4"/>
  <c r="J7323" i="4" s="1"/>
  <c r="J7324" i="4" s="1"/>
  <c r="J7325" i="4" s="1"/>
  <c r="F421" i="8" s="1"/>
  <c r="H50" i="15" s="1"/>
  <c r="I50" i="15" s="1"/>
  <c r="J7334" i="4"/>
  <c r="J7341" i="4" s="1"/>
  <c r="J7342" i="4" s="1"/>
  <c r="J7343" i="4" s="1"/>
  <c r="F422" i="8" s="1"/>
  <c r="H51" i="15" s="1"/>
  <c r="I51" i="15" s="1"/>
  <c r="J7578" i="4"/>
  <c r="J7584" i="4" s="1"/>
  <c r="J7585" i="4" s="1"/>
  <c r="J7586" i="4" s="1"/>
  <c r="F435" i="8" s="1"/>
  <c r="H33" i="15"/>
  <c r="E67" i="14"/>
  <c r="F17" i="14"/>
  <c r="F134" i="14"/>
  <c r="F135" i="14" s="1"/>
  <c r="E138" i="14"/>
  <c r="F19" i="14"/>
  <c r="E58" i="14"/>
  <c r="J2282" i="4"/>
  <c r="J2283" i="4" s="1"/>
  <c r="F127" i="8" s="1"/>
  <c r="I2455" i="4"/>
  <c r="J2455" i="4" s="1"/>
  <c r="J2456" i="4" s="1"/>
  <c r="J2458" i="4" s="1"/>
  <c r="I2296" i="4"/>
  <c r="J2296" i="4" s="1"/>
  <c r="J2297" i="4" s="1"/>
  <c r="J2299" i="4" s="1"/>
  <c r="J7163" i="4"/>
  <c r="J7172" i="4" s="1"/>
  <c r="J7279" i="4"/>
  <c r="J7284" i="4" s="1"/>
  <c r="J7286" i="4" s="1"/>
  <c r="J7406" i="4"/>
  <c r="J7411" i="4" s="1"/>
  <c r="J7413" i="4" s="1"/>
  <c r="J7481" i="4"/>
  <c r="J7491" i="4" s="1"/>
  <c r="J7560" i="4"/>
  <c r="J7564" i="4" s="1"/>
  <c r="J7566" i="4" s="1"/>
  <c r="J7226" i="4"/>
  <c r="J7231" i="4" s="1"/>
  <c r="J7233" i="4" s="1"/>
  <c r="J7352" i="4"/>
  <c r="J7356" i="4" s="1"/>
  <c r="J7358" i="4" s="1"/>
  <c r="J7425" i="4"/>
  <c r="J7432" i="4" s="1"/>
  <c r="J7502" i="4"/>
  <c r="J7507" i="4" s="1"/>
  <c r="J2475" i="4"/>
  <c r="J2477" i="4" s="1"/>
  <c r="J7209" i="4"/>
  <c r="J7212" i="4" s="1"/>
  <c r="J7214" i="4" s="1"/>
  <c r="J7370" i="4"/>
  <c r="J7373" i="4" s="1"/>
  <c r="J7375" i="4" s="1"/>
  <c r="J7443" i="4"/>
  <c r="J7447" i="4" s="1"/>
  <c r="J7521" i="4"/>
  <c r="J7528" i="4" s="1"/>
  <c r="J7530" i="4" s="1"/>
  <c r="J7199" i="4"/>
  <c r="J7200" i="4" s="1"/>
  <c r="F414" i="8" s="1"/>
  <c r="J7260" i="4"/>
  <c r="J7265" i="4" s="1"/>
  <c r="J7267" i="4" s="1"/>
  <c r="J7387" i="4"/>
  <c r="J7392" i="4" s="1"/>
  <c r="J7394" i="4" s="1"/>
  <c r="J7461" i="4"/>
  <c r="J7467" i="4" s="1"/>
  <c r="J7469" i="4" s="1"/>
  <c r="J7542" i="4"/>
  <c r="J7546" i="4" s="1"/>
  <c r="J7548" i="4" s="1"/>
  <c r="I2013" i="4"/>
  <c r="J2013" i="4" s="1"/>
  <c r="I1907" i="4"/>
  <c r="J1907" i="4" s="1"/>
  <c r="J1910" i="4" s="1"/>
  <c r="J1918" i="4" s="1"/>
  <c r="J1919" i="4" s="1"/>
  <c r="J1920" i="4" s="1"/>
  <c r="I1960" i="4"/>
  <c r="J1960" i="4" s="1"/>
  <c r="H104" i="11" l="1"/>
  <c r="I62" i="11"/>
  <c r="H143" i="11"/>
  <c r="I143" i="11" s="1"/>
  <c r="I151" i="11" s="1"/>
  <c r="H66" i="11"/>
  <c r="I66" i="11" s="1"/>
  <c r="I100" i="11"/>
  <c r="F40" i="14"/>
  <c r="F44" i="14" s="1"/>
  <c r="F404" i="8" s="1"/>
  <c r="H37" i="15" s="1"/>
  <c r="E100" i="14"/>
  <c r="F100" i="14" s="1"/>
  <c r="H25" i="15"/>
  <c r="I25" i="15" s="1"/>
  <c r="H79" i="15"/>
  <c r="I79" i="15" s="1"/>
  <c r="I73" i="11"/>
  <c r="H112" i="11"/>
  <c r="I104" i="11"/>
  <c r="H111" i="11"/>
  <c r="I103" i="11"/>
  <c r="I77" i="11"/>
  <c r="H81" i="11"/>
  <c r="H85" i="11"/>
  <c r="F24" i="20"/>
  <c r="F29" i="20"/>
  <c r="F12" i="20"/>
  <c r="F16" i="20" s="1"/>
  <c r="F46" i="20"/>
  <c r="F51" i="20" s="1"/>
  <c r="F31" i="20"/>
  <c r="F25" i="14"/>
  <c r="F402" i="8" s="1"/>
  <c r="H34" i="15" s="1"/>
  <c r="I34" i="15" s="1"/>
  <c r="F58" i="14"/>
  <c r="F63" i="14" s="1"/>
  <c r="E69" i="14"/>
  <c r="E79" i="14"/>
  <c r="F79" i="14" s="1"/>
  <c r="F67" i="14"/>
  <c r="E78" i="14"/>
  <c r="F99" i="14" s="1"/>
  <c r="I49" i="15"/>
  <c r="I33" i="15"/>
  <c r="E105" i="14"/>
  <c r="F98" i="14"/>
  <c r="E142" i="14"/>
  <c r="F142" i="14" s="1"/>
  <c r="F143" i="14" s="1"/>
  <c r="F138" i="14"/>
  <c r="F139" i="14" s="1"/>
  <c r="J7395" i="4"/>
  <c r="J7396" i="4" s="1"/>
  <c r="J7397" i="4" s="1"/>
  <c r="F425" i="8" s="1"/>
  <c r="J7376" i="4"/>
  <c r="J7377" i="4" s="1"/>
  <c r="J7378" i="4" s="1"/>
  <c r="F424" i="8" s="1"/>
  <c r="J7268" i="4"/>
  <c r="J7269" i="4" s="1"/>
  <c r="J7270" i="4" s="1"/>
  <c r="F418" i="8" s="1"/>
  <c r="J7531" i="4"/>
  <c r="J7532" i="4" s="1"/>
  <c r="J7533" i="4" s="1"/>
  <c r="F432" i="8" s="1"/>
  <c r="J7470" i="4"/>
  <c r="J7471" i="4" s="1"/>
  <c r="J7472" i="4" s="1"/>
  <c r="F429" i="8" s="1"/>
  <c r="J7450" i="4"/>
  <c r="J7451" i="4" s="1"/>
  <c r="J7452" i="4" s="1"/>
  <c r="F428" i="8" s="1"/>
  <c r="J7549" i="4"/>
  <c r="J7550" i="4" s="1"/>
  <c r="J7551" i="4" s="1"/>
  <c r="F433" i="8" s="1"/>
  <c r="J7215" i="4"/>
  <c r="J7216" i="4" s="1"/>
  <c r="J7217" i="4" s="1"/>
  <c r="F415" i="8" s="1"/>
  <c r="J7510" i="4"/>
  <c r="J7511" i="4" s="1"/>
  <c r="J7512" i="4" s="1"/>
  <c r="F431" i="8" s="1"/>
  <c r="J7359" i="4"/>
  <c r="J7360" i="4" s="1"/>
  <c r="J7361" i="4" s="1"/>
  <c r="F423" i="8" s="1"/>
  <c r="J7234" i="4"/>
  <c r="J7235" i="4" s="1"/>
  <c r="J7236" i="4" s="1"/>
  <c r="F416" i="8" s="1"/>
  <c r="J7567" i="4"/>
  <c r="J7568" i="4" s="1"/>
  <c r="J7569" i="4" s="1"/>
  <c r="F434" i="8" s="1"/>
  <c r="J7414" i="4"/>
  <c r="J7415" i="4" s="1"/>
  <c r="J7416" i="4" s="1"/>
  <c r="F426" i="8" s="1"/>
  <c r="J7287" i="4"/>
  <c r="J7288" i="4" s="1"/>
  <c r="J7289" i="4" s="1"/>
  <c r="F419" i="8" s="1"/>
  <c r="J7175" i="4"/>
  <c r="J7176" i="4" s="1"/>
  <c r="J7177" i="4" s="1"/>
  <c r="F413" i="8" s="1"/>
  <c r="J1963" i="4"/>
  <c r="J1971" i="4" s="1"/>
  <c r="J2016" i="4"/>
  <c r="J2024" i="4" s="1"/>
  <c r="J2214" i="4"/>
  <c r="I2197" i="4"/>
  <c r="J2197" i="4" s="1"/>
  <c r="J2478" i="4"/>
  <c r="J2479" i="4" s="1"/>
  <c r="J2480" i="4" s="1"/>
  <c r="F138" i="8" s="1"/>
  <c r="J7433" i="4"/>
  <c r="J7434" i="4" s="1"/>
  <c r="F427" i="8" s="1"/>
  <c r="J7492" i="4"/>
  <c r="J7493" i="4" s="1"/>
  <c r="F430" i="8" s="1"/>
  <c r="E22" i="16" l="1"/>
  <c r="H70" i="11"/>
  <c r="I120" i="11" s="1"/>
  <c r="I112" i="11"/>
  <c r="H123" i="11"/>
  <c r="I123" i="11" s="1"/>
  <c r="I111" i="11"/>
  <c r="H122" i="11"/>
  <c r="I122" i="11" s="1"/>
  <c r="I85" i="11"/>
  <c r="H89" i="11"/>
  <c r="I89" i="11" s="1"/>
  <c r="I81" i="11"/>
  <c r="I70" i="11"/>
  <c r="H74" i="11"/>
  <c r="I74" i="11" s="1"/>
  <c r="F34" i="20"/>
  <c r="F78" i="14"/>
  <c r="F84" i="14" s="1"/>
  <c r="E88" i="14"/>
  <c r="F88" i="14" s="1"/>
  <c r="E90" i="14"/>
  <c r="F90" i="14" s="1"/>
  <c r="F69" i="14"/>
  <c r="F74" i="14" s="1"/>
  <c r="F105" i="14"/>
  <c r="E110" i="14"/>
  <c r="J2217" i="4"/>
  <c r="J2220" i="4" s="1"/>
  <c r="I2308" i="4"/>
  <c r="J2308" i="4" s="1"/>
  <c r="I2289" i="4"/>
  <c r="J2289" i="4" s="1"/>
  <c r="I2250" i="4"/>
  <c r="J2250" i="4" s="1"/>
  <c r="I2449" i="4"/>
  <c r="J2449" i="4" s="1"/>
  <c r="J2452" i="4" s="1"/>
  <c r="J2459" i="4" s="1"/>
  <c r="J2025" i="4"/>
  <c r="J2026" i="4" s="1"/>
  <c r="F111" i="8" s="1"/>
  <c r="J1972" i="4"/>
  <c r="J1973" i="4" s="1"/>
  <c r="J2200" i="4"/>
  <c r="J2206" i="4" s="1"/>
  <c r="J2207" i="4" s="1"/>
  <c r="J2208" i="4" s="1"/>
  <c r="H78" i="11" l="1"/>
  <c r="I78" i="11" s="1"/>
  <c r="I115" i="11"/>
  <c r="I126" i="11"/>
  <c r="H86" i="11"/>
  <c r="H82" i="11"/>
  <c r="F95" i="14"/>
  <c r="F110" i="14"/>
  <c r="E115" i="14"/>
  <c r="J2253" i="4"/>
  <c r="J2258" i="4" s="1"/>
  <c r="J2311" i="4"/>
  <c r="J2317" i="4" s="1"/>
  <c r="J2318" i="4" s="1"/>
  <c r="J2319" i="4" s="1"/>
  <c r="F129" i="8" s="1"/>
  <c r="I12006" i="4"/>
  <c r="J12006" i="4" s="1"/>
  <c r="J12007" i="4" s="1"/>
  <c r="J12021" i="4" s="1"/>
  <c r="J12022" i="4" s="1"/>
  <c r="J12023" i="4" s="1"/>
  <c r="F699" i="8" s="1"/>
  <c r="I12028" i="4"/>
  <c r="J12028" i="4" s="1"/>
  <c r="J2460" i="4"/>
  <c r="J2461" i="4" s="1"/>
  <c r="F137" i="8" s="1"/>
  <c r="J2292" i="4"/>
  <c r="J2300" i="4" s="1"/>
  <c r="J2301" i="4" s="1"/>
  <c r="J2302" i="4" s="1"/>
  <c r="F128" i="8" s="1"/>
  <c r="J2223" i="4"/>
  <c r="J2224" i="4" s="1"/>
  <c r="J2225" i="4" s="1"/>
  <c r="I86" i="11" l="1"/>
  <c r="E21" i="16"/>
  <c r="H90" i="11"/>
  <c r="I90" i="11" s="1"/>
  <c r="I82" i="11"/>
  <c r="F115" i="14"/>
  <c r="E120" i="14"/>
  <c r="J2261" i="4"/>
  <c r="J2262" i="4" s="1"/>
  <c r="J2263" i="4" s="1"/>
  <c r="F126" i="8" s="1"/>
  <c r="F124" i="8"/>
  <c r="F123" i="8"/>
  <c r="J12029" i="4"/>
  <c r="J12041" i="4" s="1"/>
  <c r="J12042" i="4" s="1"/>
  <c r="J12043" i="4" s="1"/>
  <c r="F700" i="8" s="1"/>
  <c r="I11815" i="4"/>
  <c r="J11815" i="4" s="1"/>
  <c r="I11775" i="4"/>
  <c r="J11775" i="4" s="1"/>
  <c r="I11735" i="4"/>
  <c r="J11735" i="4" s="1"/>
  <c r="I11695" i="4"/>
  <c r="J11695" i="4" s="1"/>
  <c r="I11655" i="4"/>
  <c r="J11655" i="4" s="1"/>
  <c r="I11615" i="4"/>
  <c r="J11615" i="4" s="1"/>
  <c r="I11576" i="4"/>
  <c r="J11576" i="4" s="1"/>
  <c r="J11578" i="4" s="1"/>
  <c r="J11586" i="4" s="1"/>
  <c r="I11540" i="4"/>
  <c r="J11540" i="4" s="1"/>
  <c r="I11504" i="4"/>
  <c r="J11504" i="4" s="1"/>
  <c r="I11468" i="4"/>
  <c r="J11468" i="4" s="1"/>
  <c r="I11434" i="4"/>
  <c r="J11434" i="4" s="1"/>
  <c r="I11400" i="4"/>
  <c r="J11400" i="4" s="1"/>
  <c r="I11366" i="4"/>
  <c r="J11366" i="4" s="1"/>
  <c r="I11331" i="4"/>
  <c r="J11331" i="4" s="1"/>
  <c r="I11295" i="4"/>
  <c r="J11295" i="4" s="1"/>
  <c r="J11297" i="4" s="1"/>
  <c r="J11305" i="4" s="1"/>
  <c r="I11259" i="4"/>
  <c r="J11259" i="4" s="1"/>
  <c r="J11261" i="4" s="1"/>
  <c r="J11269" i="4" s="1"/>
  <c r="I11223" i="4"/>
  <c r="J11223" i="4" s="1"/>
  <c r="I11189" i="4"/>
  <c r="J11189" i="4" s="1"/>
  <c r="I11155" i="4"/>
  <c r="J11155" i="4" s="1"/>
  <c r="I11121" i="4"/>
  <c r="J11121" i="4" s="1"/>
  <c r="I11086" i="4"/>
  <c r="J11086" i="4" s="1"/>
  <c r="I11052" i="4"/>
  <c r="J11052" i="4" s="1"/>
  <c r="I11018" i="4"/>
  <c r="J11018" i="4" s="1"/>
  <c r="I10984" i="4"/>
  <c r="J10984" i="4" s="1"/>
  <c r="I10950" i="4"/>
  <c r="J10950" i="4" s="1"/>
  <c r="I10916" i="4"/>
  <c r="J10916" i="4" s="1"/>
  <c r="I10882" i="4"/>
  <c r="J10882" i="4" s="1"/>
  <c r="J10884" i="4" s="1"/>
  <c r="J10891" i="4" s="1"/>
  <c r="I10848" i="4"/>
  <c r="J10848" i="4" s="1"/>
  <c r="I10814" i="4"/>
  <c r="J10814" i="4" s="1"/>
  <c r="I10780" i="4"/>
  <c r="J10780" i="4" s="1"/>
  <c r="I10746" i="4"/>
  <c r="J10746" i="4" s="1"/>
  <c r="I10712" i="4"/>
  <c r="J10712" i="4" s="1"/>
  <c r="I10678" i="4"/>
  <c r="J10678" i="4" s="1"/>
  <c r="I10644" i="4"/>
  <c r="J10644" i="4" s="1"/>
  <c r="I10610" i="4"/>
  <c r="J10610" i="4" s="1"/>
  <c r="I10576" i="4"/>
  <c r="J10576" i="4" s="1"/>
  <c r="I10542" i="4"/>
  <c r="J10542" i="4" s="1"/>
  <c r="I10508" i="4"/>
  <c r="J10508" i="4" s="1"/>
  <c r="I10474" i="4"/>
  <c r="J10474" i="4" s="1"/>
  <c r="I10440" i="4"/>
  <c r="J10440" i="4" s="1"/>
  <c r="I10406" i="4"/>
  <c r="J10406" i="4" s="1"/>
  <c r="I10372" i="4"/>
  <c r="J10372" i="4" s="1"/>
  <c r="I10338" i="4"/>
  <c r="J10338" i="4" s="1"/>
  <c r="J10340" i="4" s="1"/>
  <c r="J10347" i="4" s="1"/>
  <c r="I10304" i="4"/>
  <c r="J10304" i="4" s="1"/>
  <c r="I10286" i="4"/>
  <c r="J10286" i="4" s="1"/>
  <c r="I10268" i="4"/>
  <c r="J10268" i="4" s="1"/>
  <c r="I10250" i="4"/>
  <c r="J10250" i="4" s="1"/>
  <c r="J10253" i="4" s="1"/>
  <c r="J10260" i="4" s="1"/>
  <c r="I10232" i="4"/>
  <c r="J10232" i="4" s="1"/>
  <c r="J10235" i="4" s="1"/>
  <c r="J10242" i="4" s="1"/>
  <c r="I10214" i="4"/>
  <c r="J10214" i="4" s="1"/>
  <c r="I10196" i="4"/>
  <c r="J10196" i="4" s="1"/>
  <c r="J10199" i="4" s="1"/>
  <c r="J10206" i="4" s="1"/>
  <c r="I10178" i="4"/>
  <c r="J10178" i="4" s="1"/>
  <c r="J10181" i="4" s="1"/>
  <c r="J10184" i="4" s="1"/>
  <c r="J10187" i="4" s="1"/>
  <c r="J10188" i="4" s="1"/>
  <c r="I10160" i="4"/>
  <c r="J10160" i="4" s="1"/>
  <c r="I10142" i="4"/>
  <c r="J10142" i="4" s="1"/>
  <c r="I10124" i="4"/>
  <c r="J10124" i="4" s="1"/>
  <c r="I10106" i="4"/>
  <c r="J10106" i="4" s="1"/>
  <c r="I10088" i="4"/>
  <c r="J10088" i="4" s="1"/>
  <c r="I10070" i="4"/>
  <c r="J10070" i="4" s="1"/>
  <c r="I10052" i="4"/>
  <c r="J10052" i="4" s="1"/>
  <c r="I10034" i="4"/>
  <c r="J10034" i="4" s="1"/>
  <c r="I10016" i="4"/>
  <c r="J10016" i="4" s="1"/>
  <c r="I9982" i="4"/>
  <c r="J9982" i="4" s="1"/>
  <c r="I9948" i="4"/>
  <c r="J9948" i="4" s="1"/>
  <c r="I9914" i="4"/>
  <c r="J9914" i="4" s="1"/>
  <c r="I9880" i="4"/>
  <c r="J9880" i="4" s="1"/>
  <c r="I9846" i="4"/>
  <c r="J9846" i="4" s="1"/>
  <c r="J9848" i="4" s="1"/>
  <c r="J9855" i="4" s="1"/>
  <c r="I9812" i="4"/>
  <c r="J9812" i="4" s="1"/>
  <c r="I9778" i="4"/>
  <c r="J9778" i="4" s="1"/>
  <c r="J9780" i="4" s="1"/>
  <c r="J9787" i="4" s="1"/>
  <c r="I9744" i="4"/>
  <c r="J9744" i="4" s="1"/>
  <c r="J9746" i="4" s="1"/>
  <c r="J9749" i="4" s="1"/>
  <c r="J9752" i="4" s="1"/>
  <c r="J9753" i="4" s="1"/>
  <c r="J9754" i="4" s="1"/>
  <c r="J9755" i="4" s="1"/>
  <c r="F562" i="8" s="1"/>
  <c r="I9707" i="4"/>
  <c r="J9707" i="4" s="1"/>
  <c r="J9709" i="4" s="1"/>
  <c r="J9717" i="4" s="1"/>
  <c r="I9671" i="4"/>
  <c r="J9671" i="4" s="1"/>
  <c r="J9673" i="4" s="1"/>
  <c r="J9681" i="4" s="1"/>
  <c r="I9635" i="4"/>
  <c r="J9635" i="4" s="1"/>
  <c r="J9637" i="4" s="1"/>
  <c r="J9645" i="4" s="1"/>
  <c r="J9646" i="4" s="1"/>
  <c r="J9647" i="4" s="1"/>
  <c r="F554" i="8" s="1"/>
  <c r="I9599" i="4"/>
  <c r="J9599" i="4" s="1"/>
  <c r="I9564" i="4"/>
  <c r="J9564" i="4" s="1"/>
  <c r="I9530" i="4"/>
  <c r="J9530" i="4" s="1"/>
  <c r="I9496" i="4"/>
  <c r="J9496" i="4" s="1"/>
  <c r="I9462" i="4"/>
  <c r="J9462" i="4" s="1"/>
  <c r="I9443" i="4"/>
  <c r="J9443" i="4" s="1"/>
  <c r="I9424" i="4"/>
  <c r="J9424" i="4" s="1"/>
  <c r="I9405" i="4"/>
  <c r="J9405" i="4" s="1"/>
  <c r="I9386" i="4"/>
  <c r="J9386" i="4" s="1"/>
  <c r="I9367" i="4"/>
  <c r="J9367" i="4" s="1"/>
  <c r="I9348" i="4"/>
  <c r="J9348" i="4" s="1"/>
  <c r="I9329" i="4"/>
  <c r="J9329" i="4" s="1"/>
  <c r="I9310" i="4"/>
  <c r="J9310" i="4" s="1"/>
  <c r="I9291" i="4"/>
  <c r="J9291" i="4" s="1"/>
  <c r="I9257" i="4"/>
  <c r="J9257" i="4" s="1"/>
  <c r="I9223" i="4"/>
  <c r="J9223" i="4" s="1"/>
  <c r="I9189" i="4"/>
  <c r="J9189" i="4" s="1"/>
  <c r="I9155" i="4"/>
  <c r="J9155" i="4" s="1"/>
  <c r="I9121" i="4"/>
  <c r="J9121" i="4" s="1"/>
  <c r="J9123" i="4" s="1"/>
  <c r="J9130" i="4" s="1"/>
  <c r="I9087" i="4"/>
  <c r="J9087" i="4" s="1"/>
  <c r="I9053" i="4"/>
  <c r="J9053" i="4" s="1"/>
  <c r="I9002" i="4"/>
  <c r="J9002" i="4" s="1"/>
  <c r="I8968" i="4"/>
  <c r="J8968" i="4" s="1"/>
  <c r="I8934" i="4"/>
  <c r="J8934" i="4" s="1"/>
  <c r="I8900" i="4"/>
  <c r="J8900" i="4" s="1"/>
  <c r="I8866" i="4"/>
  <c r="J8866" i="4" s="1"/>
  <c r="J8868" i="4" s="1"/>
  <c r="J8875" i="4" s="1"/>
  <c r="I8832" i="4"/>
  <c r="J8832" i="4" s="1"/>
  <c r="I8798" i="4"/>
  <c r="J8798" i="4" s="1"/>
  <c r="I8764" i="4"/>
  <c r="J8764" i="4" s="1"/>
  <c r="I8730" i="4"/>
  <c r="J8730" i="4" s="1"/>
  <c r="I8696" i="4"/>
  <c r="J8696" i="4" s="1"/>
  <c r="I8662" i="4"/>
  <c r="J8662" i="4" s="1"/>
  <c r="I8628" i="4"/>
  <c r="J8628" i="4" s="1"/>
  <c r="J8630" i="4" s="1"/>
  <c r="J8637" i="4" s="1"/>
  <c r="I8593" i="4"/>
  <c r="J8593" i="4" s="1"/>
  <c r="J8595" i="4" s="1"/>
  <c r="J8598" i="4" s="1"/>
  <c r="J8603" i="4" s="1"/>
  <c r="I8559" i="4"/>
  <c r="J8559" i="4" s="1"/>
  <c r="I8525" i="4"/>
  <c r="J8525" i="4" s="1"/>
  <c r="I8491" i="4"/>
  <c r="J8491" i="4" s="1"/>
  <c r="I8457" i="4"/>
  <c r="J8457" i="4" s="1"/>
  <c r="I8423" i="4"/>
  <c r="J8423" i="4" s="1"/>
  <c r="J8425" i="4" s="1"/>
  <c r="J8432" i="4" s="1"/>
  <c r="I8389" i="4"/>
  <c r="J8389" i="4" s="1"/>
  <c r="I8368" i="4"/>
  <c r="J8368" i="4" s="1"/>
  <c r="I11795" i="4"/>
  <c r="J11795" i="4" s="1"/>
  <c r="I11755" i="4"/>
  <c r="J11755" i="4" s="1"/>
  <c r="I11715" i="4"/>
  <c r="J11715" i="4" s="1"/>
  <c r="I11675" i="4"/>
  <c r="J11675" i="4" s="1"/>
  <c r="I11635" i="4"/>
  <c r="J11635" i="4" s="1"/>
  <c r="I11595" i="4"/>
  <c r="J11595" i="4" s="1"/>
  <c r="I11558" i="4"/>
  <c r="J11558" i="4" s="1"/>
  <c r="I11522" i="4"/>
  <c r="J11522" i="4" s="1"/>
  <c r="I11486" i="4"/>
  <c r="J11486" i="4" s="1"/>
  <c r="I11451" i="4"/>
  <c r="J11451" i="4" s="1"/>
  <c r="I11417" i="4"/>
  <c r="J11417" i="4" s="1"/>
  <c r="I11383" i="4"/>
  <c r="J11383" i="4" s="1"/>
  <c r="I11349" i="4"/>
  <c r="J11349" i="4" s="1"/>
  <c r="I11313" i="4"/>
  <c r="J11313" i="4" s="1"/>
  <c r="J11315" i="4" s="1"/>
  <c r="J11323" i="4" s="1"/>
  <c r="I11277" i="4"/>
  <c r="J11277" i="4" s="1"/>
  <c r="I11241" i="4"/>
  <c r="J11241" i="4" s="1"/>
  <c r="J11243" i="4" s="1"/>
  <c r="J11251" i="4" s="1"/>
  <c r="I11206" i="4"/>
  <c r="J11206" i="4" s="1"/>
  <c r="J11208" i="4" s="1"/>
  <c r="J11215" i="4" s="1"/>
  <c r="I11172" i="4"/>
  <c r="J11172" i="4" s="1"/>
  <c r="I11138" i="4"/>
  <c r="J11138" i="4" s="1"/>
  <c r="I11104" i="4"/>
  <c r="J11104" i="4" s="1"/>
  <c r="I11069" i="4"/>
  <c r="J11069" i="4" s="1"/>
  <c r="I11035" i="4"/>
  <c r="J11035" i="4" s="1"/>
  <c r="J11037" i="4" s="1"/>
  <c r="J11044" i="4" s="1"/>
  <c r="I11001" i="4"/>
  <c r="J11001" i="4" s="1"/>
  <c r="I10967" i="4"/>
  <c r="J10967" i="4" s="1"/>
  <c r="I10933" i="4"/>
  <c r="J10933" i="4" s="1"/>
  <c r="I10899" i="4"/>
  <c r="J10899" i="4" s="1"/>
  <c r="I10865" i="4"/>
  <c r="J10865" i="4" s="1"/>
  <c r="I10831" i="4"/>
  <c r="J10831" i="4" s="1"/>
  <c r="I10797" i="4"/>
  <c r="J10797" i="4" s="1"/>
  <c r="J10799" i="4" s="1"/>
  <c r="J10802" i="4" s="1"/>
  <c r="J10805" i="4" s="1"/>
  <c r="J10806" i="4" s="1"/>
  <c r="I10763" i="4"/>
  <c r="J10763" i="4" s="1"/>
  <c r="I10729" i="4"/>
  <c r="J10729" i="4" s="1"/>
  <c r="I10695" i="4"/>
  <c r="J10695" i="4" s="1"/>
  <c r="I10661" i="4"/>
  <c r="J10661" i="4" s="1"/>
  <c r="I10627" i="4"/>
  <c r="J10627" i="4" s="1"/>
  <c r="I10593" i="4"/>
  <c r="J10593" i="4" s="1"/>
  <c r="J10595" i="4" s="1"/>
  <c r="J10602" i="4" s="1"/>
  <c r="I10559" i="4"/>
  <c r="J10559" i="4" s="1"/>
  <c r="I10525" i="4"/>
  <c r="J10525" i="4" s="1"/>
  <c r="I10491" i="4"/>
  <c r="J10491" i="4" s="1"/>
  <c r="J10493" i="4" s="1"/>
  <c r="J10496" i="4" s="1"/>
  <c r="J10499" i="4" s="1"/>
  <c r="J10500" i="4" s="1"/>
  <c r="I10457" i="4"/>
  <c r="J10457" i="4" s="1"/>
  <c r="I10423" i="4"/>
  <c r="J10423" i="4" s="1"/>
  <c r="I10389" i="4"/>
  <c r="J10389" i="4" s="1"/>
  <c r="I10355" i="4"/>
  <c r="J10355" i="4" s="1"/>
  <c r="I10321" i="4"/>
  <c r="J10321" i="4" s="1"/>
  <c r="I9999" i="4"/>
  <c r="J9999" i="4" s="1"/>
  <c r="I9965" i="4"/>
  <c r="J9965" i="4" s="1"/>
  <c r="J9967" i="4" s="1"/>
  <c r="J9974" i="4" s="1"/>
  <c r="I9931" i="4"/>
  <c r="J9931" i="4" s="1"/>
  <c r="I9897" i="4"/>
  <c r="J9897" i="4" s="1"/>
  <c r="I9863" i="4"/>
  <c r="J9863" i="4" s="1"/>
  <c r="I9829" i="4"/>
  <c r="J9829" i="4" s="1"/>
  <c r="I9795" i="4"/>
  <c r="J9795" i="4" s="1"/>
  <c r="I9761" i="4"/>
  <c r="J9761" i="4" s="1"/>
  <c r="I9725" i="4"/>
  <c r="J9725" i="4" s="1"/>
  <c r="I9689" i="4"/>
  <c r="J9689" i="4" s="1"/>
  <c r="I9653" i="4"/>
  <c r="J9653" i="4" s="1"/>
  <c r="J9655" i="4" s="1"/>
  <c r="J9663" i="4" s="1"/>
  <c r="I9617" i="4"/>
  <c r="J9617" i="4" s="1"/>
  <c r="I9581" i="4"/>
  <c r="J9581" i="4" s="1"/>
  <c r="I9547" i="4"/>
  <c r="J9547" i="4" s="1"/>
  <c r="J9549" i="4" s="1"/>
  <c r="J9556" i="4" s="1"/>
  <c r="I9513" i="4"/>
  <c r="J9513" i="4" s="1"/>
  <c r="J9515" i="4" s="1"/>
  <c r="J9522" i="4" s="1"/>
  <c r="J9523" i="4" s="1"/>
  <c r="J9524" i="4" s="1"/>
  <c r="F547" i="8" s="1"/>
  <c r="I9479" i="4"/>
  <c r="J9479" i="4" s="1"/>
  <c r="I9274" i="4"/>
  <c r="J9274" i="4" s="1"/>
  <c r="I9240" i="4"/>
  <c r="J9240" i="4" s="1"/>
  <c r="I9206" i="4"/>
  <c r="J9206" i="4" s="1"/>
  <c r="I9172" i="4"/>
  <c r="J9172" i="4" s="1"/>
  <c r="I9138" i="4"/>
  <c r="J9138" i="4" s="1"/>
  <c r="I9104" i="4"/>
  <c r="J9104" i="4" s="1"/>
  <c r="I9070" i="4"/>
  <c r="J9070" i="4" s="1"/>
  <c r="I9036" i="4"/>
  <c r="J9036" i="4" s="1"/>
  <c r="I9019" i="4"/>
  <c r="J9019" i="4" s="1"/>
  <c r="I8985" i="4"/>
  <c r="J8985" i="4" s="1"/>
  <c r="J8987" i="4" s="1"/>
  <c r="J8994" i="4" s="1"/>
  <c r="I8951" i="4"/>
  <c r="J8951" i="4" s="1"/>
  <c r="I8917" i="4"/>
  <c r="J8917" i="4" s="1"/>
  <c r="J8919" i="4" s="1"/>
  <c r="J8922" i="4" s="1"/>
  <c r="J8925" i="4" s="1"/>
  <c r="J8926" i="4" s="1"/>
  <c r="I8883" i="4"/>
  <c r="J8883" i="4" s="1"/>
  <c r="I8849" i="4"/>
  <c r="J8849" i="4" s="1"/>
  <c r="J8851" i="4" s="1"/>
  <c r="J8854" i="4" s="1"/>
  <c r="J8858" i="4" s="1"/>
  <c r="J8859" i="4" s="1"/>
  <c r="J8860" i="4" s="1"/>
  <c r="F509" i="8" s="1"/>
  <c r="I8815" i="4"/>
  <c r="J8815" i="4" s="1"/>
  <c r="I8781" i="4"/>
  <c r="J8781" i="4" s="1"/>
  <c r="J8783" i="4" s="1"/>
  <c r="J8790" i="4" s="1"/>
  <c r="I8747" i="4"/>
  <c r="J8747" i="4" s="1"/>
  <c r="I8713" i="4"/>
  <c r="J8713" i="4" s="1"/>
  <c r="I8679" i="4"/>
  <c r="J8679" i="4" s="1"/>
  <c r="I8645" i="4"/>
  <c r="J8645" i="4" s="1"/>
  <c r="I8611" i="4"/>
  <c r="J8611" i="4" s="1"/>
  <c r="I8576" i="4"/>
  <c r="J8576" i="4" s="1"/>
  <c r="J8578" i="4" s="1"/>
  <c r="J8585" i="4" s="1"/>
  <c r="I8542" i="4"/>
  <c r="J8542" i="4" s="1"/>
  <c r="I8508" i="4"/>
  <c r="J8508" i="4" s="1"/>
  <c r="I8474" i="4"/>
  <c r="J8474" i="4" s="1"/>
  <c r="I8440" i="4"/>
  <c r="J8440" i="4" s="1"/>
  <c r="I8406" i="4"/>
  <c r="J8406" i="4" s="1"/>
  <c r="I1142" i="4"/>
  <c r="J1142" i="4" s="1"/>
  <c r="I1159" i="4"/>
  <c r="J1159" i="4" s="1"/>
  <c r="I92" i="11" l="1"/>
  <c r="F102" i="14"/>
  <c r="F406" i="8" s="1"/>
  <c r="F106" i="14"/>
  <c r="F107" i="14" s="1"/>
  <c r="F407" i="8" s="1"/>
  <c r="H39" i="15" s="1"/>
  <c r="E111" i="14"/>
  <c r="E125" i="14"/>
  <c r="F125" i="14" s="1"/>
  <c r="E129" i="14"/>
  <c r="F129" i="14" s="1"/>
  <c r="F131" i="14" s="1"/>
  <c r="F120" i="14"/>
  <c r="J1162" i="4"/>
  <c r="J1168" i="4" s="1"/>
  <c r="J1169" i="4" s="1"/>
  <c r="J1170" i="4" s="1"/>
  <c r="F74" i="8" s="1"/>
  <c r="J8408" i="4"/>
  <c r="J8411" i="4" s="1"/>
  <c r="J8476" i="4"/>
  <c r="J8479" i="4" s="1"/>
  <c r="J8482" i="4" s="1"/>
  <c r="J8483" i="4" s="1"/>
  <c r="J8544" i="4"/>
  <c r="J8547" i="4" s="1"/>
  <c r="J8550" i="4" s="1"/>
  <c r="J8551" i="4" s="1"/>
  <c r="J8613" i="4"/>
  <c r="J8616" i="4" s="1"/>
  <c r="J8619" i="4" s="1"/>
  <c r="J8620" i="4" s="1"/>
  <c r="J8681" i="4"/>
  <c r="J8684" i="4" s="1"/>
  <c r="J8687" i="4" s="1"/>
  <c r="J8688" i="4" s="1"/>
  <c r="J8749" i="4"/>
  <c r="J8752" i="4" s="1"/>
  <c r="J8755" i="4" s="1"/>
  <c r="J8756" i="4" s="1"/>
  <c r="J8817" i="4"/>
  <c r="J8820" i="4" s="1"/>
  <c r="J8823" i="4" s="1"/>
  <c r="J8824" i="4" s="1"/>
  <c r="J8885" i="4"/>
  <c r="J8888" i="4" s="1"/>
  <c r="J8891" i="4" s="1"/>
  <c r="J8953" i="4"/>
  <c r="J8956" i="4" s="1"/>
  <c r="J8959" i="4" s="1"/>
  <c r="J8960" i="4" s="1"/>
  <c r="J9021" i="4"/>
  <c r="J9024" i="4" s="1"/>
  <c r="J9027" i="4" s="1"/>
  <c r="J9028" i="4" s="1"/>
  <c r="J9072" i="4"/>
  <c r="J9075" i="4" s="1"/>
  <c r="J9078" i="4" s="1"/>
  <c r="J9140" i="4"/>
  <c r="J9143" i="4" s="1"/>
  <c r="J9146" i="4" s="1"/>
  <c r="J9208" i="4"/>
  <c r="J9211" i="4" s="1"/>
  <c r="J9214" i="4" s="1"/>
  <c r="J9215" i="4" s="1"/>
  <c r="J9276" i="4"/>
  <c r="J9279" i="4" s="1"/>
  <c r="J9282" i="4" s="1"/>
  <c r="J9283" i="4" s="1"/>
  <c r="J9583" i="4"/>
  <c r="J9586" i="4" s="1"/>
  <c r="J9664" i="4"/>
  <c r="J9665" i="4" s="1"/>
  <c r="F555" i="8" s="1"/>
  <c r="J9727" i="4"/>
  <c r="J9730" i="4" s="1"/>
  <c r="J9797" i="4"/>
  <c r="J9800" i="4" s="1"/>
  <c r="J9803" i="4" s="1"/>
  <c r="J9804" i="4" s="1"/>
  <c r="J9865" i="4"/>
  <c r="J9868" i="4" s="1"/>
  <c r="J9871" i="4" s="1"/>
  <c r="J9933" i="4"/>
  <c r="J9936" i="4" s="1"/>
  <c r="J9939" i="4" s="1"/>
  <c r="J10001" i="4"/>
  <c r="J10004" i="4" s="1"/>
  <c r="J10007" i="4" s="1"/>
  <c r="J10357" i="4"/>
  <c r="J10360" i="4" s="1"/>
  <c r="J10363" i="4" s="1"/>
  <c r="J10364" i="4" s="1"/>
  <c r="J10425" i="4"/>
  <c r="J10428" i="4" s="1"/>
  <c r="J10431" i="4" s="1"/>
  <c r="J10501" i="4"/>
  <c r="J10502" i="4" s="1"/>
  <c r="F605" i="8" s="1"/>
  <c r="J10561" i="4"/>
  <c r="J10564" i="4" s="1"/>
  <c r="J10567" i="4" s="1"/>
  <c r="J10629" i="4"/>
  <c r="J10632" i="4" s="1"/>
  <c r="J10635" i="4" s="1"/>
  <c r="J10636" i="4" s="1"/>
  <c r="J10697" i="4"/>
  <c r="J10700" i="4" s="1"/>
  <c r="J10703" i="4" s="1"/>
  <c r="J10704" i="4" s="1"/>
  <c r="J10765" i="4"/>
  <c r="J10768" i="4" s="1"/>
  <c r="J10771" i="4" s="1"/>
  <c r="J10772" i="4" s="1"/>
  <c r="J10833" i="4"/>
  <c r="J10836" i="4" s="1"/>
  <c r="J10839" i="4" s="1"/>
  <c r="J10840" i="4" s="1"/>
  <c r="J10901" i="4"/>
  <c r="J10904" i="4" s="1"/>
  <c r="J10907" i="4" s="1"/>
  <c r="J10908" i="4" s="1"/>
  <c r="J10969" i="4"/>
  <c r="J10972" i="4" s="1"/>
  <c r="J10975" i="4" s="1"/>
  <c r="J11045" i="4"/>
  <c r="J11046" i="4" s="1"/>
  <c r="F637" i="8" s="1"/>
  <c r="J11174" i="4"/>
  <c r="J11177" i="4" s="1"/>
  <c r="J11180" i="4" s="1"/>
  <c r="J11252" i="4"/>
  <c r="J11253" i="4" s="1"/>
  <c r="F651" i="8" s="1"/>
  <c r="J11324" i="4"/>
  <c r="J11325" i="4" s="1"/>
  <c r="F655" i="8" s="1"/>
  <c r="J11385" i="4"/>
  <c r="J11388" i="4" s="1"/>
  <c r="J11391" i="4" s="1"/>
  <c r="J11392" i="4" s="1"/>
  <c r="J11453" i="4"/>
  <c r="J11456" i="4" s="1"/>
  <c r="J11459" i="4" s="1"/>
  <c r="J11597" i="4"/>
  <c r="J11607" i="4" s="1"/>
  <c r="J11608" i="4" s="1"/>
  <c r="J11609" i="4" s="1"/>
  <c r="F673" i="8" s="1"/>
  <c r="J11677" i="4"/>
  <c r="J11687" i="4" s="1"/>
  <c r="J11688" i="4" s="1"/>
  <c r="J11689" i="4" s="1"/>
  <c r="F677" i="8" s="1"/>
  <c r="J11757" i="4"/>
  <c r="J11760" i="4" s="1"/>
  <c r="J8370" i="4"/>
  <c r="J8377" i="4" s="1"/>
  <c r="J8433" i="4"/>
  <c r="J8434" i="4" s="1"/>
  <c r="F484" i="8" s="1"/>
  <c r="J8493" i="4"/>
  <c r="J8496" i="4" s="1"/>
  <c r="J8499" i="4" s="1"/>
  <c r="J8500" i="4" s="1"/>
  <c r="J8561" i="4"/>
  <c r="J8564" i="4" s="1"/>
  <c r="J8567" i="4" s="1"/>
  <c r="J8568" i="4" s="1"/>
  <c r="J8638" i="4"/>
  <c r="J8639" i="4" s="1"/>
  <c r="F496" i="8" s="1"/>
  <c r="J8698" i="4"/>
  <c r="J8701" i="4" s="1"/>
  <c r="J8704" i="4" s="1"/>
  <c r="J8705" i="4" s="1"/>
  <c r="J8766" i="4"/>
  <c r="J8769" i="4" s="1"/>
  <c r="J8772" i="4" s="1"/>
  <c r="J8773" i="4" s="1"/>
  <c r="J8834" i="4"/>
  <c r="J8837" i="4" s="1"/>
  <c r="J8840" i="4" s="1"/>
  <c r="J8841" i="4" s="1"/>
  <c r="J8902" i="4"/>
  <c r="J8905" i="4" s="1"/>
  <c r="J8908" i="4" s="1"/>
  <c r="J8970" i="4"/>
  <c r="J8973" i="4" s="1"/>
  <c r="J8976" i="4" s="1"/>
  <c r="J8977" i="4" s="1"/>
  <c r="J9055" i="4"/>
  <c r="J9058" i="4" s="1"/>
  <c r="J9061" i="4" s="1"/>
  <c r="J9131" i="4"/>
  <c r="J9132" i="4" s="1"/>
  <c r="F525" i="8" s="1"/>
  <c r="J9191" i="4"/>
  <c r="J9194" i="4" s="1"/>
  <c r="J9197" i="4" s="1"/>
  <c r="J9198" i="4" s="1"/>
  <c r="J9199" i="4" s="1"/>
  <c r="J9200" i="4" s="1"/>
  <c r="F529" i="8" s="1"/>
  <c r="J9259" i="4"/>
  <c r="J9262" i="4" s="1"/>
  <c r="J9265" i="4" s="1"/>
  <c r="J9266" i="4" s="1"/>
  <c r="J9267" i="4" s="1"/>
  <c r="J9268" i="4" s="1"/>
  <c r="F533" i="8" s="1"/>
  <c r="J9313" i="4"/>
  <c r="J9316" i="4" s="1"/>
  <c r="J9351" i="4"/>
  <c r="J9359" i="4" s="1"/>
  <c r="J9360" i="4" s="1"/>
  <c r="J9361" i="4" s="1"/>
  <c r="F538" i="8" s="1"/>
  <c r="J9389" i="4"/>
  <c r="J9397" i="4" s="1"/>
  <c r="J9398" i="4" s="1"/>
  <c r="J9399" i="4" s="1"/>
  <c r="F540" i="8" s="1"/>
  <c r="J9427" i="4"/>
  <c r="J9435" i="4" s="1"/>
  <c r="J9436" i="4" s="1"/>
  <c r="J9437" i="4" s="1"/>
  <c r="F542" i="8" s="1"/>
  <c r="J9464" i="4"/>
  <c r="J9467" i="4" s="1"/>
  <c r="J9532" i="4"/>
  <c r="J9535" i="4" s="1"/>
  <c r="J9538" i="4" s="1"/>
  <c r="J9539" i="4" s="1"/>
  <c r="J9540" i="4" s="1"/>
  <c r="J9541" i="4" s="1"/>
  <c r="F548" i="8" s="1"/>
  <c r="J9601" i="4"/>
  <c r="J9604" i="4" s="1"/>
  <c r="J9682" i="4"/>
  <c r="J9683" i="4" s="1"/>
  <c r="F556" i="8" s="1"/>
  <c r="J9814" i="4"/>
  <c r="J9817" i="4" s="1"/>
  <c r="J9820" i="4" s="1"/>
  <c r="J9821" i="4" s="1"/>
  <c r="J9882" i="4"/>
  <c r="J9885" i="4" s="1"/>
  <c r="J9888" i="4" s="1"/>
  <c r="J9950" i="4"/>
  <c r="J9953" i="4" s="1"/>
  <c r="J9956" i="4" s="1"/>
  <c r="J10019" i="4"/>
  <c r="J10022" i="4" s="1"/>
  <c r="J10025" i="4" s="1"/>
  <c r="J10026" i="4" s="1"/>
  <c r="J10055" i="4"/>
  <c r="J10058" i="4" s="1"/>
  <c r="J10061" i="4" s="1"/>
  <c r="J10062" i="4" s="1"/>
  <c r="J10091" i="4"/>
  <c r="J10094" i="4" s="1"/>
  <c r="J10097" i="4" s="1"/>
  <c r="J10098" i="4" s="1"/>
  <c r="J10127" i="4"/>
  <c r="J10130" i="4" s="1"/>
  <c r="J10133" i="4" s="1"/>
  <c r="J10134" i="4" s="1"/>
  <c r="J10163" i="4"/>
  <c r="J10166" i="4" s="1"/>
  <c r="J10169" i="4" s="1"/>
  <c r="J10170" i="4" s="1"/>
  <c r="J10171" i="4" s="1"/>
  <c r="J10172" i="4" s="1"/>
  <c r="F586" i="8" s="1"/>
  <c r="J10207" i="4"/>
  <c r="J10208" i="4" s="1"/>
  <c r="F588" i="8" s="1"/>
  <c r="J10243" i="4"/>
  <c r="J10244" i="4" s="1"/>
  <c r="F590" i="8" s="1"/>
  <c r="J10271" i="4"/>
  <c r="J10274" i="4" s="1"/>
  <c r="J10277" i="4" s="1"/>
  <c r="J10306" i="4"/>
  <c r="J10309" i="4" s="1"/>
  <c r="J10312" i="4" s="1"/>
  <c r="J10313" i="4" s="1"/>
  <c r="J10374" i="4"/>
  <c r="J10377" i="4" s="1"/>
  <c r="J10380" i="4" s="1"/>
  <c r="J10381" i="4" s="1"/>
  <c r="J10442" i="4"/>
  <c r="J10445" i="4" s="1"/>
  <c r="J10448" i="4" s="1"/>
  <c r="J10510" i="4"/>
  <c r="J10513" i="4" s="1"/>
  <c r="J10516" i="4" s="1"/>
  <c r="J10578" i="4"/>
  <c r="J10581" i="4" s="1"/>
  <c r="J10584" i="4" s="1"/>
  <c r="J10585" i="4" s="1"/>
  <c r="J10646" i="4"/>
  <c r="J10649" i="4" s="1"/>
  <c r="J10652" i="4" s="1"/>
  <c r="J10653" i="4" s="1"/>
  <c r="J10714" i="4"/>
  <c r="J10717" i="4" s="1"/>
  <c r="J10720" i="4" s="1"/>
  <c r="J10721" i="4" s="1"/>
  <c r="J10782" i="4"/>
  <c r="J10785" i="4" s="1"/>
  <c r="J10788" i="4" s="1"/>
  <c r="J10789" i="4" s="1"/>
  <c r="J10790" i="4" s="1"/>
  <c r="J10791" i="4" s="1"/>
  <c r="F622" i="8" s="1"/>
  <c r="J10850" i="4"/>
  <c r="J10853" i="4" s="1"/>
  <c r="J10856" i="4" s="1"/>
  <c r="J10857" i="4" s="1"/>
  <c r="J10918" i="4"/>
  <c r="J10921" i="4" s="1"/>
  <c r="J10924" i="4" s="1"/>
  <c r="J10925" i="4" s="1"/>
  <c r="J10986" i="4"/>
  <c r="J10989" i="4" s="1"/>
  <c r="J10992" i="4" s="1"/>
  <c r="J11054" i="4"/>
  <c r="J11057" i="4" s="1"/>
  <c r="J11060" i="4" s="1"/>
  <c r="J11123" i="4"/>
  <c r="J11126" i="4" s="1"/>
  <c r="J11129" i="4" s="1"/>
  <c r="J11130" i="4" s="1"/>
  <c r="J11191" i="4"/>
  <c r="J11194" i="4" s="1"/>
  <c r="J11197" i="4" s="1"/>
  <c r="J11270" i="4"/>
  <c r="J11271" i="4" s="1"/>
  <c r="F652" i="8" s="1"/>
  <c r="J11333" i="4"/>
  <c r="J11336" i="4" s="1"/>
  <c r="J11340" i="4" s="1"/>
  <c r="J11402" i="4"/>
  <c r="J11405" i="4" s="1"/>
  <c r="J11408" i="4" s="1"/>
  <c r="J11470" i="4"/>
  <c r="J11473" i="4" s="1"/>
  <c r="J11477" i="4" s="1"/>
  <c r="J11542" i="4"/>
  <c r="J11545" i="4" s="1"/>
  <c r="J11549" i="4" s="1"/>
  <c r="J11560" i="4" s="1"/>
  <c r="J11568" i="4" s="1"/>
  <c r="J11617" i="4"/>
  <c r="J11627" i="4" s="1"/>
  <c r="J11628" i="4" s="1"/>
  <c r="J11629" i="4" s="1"/>
  <c r="F674" i="8" s="1"/>
  <c r="J11697" i="4"/>
  <c r="J11707" i="4" s="1"/>
  <c r="J11708" i="4" s="1"/>
  <c r="J11709" i="4" s="1"/>
  <c r="F678" i="8" s="1"/>
  <c r="J11777" i="4"/>
  <c r="J11780" i="4" s="1"/>
  <c r="J1145" i="4"/>
  <c r="J1151" i="4" s="1"/>
  <c r="J1152" i="4" s="1"/>
  <c r="J1153" i="4" s="1"/>
  <c r="F73" i="8" s="1"/>
  <c r="J8442" i="4"/>
  <c r="J8445" i="4" s="1"/>
  <c r="J8448" i="4" s="1"/>
  <c r="J8510" i="4"/>
  <c r="J8513" i="4" s="1"/>
  <c r="J8516" i="4" s="1"/>
  <c r="J8586" i="4"/>
  <c r="J8587" i="4" s="1"/>
  <c r="F493" i="8" s="1"/>
  <c r="J8647" i="4"/>
  <c r="J8650" i="4" s="1"/>
  <c r="J8653" i="4" s="1"/>
  <c r="J8715" i="4"/>
  <c r="J8718" i="4" s="1"/>
  <c r="J8721" i="4" s="1"/>
  <c r="J8791" i="4"/>
  <c r="J8792" i="4" s="1"/>
  <c r="F505" i="8" s="1"/>
  <c r="J8927" i="4"/>
  <c r="J8928" i="4" s="1"/>
  <c r="F513" i="8" s="1"/>
  <c r="J8995" i="4"/>
  <c r="J8996" i="4" s="1"/>
  <c r="F517" i="8" s="1"/>
  <c r="J9038" i="4"/>
  <c r="J9041" i="4" s="1"/>
  <c r="J9044" i="4" s="1"/>
  <c r="J9106" i="4"/>
  <c r="J9109" i="4" s="1"/>
  <c r="J9112" i="4" s="1"/>
  <c r="J9174" i="4"/>
  <c r="J9177" i="4" s="1"/>
  <c r="J9180" i="4" s="1"/>
  <c r="J9242" i="4"/>
  <c r="J9245" i="4" s="1"/>
  <c r="J9248" i="4" s="1"/>
  <c r="J9481" i="4"/>
  <c r="J9484" i="4" s="1"/>
  <c r="J9487" i="4" s="1"/>
  <c r="J9557" i="4"/>
  <c r="J9558" i="4" s="1"/>
  <c r="F549" i="8" s="1"/>
  <c r="J9619" i="4"/>
  <c r="J9622" i="4" s="1"/>
  <c r="J9691" i="4"/>
  <c r="J9699" i="4" s="1"/>
  <c r="J9700" i="4" s="1"/>
  <c r="J9701" i="4" s="1"/>
  <c r="F557" i="8" s="1"/>
  <c r="J9763" i="4"/>
  <c r="J9766" i="4" s="1"/>
  <c r="J9769" i="4" s="1"/>
  <c r="J9831" i="4"/>
  <c r="J9834" i="4" s="1"/>
  <c r="J9837" i="4" s="1"/>
  <c r="J9899" i="4"/>
  <c r="J9902" i="4" s="1"/>
  <c r="J9905" i="4" s="1"/>
  <c r="J9975" i="4"/>
  <c r="J9976" i="4" s="1"/>
  <c r="F575" i="8" s="1"/>
  <c r="J10323" i="4"/>
  <c r="J10326" i="4" s="1"/>
  <c r="J10329" i="4" s="1"/>
  <c r="J10391" i="4"/>
  <c r="J10394" i="4" s="1"/>
  <c r="J10397" i="4" s="1"/>
  <c r="J10459" i="4"/>
  <c r="J10462" i="4" s="1"/>
  <c r="J10465" i="4" s="1"/>
  <c r="J10527" i="4"/>
  <c r="J10530" i="4" s="1"/>
  <c r="J10533" i="4" s="1"/>
  <c r="J10603" i="4"/>
  <c r="J10604" i="4" s="1"/>
  <c r="F611" i="8" s="1"/>
  <c r="J10663" i="4"/>
  <c r="J10666" i="4" s="1"/>
  <c r="J10669" i="4" s="1"/>
  <c r="J10731" i="4"/>
  <c r="J10734" i="4" s="1"/>
  <c r="J10737" i="4" s="1"/>
  <c r="J10807" i="4"/>
  <c r="J10808" i="4" s="1"/>
  <c r="F623" i="8" s="1"/>
  <c r="J10867" i="4"/>
  <c r="J10874" i="4" s="1"/>
  <c r="J10935" i="4"/>
  <c r="J10938" i="4" s="1"/>
  <c r="J10941" i="4" s="1"/>
  <c r="J11003" i="4"/>
  <c r="J11006" i="4" s="1"/>
  <c r="J11009" i="4" s="1"/>
  <c r="J11071" i="4"/>
  <c r="J11078" i="4" s="1"/>
  <c r="J11140" i="4"/>
  <c r="J11147" i="4" s="1"/>
  <c r="J11216" i="4"/>
  <c r="J11217" i="4" s="1"/>
  <c r="F649" i="8" s="1"/>
  <c r="J11279" i="4"/>
  <c r="J11282" i="4" s="1"/>
  <c r="J11286" i="4" s="1"/>
  <c r="J11351" i="4"/>
  <c r="J11354" i="4" s="1"/>
  <c r="J11357" i="4" s="1"/>
  <c r="J11419" i="4"/>
  <c r="J11422" i="4" s="1"/>
  <c r="J11425" i="4" s="1"/>
  <c r="J11488" i="4"/>
  <c r="J11491" i="4" s="1"/>
  <c r="J11495" i="4" s="1"/>
  <c r="J11637" i="4"/>
  <c r="J11647" i="4" s="1"/>
  <c r="J11648" i="4" s="1"/>
  <c r="J11649" i="4" s="1"/>
  <c r="F675" i="8" s="1"/>
  <c r="J11717" i="4"/>
  <c r="J11727" i="4" s="1"/>
  <c r="J11728" i="4" s="1"/>
  <c r="J11729" i="4" s="1"/>
  <c r="F679" i="8" s="1"/>
  <c r="J11797" i="4"/>
  <c r="J11807" i="4" s="1"/>
  <c r="J11808" i="4" s="1"/>
  <c r="J11809" i="4" s="1"/>
  <c r="F683" i="8" s="1"/>
  <c r="J8391" i="4"/>
  <c r="J8398" i="4" s="1"/>
  <c r="J8459" i="4"/>
  <c r="J8462" i="4" s="1"/>
  <c r="J8465" i="4" s="1"/>
  <c r="J8527" i="4"/>
  <c r="J8530" i="4" s="1"/>
  <c r="J8533" i="4" s="1"/>
  <c r="J8604" i="4"/>
  <c r="J8605" i="4" s="1"/>
  <c r="F494" i="8" s="1"/>
  <c r="J8664" i="4"/>
  <c r="J8667" i="4" s="1"/>
  <c r="J8670" i="4" s="1"/>
  <c r="J8732" i="4"/>
  <c r="J8735" i="4" s="1"/>
  <c r="J8738" i="4" s="1"/>
  <c r="J8800" i="4"/>
  <c r="J8803" i="4" s="1"/>
  <c r="J8806" i="4" s="1"/>
  <c r="J8876" i="4"/>
  <c r="J8877" i="4" s="1"/>
  <c r="F510" i="8" s="1"/>
  <c r="J8936" i="4"/>
  <c r="J8939" i="4" s="1"/>
  <c r="J8942" i="4" s="1"/>
  <c r="J9004" i="4"/>
  <c r="J9011" i="4" s="1"/>
  <c r="J9089" i="4"/>
  <c r="J9092" i="4" s="1"/>
  <c r="J9095" i="4" s="1"/>
  <c r="J9157" i="4"/>
  <c r="J9160" i="4" s="1"/>
  <c r="J9163" i="4" s="1"/>
  <c r="J9225" i="4"/>
  <c r="J9228" i="4" s="1"/>
  <c r="J9231" i="4" s="1"/>
  <c r="J9294" i="4"/>
  <c r="J9302" i="4" s="1"/>
  <c r="J9303" i="4" s="1"/>
  <c r="J9304" i="4" s="1"/>
  <c r="F535" i="8" s="1"/>
  <c r="J9332" i="4"/>
  <c r="J9335" i="4" s="1"/>
  <c r="J9370" i="4"/>
  <c r="J9373" i="4" s="1"/>
  <c r="J9408" i="4"/>
  <c r="J9416" i="4" s="1"/>
  <c r="J9417" i="4" s="1"/>
  <c r="J9418" i="4" s="1"/>
  <c r="F541" i="8" s="1"/>
  <c r="J9446" i="4"/>
  <c r="J9454" i="4" s="1"/>
  <c r="J9455" i="4" s="1"/>
  <c r="J9456" i="4" s="1"/>
  <c r="F543" i="8" s="1"/>
  <c r="J9498" i="4"/>
  <c r="J9501" i="4" s="1"/>
  <c r="J9504" i="4" s="1"/>
  <c r="J9566" i="4"/>
  <c r="J9569" i="4" s="1"/>
  <c r="J9572" i="4" s="1"/>
  <c r="J9718" i="4"/>
  <c r="J9719" i="4" s="1"/>
  <c r="F558" i="8" s="1"/>
  <c r="J9788" i="4"/>
  <c r="J9789" i="4" s="1"/>
  <c r="F564" i="8" s="1"/>
  <c r="J9856" i="4"/>
  <c r="J9857" i="4" s="1"/>
  <c r="F568" i="8" s="1"/>
  <c r="J9916" i="4"/>
  <c r="J9919" i="4" s="1"/>
  <c r="J9922" i="4" s="1"/>
  <c r="J9984" i="4"/>
  <c r="J9987" i="4" s="1"/>
  <c r="J9990" i="4" s="1"/>
  <c r="J10037" i="4"/>
  <c r="J10040" i="4" s="1"/>
  <c r="J10043" i="4" s="1"/>
  <c r="J10073" i="4"/>
  <c r="J10076" i="4" s="1"/>
  <c r="J10079" i="4" s="1"/>
  <c r="J10109" i="4"/>
  <c r="J10112" i="4" s="1"/>
  <c r="J10115" i="4" s="1"/>
  <c r="J10145" i="4"/>
  <c r="J10148" i="4" s="1"/>
  <c r="J10151" i="4" s="1"/>
  <c r="J10189" i="4"/>
  <c r="J10190" i="4" s="1"/>
  <c r="F587" i="8" s="1"/>
  <c r="J10217" i="4"/>
  <c r="J10220" i="4" s="1"/>
  <c r="J10223" i="4" s="1"/>
  <c r="J10261" i="4"/>
  <c r="J10262" i="4" s="1"/>
  <c r="F591" i="8" s="1"/>
  <c r="J10289" i="4"/>
  <c r="J10296" i="4" s="1"/>
  <c r="J10348" i="4"/>
  <c r="J10349" i="4" s="1"/>
  <c r="F596" i="8" s="1"/>
  <c r="J10408" i="4"/>
  <c r="J10411" i="4" s="1"/>
  <c r="J10414" i="4" s="1"/>
  <c r="J10476" i="4"/>
  <c r="J10479" i="4" s="1"/>
  <c r="J10482" i="4" s="1"/>
  <c r="J10544" i="4"/>
  <c r="J10547" i="4" s="1"/>
  <c r="J10550" i="4" s="1"/>
  <c r="J10612" i="4"/>
  <c r="J10615" i="4" s="1"/>
  <c r="J10618" i="4" s="1"/>
  <c r="J10680" i="4"/>
  <c r="J10683" i="4" s="1"/>
  <c r="J10686" i="4" s="1"/>
  <c r="J10748" i="4"/>
  <c r="J10751" i="4" s="1"/>
  <c r="J10754" i="4" s="1"/>
  <c r="J10816" i="4"/>
  <c r="J10819" i="4" s="1"/>
  <c r="J10822" i="4" s="1"/>
  <c r="J10892" i="4"/>
  <c r="J10893" i="4" s="1"/>
  <c r="F628" i="8" s="1"/>
  <c r="J10952" i="4"/>
  <c r="J10955" i="4" s="1"/>
  <c r="J10958" i="4" s="1"/>
  <c r="J11020" i="4"/>
  <c r="J11023" i="4" s="1"/>
  <c r="J11026" i="4" s="1"/>
  <c r="J11088" i="4"/>
  <c r="J11091" i="4" s="1"/>
  <c r="J11094" i="4" s="1"/>
  <c r="J11106" i="4" s="1"/>
  <c r="J11113" i="4" s="1"/>
  <c r="J11157" i="4"/>
  <c r="J11160" i="4" s="1"/>
  <c r="J11163" i="4" s="1"/>
  <c r="J11225" i="4"/>
  <c r="J11228" i="4" s="1"/>
  <c r="J11232" i="4" s="1"/>
  <c r="J11306" i="4"/>
  <c r="J11307" i="4" s="1"/>
  <c r="F654" i="8" s="1"/>
  <c r="J11368" i="4"/>
  <c r="J11371" i="4" s="1"/>
  <c r="J11374" i="4" s="1"/>
  <c r="J11436" i="4"/>
  <c r="J11439" i="4" s="1"/>
  <c r="J11442" i="4" s="1"/>
  <c r="J11506" i="4"/>
  <c r="J11509" i="4" s="1"/>
  <c r="J11513" i="4" s="1"/>
  <c r="J11524" i="4" s="1"/>
  <c r="J11532" i="4" s="1"/>
  <c r="J11587" i="4"/>
  <c r="J11588" i="4" s="1"/>
  <c r="F670" i="8" s="1"/>
  <c r="J11657" i="4"/>
  <c r="J11660" i="4" s="1"/>
  <c r="J11737" i="4"/>
  <c r="J11747" i="4" s="1"/>
  <c r="J11748" i="4" s="1"/>
  <c r="J11749" i="4" s="1"/>
  <c r="F680" i="8" s="1"/>
  <c r="J11817" i="4"/>
  <c r="J11820" i="4" s="1"/>
  <c r="I1888" i="4"/>
  <c r="J1888" i="4" s="1"/>
  <c r="J1891" i="4" s="1"/>
  <c r="J1896" i="4" s="1"/>
  <c r="J1897" i="4" s="1"/>
  <c r="J1898" i="4" s="1"/>
  <c r="F110" i="8" s="1"/>
  <c r="I1871" i="4"/>
  <c r="J1871" i="4" s="1"/>
  <c r="J1874" i="4" s="1"/>
  <c r="J1879" i="4" s="1"/>
  <c r="J1880" i="4" s="1"/>
  <c r="J1881" i="4" s="1"/>
  <c r="F109" i="8" s="1"/>
  <c r="I1854" i="4"/>
  <c r="J1854" i="4" s="1"/>
  <c r="J1857" i="4" s="1"/>
  <c r="J1862" i="4" s="1"/>
  <c r="J1863" i="4" s="1"/>
  <c r="J1864" i="4" s="1"/>
  <c r="F108" i="8" s="1"/>
  <c r="H38" i="15" l="1"/>
  <c r="I38" i="15" s="1"/>
  <c r="F28" i="14"/>
  <c r="F34" i="14" s="1"/>
  <c r="F403" i="8" s="1"/>
  <c r="H35" i="15" s="1"/>
  <c r="I35" i="15" s="1"/>
  <c r="I39" i="15"/>
  <c r="F111" i="14"/>
  <c r="F112" i="14" s="1"/>
  <c r="E116" i="14"/>
  <c r="J9735" i="4"/>
  <c r="J9736" i="4" s="1"/>
  <c r="J9737" i="4" s="1"/>
  <c r="F559" i="8" s="1"/>
  <c r="J11550" i="4"/>
  <c r="J11551" i="4" s="1"/>
  <c r="J11552" i="4" s="1"/>
  <c r="F668" i="8" s="1"/>
  <c r="J11409" i="4"/>
  <c r="J11410" i="4" s="1"/>
  <c r="J11411" i="4" s="1"/>
  <c r="F660" i="8" s="1"/>
  <c r="J10449" i="4"/>
  <c r="J10450" i="4" s="1"/>
  <c r="J10451" i="4" s="1"/>
  <c r="F602" i="8" s="1"/>
  <c r="J10976" i="4"/>
  <c r="J10977" i="4" s="1"/>
  <c r="J10978" i="4" s="1"/>
  <c r="F633" i="8" s="1"/>
  <c r="J11341" i="4"/>
  <c r="J11342" i="4" s="1"/>
  <c r="J11343" i="4" s="1"/>
  <c r="F656" i="8" s="1"/>
  <c r="J11061" i="4"/>
  <c r="J11062" i="4" s="1"/>
  <c r="J11063" i="4" s="1"/>
  <c r="F638" i="8" s="1"/>
  <c r="J10278" i="4"/>
  <c r="J10279" i="4" s="1"/>
  <c r="J10280" i="4" s="1"/>
  <c r="F592" i="8" s="1"/>
  <c r="J11767" i="4"/>
  <c r="J11768" i="4" s="1"/>
  <c r="J11769" i="4" s="1"/>
  <c r="F681" i="8" s="1"/>
  <c r="J10993" i="4"/>
  <c r="J10994" i="4" s="1"/>
  <c r="J10995" i="4" s="1"/>
  <c r="F634" i="8" s="1"/>
  <c r="J10517" i="4"/>
  <c r="J10518" i="4" s="1"/>
  <c r="J10519" i="4" s="1"/>
  <c r="F606" i="8" s="1"/>
  <c r="J8909" i="4"/>
  <c r="J8910" i="4" s="1"/>
  <c r="J8911" i="4" s="1"/>
  <c r="F512" i="8" s="1"/>
  <c r="J11460" i="4"/>
  <c r="J11461" i="4" s="1"/>
  <c r="J11462" i="4" s="1"/>
  <c r="F663" i="8" s="1"/>
  <c r="J10432" i="4"/>
  <c r="J10433" i="4" s="1"/>
  <c r="J10434" i="4" s="1"/>
  <c r="F601" i="8" s="1"/>
  <c r="J11787" i="4"/>
  <c r="J11788" i="4" s="1"/>
  <c r="J11789" i="4" s="1"/>
  <c r="F682" i="8" s="1"/>
  <c r="J11478" i="4"/>
  <c r="J11479" i="4" s="1"/>
  <c r="J11480" i="4" s="1"/>
  <c r="F664" i="8" s="1"/>
  <c r="J9471" i="4"/>
  <c r="J9472" i="4" s="1"/>
  <c r="J9473" i="4" s="1"/>
  <c r="F544" i="8" s="1"/>
  <c r="J9321" i="4"/>
  <c r="J9322" i="4" s="1"/>
  <c r="J9323" i="4" s="1"/>
  <c r="F536" i="8" s="1"/>
  <c r="J11198" i="4"/>
  <c r="J11199" i="4" s="1"/>
  <c r="J11200" i="4" s="1"/>
  <c r="F648" i="8" s="1"/>
  <c r="J9957" i="4"/>
  <c r="J9958" i="4" s="1"/>
  <c r="J9959" i="4" s="1"/>
  <c r="F574" i="8" s="1"/>
  <c r="J9889" i="4"/>
  <c r="J9890" i="4" s="1"/>
  <c r="J9891" i="4" s="1"/>
  <c r="F570" i="8" s="1"/>
  <c r="J9609" i="4"/>
  <c r="J9610" i="4" s="1"/>
  <c r="J9611" i="4" s="1"/>
  <c r="F552" i="8" s="1"/>
  <c r="J9062" i="4"/>
  <c r="J9063" i="4" s="1"/>
  <c r="J9064" i="4" s="1"/>
  <c r="F521" i="8" s="1"/>
  <c r="J11181" i="4"/>
  <c r="J11182" i="4" s="1"/>
  <c r="J11183" i="4" s="1"/>
  <c r="F647" i="8" s="1"/>
  <c r="J10568" i="4"/>
  <c r="J10569" i="4" s="1"/>
  <c r="J10570" i="4" s="1"/>
  <c r="F609" i="8" s="1"/>
  <c r="J10008" i="4"/>
  <c r="J10009" i="4" s="1"/>
  <c r="J10010" i="4" s="1"/>
  <c r="F577" i="8" s="1"/>
  <c r="J9940" i="4"/>
  <c r="J9941" i="4" s="1"/>
  <c r="J9942" i="4" s="1"/>
  <c r="F573" i="8" s="1"/>
  <c r="J9872" i="4"/>
  <c r="J9873" i="4" s="1"/>
  <c r="J9874" i="4" s="1"/>
  <c r="F569" i="8" s="1"/>
  <c r="J9591" i="4"/>
  <c r="J9592" i="4" s="1"/>
  <c r="J9593" i="4" s="1"/>
  <c r="F551" i="8" s="1"/>
  <c r="J9147" i="4"/>
  <c r="J9148" i="4" s="1"/>
  <c r="J9149" i="4" s="1"/>
  <c r="F526" i="8" s="1"/>
  <c r="J9079" i="4"/>
  <c r="J9080" i="4" s="1"/>
  <c r="J9081" i="4" s="1"/>
  <c r="F522" i="8" s="1"/>
  <c r="J8892" i="4"/>
  <c r="J8893" i="4" s="1"/>
  <c r="J8894" i="4" s="1"/>
  <c r="F511" i="8" s="1"/>
  <c r="J8415" i="4"/>
  <c r="J8416" i="4" s="1"/>
  <c r="J8417" i="4" s="1"/>
  <c r="F483" i="8" s="1"/>
  <c r="J11533" i="4"/>
  <c r="J11534" i="4" s="1"/>
  <c r="F667" i="8" s="1"/>
  <c r="J11114" i="4"/>
  <c r="J11115" i="4" s="1"/>
  <c r="F643" i="8" s="1"/>
  <c r="J10297" i="4"/>
  <c r="J10298" i="4" s="1"/>
  <c r="F593" i="8" s="1"/>
  <c r="J11079" i="4"/>
  <c r="J11080" i="4" s="1"/>
  <c r="F639" i="8" s="1"/>
  <c r="J8378" i="4"/>
  <c r="J8399" i="4" s="1"/>
  <c r="J8400" i="4" s="1"/>
  <c r="F482" i="8" s="1"/>
  <c r="J9012" i="4"/>
  <c r="J9013" i="4" s="1"/>
  <c r="F518" i="8" s="1"/>
  <c r="J11148" i="4"/>
  <c r="J11149" i="4" s="1"/>
  <c r="F645" i="8" s="1"/>
  <c r="J10875" i="4"/>
  <c r="J10876" i="4" s="1"/>
  <c r="F627" i="8" s="1"/>
  <c r="J11569" i="4"/>
  <c r="J11570" i="4" s="1"/>
  <c r="F669" i="8" s="1"/>
  <c r="J11827" i="4"/>
  <c r="J11828" i="4" s="1"/>
  <c r="J11829" i="4" s="1"/>
  <c r="F684" i="8" s="1"/>
  <c r="J11667" i="4"/>
  <c r="J11668" i="4" s="1"/>
  <c r="J11669" i="4" s="1"/>
  <c r="F676" i="8" s="1"/>
  <c r="J11514" i="4"/>
  <c r="J11443" i="4"/>
  <c r="J11375" i="4"/>
  <c r="J11233" i="4"/>
  <c r="J11164" i="4"/>
  <c r="J11095" i="4"/>
  <c r="J11096" i="4" s="1"/>
  <c r="J11097" i="4" s="1"/>
  <c r="F640" i="8" s="1"/>
  <c r="J11027" i="4"/>
  <c r="J10959" i="4"/>
  <c r="J10823" i="4"/>
  <c r="J10824" i="4" s="1"/>
  <c r="J10825" i="4" s="1"/>
  <c r="F624" i="8" s="1"/>
  <c r="J10755" i="4"/>
  <c r="J10687" i="4"/>
  <c r="J10619" i="4"/>
  <c r="J10620" i="4" s="1"/>
  <c r="J10621" i="4" s="1"/>
  <c r="F612" i="8" s="1"/>
  <c r="J10551" i="4"/>
  <c r="J10483" i="4"/>
  <c r="J10484" i="4" s="1"/>
  <c r="J10485" i="4" s="1"/>
  <c r="F604" i="8" s="1"/>
  <c r="J10415" i="4"/>
  <c r="J10416" i="4" s="1"/>
  <c r="J10417" i="4" s="1"/>
  <c r="F600" i="8" s="1"/>
  <c r="J10224" i="4"/>
  <c r="J10152" i="4"/>
  <c r="J10116" i="4"/>
  <c r="J10117" i="4" s="1"/>
  <c r="J10118" i="4" s="1"/>
  <c r="F583" i="8" s="1"/>
  <c r="J10080" i="4"/>
  <c r="J10044" i="4"/>
  <c r="J9991" i="4"/>
  <c r="J9923" i="4"/>
  <c r="J9573" i="4"/>
  <c r="J9505" i="4"/>
  <c r="J9506" i="4" s="1"/>
  <c r="J9507" i="4" s="1"/>
  <c r="F546" i="8" s="1"/>
  <c r="J9378" i="4"/>
  <c r="J9379" i="4" s="1"/>
  <c r="J9380" i="4" s="1"/>
  <c r="F539" i="8" s="1"/>
  <c r="J9340" i="4"/>
  <c r="J9341" i="4" s="1"/>
  <c r="J9342" i="4" s="1"/>
  <c r="F537" i="8" s="1"/>
  <c r="J9232" i="4"/>
  <c r="J9233" i="4" s="1"/>
  <c r="J9234" i="4" s="1"/>
  <c r="F531" i="8" s="1"/>
  <c r="J9164" i="4"/>
  <c r="J9165" i="4" s="1"/>
  <c r="J9166" i="4" s="1"/>
  <c r="F527" i="8" s="1"/>
  <c r="J9096" i="4"/>
  <c r="J8943" i="4"/>
  <c r="J8807" i="4"/>
  <c r="J8739" i="4"/>
  <c r="J8671" i="4"/>
  <c r="J8534" i="4"/>
  <c r="J8535" i="4" s="1"/>
  <c r="J8536" i="4" s="1"/>
  <c r="F490" i="8" s="1"/>
  <c r="J8466" i="4"/>
  <c r="J11496" i="4"/>
  <c r="J11426" i="4"/>
  <c r="J11358" i="4"/>
  <c r="J11287" i="4"/>
  <c r="J11010" i="4"/>
  <c r="J10942" i="4"/>
  <c r="J10738" i="4"/>
  <c r="J10670" i="4"/>
  <c r="J10534" i="4"/>
  <c r="J10466" i="4"/>
  <c r="J10398" i="4"/>
  <c r="J10330" i="4"/>
  <c r="J9906" i="4"/>
  <c r="J9838" i="4"/>
  <c r="J9770" i="4"/>
  <c r="J9627" i="4"/>
  <c r="J9488" i="4"/>
  <c r="J9489" i="4" s="1"/>
  <c r="J9490" i="4" s="1"/>
  <c r="F545" i="8" s="1"/>
  <c r="J9249" i="4"/>
  <c r="J9181" i="4"/>
  <c r="J9182" i="4" s="1"/>
  <c r="J9183" i="4" s="1"/>
  <c r="F528" i="8" s="1"/>
  <c r="J9113" i="4"/>
  <c r="J9045" i="4"/>
  <c r="J8722" i="4"/>
  <c r="J8654" i="4"/>
  <c r="J8517" i="4"/>
  <c r="J8449" i="4"/>
  <c r="J11131" i="4"/>
  <c r="J11132" i="4" s="1"/>
  <c r="F644" i="8" s="1"/>
  <c r="J10926" i="4"/>
  <c r="J10927" i="4" s="1"/>
  <c r="F630" i="8" s="1"/>
  <c r="J10858" i="4"/>
  <c r="J10859" i="4" s="1"/>
  <c r="F626" i="8" s="1"/>
  <c r="J10722" i="4"/>
  <c r="J10723" i="4" s="1"/>
  <c r="F618" i="8" s="1"/>
  <c r="J10654" i="4"/>
  <c r="J10655" i="4" s="1"/>
  <c r="F614" i="8" s="1"/>
  <c r="J10586" i="4"/>
  <c r="J10587" i="4" s="1"/>
  <c r="F610" i="8" s="1"/>
  <c r="J10382" i="4"/>
  <c r="J10383" i="4" s="1"/>
  <c r="F598" i="8" s="1"/>
  <c r="J10314" i="4"/>
  <c r="J10315" i="4" s="1"/>
  <c r="F594" i="8" s="1"/>
  <c r="J10135" i="4"/>
  <c r="J10136" i="4" s="1"/>
  <c r="F584" i="8" s="1"/>
  <c r="J10099" i="4"/>
  <c r="J10100" i="4" s="1"/>
  <c r="F582" i="8" s="1"/>
  <c r="J10063" i="4"/>
  <c r="J10064" i="4" s="1"/>
  <c r="F580" i="8" s="1"/>
  <c r="J10027" i="4"/>
  <c r="J10028" i="4" s="1"/>
  <c r="F578" i="8" s="1"/>
  <c r="J9822" i="4"/>
  <c r="J9823" i="4" s="1"/>
  <c r="F566" i="8" s="1"/>
  <c r="J8978" i="4"/>
  <c r="J8979" i="4" s="1"/>
  <c r="F516" i="8" s="1"/>
  <c r="J8842" i="4"/>
  <c r="J8843" i="4" s="1"/>
  <c r="F508" i="8" s="1"/>
  <c r="J8774" i="4"/>
  <c r="J8775" i="4" s="1"/>
  <c r="F504" i="8" s="1"/>
  <c r="J8706" i="4"/>
  <c r="J8707" i="4" s="1"/>
  <c r="F500" i="8" s="1"/>
  <c r="J8569" i="4"/>
  <c r="J8570" i="4" s="1"/>
  <c r="F492" i="8" s="1"/>
  <c r="J8501" i="4"/>
  <c r="J8502" i="4" s="1"/>
  <c r="F488" i="8" s="1"/>
  <c r="J11393" i="4"/>
  <c r="J11394" i="4" s="1"/>
  <c r="F659" i="8" s="1"/>
  <c r="J10909" i="4"/>
  <c r="J10910" i="4" s="1"/>
  <c r="F629" i="8" s="1"/>
  <c r="J10841" i="4"/>
  <c r="J10842" i="4" s="1"/>
  <c r="F625" i="8" s="1"/>
  <c r="J10773" i="4"/>
  <c r="J10774" i="4" s="1"/>
  <c r="F621" i="8" s="1"/>
  <c r="J10705" i="4"/>
  <c r="J10706" i="4" s="1"/>
  <c r="F617" i="8" s="1"/>
  <c r="J10637" i="4"/>
  <c r="J10638" i="4" s="1"/>
  <c r="F613" i="8" s="1"/>
  <c r="J10365" i="4"/>
  <c r="J10366" i="4" s="1"/>
  <c r="F597" i="8" s="1"/>
  <c r="J9805" i="4"/>
  <c r="J9806" i="4" s="1"/>
  <c r="F565" i="8" s="1"/>
  <c r="J9284" i="4"/>
  <c r="J9285" i="4" s="1"/>
  <c r="F534" i="8" s="1"/>
  <c r="J9216" i="4"/>
  <c r="J9217" i="4" s="1"/>
  <c r="F530" i="8" s="1"/>
  <c r="J9029" i="4"/>
  <c r="J9030" i="4" s="1"/>
  <c r="F519" i="8" s="1"/>
  <c r="J8961" i="4"/>
  <c r="J8962" i="4" s="1"/>
  <c r="F515" i="8" s="1"/>
  <c r="J8825" i="4"/>
  <c r="J8826" i="4" s="1"/>
  <c r="F507" i="8" s="1"/>
  <c r="J8757" i="4"/>
  <c r="J8758" i="4" s="1"/>
  <c r="F503" i="8" s="1"/>
  <c r="J8689" i="4"/>
  <c r="J8690" i="4" s="1"/>
  <c r="F499" i="8" s="1"/>
  <c r="J8621" i="4"/>
  <c r="J8622" i="4" s="1"/>
  <c r="F495" i="8" s="1"/>
  <c r="J8552" i="4"/>
  <c r="J8553" i="4" s="1"/>
  <c r="F491" i="8" s="1"/>
  <c r="J8484" i="4"/>
  <c r="J8485" i="4" s="1"/>
  <c r="F487" i="8" s="1"/>
  <c r="E121" i="14" l="1"/>
  <c r="F116" i="14"/>
  <c r="F117" i="14" s="1"/>
  <c r="J8379" i="4"/>
  <c r="F481" i="8" s="1"/>
  <c r="J8450" i="4"/>
  <c r="J8451" i="4" s="1"/>
  <c r="F485" i="8" s="1"/>
  <c r="J8655" i="4"/>
  <c r="J8656" i="4" s="1"/>
  <c r="F497" i="8" s="1"/>
  <c r="J9046" i="4"/>
  <c r="J9047" i="4" s="1"/>
  <c r="F520" i="8" s="1"/>
  <c r="J9771" i="4"/>
  <c r="J9772" i="4" s="1"/>
  <c r="F563" i="8" s="1"/>
  <c r="J9907" i="4"/>
  <c r="J9908" i="4" s="1"/>
  <c r="F571" i="8" s="1"/>
  <c r="J10399" i="4"/>
  <c r="J10400" i="4" s="1"/>
  <c r="F599" i="8" s="1"/>
  <c r="J10535" i="4"/>
  <c r="J10536" i="4" s="1"/>
  <c r="F607" i="8" s="1"/>
  <c r="J10739" i="4"/>
  <c r="J10740" i="4" s="1"/>
  <c r="F619" i="8" s="1"/>
  <c r="J11011" i="4"/>
  <c r="J11012" i="4" s="1"/>
  <c r="F635" i="8" s="1"/>
  <c r="J11359" i="4"/>
  <c r="J11360" i="4" s="1"/>
  <c r="F657" i="8" s="1"/>
  <c r="J11497" i="4"/>
  <c r="J11498" i="4" s="1"/>
  <c r="F665" i="8" s="1"/>
  <c r="J8740" i="4"/>
  <c r="J8741" i="4" s="1"/>
  <c r="F502" i="8" s="1"/>
  <c r="J8944" i="4"/>
  <c r="J8945" i="4" s="1"/>
  <c r="F514" i="8" s="1"/>
  <c r="J9924" i="4"/>
  <c r="J9925" i="4" s="1"/>
  <c r="F572" i="8" s="1"/>
  <c r="J10045" i="4"/>
  <c r="J10046" i="4" s="1"/>
  <c r="F579" i="8" s="1"/>
  <c r="J10225" i="4"/>
  <c r="J10226" i="4" s="1"/>
  <c r="F589" i="8" s="1"/>
  <c r="J10756" i="4"/>
  <c r="J10757" i="4" s="1"/>
  <c r="F620" i="8" s="1"/>
  <c r="J10960" i="4"/>
  <c r="J10961" i="4" s="1"/>
  <c r="F632" i="8" s="1"/>
  <c r="J11234" i="4"/>
  <c r="J11235" i="4" s="1"/>
  <c r="F650" i="8" s="1"/>
  <c r="J11444" i="4"/>
  <c r="J11445" i="4" s="1"/>
  <c r="F662" i="8" s="1"/>
  <c r="J8518" i="4"/>
  <c r="J8519" i="4" s="1"/>
  <c r="F489" i="8" s="1"/>
  <c r="J8723" i="4"/>
  <c r="J8724" i="4" s="1"/>
  <c r="F501" i="8" s="1"/>
  <c r="J9114" i="4"/>
  <c r="J9115" i="4" s="1"/>
  <c r="F524" i="8" s="1"/>
  <c r="J9250" i="4"/>
  <c r="J9251" i="4" s="1"/>
  <c r="F532" i="8" s="1"/>
  <c r="J9628" i="4"/>
  <c r="J9629" i="4" s="1"/>
  <c r="F553" i="8" s="1"/>
  <c r="J9839" i="4"/>
  <c r="J9840" i="4" s="1"/>
  <c r="F567" i="8" s="1"/>
  <c r="J10331" i="4"/>
  <c r="J10332" i="4" s="1"/>
  <c r="F595" i="8" s="1"/>
  <c r="J10467" i="4"/>
  <c r="J10468" i="4" s="1"/>
  <c r="F603" i="8" s="1"/>
  <c r="J10671" i="4"/>
  <c r="J10672" i="4" s="1"/>
  <c r="F615" i="8" s="1"/>
  <c r="J10943" i="4"/>
  <c r="J10944" i="4" s="1"/>
  <c r="F631" i="8" s="1"/>
  <c r="J11288" i="4"/>
  <c r="J11289" i="4" s="1"/>
  <c r="F653" i="8" s="1"/>
  <c r="J11427" i="4"/>
  <c r="J11428" i="4" s="1"/>
  <c r="F661" i="8" s="1"/>
  <c r="J8467" i="4"/>
  <c r="J8468" i="4" s="1"/>
  <c r="F486" i="8" s="1"/>
  <c r="J8672" i="4"/>
  <c r="J8673" i="4" s="1"/>
  <c r="F498" i="8" s="1"/>
  <c r="J8808" i="4"/>
  <c r="J8809" i="4" s="1"/>
  <c r="F506" i="8" s="1"/>
  <c r="J9097" i="4"/>
  <c r="J9098" i="4" s="1"/>
  <c r="F523" i="8" s="1"/>
  <c r="J9574" i="4"/>
  <c r="J9575" i="4" s="1"/>
  <c r="F550" i="8" s="1"/>
  <c r="J9992" i="4"/>
  <c r="J9993" i="4" s="1"/>
  <c r="F576" i="8" s="1"/>
  <c r="J10081" i="4"/>
  <c r="J10082" i="4" s="1"/>
  <c r="F581" i="8" s="1"/>
  <c r="J10153" i="4"/>
  <c r="J10154" i="4" s="1"/>
  <c r="F585" i="8" s="1"/>
  <c r="J10552" i="4"/>
  <c r="J10553" i="4" s="1"/>
  <c r="F608" i="8" s="1"/>
  <c r="J10688" i="4"/>
  <c r="J10689" i="4" s="1"/>
  <c r="F616" i="8" s="1"/>
  <c r="J11028" i="4"/>
  <c r="J11029" i="4" s="1"/>
  <c r="F636" i="8" s="1"/>
  <c r="J11165" i="4"/>
  <c r="J11166" i="4" s="1"/>
  <c r="F646" i="8" s="1"/>
  <c r="J11376" i="4"/>
  <c r="J11377" i="4" s="1"/>
  <c r="F658" i="8" s="1"/>
  <c r="J11515" i="4"/>
  <c r="J11516" i="4" s="1"/>
  <c r="F666" i="8" s="1"/>
  <c r="F52" i="14" l="1"/>
  <c r="F405" i="8" s="1"/>
  <c r="F121" i="14"/>
  <c r="F122" i="14" s="1"/>
  <c r="E126" i="14"/>
  <c r="F126" i="14" s="1"/>
  <c r="F127" i="14" s="1"/>
  <c r="I37" i="15" l="1"/>
  <c r="H36" i="15"/>
  <c r="I36" i="15" s="1"/>
  <c r="I104" i="15" l="1"/>
  <c r="E25" i="16" s="1"/>
  <c r="E24" i="16" s="1"/>
  <c r="E19" i="16" l="1"/>
  <c r="E20" i="16"/>
  <c r="E16" i="16" l="1"/>
  <c r="E43" i="16" s="1"/>
  <c r="E44" i="16" l="1"/>
  <c r="E45" i="16" s="1"/>
  <c r="E46" i="16"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<sst xmlns="http://schemas.openxmlformats.org/spreadsheetml/2006/main" count="39069" uniqueCount="4615">
  <si>
    <t>JENIS PEKERJAAN</t>
  </si>
  <si>
    <t>Pemasangan 1 buah kunci tanam antik</t>
  </si>
  <si>
    <t>Pemasangan 1 buah bak cuci piring teraso</t>
  </si>
  <si>
    <t>(K3) Pemasangan 1 m pipa GIP Ø 600 mm</t>
  </si>
  <si>
    <t>(K3) Pemasangan 1 buah Valve Ø 800 mm</t>
  </si>
  <si>
    <t>(K3) Pemasangan 1 buah Valve Ø 900 mm</t>
  </si>
  <si>
    <t>(K3) Pemasangan 1 buah Valve Ø 1000 mm</t>
  </si>
  <si>
    <t>(K3) Pemasangan 1 buah Valve Ø 1100 mm</t>
  </si>
  <si>
    <t>(K3) Pemasangan 1 buah Valve Ø 1200 mm</t>
  </si>
  <si>
    <t>(K3) Pemasangan 1 buah Tee Ø 150 mm</t>
  </si>
  <si>
    <t>(K3) Pemasangan 1 buah Tee Ø 200 mm</t>
  </si>
  <si>
    <t>(K3) Pemasangan 1 buah Tee Ø 250 mm</t>
  </si>
  <si>
    <t>(K3) Pemasangan 1 buah Tee Ø 300 mm</t>
  </si>
  <si>
    <t>(K3) Pemasangan 1 buah Tee Ø 400 mm</t>
  </si>
  <si>
    <t>(K3) Pemasangan 1 buah Tee Ø 450 mm</t>
  </si>
  <si>
    <t>(K3) Pemasangan 1 buah Tee Ø 500 mm</t>
  </si>
  <si>
    <t>(K3) Pemasangan 1 buah Tee Ø 600 mm</t>
  </si>
  <si>
    <t>(K3) Pemasangan 1 buah Tee Ø 700 mm</t>
  </si>
  <si>
    <t>(K3) Pemasangan 1 buah Tee Ø 800 mm</t>
  </si>
  <si>
    <t>(K3) Pemasangan 1 buah Tee Ø 900 mm</t>
  </si>
  <si>
    <t>(K3) Pemasangan 1 buah Tee Ø 1000 mm</t>
  </si>
  <si>
    <t>(K3) Pemasangan 1 buah Tee Ø 1100 mm</t>
  </si>
  <si>
    <t>(K3) Pemasangan 1 buah Tee Ø 1200 mm</t>
  </si>
  <si>
    <t>(K3) Penyambungan 1 buah pipa baru ke pipa yang ada Ø 80 mm</t>
  </si>
  <si>
    <t>(K3) Penyambungan 1 buah pipa baru ke pipa yang ada Ø 100 mm</t>
  </si>
  <si>
    <t>(K3) Penyambungan 1 buah pipa baru ke pipa yang ada Ø 150 mm</t>
  </si>
  <si>
    <t>(K3) Penyambungan 1 buah pipa baru ke pipa yang ada Ø 200 mm</t>
  </si>
  <si>
    <t>(K3) Penyambungan 1 buah pipa baru ke pipa yang ada Ø 250 mm</t>
  </si>
  <si>
    <t>(K3) Penyambungan 1 buah pipa baru ke pipa yang ada Ø 300 mm</t>
  </si>
  <si>
    <t>(K3) Penyambungan 1 buah pipa baru ke pipa yang ada Ø 400 mm</t>
  </si>
  <si>
    <t>(K3) Penyambungan 1 buah pipa baru ke pipa yang ada Ø 450 mm</t>
  </si>
  <si>
    <t>(K3) Penyambungan 1 buah pipa baru ke pipa yang ada Ø 500 mm</t>
  </si>
  <si>
    <t>(K3) Pengetesan 1 m pipa Ø 50 mm</t>
  </si>
  <si>
    <t>(K3) Pengetesan 1 m pipa Ø 75 mm</t>
  </si>
  <si>
    <t>(K3) Pengetesan 1 m pipa Ø 100 mm</t>
  </si>
  <si>
    <t>(K3) Pengetesan 1 m pipa Ø 150 mm</t>
  </si>
  <si>
    <t>(K3) Pengetesan 1 m pipa Ø 200 mm</t>
  </si>
  <si>
    <t>(K3) Pengetesan 1 m pipa Ø 300 mm</t>
  </si>
  <si>
    <t>(K3) Pengetesan 1 m pipa Ø 400 mm</t>
  </si>
  <si>
    <t>(K3) Pengetesan 1 m pipa Ø 500 mm</t>
  </si>
  <si>
    <t>No</t>
  </si>
  <si>
    <t>Uraian</t>
  </si>
  <si>
    <t>Kode</t>
  </si>
  <si>
    <t>Satuan</t>
  </si>
  <si>
    <t>Koefisien</t>
  </si>
  <si>
    <t>A</t>
  </si>
  <si>
    <t>TENAGA</t>
  </si>
  <si>
    <t>Pekerja</t>
  </si>
  <si>
    <t>OH</t>
  </si>
  <si>
    <t>Tukang kayu</t>
  </si>
  <si>
    <t>Kepala tukang</t>
  </si>
  <si>
    <t>Mandor</t>
  </si>
  <si>
    <t>JUMLAH TENAGA KERJA</t>
  </si>
  <si>
    <t>B</t>
  </si>
  <si>
    <t>BAHAN</t>
  </si>
  <si>
    <t>Batang</t>
  </si>
  <si>
    <t>Semen portland</t>
  </si>
  <si>
    <t>Kg</t>
  </si>
  <si>
    <t>Pasir beton</t>
  </si>
  <si>
    <t>Koral beton</t>
  </si>
  <si>
    <t>Kayu 5/7</t>
  </si>
  <si>
    <t>Paku biasa 2” - 5”</t>
  </si>
  <si>
    <t>Residu</t>
  </si>
  <si>
    <t>Liter</t>
  </si>
  <si>
    <t>JUMLAH HARGA BAHAN</t>
  </si>
  <si>
    <t>C</t>
  </si>
  <si>
    <t>PERALATAN</t>
  </si>
  <si>
    <t>JUMLAH HARGA ALAT</t>
  </si>
  <si>
    <t>D</t>
  </si>
  <si>
    <t>Jumlah (A+B+C)</t>
  </si>
  <si>
    <t>E</t>
  </si>
  <si>
    <t>F</t>
  </si>
  <si>
    <t>Harga Satuan Pekerjaan (D+E)</t>
  </si>
  <si>
    <t>Seng gelombang</t>
  </si>
  <si>
    <t>Lbr</t>
  </si>
  <si>
    <t>Meni besi</t>
  </si>
  <si>
    <t>Kawat duri</t>
  </si>
  <si>
    <t>M’</t>
  </si>
  <si>
    <t>Kayu balok 5/7</t>
  </si>
  <si>
    <t>Paku 2”-3”</t>
  </si>
  <si>
    <t>Kayu papan 3/20</t>
  </si>
  <si>
    <t>Tukang batu</t>
  </si>
  <si>
    <t>Kayu</t>
  </si>
  <si>
    <t>Paku biasa</t>
  </si>
  <si>
    <t>Besi strip</t>
  </si>
  <si>
    <t>Pasir pasang</t>
  </si>
  <si>
    <t>Bata merah</t>
  </si>
  <si>
    <t>Bh</t>
  </si>
  <si>
    <t>Jendela naco</t>
  </si>
  <si>
    <t>Kaca polos</t>
  </si>
  <si>
    <t>Tali ijuk</t>
  </si>
  <si>
    <t>Kayu papan kelas III</t>
  </si>
  <si>
    <t>Kayu balok 5/7 kelas III</t>
  </si>
  <si>
    <t>kg</t>
  </si>
  <si>
    <t>Batu belah</t>
  </si>
  <si>
    <t>Batu pecah</t>
  </si>
  <si>
    <t>Tukang</t>
  </si>
  <si>
    <t>Kepala Tukang</t>
  </si>
  <si>
    <t>Kawat jaring</t>
  </si>
  <si>
    <t>Koral</t>
  </si>
  <si>
    <t>Pasir urug</t>
  </si>
  <si>
    <t>Pasir Pasang</t>
  </si>
  <si>
    <t>Tanah Liat</t>
  </si>
  <si>
    <t>Ijuk</t>
  </si>
  <si>
    <t>Sirtu</t>
  </si>
  <si>
    <t>Kapur</t>
  </si>
  <si>
    <t>Kerikil</t>
  </si>
  <si>
    <t>Kawat beton</t>
  </si>
  <si>
    <t>Air</t>
  </si>
  <si>
    <t>Untuk  pekerjaan  beton  pracetak  yang  bisa  diangkat 24 jam diperlukan penambahan bahan tambahan sesuai Tabel berikut:</t>
  </si>
  <si>
    <t>Bahan tambahan kimia</t>
  </si>
  <si>
    <t>Strorox - 100</t>
  </si>
  <si>
    <t>Waterstop lebar 150 mm</t>
  </si>
  <si>
    <t>m</t>
  </si>
  <si>
    <t>Waterstop lebar 200 mm</t>
  </si>
  <si>
    <t>Tukang Batu</t>
  </si>
  <si>
    <t>Waterstop lebar 230 mm - 320 mm</t>
  </si>
  <si>
    <t>Tukang besi</t>
  </si>
  <si>
    <t>Besi beton (polos/ulir)</t>
  </si>
  <si>
    <t>Jaring kawat baja dilas</t>
  </si>
  <si>
    <t>Kayu kelas III</t>
  </si>
  <si>
    <t>Paku 5  - 10 cm</t>
  </si>
  <si>
    <t>Minyak bekisting</t>
  </si>
  <si>
    <t>Balok kayu kelas II</t>
  </si>
  <si>
    <t>Buah</t>
  </si>
  <si>
    <t>Kayu kelas III (papan)</t>
  </si>
  <si>
    <t>Pasir Beton</t>
  </si>
  <si>
    <t>L</t>
  </si>
  <si>
    <t>buah</t>
  </si>
  <si>
    <t>Tukang vibrator</t>
  </si>
  <si>
    <t>Tukang ereksi</t>
  </si>
  <si>
    <t>Solar</t>
  </si>
  <si>
    <t>unit hari</t>
  </si>
  <si>
    <t>Buah hari</t>
  </si>
  <si>
    <t>Screening</t>
  </si>
  <si>
    <t>Besi Profil</t>
  </si>
  <si>
    <t>Minyak pelumas</t>
  </si>
  <si>
    <t>Jam</t>
  </si>
  <si>
    <t>Besi siku L 30.30.3</t>
  </si>
  <si>
    <t>Kawat las</t>
  </si>
  <si>
    <t>Kawat las listrik</t>
  </si>
  <si>
    <t>Besi lis kaca (1 x 1) cm</t>
  </si>
  <si>
    <t>Pengelasan</t>
  </si>
  <si>
    <t>cm</t>
  </si>
  <si>
    <t>Pintu gulung besi</t>
  </si>
  <si>
    <t>Pintu lipat</t>
  </si>
  <si>
    <t>Sunscreen alluminium</t>
  </si>
  <si>
    <t>Profil alluminium</t>
  </si>
  <si>
    <t>Sealant</t>
  </si>
  <si>
    <t>Tube</t>
  </si>
  <si>
    <t>Pintu alluminium</t>
  </si>
  <si>
    <t>Profil kaca</t>
  </si>
  <si>
    <t>Kawat nyamuk</t>
  </si>
  <si>
    <t>Baja strip (0,2 x 2) cm</t>
  </si>
  <si>
    <t>Jendela nako (rangka + kaca 5 mm)</t>
  </si>
  <si>
    <t>Rangka metal hollow 40.40.2 mm</t>
  </si>
  <si>
    <t>M1</t>
  </si>
  <si>
    <t>Assesoris (perkuatan, las dll)</t>
  </si>
  <si>
    <t>Ls</t>
  </si>
  <si>
    <t>Baja ringan canai dingin C75</t>
  </si>
  <si>
    <t>%</t>
  </si>
  <si>
    <t>HB-20</t>
  </si>
  <si>
    <t>HB-15</t>
  </si>
  <si>
    <t>HB-10</t>
  </si>
  <si>
    <t>Bata berongga</t>
  </si>
  <si>
    <t>Bata  ringan tebal 7,5 cm</t>
  </si>
  <si>
    <t>Mortar siap pakai</t>
  </si>
  <si>
    <t>Batu granit</t>
  </si>
  <si>
    <t>Batu traso</t>
  </si>
  <si>
    <t>Semen warna</t>
  </si>
  <si>
    <t>M3</t>
  </si>
  <si>
    <t>Ubin keramik</t>
  </si>
  <si>
    <t>Wallpaper</t>
  </si>
  <si>
    <t>Asbes  semen</t>
  </si>
  <si>
    <t>Paku tripleks</t>
  </si>
  <si>
    <t>Lembar</t>
  </si>
  <si>
    <t>Tripleks</t>
  </si>
  <si>
    <t>Kayu papan</t>
  </si>
  <si>
    <t>Paku skrup</t>
  </si>
  <si>
    <t>Ramset</t>
  </si>
  <si>
    <t>Akustik 60 x 120</t>
  </si>
  <si>
    <t>List kayu profil</t>
  </si>
  <si>
    <t>Genteng palentong</t>
  </si>
  <si>
    <t>Genteng kodok</t>
  </si>
  <si>
    <t>Genteng bubung</t>
  </si>
  <si>
    <t>Paku biasa ½”-1”</t>
  </si>
  <si>
    <t>Bubung stel gel.</t>
  </si>
  <si>
    <t>Genteng beton</t>
  </si>
  <si>
    <t>Genteng aspal</t>
  </si>
  <si>
    <t>Plastic aerator</t>
  </si>
  <si>
    <t>Genteng metal</t>
  </si>
  <si>
    <t>Sirap kayu</t>
  </si>
  <si>
    <t>Nok genteng beton</t>
  </si>
  <si>
    <t>Nok genteng aspal</t>
  </si>
  <si>
    <t>Kayu balok borneo</t>
  </si>
  <si>
    <t>Nok genteng metal</t>
  </si>
  <si>
    <t>Balok kayu</t>
  </si>
  <si>
    <t>Teakwood 4 mm 90 x 220 cm</t>
  </si>
  <si>
    <t>Formika</t>
  </si>
  <si>
    <t>Reng 2 x 3 cm</t>
  </si>
  <si>
    <t>Reng (3 x 4) cm</t>
  </si>
  <si>
    <t>Kayu kelas II</t>
  </si>
  <si>
    <t>Balok kayu, 6 x 12</t>
  </si>
  <si>
    <t>Bilik bambu</t>
  </si>
  <si>
    <t>List kayu 2/4</t>
  </si>
  <si>
    <t>Kunci tanam antik</t>
  </si>
  <si>
    <t>Kunci tanam biasa</t>
  </si>
  <si>
    <t>Kunci tanam KM</t>
  </si>
  <si>
    <t>Kunci silinder</t>
  </si>
  <si>
    <t>Engsel pintu</t>
  </si>
  <si>
    <t>Engsel kupu-kupu</t>
  </si>
  <si>
    <t>Engsel angin</t>
  </si>
  <si>
    <t>Spring knip</t>
  </si>
  <si>
    <t>Kait angin</t>
  </si>
  <si>
    <t>Door closer</t>
  </si>
  <si>
    <t>set</t>
  </si>
  <si>
    <t>Kunci slot</t>
  </si>
  <si>
    <t>Door holder</t>
  </si>
  <si>
    <t>Door stop</t>
  </si>
  <si>
    <t>Rel pintu sorong</t>
  </si>
  <si>
    <t>Set</t>
  </si>
  <si>
    <t>Kunci lemari</t>
  </si>
  <si>
    <t>Kaca tebal 5 mm</t>
  </si>
  <si>
    <t>Kaca tebal 8 mm</t>
  </si>
  <si>
    <t>Kaca buram  12 mm</t>
  </si>
  <si>
    <t>Kaca cermin 5 mm</t>
  </si>
  <si>
    <t>Kaca cermin 8 mm</t>
  </si>
  <si>
    <t>Kaca patri 5mm</t>
  </si>
  <si>
    <t>Soda api</t>
  </si>
  <si>
    <t>Sabun</t>
  </si>
  <si>
    <t>Tukang cat</t>
  </si>
  <si>
    <t>Cat menie</t>
  </si>
  <si>
    <t>Plamuur</t>
  </si>
  <si>
    <t>Kuas</t>
  </si>
  <si>
    <t>Pengencer</t>
  </si>
  <si>
    <t>Ampelas</t>
  </si>
  <si>
    <t>Teak oil</t>
  </si>
  <si>
    <t>Politur</t>
  </si>
  <si>
    <t>Politur jadi</t>
  </si>
  <si>
    <t>Residu atau ter</t>
  </si>
  <si>
    <t>Vernis</t>
  </si>
  <si>
    <t>Dempul</t>
  </si>
  <si>
    <t>Kalkarium</t>
  </si>
  <si>
    <t>Kapur sirih</t>
  </si>
  <si>
    <t>Alang-alang</t>
  </si>
  <si>
    <t>Ikat</t>
  </si>
  <si>
    <t>Menie besi</t>
  </si>
  <si>
    <t>Perancah kayu</t>
  </si>
  <si>
    <t>Menie A</t>
  </si>
  <si>
    <t>Menie B</t>
  </si>
  <si>
    <t>Cat antara</t>
  </si>
  <si>
    <t>Closet duduk</t>
  </si>
  <si>
    <t>Unit</t>
  </si>
  <si>
    <t>Perlengkapan</t>
  </si>
  <si>
    <t>Closet jongkok</t>
  </si>
  <si>
    <t>Urinoir</t>
  </si>
  <si>
    <t>Wastafel</t>
  </si>
  <si>
    <t>Bathcuip</t>
  </si>
  <si>
    <t>Porselen 11x11</t>
  </si>
  <si>
    <t>bh</t>
  </si>
  <si>
    <t>Beton 1:2:3</t>
  </si>
  <si>
    <t>Baja tulangan</t>
  </si>
  <si>
    <t>Kayu bekisting</t>
  </si>
  <si>
    <t>Ubin porselen</t>
  </si>
  <si>
    <t>Bak cuci piring</t>
  </si>
  <si>
    <t>Waterdrain</t>
  </si>
  <si>
    <t>Floor drain</t>
  </si>
  <si>
    <t>Pipa galvanis ½”</t>
  </si>
  <si>
    <t>M</t>
  </si>
  <si>
    <t>Kran air</t>
  </si>
  <si>
    <t>Sealtape</t>
  </si>
  <si>
    <t>Pipa galvanis 3/4”</t>
  </si>
  <si>
    <t>Pipa galvanis 1”</t>
  </si>
  <si>
    <t>Pipa galvanis 11/2”</t>
  </si>
  <si>
    <t>Pipa galvanis 3”</t>
  </si>
  <si>
    <t>Pipa galvanis 4”</t>
  </si>
  <si>
    <t>Pipa PVC 1/2”</t>
  </si>
  <si>
    <t>Pipa PVC 1”</t>
  </si>
  <si>
    <t>Pipa PVC 11/2”</t>
  </si>
  <si>
    <t>Pipa PVC 2”</t>
  </si>
  <si>
    <t>Pipa PVC 21/2”</t>
  </si>
  <si>
    <t>Pipa PVC 3”</t>
  </si>
  <si>
    <t>Pipa tanah</t>
  </si>
  <si>
    <t>Tukang pipa</t>
  </si>
  <si>
    <t>Pipa PVC Ø 63 mm</t>
  </si>
  <si>
    <t>hari</t>
  </si>
  <si>
    <t>Pipa PVC Ø 90 mm</t>
  </si>
  <si>
    <t>Pipa PVC Ø 110 mm</t>
  </si>
  <si>
    <t>Pipa PVC Ø 200 mm</t>
  </si>
  <si>
    <t>Pipa PVC Ø 250 mm</t>
  </si>
  <si>
    <t>Pipa PVC Ø 300 mm</t>
  </si>
  <si>
    <t>Pipa PVC Ø 400 mm</t>
  </si>
  <si>
    <t>Pipa PVC Ø 450 mm</t>
  </si>
  <si>
    <t>Pipa PVC Ø 500 mm</t>
  </si>
  <si>
    <t>Pipa PVC Ø 600 mm</t>
  </si>
  <si>
    <t>Pipa PVC Ø 800 mm</t>
  </si>
  <si>
    <t>Pipa PVC Ø 900 mm</t>
  </si>
  <si>
    <t>Pipa PVC Ø 1000 mm</t>
  </si>
  <si>
    <t>Pipa PVC Ø 1200 mm</t>
  </si>
  <si>
    <t>Pipa HDPE Ø 63 mm</t>
  </si>
  <si>
    <t>Pipa HDPE Ø 100 mm</t>
  </si>
  <si>
    <t>Pipa HDPE Ø 125 mm</t>
  </si>
  <si>
    <t>Pipa HDPE Ø 150 mm</t>
  </si>
  <si>
    <t>Pipa HDPE Ø 200 mm</t>
  </si>
  <si>
    <t>Pipa HDPE Ø 250 mm</t>
  </si>
  <si>
    <t>Pipa HDPE Ø 300 mm</t>
  </si>
  <si>
    <t>Pipa HDPE Ø 400 mm</t>
  </si>
  <si>
    <t>Pipa HDPE Ø 450 mm</t>
  </si>
  <si>
    <t>Pipa HDPE Ø 500 mm</t>
  </si>
  <si>
    <t>Pipa HDPE Ø 800 mm</t>
  </si>
  <si>
    <t>Pipa HDPE Ø 900 mm</t>
  </si>
  <si>
    <t>Pipa HDPE Ø 1000 mm</t>
  </si>
  <si>
    <t>Pipa HDPE Ø 1100 mm</t>
  </si>
  <si>
    <t>Pipa HDPE Ø 1200 mm</t>
  </si>
  <si>
    <t>Pipa GIP Ø 63 mm</t>
  </si>
  <si>
    <t>Pipa GIP Ø 100 mm</t>
  </si>
  <si>
    <t>Pipa GIP Ø 125 mm</t>
  </si>
  <si>
    <t>Pipa GIP Ø 150 mm</t>
  </si>
  <si>
    <t>Pipa GIP Ø 200 mm</t>
  </si>
  <si>
    <t>Pipa GIP Ø 250 mm</t>
  </si>
  <si>
    <t>Pipa GIP Ø 300 mm</t>
  </si>
  <si>
    <t>Pipa GIP Ø 400 mm</t>
  </si>
  <si>
    <t>Pipa GIP Ø 450 mm</t>
  </si>
  <si>
    <t>Pipa GIP Ø 500 mm</t>
  </si>
  <si>
    <t>Pipa GIP Ø 600 mm</t>
  </si>
  <si>
    <t>Pipa GIP Ø 800 mm</t>
  </si>
  <si>
    <t>Pipa GIP Ø 900 mm</t>
  </si>
  <si>
    <t>Pipa GIP Ø 1000 mm</t>
  </si>
  <si>
    <t>Pipa GIP Ø 1100 mm</t>
  </si>
  <si>
    <t>Pipa GIP Ø 1200 mm</t>
  </si>
  <si>
    <t>Pipa DCI Ø 100 mm</t>
  </si>
  <si>
    <t>Pipa DCI Ø 125 mm</t>
  </si>
  <si>
    <t>Pipa DCI Ø 150 mm</t>
  </si>
  <si>
    <t>Pipa DCI Ø 200 mm</t>
  </si>
  <si>
    <t>Pipa DCI Ø 250 mm</t>
  </si>
  <si>
    <t>Pipa DCI Ø 300 mm</t>
  </si>
  <si>
    <t>Operator alat berat</t>
  </si>
  <si>
    <t>Pipa DCI Ø 400 mm</t>
  </si>
  <si>
    <t>Pipa DCI Ø 450 mm</t>
  </si>
  <si>
    <t>Pipa DCI Ø 500 mm</t>
  </si>
  <si>
    <t>Pipa DCI Ø 600 mm</t>
  </si>
  <si>
    <t>Pipa DCI Ø 800 mm</t>
  </si>
  <si>
    <t>Pipa DCI Ø 900 mm</t>
  </si>
  <si>
    <t>Pipa DCI Ø 1000 mm</t>
  </si>
  <si>
    <t>Pipa DCI Ø 1100 mm</t>
  </si>
  <si>
    <t>Pipa DCI Ø 1200 mm</t>
  </si>
  <si>
    <t>Pipa PVC Ø 150 mm</t>
  </si>
  <si>
    <t>Pipa PVC Ø 1100 mm</t>
  </si>
  <si>
    <t>Pipa HDPE Ø 600 mm</t>
  </si>
  <si>
    <t>Pipa Ø 80 mm</t>
  </si>
  <si>
    <t>Sewa Genset 1500 watt</t>
  </si>
  <si>
    <t>Pipa Ø 100 mm</t>
  </si>
  <si>
    <t>Pipa Ø 150 mm</t>
  </si>
  <si>
    <t>Pipa Ø 200 mm</t>
  </si>
  <si>
    <t>Pipa Ø 250 mm</t>
  </si>
  <si>
    <t>Pipa Ø 300 mm</t>
  </si>
  <si>
    <t>Pipa Ø 400 mm</t>
  </si>
  <si>
    <t>Pipa Ø 450 mm</t>
  </si>
  <si>
    <t>Pipa Ø 500 mm</t>
  </si>
  <si>
    <t>Pipa Ø 600 mm</t>
  </si>
  <si>
    <t>Pipa Ø 700 mm</t>
  </si>
  <si>
    <t>Pipa Ø 800 mm</t>
  </si>
  <si>
    <t>Air test (air bersih)</t>
  </si>
  <si>
    <t>Bahan bakar</t>
  </si>
  <si>
    <t>liter</t>
  </si>
  <si>
    <t>Oli</t>
  </si>
  <si>
    <t>Upah</t>
  </si>
  <si>
    <t>Pipa listrik  5/8”</t>
  </si>
  <si>
    <t>btg</t>
  </si>
  <si>
    <t>T Dus</t>
  </si>
  <si>
    <t>L Bow</t>
  </si>
  <si>
    <t>Las Dop</t>
  </si>
  <si>
    <r>
      <t xml:space="preserve">Operator </t>
    </r>
    <r>
      <rPr>
        <i/>
        <sz val="10"/>
        <color rgb="FF000000"/>
        <rFont val="Arial"/>
        <family val="2"/>
      </rPr>
      <t>crane</t>
    </r>
  </si>
  <si>
    <r>
      <t xml:space="preserve">Pembantu operator </t>
    </r>
    <r>
      <rPr>
        <i/>
        <sz val="10"/>
        <color rgb="FF000000"/>
        <rFont val="Arial"/>
        <family val="2"/>
      </rPr>
      <t>crane</t>
    </r>
  </si>
  <si>
    <r>
      <t xml:space="preserve">Sewa </t>
    </r>
    <r>
      <rPr>
        <i/>
        <sz val="10"/>
        <color rgb="FF000000"/>
        <rFont val="Arial"/>
        <family val="2"/>
      </rPr>
      <t>crane</t>
    </r>
  </si>
  <si>
    <t>m3</t>
  </si>
  <si>
    <t>m2</t>
  </si>
  <si>
    <t>Aluminium strip</t>
  </si>
  <si>
    <t>Alumunium foil</t>
  </si>
  <si>
    <t>Alumunium gel  tbl 0,55</t>
  </si>
  <si>
    <t>M2</t>
  </si>
  <si>
    <t>Bak fibreglass</t>
  </si>
  <si>
    <t>Bambu  diameter 6 - 8  / 600 cm</t>
  </si>
  <si>
    <t>Bata rooster</t>
  </si>
  <si>
    <t>Besi angker dia 8</t>
  </si>
  <si>
    <t>Besi IWF</t>
  </si>
  <si>
    <t>Besi plat baja</t>
  </si>
  <si>
    <t>Cat Besi</t>
  </si>
  <si>
    <t>Dynabol dia 12 x 120 mm</t>
  </si>
  <si>
    <t>Fhiser</t>
  </si>
  <si>
    <t>Gypsum board 9 mm (1200 x 2400 mm)</t>
  </si>
  <si>
    <t>M'</t>
  </si>
  <si>
    <t>Kabel NYM 3x2,5 mm2</t>
  </si>
  <si>
    <t>Kaca   wireglassed 5mm</t>
  </si>
  <si>
    <t>Kaca tebal 3mm</t>
  </si>
  <si>
    <t>Kapur Pasang</t>
  </si>
  <si>
    <t>Kawat dia 4 mm</t>
  </si>
  <si>
    <t>Kayu kaso 5/7</t>
  </si>
  <si>
    <t>Kayu kelas II balok</t>
  </si>
  <si>
    <t>Kerikil (Maks  30 mm)</t>
  </si>
  <si>
    <t>Klem Pipa</t>
  </si>
  <si>
    <t>Lantai kerja tebal 10cm</t>
  </si>
  <si>
    <t>Lem Putih</t>
  </si>
  <si>
    <t>List PVC (setara Shunda Plafon,LS 301-1 Min.Silver Metalic)</t>
  </si>
  <si>
    <t>Mobile crane =&lt; 3 ton</t>
  </si>
  <si>
    <t>Nok paten 92cm</t>
  </si>
  <si>
    <t>Nok standar 40x18</t>
  </si>
  <si>
    <t>Paku hak panj 15cm</t>
  </si>
  <si>
    <t>Panel Beton Pracetak</t>
  </si>
  <si>
    <t>Penjaga jarak bekisting / spacer</t>
  </si>
  <si>
    <t>Peralatan potong pipa T1/manual  (gergaji) /saw</t>
  </si>
  <si>
    <t>Peralatan potong pipa T2/mekanik / cilinder</t>
  </si>
  <si>
    <t>Phenol film 12mm</t>
  </si>
  <si>
    <t>Pipa Baja Ø 100 mm</t>
  </si>
  <si>
    <t>Pipa Baja Ø 1000 mm</t>
  </si>
  <si>
    <t>Pipa Baja Ø 1100 mm</t>
  </si>
  <si>
    <t>Pipa Baja Ø 1200 mm</t>
  </si>
  <si>
    <t>Pipa Baja Ø 125 mm</t>
  </si>
  <si>
    <t>Pipa Baja Ø 150 mm</t>
  </si>
  <si>
    <t>Pipa Baja Ø 200 mm</t>
  </si>
  <si>
    <t>Pipa Baja Ø 250 mm</t>
  </si>
  <si>
    <t>Pipa Baja Ø 300 mm</t>
  </si>
  <si>
    <t>Pipa Baja Ø 400 mm</t>
  </si>
  <si>
    <t>Pipa Baja Ø 450 mm</t>
  </si>
  <si>
    <t>Pipa Baja Ø 500 mm</t>
  </si>
  <si>
    <t>Pipa Baja Ø 600 mm</t>
  </si>
  <si>
    <t>Pipa Baja Ø 63 mm</t>
  </si>
  <si>
    <t>Pipa Baja Ø 800 mm</t>
  </si>
  <si>
    <t>Pipa Baja Ø 900 mm</t>
  </si>
  <si>
    <t>Pipa Beton</t>
  </si>
  <si>
    <t>Pipa Conduit</t>
  </si>
  <si>
    <t>Pipa HDPE Ø 1000</t>
  </si>
  <si>
    <t>Pipa HDPE Ø 1100</t>
  </si>
  <si>
    <t>Plafond  PVC (setara Shunda Plafon, Flat Gloss Half Silver)</t>
  </si>
  <si>
    <t>Plywood 4 mm</t>
  </si>
  <si>
    <t>Profil Allum"T"</t>
  </si>
  <si>
    <t>Rolling dor alluminium</t>
  </si>
  <si>
    <t>Sealtape Listrik</t>
  </si>
  <si>
    <t>Semen grout</t>
  </si>
  <si>
    <t>Semen Merah</t>
  </si>
  <si>
    <t>Semen mortar Acian</t>
  </si>
  <si>
    <t>Semen mortar pasangan</t>
  </si>
  <si>
    <t>Semen Warna</t>
  </si>
  <si>
    <t>Seng plat</t>
  </si>
  <si>
    <t>Sewa excavator type 225 kap 0,5 -1,0 m3</t>
  </si>
  <si>
    <t>Sewa Pompa Submersible 3m3/h</t>
  </si>
  <si>
    <t>Sewa Tripot/Tackel &amp; handle crane 2 T</t>
  </si>
  <si>
    <t>Skrup fixer</t>
  </si>
  <si>
    <t>Socket Pipa</t>
  </si>
  <si>
    <t>Teakwood 4 mm, 120 x 240</t>
  </si>
  <si>
    <t>Tee Doos</t>
  </si>
  <si>
    <t>PEKERJA</t>
  </si>
  <si>
    <t>TUKANG</t>
  </si>
  <si>
    <t>TUKANG ALUMUNIUM</t>
  </si>
  <si>
    <t>TUKANG BATU</t>
  </si>
  <si>
    <t>TUKANG KAYU</t>
  </si>
  <si>
    <t>TUKANG BESI</t>
  </si>
  <si>
    <t>Tukang Besi Konstruksi</t>
  </si>
  <si>
    <t>TUKANG BESI PROFIL</t>
  </si>
  <si>
    <t>TUKANG CAT</t>
  </si>
  <si>
    <t>Tukang Las Konstruksi</t>
  </si>
  <si>
    <t>Tukang Las</t>
  </si>
  <si>
    <t>TUKANG LISTRIK</t>
  </si>
  <si>
    <t>TUKANG PIPA</t>
  </si>
  <si>
    <t>TUKANG VIBRATOR</t>
  </si>
  <si>
    <t>KEPALA TUKANG</t>
  </si>
  <si>
    <t>MANDOR</t>
  </si>
  <si>
    <t>Operator crane</t>
  </si>
  <si>
    <t>Pembantu operator crane</t>
  </si>
  <si>
    <t>PENJAGA MALAM</t>
  </si>
  <si>
    <t>TUKANG PASANG KERAMIK</t>
  </si>
  <si>
    <t>Dolken kayu Ø 8-10/400 cm</t>
  </si>
  <si>
    <t xml:space="preserve">A.2.2.1 </t>
  </si>
  <si>
    <t>HARGA SATUAN PEKERJAAN PERSIAPAN</t>
  </si>
  <si>
    <t>Harga Satuan (Rp.)</t>
  </si>
  <si>
    <t>Jumlah Harga (Rp.)</t>
  </si>
  <si>
    <t>Tukang Kayu</t>
  </si>
  <si>
    <t>Overhead &amp; Profit 10%</t>
  </si>
  <si>
    <t xml:space="preserve">A.2.3.1 </t>
  </si>
  <si>
    <t>HARGA SATUAN PEKERJAAN TANAH</t>
  </si>
  <si>
    <t>HARGA SATUAN PEKERJAAN PONDASI</t>
  </si>
  <si>
    <t xml:space="preserve">A.4.1.1 </t>
  </si>
  <si>
    <t>HARGA SATUAN PEKERJAAN BETON</t>
  </si>
  <si>
    <t>CATATAN</t>
  </si>
  <si>
    <t>Tukang Pipa</t>
  </si>
  <si>
    <t>Tukang Besi</t>
  </si>
  <si>
    <t>Paku Biasa</t>
  </si>
  <si>
    <t>Plywood 9 mm</t>
  </si>
  <si>
    <t xml:space="preserve">A.4.1.2 </t>
  </si>
  <si>
    <t>HARGA SATUAN PEKERJAAN BETON PRACETAK</t>
  </si>
  <si>
    <t>Sewa crane</t>
  </si>
  <si>
    <t>UH</t>
  </si>
  <si>
    <t xml:space="preserve">A.4.2.1 </t>
  </si>
  <si>
    <t>HARGA SATUAN PEKERJAAN BESI DAN ALUMUNIUM</t>
  </si>
  <si>
    <t>Tukang Alumunium</t>
  </si>
  <si>
    <t>Kayu Papan kelas II</t>
  </si>
  <si>
    <t xml:space="preserve">A.4.4.1 </t>
  </si>
  <si>
    <t>HARGA SATUAN PEKERJAAN PASANGAN DINDING</t>
  </si>
  <si>
    <t xml:space="preserve">A.4.4.2 </t>
  </si>
  <si>
    <t>HARGA SATUAN PEKERJAAN PLESTERAN</t>
  </si>
  <si>
    <t xml:space="preserve">A.4.4.3 </t>
  </si>
  <si>
    <t>HARGA SATUAN PEKERJAAN PENUTUP LANTAI DAN PENUTUP DINDING</t>
  </si>
  <si>
    <t>Lem Kayu/Karet</t>
  </si>
  <si>
    <t>Kayu Papan kelas I</t>
  </si>
  <si>
    <t xml:space="preserve">A.4.5.1  </t>
  </si>
  <si>
    <t>A.4.5.1.10 Pemasangan 1 m2 Rangka langit-langit besi hollow 40.40</t>
  </si>
  <si>
    <t>Lihat pada kelompok Pekerjaan Besi dan Alumunium ( A.9.21)</t>
  </si>
  <si>
    <t xml:space="preserve">A.4.5.2. </t>
  </si>
  <si>
    <t>HARGA SATUAN PEKERJAAN PENUTUP ATAP</t>
  </si>
  <si>
    <t>Plywood 6 mm</t>
  </si>
  <si>
    <t xml:space="preserve">A.4.6.1 </t>
  </si>
  <si>
    <t>HARGA SATUAN PEKERJAAN KAYU</t>
  </si>
  <si>
    <t>kayu Papan</t>
  </si>
  <si>
    <t>Kayu Papan</t>
  </si>
  <si>
    <t xml:space="preserve">A.4.6.2 </t>
  </si>
  <si>
    <t>HARGA SATUAN PEKERJAAN KUNCI DAN KACA</t>
  </si>
  <si>
    <t>SEalant</t>
  </si>
  <si>
    <t xml:space="preserve">A.4.7.1 </t>
  </si>
  <si>
    <t>HARGA SATUAN PEKERJAAN PENGECATAN</t>
  </si>
  <si>
    <t xml:space="preserve">A.5.1.1 </t>
  </si>
  <si>
    <t>HARGA SATUAN PEKERJAAN SANITASI DALAM GEDUNG</t>
  </si>
  <si>
    <t xml:space="preserve">A.8.4.1 </t>
  </si>
  <si>
    <t>HARGA SATUAN PEKERJAAN PEMASANGAN PIPA</t>
  </si>
  <si>
    <t>Catatan:</t>
  </si>
  <si>
    <t>Koefisien peralatan yang digunakan pada A.8.4.1 ini adalah seperti yang tercantum pada tabel.</t>
  </si>
  <si>
    <t>Apabila ada tambahan peralatan yang digunakan, harus disesuaikan dengan spesifikasi dan</t>
  </si>
  <si>
    <t>gambar kerja.</t>
  </si>
  <si>
    <t xml:space="preserve">A.8.4.2 </t>
  </si>
  <si>
    <t>HARGA SATUAN PEKERJAAN PEMOTONGAN PIPA</t>
  </si>
  <si>
    <t xml:space="preserve">A.8.4.3 </t>
  </si>
  <si>
    <t>HARGA SATUAN PEKERJAAN PEMASANGAN AKSESORIS PIPA</t>
  </si>
  <si>
    <t xml:space="preserve">A.8.4.4 </t>
  </si>
  <si>
    <t>HARGA SATUAN PEKERJAAN PENYAMBUNGAN PIPA BARU KE PIPA LAMA</t>
  </si>
  <si>
    <t xml:space="preserve">A.8.4.5 </t>
  </si>
  <si>
    <t>HARGA SATUAN PEKERJAAN PENGETESAN PIPA</t>
  </si>
  <si>
    <t>Memasang 1 Titik Instalasi Penerangan</t>
  </si>
  <si>
    <t>(K3) Pembuatan 1 m2 pagar sementara dari kayu tinggi 2 meter</t>
  </si>
  <si>
    <t>(K3) Pembuatan 1 m2   pagar sementara dari seng gelombang tinggi 2 meter</t>
  </si>
  <si>
    <t>Pembuatan 1 m2   pagar sementara dari kawat duri tinggi 1,8 meter</t>
  </si>
  <si>
    <t>(K3) Pembuatan 1 m2 kantor sementara lantai plesteran</t>
  </si>
  <si>
    <t>(K3) Pembuatan 1 m2 rumah jaga (konstruksi kayu )</t>
  </si>
  <si>
    <t>(K3) Pembuatan 1 m2 gudang semen dan peralatan</t>
  </si>
  <si>
    <t>(K3) Pembuatan 1 m2 bedeng pekerja</t>
  </si>
  <si>
    <t>(K3) Pembersihan 1 m2 lapangan dan perataan</t>
  </si>
  <si>
    <t>Pembuatan 1 buah kotak adukan ukuran 40cm x50cm x25cm</t>
  </si>
  <si>
    <t>Pembuatan 1 m2 jalan sementara</t>
  </si>
  <si>
    <t>Pembongkaran 1 m3 beton bertulang</t>
  </si>
  <si>
    <t>Pembongkaran 1 m3 dinding tembok bata</t>
  </si>
  <si>
    <t>Pemasangan 1 m2 panel beton pracetak 5x50x240 cm</t>
  </si>
  <si>
    <t xml:space="preserve">A.2.2.1.16. </t>
  </si>
  <si>
    <t>Penggalian 1 m3  tanah biasa sedalam 1 m</t>
  </si>
  <si>
    <t xml:space="preserve">A.2.3.1.1. </t>
  </si>
  <si>
    <t>Penggalian 1 m3  tanah biasa sedalam 2 m</t>
  </si>
  <si>
    <t xml:space="preserve">A.2.3.1.2. </t>
  </si>
  <si>
    <t xml:space="preserve"> Menggali 1 m3  tanah biasa sedalam 3 m</t>
  </si>
  <si>
    <t>A.2.3.1.3.</t>
  </si>
  <si>
    <t>Menggali 1 m3  tanah keras sedalam 1 m</t>
  </si>
  <si>
    <t xml:space="preserve">A.2.3.1.4. </t>
  </si>
  <si>
    <t>Menggali 1 m3  tanah cadas sedalam 1 m</t>
  </si>
  <si>
    <t xml:space="preserve">A.2.3.1.5. </t>
  </si>
  <si>
    <t xml:space="preserve">A.2.3.1.7. </t>
  </si>
  <si>
    <t xml:space="preserve">A.2.3.1.8. </t>
  </si>
  <si>
    <t xml:space="preserve">A.2.3.1.9. </t>
  </si>
  <si>
    <t xml:space="preserve">Pengerjaan stripping 1 m2  tanah tebing setinggi 1 meter </t>
  </si>
  <si>
    <t>Menggali 1 m3  tanah lumpur sedalam 1 m</t>
  </si>
  <si>
    <t xml:space="preserve">A.2.3.1.6. </t>
  </si>
  <si>
    <t>(K3) Pembuangan 1 m3 tanah sejauh 30 meter</t>
  </si>
  <si>
    <t xml:space="preserve">A.2.3.1.10. </t>
  </si>
  <si>
    <t>(K3) Pemadatan tanah 1 m3  tanah ( per 20 cm)</t>
  </si>
  <si>
    <t xml:space="preserve">A.2.3.1.11. </t>
  </si>
  <si>
    <t>Pengurugan 1 m3 dengan pasir urug</t>
  </si>
  <si>
    <t>Pemasangan 1 m3  lapisan pudel campuran 1KP:3PP:7TL</t>
  </si>
  <si>
    <t xml:space="preserve">A.2.3.1.12. </t>
  </si>
  <si>
    <t>Pemasangan 1 m2  lapisan ijuk tebal 10 cm untuk bidang resapan</t>
  </si>
  <si>
    <t xml:space="preserve">A.2.3.1.13. </t>
  </si>
  <si>
    <t xml:space="preserve">A.2.3.1.14. </t>
  </si>
  <si>
    <t>Pengurugan 1 m3  sirtu padat</t>
  </si>
  <si>
    <t xml:space="preserve">A.3.2.1.1. </t>
  </si>
  <si>
    <t>Pemasangan 1 m3  pondasi batu belah campuran 1SP : 3PP</t>
  </si>
  <si>
    <t xml:space="preserve">A.3.2.1.2. </t>
  </si>
  <si>
    <t>Pemasangan 1 m3  pondasi batu belah campuran 1SP : 4PP</t>
  </si>
  <si>
    <t>Pemasangan 1 m3  pondasi batu belah campuran 1SP : 5PP</t>
  </si>
  <si>
    <t xml:space="preserve">A.3.2.1.3. </t>
  </si>
  <si>
    <t>Pemasangan 1 m3  pondasi batu belah campuran 1SP : 8PP</t>
  </si>
  <si>
    <t xml:space="preserve">A.3.2.1.5. </t>
  </si>
  <si>
    <t>Pemasangan 1 m3  pondasi batu belah campuran 1SP : 6PP</t>
  </si>
  <si>
    <t xml:space="preserve">A.3.2.1.4. </t>
  </si>
  <si>
    <t>Pemasangan 1 m3  pondasi batu belah campuran 1SP : 1KP : 2PP</t>
  </si>
  <si>
    <t xml:space="preserve">A.3.2.1.6. </t>
  </si>
  <si>
    <t>A.3.2.1.8.</t>
  </si>
  <si>
    <t>Pemasangan 1 m3  pondasi batu belah campuran ¼ SP : 1 KP : 4PP</t>
  </si>
  <si>
    <t xml:space="preserve">A.3.2.1.9. </t>
  </si>
  <si>
    <t>Pemasangan 1 m3  batu kosong (anstamping)</t>
  </si>
  <si>
    <t xml:space="preserve">A.3.2.1.10. </t>
  </si>
  <si>
    <t>(K3) Pemasangan 1 m3 pondasi  siklop,  60% beton campuran 1SP : 2 PB : 3 Kr dan 40% batu belah</t>
  </si>
  <si>
    <t xml:space="preserve">A.3.2.1.11. </t>
  </si>
  <si>
    <t>Pemasangan 1 m3 pondasi sumuran, diameter 100 cm</t>
  </si>
  <si>
    <t xml:space="preserve">A.4.1.1.1  </t>
  </si>
  <si>
    <t xml:space="preserve">A.4.1.1.2 </t>
  </si>
  <si>
    <t xml:space="preserve">A.4.1.1.3 </t>
  </si>
  <si>
    <t xml:space="preserve">A.4.1.1.4  </t>
  </si>
  <si>
    <t>Membuat 1 m3 lantai kerja beton mutu f’c = 7,4 MPa (K 100), slump (3-6) cm, w/c = 087</t>
  </si>
  <si>
    <t>Membuat 1 m3 beton mutu f’  = 14,5 MPa (K 175), slump (12 ±2) cm, w/c = 0,66</t>
  </si>
  <si>
    <t xml:space="preserve">A.4.1.1.6 </t>
  </si>
  <si>
    <t xml:space="preserve">A.4.1.1.7. </t>
  </si>
  <si>
    <t xml:space="preserve">A.4.1.1.8. </t>
  </si>
  <si>
    <t xml:space="preserve">A.4.1.1.9. </t>
  </si>
  <si>
    <t xml:space="preserve">A.4.1.1.10. </t>
  </si>
  <si>
    <t xml:space="preserve">A.4.1.1.11. </t>
  </si>
  <si>
    <t xml:space="preserve">A.4.1.1.12. </t>
  </si>
  <si>
    <t xml:space="preserve">A.4.1.1.13  </t>
  </si>
  <si>
    <t>Membuat 1 m3 beton kedap air dengan strorox - 100</t>
  </si>
  <si>
    <t xml:space="preserve">A.4.1.1.14  </t>
  </si>
  <si>
    <t>Pemasangan 1 m’ PVC Waterstop lebar 150 mm</t>
  </si>
  <si>
    <t xml:space="preserve">A.4.1.1.15  </t>
  </si>
  <si>
    <t>Pemasangan 1 m’ PVC Waterstop lebar 200 mm</t>
  </si>
  <si>
    <t xml:space="preserve">A.4.1.1.16  </t>
  </si>
  <si>
    <t>Paku 5 - 12 cm</t>
  </si>
  <si>
    <t>Membuat 1 m3 beton mutu f’= 16,9 MPa (K 200), slump (120 ± 20) mm, w/c = 0,61</t>
  </si>
  <si>
    <t>Membuat 1 m3 beton mutu f’  = 19,3 MPa (K 225), slump (120 ± 20) mm, w/c = 0,58</t>
  </si>
  <si>
    <t>Membuat 1 m3 beton mutu f’= 21,7 MPa (K 250), slump (120 ± 20) mm, w/c = 0,56</t>
  </si>
  <si>
    <t>Membuat 1 m3 beton mutu f’ = 24,0 MPa (K 275), slump (120 ± 20) mm, w/c = 0,53</t>
  </si>
  <si>
    <t>Membuat 1 m3 beton mutu f’c = 26,4 MPa (K 300), slump (120 ± 20) mm, w/c = 0,52</t>
  </si>
  <si>
    <t>Membuat 1 m3 beton mutu f’c = 28,8 MPa (K 325), slump (120 ± 20) mm, w/c = 0,49</t>
  </si>
  <si>
    <t>Membuat 1 m3 beton mutu f’c = 31,2 MPa (K 350), slump (120 ± 20) mm, w/c = 0,48</t>
  </si>
  <si>
    <t xml:space="preserve">A.4.1.1.18   </t>
  </si>
  <si>
    <t>Pemasangan 10 kg kabel presstressed polos/strands</t>
  </si>
  <si>
    <t xml:space="preserve">A.4.1.1.19   </t>
  </si>
  <si>
    <t xml:space="preserve">A.4.1.1.20   </t>
  </si>
  <si>
    <t>(K3) Pemasangan 1 m2   bekisting untuk pondasi</t>
  </si>
  <si>
    <t xml:space="preserve">A.4.1.1.21   </t>
  </si>
  <si>
    <t xml:space="preserve">A.4.1.1.22   </t>
  </si>
  <si>
    <t xml:space="preserve">A.4.1.1.23   </t>
  </si>
  <si>
    <t xml:space="preserve">A.4.1.1.24   </t>
  </si>
  <si>
    <t xml:space="preserve">A.4.1.1.25   </t>
  </si>
  <si>
    <t xml:space="preserve">A.4.1.1.26   </t>
  </si>
  <si>
    <t>(K3) Pemasangan 1 m2   bekisting untuk tangga</t>
  </si>
  <si>
    <t xml:space="preserve">A.4.1.1.27   </t>
  </si>
  <si>
    <t>Pemasangan 1 m2   jembatan untuk pengecoran beton</t>
  </si>
  <si>
    <t xml:space="preserve">A.4.1.1.28   </t>
  </si>
  <si>
    <t>Membuat 1 m3  pondasi beton bertulang (150 kg besi + bekisting)</t>
  </si>
  <si>
    <t xml:space="preserve">A.4.1.1.29   </t>
  </si>
  <si>
    <t>Membuat 1 m3  sloof beton bertulang (200 kg besi + bekisting)</t>
  </si>
  <si>
    <t xml:space="preserve">A.4.1.1.30   </t>
  </si>
  <si>
    <t>Membuat 1 m3  kolom beton bertulang (300 kg besi + bekisting)</t>
  </si>
  <si>
    <t xml:space="preserve">A.4.1.1.32   </t>
  </si>
  <si>
    <t>Membuat 1 m3 kolom beton bertulang (150 kg besi + bekisting)</t>
  </si>
  <si>
    <t xml:space="preserve">A.4.1.1.31   </t>
  </si>
  <si>
    <t>Membuat 1 m3  balok  beton bertulang (200 kg besi + bekisting)</t>
  </si>
  <si>
    <t xml:space="preserve">A.4.1.1.33   </t>
  </si>
  <si>
    <t>Membuat 1 m3 dinding beton bertulang (150 kg besi + bekisting)</t>
  </si>
  <si>
    <t xml:space="preserve">A.4.1.1.34   </t>
  </si>
  <si>
    <t>Membuat 1 m3 dinding beton bertulang (200 kg besi + bekisting)</t>
  </si>
  <si>
    <t xml:space="preserve">A.4.1.1.35   </t>
  </si>
  <si>
    <t>Membuat 1 m’  kolom praktis beton bertulang (11 x 11) cm</t>
  </si>
  <si>
    <t xml:space="preserve">A.4.1.1.36   </t>
  </si>
  <si>
    <t>Membuat 1 m’ ring balok beton bertulang (10 x 15) cm</t>
  </si>
  <si>
    <t xml:space="preserve">A.4.1.2.1.   </t>
  </si>
  <si>
    <t>(K3) Pembuatan 1 m2  lahan produksi tebal 8cm beton f’c 14,5 Mpa (K 175) slump (120 ± 20) mm</t>
  </si>
  <si>
    <t xml:space="preserve">A.4.1.2.2.  </t>
  </si>
  <si>
    <t>(K3) Pembuatan 1 m2  lahan produksi tebal 10 cm beton f’c 14,5 Mpa (K 175) slump (120 ± 20) mm</t>
  </si>
  <si>
    <t>(K3) Pembuatan 1 m2  lahan produksi tebal 12 cm beton f’c 14,5 Mpa (K 175) slump (120 ± 20) mm</t>
  </si>
  <si>
    <t xml:space="preserve">A.4.1.2.3.   </t>
  </si>
  <si>
    <t>(K3) Pembuatan 1 m2  lahan produksi tebal 15 cm beton f’c 14,5 Mpa (K 175) slump (120 ± 20) mm</t>
  </si>
  <si>
    <t xml:space="preserve">A.4.1.2.4.   </t>
  </si>
  <si>
    <t>Pembuatan 1 m2  bekisting untuk plat beton pracetak ( 5 kali pakai)</t>
  </si>
  <si>
    <t xml:space="preserve">A.4.1.2.5. </t>
  </si>
  <si>
    <t>Pembuatan 1 m2  bekisting untuk balok beton pracetak ( 10-12 kali pakai)</t>
  </si>
  <si>
    <t xml:space="preserve">A.4.1.2.6. </t>
  </si>
  <si>
    <t>Pembuatan 1 m2  bekisting untuk kolom beton pracetak (10-12 kali pakai)</t>
  </si>
  <si>
    <t xml:space="preserve">A.4.1.2.7. </t>
  </si>
  <si>
    <t xml:space="preserve">A.4.1.2.8. </t>
  </si>
  <si>
    <t>Pemasangan dan membuka bekisting 1 buah komponen plat beton pracetak</t>
  </si>
  <si>
    <t xml:space="preserve">A.4.1.2.9. </t>
  </si>
  <si>
    <t>Pemasangan dan membuka bekisting 1 buah komponen balok beton pracetak</t>
  </si>
  <si>
    <t xml:space="preserve">A.4.1.2.10. </t>
  </si>
  <si>
    <t>Pemasangan dan membuka bekisting 1 buah komponen Kolom beton pracetak</t>
  </si>
  <si>
    <t xml:space="preserve">A.4.1.2.11. </t>
  </si>
  <si>
    <t>Penuangan/menebar beton untuk  1 buah komponen plat pracetak</t>
  </si>
  <si>
    <t xml:space="preserve">A.4.1.2.12. </t>
  </si>
  <si>
    <t>Penuangan/menebar beton untuk  1 buah komponen balok pracetak</t>
  </si>
  <si>
    <t xml:space="preserve">A.4.1.2.13. </t>
  </si>
  <si>
    <t>Penuangan/menebar beton untuk  1 buah komponen kolom pracetak</t>
  </si>
  <si>
    <t xml:space="preserve">Ereksi 1 buah komponen untuk pelat pracetak </t>
  </si>
  <si>
    <t xml:space="preserve">A.4.1.2.14.  </t>
  </si>
  <si>
    <t>Indeks kenaikan lantai ereksi komponen untuk pelat pracetak</t>
  </si>
  <si>
    <t>Lantai</t>
  </si>
  <si>
    <t>ereksi pelat</t>
  </si>
  <si>
    <t xml:space="preserve">Indeks kenaikan lantai </t>
  </si>
  <si>
    <t xml:space="preserve">A.4.1.2.15.    </t>
  </si>
  <si>
    <t>Ereksi 1 buah komponen untuk balok pracetak</t>
  </si>
  <si>
    <t>Indeks kenaikan lantai ereksi komponen untuk Balok pracetak</t>
  </si>
  <si>
    <t xml:space="preserve">A.4.1.2.16.    </t>
  </si>
  <si>
    <t>ereksi Balok</t>
  </si>
  <si>
    <t>ereksi Kolom</t>
  </si>
  <si>
    <t>Indeks kenaikan lantai ereksi komponen untuk Kolom pracetak</t>
  </si>
  <si>
    <t>Ereksi 1 buah komponen untuk Kolom pracetak</t>
  </si>
  <si>
    <t xml:space="preserve">A.4.1.2.17. </t>
  </si>
  <si>
    <t>Melangsir 1 buah komponen plat  pracetak ( ± 20 m)</t>
  </si>
  <si>
    <t xml:space="preserve">A.4.1.2.18.  </t>
  </si>
  <si>
    <t>Melangsir 1 buah komponen balok  pracetak ( ± 20 m)</t>
  </si>
  <si>
    <t xml:space="preserve">A.4.1.2.19. </t>
  </si>
  <si>
    <t>Melangsir 1 buah komponen kolom pracetak ( ± 20 m)</t>
  </si>
  <si>
    <t xml:space="preserve">A.4.1.2.20. </t>
  </si>
  <si>
    <t>Bahan 1 m3 grouting campuran</t>
  </si>
  <si>
    <t xml:space="preserve">A.4.1.2.21. </t>
  </si>
  <si>
    <t>Bahan 1 m3 grouting tidak campuran</t>
  </si>
  <si>
    <t xml:space="preserve">A.4.1.2.22. </t>
  </si>
  <si>
    <t>Upah melakukan 1 titik grouting pada join pracetak</t>
  </si>
  <si>
    <t xml:space="preserve">A.4.1.2.23. </t>
  </si>
  <si>
    <t>Pemasangan  1 titik Bekisting  join pracetak</t>
  </si>
  <si>
    <t xml:space="preserve">A.4.1.2.24. </t>
  </si>
  <si>
    <t>Upah  1 titik Join dengan Sling</t>
  </si>
  <si>
    <t xml:space="preserve">A.4.2.1.1. </t>
  </si>
  <si>
    <t>Pemasangan 1 kg besi profil</t>
  </si>
  <si>
    <t xml:space="preserve">A.4.2.1.2. </t>
  </si>
  <si>
    <t>Pemasangan 1 kg  rangka kuda-kuda baja IWF</t>
  </si>
  <si>
    <t xml:space="preserve">A.4.2.1.3. </t>
  </si>
  <si>
    <t>Pengerjaan 100 kg  pekerjaan perakitan</t>
  </si>
  <si>
    <t xml:space="preserve">A.4.2.1.4. </t>
  </si>
  <si>
    <t>Pembuatan 1 m2 pintu besi plat  baja tebal 2 mm rangkap, rangka baja siku</t>
  </si>
  <si>
    <t xml:space="preserve">A.4.2.1.5. </t>
  </si>
  <si>
    <t>Pengerjaan 10 cm  pengelasan dengan las listrik</t>
  </si>
  <si>
    <t>Sewa alat Las Listrik</t>
  </si>
  <si>
    <t xml:space="preserve">A.4.2.1.6. </t>
  </si>
  <si>
    <t>Pembuatan 1 m2   rangka jendela besi scuare tube (25 x 5) cm</t>
  </si>
  <si>
    <t xml:space="preserve">A.4.2.1.7. </t>
  </si>
  <si>
    <t>Pemasangan 1 m2  pintu rolling door besi</t>
  </si>
  <si>
    <t xml:space="preserve">A.4.2.1.8. </t>
  </si>
  <si>
    <t>Pemasangan 1 m2  pintu lipat (folding door) bahan plastik/PVC</t>
  </si>
  <si>
    <t xml:space="preserve">A.4.2.1.9. </t>
  </si>
  <si>
    <t>Pemasangan 1 m2  sunscreen alluminium</t>
  </si>
  <si>
    <t xml:space="preserve">A.4.2.1.10. </t>
  </si>
  <si>
    <t>Pemasangan 1 m2  rolling door alluminium</t>
  </si>
  <si>
    <t xml:space="preserve">A.4.2.1.11. </t>
  </si>
  <si>
    <t>Pemasangan 1 m kusen pintu alluminium</t>
  </si>
  <si>
    <t xml:space="preserve">A.4.2.1.12. </t>
  </si>
  <si>
    <t>Pemasangan 1 m2   pintu alluminium strip lebar 8 cm</t>
  </si>
  <si>
    <t xml:space="preserve">A.4.2.1.13. </t>
  </si>
  <si>
    <t>Pemasangan 1 m2   pintu kaca rangka alluminium</t>
  </si>
  <si>
    <t>A.4.2.1.14.</t>
  </si>
  <si>
    <t>Pemasangan 1 m2   venetions blinds dan Vertical blinds</t>
  </si>
  <si>
    <t xml:space="preserve">A.4.2.1.15. </t>
  </si>
  <si>
    <t>Pemasangan 1 m2   terali besi strip (2 x 3) mm</t>
  </si>
  <si>
    <t xml:space="preserve">A.4.2.1.16. </t>
  </si>
  <si>
    <t>Pemasangan 1 m2   kawat nyamuk</t>
  </si>
  <si>
    <t xml:space="preserve">A.4.2.1.17. </t>
  </si>
  <si>
    <t>Pemasangan 1 m2   jendela nako &amp; tralis</t>
  </si>
  <si>
    <t xml:space="preserve">A.4.2.1.18. </t>
  </si>
  <si>
    <t>Pemasangan 1 m’ talang datar/ jurai seng bjls 28 lebar 90 cm</t>
  </si>
  <si>
    <t xml:space="preserve">A.4.2.1.19 </t>
  </si>
  <si>
    <t>Pemasangan 1 m  talang ½ lingkaran  D-15 cm, seng plat bjls 30 lebar 45 cm</t>
  </si>
  <si>
    <t xml:space="preserve">A.4.2.1.20. </t>
  </si>
  <si>
    <t>Pemasangan 1 m2 rangka besi hollow 1x40.40.2mm, modul 60 x 120 cm, dinding partisi</t>
  </si>
  <si>
    <t xml:space="preserve">A.4.2.1.21. </t>
  </si>
  <si>
    <t>Pemasangan 1 m2  rangka besi hollow 1x40.40.2mm, modul 60 x 60 cm, plafon</t>
  </si>
  <si>
    <t>A.4.2.1.22.</t>
  </si>
  <si>
    <t xml:space="preserve">(K3) Pemasangan 1 m2  atap pelana rangka atap baja canai dingin profil C75 </t>
  </si>
  <si>
    <t>A.4.2.1.23.</t>
  </si>
  <si>
    <t xml:space="preserve">(K3) Pemasangan 1 m2  atap jurai rangka atap baja canai dingin profil C75 </t>
  </si>
  <si>
    <t>Alat Rangka Atap Baja Canai Dingin</t>
  </si>
  <si>
    <t>Pemasangan 1 M2 PASANG KUDA-KUDA BAJA RINGAN + RENG UNTUK ATAP GENTENG BIASA/METAL</t>
  </si>
  <si>
    <t>A.4.2.1.24.</t>
  </si>
  <si>
    <t>Baut (Srew driver)</t>
  </si>
  <si>
    <t>Reng Canai Dingin</t>
  </si>
  <si>
    <t>Talang / Jurai Canai Dingin</t>
  </si>
  <si>
    <t>Pemasangan 1m2 dinding bata merah (5x11x22) cm tebal 1 batu campuran  1 SP : 2 PP</t>
  </si>
  <si>
    <t>Pemasangan 1m2 dinding bata merah (5x11x22) cm tebal 1 batu campuran  1 SP : 3 PP</t>
  </si>
  <si>
    <t>Pemasangan 1m2  dinding bata merah (5x11x22) cm tebal 1 batu campuran 1 SP : 4 PP</t>
  </si>
  <si>
    <t>Pemasangan 1m2  dinding bata merah (5x11x22) cm tebal 1 batu campuran 1 SP : 5 PP</t>
  </si>
  <si>
    <t>Pemasangan 1m2  Dinding Bata Merah (5x11x22) cm tebal 1 batu campuran 1 SP : 6 PP</t>
  </si>
  <si>
    <t>Pemasangan 1m2  dinding bata merah (5x11x22) cm tebal 1 batu campuran 1SP : 3KP : 10PP</t>
  </si>
  <si>
    <t xml:space="preserve">Pemasangan 1m2 dinding bata merah (5x11x22) cm tebal ½ batu campuran  1SP : 2PP </t>
  </si>
  <si>
    <t>A.4.4.1.7</t>
  </si>
  <si>
    <t>Pemasangan 1m2 dinding bata merah (5x11x22) cm tebal ½ batu campuran  1SP : 3PP</t>
  </si>
  <si>
    <t xml:space="preserve">A.4.4.1.9   </t>
  </si>
  <si>
    <t>Pemasangan 1m2 dinding bata merah (5x11x22) cm tebal ½ batu campuran  1SP :4PP</t>
  </si>
  <si>
    <t>Pemasangan 1m2 dinding bata merah (5x11x22)cm tebal ½ batu campuran 1 SP : 5 PP</t>
  </si>
  <si>
    <t>Pemasangan 1m2  dinding bata merah (5x11x22)cm tebal ½ batu campuran 1 SP : 6 PP</t>
  </si>
  <si>
    <t>Pemasangan 1m2 dinding bata merah (5x11x22)cm tebal ½ batu campuran  1SP : 8 PP</t>
  </si>
  <si>
    <t>Pemasangan 1m2  dinding bata merah (5x11x22)cm tebal ½ batu campuran 1SP : 3KP :10PP</t>
  </si>
  <si>
    <t>Pemasangan 1m2 dinding bata merah (5x11x22)cm tebal ½ batu campuran 1SM : 1KP :1PP</t>
  </si>
  <si>
    <t>Pemasangan 1m2 dinding bata merah (5x11x22) cm tebal ½ batu campuran  1SM : 1KP :2PP</t>
  </si>
  <si>
    <t>Pemasangan 1m2 dinding conblock HB20 campuran  1SP  : 3PP</t>
  </si>
  <si>
    <t>Pemasangan 1m2 dinding conblock HB20 campuran  1SP:4PP</t>
  </si>
  <si>
    <t>Pemasangan 1m2 dinding conblock HB15 campuran  1SP  :3PP</t>
  </si>
  <si>
    <t xml:space="preserve">Pemasangan 1 m2 dinding bata ringan tebal 7,5 cm dengan mortar siap pakai B. </t>
  </si>
  <si>
    <t>Peralatan Pasang Dinding Bata Ringan</t>
  </si>
  <si>
    <t>Pemasangan 1 m2 dinding bata ringan tebal 10 cm dengan mortar siap pakai</t>
  </si>
  <si>
    <t xml:space="preserve">A.4.4.2.1. </t>
  </si>
  <si>
    <t>Pemasangan 1 m2 plesteran 1SP : 1PP tebal 15 mm.</t>
  </si>
  <si>
    <t xml:space="preserve">A.4.4.2.2. </t>
  </si>
  <si>
    <t>Pemasangan 1 m2 plesteran 1SP : 2PP tebal 15 mm.</t>
  </si>
  <si>
    <t xml:space="preserve">A.4.4.2.3. </t>
  </si>
  <si>
    <t>Pemasangan 1 m2 plesteran 1SP : 3PP tebal 15mm.</t>
  </si>
  <si>
    <t xml:space="preserve">A.4.4.2.4. </t>
  </si>
  <si>
    <t>Pemasangan 1 m2 plesteran 1SP : 4PP tebal 15 mm</t>
  </si>
  <si>
    <t xml:space="preserve">A.4.4.2.5. </t>
  </si>
  <si>
    <t>Pemasangan 1 m2 plesteran 1SP : 5PP tebal 15 mm</t>
  </si>
  <si>
    <t xml:space="preserve">A.4.4.2.6. </t>
  </si>
  <si>
    <t>Pemasangan 1 m2 plesteran 1SP : 6PP tebal 15 mm.</t>
  </si>
  <si>
    <t xml:space="preserve">A.4.4.2.7. </t>
  </si>
  <si>
    <t>Pemasangan 1 m2 plesteran 1SP : 7PP tebal 15 mm</t>
  </si>
  <si>
    <t xml:space="preserve">A.4.4.2.8. </t>
  </si>
  <si>
    <t>Pemasangan 1 m2 plesteran 1SP : 8PP tebal 15 mm</t>
  </si>
  <si>
    <t xml:space="preserve">A.4.4.2.9. </t>
  </si>
  <si>
    <t>Pemasangan 1 m2 plesteran 1SP : 1/2KP : 3PP tebal 15 mm</t>
  </si>
  <si>
    <t xml:space="preserve">A.4.4.2.10. </t>
  </si>
  <si>
    <t>Pemasangan 1 m2 plesteran 1SP : 2KP : 8PP tebal 15 mm</t>
  </si>
  <si>
    <t xml:space="preserve">A.4.4.2.11. </t>
  </si>
  <si>
    <t>Pemasangan 1 m2 plesteran 1SM : 1KP : 1PP tebal 15 mm</t>
  </si>
  <si>
    <t>Pemasangan 1 m2 plesteran 1SM : 1KP : 2PP tebal 15 mm</t>
  </si>
  <si>
    <t xml:space="preserve">A.4.4.2.12. </t>
  </si>
  <si>
    <t xml:space="preserve">A.4.4.2.13. </t>
  </si>
  <si>
    <t>Pemasangan 1 m2 plesteran 1SP : 1PP tebal 20 mm</t>
  </si>
  <si>
    <t xml:space="preserve">A.4.4.2.14. </t>
  </si>
  <si>
    <t>Pemasangan 1 m2 plesteran 1SP : 3PP tebal 20 mm</t>
  </si>
  <si>
    <t>Pemasangan 1 m2 plesteran 1SP : 4PP tebal 20 mm.</t>
  </si>
  <si>
    <t xml:space="preserve">A.4.4.2.15. </t>
  </si>
  <si>
    <t xml:space="preserve">A.4.4.2.16. </t>
  </si>
  <si>
    <t>Pemasangan 1 m2 plesteran 1SP : 5PP tebal 20 mm</t>
  </si>
  <si>
    <t xml:space="preserve">A.4.4.2.17. </t>
  </si>
  <si>
    <t>Pemasangan 1 m2 plesteran 1SP : 6PP tebal 20 mm</t>
  </si>
  <si>
    <t xml:space="preserve">A.4.4.2.18. </t>
  </si>
  <si>
    <t>Pemasangan 1 m2 plesteran 1SM : 1KP : 2PP tebal 20 mm</t>
  </si>
  <si>
    <t xml:space="preserve">A.4.4.2.19. </t>
  </si>
  <si>
    <t>Pemasangan 1 m2 berapen 1SP : 5PP tebal 15 mm</t>
  </si>
  <si>
    <t xml:space="preserve">A.4.4.2.20.  </t>
  </si>
  <si>
    <t>Pemasangan 1 m’ plesteran skoning 1SP : 3PP lebar 10 cm</t>
  </si>
  <si>
    <t xml:space="preserve">A.4.4.2.21. </t>
  </si>
  <si>
    <t>Pemasangan 1 m2 plesteran granit  1SP : 2 granit tebal 1cm</t>
  </si>
  <si>
    <t xml:space="preserve">A.4.4.2.22. </t>
  </si>
  <si>
    <t>Pemasangan 1 m2 plesteran traso  1SP : 2 traso tebal 1cm</t>
  </si>
  <si>
    <t xml:space="preserve">A.4.4.2.23. </t>
  </si>
  <si>
    <t>Pemasangan 1 m2 plesteran ciprat  1SP : 2PP</t>
  </si>
  <si>
    <t xml:space="preserve">A.4.4.2.24 </t>
  </si>
  <si>
    <t xml:space="preserve">A.4.4.2.25. </t>
  </si>
  <si>
    <t>Pemasangan 1 m2 finishing siar pasangan conblock ekspose</t>
  </si>
  <si>
    <t xml:space="preserve">A.4.4.2.26. </t>
  </si>
  <si>
    <t>Pemasangan 1 m2 finishing siar pasangan batu kali, campuran 1SP : 2PP.</t>
  </si>
  <si>
    <t xml:space="preserve">A.4.4.2.27. </t>
  </si>
  <si>
    <t>Pemasangan 1 m2 acian.</t>
  </si>
  <si>
    <t>A.4.4.3.1.</t>
  </si>
  <si>
    <t>Pemasangan 1m2 lantai ubin PC abu-abu ukuran 40cm x40cm</t>
  </si>
  <si>
    <t>A.4.4.3.2.</t>
  </si>
  <si>
    <t>Pemasangan 1m2 lantai ubin PC abu-abu ukuran 30cm x30 cm</t>
  </si>
  <si>
    <t xml:space="preserve">A.4.4.3.3. </t>
  </si>
  <si>
    <t>Pemasangan 1m2 lantai ubin PC abu-abu ukuran 20cm x20 cm</t>
  </si>
  <si>
    <t>A.4.4.3.4.</t>
  </si>
  <si>
    <t>Pemasangan 1m2 lantai ubin warna  ukuran 40cm x40 cm</t>
  </si>
  <si>
    <t>A.4.4.3.5.</t>
  </si>
  <si>
    <t>Pemasangan 1m2 lantai ubin warna  ukuran 30cm x30cm</t>
  </si>
  <si>
    <t>A.4.4.3.6.</t>
  </si>
  <si>
    <t>Pemasangan 1m2 lantai ubin warna  ukuran 20cm x20cm</t>
  </si>
  <si>
    <t>A.4.4.3.7.</t>
  </si>
  <si>
    <t>Pemasangan 1m2 lantai ubin teraso  ukuran 40cm x40cm</t>
  </si>
  <si>
    <t xml:space="preserve">A.4.4.3.8. </t>
  </si>
  <si>
    <t>Pemasangan 1m2 lantai ubin teraso  ukuran 30cm x30cm</t>
  </si>
  <si>
    <t>A.4.4.3.9.</t>
  </si>
  <si>
    <t>Pemasangan 1m2 lantai ubin granit  ukuran 40cm x40cm</t>
  </si>
  <si>
    <t>A.4.4.3.10.</t>
  </si>
  <si>
    <t>Pemasangan 1m2 lantai ubin granit  ukuran 30cm x30cm</t>
  </si>
  <si>
    <t>A.4.4.3.11.</t>
  </si>
  <si>
    <t>Pemasangan 1m2 lantai ubin teralux  marmer ukuran 40cm x40cm</t>
  </si>
  <si>
    <t xml:space="preserve">A.4.4.2.28. </t>
  </si>
  <si>
    <t xml:space="preserve">Pemasangan 1 m2 plesteran dengan mortar siap pakai (MSP) </t>
  </si>
  <si>
    <t xml:space="preserve">Pemasangan 1 m2 Acian dengan mortar siap pakai (MSP) </t>
  </si>
  <si>
    <t xml:space="preserve">A.4.4.2.29. </t>
  </si>
  <si>
    <t>ubin PC abu-abu ukuran 40cm x40cm</t>
  </si>
  <si>
    <t>ubin PC abu-abu ukuran 30cm x30 cm</t>
  </si>
  <si>
    <t>ubin PC abu-abu ukuran 20cm x20 cm</t>
  </si>
  <si>
    <t>ubin warna  ukuran 40cm x40 cm</t>
  </si>
  <si>
    <t>ubin warna  ukuran 30cm x30cm</t>
  </si>
  <si>
    <t>ubin warna  ukuran 20cm x20cm</t>
  </si>
  <si>
    <t>ubin teraso  ukuran 40cm x40cm</t>
  </si>
  <si>
    <t>ubin teraso  ukuran 30cm x30cm</t>
  </si>
  <si>
    <t>ubin granit  ukuran 40cm x40cm</t>
  </si>
  <si>
    <t>ubin granit  ukuran 30cm x30cm</t>
  </si>
  <si>
    <t>ubin teralux  marmer ukuran 40cm x40cm</t>
  </si>
  <si>
    <t>A.4.4.3.12.</t>
  </si>
  <si>
    <t>Pemasangan 1m2 lantai ubin teralux  ukuran 30cm x30cm</t>
  </si>
  <si>
    <t>ubin teralux  ukuran 30cm x30cm</t>
  </si>
  <si>
    <t>A.4.4.3.13.</t>
  </si>
  <si>
    <t>Pemasangan 1m2 lantai ubin teralux marmer ukuran 60cm x60cm</t>
  </si>
  <si>
    <t>ubin teralux marmer ukuran 60cm x60cm</t>
  </si>
  <si>
    <t>A.4.4.3.14.</t>
  </si>
  <si>
    <t>Pemasangan 1m2 lantai ubin teralux marmer ukuran 40cm x40cm</t>
  </si>
  <si>
    <t>ubin teralux marmer ukuran 40cm x40cm</t>
  </si>
  <si>
    <t>A.4.4.3.15.</t>
  </si>
  <si>
    <t>Pemasangan 1m2 lantai ubin teralux marmer ukuran 30cm x30cm</t>
  </si>
  <si>
    <t>ubin teralux marmer ukuran 30cm x30cm</t>
  </si>
  <si>
    <t>A.4.4.3.16.</t>
  </si>
  <si>
    <t>Pemasangan 1 m’ plint ubin Pc abu-abu ukuran 15cm x 20cm</t>
  </si>
  <si>
    <t>Plint ubin Pc abu-abu ukuran 15cm x 20cm</t>
  </si>
  <si>
    <t>A.4.4.3.17.</t>
  </si>
  <si>
    <t>Pemasangan 1 m’ plint ubin Pc abu-abu ukuran 10cm x 30cm</t>
  </si>
  <si>
    <t>Plint ubin Pc abu-abu ukuran 10cm x 30cm</t>
  </si>
  <si>
    <t>A.4.4.3.29.</t>
  </si>
  <si>
    <t>Pemasangan 1 m’ plint ubin teralux marmer ukuran 10cm x 40cm</t>
  </si>
  <si>
    <t>Plint ubin teralux marmer ukuran 10cm x 40cm</t>
  </si>
  <si>
    <t>A.4.4.3.28.</t>
  </si>
  <si>
    <t>Pemasangan 1 m’ plint ubin teralux marmer ukuran 10cm x 60cm</t>
  </si>
  <si>
    <t>plint ubin teralux marmer ukuran 10cm x 60cm</t>
  </si>
  <si>
    <t>A.4.4.3.27.</t>
  </si>
  <si>
    <t>Pemasangan 1 m’ plint ubin teralux kerang ukuran 10cm x 30cm</t>
  </si>
  <si>
    <t>Plint ubin teralux kerang ukuran 10cm x 30cm</t>
  </si>
  <si>
    <t>A.4.4.3.26.</t>
  </si>
  <si>
    <t>Pemasangan 1 m’ plint ubin teralux kerang ukuran 10cm x 40cm</t>
  </si>
  <si>
    <t>Plint ubin teralux kerang ukuran 10cm x 40cm</t>
  </si>
  <si>
    <t>A.4.4.3.25.</t>
  </si>
  <si>
    <t>Pemasangan 1 m’ plint ubin granit ukuran 10cm x 30cm</t>
  </si>
  <si>
    <t>Plint ubin granit ukuran 10cm x 30cm</t>
  </si>
  <si>
    <t>A.4.4.3.24.</t>
  </si>
  <si>
    <t>Pemasangan 1 m’ plint ubin granit ukuran 10cm x 40cm</t>
  </si>
  <si>
    <t>Plint ubin granit ukuran 10cm x 40cm</t>
  </si>
  <si>
    <t>Plint ubin teraso ukuran 10cm x 40cm</t>
  </si>
  <si>
    <t>Pemasangan 1 m’ plint ubin teraso ukuran 10cm x 40cm</t>
  </si>
  <si>
    <t>A.4.4.3.23.</t>
  </si>
  <si>
    <t>A.4.4.3.21.</t>
  </si>
  <si>
    <t>Pemasangan 1 m’ plint ubin warna ukuran 10cm x 40cm</t>
  </si>
  <si>
    <t>Plint ubin warna ukuran 10cm x 40cm</t>
  </si>
  <si>
    <t>A.4.4.3.22.</t>
  </si>
  <si>
    <t>Pemasangan 1 m’ plint ubin teraso ukuran 10cm x 30cm</t>
  </si>
  <si>
    <t>Plint ubin teraso ukuran 10cm x 30cm</t>
  </si>
  <si>
    <t>A.4.4.3.19.</t>
  </si>
  <si>
    <t>Pemasangan 1 m’ plint ubin warna ukuran 10cm x 20cm</t>
  </si>
  <si>
    <t>Plint ubin warna ukuran 10cm x 20cm</t>
  </si>
  <si>
    <t>A.4.4.3.20.</t>
  </si>
  <si>
    <t>Pemasangan 1 m’ plint ubin warna ukuran 10cm x 30cm</t>
  </si>
  <si>
    <t>Plint ubin warna ukuran 10cm x 30cm</t>
  </si>
  <si>
    <t>A.4.4.3.18.</t>
  </si>
  <si>
    <t>Pemasangan 1 m’ plint ubin Pc abu-abu ukuran 10cm x 40cm</t>
  </si>
  <si>
    <t>Plint ubin Pc abu-abu ukuran 10cm x 40cm</t>
  </si>
  <si>
    <t>A.4.4.3.30.</t>
  </si>
  <si>
    <t>Pemasangan 1 m’ plint ubin teralux marmer ukuran 10cm x 30cm</t>
  </si>
  <si>
    <t>Plint ubin teralux marmer ukuran 10cm x 30cm</t>
  </si>
  <si>
    <t>A.4.4.3.31.</t>
  </si>
  <si>
    <t>Pemasangan 1m2 lantai teraso cor di tempat, tebal 3cm</t>
  </si>
  <si>
    <t>Teraso cor di tempat, tebal 3cm</t>
  </si>
  <si>
    <t>A.4.4.3.32.</t>
  </si>
  <si>
    <t>Pemasangan 1m2 lantai keramik artistik 10cm x 20cm</t>
  </si>
  <si>
    <t>A.4.4.3.33.</t>
  </si>
  <si>
    <t>Pemasangan 1m2 lantai keramik artistik 10cm x 10cm atau 5cm x 20cm</t>
  </si>
  <si>
    <t>keramik artistik 10cm x 10cm atau 5cm x 20cm</t>
  </si>
  <si>
    <t>keramik artistik 10cm x 20cm</t>
  </si>
  <si>
    <t>A.4.4.3.34.</t>
  </si>
  <si>
    <t>Pemasangan 1m2 lantai keramik ukuran 33cm x 33cm</t>
  </si>
  <si>
    <t>keramik ukuran 33cm x 33cm</t>
  </si>
  <si>
    <t>A.4.4.3.35.</t>
  </si>
  <si>
    <t>keramik ukuran 30cm x 30cm</t>
  </si>
  <si>
    <t>A.4.4.3.36.</t>
  </si>
  <si>
    <t>Pemasangan 1m2 lantai keramik ukuran 20cm x 20cm</t>
  </si>
  <si>
    <t>Keramik ukuran 20cm x 20cm</t>
  </si>
  <si>
    <t>A.4.4.3.37.</t>
  </si>
  <si>
    <t>keramik ukuran 10cm x 33cm untuk variasi/border</t>
  </si>
  <si>
    <t>A.4.4.3.38.</t>
  </si>
  <si>
    <t>Pemasangan 1m2 lantai keramik mozaik ukuran 30cm x 30cm</t>
  </si>
  <si>
    <t>Keramik mozaik ukuran 30cm x 30cm</t>
  </si>
  <si>
    <t>A.4.4.3.39.</t>
  </si>
  <si>
    <t>Pemasangan 1 m’ plint keramik ukuran 10cm x 20cm</t>
  </si>
  <si>
    <t>Plint keramik ukuran 10cm x 20cm</t>
  </si>
  <si>
    <t>A.4.4.3.40.</t>
  </si>
  <si>
    <t>Pemasangan 1 m’ plint keramik ukuran 10cm x 10cm</t>
  </si>
  <si>
    <t>Plint keramik ukuran 10cm x 10cm</t>
  </si>
  <si>
    <t>A.4.4.3.41.</t>
  </si>
  <si>
    <t>Pemasangan 1 m’ plint keramik ukuran 5cm x 20cm</t>
  </si>
  <si>
    <t>Plint keramik ukuran 5cm x 20cm</t>
  </si>
  <si>
    <t>A.4.4.3.42.</t>
  </si>
  <si>
    <t>Pemasangan 1 m’ plint internal cove artistik 5cm x 5cm x 20cm</t>
  </si>
  <si>
    <t>Plint internal cove artistik 5cm x 5cm x 20cm</t>
  </si>
  <si>
    <t>A.4.4.3.43.</t>
  </si>
  <si>
    <t>A.4.4.3.44.</t>
  </si>
  <si>
    <t>Pemasangan 1 m2 lantai karpet</t>
  </si>
  <si>
    <t>lantai karpet</t>
  </si>
  <si>
    <t>A.4.4.3.45.</t>
  </si>
  <si>
    <t>Pemasangan 1 m2 underlayer (pelapis bawah karpet)</t>
  </si>
  <si>
    <t>underlayer (pelapis bawah karpet)</t>
  </si>
  <si>
    <t>A.4.4.3.46.</t>
  </si>
  <si>
    <t>Pemasangan 1 m2 lantai parquet kayu</t>
  </si>
  <si>
    <t>Parquet kayu</t>
  </si>
  <si>
    <t>A.4.4.3.47.</t>
  </si>
  <si>
    <t>Pemasangan 1 m2 lantai  kayu gymfloor</t>
  </si>
  <si>
    <t>Parquet kayu gymfloor</t>
  </si>
  <si>
    <t>A.4.4.3.48.</t>
  </si>
  <si>
    <t>Pemasangan 1 m2 dinding porslen 11cm x 11cm</t>
  </si>
  <si>
    <t>Porselen Dinding 11x11</t>
  </si>
  <si>
    <t>A.4.4.3.49.</t>
  </si>
  <si>
    <t>Pemasangan 1 m2 dinding porslen 10cm x 20cm</t>
  </si>
  <si>
    <t>Porselen Dinding 10x20</t>
  </si>
  <si>
    <t>A.4.4.3.50.</t>
  </si>
  <si>
    <t>Pemasangan 1 m2 dinding porslen 20cm x 20cm</t>
  </si>
  <si>
    <t>Porselen Dinding 20x20</t>
  </si>
  <si>
    <t>A.4.4.3.51.</t>
  </si>
  <si>
    <t>Pemasangan 1 m2 dinding keramik artistik  10cm x 20cm</t>
  </si>
  <si>
    <t>Keramik Dinding artistik</t>
  </si>
  <si>
    <t>A.4.4.3.52.</t>
  </si>
  <si>
    <t>Pemasangan 1 m2 dinding keramik artistik  5cm x 20cm</t>
  </si>
  <si>
    <t>keramik Dinding artistik  5cm x 20cm</t>
  </si>
  <si>
    <t>A.4.4.3.53.</t>
  </si>
  <si>
    <t>Pemasangan 1 m2 dinding keramik 10cm x 20cm</t>
  </si>
  <si>
    <t>keramik Dinding 10cm x 20cm</t>
  </si>
  <si>
    <t>A.4.4.3.54.</t>
  </si>
  <si>
    <t>Pemasangan 1 m2 dinding keramik  20cm x 20cm</t>
  </si>
  <si>
    <t>keramik Dinding 20cm x 20cm</t>
  </si>
  <si>
    <t>A.4.4.3.55.</t>
  </si>
  <si>
    <t>Pemasangan 1 m2 dinding marmer 100cm x 100cm</t>
  </si>
  <si>
    <t>marmer Dinding 100cm x 100cm</t>
  </si>
  <si>
    <t>A.4.4.3.56.</t>
  </si>
  <si>
    <t>Pemasangan 1 m2 dinding bata pelapis 3cm x 7cm x 24cm</t>
  </si>
  <si>
    <t>Bata pelapis Dinding 3cm x 7cm x 24cm</t>
  </si>
  <si>
    <t>A.4.4.3.57.</t>
  </si>
  <si>
    <t>Pemasangan 1 m2 dinding batu paras</t>
  </si>
  <si>
    <t>Batu paras Dinding</t>
  </si>
  <si>
    <t>A.4.4.3.58.</t>
  </si>
  <si>
    <t>A.4.4.3.59.</t>
  </si>
  <si>
    <t>Pemasangan 1 m2 lantai vynil ukuran 30cm x 30cm</t>
  </si>
  <si>
    <t>A.4.4.3.60.</t>
  </si>
  <si>
    <t>Pemasangan 1 m2 wallpaper lebar 50 cm</t>
  </si>
  <si>
    <t>wallpaper lebar 50 cm</t>
  </si>
  <si>
    <t>A.4.4.3.61.</t>
  </si>
  <si>
    <t>Pemasangan 1m2 floor harderner</t>
  </si>
  <si>
    <t>floor harderner</t>
  </si>
  <si>
    <t>A.4.4.3.62.</t>
  </si>
  <si>
    <t>Pemasangan 1 m’ plint vynil 15cm x 30cm</t>
  </si>
  <si>
    <t>plint vynil 15cm x 30cm</t>
  </si>
  <si>
    <t xml:space="preserve">A.4.4.3.63. </t>
  </si>
  <si>
    <t>Pemasangan 1 m’ plint kayu tebal 2 cm lebar 10 cm</t>
  </si>
  <si>
    <t>Pemasangan 1 m2 langit-langit asbes semen, tebal  4 mm, 5 mm, dan 6 mm</t>
  </si>
  <si>
    <t xml:space="preserve">A.4.5.1.1. </t>
  </si>
  <si>
    <t xml:space="preserve">A.4.4.3.64. </t>
  </si>
  <si>
    <t xml:space="preserve">Pemasangan 1 m2 paving block natural tebal 6 cm </t>
  </si>
  <si>
    <t>Peralatan Kerja Paving Blok</t>
  </si>
  <si>
    <t xml:space="preserve">A.4.4.3.65. </t>
  </si>
  <si>
    <t xml:space="preserve">Pemasangan 1 m2 paving block natural tebal 8 cm </t>
  </si>
  <si>
    <t xml:space="preserve">A.4.4.3.66. </t>
  </si>
  <si>
    <t>Pemasangan 1 m2 paving block berwarna tebal 6 cm</t>
  </si>
  <si>
    <t xml:space="preserve">A.4.4.3.67. </t>
  </si>
  <si>
    <t xml:space="preserve">Pemasangan 1 m2 paving block berwarna tebal 8 cm </t>
  </si>
  <si>
    <t xml:space="preserve">A.4.5.2.1. </t>
  </si>
  <si>
    <t>Pemasangan 1 m2 atap genteng palentong kecil</t>
  </si>
  <si>
    <t xml:space="preserve">A.4.5.2.2. </t>
  </si>
  <si>
    <t>Pemasangan 1 m2 atap genteng kodok glazuur</t>
  </si>
  <si>
    <t xml:space="preserve">A.4.5.2.3. </t>
  </si>
  <si>
    <t>Pemasangan 1 m2 atap genteng palentong besar/super</t>
  </si>
  <si>
    <t xml:space="preserve">A.4.5.2.4. </t>
  </si>
  <si>
    <t>Pemasangan 1 m’ bubung genteng  palentong</t>
  </si>
  <si>
    <t xml:space="preserve">A.4.5.2.5. </t>
  </si>
  <si>
    <t>Pemasangan 1 m’  bubung genteng kodok glazuur</t>
  </si>
  <si>
    <t xml:space="preserve">A.4.5.2.6. </t>
  </si>
  <si>
    <t>Pemasangan 1 m’  bubung genteng palentong besar</t>
  </si>
  <si>
    <t xml:space="preserve">A.4.5.2.7. </t>
  </si>
  <si>
    <t>Pemasangan 1 m2  roof light fibreglass 90x180</t>
  </si>
  <si>
    <t xml:space="preserve">A.4.5.2.8. </t>
  </si>
  <si>
    <t>Pemasangan 1 m2  atap asbes gelombang  0,92mx2,5m x 5mm</t>
  </si>
  <si>
    <t xml:space="preserve">A.4.5.2.9. </t>
  </si>
  <si>
    <t>Pemasangan 1 m2  atap asbes gelombang  0,92mx2,25m x 5mm</t>
  </si>
  <si>
    <t xml:space="preserve">A.4.5.2.10. </t>
  </si>
  <si>
    <t>Pemasangan 1 m2  atap asbes gelombang  0,92mx2,00m x 5mm</t>
  </si>
  <si>
    <t xml:space="preserve">A.4.5.2.11. </t>
  </si>
  <si>
    <t>Pemasangan 1 m2  atap asbes gelombang  0,92mx1.80m x 5mm</t>
  </si>
  <si>
    <t xml:space="preserve">A.4.5.2.12. </t>
  </si>
  <si>
    <t>Pemasangan 1 m2  atap asbes gelombang  1.05mx3.00m x 4mm</t>
  </si>
  <si>
    <t xml:space="preserve">A.4.5.2.13. </t>
  </si>
  <si>
    <t>Pemasangan 1 m2  atap asbes gelombang  1.05mx2.70m x 4mm</t>
  </si>
  <si>
    <t xml:space="preserve">A.4.5.2.14. </t>
  </si>
  <si>
    <t>Pemasangan 1 m2  atap asbes gelombang  1.05mx2.40m x 4mm</t>
  </si>
  <si>
    <t>Pengukuran dan pemasangan 1 m’ Bouwplank</t>
  </si>
  <si>
    <t>(K3) Pembuatan 1 m2 steger/perancah dari bambu</t>
  </si>
  <si>
    <t>Pemasangan 1 m2  pagar kawat jaring galvanis panjang 240 cm</t>
  </si>
  <si>
    <t>Bobot isi pasir = 1.400 kg/m3,  Bobot isi kerikil = 1.350 kg/m3, Buckling factor pasir = 20 %</t>
  </si>
  <si>
    <t>Membuat 1 m’ PVC Waterstop lebar 230 mm - 320 mm</t>
  </si>
  <si>
    <t>Pemasangan 10 kg jaring kawat baja (wiremesh)</t>
  </si>
  <si>
    <t>Besi scuare tube</t>
  </si>
  <si>
    <t>Venetions blinds dan vertical blinds (tirai)</t>
  </si>
  <si>
    <t>Pemasangan 1 m2 finishing siar pasangan bata merah</t>
  </si>
  <si>
    <t>Peralatan potong pipa T2/mekanik / cilinder saw</t>
  </si>
  <si>
    <t>Valve Ø 150 mm</t>
  </si>
  <si>
    <t>Valve Ø 200 mm</t>
  </si>
  <si>
    <t>Valve Ø 250 mm</t>
  </si>
  <si>
    <t>Valve Ø 300 mm</t>
  </si>
  <si>
    <t>Valve Ø 400 mm</t>
  </si>
  <si>
    <t>Valve Ø 450 mm</t>
  </si>
  <si>
    <t>Valve Ø 500 mm</t>
  </si>
  <si>
    <t>Valve Ø 600 mm</t>
  </si>
  <si>
    <t>Valve Ø 700 mm</t>
  </si>
  <si>
    <t>Valve Ø 800 mm</t>
  </si>
  <si>
    <t>Valve Ø 900 mm</t>
  </si>
  <si>
    <t>Valve Ø 1000 mm</t>
  </si>
  <si>
    <t>Valve Ø 1100 mm</t>
  </si>
  <si>
    <t>Valve Ø 1200 mm</t>
  </si>
  <si>
    <t>Tee Ø 150 mm</t>
  </si>
  <si>
    <t>Tee Ø 200 mm</t>
  </si>
  <si>
    <t>Tee Ø 250 mm</t>
  </si>
  <si>
    <t>Tee Ø 300 mm</t>
  </si>
  <si>
    <t>Tee Ø 400 mm</t>
  </si>
  <si>
    <t>Tee Ø 450 mm</t>
  </si>
  <si>
    <t>Tee Ø 500 mm</t>
  </si>
  <si>
    <t>Tee Ø 600 mm</t>
  </si>
  <si>
    <t>Tee Ø 700 mm</t>
  </si>
  <si>
    <t>Tee Ø 800 mm</t>
  </si>
  <si>
    <t>Tee Ø 900 mm</t>
  </si>
  <si>
    <t>Tee Ø 1000 mm</t>
  </si>
  <si>
    <t>Tee Ø 1100 mm</t>
  </si>
  <si>
    <t>Tee Ø 1200 mm</t>
  </si>
  <si>
    <t>Pengurugan kembali 1 m3 galian dihitung dari 1/3 kali dari koefisien pekerjaan galian</t>
  </si>
  <si>
    <r>
      <t>CATATAN: Bobot isi pasir = 1400 kg/m</t>
    </r>
    <r>
      <rPr>
        <i/>
        <vertAlign val="superscript"/>
        <sz val="10"/>
        <color rgb="FF000000"/>
        <rFont val="Arial"/>
        <family val="2"/>
      </rPr>
      <t>3</t>
    </r>
    <r>
      <rPr>
        <i/>
        <sz val="10"/>
        <color rgb="FF000000"/>
        <rFont val="Arial"/>
        <family val="2"/>
      </rPr>
      <t>, Bobot isi kerikil = 1350 kg/m</t>
    </r>
    <r>
      <rPr>
        <i/>
        <vertAlign val="superscript"/>
        <sz val="10"/>
        <color rgb="FF000000"/>
        <rFont val="Arial"/>
        <family val="2"/>
      </rPr>
      <t>3</t>
    </r>
    <r>
      <rPr>
        <i/>
        <sz val="10"/>
        <color rgb="FF000000"/>
        <rFont val="Arial"/>
        <family val="2"/>
      </rPr>
      <t xml:space="preserve">, Buckling factor pasir  = 20% </t>
    </r>
  </si>
  <si>
    <r>
      <t>M</t>
    </r>
    <r>
      <rPr>
        <vertAlign val="superscript"/>
        <sz val="10"/>
        <color rgb="FF000000"/>
        <rFont val="Arial"/>
        <family val="2"/>
      </rPr>
      <t>2</t>
    </r>
  </si>
  <si>
    <r>
      <t>M</t>
    </r>
    <r>
      <rPr>
        <vertAlign val="superscript"/>
        <sz val="10"/>
        <color rgb="FF000000"/>
        <rFont val="Arial"/>
        <family val="2"/>
      </rPr>
      <t>3</t>
    </r>
  </si>
  <si>
    <t xml:space="preserve">A.4.5.2.15. </t>
  </si>
  <si>
    <t>Pemasangan 1 m2  atap asbes gelombang  1.05mx2.10m x 4mm</t>
  </si>
  <si>
    <t xml:space="preserve">A.4.5.2.16. </t>
  </si>
  <si>
    <t>Pemasangan 1 m2   atap asbes gelombang  1.05mx1.50m x 4mm</t>
  </si>
  <si>
    <t xml:space="preserve">A.4.5.2.17. </t>
  </si>
  <si>
    <t>Pemasangan 1 m2   atap asbes gelombang  1.08mx3.00m x 6mm</t>
  </si>
  <si>
    <t xml:space="preserve">A.4.5.2.18. </t>
  </si>
  <si>
    <t>Pemasangan 1 m2   atap asbes gelombang  1.08mx2.70m x 6mm</t>
  </si>
  <si>
    <t xml:space="preserve">A.4.5.2.20. </t>
  </si>
  <si>
    <t>Pemasangan 1 m2   atap asbes gelombang  1.08mx2.10m x 6mm</t>
  </si>
  <si>
    <t xml:space="preserve">A.4.5.2.21. </t>
  </si>
  <si>
    <t>Pemasangan 1 m2   atap asbes gelombang  1.08mx1.80m x 6mm</t>
  </si>
  <si>
    <t xml:space="preserve">A.4.5.2.22. </t>
  </si>
  <si>
    <t>Pemasangan 1 m’  bubung stel  gelombang  0,92m</t>
  </si>
  <si>
    <t xml:space="preserve">A.4.5.2.23. </t>
  </si>
  <si>
    <t>Pemasangan 1 m’  bubung stel  gelombang  1,05m</t>
  </si>
  <si>
    <t xml:space="preserve">A.4.5.2.24. </t>
  </si>
  <si>
    <t>Pemasangan 1 m’  bubung stel  gelombang  1,08m</t>
  </si>
  <si>
    <t xml:space="preserve">A.4.5.2.25. </t>
  </si>
  <si>
    <t>Pemasangan 1 m’ nok paten 0,92m</t>
  </si>
  <si>
    <t xml:space="preserve">A.4.5.2.26. </t>
  </si>
  <si>
    <t>Pemasangan 1 m’ nok paten 1,05m</t>
  </si>
  <si>
    <t xml:space="preserve">A.4.5.2.27. </t>
  </si>
  <si>
    <t>Pemasangan 1 m’ nok paten 1,08m</t>
  </si>
  <si>
    <t xml:space="preserve">A.4.5.2.28. </t>
  </si>
  <si>
    <t>Pemasangan 1 m’ nok stel rata 0,92m</t>
  </si>
  <si>
    <t xml:space="preserve">A.4.5.2.29. </t>
  </si>
  <si>
    <t>Pemasangan 1 m’ nok stel rata 1,05m</t>
  </si>
  <si>
    <t xml:space="preserve">A.4.5.2.30. </t>
  </si>
  <si>
    <t>Pemasangan 1 m2 genteng beton</t>
  </si>
  <si>
    <t xml:space="preserve">A.4.5.2.31. </t>
  </si>
  <si>
    <t>Pemasangan 1 m2 genteng aspal</t>
  </si>
  <si>
    <t xml:space="preserve">A.4.5.2.32. </t>
  </si>
  <si>
    <t xml:space="preserve">Pemasangan 1 m2 genteng metal ukuran 80 x 100 atap pelana </t>
  </si>
  <si>
    <t xml:space="preserve">A.4.5.2.33. </t>
  </si>
  <si>
    <t>Pemasangan 1 m2 genteng metal ukuran 80 x 100 atap Jurai</t>
  </si>
  <si>
    <t>Pemasangan 1 m2 atap sirap kayu</t>
  </si>
  <si>
    <t xml:space="preserve">A.4.5.2.34. </t>
  </si>
  <si>
    <t>Pemasangan 1 m’ nok genteng beton</t>
  </si>
  <si>
    <t xml:space="preserve">A.4.5.2.35. </t>
  </si>
  <si>
    <t>Pemasangan 1 m’ nok genteng aspal</t>
  </si>
  <si>
    <t xml:space="preserve">A.4.5.2.36. </t>
  </si>
  <si>
    <t>Pemasangan 1 m’ nok genteng metal</t>
  </si>
  <si>
    <t xml:space="preserve">A.4.5.2.37. </t>
  </si>
  <si>
    <t>Pemasangan 1 m’ nok sirap</t>
  </si>
  <si>
    <t xml:space="preserve">A.4.5.2.38. </t>
  </si>
  <si>
    <t xml:space="preserve">A.4.5.2.41. </t>
  </si>
  <si>
    <t>Pemasangan 1 m2 atap alumunium</t>
  </si>
  <si>
    <t xml:space="preserve">A.4.5.2.40. </t>
  </si>
  <si>
    <t>Pemasangan 1 m’nok atap seng</t>
  </si>
  <si>
    <t xml:space="preserve">A.4.5.2.39. </t>
  </si>
  <si>
    <t>Pemasangan 1 m2 atap seng gelombang</t>
  </si>
  <si>
    <t>A.4.5.2.42.</t>
  </si>
  <si>
    <t>Pemasangan 1 m’ nok alumunium</t>
  </si>
  <si>
    <t xml:space="preserve">A.4.5.2.43. </t>
  </si>
  <si>
    <t>Pemasangan 1 m2 alumunium foil/sisalation</t>
  </si>
  <si>
    <t xml:space="preserve">A.4.6.1.1. </t>
  </si>
  <si>
    <t>Pembuatan dan pemasangan 1 m3 kusen pintu dan kusen jendela, kayu kelas I</t>
  </si>
  <si>
    <t>A.4.6.1.2.</t>
  </si>
  <si>
    <t>Pembuatan dan pemasangan 1 m3 kusen pintu dan kusen jendela, kayu kelas II atau III</t>
  </si>
  <si>
    <t xml:space="preserve">A.4.6.1.3. </t>
  </si>
  <si>
    <t>Pembuatan dan pemasangan 1 m2 pintu klamp standar, kayu kelas II</t>
  </si>
  <si>
    <t xml:space="preserve">A.4.6.1.4. </t>
  </si>
  <si>
    <t>Pembuatan dan pemasangan 1 m2 pintu klamp sederhana, kayu kelas III</t>
  </si>
  <si>
    <t xml:space="preserve">A.4.6.1.6. </t>
  </si>
  <si>
    <t>Pembuatan dan pemasangan 1 m2 pintu  dan jendela kaca, kayu kelas I atau II</t>
  </si>
  <si>
    <t xml:space="preserve">A.4.6.1.7. </t>
  </si>
  <si>
    <t>Pembuatan dan pemasangan 1 m2 pintu dan jendela jalusi kayu kelas I atau II</t>
  </si>
  <si>
    <t xml:space="preserve">A.4.6.1.8. </t>
  </si>
  <si>
    <t>Pembuatan 1 m2 daun pintu plywood  rangkap, rangka kayu kelas II tertutup</t>
  </si>
  <si>
    <t xml:space="preserve">A.4.6.1.10. </t>
  </si>
  <si>
    <t>Pemasangan 1 m2 jalusi kusen, kayu kelas I atau II</t>
  </si>
  <si>
    <t xml:space="preserve">A.4.6.1.9. </t>
  </si>
  <si>
    <t>Pembuatan 1 m2 pintu plywood  rangkap, rangka expose kayu kelas I atau II</t>
  </si>
  <si>
    <t xml:space="preserve">A.4.6.1.12. </t>
  </si>
  <si>
    <t>Pemasangan 1 m2 teakwood rangkap lapis formika, rangka expose kayu kelas II</t>
  </si>
  <si>
    <t xml:space="preserve">A.4.6.1.11. </t>
  </si>
  <si>
    <t>Pemasangan 1 m2 teakwood rangkap, rangka expose kayu kelas I</t>
  </si>
  <si>
    <t xml:space="preserve">A.4.6.1.13. </t>
  </si>
  <si>
    <t>Pemasangan 1 m3 konstruksi kuda-kuda konvensional, kayu kelas I, II dan III bentang 6 meter</t>
  </si>
  <si>
    <t xml:space="preserve">A.4.6.1.14. </t>
  </si>
  <si>
    <t>Pemasangan 1 m3 konstruksi kuda-kuda expose, kayu kelas I</t>
  </si>
  <si>
    <t xml:space="preserve">A.4.6.1.15. </t>
  </si>
  <si>
    <t>Pemasangan 1 m3 konstruksi gordeng, kayu kelas II</t>
  </si>
  <si>
    <t xml:space="preserve">A.4.6.1.16. </t>
  </si>
  <si>
    <t>Pemasangan 1 m2 rangka atap genteng keramik, kayu kelas II</t>
  </si>
  <si>
    <t xml:space="preserve">A.4.6.1.17. </t>
  </si>
  <si>
    <t>Pemasangan 1 m2 rangka atap genteng beton, kayu kelas II</t>
  </si>
  <si>
    <t xml:space="preserve">A.4.6.1.18. </t>
  </si>
  <si>
    <t>Pemasangan 1 m2 rangka atap sirap,  kayu  kelas II</t>
  </si>
  <si>
    <t xml:space="preserve">A.4.6.1.19. </t>
  </si>
  <si>
    <t xml:space="preserve">Pemasangan 1 m2 rangka langit-langit (50 x 100) cm,  kayu  kelas II atau III </t>
  </si>
  <si>
    <t>A.4.6.1.20.</t>
  </si>
  <si>
    <t xml:space="preserve">Pemasangan 1 m2 rangka langit-langit (60 x 60) cm,  kayu  kelas II  atau III </t>
  </si>
  <si>
    <t xml:space="preserve">A.4.6.1.22. </t>
  </si>
  <si>
    <t>Pemasangan 1 m’  lisplank ukuran (3 x 30) cm, kayu kelas I atau kelas II</t>
  </si>
  <si>
    <t xml:space="preserve">A.4.6.1.23. </t>
  </si>
  <si>
    <t>Pemasangan 1 m2 rangka dinding pemisah  (60 x 120) cm kayu kelas II atau III</t>
  </si>
  <si>
    <t xml:space="preserve">A.4.6.1.24. </t>
  </si>
  <si>
    <t>Pemasangan 1 m2 dinding pemisah teakwood rangkap, rangka kayu kelas II</t>
  </si>
  <si>
    <t xml:space="preserve">A.4.6.1.25. </t>
  </si>
  <si>
    <t>Pemasangan 1 m2 dinding pemisah plywood rangkap, rangka kayu kelas II</t>
  </si>
  <si>
    <t xml:space="preserve">A.4.6.1.26. </t>
  </si>
  <si>
    <t>Pemasangan 1 m2 dinding lambrisering dari Kayu Papan kelas I</t>
  </si>
  <si>
    <t xml:space="preserve">A.4.6.1.27. </t>
  </si>
  <si>
    <t>Pemasangan 1 m2 dinding lambrisering dari plywood ukuran (120 x 240) cm</t>
  </si>
  <si>
    <t xml:space="preserve">A.4.6.1.28. </t>
  </si>
  <si>
    <t>Pemasangan 1 m2 dinding bilik, rangka kayu kelas III atau IV</t>
  </si>
  <si>
    <t xml:space="preserve">A.4.6.2.1. </t>
  </si>
  <si>
    <t xml:space="preserve">A.4.6.2.2. </t>
  </si>
  <si>
    <t>Pemasangan 1 buah kunci tanam biasa</t>
  </si>
  <si>
    <t xml:space="preserve">A.4.6.2.3. </t>
  </si>
  <si>
    <t>Pemasangan 1 buah kunci kamar mandi</t>
  </si>
  <si>
    <t xml:space="preserve">A.4.6.2.4. </t>
  </si>
  <si>
    <t>Pemasangan 1 buah kunci silinder</t>
  </si>
  <si>
    <t xml:space="preserve">A.4.6.2.5. </t>
  </si>
  <si>
    <t>Pemasangan 1 buah engsel pintu</t>
  </si>
  <si>
    <t xml:space="preserve">A.4.6.2.6. </t>
  </si>
  <si>
    <t>Pemasangan 1 buah engsel jendela kupu-kupu</t>
  </si>
  <si>
    <t xml:space="preserve">A.4.6.2.7. </t>
  </si>
  <si>
    <t>Pemasangan 1 buah engsel angin</t>
  </si>
  <si>
    <t xml:space="preserve">A.4.6.2.8. </t>
  </si>
  <si>
    <t>Pemasangan 1 buah spring knip</t>
  </si>
  <si>
    <t xml:space="preserve">A.4.6.2.9. </t>
  </si>
  <si>
    <t>Pemasangan 1 buah kait angin</t>
  </si>
  <si>
    <t xml:space="preserve">A.4.6.2.10. </t>
  </si>
  <si>
    <t>Pemasangan 1 buah door closer</t>
  </si>
  <si>
    <t xml:space="preserve">A.4.6.2.11. </t>
  </si>
  <si>
    <t>Pemasangan 1 buah kunci slot</t>
  </si>
  <si>
    <t xml:space="preserve">A.4.6.2.12. </t>
  </si>
  <si>
    <t>Pemasangan 1 buah Door holder</t>
  </si>
  <si>
    <t xml:space="preserve">A.4.6.2.13. </t>
  </si>
  <si>
    <t>Pemasangan 1 buah door stop</t>
  </si>
  <si>
    <t xml:space="preserve">A.4.6.2.16. </t>
  </si>
  <si>
    <t>Pemasangan 1 m2 kaca tebal 3 mm</t>
  </si>
  <si>
    <t xml:space="preserve">A.4.6.2.14. </t>
  </si>
  <si>
    <t>Pemasangan 1 buah Rrel pintu sorong</t>
  </si>
  <si>
    <t xml:space="preserve">A.4.6.2.15. </t>
  </si>
  <si>
    <t>Pemasangan 1 buah kunci lemari</t>
  </si>
  <si>
    <t xml:space="preserve">A.4.6.2.17. </t>
  </si>
  <si>
    <t>Pemasangan 1 m2 kaca tebal 5 mm</t>
  </si>
  <si>
    <t xml:space="preserve">A.4.6.2.18. </t>
  </si>
  <si>
    <t>Pemasangan 1 m2 kaca tebal 8 mm</t>
  </si>
  <si>
    <t xml:space="preserve">A.4.6.2.19. </t>
  </si>
  <si>
    <t>Pemasangan 1 m2 kaca buram tebal 12 mm</t>
  </si>
  <si>
    <t xml:space="preserve">A.4.6.2.20. </t>
  </si>
  <si>
    <t>Pemasangan 1 m2 kaca cermin tebal 5 mm</t>
  </si>
  <si>
    <t xml:space="preserve">A.4.6.2.21. </t>
  </si>
  <si>
    <t>Pemasangan 1 m2 kaca cermin tebal 8 mm</t>
  </si>
  <si>
    <t xml:space="preserve">A.4.6.2.22. </t>
  </si>
  <si>
    <t>Pemasangan 1 m2 kaca wireglassed tebal 5 mm</t>
  </si>
  <si>
    <t xml:space="preserve">A.4.6.2.23. </t>
  </si>
  <si>
    <t>Pemasangan 1 m2 kaca patri tebal 5 mm</t>
  </si>
  <si>
    <t xml:space="preserve">A.4.7.1.1. </t>
  </si>
  <si>
    <t>1 m2 Pengikisan/pengerokan permukaan cat lama</t>
  </si>
  <si>
    <t>A.4.7.1.2.</t>
  </si>
  <si>
    <t xml:space="preserve"> 1 m2 Pencucian bidang  permukaan tembok yang pernah dicat</t>
  </si>
  <si>
    <t>A.4.7.1.3.</t>
  </si>
  <si>
    <t xml:space="preserve"> 1 m2  Pengerokan karat pada permukaan baja cara manual</t>
  </si>
  <si>
    <t xml:space="preserve">A.4.7.1.4. </t>
  </si>
  <si>
    <t>1 m2  Pengecatan bidang kayu baru (1 lapis plamuur, 1 lapis cat dasar, 2 lapis cat penutup)</t>
  </si>
  <si>
    <t xml:space="preserve">A.4.7.1.5. </t>
  </si>
  <si>
    <t>Pengecatan 1 m2  bidang kayu baru (1 lapis plamuur, 1 lapis cat dasar, 3 lapis cat Penutup)</t>
  </si>
  <si>
    <t xml:space="preserve">A.4.7.1.6. </t>
  </si>
  <si>
    <t>Pelaburan 1 m2 bidang kayu dengan teak oil</t>
  </si>
  <si>
    <t xml:space="preserve">A.4.7.1.7. </t>
  </si>
  <si>
    <t>Pelaburan 1 m2 bidang kayu dengan politur</t>
  </si>
  <si>
    <t xml:space="preserve">A.4.7.1.8. </t>
  </si>
  <si>
    <t>Pelaburan 1 m2 bidang kayu dengan cat residu dan ter</t>
  </si>
  <si>
    <t xml:space="preserve">A.4.7.1.9. </t>
  </si>
  <si>
    <t>Pelaburan 1 m2 bidang kayu dengan vernis</t>
  </si>
  <si>
    <t xml:space="preserve">A.4.7.1.10. </t>
  </si>
  <si>
    <t>Pengecatan 1 m2   tembok baru ( 1lapis plamuur, 1 lapis cat dasar, 2 lapis cat penutup)</t>
  </si>
  <si>
    <t xml:space="preserve">A.4.7.1.11.   </t>
  </si>
  <si>
    <t>Pengecatan 1 m2 tembok lama ( 1 lapis cat dasar, 2 lapis cat penutup)</t>
  </si>
  <si>
    <t xml:space="preserve">A.4.7.1.12. </t>
  </si>
  <si>
    <t>Pelaburan 1 m2 tembok dengan kalkarium</t>
  </si>
  <si>
    <t xml:space="preserve">A.4.7.1.13. </t>
  </si>
  <si>
    <t>Pelaburan 1 m2 tembok dengan kapur sirih</t>
  </si>
  <si>
    <t xml:space="preserve">A.4.7.1.14. </t>
  </si>
  <si>
    <t>Pelaburan 1 m2 tembok lama dengan kapur sirih (pemeliharaan)</t>
  </si>
  <si>
    <t xml:space="preserve">A.4.7.1.15. </t>
  </si>
  <si>
    <t>Pemasangan 1 m2 wallpaper</t>
  </si>
  <si>
    <t xml:space="preserve">A.4.7.1.16.   </t>
  </si>
  <si>
    <t>Pengecatan 1 m2 permukaan baja dengan menie besi</t>
  </si>
  <si>
    <t xml:space="preserve">A.4.7.1.17.   </t>
  </si>
  <si>
    <t>Pengecatan 1 m2 permukaan baja dengan menie besi dengan perancah</t>
  </si>
  <si>
    <t xml:space="preserve">A.4.7.1.18.   </t>
  </si>
  <si>
    <t>Pengecatan 1 m2 permukaan baja galvanis secara manual 4 lapis</t>
  </si>
  <si>
    <t xml:space="preserve">A.4.7.1.19. </t>
  </si>
  <si>
    <t>Pengecatan 1 m2   permukaan baja galvanis secara manual sistem 1 lapis cat mutakhir</t>
  </si>
  <si>
    <t xml:space="preserve">A.4.7.1.20.   </t>
  </si>
  <si>
    <t>Pengecatan 1 m2 permukaan baja galvanis secara manual sistem 3 lapis</t>
  </si>
  <si>
    <t xml:space="preserve">A.4.7.1.21.   </t>
  </si>
  <si>
    <t>Pengecatan 1 m2   permukaan baja galvanis secara semprot sistem 3 lapis cat mutakhir</t>
  </si>
  <si>
    <t xml:space="preserve">A.4.7.1.22.   </t>
  </si>
  <si>
    <t xml:space="preserve">Plituran 10 m2 dengan plitur melamic </t>
  </si>
  <si>
    <t xml:space="preserve">A.5.1.1.1. </t>
  </si>
  <si>
    <t>(K3) Pemasangan 1 buah closet duduk/monoblock</t>
  </si>
  <si>
    <t xml:space="preserve">A.5.1.1 2. </t>
  </si>
  <si>
    <t>Pemasangan 1 buah closet jongkok porslen</t>
  </si>
  <si>
    <t xml:space="preserve">A.5.1.1 3. </t>
  </si>
  <si>
    <t>Pemasangan 1 buah closet jongkok teraso</t>
  </si>
  <si>
    <t xml:space="preserve">A.5.1.1 4. </t>
  </si>
  <si>
    <t>(K3) Pemasangan 1 buah urinoir</t>
  </si>
  <si>
    <t xml:space="preserve">A.5.1.1 5. </t>
  </si>
  <si>
    <t>(K3) Pemasangan 1 buah wastafel</t>
  </si>
  <si>
    <t xml:space="preserve">A.5.1.1 6. </t>
  </si>
  <si>
    <t>(K3) Pemasangan 1 buah bathcuip porselen</t>
  </si>
  <si>
    <t xml:space="preserve">A.5.1.1 7. </t>
  </si>
  <si>
    <t>(K3) Pemasangan 1 buah bak fibreglass vol 1 m3</t>
  </si>
  <si>
    <t xml:space="preserve">A.5.1.1 8. </t>
  </si>
  <si>
    <t>(K3) Pemasangan 1 buah bak mandi batu bata vol 0,30 m3</t>
  </si>
  <si>
    <t xml:space="preserve">A.5.1.1 9. </t>
  </si>
  <si>
    <t>Pemasangan 1 buah bak mandi teraso vol 0,30 m3</t>
  </si>
  <si>
    <t xml:space="preserve">A.5.1.1 10. </t>
  </si>
  <si>
    <t>Pemasangan 1 buah bak air fibreglass vol 1 m3</t>
  </si>
  <si>
    <t xml:space="preserve">A.5.1.1 11. </t>
  </si>
  <si>
    <t>Pemasangan 1 buah bak beton volume 1 m3</t>
  </si>
  <si>
    <t xml:space="preserve">A.5.1.1 12. </t>
  </si>
  <si>
    <t>Pemasangan 1 buah bak cuci piring stainlessteel</t>
  </si>
  <si>
    <t xml:space="preserve">A.5.1.1 13. </t>
  </si>
  <si>
    <t xml:space="preserve">A.5.1.1 14. </t>
  </si>
  <si>
    <t>Pemasangan 1 buah floor drain</t>
  </si>
  <si>
    <t xml:space="preserve">A.5.1.1 15. </t>
  </si>
  <si>
    <t>Pemasangan 1 buah bak kontrol pasangan bata 30x30 tinggi 35 cm</t>
  </si>
  <si>
    <t xml:space="preserve">A.5.1.1 16. </t>
  </si>
  <si>
    <t>Pemasangan 1 buah bak kontrol pasangan bata 45cm x45cm tinggi 50 cm</t>
  </si>
  <si>
    <t xml:space="preserve">A.5.1.1 17. </t>
  </si>
  <si>
    <t>Pemasangan 1 buah bak kontrol pasangan bata 60cm x60cm tinggi 65 cm</t>
  </si>
  <si>
    <t xml:space="preserve">A.5.1.1 18. </t>
  </si>
  <si>
    <t>Pemasangan 1 m’ pipa galvanis diameter ½”</t>
  </si>
  <si>
    <t xml:space="preserve">A.5.1.1 19. </t>
  </si>
  <si>
    <t>Pemasangan 1 buah kran diameter ½” atau 3/4”</t>
  </si>
  <si>
    <t xml:space="preserve">A.5.1.1 20. </t>
  </si>
  <si>
    <t>Pemasangan 1 m’ pipa galvanis diameter 3/4”</t>
  </si>
  <si>
    <t xml:space="preserve">A.5.1.1 21. </t>
  </si>
  <si>
    <t>Pemasangan 1 m’ pipa galvanis diameter 1”</t>
  </si>
  <si>
    <t xml:space="preserve">A.5.1.1 22. </t>
  </si>
  <si>
    <t>Pemasangan 1 m’ pipa galvanis diameter 1 ½”</t>
  </si>
  <si>
    <t xml:space="preserve">A.5.1.1 23. </t>
  </si>
  <si>
    <t>Pemasangan 1 m’ pipa galvanis diameter 3”</t>
  </si>
  <si>
    <t xml:space="preserve">A.5.1.1 24. </t>
  </si>
  <si>
    <t>Pemasangan 1 m’ pipa galvanis diameter 4”</t>
  </si>
  <si>
    <t xml:space="preserve">A.5.1.1 25. </t>
  </si>
  <si>
    <t>Pemasangan 1 m’ pipa PVC tipe AW diameter 1/2”</t>
  </si>
  <si>
    <t xml:space="preserve">A.5.1.1 26. </t>
  </si>
  <si>
    <t>Pemasangan 1 m’ pipa PVC tipe AW diameter 3/4”</t>
  </si>
  <si>
    <t xml:space="preserve">A.5.1.1 27. </t>
  </si>
  <si>
    <t>Pemasangan 1 m’ pipa PVC tipe AW diameter 1”</t>
  </si>
  <si>
    <t xml:space="preserve">A.5.1.1 28. </t>
  </si>
  <si>
    <t>Pemasangan 1 m’ pipa PVC tipe AW diameter 11/2”</t>
  </si>
  <si>
    <t xml:space="preserve">A.5.1.1 29. </t>
  </si>
  <si>
    <t>Pemasangan 1 m’ pipa PVC tipe AW diameter 2”</t>
  </si>
  <si>
    <t xml:space="preserve">A.5.1.1 30. </t>
  </si>
  <si>
    <t>Pemasangan 1 m’ pipa PVC tipe AW diameter 21/2”</t>
  </si>
  <si>
    <t xml:space="preserve">A.5.1.1 31. </t>
  </si>
  <si>
    <t>Pemasangan 1 m’ pipa PVC tipe AW diameter 3”</t>
  </si>
  <si>
    <t xml:space="preserve">A.5.1.1 32. </t>
  </si>
  <si>
    <t>Pemasangan 1 m’ pipa PVC tipe AW diameter 4”</t>
  </si>
  <si>
    <t xml:space="preserve">A.5.1.1 33. </t>
  </si>
  <si>
    <t>Pemasangan 1 m’ pipa air limbah jenis pipa tanah</t>
  </si>
  <si>
    <t xml:space="preserve">A.5.1.1 34. </t>
  </si>
  <si>
    <t>Pemasangan 1 m’ pipa air limbah jenis pipa tanah diameter 15 cm</t>
  </si>
  <si>
    <t xml:space="preserve">A.5.1.1 35. </t>
  </si>
  <si>
    <t>Pemasangan 1 m’ pipa beton diameter 15 - 20 cm</t>
  </si>
  <si>
    <t xml:space="preserve">A.5.1.1.36. </t>
  </si>
  <si>
    <t>Pemasangan 1 m’ pipa beton diameter 30 - 100 cm</t>
  </si>
  <si>
    <t xml:space="preserve">A.8.4.1.1 </t>
  </si>
  <si>
    <t xml:space="preserve">A.8.4.1.2 </t>
  </si>
  <si>
    <t xml:space="preserve">A.8.4.1.3 </t>
  </si>
  <si>
    <t xml:space="preserve">A.8.4.1.4 </t>
  </si>
  <si>
    <t xml:space="preserve">A.8.4.1.5 </t>
  </si>
  <si>
    <t xml:space="preserve">A.8.4.1.6 </t>
  </si>
  <si>
    <t>(K3) Pemasangan 1 m pipa PVC Ø 63 mm</t>
  </si>
  <si>
    <t>(K3) Pemasangan 1 m pipa PVC Ø 90 mm</t>
  </si>
  <si>
    <t>(K3) Pemasangan 1 m pipa PVC Ø 110 mm</t>
  </si>
  <si>
    <t>(K3) Pemasangan 1 m pipa PVC Ø 150 mm</t>
  </si>
  <si>
    <t>(K3) Pemasngan 1 m pipa PVC Ø 200 mm</t>
  </si>
  <si>
    <t>(K3) Pemasangan 1 m pipa PVC Ø 250 mm</t>
  </si>
  <si>
    <t xml:space="preserve">A.8.4.1.7 </t>
  </si>
  <si>
    <t>(K3) Pemasangan 1 m pipa PVC Ø 300 mm</t>
  </si>
  <si>
    <t xml:space="preserve">A.8.4.1.10 </t>
  </si>
  <si>
    <t>(K3) Pemasangan 1 m pipa PVC Ø 500 mm</t>
  </si>
  <si>
    <t xml:space="preserve">A.8.4.1.9 </t>
  </si>
  <si>
    <t xml:space="preserve">A.8.4.1.8 </t>
  </si>
  <si>
    <t>(K3) Pemasangan 1 m pipa PVC Ø 400 mm</t>
  </si>
  <si>
    <t>(K3) Pemasangan 1 m pipa PVC Ø 450 mm</t>
  </si>
  <si>
    <t xml:space="preserve">A.8.4.1.11 </t>
  </si>
  <si>
    <t xml:space="preserve">A.8.4.1.12 </t>
  </si>
  <si>
    <t>(K3) Pemasangan 1 m pipa PVC Ø 600 mm</t>
  </si>
  <si>
    <t>(K3) Pemasangan 1 m pipa PVC Ø 800 mm</t>
  </si>
  <si>
    <t xml:space="preserve">A.8.4.1.15 </t>
  </si>
  <si>
    <t xml:space="preserve">A.8.4.1.14 </t>
  </si>
  <si>
    <t xml:space="preserve">A.8.4.1.13 </t>
  </si>
  <si>
    <t>(K3) Pemasangan 1 m pipa PVC Ø 900 mm</t>
  </si>
  <si>
    <t>(K3) Pemasangan 1 m pipa PVC Ø 1000 mm</t>
  </si>
  <si>
    <t>(K3) Pemasangan 1 m pipa PVC Ø 1100 mm</t>
  </si>
  <si>
    <t xml:space="preserve">A.8.4.2.1 </t>
  </si>
  <si>
    <t xml:space="preserve">A.8.4.1.79 </t>
  </si>
  <si>
    <t xml:space="preserve">A.8.4.1.78 </t>
  </si>
  <si>
    <t xml:space="preserve">A.8.4.1.77 </t>
  </si>
  <si>
    <t xml:space="preserve">A.8.4.1.76 </t>
  </si>
  <si>
    <t xml:space="preserve">A.8.4.1.75 </t>
  </si>
  <si>
    <t xml:space="preserve">A.8.4.1.74 </t>
  </si>
  <si>
    <t xml:space="preserve">A.8.4.1.73 </t>
  </si>
  <si>
    <t xml:space="preserve">A.8.4.1.72 </t>
  </si>
  <si>
    <t xml:space="preserve">A.8.4.1.71 </t>
  </si>
  <si>
    <t xml:space="preserve">A.8.4.1.70 </t>
  </si>
  <si>
    <t xml:space="preserve">A.8.4.1.69 </t>
  </si>
  <si>
    <t xml:space="preserve">A.8.4.1.68 </t>
  </si>
  <si>
    <t xml:space="preserve">A.8.4.1.67 </t>
  </si>
  <si>
    <t xml:space="preserve">A.8.4.1.66 </t>
  </si>
  <si>
    <t xml:space="preserve">A.8.4.1.65 </t>
  </si>
  <si>
    <t xml:space="preserve">A.8.4.1.64 </t>
  </si>
  <si>
    <t xml:space="preserve">A.8.4.1.63 </t>
  </si>
  <si>
    <t xml:space="preserve">A.8.4.1.62 </t>
  </si>
  <si>
    <t xml:space="preserve">A.8.4.1.61 </t>
  </si>
  <si>
    <t xml:space="preserve">A.8.4.1.60 </t>
  </si>
  <si>
    <t xml:space="preserve">A.8.4.1.59 </t>
  </si>
  <si>
    <t xml:space="preserve">A.8.4.1.58 </t>
  </si>
  <si>
    <t xml:space="preserve">A.8.4.1.57 </t>
  </si>
  <si>
    <t xml:space="preserve">A.8.4.1.56 </t>
  </si>
  <si>
    <t xml:space="preserve">A.8.4.1.55 </t>
  </si>
  <si>
    <t xml:space="preserve">A.8.4.1.54 </t>
  </si>
  <si>
    <t xml:space="preserve">A.8.4.1.53 </t>
  </si>
  <si>
    <t xml:space="preserve">A.8.4.1.52 </t>
  </si>
  <si>
    <t xml:space="preserve">A.8.4.1.51 </t>
  </si>
  <si>
    <t xml:space="preserve">A.8.4.1.50 </t>
  </si>
  <si>
    <t xml:space="preserve">A.8.4.1.49 </t>
  </si>
  <si>
    <t xml:space="preserve">A.8.4.1.48 </t>
  </si>
  <si>
    <t xml:space="preserve">A.8.4.1.47 </t>
  </si>
  <si>
    <t xml:space="preserve">A.8.4.1.46 </t>
  </si>
  <si>
    <t xml:space="preserve">A.8.4.1.45 </t>
  </si>
  <si>
    <t xml:space="preserve">A.8.4.1.44 </t>
  </si>
  <si>
    <t xml:space="preserve">A.8.4.1.43 </t>
  </si>
  <si>
    <t xml:space="preserve">A.8.4.1.42 </t>
  </si>
  <si>
    <t xml:space="preserve">A.8.4.1.41 </t>
  </si>
  <si>
    <t xml:space="preserve">A.8.4.1.40 </t>
  </si>
  <si>
    <t xml:space="preserve">A.8.4.1.39 </t>
  </si>
  <si>
    <t xml:space="preserve">A.8.4.1.38 </t>
  </si>
  <si>
    <t xml:space="preserve">A.8.4.1.37 </t>
  </si>
  <si>
    <t xml:space="preserve">A.8.4.1.36 </t>
  </si>
  <si>
    <t xml:space="preserve">A.8.4.1.35 </t>
  </si>
  <si>
    <t xml:space="preserve">A.8.4.1.34 </t>
  </si>
  <si>
    <t xml:space="preserve">A.8.4.1.33 </t>
  </si>
  <si>
    <t xml:space="preserve">A.8.4.1.32 </t>
  </si>
  <si>
    <t xml:space="preserve">A.8.4.1.31 </t>
  </si>
  <si>
    <t xml:space="preserve">A.8.4.1.30 </t>
  </si>
  <si>
    <t xml:space="preserve">A.8.4.1.29 </t>
  </si>
  <si>
    <t xml:space="preserve">A.8.4.1.28 </t>
  </si>
  <si>
    <t xml:space="preserve">A.8.4.1.27 </t>
  </si>
  <si>
    <t xml:space="preserve">A.8.4.1.26 </t>
  </si>
  <si>
    <t xml:space="preserve">A.8.4.1.25 </t>
  </si>
  <si>
    <t xml:space="preserve">A.8.4.1.24 </t>
  </si>
  <si>
    <t xml:space="preserve">A.8.4.1.23 </t>
  </si>
  <si>
    <t xml:space="preserve">A.8.4.1.22 </t>
  </si>
  <si>
    <t xml:space="preserve">A.8.4.1.21 </t>
  </si>
  <si>
    <t xml:space="preserve">A.8.4.1.20 </t>
  </si>
  <si>
    <t xml:space="preserve">A.8.4.1.19 </t>
  </si>
  <si>
    <t xml:space="preserve">A.8.4.1.18 </t>
  </si>
  <si>
    <t xml:space="preserve">A.8.4.1.17 </t>
  </si>
  <si>
    <t xml:space="preserve">A.8.4.1.16  </t>
  </si>
  <si>
    <t>(K3) Pemasangan 1 m pipa PVC Ø 1200 mm</t>
  </si>
  <si>
    <t>(K3) Pemasangan 1 m pipa HDPE Ø 63 mm</t>
  </si>
  <si>
    <t>(K3) Pemasangan 1 m pipa HDPE Ø 100 mm</t>
  </si>
  <si>
    <t>(K3) Pemasangan 1 m pipa HDPE Ø 125 mm</t>
  </si>
  <si>
    <t>(K3) Pemasangan 1 m pipa HDPE Ø 150 mm</t>
  </si>
  <si>
    <t>(K3) Pemasangan 1 m pipa HDPE Ø 200 mm</t>
  </si>
  <si>
    <t>(K3) Pemasangan 1 m pipa HDPE Ø 250 mm</t>
  </si>
  <si>
    <t>(K3) Pemasangan 1 m pipa HDPE Ø 300 mm</t>
  </si>
  <si>
    <t>(K3) Pemasangan 1 m pipa HDPE Ø 400 mm</t>
  </si>
  <si>
    <t>(K3) Pemasangan 1 m pipa HDPE Ø 450 mm</t>
  </si>
  <si>
    <t>(K3) Pemasangan 1 m pipa HDPE Ø 500 mm</t>
  </si>
  <si>
    <t>(K3) Pemasangan 1 m pipa HDPE Ø 600 mm</t>
  </si>
  <si>
    <t>(K3) Pemasangan 1 m pipa HDPE Ø 800 mm</t>
  </si>
  <si>
    <t>(K3) Pemasangan 1 m pipa HDPE Ø 900 mm</t>
  </si>
  <si>
    <t>(K3) Pemasangan 1 m pipa HDPE Ø 1000 mm</t>
  </si>
  <si>
    <t>(K3) Pemasangan 1 m pipa HDPE Ø 1100 mm</t>
  </si>
  <si>
    <t>(K3) Pemasangan 1 m pipa HDPE Ø 1200 mm</t>
  </si>
  <si>
    <t>(K3) Pemasangan 1 m pipa GIP Ø 63 mm</t>
  </si>
  <si>
    <t>(K3) Pemasangan 1 m pipa GIP Ø 100 mm</t>
  </si>
  <si>
    <t>(K3) Pemasangan 1 m pipa GIP Ø 125 mm</t>
  </si>
  <si>
    <t>(K3) Pemasangan 1 m pipa GIP Ø 150 mm</t>
  </si>
  <si>
    <t>(K3) Pemasangan 1 m pipa GIP Ø 200 mm</t>
  </si>
  <si>
    <t>(K3) Pemasangan 1 m pipa GIP Ø 250 mm</t>
  </si>
  <si>
    <t>(K3) Pemasangan 1 m pipa GIP Ø 300 mm</t>
  </si>
  <si>
    <t>(K3) Pemasangan 1 m pipa GIP Ø 400 mm</t>
  </si>
  <si>
    <t>(K3) Pemasangan 1 m pipa GIP Ø 450 mm</t>
  </si>
  <si>
    <t>(K3) Pemasangan 1 m pipa GIP Ø 500 mm</t>
  </si>
  <si>
    <t>(K3) Pemasangan 1 m pipa GIP Ø 800 mm</t>
  </si>
  <si>
    <t>(K3) Pemasangan 1 m pipa GIP Ø 900 mm</t>
  </si>
  <si>
    <t>(K3) Pemasangan 1 m pipa GIP Ø 1000 mm</t>
  </si>
  <si>
    <t>(K3) Pemasangan 1 m pipa GIP Ø 1100 mm</t>
  </si>
  <si>
    <t>(K3) Pemasangan 1 m pipa GIP Ø 1200 mm</t>
  </si>
  <si>
    <t>(K3) Pemasangan 1 m pipa DCI Ø 100 mm</t>
  </si>
  <si>
    <t>(K3) Pemasangan 1 m pipa DCI Ø 125 mm</t>
  </si>
  <si>
    <t>(K3) Pemasangan 1 m pipa DCI Ø 150 mm</t>
  </si>
  <si>
    <t>(K3) Pemasangan 1 m pipa DCI Ø 200 mm</t>
  </si>
  <si>
    <t>(K3) Pemasangan 1 m pipa DCI Ø 250 mm</t>
  </si>
  <si>
    <t>(K3) Pemasangan 1 m pipa DCI Ø 300 mm</t>
  </si>
  <si>
    <t>(K3) Pemasangan 1 m pipa DCI Ø 400 mm</t>
  </si>
  <si>
    <t>(K3) Pemasangan 1 m pipa DCI Ø 450 mm</t>
  </si>
  <si>
    <t>(K3) Pemasangan 1 m pipa DCI Ø 500 mm</t>
  </si>
  <si>
    <t>(K3) Pemasangan pipa 1 m DCI Ø 600 mm</t>
  </si>
  <si>
    <t>(K3) Pemasangan 1 m pipa DCI Ø800 mm</t>
  </si>
  <si>
    <t>(K3) Pemasangan 1 m pipa DCI Ø900 mm</t>
  </si>
  <si>
    <t>(K3) Pemasangan 1 m pipa DCI Ø1000 mm</t>
  </si>
  <si>
    <t>(K3) Pemasangan 1 m pipa DCI Ø1100 mm</t>
  </si>
  <si>
    <t>(K3) Pemasangan 1 m pipa DCI Ø1200 mm</t>
  </si>
  <si>
    <t>(K3) Pemasangan 1 m pipa baja Ø 63 mm</t>
  </si>
  <si>
    <t>(K3) Pemasangan 1 m pipa baja Ø 100 mm</t>
  </si>
  <si>
    <t>(K3) Pemasangan 1 m pipa baja Ø 125 mm</t>
  </si>
  <si>
    <t>(K3) Pemasangan 1 m pipa baja Ø 150 mm</t>
  </si>
  <si>
    <t>(K3) Pemasangan 1 m pipa baja Ø 200 mm</t>
  </si>
  <si>
    <t>(K3) Pemasangan pipa baja Ø 250 mm</t>
  </si>
  <si>
    <t>(K3) Pemasangan 1 m pipa baja Ø 300 mm</t>
  </si>
  <si>
    <t>(K3) Pemasangan 1 m pipa baja Ø 400 mm</t>
  </si>
  <si>
    <t>(K3) Pemasangan 1 m pipa baja Ø 450 mm</t>
  </si>
  <si>
    <t>(K3) Pemasangan 1 m pipa baja Ø 500 mm</t>
  </si>
  <si>
    <t>(K3) Pemasangan 1 m pipa baja Ø 600 mm</t>
  </si>
  <si>
    <t>(K3) Pemasangan 1 m pipa baja Ø 800 mm</t>
  </si>
  <si>
    <t>(K3) Pemasangan 1 m pipa baja Ø 900 mm</t>
  </si>
  <si>
    <t>(K3) Pemasangan 1 m pipa baja Ø 1000 mm</t>
  </si>
  <si>
    <t>(K3) Pemasangan 1 m pipa baja Ø 1100 mm</t>
  </si>
  <si>
    <t>(K3) Pemasangan 1 m pipa baja Ø 1200 mm</t>
  </si>
  <si>
    <t>(K3) Pemotongan 1 buah pipa PVC Ø 63 mm</t>
  </si>
  <si>
    <t xml:space="preserve">A.8.4.2.2 </t>
  </si>
  <si>
    <t xml:space="preserve">A.8.4.2.3 </t>
  </si>
  <si>
    <t xml:space="preserve">A.8.4.2.4 </t>
  </si>
  <si>
    <t xml:space="preserve">A.8.4.2.5 </t>
  </si>
  <si>
    <t xml:space="preserve">A.8.4.2.6 </t>
  </si>
  <si>
    <t xml:space="preserve">A.8.4.2.7 </t>
  </si>
  <si>
    <t xml:space="preserve">A.8.4.2.8 </t>
  </si>
  <si>
    <t xml:space="preserve">A.8.4.2.9 </t>
  </si>
  <si>
    <t xml:space="preserve">A.8.4.2.10 </t>
  </si>
  <si>
    <t>(K3) Pemotongan 1 buah pipa PVC Ø 500 mm</t>
  </si>
  <si>
    <t>(K3) Pemotongan 1 buah pipa PVC Ø 450 mm</t>
  </si>
  <si>
    <t>(K3) Pemotongan 1 buah pipa PVC Ø 400 mm</t>
  </si>
  <si>
    <t>(K3) Pemotongan 1 buah pipa PVC Ø 300 mm</t>
  </si>
  <si>
    <t>(K3) Pemotongan 1 buah pipa PVC Ø 250 mm</t>
  </si>
  <si>
    <t>(K3) Pemotongan 1 buah pipa PVC Ø 200 mm</t>
  </si>
  <si>
    <t>(K3) Pemotongan 1 buah pipa PVC Ø 150 mm</t>
  </si>
  <si>
    <t>(K3) Pemotongan 1 buah pipa PVC Ø 110 mm</t>
  </si>
  <si>
    <t>(K3) Pemotongan 1 m pipa PVC Ø 90 mm</t>
  </si>
  <si>
    <t xml:space="preserve">A.8.4.2.30 </t>
  </si>
  <si>
    <t xml:space="preserve">A.8.4.2.29 </t>
  </si>
  <si>
    <t xml:space="preserve">A.8.4.2.28 </t>
  </si>
  <si>
    <t xml:space="preserve">A.8.4.2.27 </t>
  </si>
  <si>
    <t xml:space="preserve">A.8.4.2.26 </t>
  </si>
  <si>
    <t xml:space="preserve">A.8.4.2.25 </t>
  </si>
  <si>
    <t xml:space="preserve">A.8.4.2.24 </t>
  </si>
  <si>
    <t xml:space="preserve">A.8.4.2.23 </t>
  </si>
  <si>
    <t xml:space="preserve">A.8.4.2.22 </t>
  </si>
  <si>
    <t xml:space="preserve">A.8.4.2.21 </t>
  </si>
  <si>
    <t xml:space="preserve">A.8.4.2.20 </t>
  </si>
  <si>
    <t xml:space="preserve">A.8.4.2.19 </t>
  </si>
  <si>
    <t xml:space="preserve">A.8.4.2.18 </t>
  </si>
  <si>
    <t xml:space="preserve">A.8.4.2.17 </t>
  </si>
  <si>
    <t xml:space="preserve">A.8.4.2.16 </t>
  </si>
  <si>
    <t xml:space="preserve">A.8.4.2.15 </t>
  </si>
  <si>
    <t xml:space="preserve">A.8.4.2.14 </t>
  </si>
  <si>
    <t xml:space="preserve">A.8.4.2.13 </t>
  </si>
  <si>
    <t xml:space="preserve">A.8.4.2.12 </t>
  </si>
  <si>
    <t xml:space="preserve">A.8.4.2.11 </t>
  </si>
  <si>
    <t>(K3) Pemotongan 1 buah pipa PVC Ø 600 mm</t>
  </si>
  <si>
    <t>(K3) Pemotongan 1 buah pipa PVC Ø 800 mm</t>
  </si>
  <si>
    <t>(K3) Pemotongan 1 buah pipa PVC Ø 900 mm</t>
  </si>
  <si>
    <t>(K3) Pemotongan 1 buah pipa PVC Ø 1000 mm</t>
  </si>
  <si>
    <t>(K3) Pemotongan 1 buah pipa PVC Ø 1100 mm</t>
  </si>
  <si>
    <t>(K3) Pemotongan 1 buah pipa PVC Ø 1200 mm</t>
  </si>
  <si>
    <t>(K3) Pemotongan 1 buah pipa HDPE Ø 63 mm</t>
  </si>
  <si>
    <t>(K3) Pemotongan 1 buah pipa HDPE Ø 100 mm</t>
  </si>
  <si>
    <t>(K3) Pemotongan 1 buah pipa HDPE  Ø 125 mm</t>
  </si>
  <si>
    <t>(K3) Pemotongan 1 buah pipa HDPE Ø 150 mm</t>
  </si>
  <si>
    <t>(K3) Pemotongan 1 buah pipa HDPE Ø 200 mm</t>
  </si>
  <si>
    <t>(K3) Pemotongan 1 buah pipaHDPE Ø 250 mm</t>
  </si>
  <si>
    <t>(K3) Pemotongan 1 buah pipa HDPE Ø 300 mm</t>
  </si>
  <si>
    <t>(K3) Pemotongan 1 buah pipa HDPE Ø 400 mm</t>
  </si>
  <si>
    <t>(K3) Pemotongan 1 buah pipa HDPE Ø 450 mm</t>
  </si>
  <si>
    <t>(K3) Pemotongan 1 buah pipa HDPE Ø 500 mm</t>
  </si>
  <si>
    <t>(K3) Pemotongan 1 buah pipa HDPE Ø 600 mm</t>
  </si>
  <si>
    <t>(K3) Pemotongan 1 buah pipa HDPE Ø 800 mm</t>
  </si>
  <si>
    <t>(K3) Pemotongan 1 buah pipa HDPE  Ø 900 mm</t>
  </si>
  <si>
    <t>(K3) Pemotongan 1 buah pipa HDPE Ø 1000 mm</t>
  </si>
  <si>
    <t xml:space="preserve">A.8.4.2.31 </t>
  </si>
  <si>
    <t>(K3) Pemotongan 1 buah pipa HDPE Ø 1100 mm</t>
  </si>
  <si>
    <t xml:space="preserve">A.8.4.2.32 </t>
  </si>
  <si>
    <t>(K3) Pemotongan 1 buah pipa HDPE Ø 1200 mm</t>
  </si>
  <si>
    <t xml:space="preserve">A.8.4.3.3 </t>
  </si>
  <si>
    <t xml:space="preserve">A.8.4.3.2 </t>
  </si>
  <si>
    <t xml:space="preserve">A.8.4.3.1 </t>
  </si>
  <si>
    <t xml:space="preserve">A.8.4.2.79   </t>
  </si>
  <si>
    <t xml:space="preserve">A.8.4.2.78 </t>
  </si>
  <si>
    <t xml:space="preserve">A.8.4.2.77 </t>
  </si>
  <si>
    <t xml:space="preserve">A.8.4.2.76 </t>
  </si>
  <si>
    <t xml:space="preserve">A.8.4.2.75 </t>
  </si>
  <si>
    <t xml:space="preserve">A.8.4.2.74 </t>
  </si>
  <si>
    <t xml:space="preserve">A.8.4.2.73 </t>
  </si>
  <si>
    <t xml:space="preserve">A.8.4.2.72 </t>
  </si>
  <si>
    <t xml:space="preserve">A.8.4.2.71 </t>
  </si>
  <si>
    <t xml:space="preserve">A.8.4.2.70 </t>
  </si>
  <si>
    <t xml:space="preserve">A.8.4.2.69 </t>
  </si>
  <si>
    <t xml:space="preserve">A.8.4.2.68 </t>
  </si>
  <si>
    <t xml:space="preserve">A.8.4.2.67 </t>
  </si>
  <si>
    <t xml:space="preserve">A.8.4.2.66 </t>
  </si>
  <si>
    <t xml:space="preserve">A.8.4.2.65 </t>
  </si>
  <si>
    <t xml:space="preserve">A.8.4.2.64 </t>
  </si>
  <si>
    <t xml:space="preserve">A.8.4.2.63 </t>
  </si>
  <si>
    <t xml:space="preserve">A.8.4.2.62 </t>
  </si>
  <si>
    <t xml:space="preserve">A.8.4.2.61 </t>
  </si>
  <si>
    <t xml:space="preserve">A.8.4.2.60 </t>
  </si>
  <si>
    <t xml:space="preserve">A.8.4.2.59 </t>
  </si>
  <si>
    <t xml:space="preserve">A.8.4.2.58 </t>
  </si>
  <si>
    <t xml:space="preserve">A.8.4.2.57 </t>
  </si>
  <si>
    <t xml:space="preserve">A.8.4.2.56 </t>
  </si>
  <si>
    <t xml:space="preserve">A.8.4.2.55 </t>
  </si>
  <si>
    <t xml:space="preserve">A.8.4.2.54 </t>
  </si>
  <si>
    <t xml:space="preserve">A.8.4.2.53 </t>
  </si>
  <si>
    <t xml:space="preserve">A.8.4.2.52 </t>
  </si>
  <si>
    <t xml:space="preserve">A.8.4.2.51 </t>
  </si>
  <si>
    <t xml:space="preserve">A.8.4.2.50 </t>
  </si>
  <si>
    <t xml:space="preserve">A.8.4.2.49 </t>
  </si>
  <si>
    <t xml:space="preserve">A.8.4.2.48 </t>
  </si>
  <si>
    <t xml:space="preserve">A.8.4.2.47 </t>
  </si>
  <si>
    <t xml:space="preserve">A.8.4.2.46 </t>
  </si>
  <si>
    <t xml:space="preserve">A.8.4.2.45 </t>
  </si>
  <si>
    <t xml:space="preserve">A.8.4.2.44 </t>
  </si>
  <si>
    <t xml:space="preserve">A.8.4.2.43 </t>
  </si>
  <si>
    <t xml:space="preserve">A.8.4.2.42 </t>
  </si>
  <si>
    <t xml:space="preserve">A.8.4.2.41 </t>
  </si>
  <si>
    <t xml:space="preserve">A.8.4.2.40 </t>
  </si>
  <si>
    <t xml:space="preserve">A.8.4.2.39 </t>
  </si>
  <si>
    <t xml:space="preserve">A.8.4.2.38 </t>
  </si>
  <si>
    <t xml:space="preserve">A.8.4.2.37 </t>
  </si>
  <si>
    <t xml:space="preserve">A.8.4.2.36 </t>
  </si>
  <si>
    <t xml:space="preserve">A.8.4.2.35 </t>
  </si>
  <si>
    <t xml:space="preserve">A.8.4.2.34 </t>
  </si>
  <si>
    <t xml:space="preserve">A.8.4.2.33 </t>
  </si>
  <si>
    <t>(K3) Pemotongan 1 buah pipa GIP Ø 63 mm</t>
  </si>
  <si>
    <t>(K3) Pemotongan 1 buah pipa GIP Ø 100 mm</t>
  </si>
  <si>
    <t>(K3) Pemotongan 1 buah pipa GIP Ø 125 mm</t>
  </si>
  <si>
    <t>(K3) Pemotongan 1 buah pipa GIP Ø 150 mm</t>
  </si>
  <si>
    <t>(K3) Pemotongan 1 buah pipa GIP Ø 200 mm</t>
  </si>
  <si>
    <t>(K3) Pemotongan 1 buah pipa GIP Ø 250 mm</t>
  </si>
  <si>
    <t>(K3) Pemotongan 1 buah pipa GIP Ø 300 mm</t>
  </si>
  <si>
    <t>(K3) Pemotongan 1 buah pipa GIP Ø 400 mm</t>
  </si>
  <si>
    <t>(K3) Pemotongan 1 buah pipa GIP Ø 450 mm</t>
  </si>
  <si>
    <t>(K3) Pemotongan 1 buah pipa GIP Ø 500 mm</t>
  </si>
  <si>
    <t>(K3) Pemotongan1 buah pipa GIP Ø 600 mm</t>
  </si>
  <si>
    <t>(K3) Pemotongan 1 buah pipa GIP Ø 800 mm</t>
  </si>
  <si>
    <t>(K3) Pemotongan 1 buah pipa GIP Ø 900 mm</t>
  </si>
  <si>
    <t>(K3) Pemotongan 1 buah pipa GIP Ø 1000 mm</t>
  </si>
  <si>
    <t>(K3) Pemotongan 1 buah pipa GIP Ø 1100 mm</t>
  </si>
  <si>
    <t>(K3) Pemotongan 1 buah pipa GIP Ø 1200 mm</t>
  </si>
  <si>
    <t>(K3) Pemotongan 1 buah pipa DCI Ø 100 mm</t>
  </si>
  <si>
    <t>(K3) Pemotongan 1 buah pipa DCI Ø 125 mm</t>
  </si>
  <si>
    <t>(K3) Pemotongan 1 buah pipa DCI Ø 150 mm</t>
  </si>
  <si>
    <t>(K3) Pemotongan 1 buah pipa DCI Ø 200 mm</t>
  </si>
  <si>
    <t>(K3) Pemotongan 1 buah pipa DCI Ø 250 mm</t>
  </si>
  <si>
    <t>(K3) Pemotongan 1 buah pipa DCI Ø 500 mm</t>
  </si>
  <si>
    <t>(K3) Pemotongan 1 buah pipa DCI Ø 450 mm</t>
  </si>
  <si>
    <t>(K3) Pemotongan 1 buah pipa DCI Ø 400 mm</t>
  </si>
  <si>
    <t>(K3) Pemotongan 1 buah pipa DCI Ø 300 mm</t>
  </si>
  <si>
    <t>(K3) Pemotongan 1 buah pipa DCI Ø 600 mm</t>
  </si>
  <si>
    <t>(K3) Pemotongan 1 buah pipa DCI Ø 800 mm</t>
  </si>
  <si>
    <t>(K3) Pemotongan 1 buah pipa DCI Ø 900 mm</t>
  </si>
  <si>
    <t>(K3) Pemotongan 1 buah pipa DCI Ø 1000 mm</t>
  </si>
  <si>
    <t>(K3) Pemotongan 1 buah pipa DCI Ø 1100 mm</t>
  </si>
  <si>
    <t>(K3) Pemotongan 1 buah pipa DCI Ø 1200 mm</t>
  </si>
  <si>
    <t>(K3) Pemotongan 1 buah pipa baja Ø 63 mm</t>
  </si>
  <si>
    <t>(K3) Pemotongan 1 buah pipa baja Ø 100 mm</t>
  </si>
  <si>
    <t>(K3) Pemotongan 1 buah pipa baja Ø 125 mm</t>
  </si>
  <si>
    <t>(K3) Pemotongan 1 buah pipa baja Ø 150 mm</t>
  </si>
  <si>
    <t>(K3) Pemotongan 1 buah pipa baja Ø 200 mm</t>
  </si>
  <si>
    <t>(K3) Pemotongan 1 buah pipa baja Ø 250 mm</t>
  </si>
  <si>
    <t>(K3) Pemotongan 1 buah pipa baja Ø 300 mm</t>
  </si>
  <si>
    <t>(K3) Pemotongan 1 buah pipa baja Ø 400 mm</t>
  </si>
  <si>
    <t>(K3) Pemotongan 1 buah pipa baja Ø 450 mm</t>
  </si>
  <si>
    <t>(K3) Pemotongan 1 buah pipa baja Ø 500 mm</t>
  </si>
  <si>
    <t>(K3) Pemotongan 1 buah pipa baja Ø 600 mm</t>
  </si>
  <si>
    <t>(K3) Pemotongan 1 buah pipa baja Ø 800 mm</t>
  </si>
  <si>
    <t>(K3) Pemotongan 1 buah pipa baja Ø 900 mm</t>
  </si>
  <si>
    <t>(K3) Pemotongan 1 buah pipa baja Ø 1000 mm</t>
  </si>
  <si>
    <t>(K3) Pemotongan 1 buah pipa baja Ø 1100 mm</t>
  </si>
  <si>
    <t>(K3) Pemotongan 1 buah pipa baja Ø 1200 mm</t>
  </si>
  <si>
    <t>(K3) Pemasangan 1 buah Valve Ø 150 mm</t>
  </si>
  <si>
    <t>(K3) Pemasangan 1 buah Valve Ø 200 mm</t>
  </si>
  <si>
    <t>(K3) Pemasangan 1 buah Valve Ø 250 mm</t>
  </si>
  <si>
    <t xml:space="preserve">A.8.4.4.5 </t>
  </si>
  <si>
    <t xml:space="preserve">A.8.4.4.4 </t>
  </si>
  <si>
    <t xml:space="preserve">A.8.4.4.3 </t>
  </si>
  <si>
    <t xml:space="preserve">A.8.4.4.2 </t>
  </si>
  <si>
    <t xml:space="preserve">A.8.4.4.1 </t>
  </si>
  <si>
    <t xml:space="preserve">A.8.4.3.28 </t>
  </si>
  <si>
    <t xml:space="preserve">A.8.4.3.27 </t>
  </si>
  <si>
    <t xml:space="preserve">A.8.4.3.26 </t>
  </si>
  <si>
    <t xml:space="preserve">A.8.4.3.25 </t>
  </si>
  <si>
    <t xml:space="preserve">A.8.4.3.24 </t>
  </si>
  <si>
    <t xml:space="preserve">A.8.4.3.23 </t>
  </si>
  <si>
    <t xml:space="preserve">A.8.4.3.22 </t>
  </si>
  <si>
    <t xml:space="preserve">A.8.4.3.21 </t>
  </si>
  <si>
    <t xml:space="preserve">A.8.4.3.20 </t>
  </si>
  <si>
    <t xml:space="preserve">A.8.4.3.19 </t>
  </si>
  <si>
    <t xml:space="preserve">A.8.4.3.18 </t>
  </si>
  <si>
    <t xml:space="preserve">A.8.4.3.17 </t>
  </si>
  <si>
    <t xml:space="preserve">A.8.4.3.16 </t>
  </si>
  <si>
    <t xml:space="preserve">A.8.4.3.15 </t>
  </si>
  <si>
    <t xml:space="preserve">A.8.4.3.14 </t>
  </si>
  <si>
    <t xml:space="preserve">A.8.4.3.13 </t>
  </si>
  <si>
    <t xml:space="preserve">A.8.4.3.12 </t>
  </si>
  <si>
    <t xml:space="preserve">A.8.4.3.11 </t>
  </si>
  <si>
    <t xml:space="preserve">A.8.4.3.10 </t>
  </si>
  <si>
    <t xml:space="preserve">A.8.4.3.9 </t>
  </si>
  <si>
    <t xml:space="preserve">A.8.4.3.8 </t>
  </si>
  <si>
    <t>(K3) Pemasangan 1 buah Valve Ø 600 mm</t>
  </si>
  <si>
    <t xml:space="preserve">A.8.4.3.7 </t>
  </si>
  <si>
    <t>(K3) Pemasangan 1 buah Valve Ø 500 mm</t>
  </si>
  <si>
    <t xml:space="preserve">A.8.4.3.6 </t>
  </si>
  <si>
    <t>(K3) Pemasangan 1 buah Valve Ø 450 mm</t>
  </si>
  <si>
    <t xml:space="preserve">A.8.4.3.5 </t>
  </si>
  <si>
    <t>(K3) Pemasangan 1 buah Valve Ø 400 mm</t>
  </si>
  <si>
    <t xml:space="preserve">A.8.4.3.4 </t>
  </si>
  <si>
    <t>(K3) Pemasangan 1 buah Valve Ø 300 mm</t>
  </si>
  <si>
    <t>(K3) Pemasangan 1 buah Valve Ø 700 mm</t>
  </si>
  <si>
    <t xml:space="preserve">A.8.4.6 HARGA SATUAN PEKERJAAN ELEKTRIKAL </t>
  </si>
  <si>
    <t xml:space="preserve">A.8.4.6 </t>
  </si>
  <si>
    <t xml:space="preserve">HARGA SATUAN PEKERJAAN ELEKTRIKAL </t>
  </si>
  <si>
    <t xml:space="preserve">(K3) Pemasangan 1 buah titik lampu </t>
  </si>
  <si>
    <t>A.8.4.6.1</t>
  </si>
  <si>
    <t xml:space="preserve">A.8.4.5.10 </t>
  </si>
  <si>
    <t xml:space="preserve">A.8.4.5.9 </t>
  </si>
  <si>
    <t xml:space="preserve">A.8.4.5.8 </t>
  </si>
  <si>
    <t xml:space="preserve">A.8.4.5.7 </t>
  </si>
  <si>
    <t xml:space="preserve">A.8.4.5.6 </t>
  </si>
  <si>
    <t xml:space="preserve">A.8.4.5.5 </t>
  </si>
  <si>
    <t xml:space="preserve">A.8.4.5.4 </t>
  </si>
  <si>
    <t xml:space="preserve">A.8.4.5.3 </t>
  </si>
  <si>
    <t xml:space="preserve">A.8.4.5.2 </t>
  </si>
  <si>
    <t xml:space="preserve">A.8.4.5.1  </t>
  </si>
  <si>
    <t xml:space="preserve">A.8.4.4.12 </t>
  </si>
  <si>
    <t xml:space="preserve">A.8.4.4.11 </t>
  </si>
  <si>
    <t xml:space="preserve">A.8.4.4.10 </t>
  </si>
  <si>
    <t xml:space="preserve">A.8.4.4.9 </t>
  </si>
  <si>
    <t xml:space="preserve">A.8.4.4.8 </t>
  </si>
  <si>
    <t xml:space="preserve">A.8.4.4.7 </t>
  </si>
  <si>
    <t xml:space="preserve">A.8.4.4.6 </t>
  </si>
  <si>
    <t>(K3) Penyambungan 1 buah pipa baru ke pipa yang ada Ø 600 mm</t>
  </si>
  <si>
    <t>(K3) Penyambungan 1 buah pipa baru ke pipa yang ada Ø 700 mm</t>
  </si>
  <si>
    <t>(K3) Penyambungan 1 buah 1 buah pipa baru ke pipa yang ada Ø 800 mm</t>
  </si>
  <si>
    <t>(K3) Pengetesan 1 m pipa Ø 250 mm</t>
  </si>
  <si>
    <t>(K3) Pengetesan 1 m pipa Ø 600 mm</t>
  </si>
  <si>
    <t xml:space="preserve">A.4.5.1.2. </t>
  </si>
  <si>
    <t>Pemasangan 1 m2 langit-langit akustik  ukuran (30 x 30) cm</t>
  </si>
  <si>
    <t xml:space="preserve">A.4.5.1.3. </t>
  </si>
  <si>
    <t>Pemasangan 1 m2 langit-langit akustik  ukuran (30 x 60) cm</t>
  </si>
  <si>
    <t xml:space="preserve">A.4.5.1.4. </t>
  </si>
  <si>
    <t>Pemasangan 1 m2 langit-langit akustik  ukuran (60 x 120) cm</t>
  </si>
  <si>
    <t xml:space="preserve">A.4.5.1.5. </t>
  </si>
  <si>
    <t>Pemasangan 1 m2  langit-langit tripleks ukuran (120 x 240) cm, tebal 3 mm, 4 mm &amp; 6</t>
  </si>
  <si>
    <t xml:space="preserve">A.4.5.1.6. </t>
  </si>
  <si>
    <t>Pemasangan 1 m2 langit-langit lambrisering kayu, tebal 9 mm</t>
  </si>
  <si>
    <t xml:space="preserve">A.4.5.1.7. </t>
  </si>
  <si>
    <t>Pemasangan 1 m2 langit-langit gypsum board ukuran (120x240x9) mm, tebal 9 mm</t>
  </si>
  <si>
    <t xml:space="preserve">A.4.5.1.8.  </t>
  </si>
  <si>
    <t>Pemasangan 1  m2   langit-langit  akustik  ukuran (60  x 120)  cm berikut  rangka alluminium</t>
  </si>
  <si>
    <t xml:space="preserve">A.4.5.1.9. </t>
  </si>
  <si>
    <t>Pemasangan 1 m’ list langit-langit kayu profil</t>
  </si>
  <si>
    <t>Pemasangan 1 m2 Plafond PVC</t>
  </si>
  <si>
    <t>Screw</t>
  </si>
  <si>
    <t xml:space="preserve">A.4.5.1.10. </t>
  </si>
  <si>
    <t xml:space="preserve">Pipa listrik  5/8” </t>
  </si>
  <si>
    <t>Klem Pipa Listrik</t>
  </si>
  <si>
    <t>Saklar (standar)</t>
  </si>
  <si>
    <t>Mongkok (Listrik)</t>
  </si>
  <si>
    <t>L.Bow</t>
  </si>
  <si>
    <t>Fitting Lampu</t>
  </si>
  <si>
    <t>A.8.4.6.2</t>
  </si>
  <si>
    <t xml:space="preserve">A.4.4.3.68. </t>
  </si>
  <si>
    <t>Aluminium Composite Panel</t>
  </si>
  <si>
    <t>Pemasangan 1 M2 Aluminium Composite Panel</t>
  </si>
  <si>
    <t xml:space="preserve">A.4.4.1.25 </t>
  </si>
  <si>
    <t xml:space="preserve">A.4.4.1.26 </t>
  </si>
  <si>
    <t xml:space="preserve">A.4.1.1.5. </t>
  </si>
  <si>
    <t xml:space="preserve">A.4.4.1.3. </t>
  </si>
  <si>
    <t xml:space="preserve">A.4.4.1.4. </t>
  </si>
  <si>
    <t>A.2.2.1.1.</t>
  </si>
  <si>
    <t xml:space="preserve">A.2.2.1.10. </t>
  </si>
  <si>
    <t xml:space="preserve">A.2.2.1.11. </t>
  </si>
  <si>
    <t xml:space="preserve">A.2.2.1.12. </t>
  </si>
  <si>
    <t xml:space="preserve">A.2.2.1.13. </t>
  </si>
  <si>
    <t xml:space="preserve">A.4.4.1.6 </t>
  </si>
  <si>
    <t xml:space="preserve">A.2.2.1.2 </t>
  </si>
  <si>
    <t xml:space="preserve">A.2.2.1.3.  </t>
  </si>
  <si>
    <t xml:space="preserve">A.2.2.1.4.  </t>
  </si>
  <si>
    <t xml:space="preserve">A.2.2.1.5. </t>
  </si>
  <si>
    <t xml:space="preserve">A.2.2.1.6. </t>
  </si>
  <si>
    <t xml:space="preserve">A.2.2.1.7. </t>
  </si>
  <si>
    <t xml:space="preserve">A.2.2.1.8.  </t>
  </si>
  <si>
    <t xml:space="preserve">A.2.2.1.9. </t>
  </si>
  <si>
    <t xml:space="preserve">A.2.2.1.14. </t>
  </si>
  <si>
    <t xml:space="preserve">A.2.2.1.15. </t>
  </si>
  <si>
    <t xml:space="preserve">A.4.4.1.1. </t>
  </si>
  <si>
    <t xml:space="preserve">A.4.4.1.2. </t>
  </si>
  <si>
    <t xml:space="preserve">A.4.4.1.5. </t>
  </si>
  <si>
    <t xml:space="preserve">A.4.4.1.8 </t>
  </si>
  <si>
    <t xml:space="preserve">A.4.4.1.10  </t>
  </si>
  <si>
    <t xml:space="preserve">A.4.4.1.11 </t>
  </si>
  <si>
    <t xml:space="preserve">A.4.4.1.12 </t>
  </si>
  <si>
    <t xml:space="preserve">A.4.4.1.13   </t>
  </si>
  <si>
    <t xml:space="preserve">A.4.4.1.14   </t>
  </si>
  <si>
    <t xml:space="preserve">A.4.4.1.15 </t>
  </si>
  <si>
    <t xml:space="preserve">A.4.4.1.16 </t>
  </si>
  <si>
    <t xml:space="preserve">A.4.4.1.17 </t>
  </si>
  <si>
    <t xml:space="preserve">A.4.4.1.19 </t>
  </si>
  <si>
    <t xml:space="preserve">A.4.4.1.20  </t>
  </si>
  <si>
    <t xml:space="preserve">A.4.4.1.21 </t>
  </si>
  <si>
    <t xml:space="preserve">A.4.4.1.22 </t>
  </si>
  <si>
    <t xml:space="preserve">A.4.4.1.23 </t>
  </si>
  <si>
    <t xml:space="preserve">A.4.4.1.24 </t>
  </si>
  <si>
    <t xml:space="preserve">A.3.2.1.7. </t>
  </si>
  <si>
    <t>Pemasangan 1 m3  pondasi batu belah campuran 1 SP : 3 KP : 10 PP</t>
  </si>
  <si>
    <t xml:space="preserve">A.4.1.1.17   </t>
  </si>
  <si>
    <t>Pembesian 10 kg dengan besi polos atau besi ulir</t>
  </si>
  <si>
    <t xml:space="preserve">A.4.5.2.19. </t>
  </si>
  <si>
    <t>Pemasangan 1 m2   atap asbes gelombang  1.08mx2.40m x 6mm</t>
  </si>
  <si>
    <t xml:space="preserve">A.4.6.1.21. </t>
  </si>
  <si>
    <t>Pemasangan 1 m’  lisplank ukuran (3 x 20) cm, kayu kelas I atau kelas II</t>
  </si>
  <si>
    <t xml:space="preserve">A.4.6.1.5. </t>
  </si>
  <si>
    <t>Pembuatan dan pemasangan 1 m2 daun pintu panel, kayu kelas I atau II</t>
  </si>
  <si>
    <t>HARGA SATUAN PEKERJAAN LANGIT-LANGIT (PLAFOND)</t>
  </si>
  <si>
    <t>A.3.2.2</t>
  </si>
  <si>
    <t>Pengurugan kembali 1 m3 galian tanah Tanah Biasa Sedalam 1 M</t>
  </si>
  <si>
    <t>Pengurugan kembali 1 m3 galian tanah (1/3 Galian;-Tanah Biasa Sedalam 1 M)</t>
  </si>
  <si>
    <t>Membuat 1 m3 beton mutu f’c = 7,4 MPa (K 100)</t>
  </si>
  <si>
    <t>Membuat 1 m3 beton mutu f’= 9,8 MPa (K 125)</t>
  </si>
  <si>
    <t>Membuat 1 m3 beton mutu f’= 12,2 MPa (K 150)</t>
  </si>
  <si>
    <t>Membuat 1 m3 lantai kerja beton mutu f’c = 7,4 MPa (K 100), slump (3-6) cm, w/c = 0,87</t>
  </si>
  <si>
    <t>Harga</t>
  </si>
  <si>
    <t>Menggali 1 m3  tanah biasa sedalam 3 m</t>
  </si>
  <si>
    <t>Pembuatan 1 m2   rangka jendela besi scuare tube/Pipa kotak (25 x 5) cm</t>
  </si>
  <si>
    <t>Pemasangan 1 m2 dinding bata merah (5x11x22) cm tebal 1 batu campuran  1 SP : 2 PP</t>
  </si>
  <si>
    <t>Pemasangan 1 m2 dinding bata merah (5x11x22) cm tebal 1 batu campuran  1 SP : 3 PP</t>
  </si>
  <si>
    <t>Pemasangan 1 m2 dinding bata merah (5x11x22) cm tebal 1 batu campuran 1 SP : 4 PP</t>
  </si>
  <si>
    <t>Pemasangan 1 m2 dinding bata merah (5x11x22) cm tebal 1 batu campuran 1 SP : 5 PP</t>
  </si>
  <si>
    <t>Pemasangan 1 m2 dinding Bata Merah (5x11x22) cm tebal 1 batu campuran 1 SP : 6 PP</t>
  </si>
  <si>
    <t>Pemasangan 1 m2 dinding bata merah (5x11x22) cm tebal 1 batu campuran 1SP : 3KP : 10PP</t>
  </si>
  <si>
    <t xml:space="preserve">Pemasangan 1 m2 dinding bata merah (5x11x22) cm tebal ½ batu campuran  1SP : 2PP </t>
  </si>
  <si>
    <t>Pemasangan 1 m2 dinding bata merah (5x11x22) cm tebal ½ batu campuran  1SP : 3PP</t>
  </si>
  <si>
    <t>Pemasangan 1 m2 dinding bata merah (5x11x22) cm tebal ½ batu campuran  1SP :4PP</t>
  </si>
  <si>
    <t>Pemasangan 1 m2 dinding bata merah (5x11x22)cm tebal ½ batu campuran 1 SP : 5 PP</t>
  </si>
  <si>
    <t>Pemasangan 1 m2 dinding bata merah (5x11x22)cm tebal ½ batu campuran 1 SP : 6 PP</t>
  </si>
  <si>
    <t>Pemasangan 1 m2 dinding bata merah (5x11x22)cm tebal ½ batu campuran  1SP : 8 PP</t>
  </si>
  <si>
    <t>Pemasangan 1 m2 dinding bata merah (5x11x22)cm tebal ½ batu campuran 1SP : 3KP :10PP</t>
  </si>
  <si>
    <t>Pemasangan 1 m2 dinding bata merah (5x11x22)cm tebal ½ batu campuran 1SM : 1KP :1PP</t>
  </si>
  <si>
    <t>Pemasangan 1 m2 dinding bata merah (5x11x22) cm tebal ½ batu campuran  1SM : 1KP :2PP</t>
  </si>
  <si>
    <t>Pemasangan 1 m2 dinding conblock HB20 campuran  1SP  : 3PP</t>
  </si>
  <si>
    <t>Pemasangan 1 m2 dinding conblock HB20 campuran  1SP:4PP</t>
  </si>
  <si>
    <t>Pemasangan 1 m2 dinding conblock HB15 campuran  1SP  :3PP</t>
  </si>
  <si>
    <t>Pemasangan 1 m2 lantai ubin PC abu-abu ukuran 40cm x40cm</t>
  </si>
  <si>
    <t>Pemasangan 1 m2 lantai ubin PC abu-abu ukuran 30cm x30 cm</t>
  </si>
  <si>
    <t>Pemasangan 1 m2 lantai ubin PC abu-abu ukuran 20cm x20 cm</t>
  </si>
  <si>
    <t>Pemasangan 1 m2 lantai ubin warna  ukuran 40cm x40 cm</t>
  </si>
  <si>
    <t>Pemasangan 1 m2 lantai ubin warna  ukuran 30cm x30cm</t>
  </si>
  <si>
    <t>Pemasangan 1 m2 lantai ubin warna  ukuran 20cm x20cm</t>
  </si>
  <si>
    <t>Pemasangan 1 m2 lantai ubin teraso  ukuran 40cm x40cm</t>
  </si>
  <si>
    <t>Pemasangan 1 m2 lantai ubin teraso  ukuran 30cm x30cm</t>
  </si>
  <si>
    <t>Pemasangan 1 m2 lantai ubin granit  ukuran 40cm x40cm</t>
  </si>
  <si>
    <t>Pemasangan 1 m2 lantai ubin granit  ukuran 30cm x30cm</t>
  </si>
  <si>
    <t>Pemasangan 1 m2 lantai ubin teralux  marmer ukuran 40cm x40cm</t>
  </si>
  <si>
    <t>Pemasangan 1 m2 lantai ubin teralux  ukuran 30cm x30cm</t>
  </si>
  <si>
    <t>Pemasangan 1 m2 lantai ubin teralux marmer ukuran 60cm x60cm</t>
  </si>
  <si>
    <t>Pemasangan 1 m2 lantai ubin teralux marmer ukuran 40cm x40cm</t>
  </si>
  <si>
    <t>Pemasangan 1 m2 lantai ubin teralux marmer ukuran 30cm x30cm</t>
  </si>
  <si>
    <t>Pemasangan 1 m2 lantai teraso cor di tempat, tebal 3cm</t>
  </si>
  <si>
    <t>Pemasangan 1 m2 lantai keramik artistik 10cm x 20cm</t>
  </si>
  <si>
    <t>Pemasangan 1 m2 lantai keramik artistik 10cm x 10cm atau 5cm x 20cm</t>
  </si>
  <si>
    <t>Pemasangan 1 m2 lantai keramik ukuran 33cm x 33cm</t>
  </si>
  <si>
    <t>Pemasangan 1 m2 lantai keramik ukuran 30cm x 30cm</t>
  </si>
  <si>
    <t>Pemasangan 1 m2 lantai keramik ukuran 20cm x 20cm</t>
  </si>
  <si>
    <t>Pemasangan 1 m2 lantai keramik mozaik ukuran 30cm x 30cm</t>
  </si>
  <si>
    <t>Pemasangan 1 m2 floor harderner</t>
  </si>
  <si>
    <t>Pemasangan 1 m2 dinding conblock HB15 campuran  1SP  :4PP</t>
  </si>
  <si>
    <t>Pemasangan 1 m2 dinding conblock HB10 campuran  1SP  :3PP</t>
  </si>
  <si>
    <t>Pemasangan 1 m2 dinding conblock HB10 campuran  1SP  :4PP</t>
  </si>
  <si>
    <t>Pemasangan 1 m2 dinding terawang (rooster) 12x11x24  campuran  1SP  :3PP</t>
  </si>
  <si>
    <t>Pemasangan 1 m2 dinding terawang (rooster) 12x11x24  campuran  1SP  :4PP</t>
  </si>
  <si>
    <t>Pemasangan 1 m2 dinding bata berongga ekspose 12x11x24  campuran 1 SP : 3 PP</t>
  </si>
  <si>
    <t>Akustik ukuran 30 x 60 cm</t>
  </si>
  <si>
    <t>Akustik ukuran 30 x 30 cm</t>
  </si>
  <si>
    <t>Pengecatan 1 m2  bidang kayu baru (1 lapis plamuur, 1 lapis cat dasar, 2 lapis cat penutup)</t>
  </si>
  <si>
    <t>Pengerokan 1 m2  karat pada permukaan baja cara manual</t>
  </si>
  <si>
    <t>Pencucian 1 m2 bidang  permukaan tembok yang pernah dicat</t>
  </si>
  <si>
    <t>Pengikisan/pengerokan 1 m2 permukaan cat lama</t>
  </si>
  <si>
    <t>(K3) Pemotongan 1 buah pipa PVC Ø 90 mm</t>
  </si>
  <si>
    <t>(K3) Pemotongan 1 buah pipa HDPE Ø 125 mm</t>
  </si>
  <si>
    <t>(K3) Pemotongan 1 buah pipa HDPE Ø 250 mm</t>
  </si>
  <si>
    <t>(K3) Pemotongan 1 buah pipa HDPE Ø 900 mm</t>
  </si>
  <si>
    <t>Cat Penutup Tembok</t>
  </si>
  <si>
    <t>Cat dasar Kayu</t>
  </si>
  <si>
    <t>Cat dasar Tembok</t>
  </si>
  <si>
    <t>Cat Penutup Kayu</t>
  </si>
  <si>
    <t>L.02.10</t>
  </si>
  <si>
    <t>L.02.11</t>
  </si>
  <si>
    <t>L.02.12</t>
  </si>
  <si>
    <t>L.02.13</t>
  </si>
  <si>
    <t>L.02.14</t>
  </si>
  <si>
    <t>L.13</t>
  </si>
  <si>
    <t>Cat Dasar Kayu</t>
  </si>
  <si>
    <t>Cat dasar Besi</t>
  </si>
  <si>
    <t>L.01.01</t>
  </si>
  <si>
    <t>L.02.01</t>
  </si>
  <si>
    <t>L.02.02</t>
  </si>
  <si>
    <t>L.02.03</t>
  </si>
  <si>
    <t>L.02.04</t>
  </si>
  <si>
    <t>L.02.05</t>
  </si>
  <si>
    <t>L.02.06</t>
  </si>
  <si>
    <t>L.02.07</t>
  </si>
  <si>
    <t>L.02.08</t>
  </si>
  <si>
    <t>L.02.09</t>
  </si>
  <si>
    <t>L.03.01</t>
  </si>
  <si>
    <t>L.04.01</t>
  </si>
  <si>
    <t>L.08.01</t>
  </si>
  <si>
    <t>L.09.01</t>
  </si>
  <si>
    <t>L.08.02</t>
  </si>
  <si>
    <t>L.09.02</t>
  </si>
  <si>
    <t>L.10.01</t>
  </si>
  <si>
    <t>L.10.02</t>
  </si>
  <si>
    <t>L.11.02</t>
  </si>
  <si>
    <t>Operator Alat Pipa</t>
  </si>
  <si>
    <t>L.11.01</t>
  </si>
  <si>
    <t>Peralatan</t>
  </si>
  <si>
    <t>Paving block  8 cm berwarna</t>
  </si>
  <si>
    <t>Paving block 6 cm</t>
  </si>
  <si>
    <t>Paving block 6cm berwarna</t>
  </si>
  <si>
    <t>Paving block 8 cm natural</t>
  </si>
  <si>
    <t>Pipa PVC 4”</t>
  </si>
  <si>
    <t>Pipa PVC 3/4”</t>
  </si>
  <si>
    <t xml:space="preserve">A.4.4.1.18 </t>
  </si>
  <si>
    <t>(K3) Pemasangan 1 m Pipa DCI Ø 600 mm</t>
  </si>
  <si>
    <t>(K3) Pemasangan 1 m' pipa baja Ø 250 mm</t>
  </si>
  <si>
    <t>(K3) Pemotongan 1 buah pipa GIP Ø 600 mm</t>
  </si>
  <si>
    <t>:</t>
  </si>
  <si>
    <t>DAFTAR HARGA SATUAN BAHAN</t>
  </si>
  <si>
    <t>NO.</t>
  </si>
  <si>
    <t>JENIS  BAHAN</t>
  </si>
  <si>
    <t>SATUAN</t>
  </si>
  <si>
    <t>HARGA</t>
  </si>
  <si>
    <t>KET</t>
  </si>
  <si>
    <t>(Rp.)</t>
  </si>
  <si>
    <t>Agregat Base Kelas A</t>
  </si>
  <si>
    <t>M³</t>
  </si>
  <si>
    <t>Agregat Base Kelas B</t>
  </si>
  <si>
    <t>Agregat Base Kelas C</t>
  </si>
  <si>
    <t>Agg. Halus LPA</t>
  </si>
  <si>
    <t>Agregat Pecah Kasar</t>
  </si>
  <si>
    <t>Ltr</t>
  </si>
  <si>
    <t>Aspal</t>
  </si>
  <si>
    <t>Aspal Hotmix (Ready Mix)</t>
  </si>
  <si>
    <t>Ton</t>
  </si>
  <si>
    <t>Batako Uk. 20 x 40 x 10</t>
  </si>
  <si>
    <t xml:space="preserve">Batu Alam 10 x 20 </t>
  </si>
  <si>
    <t>M²</t>
  </si>
  <si>
    <t>Batu apung</t>
  </si>
  <si>
    <t>Batu Bata Klinker Uk. 5 x 5 x 25</t>
  </si>
  <si>
    <t xml:space="preserve">Batu Belah / Batu Kali / Batu Gunung </t>
  </si>
  <si>
    <t xml:space="preserve">Batu Belah Uk. 15 - 20 </t>
  </si>
  <si>
    <t>Batu Boulder</t>
  </si>
  <si>
    <t>Batu Bunga (Alam)</t>
  </si>
  <si>
    <t>Batu Candi 10 x 20</t>
  </si>
  <si>
    <t>Batu Candi 30 x 30</t>
  </si>
  <si>
    <t>Batu Green Bally 15 x 30</t>
  </si>
  <si>
    <t>Batu Green Bally 20 x 40</t>
  </si>
  <si>
    <t>Batu Palimanan 10 x 20</t>
  </si>
  <si>
    <t>Batu Palimanan 15 x 30</t>
  </si>
  <si>
    <t>Batu Palimanan 20 x 40</t>
  </si>
  <si>
    <t>Batu Palimanan 30 x 30</t>
  </si>
  <si>
    <t>Batu Pecah Uk. 0,5 - 1</t>
  </si>
  <si>
    <t>Batu Pecah Uk. 1 - 3</t>
  </si>
  <si>
    <t>Batu Pecah Uk. 3 - 5</t>
  </si>
  <si>
    <t>Batu Pecah Uk. 5 - 7</t>
  </si>
  <si>
    <t>Batu Sukabumi 10 x 20</t>
  </si>
  <si>
    <t>Batu Sukabumi 15 x 15</t>
  </si>
  <si>
    <t>Bensin / Premium (HET)</t>
  </si>
  <si>
    <t>Bensin / Premium (Industri)</t>
  </si>
  <si>
    <t>Butonite Patch</t>
  </si>
  <si>
    <t>Cansteen</t>
  </si>
  <si>
    <t>Gebalan Rumput</t>
  </si>
  <si>
    <t>Geotextile</t>
  </si>
  <si>
    <t>M¹</t>
  </si>
  <si>
    <t>Hollow Brick</t>
  </si>
  <si>
    <t>I j u k</t>
  </si>
  <si>
    <t>Kapur Padam</t>
  </si>
  <si>
    <t>Karet Elastomer</t>
  </si>
  <si>
    <t>Kerikil Beton</t>
  </si>
  <si>
    <t>Kerikil Koral Uk. 1 - 3 cm</t>
  </si>
  <si>
    <t>Koral Sikat 2 - 3 cm</t>
  </si>
  <si>
    <t>Koral Sikat Panca Warna</t>
  </si>
  <si>
    <t>Minyak Bekisting</t>
  </si>
  <si>
    <t>Minyak Pelumas / Oli (Pertamina)</t>
  </si>
  <si>
    <t>Minyak Pelumas / Oli (Shell)</t>
  </si>
  <si>
    <t>Minyak Tanah / Kerosine (Industri)</t>
  </si>
  <si>
    <t>Pasir Kasar/ Urug</t>
  </si>
  <si>
    <t>Pasir Pasang / Beton</t>
  </si>
  <si>
    <t>Pasir Pasang (Sedang)</t>
  </si>
  <si>
    <t>Paving Stone t=6 cm</t>
  </si>
  <si>
    <t>Paving Stone t=8 cm</t>
  </si>
  <si>
    <t>S o l a r (HET)</t>
  </si>
  <si>
    <t>S o l a r (Industri)</t>
  </si>
  <si>
    <t>Semen PC</t>
  </si>
  <si>
    <t>Semen Putih</t>
  </si>
  <si>
    <t>Sirtu Alam</t>
  </si>
  <si>
    <t>Storox-100</t>
  </si>
  <si>
    <t>Tanah Biasa</t>
  </si>
  <si>
    <t>Tanah Pilihan</t>
  </si>
  <si>
    <t>Trihex Paving</t>
  </si>
  <si>
    <t>Besi Hollow 2 x 4 cm</t>
  </si>
  <si>
    <t>Besi Hollow 4 x 4 cm</t>
  </si>
  <si>
    <t>Besi Siku 3 x 3 x 2</t>
  </si>
  <si>
    <t>Besi Siku 3 x 3 x 3</t>
  </si>
  <si>
    <t>Besi Siku 4 x 4 x 3</t>
  </si>
  <si>
    <t>Besi Siku 4 x 4 x 4</t>
  </si>
  <si>
    <t>Besi Siku 5 x 5 x 5</t>
  </si>
  <si>
    <t>Besi Stainlessteel 1/2"</t>
  </si>
  <si>
    <t>Besi Stainlessteel 3/4"</t>
  </si>
  <si>
    <t>Besi Stainlessteel 1"</t>
  </si>
  <si>
    <t>Besi Stainlessteel 1 1/4"</t>
  </si>
  <si>
    <t>Besi Stainlessteel 1  1/2"</t>
  </si>
  <si>
    <t>Besi Stainlessteel 2"</t>
  </si>
  <si>
    <t>Besi Stainlessteel 3"</t>
  </si>
  <si>
    <t>Besi Stainlessteel 4"</t>
  </si>
  <si>
    <t>Besi Warmesh θ 10</t>
  </si>
  <si>
    <t>Besi Warmesh θ 6</t>
  </si>
  <si>
    <t>Besi Warmesh θ 8</t>
  </si>
  <si>
    <t>Bois Beton dia. 100 cm    (pakai tulangan)</t>
  </si>
  <si>
    <t>Bois Beton dia. 100 cm    (tanpa tulangan)</t>
  </si>
  <si>
    <t>Bois Beton dia. 150 cm    (pakai tulangan)</t>
  </si>
  <si>
    <t>Bois Beton dia. 150 cm    (tanpa tulangan)</t>
  </si>
  <si>
    <t>Bois Beton dia. 60 cm      (tanpa tulangan)</t>
  </si>
  <si>
    <t>Bois Beton dia. 80 cm      (pakai tulangan)</t>
  </si>
  <si>
    <t>Bois Beton dia. 80 cm      (tanpa tulangan)</t>
  </si>
  <si>
    <t>Kawat baja</t>
  </si>
  <si>
    <t>Kawat Beronjong</t>
  </si>
  <si>
    <t>Kawat Beronjong (Jadi) dia. 2,7 mm ( 2 x 1 x 0,5 )</t>
  </si>
  <si>
    <t>Kawat Beronjong (Jadi) dia. 2,7 mm ( 3 x 1 x 0,5 )</t>
  </si>
  <si>
    <t>Kawat Beronjong (Jadi) dia. 3,0 mm ( 2 x 1 x 0,5 )</t>
  </si>
  <si>
    <t>Kawat Beronjong (Jadi) dia. 3,0 mm ( 3 x 1 x 0,5 )</t>
  </si>
  <si>
    <t>Kawat Beton / Bendrat</t>
  </si>
  <si>
    <t>Kawat Duri</t>
  </si>
  <si>
    <t>Kawat jaring galvanis</t>
  </si>
  <si>
    <t>Kawat Las</t>
  </si>
  <si>
    <t>Pagar BRC (BRC Fence) ; tinggi = 120 cm</t>
  </si>
  <si>
    <t>Pagar BRC (BRC Fence) ; tinggi = 175 cm</t>
  </si>
  <si>
    <t>Pagar BRC (BRC Fence) ; tinggi = 90 cm</t>
  </si>
  <si>
    <t>Paku Asbes Bh</t>
  </si>
  <si>
    <t>Paku Beton</t>
  </si>
  <si>
    <t>Paku Genteng Metal</t>
  </si>
  <si>
    <t>Paku Kayu  2" s/d  6"</t>
  </si>
  <si>
    <t>Paku pancing</t>
  </si>
  <si>
    <t>Paku Reng</t>
  </si>
  <si>
    <t>Paku Sekrup</t>
  </si>
  <si>
    <t>Paku Seng</t>
  </si>
  <si>
    <t xml:space="preserve">Paku Tripleks </t>
  </si>
  <si>
    <t>Plat Rambu</t>
  </si>
  <si>
    <t>Profil alumunium "T"</t>
  </si>
  <si>
    <t>Rel Pengaman (Guard Rail)</t>
  </si>
  <si>
    <t>Rolling Door</t>
  </si>
  <si>
    <t>Sekrup fixer</t>
  </si>
  <si>
    <t>Sekrup Galbani</t>
  </si>
  <si>
    <t>Besi Beton Polos</t>
  </si>
  <si>
    <t>Besi Beton Polos  dia. 6  mm</t>
  </si>
  <si>
    <t>Ujung</t>
  </si>
  <si>
    <t>Besi Beton Polos  dia. 10  mm</t>
  </si>
  <si>
    <t>Besi Beton Polos  dia. 12  mm</t>
  </si>
  <si>
    <t>Besi Beton Polos  dia. 14  mm</t>
  </si>
  <si>
    <t>Besi Beton Polos  dia. 16  mm</t>
  </si>
  <si>
    <t>Besi Beton Ulir</t>
  </si>
  <si>
    <t>Besi Beton Ulir     dia. 14  mm</t>
  </si>
  <si>
    <t>Besi Beton Ulir     dia. 16  mm</t>
  </si>
  <si>
    <t>Besi Beton Ulir     dia. 19  mm</t>
  </si>
  <si>
    <t>Besi Beton Ulir     dia. 20  mm</t>
  </si>
  <si>
    <t>Besi Beton Ulir     dia. 22 mm</t>
  </si>
  <si>
    <t>Besi Beton Ulir     dia. 25  mm</t>
  </si>
  <si>
    <t>Lt</t>
  </si>
  <si>
    <t>Roster Kaca Uk. 20x20 cm</t>
  </si>
  <si>
    <t>Roster Uk. 20x20 cm (keramik)</t>
  </si>
  <si>
    <t>Roster Uk. 40x40 cm (keramik)</t>
  </si>
  <si>
    <t>Cat  Dasar /Alkali (Dulux/ Setara)</t>
  </si>
  <si>
    <t>Cat Kayu/Besi Mengkilap (Glotex/ Seiv/ Setara)</t>
  </si>
  <si>
    <t>Cat Marka</t>
  </si>
  <si>
    <t>Cat Menie Kayu/Besi/Seng (Glotex Setara)</t>
  </si>
  <si>
    <t>Cat Multiguard</t>
  </si>
  <si>
    <t>Cat Tembok (Dulux/ICI setara)</t>
  </si>
  <si>
    <t>Cat Tembok (Metrolite/ Catylac/ Setara)</t>
  </si>
  <si>
    <t>Cat Tembok Biasa</t>
  </si>
  <si>
    <t>Cat Waterproofing (Setara Aquaproof)</t>
  </si>
  <si>
    <t>Chipping</t>
  </si>
  <si>
    <t>Compound Gypsum</t>
  </si>
  <si>
    <t>Dempul Besi</t>
  </si>
  <si>
    <t>Dempul Kayu/Wood Filler (Impra Setara)</t>
  </si>
  <si>
    <t>Lem Eha-Bond</t>
  </si>
  <si>
    <t>Minyak Cat / Thiner</t>
  </si>
  <si>
    <t>Paper Tape</t>
  </si>
  <si>
    <t>Plamir</t>
  </si>
  <si>
    <t>Plamur Tembok (Danapaint Setara)</t>
  </si>
  <si>
    <t>Sherlak</t>
  </si>
  <si>
    <t>Spiritus</t>
  </si>
  <si>
    <t>Kaca One Way 10 mm</t>
  </si>
  <si>
    <t>Kaca One Way 5 mm</t>
  </si>
  <si>
    <t>Rangka Aluminium 3" coklat</t>
  </si>
  <si>
    <t>Ujg</t>
  </si>
  <si>
    <t>Rangka Aluminium 3" Silver</t>
  </si>
  <si>
    <t>Rangka Aluminium 4" coklat</t>
  </si>
  <si>
    <t>Rangka Aluminium 4" Silver</t>
  </si>
  <si>
    <t>Kayu Bakar</t>
  </si>
  <si>
    <t>Kayu Kelas I (Kayu Besi, dll.)</t>
  </si>
  <si>
    <t>Kayu Kelas I (Kayu Linggua,dll.)</t>
  </si>
  <si>
    <t>Kayu Kelas II (Kayu Cempaka, dll.)</t>
  </si>
  <si>
    <t>Kayu Kelas III (Kayu Nantu, dll.)</t>
  </si>
  <si>
    <t>Kayu Kelas IV (Kayu Telon, dll.)</t>
  </si>
  <si>
    <t>Kayu Perancah</t>
  </si>
  <si>
    <t>Asbes Gelombang Besar</t>
  </si>
  <si>
    <t>Asbes Gelombang Kecil</t>
  </si>
  <si>
    <t>Atap alumunium gelombang tebal 0.55 mm</t>
  </si>
  <si>
    <t>Atap Genteng Metal (setara Multi Roof)</t>
  </si>
  <si>
    <t>Atap Genteng Metal (setara Sakura Roof:80 cmX 80 cm)</t>
  </si>
  <si>
    <t>Atap Onduline Gelombang 0.95 * 1.95 M</t>
  </si>
  <si>
    <t>Atap Spandek</t>
  </si>
  <si>
    <t>Bubungan Genteng Metal (setara Multi Roof)</t>
  </si>
  <si>
    <t>Bubungan Genteng Metal (setara Sakura Roof)</t>
  </si>
  <si>
    <t>Eternit (Asbes)</t>
  </si>
  <si>
    <t>Flashing Genteng Metal (setara Multi Roof)</t>
  </si>
  <si>
    <t>Flashing Genteng Metal (setara Sakura Roof)</t>
  </si>
  <si>
    <t>Genteng (setara Genteng Kodok)</t>
  </si>
  <si>
    <t>Genteng Aspal</t>
  </si>
  <si>
    <t>Genteng Beton</t>
  </si>
  <si>
    <t>Genteng Kaca</t>
  </si>
  <si>
    <t>Genteng Keramik</t>
  </si>
  <si>
    <t>Genteng Sirap</t>
  </si>
  <si>
    <t>Karpus Asbes Gelombang Besar</t>
  </si>
  <si>
    <t>Karpus Asbes Gelombang Kecil</t>
  </si>
  <si>
    <t>Karpus Genteng (setara Genteng Kodok)</t>
  </si>
  <si>
    <t>Karpus Genteng Beton</t>
  </si>
  <si>
    <t>Karpus Genteng Keramik</t>
  </si>
  <si>
    <t>Kaso 3/5</t>
  </si>
  <si>
    <t>Btg</t>
  </si>
  <si>
    <t>Nok alumunium standar 40 cm 18, swg 22</t>
  </si>
  <si>
    <t>Nok Samping Genteng Metal (setara Multi Roof)</t>
  </si>
  <si>
    <t>Nok Samping Genteng Metal (setara Sakura Roof)</t>
  </si>
  <si>
    <t>Policarbonate</t>
  </si>
  <si>
    <t>Seng Fiberglass</t>
  </si>
  <si>
    <t>Seng Gelombang Alluminium 0,25 mm</t>
  </si>
  <si>
    <t>Seng Gelombang Alluminium 0,30 mm</t>
  </si>
  <si>
    <t>Seng Plat Alluminium 0,25 mm</t>
  </si>
  <si>
    <t>Seng Plat Alluminium 0,30 mm</t>
  </si>
  <si>
    <t>Seng Fiberglass Laserlite Plus (uk. 180 x 86 x 0,9 cm)</t>
  </si>
  <si>
    <t>Seng Gelombang BJLS 20</t>
  </si>
  <si>
    <t>Seng Gelombang BJLS 24</t>
  </si>
  <si>
    <t>Seng Gelombang BJLS 25</t>
  </si>
  <si>
    <t>Seng Gelombang BJLS 30 (uk. 180 x 90 x 0,3 cm)</t>
  </si>
  <si>
    <t>Seng Plat  BJLS 20</t>
  </si>
  <si>
    <t>Seng Plat  BJLS 25</t>
  </si>
  <si>
    <t>Seng Plat  BJLS 30 (uk. 91,4 x 182,9 cm)</t>
  </si>
  <si>
    <t>Internal cove artistik (5 x5x20) cm</t>
  </si>
  <si>
    <t>Marmer</t>
  </si>
  <si>
    <t>Plint keramik arttistik uk. 10 x 10 cm</t>
  </si>
  <si>
    <t>Plint keramik arttistik uk. 10 x 20 cm</t>
  </si>
  <si>
    <t>Shower Screen Aluminium</t>
  </si>
  <si>
    <t>Tegel Abu-Abu uk. 20x20 cm</t>
  </si>
  <si>
    <t>Tegel Abu-Abu uk. 30x30 cm</t>
  </si>
  <si>
    <t>Tegel Abu-Abu uk. 40x40 cm</t>
  </si>
  <si>
    <t>Tegel Berwarna uk. 20x20 cm</t>
  </si>
  <si>
    <t>Tegel Berwarna uk. 30x30 cm</t>
  </si>
  <si>
    <t>Tegel Berwarna uk. 40x40 cm</t>
  </si>
  <si>
    <t>Tegel Esenza uk. 40x40 cm</t>
  </si>
  <si>
    <t>Tegel granite dinding 20 x 20</t>
  </si>
  <si>
    <t>Tegel granite dinding 25 x 50</t>
  </si>
  <si>
    <t>Tegel granite dinding 25 x 60</t>
  </si>
  <si>
    <t>Tegel granite dinding 30 x 30</t>
  </si>
  <si>
    <t>Tegel granite dinding 30 x 60</t>
  </si>
  <si>
    <t>Tegel granite lantai 20 x 20</t>
  </si>
  <si>
    <t>Tegel granite lantai 30 x 30</t>
  </si>
  <si>
    <t>Tegel granite lantai 40 x 40</t>
  </si>
  <si>
    <t>Tegel granite lantai 50 x 50</t>
  </si>
  <si>
    <t>Tegel granite lantai 60 x 60</t>
  </si>
  <si>
    <t>Tegel granite lantai 80 x 80</t>
  </si>
  <si>
    <t>Tegel Granito uk. 30x30 cm</t>
  </si>
  <si>
    <t>Tegel Granito uk. 40x40 cm</t>
  </si>
  <si>
    <t>Tegel Keramik uk. 10x20 cm</t>
  </si>
  <si>
    <t>Tegel Keramik uk. 10x33 cm</t>
  </si>
  <si>
    <t>Tegel Keramik uk. 11x11 cm</t>
  </si>
  <si>
    <t>Tegel Keramik uk. 15x15 cm</t>
  </si>
  <si>
    <t>Tegel Keramik uk. 15x20 cm</t>
  </si>
  <si>
    <t>Tegel Keramik uk. 20x20 cm</t>
  </si>
  <si>
    <t>Tegel Keramik uk. 20x25 cm</t>
  </si>
  <si>
    <t>Tegel Keramik uk. 25x25 cm</t>
  </si>
  <si>
    <t>Tegel Keramik uk. 30x30 cm</t>
  </si>
  <si>
    <t>Tegel Keramik uk. 30x30 cm antislip</t>
  </si>
  <si>
    <t>Tegel Keramik uk. 33x33 cm</t>
  </si>
  <si>
    <t>Tegel Keramik uk. 33x33 cm anti slip</t>
  </si>
  <si>
    <t>Tegel Keramik uk. 40x40 cm anti slip</t>
  </si>
  <si>
    <t>Tegel mosaik 30 x 30 cm, ex lokal</t>
  </si>
  <si>
    <t>Tegel Plint granito uk. 10x30 cm</t>
  </si>
  <si>
    <t>Tegel Plint granito uk. 10x40 cm</t>
  </si>
  <si>
    <t>Tegel Plint granito uk. 15x30 cm</t>
  </si>
  <si>
    <t>Tegel Plint pc abu-abu  uk. 15x30 cm</t>
  </si>
  <si>
    <t>Tegel Plint pc abu-abu uk. 10x30 cm</t>
  </si>
  <si>
    <t>Tegel Plint pc abu-abu uk. 10x40 cm</t>
  </si>
  <si>
    <t>Tegel Plint pc warna uk. 10x40 cm</t>
  </si>
  <si>
    <t>Tegel Plint teralux kerang uk. 10x30 cm</t>
  </si>
  <si>
    <t>Tegel Plint teralux kerang uk. 10x40 cm</t>
  </si>
  <si>
    <t>Tegel Plint teralux kerang uk. 15x30 cm</t>
  </si>
  <si>
    <t>Tegel Plint teralux marmer uk. 10x30 cm</t>
  </si>
  <si>
    <t>Tegel Plint teralux marmer uk. 10x40 cm</t>
  </si>
  <si>
    <t>Tegel Plint teralux marmer uk. 10x60 cm</t>
  </si>
  <si>
    <t>Tegel Plint Teraso uk. 10x30 cm</t>
  </si>
  <si>
    <t>Tegel Plint Teraso uk. 10x40 cm</t>
  </si>
  <si>
    <t>Tegel Plint Teraso uk. 15x30 cm</t>
  </si>
  <si>
    <t>Tegel Plint warna uk. 10x20 cm</t>
  </si>
  <si>
    <t xml:space="preserve">Tegel Porselin putih uk. 11x11 cm </t>
  </si>
  <si>
    <t>Tegel teralux kerang uk. 30 x 30 cm</t>
  </si>
  <si>
    <t>Tegel teralux kerang uk. 40 x 40 cm</t>
  </si>
  <si>
    <t>Tegel teralux marmer uk. 40 x 40 cm</t>
  </si>
  <si>
    <t>Tegel teralux marmer uk. 60 x 60 cm</t>
  </si>
  <si>
    <t>Tegel Wafel uk. 20x20 cm</t>
  </si>
  <si>
    <t>Ubin keramik arttistik uk. 10 x 10 cm</t>
  </si>
  <si>
    <t>Ubin keramik arttistik uk. 10 x 20 cm</t>
  </si>
  <si>
    <t>Ubin keramik arttistik uk. 15 x 15 cm</t>
  </si>
  <si>
    <t>Ubin keramik arttistik uk. 5 x 20 cm</t>
  </si>
  <si>
    <t>Ubin tahan asam</t>
  </si>
  <si>
    <t>Bak Cuci Stainless Steel (1 Lobang)</t>
  </si>
  <si>
    <t>Bak Cuci Stainless Steel (2 Lobang)</t>
  </si>
  <si>
    <t>Bak Mandi Fiberglass</t>
  </si>
  <si>
    <t>Bathub</t>
  </si>
  <si>
    <t>Biofill BF 8</t>
  </si>
  <si>
    <t>Floor Drain</t>
  </si>
  <si>
    <t>Jet  Pump Grundfos; Head 50 m; kap. 72 l/dt</t>
  </si>
  <si>
    <t>Jet  Pump; Head 30 m; kap. 30 l/dt</t>
  </si>
  <si>
    <t>Kitchen Set</t>
  </si>
  <si>
    <t>Kloset Duduk Keramik Standar</t>
  </si>
  <si>
    <t>Kloset Jongkok Keramik Standar</t>
  </si>
  <si>
    <t>Kloset Monoblok Lokal</t>
  </si>
  <si>
    <t>Mata Kran Standar 1/2"</t>
  </si>
  <si>
    <t>Mata Kran Standar 3/4"</t>
  </si>
  <si>
    <t>Pipa Galvanis (medium A) dia. 1"</t>
  </si>
  <si>
    <t>Pipa Galvanis (medium A) dia. 1/2"</t>
  </si>
  <si>
    <t>Pipa Galvanis (medium A) dia. 2"</t>
  </si>
  <si>
    <t>Pipa Galvanis (medium A) dia. 3"</t>
  </si>
  <si>
    <t>Pipa Galvanis (medium A) dia. 3/4"</t>
  </si>
  <si>
    <t>Pipa Galvanis (medium B) dia. 1"</t>
  </si>
  <si>
    <t>Pipa Galvanis (medium B) dia. 1/2"</t>
  </si>
  <si>
    <t>Pipa Galvanis (medium B) dia. 2"</t>
  </si>
  <si>
    <t>Pipa Galvanis (medium B) dia. 3"</t>
  </si>
  <si>
    <t>Pipa Galvanis (medium B) dia. 3/4"</t>
  </si>
  <si>
    <t>Pipa Galvanis Light (biasa) dia. 1"</t>
  </si>
  <si>
    <t>Pipa Galvanis Light (biasa) dia. 1/2"</t>
  </si>
  <si>
    <t>Pipa Galvanis Light (biasa) dia. 2"</t>
  </si>
  <si>
    <t>Pipa Galvanis Light (biasa) dia. 3"</t>
  </si>
  <si>
    <t>Pipa Galvanis Light (biasa) dia. 3/4"</t>
  </si>
  <si>
    <t>Pipa Polyethylene (PE) dia. 1"</t>
  </si>
  <si>
    <t>Pipa Polyethylene (PE) dia. 3/4"</t>
  </si>
  <si>
    <t>Pipa Polyteline PE dia. 1 1/2"</t>
  </si>
  <si>
    <t>Pipa Porous</t>
  </si>
  <si>
    <t>Pipa PVC  dia. 1" AW</t>
  </si>
  <si>
    <t>Pipa PVC  dia. 1,5" AW</t>
  </si>
  <si>
    <t>Pipa PVC  dia. 2" AW</t>
  </si>
  <si>
    <t>Pipa PVC (S-12,5) dia. 1/2" AW</t>
  </si>
  <si>
    <t>Pipa PVC (S-12,5) dia. 3/4" AW</t>
  </si>
  <si>
    <t>Pipa PVC dia. 1 1/4" AW</t>
  </si>
  <si>
    <t>Pipa PVC dia. 1/2" AW</t>
  </si>
  <si>
    <t>Pipa PVC dia. 3" AW</t>
  </si>
  <si>
    <t>Pipa PVC dia. 3/4" AW</t>
  </si>
  <si>
    <t>Pipa PVC dia. 4" AW</t>
  </si>
  <si>
    <t xml:space="preserve">Pipa GIP (Medium SII) Ø 12" </t>
  </si>
  <si>
    <t>m¹</t>
  </si>
  <si>
    <t xml:space="preserve">Pipa GIP (Medium SII) Ø 10" </t>
  </si>
  <si>
    <t xml:space="preserve">Pipa GIP (Medium SII) Ø  8" </t>
  </si>
  <si>
    <t xml:space="preserve">Pipa GIP (Medium SII) Ø  6" </t>
  </si>
  <si>
    <t xml:space="preserve">Pipa GIP (Medium SII) Ø  4" </t>
  </si>
  <si>
    <t xml:space="preserve">Pipa GIP (Medium SII) Ø  3" </t>
  </si>
  <si>
    <t xml:space="preserve">Pipa GIP (Medium SII) Ø  2" </t>
  </si>
  <si>
    <t>Pipa PVC S-10 Ø 12" RR</t>
  </si>
  <si>
    <t>Pipa PVC S-10 Ø 10" RR</t>
  </si>
  <si>
    <t>Pipa PVC S-10 Ø  8" RR</t>
  </si>
  <si>
    <t>Pipa PVC S-10 Ø  6" RR</t>
  </si>
  <si>
    <t>Pipa PVC S-10 Ø  4" RR</t>
  </si>
  <si>
    <t>Pipa PVC S-10 Ø  3" RR</t>
  </si>
  <si>
    <t>Pipa PVC S-10 Ø  2" RR</t>
  </si>
  <si>
    <t>Pipa PVC S-10 Ø  1½" SC</t>
  </si>
  <si>
    <t>Pipa PVC S-10 Ø  1" SC</t>
  </si>
  <si>
    <t>Pipa PVC S-10 Ø  3/4" SC</t>
  </si>
  <si>
    <t>Pipa PVC S-10 Ø  1/2" SC</t>
  </si>
  <si>
    <t>Pipa PVC S-12,5 Ø 12" RR</t>
  </si>
  <si>
    <t>Pipa PVC S-12,5 Ø 10" RR</t>
  </si>
  <si>
    <t>Pipa PVC S-12,5 Ø  8" RR</t>
  </si>
  <si>
    <t>Pipa PVC S-12,5 Ø  6" RR</t>
  </si>
  <si>
    <t>Pipa PVC S-12,5 Ø  4" RR</t>
  </si>
  <si>
    <t>Pipa PVC S-12,5 Ø  3" RR</t>
  </si>
  <si>
    <t>Pipa PVC S-12,5 Ø  2" RR</t>
  </si>
  <si>
    <t>Pipa PVC S-12,5 Ø  1½" SC</t>
  </si>
  <si>
    <t>Pipa PVC S-12,5 Ø  1" SC</t>
  </si>
  <si>
    <t>Pipa PVC S-12,5 Ø  3/4" SC</t>
  </si>
  <si>
    <t>Pipa PVC S-12,5 Ø  1/2" SC</t>
  </si>
  <si>
    <t>Pipa PE S8-SDR17 (PN10) Ø 12" (315 mm)</t>
  </si>
  <si>
    <t>Pipa PE S8-SDR17 (PN10) Ø 10" (250 mm)</t>
  </si>
  <si>
    <t>Pipa PE S8-SDR17 (PN10) Ø  8" (200 mm)</t>
  </si>
  <si>
    <t>Pipa PE S8-SDR17 (PN10) Ø  6" (160 mm)</t>
  </si>
  <si>
    <t>Pipa PE S8-SDR17 (PN10) Ø  4" (110 mm)</t>
  </si>
  <si>
    <t>Pipa PE S8-SDR17 (PN10) Ø  3" (90 mm)</t>
  </si>
  <si>
    <t>Pipa PE S8-SDR17 (PN10) Ø  2" (63 mm)</t>
  </si>
  <si>
    <t>Pipa PE S8-SDR17 (PN10) Ø  1½" (50 mm)</t>
  </si>
  <si>
    <t>Pipa PE S8-SDR17 (PN10) Ø  11/4" (40 mm)</t>
  </si>
  <si>
    <t>Pipa PE S8-SDR17 (PN10) Ø  1" (32 mm)</t>
  </si>
  <si>
    <t>Pipa PE S8-SDR17 (PN10) Ø  ¾" (25 mm)</t>
  </si>
  <si>
    <t>Pipa PE S8-SDR17 (PN10) Ø  ½" (20 mm)</t>
  </si>
  <si>
    <t>Pipa PE S8-SDR17 (PN10) Ø  3/4" (25 mm)</t>
  </si>
  <si>
    <t>Pipa PE S8-SDR17 (PN10) Ø  1/2" (20 mm)</t>
  </si>
  <si>
    <t>Accessories Gate Valve Double Flanged CI Ø 2"</t>
  </si>
  <si>
    <t>Accessories Gate Valve Double Flanged CI Ø 3"</t>
  </si>
  <si>
    <t>Accessories Gate Valve Double Flanged CI Ø 4"</t>
  </si>
  <si>
    <t>Accessories Gate Valve Double Flanged CI Ø 6"</t>
  </si>
  <si>
    <t>Accessories Gate Valve Double Flanged CI Ø 8"</t>
  </si>
  <si>
    <t>Accessories Gate Valve Double Flanged CI Ø 10"</t>
  </si>
  <si>
    <t>Accessories Gate Valve Double Flanged CI Ø 12"</t>
  </si>
  <si>
    <t>Accessories Stop Kran Ø 100 mm</t>
  </si>
  <si>
    <t>unit</t>
  </si>
  <si>
    <t>Accessories Stop Kran Ø 75 mm</t>
  </si>
  <si>
    <t>Accessories Stop Kran Ø 50 mm</t>
  </si>
  <si>
    <t>Accessories Stop Kran Ø 25 mm</t>
  </si>
  <si>
    <t>Accessories Stop Kran Ø 20 mm</t>
  </si>
  <si>
    <t>Accessories Check Valve (Non Return Valve) Ø  4"</t>
  </si>
  <si>
    <t>Accessories Check Valve (Non Return Valve) Ø  6"</t>
  </si>
  <si>
    <t>Accessories Check Valve (Non Return Valve) Ø  8"</t>
  </si>
  <si>
    <t>Accessories Check Valve (Non Return Valve) Ø  10"</t>
  </si>
  <si>
    <t>Accessories Check Valve (Non Return Valve) Ø  12"</t>
  </si>
  <si>
    <t>Accessories DF. Water Meter Ø 1/2"</t>
  </si>
  <si>
    <t>Accessories DF. Water Meter Ø 2"</t>
  </si>
  <si>
    <t>Accessories DF. Water Meter Ø  3"</t>
  </si>
  <si>
    <t>Accessories DF. Water Meter Ø 4"</t>
  </si>
  <si>
    <t>Accessories DF. Water Meter Ø 6"</t>
  </si>
  <si>
    <t>Accessories DF. Water Meter Ø  8"</t>
  </si>
  <si>
    <t>Accessories DF. Water Meter Ø  10"</t>
  </si>
  <si>
    <t>Accessories DF. Water Meter Ø  12"</t>
  </si>
  <si>
    <t xml:space="preserve">Accessories Flanged Air Relief  Valve Ø  50 mm </t>
  </si>
  <si>
    <t>Accessories Air Vent GIP Ø 3"</t>
  </si>
  <si>
    <t>Accessories All Flanged Tee PVC Ø 4" x 4"</t>
  </si>
  <si>
    <t>Accessories All Flanged Tee PVC Ø 3" x 3"</t>
  </si>
  <si>
    <t>Accessories All Flanged Tee PVC Ø 3" x 2"</t>
  </si>
  <si>
    <t>Accessories All Flanged Tee CI Ø 12"  X  12"</t>
  </si>
  <si>
    <t>Accessories All Flanged Tee CI Ø 12"  X  8"</t>
  </si>
  <si>
    <t>Accessories All Flanged Tee CI Ø 12"  X  2"</t>
  </si>
  <si>
    <t>Accessories All Flanged Tee CI Ø 12" x 12"</t>
  </si>
  <si>
    <t>Accessories All Flanged Tee CI Ø 10" x 10"</t>
  </si>
  <si>
    <t>Accessories All Flanged Tee CI Ø 8" x 8"</t>
  </si>
  <si>
    <t>Accessories All Flanged Tee CI Ø 6" x 6"</t>
  </si>
  <si>
    <t>Accessories All Flanged Tee CI Ø 6" x 4"</t>
  </si>
  <si>
    <t>Accessories All Flanged Tee CI Ø 4" x 4"</t>
  </si>
  <si>
    <t>Accessories All Flanged Tee CI Ø 4" x 3"</t>
  </si>
  <si>
    <t>Accessories All Flanged Tee CI Ø 4" x 2"</t>
  </si>
  <si>
    <t>Accessories All Flanged Tee CI Ø 3" x 2"</t>
  </si>
  <si>
    <t>Accessories All Flanged Tee CI Ø 2" x 2"</t>
  </si>
  <si>
    <t>Accessories All Flanged Tee Y Cl Ø 12"  X  12"</t>
  </si>
  <si>
    <t>Accessories Socket Tee PVC  (All RR) Ø 6" x 6"</t>
  </si>
  <si>
    <t>Accessories Socket Tee PVC  (All RR) Ø 6" x 4"</t>
  </si>
  <si>
    <t>Accessories Socket Tee PVC  (All RR) Ø 4" x 4"</t>
  </si>
  <si>
    <t>Accessories Socket Tee PVC  (All RR) Ø 4" x 3"</t>
  </si>
  <si>
    <t>Accessories Socket Tee PVC  (All RR) Ø 4" x 2"</t>
  </si>
  <si>
    <t xml:space="preserve">Accessories Socket Tee PVC  (All RR) Ø 3" X 3" </t>
  </si>
  <si>
    <t xml:space="preserve">Accessories Socket Tee PVC  (All RR) Ø 3" X 2" </t>
  </si>
  <si>
    <t>Accessories Socket Tee PVC  (All RR) Ø 2" X 2"</t>
  </si>
  <si>
    <t>Accessories Baut Moor 5/8" x 3"</t>
  </si>
  <si>
    <t>Accessories Baut Moor 5/8" x 4"</t>
  </si>
  <si>
    <t>Accessories Blind Flanged Ø 12"</t>
  </si>
  <si>
    <t>Accessories Blind Flanged Ø 8"</t>
  </si>
  <si>
    <t>Accessories Clem Besi Plat Ø 4" X  2 mm</t>
  </si>
  <si>
    <t>Accessories Dop PVC  Ø 2"</t>
  </si>
  <si>
    <t>Accessories Dop PVC  Ø 3"</t>
  </si>
  <si>
    <t>Accessories Dop PVC  Ø 4"</t>
  </si>
  <si>
    <t>Accessories Dop PVC  Ø 6"</t>
  </si>
  <si>
    <t>Accessories Double Flanged Bend CI Ø 12"  X  11,25º</t>
  </si>
  <si>
    <t>Accessories Double Flanged Bend CI Ø 12"  X  22,5º</t>
  </si>
  <si>
    <t>Accessories Double Flanged Bend CI Ø 12"  X  45º</t>
  </si>
  <si>
    <t>Accessories Double Flanged Bend CI Ø 12"  X  90º</t>
  </si>
  <si>
    <t>Accessories Double Flanged Bend CI Ø 8" x 22,5º</t>
  </si>
  <si>
    <t>Accessories Double Flanged Bend CI Ø 8" x 45º</t>
  </si>
  <si>
    <t>Accessories Double Flanged Bend CI Ø 8" x 90º</t>
  </si>
  <si>
    <t>Accessories Double Flanged Bend CI Ø 6" x 22,5º</t>
  </si>
  <si>
    <t>Accessories Double Flanged Bend CI Ø 6" x 45º</t>
  </si>
  <si>
    <t>Accessories Double Flanged Bend CI Ø 6" x 90º</t>
  </si>
  <si>
    <t>Accessories Double Flanged Bend CI Ø 4" x 11,5º</t>
  </si>
  <si>
    <t>Accessories Double Flanged Bend CI Ø 4" x 22,5º</t>
  </si>
  <si>
    <t>Accessories Double Flanged Bend CI Ø 4" x 45º</t>
  </si>
  <si>
    <t>Accessories Double Flanged Bend CI Ø 4" x 90º</t>
  </si>
  <si>
    <t>Accessories Double Flanged Bend CI Ø 3" x 22,5º</t>
  </si>
  <si>
    <t>Accessories Double Flanged Bend CI Ø 3" x 45º</t>
  </si>
  <si>
    <t>Accessories Double Flanged Bend CI Ø 3" x 90º</t>
  </si>
  <si>
    <t>Accessories Double Flanged Bend CI Ø 2" x 22,5º</t>
  </si>
  <si>
    <t>Accessories Double Flanged Bend CI Ø 2" x 45º</t>
  </si>
  <si>
    <t>Accessories Double Flanged Bend CI Ø 2" x 90º</t>
  </si>
  <si>
    <t>Accessories Double Flanged Pipe GIP Ø 3" x 60 cm.</t>
  </si>
  <si>
    <t>Accessories Double Flanged Pipe GIP Ø 3" x 80 cm.</t>
  </si>
  <si>
    <t>Accessories Double Flanged Pipe GIP Ø 3" x 100 cm.</t>
  </si>
  <si>
    <t>Accessories Double Flanged Pipe GIP Ø 3" x 120 cm.</t>
  </si>
  <si>
    <t>Accessories Double Flanged Pipe GIP Ø 3" x 200 cm.</t>
  </si>
  <si>
    <t>Accessories Double Flanged Pipe GIP Ø 4" x 60 cm.</t>
  </si>
  <si>
    <t>Accessories Double Flanged Pipe GIP Ø 4" x 80 cm.</t>
  </si>
  <si>
    <t>Accessories Double Flanged Pipe GIP Ø 4" x 100 cm.</t>
  </si>
  <si>
    <t>Accessories Double Flanged Pipe GIP Ø 4" x 120 cm.</t>
  </si>
  <si>
    <t>Accessories Double Flanged Pipe GIP Ø 4" x 180 cm.</t>
  </si>
  <si>
    <t>Accessories Flanged Pipe GIP Ø 3" x 60 cm.</t>
  </si>
  <si>
    <t>Accessories Flanged Pipe GIP Ø 3" x 100 cm.</t>
  </si>
  <si>
    <t>Accessories Flanged Pipe GIP Ø 3" x 200 cm.</t>
  </si>
  <si>
    <t>Accessories Flanged Pipe GIP Ø 4" x 60 cm.</t>
  </si>
  <si>
    <t>Accessories Flanged Pipe GIP Ø 4" x 100 cm.</t>
  </si>
  <si>
    <t>Accessories Flanged Pipe GIP Ø 4" x 200 cm.</t>
  </si>
  <si>
    <t>Accessories Flanged Pipe GIP Ø 6" x 60 cm.</t>
  </si>
  <si>
    <t>Accessories Flanged Pipe GIP Ø 6" x 80 cm.</t>
  </si>
  <si>
    <t>Accessories Flanged Pipe GIP Ø 6" x 100 cm.</t>
  </si>
  <si>
    <t>Accessories Flanged Pipe GIP Ø 6" x 200 cm.</t>
  </si>
  <si>
    <t>Accessories Double Socket Bend CI for PVC Ø 6" x 11,25º</t>
  </si>
  <si>
    <t>Accessories Double Socket Bend CI for PVC Ø 6" x 22,5º</t>
  </si>
  <si>
    <t>Accessories Double Socket Bend CI for PVC Ø 6" x 45º</t>
  </si>
  <si>
    <t>Accessories Double Socket Bend CI for PVC Ø 6" x 90º</t>
  </si>
  <si>
    <t>Accessories Flanged Air Relief Valve Ø 2"</t>
  </si>
  <si>
    <t>Accessories Bend Doble Socet PVC Ø 10"  X  11,25º</t>
  </si>
  <si>
    <t>Accessories Bend Doble Socet PVC Ø 10"  X  22,5º</t>
  </si>
  <si>
    <t>Accessories Bend Doble Socet PVC Ø 10"  X  45º</t>
  </si>
  <si>
    <t>Accessories Bend Doble Socet PVC Ø 10"  X  90º</t>
  </si>
  <si>
    <t>Accessories Bend Doble Socet PVC Ø 8" x 22,5º</t>
  </si>
  <si>
    <t>Accessories Bend Doble Socet PVC Ø 8" x 45º</t>
  </si>
  <si>
    <t>Accessories Bend Doble Socet PVC Ø 8" x 90º</t>
  </si>
  <si>
    <t>Accessories Bend Doble Socet PVC Ø 6" x 22,5º</t>
  </si>
  <si>
    <t>Accessories Bend Doble Socet PVC Ø 6" x 45º</t>
  </si>
  <si>
    <t>Accessories Bend Doble Socet PVC Ø 6" x 90º</t>
  </si>
  <si>
    <t>Accessories Bend Doble Socet PVC Ø 4" x 11,5º</t>
  </si>
  <si>
    <t>Accessories Bend Doble Socet PVC Ø 4" x 22,5º</t>
  </si>
  <si>
    <t>Accessories Bend Doble Socet PVC Ø 4" x 45º</t>
  </si>
  <si>
    <t>Accessories Bend Doble Socet PVC Ø 4" x 90º</t>
  </si>
  <si>
    <t>Accessories Bend Doble Socet PVC Ø 3" x 22,5º</t>
  </si>
  <si>
    <t>Accessories Bend Doble Socet PVC Ø 3" x 45º</t>
  </si>
  <si>
    <t>Accessories Bend Doble Socet PVC Ø 3" x 90º</t>
  </si>
  <si>
    <t>Accessories Bend Doble Socet PVC Ø 2" x 22,5º</t>
  </si>
  <si>
    <t>Accessories Bend Doble Socet PVC Ø 2" x 45º</t>
  </si>
  <si>
    <t>Accessories Bend Doble Socet PVC Ø 2" x 90º</t>
  </si>
  <si>
    <t>Accessories Flanged Socket  PVC RRJ Ø 2"</t>
  </si>
  <si>
    <t>Accessories Flanged Socket  PVC RRJ Ø 3"</t>
  </si>
  <si>
    <t>Accessories Flanged Socket  PVC RRJ Ø 4"</t>
  </si>
  <si>
    <t>Accessories Flanged Socket  PVC RRJ Ø 6"</t>
  </si>
  <si>
    <t>Accessories Flanged Socket  PVC RRJ Ø 8"</t>
  </si>
  <si>
    <t>Accessories Flanged Socket  PVC RRJ Ø 10"</t>
  </si>
  <si>
    <t>Accessories Flanged Socket  PVC RRJ Ø 12"</t>
  </si>
  <si>
    <t>Accessories Flanged Spigot  PVC Ø 2"</t>
  </si>
  <si>
    <t>Accessories Flanged Spigot  PVC Ø 3"</t>
  </si>
  <si>
    <t>Accessories Flanged Spigot  PVC Ø 4"</t>
  </si>
  <si>
    <t>Accessories Flanged Spigot  PVC Ø 6"</t>
  </si>
  <si>
    <t>Accessories Flanged Spigot  PVC Ø 8"</t>
  </si>
  <si>
    <t>Accessories Flanged Spigot  PVC Ø 12"</t>
  </si>
  <si>
    <t>Accessories Flanged Steel PN 10 Ø 2"</t>
  </si>
  <si>
    <t>Accessories Flanged Steel PN 10 Ø 3"</t>
  </si>
  <si>
    <t>Accessories Flanged Steel PN 10 Ø 4"</t>
  </si>
  <si>
    <t>Accessories Flanged Steel PN 10 Ø 6"</t>
  </si>
  <si>
    <t>Accessories Flanged Steel PN 10 Ø 8"</t>
  </si>
  <si>
    <t>Accessories Flanged Steel PN 10 Ø 10"</t>
  </si>
  <si>
    <t>Accessories Flanged Steel PN 10 Ø 12"</t>
  </si>
  <si>
    <t>Accessories Flanged Strainer CI  Ø 3"</t>
  </si>
  <si>
    <t>Accessories Flanged Strainer CI  Ø 4"</t>
  </si>
  <si>
    <t>Accessories Flanged Strainer CI  Ø 6"</t>
  </si>
  <si>
    <t>Accessories Flanged Strainer CI  Ø 8"</t>
  </si>
  <si>
    <t>Accessories Fleksible Joint "Tosen" Ø 4</t>
  </si>
  <si>
    <t>Accessories Fleksible Joint "Tosen" Ø 6</t>
  </si>
  <si>
    <t>Accessories Fleksible Joint "Tosen" Ø 8</t>
  </si>
  <si>
    <t>Accessories Fleksible Joint "Tosen" Ø 10</t>
  </si>
  <si>
    <t>Accessories Fleksible Joint "Tosen" Ø 12</t>
  </si>
  <si>
    <t>Accessories Manhole 80 x 80 Cm.</t>
  </si>
  <si>
    <t>Accessories Paking Karet Ø 2"</t>
  </si>
  <si>
    <t>Accessories Paking Karet Ø 3"</t>
  </si>
  <si>
    <t>Accessories Paking Karet Ø 4"</t>
  </si>
  <si>
    <t>Accessories Paking Karet Ø 6"</t>
  </si>
  <si>
    <t>Accessories Paking Karet Ø 8"</t>
  </si>
  <si>
    <t>Accessories Paking Karet Ø 10"</t>
  </si>
  <si>
    <t xml:space="preserve">Accessories Paking Karet Ø 12" </t>
  </si>
  <si>
    <t>Accessories DF Pipa GIP Ø 3" x 60 cm.</t>
  </si>
  <si>
    <t>Accessories DF Pipa GIP Ø 3" x 100 cm.</t>
  </si>
  <si>
    <t>Accessories Pressure Reducing Valve Ø  6"</t>
  </si>
  <si>
    <t>Accessories Repair Socket PVC  Ø 2"</t>
  </si>
  <si>
    <t>Accessories Socket Repair PVC  Ø 6"</t>
  </si>
  <si>
    <t>Accessories Rubber Expansiont Joint Ø  6"</t>
  </si>
  <si>
    <t>Accessories Rubber Water Stop 30 Cm</t>
  </si>
  <si>
    <t>Accessories Socket GIP  Ø   2"</t>
  </si>
  <si>
    <t>Accessories Socket GIP  Ø   3"</t>
  </si>
  <si>
    <t>Accessories Socket GIP  Ø   4"</t>
  </si>
  <si>
    <t>Accessories Socket GIP  Ø   6"</t>
  </si>
  <si>
    <t>Accessories Socket Reducer PVC (All RR) Ø  3" x 2"</t>
  </si>
  <si>
    <t>Accessories Socket Reducer PVC (All RR) Ø  4" x 3"</t>
  </si>
  <si>
    <t>Accessories Socket Reducer PVC (All RR) Ø  4" x 2"</t>
  </si>
  <si>
    <t>Accessories Socket Reducer PVC (All RR) Ø  6" x 3"</t>
  </si>
  <si>
    <t>Accessories Socket Reducer PVC (All RR) Ø  6" x 4"</t>
  </si>
  <si>
    <t>Accessories Socket Reducer PVC (All RR) Ø  8" x 6"</t>
  </si>
  <si>
    <t>Accessories Socket Reducer PVC (All RR) Ø  10" x 8"</t>
  </si>
  <si>
    <t>Accessories Socket Spigot Bend PVC Ø 12"  X  90º</t>
  </si>
  <si>
    <t>Accessories Socket Spigot Bend PVC Ø 12"  X  45º</t>
  </si>
  <si>
    <t>Accessories Socket Spigot Bend PVC Ø 12"  X  22,5º</t>
  </si>
  <si>
    <t>Accessories Socket Spigot Bend PVC Ø 12"  X  11,25º</t>
  </si>
  <si>
    <t>Accessories Socket Spigot Bend PVC  Ø 8" x 22,5º</t>
  </si>
  <si>
    <t>Accessories Socket Spigot Bend PVC  Ø 8" x 45º</t>
  </si>
  <si>
    <t>Accessories Socket Spigot Bend PVC  Ø 8" x 90º</t>
  </si>
  <si>
    <t>Accessories Socket Spigot Bend PVC  Ø 6" x 22,5º</t>
  </si>
  <si>
    <t>Accessories Socket Spigot Bend PVC  Ø 6" x 45º</t>
  </si>
  <si>
    <t>Accessories Socket Spigot Bend PVC  Ø 6" x 90º</t>
  </si>
  <si>
    <t>Accessories Socket Spigot Bend PVC  (S-10) Ø 4" x 22,5º</t>
  </si>
  <si>
    <t>Accessories Socket Spigot Bend PVC  (S-10) Ø 4" x 45º</t>
  </si>
  <si>
    <t>Accessories Socket Spigot Bend PVC  (S-10) Ø 4" x 90º</t>
  </si>
  <si>
    <t>Accessories Socket Spigot Bend PVC ( S-10) Ø 3"  x 90º</t>
  </si>
  <si>
    <t>Accessories Socket Spigot Bend PVC ( S-10) Ø 3"  x 45º</t>
  </si>
  <si>
    <t>Accessories Socket Spigot Bend PVC ( S-10) Ø 3" x 22,5º</t>
  </si>
  <si>
    <t>Accessories Socket Spigot Bend PVC ( S-10) Ø 2"  x 90º</t>
  </si>
  <si>
    <t>Accessories Socket Spigot Bend PVC ( S-10) Ø 2" x 45º</t>
  </si>
  <si>
    <t>Accessories Socket Spigot Bend PVC ( S-10) Ø 2" x 22,5º</t>
  </si>
  <si>
    <t>Accessories Tangki Fiberglass 2 m³</t>
  </si>
  <si>
    <t>Accessories Tutup Manhole 0,80 x 0,80</t>
  </si>
  <si>
    <t>Accessories Tutup Manhole 1 x 0,80</t>
  </si>
  <si>
    <t>Accessories Socket Reducer HDPE Ø 10" x 8"</t>
  </si>
  <si>
    <t>Accessories Socket Reducer HDPE Ø 8" x 6"</t>
  </si>
  <si>
    <t>Accessories Socket Reducer HDPE Ø 6" x 4"</t>
  </si>
  <si>
    <t>Accessories Socket Reducer HDPE Ø 4" x 3"</t>
  </si>
  <si>
    <t>Accessories Socket Reducer HDPE Ø 3" x 2"</t>
  </si>
  <si>
    <t>Accessories Elbow With Thread  HDPE Ø 10"  x 90º</t>
  </si>
  <si>
    <t>Accessories Elbow With Thread  HDPE Ø 8"  x 90º</t>
  </si>
  <si>
    <t>Accessories Elbow With Thread  HDPE Ø 6"  x 90º</t>
  </si>
  <si>
    <t>Accessories Elbow With Thread  HDPE Ø 4"  x 90º</t>
  </si>
  <si>
    <t>Accessories Elbow With Thread  HDPE Ø 3"  x 90º</t>
  </si>
  <si>
    <t>Accessories Elbow With Thread  HDPE Ø 2"  x 90º</t>
  </si>
  <si>
    <t>Accessories Elbow Pushon Sistem Male HDPE Ø 1"  x 90º</t>
  </si>
  <si>
    <t>Accessories Elbow Pushon Sistem Male HDPE Ø 3/4"  x 90º</t>
  </si>
  <si>
    <t>Accessories Elbow Pushon Sistem Male HDPE Ø 1/2"  x 90º x 25</t>
  </si>
  <si>
    <t>Accessories Elbow Pushon Sistem Male HDPE Ø 1"  x 90º x 20</t>
  </si>
  <si>
    <t>Accessories Elbow Pushon Sistem Female HDPE Ø 3/4"  x 90º x 25</t>
  </si>
  <si>
    <t>Accessories Elbow Pushon Sistem Female HDPE Ø 1/2"  x 90º x 20</t>
  </si>
  <si>
    <t>Accessories Fitting Compression Push Fit</t>
  </si>
  <si>
    <t>Accessories Tee HDPE 90º Ø 10"</t>
  </si>
  <si>
    <t>Accessories Tee HDPE 90º Ø 8"</t>
  </si>
  <si>
    <t>Accessories Tee HDPE 90º Ø 6"</t>
  </si>
  <si>
    <t>Accessories Tee HDPE 90º Ø 4"</t>
  </si>
  <si>
    <t>Accessories Tee HDPE 90º Ø 3"</t>
  </si>
  <si>
    <t>Accessories Tee HDPE 90º Ø 2"</t>
  </si>
  <si>
    <t>Accessories Bend HDPE 90º Ø 12"</t>
  </si>
  <si>
    <t>Accessories Bend HDPE 90º Ø 8"</t>
  </si>
  <si>
    <t>Accessories Bend HDPE 90º Ø 6"</t>
  </si>
  <si>
    <t>Accessories Bend HDPE 90º Ø 4"</t>
  </si>
  <si>
    <t>Accessories Bend HDPE 90º Ø 3"</t>
  </si>
  <si>
    <t>Accessories Bend HDPE 90º Ø 2"</t>
  </si>
  <si>
    <t>Accessories Bend HDPE 45º Ø 10"</t>
  </si>
  <si>
    <t>Accessories Bend HDPE 45º Ø 8"</t>
  </si>
  <si>
    <t>Accessories Bend HDPE 45º Ø 6"</t>
  </si>
  <si>
    <t>Accessories Bend HDPE 45º Ø 4"</t>
  </si>
  <si>
    <t>Accessories Bend HDPE 45º Ø 3"</t>
  </si>
  <si>
    <t>Accessories Bend HDPE 45º Ø 2"</t>
  </si>
  <si>
    <t>Accessories Stub End HDPE Ø 10"</t>
  </si>
  <si>
    <t>Accessories Stub End HDPE Ø 8"</t>
  </si>
  <si>
    <t>Accessories Stub End HDPE Ø 6"</t>
  </si>
  <si>
    <t>Accessories Stub End HDPE Ø 4"</t>
  </si>
  <si>
    <t>Accessories Stub End HDPE Ø 3"</t>
  </si>
  <si>
    <t>Accessories Stub End HDPE Ø 2"</t>
  </si>
  <si>
    <t>Accessories Flange HDPE Ø 12"</t>
  </si>
  <si>
    <t>Accessories Flange HDPE Ø 8"</t>
  </si>
  <si>
    <t>Accessories Flange HDPE Ø 6"</t>
  </si>
  <si>
    <t>Accessories Flange HDPE Ø 4"</t>
  </si>
  <si>
    <t>Accessories Flange HDPE Ø 3"</t>
  </si>
  <si>
    <t>Accessories Flange HDPE Ø 2"</t>
  </si>
  <si>
    <t>Accessories Cap/Dop HDPE Ø 8"</t>
  </si>
  <si>
    <t>Accessories Cap/Dop HDPE Ø 6"</t>
  </si>
  <si>
    <t>Accessories Cap/Dop HDPE Ø 4"</t>
  </si>
  <si>
    <t>Accessories Cap/Dop HDPE Ø 3"</t>
  </si>
  <si>
    <t>Accessories Cap/Dop HDPE Ø 2"</t>
  </si>
  <si>
    <t>Accessories Cap/Dop HDPE Ø 1"</t>
  </si>
  <si>
    <t>Accessories Cap/Dop HDPE Ø 3/4"</t>
  </si>
  <si>
    <t>Accessories Cap/Dop HDPE Ø 1/2"</t>
  </si>
  <si>
    <t>Accessories Clamp Saddle 6" (160 mm)</t>
  </si>
  <si>
    <t>Accessories Clamp Saddle 4" (110 mm)</t>
  </si>
  <si>
    <t>Accessories Clamp Saddle 3" (90 mm)</t>
  </si>
  <si>
    <t>Accessories Clamp Saddle 2" (63 mm)</t>
  </si>
  <si>
    <t>Accessories Clamp Saddle 1½" (50 mm)</t>
  </si>
  <si>
    <t>Accessories Male thread adaptor (MTA) 1" (32 mm)</t>
  </si>
  <si>
    <t>Accessories Male thread adaptor (MTA) 3/4" (25 mm)</t>
  </si>
  <si>
    <t>Accessories Male thread adaptor (MTA) 1/2" (20 mm)</t>
  </si>
  <si>
    <t>Accessories Tap Kran</t>
  </si>
  <si>
    <t>Accessories Box Merer Cover</t>
  </si>
  <si>
    <t>Pompa Air Listrik; Suction 9 m; Head 40 m; kap. 35 l/min</t>
  </si>
  <si>
    <t>Pompa Centrifugal; Head 100 m; kap. 11 l/dt</t>
  </si>
  <si>
    <t>Pompa Tangan Dragon</t>
  </si>
  <si>
    <t>Profil Tank Fiberglass orange kap. 1100 ltr.</t>
  </si>
  <si>
    <t>Profil Tank Fiberglass orange kap. 650 ltr.</t>
  </si>
  <si>
    <t>Shower Screen Fiber</t>
  </si>
  <si>
    <t>Shower Screen Kaca</t>
  </si>
  <si>
    <t>Stop Kran 1"</t>
  </si>
  <si>
    <t>Stop Kran 1/2"</t>
  </si>
  <si>
    <t>Stop Kran 2"</t>
  </si>
  <si>
    <t>Stop Kran 3/4"</t>
  </si>
  <si>
    <t>Submersible Deep Well Pump; Head 100 m; kap.1 HP</t>
  </si>
  <si>
    <t>Submersible Deep Well Pump; Head 70 m; kap.2 HP</t>
  </si>
  <si>
    <t>Urinoir Keramik Standar</t>
  </si>
  <si>
    <t>Wastafel Gantung Keramik</t>
  </si>
  <si>
    <t>Box MCB</t>
  </si>
  <si>
    <t>Down Light Warna 3" Setara Phillips</t>
  </si>
  <si>
    <t>Down Light Warna 4" Setara Phillips</t>
  </si>
  <si>
    <t>Down Light Warna 5" Setara Phillips</t>
  </si>
  <si>
    <t>Down Light Warna 6" Setara Phillips</t>
  </si>
  <si>
    <t>Exhaust</t>
  </si>
  <si>
    <t>Fetting</t>
  </si>
  <si>
    <t>Genset 1300 W</t>
  </si>
  <si>
    <t>Genset 2000 W</t>
  </si>
  <si>
    <t>Genset 2500 W</t>
  </si>
  <si>
    <t>Genset 5000 W</t>
  </si>
  <si>
    <t>Genset 6000 W</t>
  </si>
  <si>
    <t>Genset 900 W</t>
  </si>
  <si>
    <t>Kabel Ravo 2x1,5 mm2</t>
  </si>
  <si>
    <t>Kabel Ravo 2x2,5 mm2</t>
  </si>
  <si>
    <t>Lampu Downlight 4'</t>
  </si>
  <si>
    <t>Lampu Neon SL 15 Watt Setara Phillips</t>
  </si>
  <si>
    <t>Lampu Neon SL 18 Watt Setara Phillips</t>
  </si>
  <si>
    <t>Lampu Pijar 100 Watt Setara Phillips</t>
  </si>
  <si>
    <t>Lampu Pijar 25 Watt Setara Phillips</t>
  </si>
  <si>
    <t>Lampu Pijar 40 Watt Setara Phillips</t>
  </si>
  <si>
    <t>Lampu Pijar 60 Watt Setara Phillips</t>
  </si>
  <si>
    <t>Lampu TL (Neon) 10 Watt  (komplet) Setara Phillips</t>
  </si>
  <si>
    <t>Lampu TL (Neon) 20 Watt  (komplet) Setara Phillips</t>
  </si>
  <si>
    <t>Lampu TL (Neon) 40 Watt  (komplet) Setara Phillips</t>
  </si>
  <si>
    <t>Main Distribusi Panel (PDM)</t>
  </si>
  <si>
    <t>Saklar Ganda</t>
  </si>
  <si>
    <t>Saklar Stopkontak</t>
  </si>
  <si>
    <t>Saklar Tunggal</t>
  </si>
  <si>
    <t>Sekring Automatik</t>
  </si>
  <si>
    <t>Stop Kontak</t>
  </si>
  <si>
    <t xml:space="preserve">Carpet </t>
  </si>
  <si>
    <t>Carpet 80% wool, 20% nylon</t>
  </si>
  <si>
    <t>Feltex carpet 100% wool T-21</t>
  </si>
  <si>
    <t>Floor hardener</t>
  </si>
  <si>
    <t>Gymfloor</t>
  </si>
  <si>
    <t>Lem vinyil</t>
  </si>
  <si>
    <t>Lt vinyl karet 30x30 kwl II</t>
  </si>
  <si>
    <t>Lt vinyl karet 30x30 kwl l</t>
  </si>
  <si>
    <t>Parquet jati</t>
  </si>
  <si>
    <t>Underlyer tebal 6 mm/rubber corrugated</t>
  </si>
  <si>
    <t>Vinyil</t>
  </si>
  <si>
    <t>Vinyil asbes</t>
  </si>
  <si>
    <t>Vinyil motif kembang Ex DN</t>
  </si>
  <si>
    <t>Vinyil wall covering lebar 50 cm</t>
  </si>
  <si>
    <t>Jendela besi</t>
  </si>
  <si>
    <t>Jendela besi tahan api</t>
  </si>
  <si>
    <t>Kaca Buram 12 mm</t>
  </si>
  <si>
    <t>Kaca Buram 5 mm</t>
  </si>
  <si>
    <t>Kaca cermin tebal 5 mm</t>
  </si>
  <si>
    <t>Kaca cermin tebal 8 mm</t>
  </si>
  <si>
    <t>Kaca patri</t>
  </si>
  <si>
    <t>Kaca Polos 3 mm</t>
  </si>
  <si>
    <t>Kaca Polos 5 mm</t>
  </si>
  <si>
    <t>Kaca Polos 8 mm</t>
  </si>
  <si>
    <t>Kaca Ray-Band 5 mm</t>
  </si>
  <si>
    <t>Kaca wireglass</t>
  </si>
  <si>
    <t>Kawat burung</t>
  </si>
  <si>
    <t>Kawat Harmonika</t>
  </si>
  <si>
    <t>Kawat Nyamuk/Kasa Logam</t>
  </si>
  <si>
    <t>Kawat Nyamuk/Kasa Plastik</t>
  </si>
  <si>
    <t>Naco (Kerangka dan Daun)</t>
  </si>
  <si>
    <t>Pintu besi baja</t>
  </si>
  <si>
    <t>Plastik Filter</t>
  </si>
  <si>
    <t>Sunscreen alumunium</t>
  </si>
  <si>
    <t>Door Stop</t>
  </si>
  <si>
    <t>Engsel (setara solid) 3"</t>
  </si>
  <si>
    <t>Engsel (setara solid) 4"</t>
  </si>
  <si>
    <t>Engsel Biasa 2 1/2"</t>
  </si>
  <si>
    <t>Engsel Biasa 3"</t>
  </si>
  <si>
    <t>Engsel Lokal Besar</t>
  </si>
  <si>
    <t>Engsel Nylon Arch 3"</t>
  </si>
  <si>
    <t>Espagnolet</t>
  </si>
  <si>
    <t>Formica</t>
  </si>
  <si>
    <t>Grendel (setara solid)</t>
  </si>
  <si>
    <t>Grendel Lokal Besar</t>
  </si>
  <si>
    <t>Hak Angin Biasa</t>
  </si>
  <si>
    <t>Kosen + Pintu PVC</t>
  </si>
  <si>
    <t>Kunci Pintu Master (setara solid)</t>
  </si>
  <si>
    <t>Kunci Selot</t>
  </si>
  <si>
    <t>Kunci Silinder Putar</t>
  </si>
  <si>
    <t>Kunci Tanam 2 Slag</t>
  </si>
  <si>
    <t>Kunci Tanam 3 Slag</t>
  </si>
  <si>
    <t>Kunci Tanam Biasa</t>
  </si>
  <si>
    <t>Pegangan pintu biasa</t>
  </si>
  <si>
    <t>Pintu alumunium</t>
  </si>
  <si>
    <t>Rol pintu dorong</t>
  </si>
  <si>
    <t>Sealent</t>
  </si>
  <si>
    <t>Tarikan Pintu (setara solid) 10"</t>
  </si>
  <si>
    <t>Psg</t>
  </si>
  <si>
    <t>Tarikan Pintu (setara solid) 15"</t>
  </si>
  <si>
    <t>Tarikan Pintu (setara solid) 20"</t>
  </si>
  <si>
    <t>Venetion blinds</t>
  </si>
  <si>
    <t>Bambu / Dolken</t>
  </si>
  <si>
    <t>Gypsum 12 mm</t>
  </si>
  <si>
    <t>Gypsum 9 mm</t>
  </si>
  <si>
    <t>Kayu Profil 3/3</t>
  </si>
  <si>
    <t>Kayu Profil 3/8</t>
  </si>
  <si>
    <t>List Profil</t>
  </si>
  <si>
    <t>List Profil Gypsum</t>
  </si>
  <si>
    <t>Lumbressering</t>
  </si>
  <si>
    <t>Metal Furing (Rangka Plafond)</t>
  </si>
  <si>
    <t>Multipleks 4 mm</t>
  </si>
  <si>
    <t>Multipleks 6 mm</t>
  </si>
  <si>
    <t>Multipleks 9 mm</t>
  </si>
  <si>
    <t>Plywood 3 mm</t>
  </si>
  <si>
    <t>Softboard</t>
  </si>
  <si>
    <t>Teakwood 3x7</t>
  </si>
  <si>
    <t>Teakwood 4x8</t>
  </si>
  <si>
    <t>Tripleks 3 mm</t>
  </si>
  <si>
    <t>Tripleks 4 mm</t>
  </si>
  <si>
    <t>Tripleks 6 mm</t>
  </si>
  <si>
    <t>Lem Kayu</t>
  </si>
  <si>
    <t>Glass Bit</t>
  </si>
  <si>
    <t>Polimer</t>
  </si>
  <si>
    <t>Cat Anti Karat</t>
  </si>
  <si>
    <t>Genteng Onduline</t>
  </si>
  <si>
    <t>Stop Kran 1" PVC</t>
  </si>
  <si>
    <t>Stop Kran 1/2" Besi</t>
  </si>
  <si>
    <t>Stop Kran 2" PVC</t>
  </si>
  <si>
    <t>Stop Kran 3/4" Besi</t>
  </si>
  <si>
    <t>Lampu Taman Kecil</t>
  </si>
  <si>
    <t>Lampu Taman Sedang</t>
  </si>
  <si>
    <t>Lampu Taman Besar</t>
  </si>
  <si>
    <t>Poliurythane</t>
  </si>
  <si>
    <t>Agregat Pecah Mesin 0-5 mm</t>
  </si>
  <si>
    <t>Agregat Pecah Mesin 20-30 mm</t>
  </si>
  <si>
    <t>Agregat Pecah Mesin 50-70 mm</t>
  </si>
  <si>
    <t>Agregat Pecah Mesin 5-10 &amp; 10-20 mm</t>
  </si>
  <si>
    <t>Anchorage</t>
  </si>
  <si>
    <t>Anti strpping agent</t>
  </si>
  <si>
    <t>Arbocell</t>
  </si>
  <si>
    <t>Kg.</t>
  </si>
  <si>
    <t>Asbuton yang diproses</t>
  </si>
  <si>
    <t>Aspal Emulsi</t>
  </si>
  <si>
    <t>Assetilline</t>
  </si>
  <si>
    <t>Botol</t>
  </si>
  <si>
    <t>Bahan Modifikasi</t>
  </si>
  <si>
    <t>Bahan pengawet: kreosot</t>
  </si>
  <si>
    <t>Bahan Pengisi (Filler) Tambahan</t>
  </si>
  <si>
    <t>Baja Bergelombang</t>
  </si>
  <si>
    <t>Baja Prategang</t>
  </si>
  <si>
    <t>Batu Bara</t>
  </si>
  <si>
    <t>Batu Belah / Kerakal</t>
  </si>
  <si>
    <t>Bunker Oil</t>
  </si>
  <si>
    <t>Casing</t>
  </si>
  <si>
    <t>Cerucuk</t>
  </si>
  <si>
    <t>Curing Compound</t>
  </si>
  <si>
    <t>Ducting (Kabel prestress)</t>
  </si>
  <si>
    <t>Ducting (Strand prestress)</t>
  </si>
  <si>
    <t>Elastomer Alam</t>
  </si>
  <si>
    <t>Elastomer jenis 1</t>
  </si>
  <si>
    <t>Elastomer jenis 2</t>
  </si>
  <si>
    <t>Elastomer jenis 3</t>
  </si>
  <si>
    <t>Elastomer Sintesis</t>
  </si>
  <si>
    <t>Expansion Cap</t>
  </si>
  <si>
    <t>Expansion Join Baja Siku</t>
  </si>
  <si>
    <t>Expansion Join Tipe Rubber</t>
  </si>
  <si>
    <t>Expansion Joint Tipe Torma</t>
  </si>
  <si>
    <t>Expansion Tipe Joint Asphaltic Plug</t>
  </si>
  <si>
    <t>G r a v e l</t>
  </si>
  <si>
    <t>Joint Sealent</t>
  </si>
  <si>
    <t>Joint Socket Pile 16x16x16</t>
  </si>
  <si>
    <t>Joint Socket Pile 35x35</t>
  </si>
  <si>
    <t>Kerb jenis 1</t>
  </si>
  <si>
    <t>Kerb jenis 2</t>
  </si>
  <si>
    <t>Kerb jenis 3</t>
  </si>
  <si>
    <t>Kerb Type A</t>
  </si>
  <si>
    <t>Mikro Pile 16x16x16</t>
  </si>
  <si>
    <t>Mini Timber Pile</t>
  </si>
  <si>
    <t>Minyak Fluks</t>
  </si>
  <si>
    <t>Oxygen</t>
  </si>
  <si>
    <t>Additive</t>
  </si>
  <si>
    <t>Bahan Agr.Base Kelas C2</t>
  </si>
  <si>
    <t>Pasir Halus (untuk HRS)</t>
  </si>
  <si>
    <t>Pasir Tailing</t>
  </si>
  <si>
    <t>Pasir Urug (ada unsur lempung)</t>
  </si>
  <si>
    <t>Strip Bearing</t>
  </si>
  <si>
    <t>Tiang Pancang Baja</t>
  </si>
  <si>
    <t>Matras Concrete</t>
  </si>
  <si>
    <t>Cat Marka (Non Thermoplas)</t>
  </si>
  <si>
    <t>Polytene 125 mikron</t>
  </si>
  <si>
    <t>Kayu Acuan</t>
  </si>
  <si>
    <t>Aditif anti pengelupasan</t>
  </si>
  <si>
    <t>Mata Kucing</t>
  </si>
  <si>
    <t>PCI Girder L=17m</t>
  </si>
  <si>
    <t>PCI Girder L=21m</t>
  </si>
  <si>
    <t>PCI Girder L=26m</t>
  </si>
  <si>
    <t>PCI Girder L=32m</t>
  </si>
  <si>
    <t>PCI Girder L=36m</t>
  </si>
  <si>
    <t>PCI Girder L=41m</t>
  </si>
  <si>
    <t>Pelat Rambu (Eng. Grade)</t>
  </si>
  <si>
    <t>BH</t>
  </si>
  <si>
    <t>Pelat Rambu (High I. Grade)</t>
  </si>
  <si>
    <t>Pemantul Cahaya (Reflector)</t>
  </si>
  <si>
    <t>Bh.</t>
  </si>
  <si>
    <t>Pipa Baja</t>
  </si>
  <si>
    <t>Multipleks 12 mm</t>
  </si>
  <si>
    <t>Cansteen 15x25x40</t>
  </si>
  <si>
    <t>Cansteen 15x30x50</t>
  </si>
  <si>
    <t>F i l l e r</t>
  </si>
  <si>
    <t>Cat Marka (Thermoplastic)</t>
  </si>
  <si>
    <t>Bahan Agr.Base Kelas A</t>
  </si>
  <si>
    <t>Bahan Agr.Base Kelas B</t>
  </si>
  <si>
    <t>Bahan Agr.Base Kelas C</t>
  </si>
  <si>
    <t>Baja Tulangan (Polos) U24</t>
  </si>
  <si>
    <t>Baja Tulangan (Ulir) D32</t>
  </si>
  <si>
    <t>Tiang Pancang Beton Pratekan</t>
  </si>
  <si>
    <t>Baja Tulangan (Polos) U32</t>
  </si>
  <si>
    <t>Baja Tulangan (Ulir) D39</t>
  </si>
  <si>
    <t>Baja Tulangan (Ulir) D48</t>
  </si>
  <si>
    <t>Pipa Galvanis Dia 1,5"</t>
  </si>
  <si>
    <t>Profil Alumunium Swing Door 6 M Tiang Polos</t>
  </si>
  <si>
    <t>Profil Alumunium Swing Door 4,4 M Tiang Polos</t>
  </si>
  <si>
    <t>Profil Alumunium Swing Door 6 M Tiang Moher</t>
  </si>
  <si>
    <t>Profil Alumunium Swing Door 4,4 M Tiang Moher</t>
  </si>
  <si>
    <t>Profil Alumunium Swing Door Ambang Atas</t>
  </si>
  <si>
    <t>Profil Alumunium Swing Door Ambang Bawah</t>
  </si>
  <si>
    <t>Profil Alumunium Swing Door Tutup Ambang</t>
  </si>
  <si>
    <t>Profil Alumunium Swing Door Skoneng (Besar)</t>
  </si>
  <si>
    <t>Profil Alumunium Swing Door 6 M Tiang Sliding</t>
  </si>
  <si>
    <t>Profil Alumunium Swing Door 4,4 M Tiang Sliding</t>
  </si>
  <si>
    <t>Profil Alumunium Swing Door 6 M Tiang Sliding Kait</t>
  </si>
  <si>
    <t>Profil Alumunium Swing Door 4,4 M Tiang Sliding Kait</t>
  </si>
  <si>
    <t>Profil Alumunium Shop Front 1½ X 3 "  (M)</t>
  </si>
  <si>
    <t>Profil Alumunium Shop Front 1½ X 3 "  (Open Back)</t>
  </si>
  <si>
    <t>Profil Alumunium Shop Front 1½ X 3 "  (Jip/Tangga)</t>
  </si>
  <si>
    <t>Profil Alumunium Shop Front 1½ X 3 "  (Tutup Jip/Tangga)</t>
  </si>
  <si>
    <t>Profil Alumunium Shop Front 1½ X 3 "  (Tutup Kaca Mati)</t>
  </si>
  <si>
    <t>Profil Alumunium Shop Front 1½ X 3 "  (Tutup Kaca Polos)</t>
  </si>
  <si>
    <t>Profil Alumunium Shop Front 1⅞ X 4 "  (M)</t>
  </si>
  <si>
    <t>Profil Alumunium Shop Front 1⅞ X 4 "  (Open Back)</t>
  </si>
  <si>
    <t>Profil Alumunium Shop Front 1⅞ X 4 "  (Jip/Tangga)</t>
  </si>
  <si>
    <t>Profil Alumunium Shop Front 1⅞ X 4 "  (Tutup Kaca Mati)</t>
  </si>
  <si>
    <t>Profil Alumunium Casement (Frame)</t>
  </si>
  <si>
    <t>Profil Alumunium Casement (Skoneng)</t>
  </si>
  <si>
    <t>A.A Sliding</t>
  </si>
  <si>
    <t>A.B Sliding</t>
  </si>
  <si>
    <t>R.A Sliding</t>
  </si>
  <si>
    <t>R.S Sliding 4,4 M</t>
  </si>
  <si>
    <t>R.S Sliding 6 M</t>
  </si>
  <si>
    <t>R.B Sliding</t>
  </si>
  <si>
    <t>Tiang Sliding Ekon</t>
  </si>
  <si>
    <t>Tiang Sliding Kait Ekon</t>
  </si>
  <si>
    <t>A.A Sliding Ekonomi</t>
  </si>
  <si>
    <t>A.B Sliding Ekonomi</t>
  </si>
  <si>
    <t>R.A Sliding Door</t>
  </si>
  <si>
    <t>R.S Slid Ekonomi</t>
  </si>
  <si>
    <t>R.B Sliding Door</t>
  </si>
  <si>
    <t>Troling Full</t>
  </si>
  <si>
    <t>U. Roling</t>
  </si>
  <si>
    <t>Center Post 10</t>
  </si>
  <si>
    <t>Center Post 11,4</t>
  </si>
  <si>
    <t>M Skrup 3</t>
  </si>
  <si>
    <t>M Skrup 4</t>
  </si>
  <si>
    <t>Hollow 1/2 X 3/4</t>
  </si>
  <si>
    <t>Down Roling Full</t>
  </si>
  <si>
    <t>Down Roling Kunci</t>
  </si>
  <si>
    <t>Cuartain Wall  (5303)</t>
  </si>
  <si>
    <t>Cuartain Wall  (5304)</t>
  </si>
  <si>
    <t>Cuartain Wall  (5305)</t>
  </si>
  <si>
    <t>Baja Struktur</t>
  </si>
  <si>
    <t>Semen tahan Asam</t>
  </si>
  <si>
    <t>DAFTAR HARGA SATUAN UPAH</t>
  </si>
  <si>
    <t>Ket</t>
  </si>
  <si>
    <t>DAFTAR HARGA SATUAN JADI</t>
  </si>
  <si>
    <t>DAFTAR ANALISA BIAYA KONSTRUKSI</t>
  </si>
  <si>
    <t>BANGUNAN GEDUNG DAN PERUMAHAN</t>
  </si>
  <si>
    <r>
      <t xml:space="preserve">Plywood </t>
    </r>
    <r>
      <rPr>
        <sz val="10"/>
        <color rgb="FFFF0000"/>
        <rFont val="Arial"/>
        <family val="2"/>
      </rPr>
      <t>9 mm</t>
    </r>
  </si>
  <si>
    <r>
      <t xml:space="preserve">Besi hollow </t>
    </r>
    <r>
      <rPr>
        <sz val="10"/>
        <color rgb="FFFF0000"/>
        <rFont val="Arial"/>
        <family val="2"/>
      </rPr>
      <t>50.50.3</t>
    </r>
  </si>
  <si>
    <t>Seng plat BJLS 20</t>
  </si>
  <si>
    <t>Kunci tanam 2 Slag</t>
  </si>
  <si>
    <t>Kayu Kelas III</t>
  </si>
  <si>
    <t>Kayu 5/7 kls III</t>
  </si>
  <si>
    <t>Besi beton polos</t>
  </si>
  <si>
    <t>Kolom Beton Pracetak</t>
  </si>
  <si>
    <t>Bahan Tambahan</t>
  </si>
  <si>
    <t xml:space="preserve"> PVC Water Stop lebar 150 mm</t>
  </si>
  <si>
    <t xml:space="preserve"> PVC Water Stop lebar 200 mm</t>
  </si>
  <si>
    <t xml:space="preserve"> PVC Water Stop lebar 230 mm - 320 mm</t>
  </si>
  <si>
    <t>Semen Grout</t>
  </si>
  <si>
    <t>Baja Ringan C75</t>
  </si>
  <si>
    <t>Teraso</t>
  </si>
  <si>
    <t>Karpet</t>
  </si>
  <si>
    <t>Paku 12 cm</t>
  </si>
  <si>
    <t>Batu Paras</t>
  </si>
  <si>
    <t>Plafond PVC</t>
  </si>
  <si>
    <t>List PVC</t>
  </si>
  <si>
    <t>Roof light 90x180</t>
  </si>
  <si>
    <t>Asbes gelombang 92x250</t>
  </si>
  <si>
    <t>Paku pancing 6x23</t>
  </si>
  <si>
    <t>Spesifikasi</t>
  </si>
  <si>
    <t>Deskripsi</t>
  </si>
  <si>
    <t xml:space="preserve">No </t>
  </si>
  <si>
    <t>Satuan Dasar</t>
  </si>
  <si>
    <t>Ket.</t>
  </si>
  <si>
    <t>Kinerja</t>
  </si>
  <si>
    <t>Pembelian</t>
  </si>
  <si>
    <t>Teknis</t>
  </si>
  <si>
    <t>( Rp. )</t>
  </si>
  <si>
    <t>*</t>
  </si>
  <si>
    <t>m'</t>
  </si>
  <si>
    <t xml:space="preserve"> Tusuk bambu</t>
  </si>
  <si>
    <t>A.</t>
  </si>
  <si>
    <t>Peralatan dan Alat Berat</t>
  </si>
  <si>
    <t xml:space="preserve"> Alat (pancang) Hammer 0,5  ton (manual)</t>
  </si>
  <si>
    <t>Sewa-hari</t>
  </si>
  <si>
    <t>E.01.a</t>
  </si>
  <si>
    <t xml:space="preserve"> Alat (pancang) Hammer    1  ton (manual)</t>
  </si>
  <si>
    <t>E.01.b</t>
  </si>
  <si>
    <t xml:space="preserve"> Alat (pancang) Hammer    2  ton (manual)</t>
  </si>
  <si>
    <t>E.01.c</t>
  </si>
  <si>
    <t xml:space="preserve"> Alat (mesin pancang diesel) Hammer 0,5 ton</t>
  </si>
  <si>
    <t>Sewa-jam</t>
  </si>
  <si>
    <t>E.01.d</t>
  </si>
  <si>
    <t xml:space="preserve"> Alat (mesin pancang diesel) Hammer 1 ton</t>
  </si>
  <si>
    <t>E.01.e</t>
  </si>
  <si>
    <t xml:space="preserve"> Alat (mesin pancang diesel) Hammer 2 ton</t>
  </si>
  <si>
    <t>E.01.f</t>
  </si>
  <si>
    <t xml:space="preserve"> Alat (mesin pancang diesel) Hammer 3 ton</t>
  </si>
  <si>
    <t>E.01.g</t>
  </si>
  <si>
    <t xml:space="preserve"> Alat (mesin pancang kompresor udara) Hammer 3 ton</t>
  </si>
  <si>
    <t>E.01.h</t>
  </si>
  <si>
    <t xml:space="preserve"> Alat (mesin pancang tenaga uap) Hammer 3 ton</t>
  </si>
  <si>
    <t>E.01.i</t>
  </si>
  <si>
    <t xml:space="preserve"> Boat, Speedboat, Motor 10 HP</t>
  </si>
  <si>
    <t>E.03.a</t>
  </si>
  <si>
    <t xml:space="preserve"> 1,5 juta per - 1 x jalan</t>
  </si>
  <si>
    <t xml:space="preserve">          Tug-boat,    Motor 50 HP </t>
  </si>
  <si>
    <t>E.03.b</t>
  </si>
  <si>
    <t>per - 1 x jalan</t>
  </si>
  <si>
    <t xml:space="preserve"> Bore Pile Machine, dia. 60 cm</t>
  </si>
  <si>
    <t>E.04.a</t>
  </si>
  <si>
    <t xml:space="preserve"> Bore Pile Machine, dia. 100 cm</t>
  </si>
  <si>
    <t>E.04.b</t>
  </si>
  <si>
    <t xml:space="preserve"> Bulldozer  50-60 HP</t>
  </si>
  <si>
    <t>E.05.a</t>
  </si>
  <si>
    <t xml:space="preserve"> Bulldozer  100-120 HP</t>
  </si>
  <si>
    <t>E.05.b</t>
  </si>
  <si>
    <t xml:space="preserve"> Bulldozer  180-220 HP</t>
  </si>
  <si>
    <t>E.05.c</t>
  </si>
  <si>
    <t xml:space="preserve"> Chainsaw</t>
  </si>
  <si>
    <t>E.06</t>
  </si>
  <si>
    <t xml:space="preserve"> Crane 2.5 ton</t>
  </si>
  <si>
    <t>E.07.a</t>
  </si>
  <si>
    <t xml:space="preserve"> Crane 5  ton</t>
  </si>
  <si>
    <t>E.07.b</t>
  </si>
  <si>
    <t xml:space="preserve"> Crane 10  ton</t>
  </si>
  <si>
    <t>E.07.c</t>
  </si>
  <si>
    <t xml:space="preserve"> Crane 25  ton</t>
  </si>
  <si>
    <t>E.07.d</t>
  </si>
  <si>
    <t xml:space="preserve"> Dump truck 3,5 ton</t>
  </si>
  <si>
    <t>E.08.a</t>
  </si>
  <si>
    <t xml:space="preserve"> Dump truck 5 ton</t>
  </si>
  <si>
    <t>E.08.b</t>
  </si>
  <si>
    <t xml:space="preserve"> Dump truck 7 ton</t>
  </si>
  <si>
    <t xml:space="preserve"> Dump truck 10 ton</t>
  </si>
  <si>
    <t xml:space="preserve"> Drilling Rig (kecil)</t>
  </si>
  <si>
    <t>E.09.a</t>
  </si>
  <si>
    <t xml:space="preserve"> Drilling Rig (sedang)</t>
  </si>
  <si>
    <t>E.09.b</t>
  </si>
  <si>
    <t xml:space="preserve"> Drilling Rig (besar)</t>
  </si>
  <si>
    <t>E.09.c</t>
  </si>
  <si>
    <t xml:space="preserve"> Excavator (kecil)/Backhoe kecil</t>
  </si>
  <si>
    <t>E.11.a</t>
  </si>
  <si>
    <t xml:space="preserve"> Excavator (standar)/Backhoe</t>
  </si>
  <si>
    <t>E.11.b</t>
  </si>
  <si>
    <t xml:space="preserve"> Excavator (long arm)</t>
  </si>
  <si>
    <t>E.11.c</t>
  </si>
  <si>
    <t xml:space="preserve"> Excavator besar (long arm)</t>
  </si>
  <si>
    <t>E.11.d</t>
  </si>
  <si>
    <t xml:space="preserve"> Generator set</t>
  </si>
  <si>
    <t>E.12</t>
  </si>
  <si>
    <t xml:space="preserve"> Geo Listrik</t>
  </si>
  <si>
    <t>E.13</t>
  </si>
  <si>
    <t xml:space="preserve"> Grouting equipment (Mini)</t>
  </si>
  <si>
    <t>E.14.a</t>
  </si>
  <si>
    <t xml:space="preserve"> Grouting equipment</t>
  </si>
  <si>
    <t>E.14.b</t>
  </si>
  <si>
    <t xml:space="preserve"> Jack hammer…… 1 pisau</t>
  </si>
  <si>
    <t>E.15.a</t>
  </si>
  <si>
    <t xml:space="preserve"> Jack hammer…… 2 pisau</t>
  </si>
  <si>
    <t>E.15.b</t>
  </si>
  <si>
    <t xml:space="preserve"> Jack Stressing</t>
  </si>
  <si>
    <t>E.16</t>
  </si>
  <si>
    <t xml:space="preserve"> Kapal Keruk (kecil)</t>
  </si>
  <si>
    <t>E.17.a</t>
  </si>
  <si>
    <t xml:space="preserve"> Kapal Keruk (sedang)</t>
  </si>
  <si>
    <t>E.17.b</t>
  </si>
  <si>
    <t xml:space="preserve"> Kapal Keruk (besar)</t>
  </si>
  <si>
    <t>E.17.c</t>
  </si>
  <si>
    <t xml:space="preserve"> Las listrik 250 A diesel</t>
  </si>
  <si>
    <t>E.22</t>
  </si>
  <si>
    <t xml:space="preserve"> Lift (proyek) sampai dengan tinggi maksimum 12m</t>
  </si>
  <si>
    <t>E.23</t>
  </si>
  <si>
    <t xml:space="preserve"> Loader, Wheel</t>
  </si>
  <si>
    <t>E.24a</t>
  </si>
  <si>
    <t xml:space="preserve"> Loader, Track </t>
  </si>
  <si>
    <t>E.24b</t>
  </si>
  <si>
    <t xml:space="preserve"> Mistar Ukur besi/allumunium pelat</t>
  </si>
  <si>
    <t>E.25</t>
  </si>
  <si>
    <t xml:space="preserve"> Mimic panel untuk 6 channel pintu air</t>
  </si>
  <si>
    <t>E.26</t>
  </si>
  <si>
    <t xml:space="preserve"> Mesin Jahit Geotekstil</t>
  </si>
  <si>
    <t>E.27</t>
  </si>
  <si>
    <t xml:space="preserve"> Mesin Potong Rumput</t>
  </si>
  <si>
    <t>E.28</t>
  </si>
  <si>
    <t>35 Watt; 2,5 L bensin campur/hari (7 jam)</t>
  </si>
  <si>
    <t xml:space="preserve"> Molen (Concrete Mixer 0.25 m3)</t>
  </si>
  <si>
    <t>E.29.a</t>
  </si>
  <si>
    <t xml:space="preserve"> Molen (Concrete Mixer 0.35 m3)</t>
  </si>
  <si>
    <t>E.29.b</t>
  </si>
  <si>
    <t xml:space="preserve"> Pemadat timbunan (vibro roller kecil/stamper)</t>
  </si>
  <si>
    <t>E.31</t>
  </si>
  <si>
    <t xml:space="preserve"> Pick up (Mobil)</t>
  </si>
  <si>
    <t>E.33</t>
  </si>
  <si>
    <t xml:space="preserve"> Pompa air diesel 2,5 KW; 3"</t>
  </si>
  <si>
    <t>Sewa-Jam</t>
  </si>
  <si>
    <t>E.34.a</t>
  </si>
  <si>
    <t xml:space="preserve"> Pompa air diesel 5 KW; 4"</t>
  </si>
  <si>
    <t>E.34.b</t>
  </si>
  <si>
    <t xml:space="preserve"> Pompa air diesel 10 KW; 5"</t>
  </si>
  <si>
    <t>E.34.c</t>
  </si>
  <si>
    <t xml:space="preserve"> Pompa air diesel 20 KW; 8"</t>
  </si>
  <si>
    <t>E.34.d</t>
  </si>
  <si>
    <t xml:space="preserve"> Pompa lumpur diesel 2,5 KW; 3"</t>
  </si>
  <si>
    <t>E.34.e</t>
  </si>
  <si>
    <t xml:space="preserve"> Pompa lumpur diesel 5 KW; 4"</t>
  </si>
  <si>
    <t>E.34.f</t>
  </si>
  <si>
    <t xml:space="preserve"> Pompa lumpur diesel 7,5 KW; 4"</t>
  </si>
  <si>
    <t>E.34.g</t>
  </si>
  <si>
    <t xml:space="preserve"> Pompa lumpur diesel 10 KW; 5"</t>
  </si>
  <si>
    <t>E.34.h</t>
  </si>
  <si>
    <t xml:space="preserve"> Pompa lumpur diesel 20 KW; 6"</t>
  </si>
  <si>
    <t>E.34.i</t>
  </si>
  <si>
    <t xml:space="preserve"> Pompa lumpur diesel 50 KW; 8"</t>
  </si>
  <si>
    <t>E.34.j</t>
  </si>
  <si>
    <t xml:space="preserve"> Pompa sedot pasir diesel 5 KW; 4"</t>
  </si>
  <si>
    <t>E.34.k</t>
  </si>
  <si>
    <t xml:space="preserve"> Pompa sedot pasir diesel 7,5 KW; 5"</t>
  </si>
  <si>
    <t>E.34.l</t>
  </si>
  <si>
    <t xml:space="preserve"> Pompa sedot pasir diesel 10 KW; 5"</t>
  </si>
  <si>
    <t>E.34.m</t>
  </si>
  <si>
    <t xml:space="preserve"> Pompa sedot pasir diesel 20 KW; 6"</t>
  </si>
  <si>
    <t>E.34.n</t>
  </si>
  <si>
    <t xml:space="preserve"> Pompa sedot pasir diesel 50 KW; 8"</t>
  </si>
  <si>
    <t>E.34.o</t>
  </si>
  <si>
    <t xml:space="preserve"> Pompa dan Conveyor Beton</t>
  </si>
  <si>
    <t>E.35</t>
  </si>
  <si>
    <t xml:space="preserve"> Perahu</t>
  </si>
  <si>
    <t>E.36</t>
  </si>
  <si>
    <t xml:space="preserve"> Perahu Jukung 60 Ton</t>
  </si>
  <si>
    <t xml:space="preserve"> 5 juta per - 1 x jalan</t>
  </si>
  <si>
    <t xml:space="preserve"> Ponton kecil</t>
  </si>
  <si>
    <t>E.37.a</t>
  </si>
  <si>
    <t xml:space="preserve"> Ponton sedang</t>
  </si>
  <si>
    <t>E.37.b</t>
  </si>
  <si>
    <t xml:space="preserve"> Ponton besar bermotor</t>
  </si>
  <si>
    <t>E.37.c</t>
  </si>
  <si>
    <t xml:space="preserve"> 6 juta per - 1 x jalan</t>
  </si>
  <si>
    <t xml:space="preserve"> Rakit</t>
  </si>
  <si>
    <t>E.37.d</t>
  </si>
  <si>
    <t xml:space="preserve"> Roller, Peneumatic </t>
  </si>
  <si>
    <t>E.32</t>
  </si>
  <si>
    <t xml:space="preserve"> Roller, Three wheel  6 - 8 Ton</t>
  </si>
  <si>
    <t>E.38.a</t>
  </si>
  <si>
    <t xml:space="preserve"> Roller, Tire wheel  6 - 8 Ton</t>
  </si>
  <si>
    <t>E.38.b</t>
  </si>
  <si>
    <t xml:space="preserve"> Roller, Tandem  6 - 10 Ton</t>
  </si>
  <si>
    <t>E.38.c</t>
  </si>
  <si>
    <t xml:space="preserve"> Roller,  Vibro  5 - 8 Ton</t>
  </si>
  <si>
    <t>E.48</t>
  </si>
  <si>
    <t xml:space="preserve"> Theodolit</t>
  </si>
  <si>
    <t>E.41</t>
  </si>
  <si>
    <t xml:space="preserve"> Tongkang 500 ton</t>
  </si>
  <si>
    <t>E.43a</t>
  </si>
  <si>
    <t xml:space="preserve"> Tongkang 1000 ton</t>
  </si>
  <si>
    <t>E.43b</t>
  </si>
  <si>
    <t xml:space="preserve"> Tongkang 2000 ton</t>
  </si>
  <si>
    <t>E.43c</t>
  </si>
  <si>
    <t xml:space="preserve"> Truck 3,5 m3</t>
  </si>
  <si>
    <t>E.44a</t>
  </si>
  <si>
    <t xml:space="preserve"> Truck 5 m3</t>
  </si>
  <si>
    <t>E.44b</t>
  </si>
  <si>
    <t xml:space="preserve"> Truck 7 m3</t>
  </si>
  <si>
    <t>E.44c</t>
  </si>
  <si>
    <t xml:space="preserve"> Truck 10 m3</t>
  </si>
  <si>
    <t>E.44d</t>
  </si>
  <si>
    <t xml:space="preserve"> Truck 15 m3</t>
  </si>
  <si>
    <t>E.44e</t>
  </si>
  <si>
    <t xml:space="preserve"> Truck 20 m3</t>
  </si>
  <si>
    <t>E.44f</t>
  </si>
  <si>
    <t xml:space="preserve"> Trawl diameter lubang 5mm, panjang 250 m</t>
  </si>
  <si>
    <t>E.45</t>
  </si>
  <si>
    <t xml:space="preserve"> Tripod tinggi 5 m</t>
  </si>
  <si>
    <t>E.46</t>
  </si>
  <si>
    <t xml:space="preserve"> Vibrator beton (portable)</t>
  </si>
  <si>
    <t>E.47</t>
  </si>
  <si>
    <t>7 PK, 4,5L/6 jam</t>
  </si>
  <si>
    <t xml:space="preserve"> Water Tank 3000-4500 L</t>
  </si>
  <si>
    <t>E.49</t>
  </si>
  <si>
    <t xml:space="preserve"> Waterpass</t>
  </si>
  <si>
    <t>E.50</t>
  </si>
  <si>
    <t>B.</t>
  </si>
  <si>
    <t xml:space="preserve"> Peralatan Penunjang</t>
  </si>
  <si>
    <t xml:space="preserve"> Bodem</t>
  </si>
  <si>
    <t>To.01</t>
  </si>
  <si>
    <t xml:space="preserve"> Bor listrik</t>
  </si>
  <si>
    <t>To.02</t>
  </si>
  <si>
    <t xml:space="preserve"> Ember</t>
  </si>
  <si>
    <t>To.03</t>
  </si>
  <si>
    <t xml:space="preserve"> Gergaji besi (mata gergaji)</t>
  </si>
  <si>
    <t>To.04</t>
  </si>
  <si>
    <t xml:space="preserve"> Gunting pemotong baja</t>
  </si>
  <si>
    <t>To.05</t>
  </si>
  <si>
    <t xml:space="preserve"> Kamera SLR</t>
  </si>
  <si>
    <t>To.06</t>
  </si>
  <si>
    <t xml:space="preserve"> Kayu Kasut</t>
  </si>
  <si>
    <t>To.07</t>
  </si>
  <si>
    <t xml:space="preserve"> Kayu pemikul + tampar</t>
  </si>
  <si>
    <t>To.08</t>
  </si>
  <si>
    <t xml:space="preserve"> Kereta dorong</t>
  </si>
  <si>
    <t>To.09</t>
  </si>
  <si>
    <t xml:space="preserve"> Komputer utk drafting CAD</t>
  </si>
  <si>
    <t>sewa-bulan</t>
  </si>
  <si>
    <t>To.10</t>
  </si>
  <si>
    <t xml:space="preserve"> Kotak adukan (dolak kayu)</t>
  </si>
  <si>
    <t>To.11</t>
  </si>
  <si>
    <t xml:space="preserve"> Kuas/Kwas 2"-4"</t>
  </si>
  <si>
    <t>To.12</t>
  </si>
  <si>
    <t xml:space="preserve"> Kunci pembengkok tulangan (baja keras)</t>
  </si>
  <si>
    <t>To.13</t>
  </si>
  <si>
    <t xml:space="preserve"> Linggis (Baja keras)</t>
  </si>
  <si>
    <t>To.14</t>
  </si>
  <si>
    <t xml:space="preserve"> Pahat Beton (baja keras)</t>
  </si>
  <si>
    <t>To.15</t>
  </si>
  <si>
    <t xml:space="preserve"> Palu/godam pemecah batu</t>
  </si>
  <si>
    <t>To.16</t>
  </si>
  <si>
    <t xml:space="preserve"> Plotter uk. A1/A0</t>
  </si>
  <si>
    <t>To.17</t>
  </si>
  <si>
    <t xml:space="preserve"> Roll meter (Geodet)</t>
  </si>
  <si>
    <t>To.18</t>
  </si>
  <si>
    <t xml:space="preserve"> Scaner A4</t>
  </si>
  <si>
    <t>To.19</t>
  </si>
  <si>
    <t xml:space="preserve"> Tang / alat pemotong kawat</t>
  </si>
  <si>
    <t>To.20</t>
  </si>
  <si>
    <t xml:space="preserve"> Timbris</t>
  </si>
  <si>
    <t>To.21</t>
  </si>
  <si>
    <t>To.22</t>
  </si>
  <si>
    <t xml:space="preserve">Keterangan:  * item tambahan </t>
  </si>
  <si>
    <t xml:space="preserve"> </t>
  </si>
  <si>
    <t>DAFTAR HARGA SATUAN ALAT</t>
  </si>
  <si>
    <t>Pipa PE S8-SDR17 (PN10) Ø 14" (355 mm)</t>
  </si>
  <si>
    <t>Pipa PE S8-SDR17 (PN10) Ø 16" (400 mm)</t>
  </si>
  <si>
    <t>Pipa PE S8-SDR17 (PN10) Ø 18" (450 mm)</t>
  </si>
  <si>
    <t>Pipa PE S8-SDR17 (PN10) Ø 20" (500 mm)</t>
  </si>
  <si>
    <t>Pipa PE S8-SDR17 (PN10) Ø 22" (560 mm)</t>
  </si>
  <si>
    <t>Pipa PE S8-SDR17 (PN10) Ø 24" (630 mm)</t>
  </si>
  <si>
    <t>Spring Knip</t>
  </si>
  <si>
    <t>Pipa PE S8-SDR17 (PN10) Ø 32" (800 mm)</t>
  </si>
  <si>
    <t>m1</t>
  </si>
  <si>
    <t>TUKANG BESI KONSTRUKSI</t>
  </si>
  <si>
    <t>TUKANG EREKSI</t>
  </si>
  <si>
    <t>TUKANG LAS KONSTRUKSI</t>
  </si>
  <si>
    <t>TUKANG LAS</t>
  </si>
  <si>
    <t>OPERATOR ALAT BERAT</t>
  </si>
  <si>
    <t>SUPIR TRUK</t>
  </si>
  <si>
    <t>PEMBANTU OPERATOR ALAT BERAT</t>
  </si>
  <si>
    <t>KENEK TRUK</t>
  </si>
  <si>
    <t>OPERATOR CRANE</t>
  </si>
  <si>
    <t>PEMBANTU OPERATOR CRANE</t>
  </si>
  <si>
    <t>OPERATOR ALAT PIPA</t>
  </si>
  <si>
    <t>PEMBANTU OPERATOR ALAT PIPA</t>
  </si>
  <si>
    <t>OPERATOR ALAT ELEKTRONIK</t>
  </si>
  <si>
    <t>Memasang 1 Titik Instalasi Penerangan (MCB)</t>
  </si>
  <si>
    <t>MCB</t>
  </si>
  <si>
    <t xml:space="preserve">Klem Pipa </t>
  </si>
  <si>
    <t>xxxxx</t>
  </si>
  <si>
    <t>Sewa Scaffolding</t>
  </si>
  <si>
    <t>Scaffolding</t>
  </si>
  <si>
    <t>E.51</t>
  </si>
  <si>
    <t>Unit Hari</t>
  </si>
  <si>
    <t>Sewa alat</t>
  </si>
  <si>
    <t>Pemasangan 1m2 dinding conblock HB15 campuran  1SP  :4PP</t>
  </si>
  <si>
    <t>l</t>
  </si>
  <si>
    <t>Paving Stone warna t=6 cm</t>
  </si>
  <si>
    <t>Paving Stone warna t=8 cm</t>
  </si>
  <si>
    <t>Alumunium Composite Panel</t>
  </si>
  <si>
    <t>lbr</t>
  </si>
  <si>
    <t>Bata  ringan tebal 10 cm</t>
  </si>
  <si>
    <t>Kerikil Beton (Kg)</t>
  </si>
  <si>
    <t>Pasir Pasang / Beton (Kg)</t>
  </si>
  <si>
    <t>Pemasangan 1 M2 Pasang Kuda-Kuda Baja Ringan + Reng Untuk Atap Genteng Biasa/Metal</t>
  </si>
  <si>
    <t xml:space="preserve">Harga Satuan Pekerjaan (D+E) </t>
  </si>
  <si>
    <t>Buangan 1 M3 Tanah dengan Kendaraan</t>
  </si>
  <si>
    <t>Dump Truck</t>
  </si>
  <si>
    <t>HARGA SATUAN PEKERJAAN NON PERMEN PU</t>
  </si>
  <si>
    <t>113.a</t>
  </si>
  <si>
    <t>Besi list kaca</t>
  </si>
  <si>
    <t>Terawang / Roster Uk. 5 x 11 x 24 cm</t>
  </si>
  <si>
    <t>Terawang / Roster Uk. 12 x 11 x 24 cm</t>
  </si>
  <si>
    <t>Tegel Teraso uk. 30 x 30 cm</t>
  </si>
  <si>
    <t>Tegel Teraso uk. 40 x 40 cm</t>
  </si>
  <si>
    <t>Tegel Porselin putih uk. 15 x 15 cm</t>
  </si>
  <si>
    <t>Tegel Porselin putih uk. 20 x 20 cm</t>
  </si>
  <si>
    <t>Tegel Porselin warna uk. 11 x 11 cm</t>
  </si>
  <si>
    <t>Tegel Porselin warna uk. 15 x 15 cm</t>
  </si>
  <si>
    <t>Tegel Porselin warna uk. 10 x 20 cm</t>
  </si>
  <si>
    <t>Tegel Porselin warna uk. 20 x 20 cm</t>
  </si>
  <si>
    <t>Batu Bata  Pelapis Uk. 3 x 7 x 24</t>
  </si>
  <si>
    <t>Pemasangan 1 m List Plafond PVC</t>
  </si>
  <si>
    <t>Pemasangan 1 buah Rel pintu sorong</t>
  </si>
  <si>
    <t>Asbuton Halus</t>
  </si>
  <si>
    <t>Hollow Block / HB10</t>
  </si>
  <si>
    <t>Hollow Block / HB15</t>
  </si>
  <si>
    <t>Hollow Block / HB20</t>
  </si>
  <si>
    <t>Pemasangan 1 m2  rangka plafond metal furing modul 100 x 100 cm, plafon</t>
  </si>
  <si>
    <t>Rangka metal furing 4 x 4</t>
  </si>
  <si>
    <t>Rangka metal furing 2 x 4</t>
  </si>
  <si>
    <t>0.335</t>
  </si>
  <si>
    <t>155hp</t>
  </si>
  <si>
    <t xml:space="preserve">Vynil </t>
  </si>
  <si>
    <t>PEKERJAAN</t>
  </si>
  <si>
    <t>LOKASI</t>
  </si>
  <si>
    <t>TAHUN</t>
  </si>
  <si>
    <t>NO</t>
  </si>
  <si>
    <t>VOLUME</t>
  </si>
  <si>
    <t>ANALISA</t>
  </si>
  <si>
    <t xml:space="preserve">HARGA </t>
  </si>
  <si>
    <t>JUMLAH</t>
  </si>
  <si>
    <t xml:space="preserve"> HARGA</t>
  </si>
  <si>
    <t>PEKERJAAN STRUKTUR DAN ATAP</t>
  </si>
  <si>
    <t>I.</t>
  </si>
  <si>
    <t>Pekerjaan Tanah</t>
  </si>
  <si>
    <t>Pekerjaan Galian tanah pondasi struktur &amp; batu belah</t>
  </si>
  <si>
    <t>Pengurugan kembali galian tanah</t>
  </si>
  <si>
    <t>Pemadatan tanah urug</t>
  </si>
  <si>
    <t>Sub Jumlah</t>
  </si>
  <si>
    <t>II.</t>
  </si>
  <si>
    <t>Pekerjaan Pondasi Batu Belah</t>
  </si>
  <si>
    <t>Pasangan pondasi batu belah 1Pc : 5PS</t>
  </si>
  <si>
    <t>Pasangan Batu Kosong/Anstamping</t>
  </si>
  <si>
    <r>
      <t xml:space="preserve">Pasang Angkur </t>
    </r>
    <r>
      <rPr>
        <sz val="10"/>
        <rFont val="Calibri"/>
        <family val="2"/>
      </rPr>
      <t>Ø</t>
    </r>
    <r>
      <rPr>
        <sz val="10"/>
        <rFont val="Arial"/>
        <family val="2"/>
      </rPr>
      <t>10 cm</t>
    </r>
  </si>
  <si>
    <t>pasir urug</t>
  </si>
  <si>
    <t>III.</t>
  </si>
  <si>
    <t xml:space="preserve">Pekerjaan Struktur </t>
  </si>
  <si>
    <t>titik</t>
  </si>
  <si>
    <t>ls</t>
  </si>
  <si>
    <t>b. Pekerjaan Pembesian</t>
  </si>
  <si>
    <t xml:space="preserve">c. Pemasangan bekisting </t>
  </si>
  <si>
    <t>d. Lantai kerja beton fc' = 7,4 MPa (K 100)</t>
  </si>
  <si>
    <t>e. pasir urug</t>
  </si>
  <si>
    <t>Membuat Sloof Praktis uk.15x20 cm</t>
  </si>
  <si>
    <t xml:space="preserve">a. Beton mutu f'c = 14,5 MPa (K 175) </t>
  </si>
  <si>
    <t>anak tangga</t>
  </si>
  <si>
    <t>Rabat Beton fc' = 7,4 MPa (K 100)</t>
  </si>
  <si>
    <t>Pemasangan Atap Solartuff clear</t>
  </si>
  <si>
    <t>Pemasangan lisplank GRC 30 cm</t>
  </si>
  <si>
    <t>lantai kerja</t>
  </si>
  <si>
    <t>Hitungan Berat Tulangan</t>
  </si>
  <si>
    <t>#</t>
  </si>
  <si>
    <t>pondasi tiang pancang</t>
  </si>
  <si>
    <t>qty</t>
  </si>
  <si>
    <t>depth</t>
  </si>
  <si>
    <t>P1</t>
  </si>
  <si>
    <t>Tulangan Baja</t>
  </si>
  <si>
    <t>Diameter Nominal</t>
  </si>
  <si>
    <t>Luas Nominal</t>
  </si>
  <si>
    <t>Berat Nominal</t>
  </si>
  <si>
    <t>P2</t>
  </si>
  <si>
    <t>Polos</t>
  </si>
  <si>
    <t>Deform</t>
  </si>
  <si>
    <t>(mm)</t>
  </si>
  <si>
    <t>(cm2)</t>
  </si>
  <si>
    <t>(Kg/m)</t>
  </si>
  <si>
    <t>P 6</t>
  </si>
  <si>
    <t>D 6</t>
  </si>
  <si>
    <t>P 8</t>
  </si>
  <si>
    <t>D 8</t>
  </si>
  <si>
    <t>pilecap</t>
  </si>
  <si>
    <t>P 9</t>
  </si>
  <si>
    <t>D 9</t>
  </si>
  <si>
    <t>p1</t>
  </si>
  <si>
    <t>beton</t>
  </si>
  <si>
    <t>lb</t>
  </si>
  <si>
    <t>tbl</t>
  </si>
  <si>
    <t>jml</t>
  </si>
  <si>
    <t>P 10</t>
  </si>
  <si>
    <t>D 10</t>
  </si>
  <si>
    <t>P 12</t>
  </si>
  <si>
    <t>D 12</t>
  </si>
  <si>
    <t>galian</t>
  </si>
  <si>
    <t>P 13</t>
  </si>
  <si>
    <t>D 13</t>
  </si>
  <si>
    <t>besi</t>
  </si>
  <si>
    <t>KG</t>
  </si>
  <si>
    <t>P 14</t>
  </si>
  <si>
    <t>D 14</t>
  </si>
  <si>
    <t>melintang</t>
  </si>
  <si>
    <t>pj besi atas</t>
  </si>
  <si>
    <t>pj besi bawah</t>
  </si>
  <si>
    <t>D16</t>
  </si>
  <si>
    <t>P 16</t>
  </si>
  <si>
    <t>D 16</t>
  </si>
  <si>
    <t>P 18</t>
  </si>
  <si>
    <t>D 18</t>
  </si>
  <si>
    <t>D19</t>
  </si>
  <si>
    <t>P 19</t>
  </si>
  <si>
    <t>D 19</t>
  </si>
  <si>
    <t>P 20</t>
  </si>
  <si>
    <t>D 20</t>
  </si>
  <si>
    <t>P 22</t>
  </si>
  <si>
    <t>D 22</t>
  </si>
  <si>
    <t>memanjang</t>
  </si>
  <si>
    <t>P 25</t>
  </si>
  <si>
    <t>D 25</t>
  </si>
  <si>
    <t>P 28</t>
  </si>
  <si>
    <t>D 28</t>
  </si>
  <si>
    <t>D 29</t>
  </si>
  <si>
    <t>P 32</t>
  </si>
  <si>
    <t>D 32</t>
  </si>
  <si>
    <t>D 36</t>
  </si>
  <si>
    <t>tul tepi keliling</t>
  </si>
  <si>
    <t>D 40</t>
  </si>
  <si>
    <t>pjg</t>
  </si>
  <si>
    <t>D 50</t>
  </si>
  <si>
    <t>bekist</t>
  </si>
  <si>
    <t>p2</t>
  </si>
  <si>
    <t>bangunan utama dan ramp</t>
  </si>
  <si>
    <t>jml besi</t>
  </si>
  <si>
    <t>p3</t>
  </si>
  <si>
    <t>D13</t>
  </si>
  <si>
    <t>slof</t>
  </si>
  <si>
    <t>S1</t>
  </si>
  <si>
    <t>T</t>
  </si>
  <si>
    <t>pj</t>
  </si>
  <si>
    <t>besi pokok</t>
  </si>
  <si>
    <t>besi pinggang</t>
  </si>
  <si>
    <t>begel tump</t>
  </si>
  <si>
    <t>D10</t>
  </si>
  <si>
    <t>begel lap</t>
  </si>
  <si>
    <t>bekisting</t>
  </si>
  <si>
    <t>S2</t>
  </si>
  <si>
    <t xml:space="preserve">pjg </t>
  </si>
  <si>
    <t>as</t>
  </si>
  <si>
    <t>miring</t>
  </si>
  <si>
    <t>SP</t>
  </si>
  <si>
    <t>B'</t>
  </si>
  <si>
    <t>B''</t>
  </si>
  <si>
    <t>TOILET</t>
  </si>
  <si>
    <t>VERTIC</t>
  </si>
  <si>
    <t>kiri</t>
  </si>
  <si>
    <t>d10</t>
  </si>
  <si>
    <t>D8</t>
  </si>
  <si>
    <t>s1</t>
  </si>
  <si>
    <t>talud</t>
  </si>
  <si>
    <t>s2</t>
  </si>
  <si>
    <t>sp</t>
  </si>
  <si>
    <t>dudukan genset</t>
  </si>
  <si>
    <t>ipal1</t>
  </si>
  <si>
    <t>ipal2</t>
  </si>
  <si>
    <t>total</t>
  </si>
  <si>
    <t>h</t>
  </si>
  <si>
    <t>vol</t>
  </si>
  <si>
    <t>d8</t>
  </si>
  <si>
    <t>galian Pondasi Batu Belah</t>
  </si>
  <si>
    <t>total galian</t>
  </si>
  <si>
    <t>kolom dan pedestal</t>
  </si>
  <si>
    <t>K1a</t>
  </si>
  <si>
    <t>jmlh</t>
  </si>
  <si>
    <t>begel kait</t>
  </si>
  <si>
    <t>K2</t>
  </si>
  <si>
    <t>K3A</t>
  </si>
  <si>
    <t>kp</t>
  </si>
  <si>
    <t>balok</t>
  </si>
  <si>
    <t>+3,4</t>
  </si>
  <si>
    <t>B1</t>
  </si>
  <si>
    <t>pj  kiri</t>
  </si>
  <si>
    <t>hori</t>
  </si>
  <si>
    <t>T-tebal plat</t>
  </si>
  <si>
    <t>T- tebal plat</t>
  </si>
  <si>
    <t>B2</t>
  </si>
  <si>
    <t>pj kiri</t>
  </si>
  <si>
    <t>V</t>
  </si>
  <si>
    <t>B3</t>
  </si>
  <si>
    <t>C'</t>
  </si>
  <si>
    <t>6'</t>
  </si>
  <si>
    <t>vert</t>
  </si>
  <si>
    <t>7'</t>
  </si>
  <si>
    <t>8'</t>
  </si>
  <si>
    <t>BORDES</t>
  </si>
  <si>
    <t>9'</t>
  </si>
  <si>
    <t>10'</t>
  </si>
  <si>
    <t>11'</t>
  </si>
  <si>
    <t>B4</t>
  </si>
  <si>
    <t>KIRI</t>
  </si>
  <si>
    <t>BK1</t>
  </si>
  <si>
    <t>verti</t>
  </si>
  <si>
    <t>BK2</t>
  </si>
  <si>
    <t>pelat</t>
  </si>
  <si>
    <t>luas bekisting</t>
  </si>
  <si>
    <t>bag miring</t>
  </si>
  <si>
    <t>D-C</t>
  </si>
  <si>
    <t>B-C bag atas</t>
  </si>
  <si>
    <t>B-C bag tengah</t>
  </si>
  <si>
    <t>B-C bag bawah</t>
  </si>
  <si>
    <t>A-B</t>
  </si>
  <si>
    <t>luas beton</t>
  </si>
  <si>
    <t>luas</t>
  </si>
  <si>
    <t>dobel</t>
  </si>
  <si>
    <t>pelat DUDUKAN GENSET</t>
  </si>
  <si>
    <t>urugan pasir</t>
  </si>
  <si>
    <t>d13</t>
  </si>
  <si>
    <t>LANTAI 2</t>
  </si>
  <si>
    <t>kolom</t>
  </si>
  <si>
    <t>K1B</t>
  </si>
  <si>
    <t>K3B</t>
  </si>
  <si>
    <t>+6,2</t>
  </si>
  <si>
    <t>pjg kiri</t>
  </si>
  <si>
    <t>MIRING</t>
  </si>
  <si>
    <t>tidak dikurangi tebal pelat</t>
  </si>
  <si>
    <t>RB</t>
  </si>
  <si>
    <t>kuda kuda</t>
  </si>
  <si>
    <t>KD</t>
  </si>
  <si>
    <t>IWF 250 125 6 9</t>
  </si>
  <si>
    <t>brt</t>
  </si>
  <si>
    <t>jml kd2</t>
  </si>
  <si>
    <t>top apex</t>
  </si>
  <si>
    <t>haunch</t>
  </si>
  <si>
    <t>Sambungan</t>
  </si>
  <si>
    <t>stiffener</t>
  </si>
  <si>
    <t>koef besi</t>
  </si>
  <si>
    <t>berat</t>
  </si>
  <si>
    <t>pelat lekat top</t>
  </si>
  <si>
    <t>pelat lekat haunch</t>
  </si>
  <si>
    <t>pelat plendes</t>
  </si>
  <si>
    <t>ANGKUR A-325 2X3 D16 MM, H=40CM</t>
  </si>
  <si>
    <t>MUR BAUT
A-325 2X5 D16 MM</t>
  </si>
  <si>
    <t>1/2 KD</t>
  </si>
  <si>
    <t>1/2 IWF 250 125 6 9</t>
  </si>
  <si>
    <t>JURAI</t>
  </si>
  <si>
    <t>GORDING C 150.50.20.3,2+menie</t>
  </si>
  <si>
    <t>kanan</t>
  </si>
  <si>
    <t>w</t>
  </si>
  <si>
    <t>jurai</t>
  </si>
  <si>
    <t>TRACKSTANG D10 PANJANG 1M</t>
  </si>
  <si>
    <t>BRACING D16</t>
  </si>
  <si>
    <t xml:space="preserve">panjang </t>
  </si>
  <si>
    <t>jm</t>
  </si>
  <si>
    <t>d16</t>
  </si>
  <si>
    <t>a</t>
  </si>
  <si>
    <t>t</t>
  </si>
  <si>
    <t>Tangga utama</t>
  </si>
  <si>
    <t>Balok bordes</t>
  </si>
  <si>
    <t>tangga utama</t>
  </si>
  <si>
    <t>tnggi</t>
  </si>
  <si>
    <t>alas</t>
  </si>
  <si>
    <t>jm tngga</t>
  </si>
  <si>
    <t>Tangga MEP</t>
  </si>
  <si>
    <t>tangga MEP</t>
  </si>
  <si>
    <t>PEKERJAAN RAMP</t>
  </si>
  <si>
    <t>Pondasi</t>
  </si>
  <si>
    <t>KA</t>
  </si>
  <si>
    <t>KB</t>
  </si>
  <si>
    <t>KC</t>
  </si>
  <si>
    <t>ramp</t>
  </si>
  <si>
    <t>BA</t>
  </si>
  <si>
    <t>BB</t>
  </si>
  <si>
    <t>H</t>
  </si>
  <si>
    <t>BC</t>
  </si>
  <si>
    <t>BKB</t>
  </si>
  <si>
    <t>galian tanah</t>
  </si>
  <si>
    <t>p</t>
  </si>
  <si>
    <t>gwt</t>
  </si>
  <si>
    <t>kolam</t>
  </si>
  <si>
    <t>lantai</t>
  </si>
  <si>
    <t>dinding</t>
  </si>
  <si>
    <t>atap</t>
  </si>
  <si>
    <t>singel</t>
  </si>
  <si>
    <t xml:space="preserve">berat </t>
  </si>
  <si>
    <t>volume</t>
  </si>
  <si>
    <t>lt.01</t>
  </si>
  <si>
    <t>JML</t>
  </si>
  <si>
    <t>PANTRY</t>
  </si>
  <si>
    <t>J1</t>
  </si>
  <si>
    <t>BV1</t>
  </si>
  <si>
    <t>satuan</t>
  </si>
  <si>
    <t>harga satuan</t>
  </si>
  <si>
    <t>jumlah</t>
  </si>
  <si>
    <t xml:space="preserve">Pemasangan Kusen Alumunium 4" Tebal 1.2 mm Fin. Powder Coating </t>
  </si>
  <si>
    <t xml:space="preserve">Pemasangan Daun Pintu Kusen Alumunium 4" Tebal 1.2 mm (Powder Coating) + Kaca Bening Tebal 8 mm </t>
  </si>
  <si>
    <t>Pemasangan Engsel</t>
  </si>
  <si>
    <t>Pemasangan Pull Handle Stainless Steel</t>
  </si>
  <si>
    <t>Pemasangan Lockcase</t>
  </si>
  <si>
    <t>Pemasangan Cylinder</t>
  </si>
  <si>
    <t>Pemasangan Door Closer</t>
  </si>
  <si>
    <t>TOTAL</t>
  </si>
  <si>
    <t>kaca bening 8 mm</t>
  </si>
  <si>
    <t>Pemasangan Daun Pintu Solid Engineering fin HPL</t>
  </si>
  <si>
    <t>Pemasangan Engsel Geser</t>
  </si>
  <si>
    <t xml:space="preserve">Pemasangan Daun Jendela Kusen Alumunium 4" Tebal 1.2 mm (Powder Coating) + Kaca Bening Tebal 8 mm </t>
  </si>
  <si>
    <t>balok latiu</t>
  </si>
  <si>
    <t>PEKERJAAN ARSITEKTUR LT.01</t>
  </si>
  <si>
    <t>Pekerjaan Beton Praktis</t>
  </si>
  <si>
    <t>Pembuatan Kolom Praktis Beton Bertulang (11x11)</t>
  </si>
  <si>
    <t>Pekerjaan Pasangan Dinding</t>
  </si>
  <si>
    <t>Pemasangan Plesteran Mortar</t>
  </si>
  <si>
    <t>Pemasangan Acian Mortar</t>
  </si>
  <si>
    <t>Pekerjaan Plesteran &amp; Acian</t>
  </si>
  <si>
    <t>IV.</t>
  </si>
  <si>
    <t>Pekerjaan Finishing Lantai</t>
  </si>
  <si>
    <t>V.</t>
  </si>
  <si>
    <t>Pekerjaan Penutup Dinding</t>
  </si>
  <si>
    <t>Pekerjaan Pengecatan</t>
  </si>
  <si>
    <t>Pekerjaan Langit-langit (plafond)</t>
  </si>
  <si>
    <t>Pekerjaan Pintu dan Jendela</t>
  </si>
  <si>
    <t>Pekerjaan Sanitair</t>
  </si>
  <si>
    <t>VI.</t>
  </si>
  <si>
    <t>VII.</t>
  </si>
  <si>
    <t>VIII.</t>
  </si>
  <si>
    <t>IX.</t>
  </si>
  <si>
    <t>PENUTUP LANTAI LT.01</t>
  </si>
  <si>
    <t>PENUTUP PLAFOND LT.01</t>
  </si>
  <si>
    <t>PENUTUP DINDING LT.01</t>
  </si>
  <si>
    <t>PASANGAN BATA RINGAN  LT.1</t>
  </si>
  <si>
    <t>Pasang Pintu P1</t>
  </si>
  <si>
    <t>Pasang Pintu P2</t>
  </si>
  <si>
    <t>Pasang Jendela J1</t>
  </si>
  <si>
    <t>Pekerjaan Shadow Line</t>
  </si>
  <si>
    <t>Pengecatan 1 m2 tembok baru Interior (  1 lapis cat dasar, 2 lapis cat penutup)</t>
  </si>
  <si>
    <t>Pengecatan Plafond</t>
  </si>
  <si>
    <t>Closet Duduk Monoblock</t>
  </si>
  <si>
    <t>Jet Washer</t>
  </si>
  <si>
    <t>Tissu Holder</t>
  </si>
  <si>
    <t>Roob Hook</t>
  </si>
  <si>
    <t>Pekerjaan Lain-Lain</t>
  </si>
  <si>
    <t>kp lt.1</t>
  </si>
  <si>
    <t>REKAPITULASI</t>
  </si>
  <si>
    <t>I. PEKERJAAN TANAH</t>
  </si>
  <si>
    <t>II. PEKERJAAN PONDASI BATU BELAH</t>
  </si>
  <si>
    <t>- Pekerjaan Beton K-175</t>
  </si>
  <si>
    <t>- Pembesian</t>
  </si>
  <si>
    <t>- Bekisting</t>
  </si>
  <si>
    <t>Pemasangan Dinding Bata Ringan tebal 10 cm dengan mortar siap pakai</t>
  </si>
  <si>
    <r>
      <t xml:space="preserve">Pasang Angkur </t>
    </r>
    <r>
      <rPr>
        <sz val="11"/>
        <rFont val="Calibri"/>
        <family val="2"/>
      </rPr>
      <t>Ø</t>
    </r>
    <r>
      <rPr>
        <sz val="11"/>
        <rFont val="Arial"/>
        <family val="2"/>
      </rPr>
      <t>10 cm</t>
    </r>
  </si>
  <si>
    <t>A.4.4.3.33.a</t>
  </si>
  <si>
    <t>Pemasangan 1 m2 Lantai Homogenous Tile 60x60 cm Polished (1Sp : 2PP)</t>
  </si>
  <si>
    <t>Homogenous tile Polish uk.60x60 cm</t>
  </si>
  <si>
    <t>Homogenous tile UnPolish uk.60x60 cm</t>
  </si>
  <si>
    <t>Homogenous tile Polish uk.40x40 cm</t>
  </si>
  <si>
    <t>A.4.4.3.33.b</t>
  </si>
  <si>
    <t>Pemasangan 1 m2 Lantai Homogenous Tile 60x60 cm Unpolished (1Sp : 2PP)</t>
  </si>
  <si>
    <t>A.4.4.3.33.c</t>
  </si>
  <si>
    <t>Pemasangan 1 m2 Lantai Homogenous Tile 40x40 cm Polished (1Sp : 2PP)</t>
  </si>
  <si>
    <t>Pekerjaan Rangka besi hollow galvanish uk.40x40x0,35 mm</t>
  </si>
  <si>
    <t>A.4.5.1.7.a</t>
  </si>
  <si>
    <t>Kalium Silica board</t>
  </si>
  <si>
    <t>Pemasangan 1 m2 langit-langit Kalsium Silica Board (120x240x9) mm, tebal 9 mm</t>
  </si>
  <si>
    <t>A.4.5.1.10.a</t>
  </si>
  <si>
    <t>Pemasangan 1 m List Shadow Line</t>
  </si>
  <si>
    <t>shadow line</t>
  </si>
  <si>
    <t xml:space="preserve">A.4.7.1.10.a </t>
  </si>
  <si>
    <t xml:space="preserve">A.4.7.1.10.b </t>
  </si>
  <si>
    <t>Pengecatan 1 m2 tembok baru eksterior(  1 lapis cat dasar, 2 lapis cat penutup)</t>
  </si>
  <si>
    <t>Cat tembok interior</t>
  </si>
  <si>
    <t>cat tembok exterior</t>
  </si>
  <si>
    <t>A.4.7.1.10.a</t>
  </si>
  <si>
    <t>A.4.7.1.10.b</t>
  </si>
  <si>
    <t>Pengecatan 1 m2 plafond interior (  1 lapis cat dasar, 2 lapis cat penutup)</t>
  </si>
  <si>
    <t xml:space="preserve">A.4.7.1.10.c </t>
  </si>
  <si>
    <t>Cat dasar Plafond</t>
  </si>
  <si>
    <t>Cat Penutup Plafond</t>
  </si>
  <si>
    <t>A.4.7.1.10.c</t>
  </si>
  <si>
    <t>A.5.1.1.1.a</t>
  </si>
  <si>
    <t xml:space="preserve">Pemasangan 1 buah Jet Washer </t>
  </si>
  <si>
    <t>Jet washer</t>
  </si>
  <si>
    <t>Stop kran</t>
  </si>
  <si>
    <t>solatip</t>
  </si>
  <si>
    <t xml:space="preserve">A.5.1.1.1.a </t>
  </si>
  <si>
    <t>A.5.1.1.1.b</t>
  </si>
  <si>
    <t>Pemasangan 1 buah Paper Holder</t>
  </si>
  <si>
    <t>Paper Holder</t>
  </si>
  <si>
    <t xml:space="preserve">A.5.1.1.1.b </t>
  </si>
  <si>
    <t>A.5.1.1.1.c</t>
  </si>
  <si>
    <t>Pemasangan 1 bh Shower</t>
  </si>
  <si>
    <t>Shower</t>
  </si>
  <si>
    <t>Semen Portland</t>
  </si>
  <si>
    <t>A.5.1.1.1.d</t>
  </si>
  <si>
    <t>Pemasangan 1 buah Roob Hook</t>
  </si>
  <si>
    <t>A.5.1.1.1.e</t>
  </si>
  <si>
    <t>1 m2 Cubical toilet phenolic board &amp; assesories</t>
  </si>
  <si>
    <t>Waterprofing area basah</t>
  </si>
  <si>
    <t xml:space="preserve">A.4.7.1.22.a   </t>
  </si>
  <si>
    <t>Pelapisan 1m2 waterproofing Semen Base</t>
  </si>
  <si>
    <t>Waterprof semen base</t>
  </si>
  <si>
    <t xml:space="preserve">A.4.7.1.22.a  </t>
  </si>
  <si>
    <t>Anls.1</t>
  </si>
  <si>
    <t>Anls.2</t>
  </si>
  <si>
    <t>Anls.3</t>
  </si>
  <si>
    <t>Anls.4</t>
  </si>
  <si>
    <t>Pintu P1</t>
  </si>
  <si>
    <t>Pintu P2</t>
  </si>
  <si>
    <t>Pintu Jendela PJ1</t>
  </si>
  <si>
    <t>Pintu Jendela PJ2</t>
  </si>
  <si>
    <t>Pintu Jendela PJ3</t>
  </si>
  <si>
    <t>Jendela J1</t>
  </si>
  <si>
    <t>Jendela J3</t>
  </si>
  <si>
    <t>Jendela J4</t>
  </si>
  <si>
    <t>Jendela J5</t>
  </si>
  <si>
    <t>Jendela J6</t>
  </si>
  <si>
    <t>Boven BV2</t>
  </si>
  <si>
    <t>Boven BV1</t>
  </si>
  <si>
    <t>Boven BV3</t>
  </si>
  <si>
    <t>Boven BV4</t>
  </si>
  <si>
    <t>Pintu Jendela PJ4</t>
  </si>
  <si>
    <t>Pemasangan Engsel pintu</t>
  </si>
  <si>
    <t>PEKERJAAN ARSITEKTUR</t>
  </si>
  <si>
    <t>I. PEKERJAAN ARSITEKTUR LANTAI 01</t>
  </si>
  <si>
    <t>PEKERJAAN MEKANIKAL ELEKTRIKAL</t>
  </si>
  <si>
    <t>JUMLAH TOTAL</t>
  </si>
  <si>
    <t>PEMBULATAN</t>
  </si>
  <si>
    <t>Taksir</t>
  </si>
  <si>
    <t>A.3.2.1.11.a</t>
  </si>
  <si>
    <t>1 m' Pengadan tiang pancang square 30x30</t>
  </si>
  <si>
    <t>Pengadan tiang pancang square 40x40</t>
  </si>
  <si>
    <t>A.3.2.1.11.b</t>
  </si>
  <si>
    <t>Pemotongan 1 titik kepala tiang pancang</t>
  </si>
  <si>
    <t>A.3.2.1.11.c</t>
  </si>
  <si>
    <t>Test PDA</t>
  </si>
  <si>
    <t>ttk</t>
  </si>
  <si>
    <t>A.4.5.1.7.b</t>
  </si>
  <si>
    <t>Pemasangan 1 m2 langit-langit Polywood Board 12 mm</t>
  </si>
  <si>
    <t>Polywood 12mm</t>
  </si>
  <si>
    <t>A.4.5.1.7.c</t>
  </si>
  <si>
    <t>Pemasangan 1 m2 langit-langit WPC</t>
  </si>
  <si>
    <t>panil wpc</t>
  </si>
  <si>
    <t>Lem Aibon</t>
  </si>
  <si>
    <t>Aksesoris</t>
  </si>
  <si>
    <t>100%xbahan</t>
  </si>
  <si>
    <t xml:space="preserve">A.4.5.2.7.a </t>
  </si>
  <si>
    <t>Pemasangan 1 m2  solar tuff</t>
  </si>
  <si>
    <t>solar tuff</t>
  </si>
  <si>
    <t>A.4.5.2.43.a</t>
  </si>
  <si>
    <t xml:space="preserve">GRC </t>
  </si>
  <si>
    <t>Paku</t>
  </si>
  <si>
    <t>A.4.5.2.43.b</t>
  </si>
  <si>
    <t>Pemasangan 1 m talang besi</t>
  </si>
  <si>
    <t>Talang besi</t>
  </si>
  <si>
    <t>A.2.3.1.11.a</t>
  </si>
  <si>
    <t>Tanah urug</t>
  </si>
  <si>
    <t>Pengurugan 1 m3 dengan tanah urug</t>
  </si>
  <si>
    <t>Pengukuran dan pasang bouwplank</t>
  </si>
  <si>
    <t>Air &amp; listrik kerja</t>
  </si>
  <si>
    <t>PEKERJAAN PERSIAPAN</t>
  </si>
  <si>
    <t>Alat Pelindung Kerja dan Alat Pelindung Diri Khusus</t>
  </si>
  <si>
    <t>APK (Alat Pelindung Kerja) :</t>
  </si>
  <si>
    <t>APD (Alat Pelindung Diri) :</t>
  </si>
  <si>
    <t>psg</t>
  </si>
  <si>
    <t>Rambu-rambu yang diperlukan</t>
  </si>
  <si>
    <t>Lain-lain terkait pengendalian resiko keselamatan konstruksi :</t>
  </si>
  <si>
    <t>: 2025</t>
  </si>
  <si>
    <t>: KOTA JAKARTA TIMUR, DAERAH KHUSUS IBUKOTA JAKARTA</t>
  </si>
  <si>
    <t>: PEMBANGUNAN RUMAH SEHAT BAZNAS</t>
  </si>
  <si>
    <t xml:space="preserve">Pekerjaan bongkar beton eksisting </t>
  </si>
  <si>
    <t>Pekerjaan Galian ramp dan parkir</t>
  </si>
  <si>
    <t>Tanah Urug untuk taman</t>
  </si>
  <si>
    <t>Pekerjaan Pondasi F1 uk. 160x160 cm</t>
  </si>
  <si>
    <t>a. Beton mutu f’c  = 20,75 MPa (K 250)</t>
  </si>
  <si>
    <t>Membuat Sloof S1 uk. 25x30 cm</t>
  </si>
  <si>
    <t>Membuat Kolom K1 uk.35x35 cm</t>
  </si>
  <si>
    <t>Membuat Balok B1 uk.25x40 cm</t>
  </si>
  <si>
    <t>Membuat Balok B2 uk.25x30 cm</t>
  </si>
  <si>
    <t>Ramp Pejalan Kaki</t>
  </si>
  <si>
    <t>Pasang EXPOSE POLISHED CONCRETE - CR</t>
  </si>
  <si>
    <t>Wastafel gantung + Kran</t>
  </si>
  <si>
    <t>Hand Shower + Kran</t>
  </si>
  <si>
    <t>Pemasangan Huruf Signage Tulisan "RUMAH SEHAT BAZNAS" Tinggi 15 cm</t>
  </si>
  <si>
    <t>Pemasangan Huruf Signage Tulisan "MASJID ISTIQLAL" Tinggi 20 cm</t>
  </si>
  <si>
    <t>Pasang ANDESIT STONE TILE 300mm x 600 mm, t=10 mm Outdor-AD</t>
  </si>
  <si>
    <t>Pemasangan Lever Handle</t>
  </si>
  <si>
    <t>Kitchen Zinc + Kran</t>
  </si>
  <si>
    <t>R GENSET</t>
  </si>
  <si>
    <t>SATPAM LOKER</t>
  </si>
  <si>
    <t>R FARMASI</t>
  </si>
  <si>
    <t>KANTOR KLINIK</t>
  </si>
  <si>
    <t>R PANEL &amp; SERVER</t>
  </si>
  <si>
    <t>POLI UMUM</t>
  </si>
  <si>
    <t>R JENAZAH</t>
  </si>
  <si>
    <t xml:space="preserve">TOILET </t>
  </si>
  <si>
    <t>TOILET DISABILITAS</t>
  </si>
  <si>
    <t>R LAKTASI</t>
  </si>
  <si>
    <t>POLI GIGI</t>
  </si>
  <si>
    <t>LAB</t>
  </si>
  <si>
    <t>PLESTER</t>
  </si>
  <si>
    <t>ACIAN</t>
  </si>
  <si>
    <t>Ramp Mobil</t>
  </si>
  <si>
    <t>Parkir Ambulance</t>
  </si>
  <si>
    <t>Ramp Genset</t>
  </si>
  <si>
    <t>R Farmasi</t>
  </si>
  <si>
    <t>Kantor Klinik</t>
  </si>
  <si>
    <t>Lobby</t>
  </si>
  <si>
    <t>Poli Umum</t>
  </si>
  <si>
    <t>R Jenazah</t>
  </si>
  <si>
    <t>R Laktasi</t>
  </si>
  <si>
    <t>Poli Gigi</t>
  </si>
  <si>
    <t>Selasar Satpam</t>
  </si>
  <si>
    <t>Satpam Loker</t>
  </si>
  <si>
    <t>Pantry</t>
  </si>
  <si>
    <t>Toilet</t>
  </si>
  <si>
    <t>Toilet Disabilitas</t>
  </si>
  <si>
    <t>Dak Atap</t>
  </si>
  <si>
    <t xml:space="preserve">Eksterior </t>
  </si>
  <si>
    <t>Kamar Mandi</t>
  </si>
  <si>
    <t>R Tindakan dan Administrasi</t>
  </si>
  <si>
    <t>Pasang Lantai Homogeneus Tile uk.600mmx600mm polished - F1</t>
  </si>
  <si>
    <t>Pasang Lantai Keramik Rectified uk.300mmx300mm polished - F2</t>
  </si>
  <si>
    <t>Pasang Lantai Keramik Rectified uk.300mmx300mm unpolished - F3</t>
  </si>
  <si>
    <t>Depan</t>
  </si>
  <si>
    <t>PT1</t>
  </si>
  <si>
    <t>PB1</t>
  </si>
  <si>
    <t>Pemasangan Daun Pintu Engineering Door</t>
  </si>
  <si>
    <t>Pemasangan Flush Bolt</t>
  </si>
  <si>
    <t>Pemasangan Daun Pintu Alumunium 4" Tebal 1.2 mm (Powder Coating)</t>
  </si>
  <si>
    <t>Pemasangan Kusen Besi 120x70x2mm Fin. Cat Besi</t>
  </si>
  <si>
    <t>Pemasangan Daun Pintu Plat Besi t=2mm Fin. Cat Besi + Kaca Bening 5mm</t>
  </si>
  <si>
    <t>Pemasangan Pull Handle</t>
  </si>
  <si>
    <t>Pemasangan Rambuncis</t>
  </si>
  <si>
    <t>Pintu PT1</t>
  </si>
  <si>
    <t>Pintu PB1</t>
  </si>
  <si>
    <t>Jendela BV1</t>
  </si>
  <si>
    <t>Samping kanan kiri belakang</t>
  </si>
  <si>
    <t>R Panel dan Server</t>
  </si>
  <si>
    <t>Pekerjaan Gypsum Board 9 mm (L1)</t>
  </si>
  <si>
    <t>Laboratorium</t>
  </si>
  <si>
    <t>Kalsium Silica Board 9 mm (L2)</t>
  </si>
  <si>
    <t>Shadow Line</t>
  </si>
  <si>
    <t>R Tindakan Administrasi Lobby</t>
  </si>
  <si>
    <t>PENGECATAN LT.01</t>
  </si>
  <si>
    <t>pondasi batu belah pot.2</t>
  </si>
  <si>
    <t xml:space="preserve">Membuat Pelat Lantai atap T=12 cm </t>
  </si>
  <si>
    <t>bongkar beton existing</t>
  </si>
  <si>
    <t>ramp dan parkir</t>
  </si>
  <si>
    <t>III. PEKERJAAN STRUKTUR LANTAI 01 DAN DAK ATAP</t>
  </si>
  <si>
    <t xml:space="preserve">A. </t>
  </si>
  <si>
    <t xml:space="preserve">PEKERJAAN PERSIAPAN </t>
  </si>
  <si>
    <t>Biaya Administrasi dan Dokumentasi</t>
  </si>
  <si>
    <t>Biaya SMK3 :</t>
  </si>
  <si>
    <t>a. Pembatas area / safety line</t>
  </si>
  <si>
    <t>b. Jaring pengaman / safety net</t>
  </si>
  <si>
    <t>a. Tali pengaman dan pelengkap jatuh perorangan full body harness</t>
  </si>
  <si>
    <t>b. Helm safety</t>
  </si>
  <si>
    <t>c. Sepatu safety</t>
  </si>
  <si>
    <t>a. Rambu peringatan</t>
  </si>
  <si>
    <t>b. Rambu informasi</t>
  </si>
  <si>
    <t>c. Jalur evakuasi</t>
  </si>
  <si>
    <t>a. Alat Pemadam Api Ringan (APAR)</t>
  </si>
  <si>
    <t>b.Bendera K3</t>
  </si>
  <si>
    <t>c. Lampu darurat</t>
  </si>
  <si>
    <t>Pasing pasang</t>
  </si>
  <si>
    <t>PPN 11%</t>
  </si>
  <si>
    <t>Dinding VG</t>
  </si>
  <si>
    <t>Loker 1</t>
  </si>
  <si>
    <t>Loker 2</t>
  </si>
  <si>
    <t>Credenza</t>
  </si>
  <si>
    <t>Meja Dokter</t>
  </si>
  <si>
    <t>Meja Counter</t>
  </si>
  <si>
    <t>Meja Rapat</t>
  </si>
  <si>
    <t>X.</t>
  </si>
  <si>
    <t>Pemasangan Kansteen 40x20x10cm</t>
  </si>
  <si>
    <t>Signage Titik Kumpul Aluminium 45x30</t>
  </si>
  <si>
    <t>rabat beton</t>
  </si>
  <si>
    <t>Engsel sendok</t>
  </si>
  <si>
    <t>Kunci loker</t>
  </si>
  <si>
    <t>Plint Metal</t>
  </si>
  <si>
    <t>Plywood 9mm lapis HPL Motif Kayu</t>
  </si>
  <si>
    <t>Plywood 9mm lapis Melamic Finished</t>
  </si>
  <si>
    <t>Plywood 9mm Fin cat duco hitam</t>
  </si>
  <si>
    <t xml:space="preserve">Pemasangan Drawer accesoris termasuk kunci </t>
  </si>
  <si>
    <t>Rangka hollow 20x40mm</t>
  </si>
  <si>
    <t>Plywood 9mm Fin solid surface</t>
  </si>
  <si>
    <t>Plywood 9mm lapis satin glass 5mm</t>
  </si>
  <si>
    <t xml:space="preserve">Plywood 9mm Fin HPL </t>
  </si>
  <si>
    <t>Plint Metal Fin Duco</t>
  </si>
  <si>
    <t>MDF 12 mm Fin solid surface</t>
  </si>
  <si>
    <t xml:space="preserve">MDF 12 mm Fin HPL </t>
  </si>
  <si>
    <t>MDF 12 mm Glass Stone</t>
  </si>
  <si>
    <t>Stainless Steel Hairline</t>
  </si>
  <si>
    <t>LED Strip Light</t>
  </si>
  <si>
    <t>Pemasangan keyboard accesoris</t>
  </si>
  <si>
    <t>MDF 12 mm Fin cat duco</t>
  </si>
  <si>
    <t>Box outlet aluminium powder coated</t>
  </si>
  <si>
    <t>Metal powder coated</t>
  </si>
  <si>
    <t>v</t>
  </si>
  <si>
    <t>R TINDAKAN + LOBBY + ADMINISTRASI</t>
  </si>
  <si>
    <t>Penebalan kolom</t>
  </si>
  <si>
    <t>BV2</t>
  </si>
  <si>
    <t>kusen eksterior</t>
  </si>
  <si>
    <t>kusen interior</t>
  </si>
  <si>
    <t>Dinding depan pos jaga</t>
  </si>
  <si>
    <t xml:space="preserve">Dinding taman </t>
  </si>
  <si>
    <t>Talud 1</t>
  </si>
  <si>
    <t>Tampak1</t>
  </si>
  <si>
    <t>Tampak2</t>
  </si>
  <si>
    <t>Talud 2</t>
  </si>
  <si>
    <t>Dinding gas medis</t>
  </si>
  <si>
    <t>Tampak 4</t>
  </si>
  <si>
    <t>Tampak 5</t>
  </si>
  <si>
    <t>Tampak 6</t>
  </si>
  <si>
    <t>R. Jenazah</t>
  </si>
  <si>
    <t>Pasang Batu Tempel Purwakarta Uk. 30x60 cm</t>
  </si>
  <si>
    <t>Pasang Pintu PB1</t>
  </si>
  <si>
    <t>pasang Pintu PT1</t>
  </si>
  <si>
    <t>Pasang Jendela BV1</t>
  </si>
  <si>
    <t>Tritisan</t>
  </si>
  <si>
    <t>Pengecatan Beton Expose</t>
  </si>
  <si>
    <t>Pekerjaan Aluminium Spandrel uk. 200mm</t>
  </si>
  <si>
    <t>Pengecatan 1 m2 tembok baru Eksterior (  1 lapis cat dasar, 2 lapis cat penutup)</t>
  </si>
  <si>
    <t>INTERIOR</t>
  </si>
  <si>
    <t>EKSTERIOR</t>
  </si>
  <si>
    <t>Dinding penebalan kolom</t>
  </si>
  <si>
    <t>Kolom eksterior</t>
  </si>
  <si>
    <t>Dinding bata gas medis</t>
  </si>
  <si>
    <t>R Gas medis</t>
  </si>
  <si>
    <t>Dak R Gas Medis</t>
  </si>
  <si>
    <t>- Finishing HT 60x60</t>
  </si>
  <si>
    <t>Pemasangan Rumput Gajah Area Taman</t>
  </si>
  <si>
    <t>- Media tanam</t>
  </si>
  <si>
    <t>cek ya mba</t>
  </si>
  <si>
    <t>Ket V = Sudah update gambar terbaru tgl 24/03/25</t>
  </si>
  <si>
    <t>S</t>
  </si>
  <si>
    <t>C.</t>
  </si>
  <si>
    <t>Galian Tanah</t>
  </si>
  <si>
    <t>Urugan Tanah Kembali</t>
  </si>
  <si>
    <t>Pekerjaan Struktur Beton</t>
  </si>
  <si>
    <r>
      <t xml:space="preserve">Pekerjaan Trucuk bambu </t>
    </r>
    <r>
      <rPr>
        <sz val="11"/>
        <rFont val="Calibri"/>
        <family val="2"/>
      </rPr>
      <t>Ø</t>
    </r>
    <r>
      <rPr>
        <sz val="11"/>
        <rFont val="Arial"/>
        <family val="2"/>
      </rPr>
      <t xml:space="preserve"> 10 panjang 2 m</t>
    </r>
  </si>
  <si>
    <t>e. pasir urug t = 10 cm</t>
  </si>
  <si>
    <t>Pekerjaan Pondasi Footplat Talud</t>
  </si>
  <si>
    <t>Pekerjaan Dinding Beton</t>
  </si>
  <si>
    <t>A.3.2.1.11.d</t>
  </si>
  <si>
    <t xml:space="preserve">Pemasangan 1 ttk  Crucuk Bambu Ø ± 10 cm </t>
  </si>
  <si>
    <t>Bambu Apus Ø 8-10 cm panjang 2 m</t>
  </si>
  <si>
    <t>Dihitung</t>
  </si>
  <si>
    <t>Anls.5</t>
  </si>
  <si>
    <t>Anls.6</t>
  </si>
  <si>
    <t>Pasang 1 M Cansteen 40x20x10 cm</t>
  </si>
  <si>
    <t>Pasang 1 M Cansteen 40x20x10cm</t>
  </si>
  <si>
    <t>Cansteen 40x20x10cm</t>
  </si>
  <si>
    <t>Pasir Filler</t>
  </si>
  <si>
    <t>Pemasangan 1m2 lantai keramik ukuran 30cm x 30cm rectifed</t>
  </si>
  <si>
    <t>A.4.4.3.35.a</t>
  </si>
  <si>
    <t>Pemasangan 1m2 lantai keramik ukuran 30cm x 60cm rectifed</t>
  </si>
  <si>
    <t>keramik ukuran 30cm x 60cm</t>
  </si>
  <si>
    <t>(K3) Pemasangan 1 m2   bekisting untuk kolom (2XPEMAKAIAN)</t>
  </si>
  <si>
    <t>(K3) Pemasangan 1 m2   bekisting untuk balok (2XPEMAKAIAN)</t>
  </si>
  <si>
    <t>(K3) Pemasangan 1 m2   bekisting untuk lantai (2XPEMAKAIAN)</t>
  </si>
  <si>
    <t>c. Pemasangan bekisting (2xpakai)</t>
  </si>
  <si>
    <t>(K3) Pemasangan 1 m2   bekisting untuk sloof (2x pakai)</t>
  </si>
  <si>
    <t>(K3) Pemasangan 1 m2   bekisting untuk dinding (2xPEMAKAIAN)</t>
  </si>
  <si>
    <t>(K3) Pemasangan 1 m2   bekisting untuk sloof (2x pemakaian)</t>
  </si>
  <si>
    <t>(K3) Pemasangan 1 m2   bekisting untuk kolom (2x pemakaian)</t>
  </si>
  <si>
    <t>(K3) Pemasangan 1 m2   bekisting untuk balok (2x pemakaian)</t>
  </si>
  <si>
    <t>(K3) Pemasangan 1 m2   bekisting untuk lantai (2x pemakaian)</t>
  </si>
  <si>
    <t>(K3) Pemasangan 1 m2   bekisting untuk dinding (2x pemakaian)</t>
  </si>
  <si>
    <t>UNIT</t>
  </si>
  <si>
    <t>PEKERJAAN SMK3</t>
  </si>
  <si>
    <t>R.GAS MEDIS</t>
  </si>
  <si>
    <t>R. TANDON</t>
  </si>
  <si>
    <t>Membuat Pelat Lantai atap T=12 cm elev.2,55</t>
  </si>
  <si>
    <t>A.4.1.1.8. a</t>
  </si>
  <si>
    <t>Membuat 1 m3 beton  ready mix mutu fc’= 21,7 Mpa</t>
  </si>
  <si>
    <t>Beton Readymix fc'21 Mpa</t>
  </si>
  <si>
    <t xml:space="preserve">A.4.1.1.8.a </t>
  </si>
  <si>
    <t>PEKERJAAN BAK PENAMPUNG</t>
  </si>
  <si>
    <t xml:space="preserve">BACK UP VOLUME </t>
  </si>
  <si>
    <t>KEGIATAN</t>
  </si>
  <si>
    <t>NO SPK</t>
  </si>
  <si>
    <t>NO SPMK</t>
  </si>
  <si>
    <t>ITEM PEKERJAAN</t>
  </si>
  <si>
    <t>PERHITUNGAN</t>
  </si>
  <si>
    <t>Panjang</t>
  </si>
  <si>
    <t xml:space="preserve">Lebar </t>
  </si>
  <si>
    <t>Tinggi</t>
  </si>
  <si>
    <t>Jumlah</t>
  </si>
  <si>
    <t>Koef</t>
  </si>
  <si>
    <t>Sub Total</t>
  </si>
  <si>
    <t>Total</t>
  </si>
  <si>
    <t>Sat</t>
  </si>
  <si>
    <t>1.</t>
  </si>
  <si>
    <t>Penebangan Pohon</t>
  </si>
  <si>
    <t>2.</t>
  </si>
  <si>
    <t>Perataan dan Pembersihan Lahan</t>
  </si>
  <si>
    <t>3.</t>
  </si>
  <si>
    <t>Uitzet dan Pemasangan Bouwplank</t>
  </si>
  <si>
    <t>4.</t>
  </si>
  <si>
    <t>Papan Nama Proyek</t>
  </si>
  <si>
    <t>5.</t>
  </si>
  <si>
    <t>Penyiapan Dokumen RKK, RMPK</t>
  </si>
  <si>
    <t>6.</t>
  </si>
  <si>
    <t>Peralatan P3k</t>
  </si>
  <si>
    <t>7.</t>
  </si>
  <si>
    <t>Rambu dan Perlengkapan Lalu Lintas yang Diperlukan atau Manajemen Lalu Lintas</t>
  </si>
  <si>
    <t>PEKERJAAN MANAJEMEN K3</t>
  </si>
  <si>
    <t>Alat Pelindung Diri</t>
  </si>
  <si>
    <t>a. Topi Pelindung</t>
  </si>
  <si>
    <t>b. Sarung Tangan</t>
  </si>
  <si>
    <t>dus</t>
  </si>
  <si>
    <t>c. Sepatu Keselamatan</t>
  </si>
  <si>
    <t>d. Rompi Keselamatan</t>
  </si>
  <si>
    <t>Rambu-rambu K3</t>
  </si>
  <si>
    <t>PEKERJAAN TANAH</t>
  </si>
  <si>
    <t>Penggalian 1 m3 tanah Pondasi Footplat</t>
  </si>
  <si>
    <t>FP1</t>
  </si>
  <si>
    <t>x</t>
  </si>
  <si>
    <t>=</t>
  </si>
  <si>
    <t>Pemadatan Tanah 1 m3 per 20 cm, dengan Stamper</t>
  </si>
  <si>
    <t>Pengurugan Tanah (Mendatangkan) + Pengurugan Tanah Kembali</t>
  </si>
  <si>
    <t>+</t>
  </si>
  <si>
    <t>Pengurugan 1 m3 Pasir Urug</t>
  </si>
  <si>
    <t>pondasi batu kali</t>
  </si>
  <si>
    <t>PEKERJAAN PONDASI</t>
  </si>
  <si>
    <t>Pemasangan Pondasi Batu Belah 1:5, tipe N (Semi Mekanis)</t>
  </si>
  <si>
    <t>batu kosong</t>
  </si>
  <si>
    <t>batu belah</t>
  </si>
  <si>
    <t>PEKERJAAN BETON</t>
  </si>
  <si>
    <t>a. Beton f'c 25MPa</t>
  </si>
  <si>
    <t>b.</t>
  </si>
  <si>
    <t>X</t>
  </si>
  <si>
    <t>c.</t>
  </si>
  <si>
    <t>Pemasangan 1 m2 Bekisting untuk Fondasi Telapak (3x Pakai)</t>
  </si>
  <si>
    <t>Penulangan BJPS ≥ 16</t>
  </si>
  <si>
    <t>d.</t>
  </si>
  <si>
    <t>a.</t>
  </si>
  <si>
    <t>Beton f'c 25 MPa</t>
  </si>
  <si>
    <r>
      <t xml:space="preserve">Penulangan BJTS </t>
    </r>
    <r>
      <rPr>
        <sz val="12"/>
        <color rgb="FF000000"/>
        <rFont val="Arial"/>
        <family val="2"/>
      </rPr>
      <t>≥ 12</t>
    </r>
  </si>
  <si>
    <t>tulangan atas</t>
  </si>
  <si>
    <t>tulangan bawah</t>
  </si>
  <si>
    <r>
      <t xml:space="preserve">Penulangan BJTP </t>
    </r>
    <r>
      <rPr>
        <sz val="12"/>
        <color rgb="FF000000"/>
        <rFont val="Arial"/>
        <family val="2"/>
      </rPr>
      <t>≥ 12</t>
    </r>
  </si>
  <si>
    <t>Ø 10</t>
  </si>
  <si>
    <t>Pemasangan 1 m2 Bekisting untuk Sloof (3x Pakai)</t>
  </si>
  <si>
    <t>Ø 8</t>
  </si>
  <si>
    <t>RINCIAN PANJANG</t>
  </si>
  <si>
    <t>P. Begel</t>
  </si>
  <si>
    <t>Jml. Begel</t>
  </si>
  <si>
    <t>Penulangan BJTP &lt; 12</t>
  </si>
  <si>
    <t>Pemasangan 1 m2 Bekisting untuk Kolom (3x Pakai)</t>
  </si>
  <si>
    <t>8.</t>
  </si>
  <si>
    <t>lt1</t>
  </si>
  <si>
    <t>lt.1</t>
  </si>
  <si>
    <t>Pemasangan 1 m2 Bekisting untuk Balok (3x Pakai)</t>
  </si>
  <si>
    <t>9.</t>
  </si>
  <si>
    <t xml:space="preserve">Penulangan besi </t>
  </si>
  <si>
    <t>tul bawah dan atas p10-150</t>
  </si>
  <si>
    <t>PASANG ANGKUR D10</t>
  </si>
  <si>
    <t>BERAT</t>
  </si>
  <si>
    <t>PASIR URUG 5 CM</t>
  </si>
  <si>
    <t>Pek. Lantai Kerja Beton f'c 10Mpa</t>
  </si>
  <si>
    <t>Pek. Footplate FP1 160/160, Beton f'c = 20,75 MPa</t>
  </si>
  <si>
    <t>Pasir urug t 10 cm</t>
  </si>
  <si>
    <t>Pek. Sloof S1 25/30, Beton f'c = 20,75 MPa</t>
  </si>
  <si>
    <t>Beton f'c 20,75 MPa</t>
  </si>
  <si>
    <t>S 12</t>
  </si>
  <si>
    <t>Pek. Sloof Praktis Sp 20/15, Beton f'c = 14,5 MPa</t>
  </si>
  <si>
    <t>Beton f'c 14,5 MPa</t>
  </si>
  <si>
    <t>Pek. Kolom K1 35/35, Beton f'c = 20,75 Mpa</t>
  </si>
  <si>
    <t>1. kolom  K1 35/35, Beton f'c = 20,75 Mpa</t>
  </si>
  <si>
    <t>Pek. Kolom Praktis 15/15, Beton f'c = 14,5 MPa</t>
  </si>
  <si>
    <t>Pemasangan 1 m2 Bekisting untuk Kolom</t>
  </si>
  <si>
    <t>s13</t>
  </si>
  <si>
    <t>s10</t>
  </si>
  <si>
    <t xml:space="preserve">Pemasangan 1 m2 Bekisting untuk Balok </t>
  </si>
  <si>
    <t xml:space="preserve">Pek. Balok B1 25x40, Beton f'c = 20,75MPa </t>
  </si>
  <si>
    <t xml:space="preserve">Pek. Balok B2  25x30, Beton f'c = 20,75 MPa </t>
  </si>
  <si>
    <t>s12</t>
  </si>
  <si>
    <t>Pek.plat atap elev.2,55</t>
  </si>
  <si>
    <t>Pemasangan 1 m2 Bekisting untuk Plat</t>
  </si>
  <si>
    <t>Pek.plat dak atap</t>
  </si>
  <si>
    <t>pembongkaran beton existing</t>
  </si>
  <si>
    <t>Membuat Kolom Praktis K1 uk.15x15 cm</t>
  </si>
  <si>
    <t>a. Beton mutu f’c  = 14,5 MPa (K 175)</t>
  </si>
  <si>
    <t>VOLUME TALUD</t>
  </si>
  <si>
    <t>Pek. Footplate TALUD 1</t>
  </si>
  <si>
    <t>Pek. Footplate TALUD 2</t>
  </si>
  <si>
    <t>a. Beton f'c 20,75MPa</t>
  </si>
  <si>
    <t>Pek.dinding beton TALUD 1</t>
  </si>
  <si>
    <t>tul bawah dan atas d16-100</t>
  </si>
  <si>
    <t>talud 1</t>
  </si>
  <si>
    <t>talud 2</t>
  </si>
  <si>
    <t>trucuk bambu Ø10  1</t>
  </si>
  <si>
    <t>trucuk bambu Ø10  2</t>
  </si>
  <si>
    <t>pipa pvc drainase 4'' 1</t>
  </si>
  <si>
    <t>pipa pvc drainase 4'' 2</t>
  </si>
  <si>
    <t xml:space="preserve">pasir urug </t>
  </si>
  <si>
    <t>Pekerjaan Drainase Pipa PVC  Ø  4''</t>
  </si>
  <si>
    <t>e</t>
  </si>
  <si>
    <t>Lantai 1 dan  Atap</t>
  </si>
  <si>
    <t>S 13</t>
  </si>
  <si>
    <t>Pemasangan 1 m2 Bekisting untuk Sloof</t>
  </si>
  <si>
    <t xml:space="preserve">Pek.plat </t>
  </si>
  <si>
    <t>Pek.arsitekur</t>
  </si>
  <si>
    <t>Pasangan dinding bata ringan</t>
  </si>
  <si>
    <t>Plestera</t>
  </si>
  <si>
    <t>Pekerjaan Pasir urug 10 cm</t>
  </si>
  <si>
    <t>Pekerjaan Rabat beton 10 cm</t>
  </si>
  <si>
    <t>Pek. Sloof S1 15/20, Beton f'c = 20,75 MPa</t>
  </si>
  <si>
    <t>Beton f'c 20,75MPa</t>
  </si>
  <si>
    <t>Pek.Balok B1 15/20, Beton f'c = 20,75 MPa</t>
  </si>
  <si>
    <t>Pekerjaan keramik dinding uk.30x30 cm</t>
  </si>
  <si>
    <t>Pekerjaan Waterprofing semen based</t>
  </si>
  <si>
    <t>Pek. Kolom Praktis 20/15, Beton f'c = 20,75 MPa</t>
  </si>
  <si>
    <t>VOLUME BAK PENAMPUNG 1</t>
  </si>
  <si>
    <t>VOLUME BAK PENAMPUNG 2</t>
  </si>
  <si>
    <t xml:space="preserve">a. Beton mutu f'c = 20,75 MPa (K 250) </t>
  </si>
  <si>
    <t>Membuat Balok Praktis uk.15x20 cm</t>
  </si>
  <si>
    <t>Membuat kolom Praktis uk.15x20 cm</t>
  </si>
  <si>
    <t>Pekerjaan Pasir urug</t>
  </si>
  <si>
    <t>IV. PEKERJAAN BAK PENAMPUNG</t>
  </si>
  <si>
    <t>V. PEKERJAAN TALUD DINDING BETON STRUKTUR</t>
  </si>
  <si>
    <t>XI.</t>
  </si>
  <si>
    <t>Pekerjaan Bak Penambpung</t>
  </si>
  <si>
    <t>Pekerjaan Waterprofing Semen Based</t>
  </si>
  <si>
    <t>bangunan</t>
  </si>
  <si>
    <t>pondasi</t>
  </si>
  <si>
    <t>Pekerjaan Pasir urug 5 cm</t>
  </si>
  <si>
    <t xml:space="preserve">Membuat Pelat Lantai T=12 cm </t>
  </si>
  <si>
    <t xml:space="preserve">Membuat Pelat  T=20 cm </t>
  </si>
  <si>
    <t>Pek.plat pondasi genset</t>
  </si>
  <si>
    <t>tul bawah dan atas d13-200</t>
  </si>
  <si>
    <t>PEKERJAAN PONDASI GENSET</t>
  </si>
  <si>
    <t>V. PEKERJAAN PONDASI GENSET</t>
  </si>
  <si>
    <t>I. Pekerjaan Penyambungan Listrik Panel Eksisting (Kawasan Istiqlal)</t>
  </si>
  <si>
    <t>II. Pekerjaan Generator Set (Genset)</t>
  </si>
  <si>
    <t>III. Pekerjaan Panel</t>
  </si>
  <si>
    <t>IV. Pekerjaan Grounding</t>
  </si>
  <si>
    <t>V. Pekerjaan Kabel Feeder</t>
  </si>
  <si>
    <t>VI. Pekerjaan instalasi Penerangan dan stop kontak</t>
  </si>
  <si>
    <t>VII. Pekerjaan CCTV</t>
  </si>
  <si>
    <t>VIII. Pekerjaaan IP Phone dan Wifi</t>
  </si>
  <si>
    <t>IX. Pekerjaan Air Condisioning (AC)</t>
  </si>
  <si>
    <t>X. Pekerjaan Air Bersih</t>
  </si>
  <si>
    <t>XI.Pekerjaan Air Kotor dan air bekas</t>
  </si>
  <si>
    <t>XII. Pekerjaan Air Hujan</t>
  </si>
  <si>
    <t>XIII. Pekerjaan Gas medis</t>
  </si>
  <si>
    <t>Pasang Lantai Marmer Tulung Agung uk.600mmx600mm  - F1</t>
  </si>
  <si>
    <t>Pasang Lantai Beton + Scred 5 cm</t>
  </si>
  <si>
    <t xml:space="preserve">Pasang Dinding Homogeneus Tile uk.600mmx600mm unpolished </t>
  </si>
  <si>
    <t>toilet 1</t>
  </si>
  <si>
    <t>toilet2 dn difabilitas</t>
  </si>
  <si>
    <t>Pasang Dinding marmer tulungagung uk.600 mm x 600 mm</t>
  </si>
  <si>
    <t>Pasang dinding Parapet + rangka hollow uk.40x40 fin plat stainlesteel</t>
  </si>
  <si>
    <t>Hitung</t>
  </si>
  <si>
    <t>Pasang dinding batu andesit uk.15x30 cm - w3 dan c2</t>
  </si>
  <si>
    <t>Pekerjaan Kalsium Silica Board 4,5 mm (L2)</t>
  </si>
  <si>
    <t>Pasang Pintu P3</t>
  </si>
  <si>
    <t>Pintu P3</t>
  </si>
  <si>
    <t>Pemasangan Kusen UPVC</t>
  </si>
  <si>
    <t>Pemasangan Daun Pintu UPVC</t>
  </si>
  <si>
    <t>Anls.7</t>
  </si>
  <si>
    <t xml:space="preserve">Meja Beton Kitchen Zink </t>
  </si>
  <si>
    <t>Meja + Kursi Beton Pos Jaga</t>
  </si>
  <si>
    <t>Pemasangan batu Andesit Bakar uk.40x40x2 cm</t>
  </si>
  <si>
    <t>Pasang 1 m2 paving block t = 8 cm, K300</t>
  </si>
  <si>
    <t>Paving block tebal 8 cm</t>
  </si>
  <si>
    <t>kusen stainlessteel t= 3mm</t>
  </si>
  <si>
    <t>Daun Pintu Kaca Tempered 12 mm</t>
  </si>
  <si>
    <t>Pull handle stainless steel SUS 304</t>
  </si>
  <si>
    <t>Patch Lock</t>
  </si>
  <si>
    <t>Floor hinge</t>
  </si>
  <si>
    <t>Patch Fitting</t>
  </si>
  <si>
    <t>Covering plate</t>
  </si>
  <si>
    <t>stiker sunblast</t>
  </si>
  <si>
    <t>kaca bening 5 mm</t>
  </si>
  <si>
    <t>Penggalian 1 m3 tanah biasa sedalam 1 m dengan semi mekanis</t>
  </si>
  <si>
    <t>Jack Hammer Drill1,5 KW + Genset 3 KWH</t>
  </si>
  <si>
    <t>Pemasangan 1 m2 lantai marmer ukuran 60cm x 60cm</t>
  </si>
  <si>
    <t>marmer ukuran 60cm x 60cm</t>
  </si>
  <si>
    <t>Pemasangan 1 m2 lantai marmer tulungagung ukuran 60cm x 60cm</t>
  </si>
  <si>
    <t>PEKERJAAN TALUD DINDING BETON</t>
  </si>
  <si>
    <t>Pekerjaan Pasangan dinding batu andesit uk.15x30 cm</t>
  </si>
  <si>
    <t>Pasang 1 m' Buis betin 1/2 D 20-100</t>
  </si>
  <si>
    <t>Lantai kerja fc'7,5 Mpa</t>
  </si>
  <si>
    <t>Pesangan plesteran 1 SP : 4 PP tebal 15mm</t>
  </si>
  <si>
    <t>Buis Beton 1/2 D 20-100 cm</t>
  </si>
  <si>
    <t>Pasang 1 m' Buis betin 1/2 D 40-100</t>
  </si>
  <si>
    <t>Buis Beton 1/2 D 40-100 cm</t>
  </si>
  <si>
    <r>
      <t xml:space="preserve">Pemasangan Saluran Buis beton </t>
    </r>
    <r>
      <rPr>
        <sz val="11"/>
        <rFont val="Calibri"/>
        <family val="2"/>
      </rPr>
      <t>Ø 20 cm</t>
    </r>
    <r>
      <rPr>
        <sz val="11"/>
        <rFont val="Arial"/>
        <family val="2"/>
      </rPr>
      <t xml:space="preserve"> </t>
    </r>
  </si>
  <si>
    <r>
      <t xml:space="preserve">Pemasangan Saluran Buis beton </t>
    </r>
    <r>
      <rPr>
        <sz val="11"/>
        <rFont val="Calibri"/>
        <family val="2"/>
      </rPr>
      <t>Ø 40 cm</t>
    </r>
    <r>
      <rPr>
        <sz val="11"/>
        <rFont val="Arial"/>
        <family val="2"/>
      </rPr>
      <t xml:space="preserve"> </t>
    </r>
  </si>
  <si>
    <t>Pemasangan Penutup Griil Besi saluran</t>
  </si>
  <si>
    <t>Grill Besi</t>
  </si>
  <si>
    <t>Pasang 1 bh Bak kontol Pasangan Batu Bata uk.60x60 tinggi 65 cm denga tutup gril besi</t>
  </si>
  <si>
    <t>Vertikal Garden</t>
  </si>
  <si>
    <t>- Pasangan Dinding bata ringan</t>
  </si>
  <si>
    <t>- Pasangan plesteran Kamprot</t>
  </si>
  <si>
    <t>Pemasangan Bak Kontrol + penutup grill besi</t>
  </si>
  <si>
    <t>Pekerjaan Lantai Rabat Beton fc'75</t>
  </si>
  <si>
    <t>PEKERJAAN STRUKTUR DAN ATAP DAN TALUD BETON</t>
  </si>
  <si>
    <t>VO;UME</t>
  </si>
  <si>
    <t>- Tanaman dolar rambat</t>
  </si>
  <si>
    <t>Pekerjaan Furniture</t>
  </si>
  <si>
    <t>Pek. Pasang Meja Registrasi</t>
  </si>
  <si>
    <t xml:space="preserve">Pek. Pasang Dinding Backdrop </t>
  </si>
  <si>
    <t>Pek. Lemari bawah Pantry</t>
  </si>
  <si>
    <t>XII.</t>
  </si>
  <si>
    <t>Pekerjaan Saluran air ke sungai</t>
  </si>
  <si>
    <t>- Pekerjaan Galian Tanah</t>
  </si>
  <si>
    <t>- Pekerjaan Aspal</t>
  </si>
  <si>
    <t>- Pekerjaan saluran buis beton dia.50 cm</t>
  </si>
  <si>
    <t>- Lantai kerja beton fc' = 7,4 MPa (K 100)</t>
  </si>
  <si>
    <t>1 m’ Buis Beton D 50 - 100 cm</t>
  </si>
  <si>
    <t>Lantai kerja f'c 7,5 MPa</t>
  </si>
  <si>
    <t>Urukan pasir uruk</t>
  </si>
  <si>
    <t>Pemasangan Plesteran 1 SP : 4 PP tebal 15 mm</t>
  </si>
  <si>
    <t>Buis Beton D 50 - 100 cm</t>
  </si>
  <si>
    <t>Excavator (Std.); Bucket 0,55 m3; 95 HP *)</t>
  </si>
  <si>
    <t>jam</t>
  </si>
  <si>
    <t>Bois Beton dia. 50 cm      (pakai tulangan)</t>
  </si>
  <si>
    <t>Wheel Loader</t>
  </si>
  <si>
    <t>Tandem Roller</t>
  </si>
  <si>
    <t>Pembuatan Balok Praktis Beton Bertulang (10x15)</t>
  </si>
  <si>
    <t>1m3 Lapis Tipis Beton Aspal B Halus (LTBA B Kasar )</t>
  </si>
  <si>
    <t>Agregate uk.5-10 &amp; 10-15</t>
  </si>
  <si>
    <t>Agregate uk.0-5</t>
  </si>
  <si>
    <t>Semen</t>
  </si>
  <si>
    <t>AMP</t>
  </si>
  <si>
    <t>Genset</t>
  </si>
  <si>
    <t>Asphalt Finisher</t>
  </si>
  <si>
    <t>P. Tire Roller</t>
  </si>
  <si>
    <t>Pemasangan 1 m2 dinding batu andesit bakar</t>
  </si>
  <si>
    <t>dinding batu andesit bakar</t>
  </si>
  <si>
    <t>andesit bakar</t>
  </si>
  <si>
    <t>Pemasangan Paving Block t= 8 cm, K300 + topi uskup</t>
  </si>
  <si>
    <t>BILL OF QUANTITY (BOQ)</t>
  </si>
  <si>
    <t>BILL OF QUANTITY (BOQ) PEKERJAAN ARSITEKTUR</t>
  </si>
  <si>
    <t>BILL OF QUANTITY (BOQ) PEKERJAAN STRUKTUR</t>
  </si>
  <si>
    <t>ANALISA KUSEN</t>
  </si>
  <si>
    <t>MEKANIKAL, ELEKTRIKAL, ELEKTRONIKA DAN PLAMBING (MEEP)</t>
  </si>
  <si>
    <t>: PEMBANGUNAN RUMAH SEHAT BAZNAZ</t>
  </si>
  <si>
    <t>PEKERJAAN MEKANIKAL, ELEKTRIKAL, ELEKTRONIKA DAN PLAMBING (MEEP)</t>
  </si>
  <si>
    <t>PEKERJAAN ELEKTRIKAL</t>
  </si>
  <si>
    <t>Pekerjaan Penyambungan Listrik Panel Eksisting (Kawasan Istiqlal)</t>
  </si>
  <si>
    <r>
      <t xml:space="preserve">Kabel NYFGbY 4c x 35 mm2 + cnduit HDPE </t>
    </r>
    <r>
      <rPr>
        <sz val="10"/>
        <rFont val="Calibri"/>
        <family val="2"/>
      </rPr>
      <t>Ø</t>
    </r>
    <r>
      <rPr>
        <sz val="8.5"/>
        <rFont val="Arial"/>
        <family val="2"/>
      </rPr>
      <t>2"</t>
    </r>
    <r>
      <rPr>
        <sz val="10"/>
        <rFont val="Arial"/>
        <family val="2"/>
      </rPr>
      <t>, Termasuk pekerjaan galian sedalam 60cm dan urugan kembali seperti semula</t>
    </r>
  </si>
  <si>
    <t>Pekerjaan Generator Set (Genset)</t>
  </si>
  <si>
    <t xml:space="preserve">Genset kapasitas 60 kVA,3Ø,50 Hz,380V, 1500 Rpm, Silent Type Continuous / Prime Power, </t>
  </si>
  <si>
    <t xml:space="preserve">include PKG(Panel Kontrol Genset), Accu + charger automatis, kabel kontrol,Tanki bahan bakar harian sesuai </t>
  </si>
  <si>
    <t xml:space="preserve">bawaan Engine dan accesories lainnya, Merk : Perkins, Cummins dengan Alternator Stamford </t>
  </si>
  <si>
    <t>di kopel oleh Agen Resmi rekomendasi Pabrik ( menyertakan surat )</t>
  </si>
  <si>
    <t>termasuk :</t>
  </si>
  <si>
    <t>Residential Silencer</t>
  </si>
  <si>
    <t>SLO dan Perijinan instansi terkait</t>
  </si>
  <si>
    <t>Pekerjaan Panel</t>
  </si>
  <si>
    <t>Panel MDP</t>
  </si>
  <si>
    <t>Panel lampu dan Stop kontak</t>
  </si>
  <si>
    <t>Panel AC</t>
  </si>
  <si>
    <t>Panel gas medis</t>
  </si>
  <si>
    <t>Panel Elektronika</t>
  </si>
  <si>
    <t>Pekerjaan Grounding</t>
  </si>
  <si>
    <t>Grounding Panel MDP, 2 Ohm dengan bak kontrol 40cm x 40cm</t>
  </si>
  <si>
    <t>Kabel Gounding BC 16 mm2</t>
  </si>
  <si>
    <t>Pekerjaan Kabel Feeder</t>
  </si>
  <si>
    <t>Kabel NYY 4c x 35 mm2 (dari Panel MDP ke Genset)</t>
  </si>
  <si>
    <t>Kabel NYY 4c x 10 mm2 + BC 10 mm2 (dari Panel MDP ke Panel lampu dan stop kontak)</t>
  </si>
  <si>
    <t>Kabel NYY 4c x 16 mm2 + BC 16 mm2 (dari Panel MDP ke Panel AC)</t>
  </si>
  <si>
    <t>Kabel NYY 4c x 16 mm2 + BC 16 mm2 (dari Panel MDP ke Panel Gas medis)</t>
  </si>
  <si>
    <t>Kabel NYY 3c x 4 mm2  (dari Panel MDP ke Panel Elektronika)</t>
  </si>
  <si>
    <t>Tray kabel uk. 300x100 mm</t>
  </si>
  <si>
    <t>Pekerjaan instalasi Penerangan dan stop kontak</t>
  </si>
  <si>
    <t>Leds Panel 40W, 4000lm,6500K</t>
  </si>
  <si>
    <t>Led T8-1x20W-L1200mm-6500K</t>
  </si>
  <si>
    <t>Led T8-1x10W-L600mm-3300K</t>
  </si>
  <si>
    <t>Led Downlight Recessed 15W, 6500K (Bulat)</t>
  </si>
  <si>
    <t>Led Downlight Recessed 12W, 6500K (Bulat)</t>
  </si>
  <si>
    <t>Led Downlight  Recessed 7W, 6500K (Kotak)</t>
  </si>
  <si>
    <t>Wall Lamp 15W, 3000K</t>
  </si>
  <si>
    <t>Lampu Taman LED Bulb 15 watt + tiang galvanis tinggi 1 meter</t>
  </si>
  <si>
    <t>Led Strip 6500K</t>
  </si>
  <si>
    <t>Celling Exhaust Fan 12"</t>
  </si>
  <si>
    <t>Saklar Tunggal + lampu indikator</t>
  </si>
  <si>
    <t>Saklar ganda + lampu indikator</t>
  </si>
  <si>
    <t>Stop kontak dinding, 16A, 1Phase (300mm)</t>
  </si>
  <si>
    <t>Stop kontak dinding, 16A, 1Phase (1500mm)</t>
  </si>
  <si>
    <t>Stop kontak meja, 16A, 1Phase (outbow)</t>
  </si>
  <si>
    <t>Instalasi lampu dengan kabel NYM 2x2,5 mm2 + Conduit High Impact</t>
  </si>
  <si>
    <t>Instalasi Stop Kontak dengan kabel NYM 3x2,5 mm2 + Conduit High Impact</t>
  </si>
  <si>
    <t>PEKERJAAN ELEKTRONIKA</t>
  </si>
  <si>
    <t>Pekerjaan CCTV</t>
  </si>
  <si>
    <t>NVR kap 16  channel, hardisc 1 T</t>
  </si>
  <si>
    <t>Smart TV 43"</t>
  </si>
  <si>
    <t>Power Surge Arester 15 KA</t>
  </si>
  <si>
    <t>Indoor IP Camera PoE</t>
  </si>
  <si>
    <t xml:space="preserve">Instalasi CCTV dg kabel utp CAT 6 </t>
  </si>
  <si>
    <t>Pekerjaaan IP Phone dan Wifi</t>
  </si>
  <si>
    <t>Cabinet Rack w/ACC (Cctv, IP Phone, Wifi)</t>
  </si>
  <si>
    <t>Power Outlet 12 port</t>
  </si>
  <si>
    <t>Internet provider by indihome, Biznet, MNC play dll, 100 mbps + Router PoE</t>
  </si>
  <si>
    <t>Langganan telepon by telkom</t>
  </si>
  <si>
    <t>Faximili by telkom</t>
  </si>
  <si>
    <r>
      <t xml:space="preserve">IP </t>
    </r>
    <r>
      <rPr>
        <b/>
        <sz val="10"/>
        <rFont val="Arial"/>
        <family val="2"/>
      </rPr>
      <t>PBXact 25</t>
    </r>
    <r>
      <rPr>
        <sz val="10"/>
        <rFont val="Arial"/>
        <family val="2"/>
      </rPr>
      <t>. Konfigurasi ini sistem ini mendukung hingga 25 ekstensi pengguna. Dilengkapi dengan perangkat lunak PBXact yang diinstal dan 25 lisensi pengguna serta mendukung hingga 15 panggilan bersamaan. Termasuk assesories sehingga berfungsi dengan baik.</t>
    </r>
  </si>
  <si>
    <t>Switch core 24 port, distribution 4 SFP</t>
  </si>
  <si>
    <t>Optical terminal box</t>
  </si>
  <si>
    <t>Path panel UTP cat 6 24 port</t>
  </si>
  <si>
    <t>Acces Switch PoE 1x24 port</t>
  </si>
  <si>
    <t>Wirring management data wifi, IP Phone, CCTV  &amp; assesories</t>
  </si>
  <si>
    <t>IP Phone, 2 Ports LAN, POE Support, 100/1000M, 4 Lines, 320x240 2.4 Inch Color Screen</t>
  </si>
  <si>
    <t>Acses point PoE</t>
  </si>
  <si>
    <t>Instalasi Acses point dengan UTP cat-6 dalam conduit</t>
  </si>
  <si>
    <t>PEKERJAAN MEKANIKAL DAN PLAMBING</t>
  </si>
  <si>
    <t>Pekerjaan Air Condisioning (AC)</t>
  </si>
  <si>
    <t>Pengadaan dan  air conditioning (AC)  lengkap dengan bracket, pipa kabel daya, refrigerant berisolasi, pipa kondensat, dan perlengkapannya beserta pengetesan sistem, remote control, cable control, (test commissioning), training dan instalasi.</t>
  </si>
  <si>
    <t>Pekerjaan Pengadaan dan Pemasangan AC type simgle split</t>
  </si>
  <si>
    <t>AC Single split Tipe Wall Mounted  Kap. 5000 BTU/h (0,5PK), termasuk pipa referigerant</t>
  </si>
  <si>
    <t>AC Single split Tipe Wall Mounted  Kap. 9000 BTU/h (1 PK), termasuk pipa referigerant</t>
  </si>
  <si>
    <t>AC Single split Tipe Wall Mounted  Kap. 12.500 BTU/h (1,5 PK), termasuk pipa referigerant</t>
  </si>
  <si>
    <t>AC Single split Tipe Celling Cassetee Kap. 18.000 BTU/h (2 PK), termasuk pipa referigerant</t>
  </si>
  <si>
    <t>Stop kntak AC 1phase, 16A, 3kaki + lampu indikator</t>
  </si>
  <si>
    <t>Instalasi power AC dengan kebel NYM 3x2,5 mm2 dalam conduit HI</t>
  </si>
  <si>
    <t>Pipa drain AC 5/8" + insulation</t>
  </si>
  <si>
    <t>Pipa drain AC 1/2" + insulation</t>
  </si>
  <si>
    <t>Pipa drain AC 1" + insulation</t>
  </si>
  <si>
    <t>Pekerjaan Air Bersih</t>
  </si>
  <si>
    <t>Penyambungan Air PDAM</t>
  </si>
  <si>
    <t>Water tank kap. 5m3, type silinder, bahan FRP</t>
  </si>
  <si>
    <t>Pompa booster automatic pressure control, 0,3 KW, 220/50Hz, head 22m,  kap. 50lt/m+ assesories</t>
  </si>
  <si>
    <t>Gate Valve dia. 1"</t>
  </si>
  <si>
    <t>Check Valve ( CV )dia. 1"</t>
  </si>
  <si>
    <t>Foot Valve dia. 1"</t>
  </si>
  <si>
    <t>Pressure Gauge</t>
  </si>
  <si>
    <t>Pipa dia. 2" ( pipa header )</t>
  </si>
  <si>
    <t>Meteran Air c/w GV dia. 1" &amp; Box Meteran</t>
  </si>
  <si>
    <t xml:space="preserve">Instalasi air bersih </t>
  </si>
  <si>
    <t>Pipa PPR PN 10 Dia Ø 1/2''</t>
  </si>
  <si>
    <t>Pipa PPR PN 10 Dia Ø 3/4''</t>
  </si>
  <si>
    <t>Pipa PPR PN 10 Dia Ø 1''</t>
  </si>
  <si>
    <t>Pipa PPR PN 10 Dia Ø 1,5''</t>
  </si>
  <si>
    <t>Pekerjaan Air Kotor dan air bekas</t>
  </si>
  <si>
    <t>Pengadaan dan Pemasangan  STP/IPAL 3 m3</t>
  </si>
  <si>
    <t>Pengadaan dan Pemasangan  STP/IPAL 1 m3</t>
  </si>
  <si>
    <t>Pengadaan dan Pemasangan Sumur Resapan</t>
  </si>
  <si>
    <t>Bak Kontrol 60cm x 60cm</t>
  </si>
  <si>
    <t>Memasang Pipa PVC AW dia. 4"</t>
  </si>
  <si>
    <t>Memasang Pipa PVC AW dia. 3"</t>
  </si>
  <si>
    <t>Memasang Pipa PVC AW dia. 2"</t>
  </si>
  <si>
    <t>Memasang Pipa PVC AW Ventilasi dia. 1" (vent)</t>
  </si>
  <si>
    <t>Grease trap 15 liter, Stainless steel</t>
  </si>
  <si>
    <t>Memasang FCO 3"</t>
  </si>
  <si>
    <t>Memasang FCO 4"</t>
  </si>
  <si>
    <t>Pekerjaan Air Hujan</t>
  </si>
  <si>
    <t>Roof drain 4"</t>
  </si>
  <si>
    <t>Bak Penampung Air hujan</t>
  </si>
  <si>
    <t>by civil</t>
  </si>
  <si>
    <t>Pompa kuras (Celup) Kapasitas 36 m3/jam, head 15m, 2,2kw 380/50, lengkap dengan panel kontrol dan assesories lainnya</t>
  </si>
  <si>
    <t>Kabel NYY 4x6 mm2 ke panel gas medis</t>
  </si>
  <si>
    <t>Pemipaan dengan PVC AW 4"</t>
  </si>
  <si>
    <t>Pompa siram taman PS-135E, head 30m</t>
  </si>
  <si>
    <r>
      <t xml:space="preserve">Instalasi pipa PPR PN-10 </t>
    </r>
    <r>
      <rPr>
        <sz val="10"/>
        <rFont val="Calibri"/>
        <family val="2"/>
      </rPr>
      <t>Ø</t>
    </r>
    <r>
      <rPr>
        <sz val="8.5"/>
        <rFont val="Arial"/>
        <family val="2"/>
      </rPr>
      <t xml:space="preserve"> 1"</t>
    </r>
  </si>
  <si>
    <r>
      <t xml:space="preserve">Instalasi pipa PPR PN-10 </t>
    </r>
    <r>
      <rPr>
        <sz val="10"/>
        <rFont val="Calibri"/>
        <family val="2"/>
      </rPr>
      <t>Ø</t>
    </r>
    <r>
      <rPr>
        <sz val="8.5"/>
        <rFont val="Arial"/>
        <family val="2"/>
      </rPr>
      <t xml:space="preserve"> 3/4"</t>
    </r>
  </si>
  <si>
    <r>
      <t xml:space="preserve">Instalasi pipa PPR PN-10 </t>
    </r>
    <r>
      <rPr>
        <sz val="10"/>
        <rFont val="Calibri"/>
        <family val="2"/>
      </rPr>
      <t>Ø</t>
    </r>
    <r>
      <rPr>
        <sz val="8.5"/>
        <rFont val="Arial"/>
        <family val="2"/>
      </rPr>
      <t xml:space="preserve"> 1/2"</t>
    </r>
  </si>
  <si>
    <t>Sprinkler taman 1/2"</t>
  </si>
  <si>
    <t>Pekerjaan Gas medis</t>
  </si>
  <si>
    <t>Pekerjaan sudah termasuk fitting dan assesories yang diperlukan, tescomisioning, mob demob tenaga dan material, perijinan dll sehingga berfungsi dengan baik sesuai standart</t>
  </si>
  <si>
    <t>Sentral mesin compresor air</t>
  </si>
  <si>
    <t>Mesin compress Air, type mesin compress air oil free, daya 5,5kw, daya 0,75kw, Receiver tank Kap. Minimal 1000 liter + uji bejana tekan dari kemenaker, panel control auto manual, Air dryer Duplex, Air regulator Duplex, Pre filter, after filter, Carbon filter Duplex</t>
  </si>
  <si>
    <t>Sentral mesin Vacum</t>
  </si>
  <si>
    <t>Central mesin vacum, jenis mesin vacum, daya 0,55kw, Receiver tank kap. Minimal 300 liter + uji bejana tekan dari kemenaker, Vacum filter duplex, ball valve 1 inch, selang vacum, canal UNP, besi siku kabel nyy 4x2,5 mm2 dan assesories lainya.</t>
  </si>
  <si>
    <t>Sentral tabung 4x2 (O2)</t>
  </si>
  <si>
    <t>Insalasi Gas medis</t>
  </si>
  <si>
    <t>Pipa tembaga ASTM B819 dia. 1/2 inch</t>
  </si>
  <si>
    <t>Pipa tembaga ASTM B819 dia. 5/8 inch</t>
  </si>
  <si>
    <t>Wall Outlet O2</t>
  </si>
  <si>
    <t>Wall outlet air compr.</t>
  </si>
  <si>
    <t>Wall outlet air compr. + box</t>
  </si>
  <si>
    <t>Wall Outle Vacum</t>
  </si>
  <si>
    <t>Bedhead</t>
  </si>
  <si>
    <t>Zone valve 3 gas (O,A,V)</t>
  </si>
  <si>
    <t>Alarm 3 gas (O,A,V)</t>
  </si>
  <si>
    <t>Ball Valave + SDL</t>
  </si>
  <si>
    <t>Total Pekerjaan ME</t>
  </si>
  <si>
    <t>ANALISA HARGA SATUAN PENERANGAN</t>
  </si>
  <si>
    <t>VA</t>
  </si>
  <si>
    <t>Biaya penyambungan daya PLN</t>
  </si>
  <si>
    <t xml:space="preserve">URAIAN </t>
  </si>
  <si>
    <t>SAT.</t>
  </si>
  <si>
    <t>KOEFISIEN</t>
  </si>
  <si>
    <t>KODE</t>
  </si>
  <si>
    <t>( Rp )</t>
  </si>
  <si>
    <t xml:space="preserve">PASANG BARU  </t>
  </si>
  <si>
    <t>Penyambungan Baru  Daya 82.500 VA</t>
  </si>
  <si>
    <t xml:space="preserve"> -  Biaya Penyambungan</t>
  </si>
  <si>
    <t xml:space="preserve"> - Jaminan Langganan (UJL)</t>
  </si>
  <si>
    <t xml:space="preserve"> - Meterai</t>
  </si>
  <si>
    <t xml:space="preserve">Jumlah </t>
  </si>
  <si>
    <t>Overhead &amp; Profit 15%</t>
  </si>
  <si>
    <t>dihit.</t>
  </si>
  <si>
    <t>Saklar Tunggal dengan lampu indikator</t>
  </si>
  <si>
    <t xml:space="preserve">Pekerja </t>
  </si>
  <si>
    <t>L.01</t>
  </si>
  <si>
    <t xml:space="preserve">OH </t>
  </si>
  <si>
    <t>Tukang listrik</t>
  </si>
  <si>
    <t>L.02</t>
  </si>
  <si>
    <t>L.03</t>
  </si>
  <si>
    <t xml:space="preserve">Mandor </t>
  </si>
  <si>
    <t xml:space="preserve">L.04 </t>
  </si>
  <si>
    <t>inbow dus</t>
  </si>
  <si>
    <t xml:space="preserve">Saklar Tunggal </t>
  </si>
  <si>
    <t>M.482.c</t>
  </si>
  <si>
    <t>Saklar Ganda dengan lampu indikator</t>
  </si>
  <si>
    <t>M.483.c</t>
  </si>
  <si>
    <t xml:space="preserve">Saklar Triple </t>
  </si>
  <si>
    <t>M.476.b</t>
  </si>
  <si>
    <t>Saklar Triple</t>
  </si>
  <si>
    <t>Saklar Tunggal tukar dengan lampu indikator</t>
  </si>
  <si>
    <t xml:space="preserve">Saklar Tunggal tukar </t>
  </si>
  <si>
    <t>Stop Kontak umum 16A, 1 Phase</t>
  </si>
  <si>
    <t xml:space="preserve">Stop Kontak </t>
  </si>
  <si>
    <t>M.485.c</t>
  </si>
  <si>
    <t>dihit.3</t>
  </si>
  <si>
    <t>Stop Kontak AC, 16A, 1Phase, 3 kaki + lampu indikator</t>
  </si>
  <si>
    <t>Stop Kontak AC</t>
  </si>
  <si>
    <t>dihit</t>
  </si>
  <si>
    <t>instalasi stop kontak dengan kabel NYM 3x2,5 mm2 dalam konduit</t>
  </si>
  <si>
    <t>M.475</t>
  </si>
  <si>
    <t>Kabel NYM 3 x 2.5 mm²</t>
  </si>
  <si>
    <t>M.504.a</t>
  </si>
  <si>
    <t>T Dus (biasa)</t>
  </si>
  <si>
    <t>M.479</t>
  </si>
  <si>
    <t>M.480</t>
  </si>
  <si>
    <t>Instalasi  Penerangan dengan kabel NYM 2x2,5 mm2 dalam konduit</t>
  </si>
  <si>
    <t>Kabel NYM 2x2.5 mm²</t>
  </si>
  <si>
    <t>Pipa Conduit PVC dia. 20 mm²</t>
  </si>
  <si>
    <t>isolati</t>
  </si>
  <si>
    <t xml:space="preserve">Jumlah Harga tenaga, Bahan dan Peralatan </t>
  </si>
  <si>
    <t>Overhead + Profit</t>
  </si>
  <si>
    <t>Harga Satuan Pekerjaan  (D+E)</t>
  </si>
  <si>
    <t>Instalasi  Penerangan dengan kabel NYY 3x2,5 mm2 dalam konduit (instalasi outdoor)</t>
  </si>
  <si>
    <t>titik instalasi penerangan luar</t>
  </si>
  <si>
    <t>Kabel NYY 3x2.5 mm²</t>
  </si>
  <si>
    <t>Galain tanah</t>
  </si>
  <si>
    <t xml:space="preserve"> Tenaga Kerja</t>
  </si>
  <si>
    <t>Tukang Listrik</t>
  </si>
  <si>
    <t>Jumlah Harga Tenaga Kerja</t>
  </si>
  <si>
    <t>Bahan</t>
  </si>
  <si>
    <t>Panel lengkap busbar, kabel kontrol dan assesories</t>
  </si>
  <si>
    <t>MCCB 80 A/ 18 KA / 4 P</t>
  </si>
  <si>
    <t xml:space="preserve">MCCB 50A/ 10 KA </t>
  </si>
  <si>
    <t xml:space="preserve">MCCB 35A/ 10 KA </t>
  </si>
  <si>
    <t xml:space="preserve">MCCB 25A/ 10 KA </t>
  </si>
  <si>
    <t>MCB 10 A/18 KA/3P</t>
  </si>
  <si>
    <t>MCB 10 A/6 KA/1P</t>
  </si>
  <si>
    <t>Digital power meter</t>
  </si>
  <si>
    <t>Surge Arrester 3P+N 25kA</t>
  </si>
  <si>
    <t>Pilot Lamp + Fuse</t>
  </si>
  <si>
    <t>Wirring dan assesories</t>
  </si>
  <si>
    <t>Jumlah Harga Bahan</t>
  </si>
  <si>
    <t>Automatic Transfer Switch Modul Deepsea</t>
  </si>
  <si>
    <t>Jumlah Harga Peralatan</t>
  </si>
  <si>
    <t xml:space="preserve">Jumlah Harga tenaga, Bahan dan Peralatan ( A + B + C ) </t>
  </si>
  <si>
    <t>Overhead + Profit 10%</t>
  </si>
  <si>
    <t xml:space="preserve">Panel lampu dan stop kontak </t>
  </si>
  <si>
    <t>Panel 600x400x250 lengkap busbar, kabel kontrol dan assesories</t>
  </si>
  <si>
    <t>MCCB 25 A / 10 KA / 3P</t>
  </si>
  <si>
    <t>MCB 6 A/6 KA/1P</t>
  </si>
  <si>
    <t>wirring dan assesories</t>
  </si>
  <si>
    <t>MCCB 50 A / 18 KA / 3P</t>
  </si>
  <si>
    <t>Panel Gas Medis</t>
  </si>
  <si>
    <t>Panel 750x500x250 lengkap busbar, kabel kontrol dan assesories</t>
  </si>
  <si>
    <t>MCCB 35 A / 10 KA / 3P</t>
  </si>
  <si>
    <t>MCCB 10 A / 10 KA / 3P</t>
  </si>
  <si>
    <t>MCCB 6 A / 10 KA / 3P</t>
  </si>
  <si>
    <t>MCB 10 A / 10 KA / 1P</t>
  </si>
  <si>
    <t>MCB 16 A/6 KA/1P</t>
  </si>
  <si>
    <t>Kontaktor</t>
  </si>
  <si>
    <t>Pemasangan Kabel NYFGbY 4cx50 mm² + Conduit hdpe 2"</t>
  </si>
  <si>
    <t xml:space="preserve">  Upah Tenaga Kerja</t>
  </si>
  <si>
    <t>L.04</t>
  </si>
  <si>
    <t>Kabel NYFGbY 4cx50 mm²</t>
  </si>
  <si>
    <r>
      <t xml:space="preserve">Pipa hdpe </t>
    </r>
    <r>
      <rPr>
        <sz val="10"/>
        <rFont val="Calibri"/>
        <family val="2"/>
      </rPr>
      <t>Ø</t>
    </r>
    <r>
      <rPr>
        <sz val="10"/>
        <rFont val="Arial"/>
        <family val="2"/>
      </rPr>
      <t>2"</t>
    </r>
  </si>
  <si>
    <t>Galian sedalam 60cm + urugan kembali</t>
  </si>
  <si>
    <t>Pemasangan Kabel NYY 4cx35 mm² + Conduit hdpe 2"</t>
  </si>
  <si>
    <t>Kabel NYFGbY 4cx25 mm²</t>
  </si>
  <si>
    <t>Pemasangan Kabel NYY 4cx25 mm²</t>
  </si>
  <si>
    <t>Kabel NYY 4x4 mm² + BC 4 mm²</t>
  </si>
  <si>
    <t>Kabel NYY 4x4 mm²</t>
  </si>
  <si>
    <t>Kabel BC 4 mm²</t>
  </si>
  <si>
    <t>Pemasangan Kabel NYY 4x6 mm² + BC 6 mm²</t>
  </si>
  <si>
    <t>Kabel NYY 4x6 mm²</t>
  </si>
  <si>
    <t>Kabel BC 6 mm²</t>
  </si>
  <si>
    <t>Pemasangan Kabel NYY 4x10 mm² + BC 10 mm²</t>
  </si>
  <si>
    <t>Kabel NYY 4x10 mm²</t>
  </si>
  <si>
    <t>Kabel BC 10 mm²</t>
  </si>
  <si>
    <t>Pemasangan Kabel NYY 4x16 mm² + BC 16 mm²</t>
  </si>
  <si>
    <t>Kabel NYY 4x16 mm²</t>
  </si>
  <si>
    <t>Kabel BC 16 mm²</t>
  </si>
  <si>
    <t>Kabel BC 16 mm2</t>
  </si>
  <si>
    <t>Pemasangan kabel tray ukuran 300 x 100</t>
  </si>
  <si>
    <t>kabel tray ukuran 300 x 100</t>
  </si>
  <si>
    <t>Suport, penggantung dan accesories</t>
  </si>
  <si>
    <t>Pemasangan AC split wall mounted kap. 5000 btuh</t>
  </si>
  <si>
    <t>AC split 5,000 btuh</t>
  </si>
  <si>
    <t>Pipa referigerant</t>
  </si>
  <si>
    <t>Suport, penggantung dan accesories lainnya</t>
  </si>
  <si>
    <t>Pemasangan AC split wall mounted kap. 9.000 btuh</t>
  </si>
  <si>
    <t>AC split 9,000 btuh</t>
  </si>
  <si>
    <t>Pemasangan AC split wall mounted kap. 12.500 btuh</t>
  </si>
  <si>
    <t>AC split 12,500 btuh</t>
  </si>
  <si>
    <t>Pemasangan AC split Celling Cassette kap. 18.000 btuh</t>
  </si>
  <si>
    <t>AC split 18,000 btuh</t>
  </si>
  <si>
    <t>Pemasangan kabel tray ukuran 200 x 100</t>
  </si>
  <si>
    <t>kabel tray ukuran 200 x 100</t>
  </si>
  <si>
    <t>Pemasangan kabel ladder ukuran 300 x 100</t>
  </si>
  <si>
    <t>kabel ladder ukuran 300 x 100</t>
  </si>
  <si>
    <t>Genset 60 kVA</t>
  </si>
  <si>
    <t>No.</t>
  </si>
  <si>
    <t>Macam Pekerjaan</t>
  </si>
  <si>
    <t>Material</t>
  </si>
  <si>
    <t>(Rp)</t>
  </si>
  <si>
    <t>(1)</t>
  </si>
  <si>
    <t>(2)</t>
  </si>
  <si>
    <t>(3)</t>
  </si>
  <si>
    <t>(4)</t>
  </si>
  <si>
    <t>(5)</t>
  </si>
  <si>
    <t>empiris</t>
  </si>
  <si>
    <t>Pengadaan Genset 100 kVA, 3 phase, 380/220 V, 50 Hz, Silent Type</t>
  </si>
  <si>
    <t>Pengadaan Genset 60 KVA , 3 Phase, 380/220 V, 50 Hz lengkap</t>
  </si>
  <si>
    <t>- tangki cadangan 500 liter</t>
  </si>
  <si>
    <t>- Instalasi Knalpot</t>
  </si>
  <si>
    <t>- Loading &amp; Leveling Genset</t>
  </si>
  <si>
    <t>- Handpump Solar</t>
  </si>
  <si>
    <t>- Instalasi Pipa bahan bakar</t>
  </si>
  <si>
    <t>- Instalasi kabel daya dan kontrol</t>
  </si>
  <si>
    <t>- Testing Co mm²isioning</t>
  </si>
  <si>
    <t>- Perijinan pengoperasian Genset</t>
  </si>
  <si>
    <t>Upah Tenaga</t>
  </si>
  <si>
    <t>Jumlah (Belum PPN)</t>
  </si>
  <si>
    <t xml:space="preserve">Grounding panel </t>
  </si>
  <si>
    <t>Cu Bar 10 mm² X 100 mm² x 10 Cm</t>
  </si>
  <si>
    <t>Spit Tembaga (copper clad rod 5/8" ).</t>
  </si>
  <si>
    <t>Bak Kontrol + Tutup (40 x 40 x 40 Cm)</t>
  </si>
  <si>
    <t>Material bantu</t>
  </si>
  <si>
    <t>Alat bantu</t>
  </si>
  <si>
    <t>ANALISA HARGA SATUAN PLUMBING</t>
  </si>
  <si>
    <t>Pemasangan 1 set swage treatment plan (STP) fiberglas kap 1 m3</t>
  </si>
  <si>
    <t xml:space="preserve">L.03 </t>
  </si>
  <si>
    <t>STP kap. 1 m3 + material bantu/aksesories</t>
  </si>
  <si>
    <t>Jasa instalasi dan pengiriman</t>
  </si>
  <si>
    <t>Pemasangan 1 set swage treatment plan (STP) fiberglas kap 3 m3</t>
  </si>
  <si>
    <t>STP kap. 3 m3 + material bantu/aksesories</t>
  </si>
  <si>
    <t>Overhead &amp; Profit 5%</t>
  </si>
  <si>
    <t>Pipa PVC tipe AW Ø 1/2" (15 mm²) dan aksesories</t>
  </si>
  <si>
    <t>Pipa PVC tipe AW Ø 3/4" (20 mm²) dan aksesories</t>
  </si>
  <si>
    <t>Pipa PVC tipe AW Ø 1" (25 mm²) dan aksesories</t>
  </si>
  <si>
    <t>Pipa PVC tipe AW Ø 2" (50 mm²) dan aksesories</t>
  </si>
  <si>
    <t>Pipa PVC tipe AW Ø 3" (80 mm²) dan aksesories</t>
  </si>
  <si>
    <t>Pipa PVC tipe AW Ø 4" (100 mm²) dan aksesories</t>
  </si>
  <si>
    <t>XIV.31a.</t>
  </si>
  <si>
    <t>Pemasangan 1 m’ pipa PVC tipe AW diameter 6”</t>
  </si>
  <si>
    <t>XIV.66.</t>
  </si>
  <si>
    <t>Pemasangan 1 m’ pipa PPR PN-10 diameter 1/2”</t>
  </si>
  <si>
    <t>Pipa PPR PN-10 Ø 1/2" dan aksesories</t>
  </si>
  <si>
    <t>M.80</t>
  </si>
  <si>
    <t>XIV.67.</t>
  </si>
  <si>
    <t>Pemasangan 1 m’ pipa PPR PN-10 diameter 3/4”</t>
  </si>
  <si>
    <t>Pipa PPR PN-10 Ø 3/4"  dan aksesories</t>
  </si>
  <si>
    <t>XIV.68.</t>
  </si>
  <si>
    <t>Pemasangan 1 m’ pipa PPR PN-10 diameter 1”</t>
  </si>
  <si>
    <t>Pipa PPR PN-10 Ø 1"  dan aksesories</t>
  </si>
  <si>
    <t>XIV.69.</t>
  </si>
  <si>
    <t>Pemasangan 1 m’ pipa PPR PN-10 diameter 1 1/2”</t>
  </si>
  <si>
    <t>Pipa PPR PN-10 Ø 1,5"  dan aksesories</t>
  </si>
  <si>
    <t>XIV.70.</t>
  </si>
  <si>
    <t>Pemasangan 1 m’ pipa PPR PN-10 diameter 2”</t>
  </si>
  <si>
    <t>Pipa PPR PN-10 Ø 2"  dan aksesories</t>
  </si>
  <si>
    <t>XIV.71.</t>
  </si>
  <si>
    <t>Pemasangan 1 m’ pipa PPR PN-10 diameter 2 1/2”</t>
  </si>
  <si>
    <t>Pipa PPR PN-10 Ø 2 1/2"  dan aksesories</t>
  </si>
  <si>
    <t>PPT1</t>
  </si>
  <si>
    <t>Pemasangan 1 m’ pipa tembaga B280 Dia. 6,4 mm² (1/4")</t>
  </si>
  <si>
    <t>pipa tembaga B280 Dia. 6,4 mm² (1/4") dan aksesories</t>
  </si>
  <si>
    <t>insulasi</t>
  </si>
  <si>
    <t>PPT2</t>
  </si>
  <si>
    <t>Pemasangan 1 m’ pipa tembaga B280 Dia. 9,5 mm² (3/8")</t>
  </si>
  <si>
    <t>pipa tembaga B280 Dia. 9,5 mm² (3/8") dan aksesories</t>
  </si>
  <si>
    <t>PPT3</t>
  </si>
  <si>
    <t>Pemasangan 1 m’ pipa tembaga B280 Dia. 12,7 mm² (1/2")</t>
  </si>
  <si>
    <t>pipa tembaga B280 Dia. 12,7 mm² (1/2") dan aksesories</t>
  </si>
  <si>
    <t>PPT4</t>
  </si>
  <si>
    <t>Pemasangan 1 m’ pipa tembaga B280 Dia. 15,9 mm² (5/8")</t>
  </si>
  <si>
    <t>pipa tembaga B280 Dia. 15,9 mm² (5/8") dan aksesories</t>
  </si>
  <si>
    <t>PPT5</t>
  </si>
  <si>
    <t>Pemasangan 1 m’ pipa tembaga B280 Dia. 19,1 mm² (3/4")</t>
  </si>
  <si>
    <t>pipa tembaga B280 Dia. 19,1 mm² (3/4") dan aksesories</t>
  </si>
  <si>
    <t>PPT6</t>
  </si>
  <si>
    <t>Pemasangan 1 m’ pipa tembaga B280 Dia. 22,2 mm² (7/8")</t>
  </si>
  <si>
    <t>pipa tembaga B280 Dia. 22,2 mm² (7/8") dan aksesories</t>
  </si>
  <si>
    <t>PPT7</t>
  </si>
  <si>
    <t>Pemasangan 1 m’ pipa tembaga B280 Dia. 25,4 mm² (1")</t>
  </si>
  <si>
    <t>pipa tembaga B280 Dia. 25,4 mm² (1") dan aksesories</t>
  </si>
  <si>
    <t>PPT8</t>
  </si>
  <si>
    <t>Pemasangan 1 m’ pipa tembaga B280 Dia. 28,6 mm² (1 1/8")</t>
  </si>
  <si>
    <t>pipa tembaga B280 Dia. 28,6 mm² (1 1/8") dan aksesories</t>
  </si>
  <si>
    <t>PPT9</t>
  </si>
  <si>
    <t>Pemasangan 1 m’ pipa tembaga B280 Dia. 34,9 mm² (1 3/8")</t>
  </si>
  <si>
    <t>pipa tembaga B280 Dia. 34,9 mm² (1 3/8") dan aksesories</t>
  </si>
  <si>
    <t>PPT10</t>
  </si>
  <si>
    <t>Pemasangan 1 m’ pipa tembaga B280 Dia. 41,3 mm² (1 5/8")</t>
  </si>
  <si>
    <t>pipa tembaga B280 Dia. 41,3 mm² (1 5/8") dan aksesories</t>
  </si>
  <si>
    <t>PPT12</t>
  </si>
  <si>
    <t xml:space="preserve">Kepala Tukang </t>
  </si>
  <si>
    <t>Bata merah 5 x 11 x 22 cm</t>
  </si>
  <si>
    <t>M.218.a</t>
  </si>
  <si>
    <t>Portland cement</t>
  </si>
  <si>
    <t>M.245.a</t>
  </si>
  <si>
    <t>Pasir Beton (muntilan)</t>
  </si>
  <si>
    <t>M.9.a</t>
  </si>
  <si>
    <t>M.11.b</t>
  </si>
  <si>
    <t>Baja tulangan polos U-24</t>
  </si>
  <si>
    <t>M.46.a</t>
  </si>
  <si>
    <t>HARGA SATUAN CCTV</t>
  </si>
  <si>
    <t>Hit. CCTV 1</t>
  </si>
  <si>
    <t>Pekerjaan Power Surge Arester 15 KA</t>
  </si>
  <si>
    <t>Hit. CCTV 2</t>
  </si>
  <si>
    <t>Instalasi CCTV dg kabel utp Cat6  dlm pipa conduit PVC dia. 20 mm²</t>
  </si>
  <si>
    <t>Instalasi CCTV dg kabel CAT 6 + Power dlm pipa conduit PVC dia. 20 mm²</t>
  </si>
  <si>
    <t>Kabel RG  59 + Power</t>
  </si>
  <si>
    <t>Material bantu T dos,klem,dll</t>
  </si>
  <si>
    <t>Hit. CCTV 3</t>
  </si>
  <si>
    <t>In door Camera CCTV IR type Fixed PoE</t>
  </si>
  <si>
    <t xml:space="preserve">In door Camera CCTV IR type Fixed </t>
  </si>
  <si>
    <t xml:space="preserve">Indoor  Camera CCTV IR type Fixed </t>
  </si>
  <si>
    <t>Power adaptor + Bracket</t>
  </si>
  <si>
    <t>include</t>
  </si>
  <si>
    <t>Hit. CCTV 4</t>
  </si>
  <si>
    <t>IP PTZ Camera PoE</t>
  </si>
  <si>
    <t>Hit. CCTV 5</t>
  </si>
  <si>
    <t>IP bullet camera PoE</t>
  </si>
  <si>
    <t>Hit. CCTV 6</t>
  </si>
  <si>
    <t>smart  tv 43"</t>
  </si>
  <si>
    <t>Hit. CCTV 7</t>
  </si>
  <si>
    <t>NVR kap 16 channel, hardisc 1 T</t>
  </si>
  <si>
    <t>NVR kap 16 channel</t>
  </si>
  <si>
    <t>Hardisk 1 T</t>
  </si>
  <si>
    <t>HARGA BAHAN</t>
  </si>
  <si>
    <t xml:space="preserve"> JENIS URAIAN</t>
  </si>
  <si>
    <t>HARGA SATUAN</t>
  </si>
  <si>
    <t>KET.</t>
  </si>
  <si>
    <t>MATERIAL PIPA</t>
  </si>
  <si>
    <t>Pipa PVC tipe AW Ø 1/2" panjang 4 m</t>
  </si>
  <si>
    <t>survei</t>
  </si>
  <si>
    <t>Pipa PVC tipe AW Ø 3/4" panjang 4 m</t>
  </si>
  <si>
    <t>Pipa PVC tipe AW Ø 1" panjang 4 m</t>
  </si>
  <si>
    <t>Pipa PVC tipe AW Ø 2" panjang 4 m</t>
  </si>
  <si>
    <t>Pipa PVC tipe AW Ø 3" panjang 4 m</t>
  </si>
  <si>
    <t>Pipa PVC tipe AW Ø 4" panjang 4 m</t>
  </si>
  <si>
    <t>Pipa PVC tipe AW Ø 6" panjang 4 m</t>
  </si>
  <si>
    <t>Pipa PVC tipe AW Ø 8" panjang 4 m</t>
  </si>
  <si>
    <t>Pipa PVC tipe AW Ø 10" panjang 4 m</t>
  </si>
  <si>
    <t>Pipa PPR PN 10 Ø 1/2" panjang 4 m</t>
  </si>
  <si>
    <t>Pipa PPR PN 10 Ø 3/4" panjang 4 m</t>
  </si>
  <si>
    <t>Pipa PPR PN 10 Ø 1" panjang 4 m</t>
  </si>
  <si>
    <t>Pipa PPR PN 10 Ø1 1/2" panjang 4 m</t>
  </si>
  <si>
    <t>Pipa PPR PN 10 Ø 2" panjang 4 m</t>
  </si>
  <si>
    <t>Pipa PPR PN 10 Ø 2 1/2" panjang 4 m</t>
  </si>
  <si>
    <t>MATERIAL LISTRIK</t>
  </si>
  <si>
    <t>Saklar Tunggal tukar</t>
  </si>
  <si>
    <t>Stop Kontak umum</t>
  </si>
  <si>
    <t>Stop Kontak AC, 3kaki</t>
  </si>
  <si>
    <t>Amperemeter</t>
  </si>
  <si>
    <t>Voltmeter</t>
  </si>
  <si>
    <t>Pilot Lamp</t>
  </si>
  <si>
    <t>Conduit high impact 20   mm²</t>
  </si>
  <si>
    <t>Kabel NYM 2x2,5   mm²</t>
  </si>
  <si>
    <t>Kabel NYM 3x1,5   mm²</t>
  </si>
  <si>
    <t>Kabel NYM 3x2,5   mm²</t>
  </si>
  <si>
    <t>Kabel NYY 3x4   mm²</t>
  </si>
  <si>
    <t>Kabel NYY 4x4   mm²</t>
  </si>
  <si>
    <t>Kabel NYY 4x6   mm²</t>
  </si>
  <si>
    <t>Kabel NYY 4x10   mm²</t>
  </si>
  <si>
    <t>Kabel NYY 4x16   mm²</t>
  </si>
  <si>
    <t>Kabel NYY 4x25   mm²</t>
  </si>
  <si>
    <t>Kabel BC 16  mm²</t>
  </si>
  <si>
    <t>Kabel BC 10  mm²</t>
  </si>
  <si>
    <t>Kabel BC 6  mm²</t>
  </si>
  <si>
    <t>Kabel BC 4  mm²</t>
  </si>
  <si>
    <t>Lampu led slim 40 W, 4000 lm, 6500 K</t>
  </si>
  <si>
    <t>Lampu LED- T8, 1x20W-1200mm - 6500K - 1900lm</t>
  </si>
  <si>
    <t>Lampu led, T8-1x10W-L600mm-3300K</t>
  </si>
  <si>
    <t>Led DOWNLIGHT RECESSED  15W, 6500K</t>
  </si>
  <si>
    <t>Led DOWNLIGHT RECESSED  12W, 6500K</t>
  </si>
  <si>
    <t>Led DOWNLIGHT RECESSED  7W, 6500K</t>
  </si>
  <si>
    <t>Led strip 6500K</t>
  </si>
  <si>
    <t>Lampu taman led bulb 15 watt + tiang galvanis 1 meter</t>
  </si>
  <si>
    <t>Wall Lamp Up Down Led 15W, 6500K</t>
  </si>
  <si>
    <t>Celling exhaust fan 100 cfm</t>
  </si>
  <si>
    <t xml:space="preserve">Kabel tray uk 300 mm² x 100 mm² </t>
  </si>
  <si>
    <t xml:space="preserve">Kabel tray uk 200 mm² x 100 mm² </t>
  </si>
  <si>
    <t>Kabel ladder uk 300 mm² x 100 mm²</t>
  </si>
  <si>
    <t>CCTV</t>
  </si>
  <si>
    <t>NVR kap 24  channel, hardisc 1 T</t>
  </si>
  <si>
    <t>Smart TV 56"</t>
  </si>
  <si>
    <t>IP Bullet Camera PoE</t>
  </si>
  <si>
    <t>Kabel UTP cat - 6</t>
  </si>
  <si>
    <t>IP Phone</t>
  </si>
  <si>
    <t>Cabinet Rack w/ACC (Tata Suara, Cctv, IP Phone, Wifi)</t>
  </si>
  <si>
    <t>IP PBXact 25</t>
  </si>
  <si>
    <t>Path panel UTP cat 6 48 port</t>
  </si>
  <si>
    <t>Acces Switch PoE 1x48 port</t>
  </si>
  <si>
    <t>Acces Switch non PoE 1x48 port</t>
  </si>
  <si>
    <t>: MASJID IQTIQLAL JAKARTA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</si>
</sst>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1" formatCode="_-* #,##0_-;\-* #,##0_-;_-* &quot;-&quot;_-;_-@_-"/>
    <numFmt numFmtId="43" formatCode="_-* #,##0.00_-;\-* #,##0.00_-;_-* &quot;-&quot;??_-;_-@_-"/>
    <numFmt numFmtId="164" formatCode="_(* #,##0_);_(* \(#,##0\);_(* &quot;-&quot;_);_(@_)"/>
    <numFmt numFmtId="165" formatCode="_(* #,##0.00_);_(* \(#,##0.00\);_(* &quot;-&quot;??_);_(@_)"/>
    <numFmt numFmtId="166" formatCode="_(* #,##0.00_);_(* \(#,##0.00\);_(* &quot;-&quot;????_);_(@_)"/>
    <numFmt numFmtId="167" formatCode="0.0000"/>
    <numFmt numFmtId="168" formatCode="#.##0"/>
    <numFmt numFmtId="169" formatCode="0.000"/>
    <numFmt numFmtId="170" formatCode="_ * #,##0.0000_ ;_ * \-#,##0.0000_ ;_ * &quot;-&quot;????_ ;_ @_ "/>
    <numFmt numFmtId="171" formatCode="_(* #,##0.000_);_(* \(#,##0.000\);_(* &quot;-&quot;_);_(@_)"/>
    <numFmt numFmtId="172" formatCode="_(* #,##0.0000_);_(* \(#,##0.0000\);_(* &quot;-&quot;_);_(@_)"/>
    <numFmt numFmtId="173" formatCode="_(* #,##0.00_);_(* \(#,##0.00\);_(* &quot;-&quot;_);_(@_)"/>
    <numFmt numFmtId="174" formatCode="0.00_)"/>
    <numFmt numFmtId="175" formatCode="0_)"/>
    <numFmt numFmtId="176" formatCode="0.0%"/>
    <numFmt numFmtId="177" formatCode="_-* #,##0.000_-;\-* #,##0.000_-;_-* &quot;-&quot;??_-;_-@_-"/>
    <numFmt numFmtId="178" formatCode="_(* #,##0.0000_);_(* \(#,##0.0000\);_(* &quot;-&quot;??_);_(@_)"/>
    <numFmt numFmtId="179" formatCode="_(* #,##0.00_);_(* \(#,##0.00\);_(* &quot;-&quot;???_);_(@_)"/>
    <numFmt numFmtId="180" formatCode="_([$Rp-421]* #,##0.00_);_([$Rp-421]* \(#,##0.00\);_([$Rp-421]* &quot;-&quot;??_);_(@_)"/>
    <numFmt numFmtId="181" formatCode="_(&quot;Rp&quot;* #,##0.00_);_(&quot;Rp&quot;* \(#,##0.00\);_(&quot;Rp&quot;* &quot;-&quot;??_);_(@_)"/>
    <numFmt numFmtId="182" formatCode="_(&quot;$&quot;* #,##0.00_);_(&quot;$&quot;* \(#,##0.00\);_(&quot;$&quot;* &quot;-&quot;??_);_(@_)"/>
  </numFmts>
  <fonts count="119">
    <font>
      <sz val="11"/>
      <color theme="1"/>
      <name val="Calibri"/>
      <family val="2"/>
      <charset val="1"/>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rgb="FF000000"/>
      <name val="Arial"/>
      <family val="2"/>
    </font>
    <font>
      <sz val="11"/>
      <color theme="1"/>
      <name val="Calibri"/>
      <family val="2"/>
      <charset val="1"/>
      <scheme val="minor"/>
    </font>
    <font>
      <sz val="10"/>
      <color rgb="FF000000"/>
      <name val="Arial"/>
      <family val="2"/>
    </font>
    <font>
      <i/>
      <sz val="10"/>
      <color rgb="FF000000"/>
      <name val="Arial"/>
      <family val="2"/>
    </font>
    <font>
      <sz val="10"/>
      <name val="Arial"/>
      <family val="2"/>
    </font>
    <font>
      <sz val="10"/>
      <color theme="1"/>
      <name val="Arial Narrow"/>
      <family val="2"/>
    </font>
    <font>
      <sz val="10"/>
      <name val="Arial Narrow"/>
      <family val="2"/>
    </font>
    <font>
      <b/>
      <sz val="10"/>
      <name val="Arial"/>
      <family val="2"/>
    </font>
    <font>
      <sz val="10"/>
      <color theme="1"/>
      <name val="Arial"/>
      <family val="2"/>
    </font>
    <font>
      <i/>
      <vertAlign val="superscript"/>
      <sz val="10"/>
      <color rgb="FF000000"/>
      <name val="Arial"/>
      <family val="2"/>
    </font>
    <font>
      <vertAlign val="superscript"/>
      <sz val="10"/>
      <color rgb="FF000000"/>
      <name val="Arial"/>
      <family val="2"/>
    </font>
    <font>
      <b/>
      <sz val="10"/>
      <color theme="1"/>
      <name val="Arial"/>
      <family val="2"/>
    </font>
    <font>
      <sz val="10"/>
      <color rgb="FFFF0000"/>
      <name val="Arial"/>
      <family val="2"/>
    </font>
    <font>
      <sz val="12"/>
      <name val="Arial"/>
      <family val="2"/>
    </font>
    <font>
      <b/>
      <u/>
      <sz val="12"/>
      <name val="Calibri"/>
      <family val="2"/>
      <scheme val="minor"/>
    </font>
    <font>
      <sz val="12"/>
      <name val="Calibri"/>
      <family val="2"/>
      <scheme val="minor"/>
    </font>
    <font>
      <b/>
      <u/>
      <sz val="14"/>
      <name val="Calibri"/>
      <family val="2"/>
      <scheme val="minor"/>
    </font>
    <font>
      <i/>
      <sz val="12"/>
      <name val="Calibri"/>
      <family val="2"/>
      <scheme val="minor"/>
    </font>
    <font>
      <b/>
      <sz val="12"/>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1"/>
      <color indexed="12"/>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1"/>
      <color theme="1"/>
      <name val="Calibri"/>
      <family val="2"/>
      <scheme val="minor"/>
    </font>
    <font>
      <sz val="12"/>
      <name val="Arial"/>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color theme="1"/>
      <name val="Calibri"/>
      <family val="2"/>
      <scheme val="minor"/>
    </font>
    <font>
      <b/>
      <sz val="14"/>
      <color theme="1"/>
      <name val="Calibri"/>
      <family val="2"/>
      <scheme val="minor"/>
    </font>
    <font>
      <b/>
      <sz val="16"/>
      <color theme="1"/>
      <name val="Calibri"/>
      <family val="2"/>
      <scheme val="minor"/>
    </font>
    <font>
      <b/>
      <u/>
      <sz val="11"/>
      <color theme="1"/>
      <name val="Calibri"/>
      <family val="2"/>
      <scheme val="minor"/>
    </font>
    <font>
      <b/>
      <sz val="12"/>
      <color theme="1"/>
      <name val="Arial"/>
      <family val="2"/>
    </font>
    <font>
      <b/>
      <sz val="10"/>
      <color rgb="FF000000"/>
      <name val="Arial"/>
      <family val="2"/>
    </font>
    <font>
      <sz val="8"/>
      <name val="Arial"/>
      <family val="2"/>
    </font>
    <font>
      <b/>
      <sz val="8"/>
      <name val="Arial"/>
      <family val="2"/>
    </font>
    <font>
      <b/>
      <sz val="11"/>
      <name val="Arial"/>
      <family val="2"/>
    </font>
    <font>
      <sz val="11"/>
      <name val="Calibri"/>
      <family val="2"/>
      <charset val="1"/>
      <scheme val="minor"/>
    </font>
    <font>
      <b/>
      <sz val="16"/>
      <name val="Calibri"/>
      <family val="2"/>
      <scheme val="minor"/>
    </font>
    <font>
      <sz val="10"/>
      <color rgb="FF000000"/>
      <name val="Arial Narrow"/>
      <family val="2"/>
    </font>
    <font>
      <sz val="11"/>
      <name val="Arial"/>
      <family val="2"/>
    </font>
    <font>
      <sz val="11"/>
      <name val="Calibri"/>
      <family val="2"/>
      <charset val="1"/>
    </font>
    <font>
      <sz val="11"/>
      <color rgb="FFFF0000"/>
      <name val="Calibri"/>
      <family val="2"/>
      <scheme val="minor"/>
    </font>
    <font>
      <b/>
      <sz val="14"/>
      <name val="Arial"/>
      <family val="2"/>
    </font>
    <font>
      <sz val="10"/>
      <name val="Calibri"/>
      <family val="2"/>
    </font>
    <font>
      <sz val="10"/>
      <name val="Palatino"/>
    </font>
    <font>
      <sz val="20"/>
      <color theme="1"/>
      <name val="Calibri"/>
      <family val="2"/>
      <scheme val="minor"/>
    </font>
    <font>
      <b/>
      <sz val="11"/>
      <color rgb="FFFF0000"/>
      <name val="Calibri"/>
      <family val="2"/>
      <scheme val="minor"/>
    </font>
    <font>
      <b/>
      <sz val="11"/>
      <name val="Calibri"/>
      <family val="2"/>
      <scheme val="minor"/>
    </font>
    <font>
      <sz val="11"/>
      <name val="Calibri"/>
      <family val="2"/>
    </font>
    <font>
      <sz val="8"/>
      <name val="Calibri"/>
      <family val="2"/>
      <charset val="1"/>
      <scheme val="minor"/>
    </font>
    <font>
      <u/>
      <sz val="10"/>
      <color indexed="12"/>
      <name val="Arial"/>
      <family val="2"/>
    </font>
    <font>
      <i/>
      <sz val="11"/>
      <color rgb="FFFF0000"/>
      <name val="Calibri"/>
      <family val="2"/>
      <scheme val="minor"/>
    </font>
    <font>
      <sz val="11"/>
      <color rgb="FF00B0F0"/>
      <name val="Calibri"/>
      <family val="2"/>
      <scheme val="minor"/>
    </font>
    <font>
      <i/>
      <sz val="11"/>
      <color theme="1"/>
      <name val="Calibri"/>
      <family val="2"/>
      <scheme val="minor"/>
    </font>
    <font>
      <sz val="11"/>
      <name val="Calibri"/>
      <family val="2"/>
      <scheme val="minor"/>
    </font>
    <font>
      <sz val="11"/>
      <color theme="1"/>
      <name val="Cambria"/>
      <family val="1"/>
    </font>
    <font>
      <b/>
      <sz val="11"/>
      <color theme="1"/>
      <name val="Cambria"/>
      <family val="1"/>
    </font>
    <font>
      <sz val="11"/>
      <name val="Cambria"/>
      <family val="1"/>
    </font>
    <font>
      <i/>
      <sz val="11"/>
      <name val="Arial"/>
      <family val="2"/>
    </font>
    <font>
      <b/>
      <sz val="12"/>
      <name val="Arial"/>
      <family val="2"/>
    </font>
    <font>
      <b/>
      <sz val="11"/>
      <name val="Calibri"/>
      <family val="2"/>
      <charset val="1"/>
      <scheme val="minor"/>
    </font>
    <font>
      <b/>
      <sz val="12"/>
      <color rgb="FF000000"/>
      <name val="Arial"/>
      <family val="2"/>
    </font>
    <font>
      <sz val="12"/>
      <color rgb="FF000000"/>
      <name val="Arial"/>
      <family val="2"/>
    </font>
    <font>
      <sz val="12"/>
      <color theme="1"/>
      <name val="Arial"/>
      <family val="2"/>
    </font>
    <font>
      <sz val="10"/>
      <color rgb="FF000000"/>
      <name val="Times New Roman"/>
      <family val="1"/>
    </font>
    <font>
      <u/>
      <sz val="12"/>
      <color rgb="FF000000"/>
      <name val="Arial"/>
      <family val="2"/>
    </font>
    <font>
      <i/>
      <sz val="12"/>
      <color rgb="FF000000"/>
      <name val="Arial"/>
      <family val="2"/>
    </font>
    <font>
      <sz val="10"/>
      <color rgb="FF000000"/>
      <name val="Calibri"/>
      <family val="2"/>
      <scheme val="minor"/>
    </font>
    <font>
      <sz val="12"/>
      <color rgb="FFFF0000"/>
      <name val="Arial"/>
      <family val="2"/>
    </font>
    <font>
      <b/>
      <sz val="12"/>
      <color rgb="FFFF0000"/>
      <name val="Arial"/>
      <family val="2"/>
    </font>
    <font>
      <sz val="12"/>
      <color rgb="FF0070C0"/>
      <name val="Arial"/>
      <family val="2"/>
    </font>
    <font>
      <i/>
      <sz val="12"/>
      <color theme="1"/>
      <name val="Arial"/>
      <family val="2"/>
    </font>
    <font>
      <b/>
      <sz val="14"/>
      <color rgb="FF000000"/>
      <name val="Arial"/>
      <family val="2"/>
    </font>
    <font>
      <sz val="11"/>
      <color theme="0"/>
      <name val="Calibri"/>
      <family val="2"/>
      <scheme val="minor"/>
    </font>
    <font>
      <sz val="10"/>
      <color theme="0"/>
      <name val="Arial"/>
      <family val="2"/>
    </font>
    <font>
      <b/>
      <sz val="11"/>
      <color theme="0"/>
      <name val="Arial"/>
      <family val="2"/>
    </font>
    <font>
      <sz val="10"/>
      <name val="Calibri"/>
      <family val="2"/>
      <scheme val="minor"/>
    </font>
    <font>
      <b/>
      <sz val="14"/>
      <name val="Calibri"/>
      <family val="2"/>
      <scheme val="minor"/>
    </font>
    <font>
      <sz val="11"/>
      <color theme="1"/>
      <name val="Arial"/>
      <family val="2"/>
    </font>
    <font>
      <b/>
      <i/>
      <sz val="10"/>
      <name val="Arial"/>
      <family val="2"/>
    </font>
    <font>
      <sz val="8.5"/>
      <name val="Arial"/>
      <family val="2"/>
    </font>
    <font>
      <sz val="11"/>
      <color indexed="8"/>
      <name val="Calibri"/>
      <family val="2"/>
      <charset val="1"/>
    </font>
    <font>
      <i/>
      <sz val="10"/>
      <name val="Arial"/>
      <family val="2"/>
    </font>
    <font>
      <sz val="10"/>
      <name val="MS Sans Serif"/>
      <family val="2"/>
    </font>
    <font>
      <b/>
      <sz val="10"/>
      <color rgb="FFFF0000"/>
      <name val="Arial"/>
      <family val="2"/>
    </font>
    <font>
      <b/>
      <sz val="16"/>
      <color theme="1"/>
      <name val="Arial"/>
      <family val="2"/>
    </font>
    <font>
      <b/>
      <sz val="11"/>
      <color theme="1"/>
      <name val="Arial"/>
      <family val="2"/>
    </font>
    <font>
      <b/>
      <sz val="14"/>
      <color theme="1"/>
      <name val="Arial"/>
      <family val="2"/>
    </font>
    <font>
      <b/>
      <u/>
      <sz val="11"/>
      <color theme="1"/>
      <name val="Arial"/>
      <family val="2"/>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0000"/>
        <bgColor indexed="64"/>
      </patternFill>
    </fill>
    <fill>
      <patternFill patternType="solid">
        <fgColor rgb="FFFFFF00"/>
        <bgColor indexed="64"/>
      </patternFill>
    </fill>
    <fill>
      <patternFill patternType="solid">
        <fgColor indexed="9"/>
        <bgColor indexed="64"/>
      </patternFill>
    </fill>
    <fill>
      <patternFill patternType="solid">
        <fgColor theme="4" tint="0.39997558519241921"/>
        <bgColor indexed="64"/>
      </patternFill>
    </fill>
    <fill>
      <patternFill patternType="solid">
        <fgColor theme="4"/>
        <bgColor indexed="64"/>
      </patternFill>
    </fill>
    <fill>
      <patternFill patternType="solid">
        <fgColor rgb="FFFFC000"/>
        <bgColor indexed="64"/>
      </patternFill>
    </fill>
    <fill>
      <patternFill patternType="solid">
        <fgColor theme="0"/>
        <bgColor indexed="64"/>
      </patternFill>
    </fill>
  </fills>
  <borders count="149">
    <border>
      <left/>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bottom/>
      <diagonal/>
    </border>
    <border>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hair">
        <color indexed="64"/>
      </bottom>
      <diagonal/>
    </border>
    <border>
      <left style="thin">
        <color auto="1"/>
      </left>
      <right/>
      <top style="thin">
        <color indexed="64"/>
      </top>
      <bottom style="hair">
        <color indexed="64"/>
      </bottom>
      <diagonal/>
    </border>
    <border>
      <left/>
      <right/>
      <top style="thin">
        <color indexed="64"/>
      </top>
      <bottom style="hair">
        <color indexed="64"/>
      </bottom>
      <diagonal/>
    </border>
    <border>
      <left/>
      <right style="thin">
        <color auto="1"/>
      </right>
      <top style="thin">
        <color indexed="64"/>
      </top>
      <bottom style="hair">
        <color indexed="64"/>
      </bottom>
      <diagonal/>
    </border>
    <border>
      <left style="thin">
        <color auto="1"/>
      </left>
      <right style="thin">
        <color auto="1"/>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right style="medium">
        <color indexed="64"/>
      </right>
      <top/>
      <bottom style="hair">
        <color indexed="64"/>
      </bottom>
      <diagonal/>
    </border>
    <border>
      <left style="thin">
        <color indexed="64"/>
      </left>
      <right style="medium">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thin">
        <color indexed="64"/>
      </top>
      <bottom style="thin">
        <color indexed="64"/>
      </bottom>
      <diagonal/>
    </border>
    <border>
      <left/>
      <right/>
      <top style="thin">
        <color auto="1"/>
      </top>
      <bottom style="thin">
        <color auto="1"/>
      </bottom>
      <diagonal/>
    </border>
    <border>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style="medium">
        <color indexed="64"/>
      </right>
      <top style="hair">
        <color indexed="64"/>
      </top>
      <bottom/>
      <diagonal/>
    </border>
    <border>
      <left style="medium">
        <color indexed="64"/>
      </left>
      <right/>
      <top/>
      <bottom style="hair">
        <color indexed="64"/>
      </bottom>
      <diagonal/>
    </border>
    <border>
      <left/>
      <right style="medium">
        <color indexed="64"/>
      </right>
      <top/>
      <bottom/>
      <diagonal/>
    </border>
    <border>
      <left style="medium">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medium">
        <color indexed="64"/>
      </left>
      <right/>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hair">
        <color indexed="64"/>
      </bottom>
      <diagonal/>
    </border>
    <border>
      <left style="thin">
        <color auto="1"/>
      </left>
      <right style="thin">
        <color auto="1"/>
      </right>
      <top style="hair">
        <color auto="1"/>
      </top>
      <bottom style="thin">
        <color auto="1"/>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top/>
      <bottom/>
      <diagonal/>
    </border>
    <border>
      <left/>
      <right style="thick">
        <color indexed="64"/>
      </right>
      <top/>
      <bottom/>
      <diagonal/>
    </border>
    <border>
      <left style="thick">
        <color indexed="64"/>
      </left>
      <right/>
      <top style="medium">
        <color indexed="64"/>
      </top>
      <bottom/>
      <diagonal/>
    </border>
    <border>
      <left/>
      <right style="medium">
        <color indexed="64"/>
      </right>
      <top style="medium">
        <color indexed="64"/>
      </top>
      <bottom/>
      <diagonal/>
    </border>
    <border>
      <left/>
      <right style="thick">
        <color indexed="64"/>
      </right>
      <top style="medium">
        <color indexed="64"/>
      </top>
      <bottom style="thin">
        <color indexed="64"/>
      </bottom>
      <diagonal/>
    </border>
    <border>
      <left/>
      <right style="medium">
        <color indexed="64"/>
      </right>
      <top/>
      <bottom style="medium">
        <color indexed="64"/>
      </bottom>
      <diagonal/>
    </border>
    <border>
      <left style="thick">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thick">
        <color indexed="64"/>
      </right>
      <top style="medium">
        <color indexed="64"/>
      </top>
      <bottom style="hair">
        <color indexed="64"/>
      </bottom>
      <diagonal/>
    </border>
    <border>
      <left style="thick">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thick">
        <color indexed="64"/>
      </right>
      <top style="hair">
        <color indexed="64"/>
      </top>
      <bottom style="hair">
        <color indexed="64"/>
      </bottom>
      <diagonal/>
    </border>
    <border>
      <left style="medium">
        <color indexed="64"/>
      </left>
      <right/>
      <top style="medium">
        <color indexed="64"/>
      </top>
      <bottom style="thin">
        <color indexed="64"/>
      </bottom>
      <diagonal/>
    </border>
    <border>
      <left style="medium">
        <color indexed="64"/>
      </left>
      <right/>
      <top/>
      <bottom style="medium">
        <color indexed="64"/>
      </bottom>
      <diagonal/>
    </border>
    <border>
      <left style="medium">
        <color indexed="64"/>
      </left>
      <right/>
      <top style="medium">
        <color indexed="64"/>
      </top>
      <bottom style="hair">
        <color indexed="64"/>
      </bottom>
      <diagonal/>
    </border>
    <border>
      <left style="thick">
        <color auto="1"/>
      </left>
      <right/>
      <top/>
      <bottom style="thick">
        <color auto="1"/>
      </bottom>
      <diagonal/>
    </border>
    <border>
      <left/>
      <right/>
      <top/>
      <bottom style="thick">
        <color indexed="64"/>
      </bottom>
      <diagonal/>
    </border>
    <border>
      <left/>
      <right style="medium">
        <color indexed="64"/>
      </right>
      <top/>
      <bottom style="thick">
        <color indexed="64"/>
      </bottom>
      <diagonal/>
    </border>
    <border>
      <left style="medium">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
      <left/>
      <right style="thick">
        <color indexed="64"/>
      </right>
      <top style="hair">
        <color indexed="64"/>
      </top>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ck">
        <color indexed="64"/>
      </right>
      <top style="hair">
        <color indexed="64"/>
      </top>
      <bottom style="medium">
        <color indexed="64"/>
      </bottom>
      <diagonal/>
    </border>
    <border>
      <left style="thick">
        <color indexed="64"/>
      </left>
      <right/>
      <top/>
      <bottom style="thick">
        <color indexed="64"/>
      </bottom>
      <diagonal/>
    </border>
    <border>
      <left/>
      <right/>
      <top/>
      <bottom style="thick">
        <color indexed="64"/>
      </bottom>
      <diagonal/>
    </border>
    <border>
      <left/>
      <right style="medium">
        <color indexed="64"/>
      </right>
      <top/>
      <bottom style="thick">
        <color indexed="64"/>
      </bottom>
      <diagonal/>
    </border>
    <border>
      <left/>
      <right style="medium">
        <color indexed="64"/>
      </right>
      <top style="hair">
        <color indexed="64"/>
      </top>
      <bottom style="thick">
        <color indexed="64"/>
      </bottom>
      <diagonal/>
    </border>
    <border>
      <left style="thin">
        <color auto="1"/>
      </left>
      <right style="thin">
        <color indexed="64"/>
      </right>
      <top style="medium">
        <color indexed="64"/>
      </top>
      <bottom style="hair">
        <color indexed="64"/>
      </bottom>
      <diagonal/>
    </border>
    <border>
      <left/>
      <right/>
      <top/>
      <bottom style="thin">
        <color auto="1"/>
      </bottom>
      <diagonal/>
    </border>
    <border>
      <left style="thin">
        <color auto="1"/>
      </left>
      <right/>
      <top style="hair">
        <color indexed="64"/>
      </top>
      <bottom style="thin">
        <color indexed="64"/>
      </bottom>
      <diagonal/>
    </border>
    <border>
      <left/>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363435"/>
      </left>
      <right/>
      <top style="hair">
        <color indexed="64"/>
      </top>
      <bottom style="hair">
        <color indexed="64"/>
      </bottom>
      <diagonal/>
    </border>
    <border>
      <left/>
      <right style="thin">
        <color indexed="64"/>
      </right>
      <top style="hair">
        <color indexed="64"/>
      </top>
      <bottom style="thin">
        <color indexed="64"/>
      </bottom>
      <diagonal/>
    </border>
    <border>
      <left style="thin">
        <color rgb="FF363435"/>
      </left>
      <right/>
      <top style="hair">
        <color indexed="64"/>
      </top>
      <bottom style="thin">
        <color indexed="64"/>
      </bottom>
      <diagonal/>
    </border>
    <border>
      <left style="double">
        <color indexed="64"/>
      </left>
      <right/>
      <top style="hair">
        <color indexed="64"/>
      </top>
      <bottom style="hair">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diagonal/>
    </border>
  </borders>
  <cellStyleXfs count="117">
    <xf numFmtId="0" fontId="0" fillId="0" borderId="0"/>
    <xf numFmtId="164" fontId="19" fillId="0" borderId="0" applyFont="0" applyFill="0" applyBorder="0" applyAlignment="0" applyProtection="0"/>
    <xf numFmtId="0" fontId="22" fillId="0" borderId="0"/>
    <xf numFmtId="0" fontId="22" fillId="0" borderId="0"/>
    <xf numFmtId="0" fontId="22" fillId="0" borderId="0"/>
    <xf numFmtId="165" fontId="22" fillId="0" borderId="0" applyFont="0" applyFill="0" applyBorder="0" applyAlignment="0" applyProtection="0"/>
    <xf numFmtId="9" fontId="19"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0" fontId="22" fillId="0" borderId="0"/>
    <xf numFmtId="165" fontId="22" fillId="0" borderId="0" applyFont="0" applyFill="0" applyBorder="0" applyAlignment="0" applyProtection="0"/>
    <xf numFmtId="165" fontId="22" fillId="0" borderId="0" applyFont="0" applyFill="0" applyBorder="0" applyAlignment="0" applyProtection="0"/>
    <xf numFmtId="0" fontId="31" fillId="0" borderId="0"/>
    <xf numFmtId="164" fontId="22" fillId="0" borderId="0" applyFont="0" applyFill="0" applyBorder="0" applyAlignment="0" applyProtection="0"/>
    <xf numFmtId="0" fontId="37" fillId="2" borderId="0" applyNumberFormat="0" applyBorder="0" applyAlignment="0" applyProtection="0"/>
    <xf numFmtId="0" fontId="37" fillId="3" borderId="0" applyNumberFormat="0" applyBorder="0" applyAlignment="0" applyProtection="0"/>
    <xf numFmtId="0" fontId="37" fillId="4" borderId="0" applyNumberFormat="0" applyBorder="0" applyAlignment="0" applyProtection="0"/>
    <xf numFmtId="0" fontId="37" fillId="5" borderId="0" applyNumberFormat="0" applyBorder="0" applyAlignment="0" applyProtection="0"/>
    <xf numFmtId="0" fontId="37" fillId="6" borderId="0" applyNumberFormat="0" applyBorder="0" applyAlignment="0" applyProtection="0"/>
    <xf numFmtId="0" fontId="37" fillId="7" borderId="0" applyNumberFormat="0" applyBorder="0" applyAlignment="0" applyProtection="0"/>
    <xf numFmtId="0" fontId="37" fillId="8" borderId="0" applyNumberFormat="0" applyBorder="0" applyAlignment="0" applyProtection="0"/>
    <xf numFmtId="0" fontId="37" fillId="9" borderId="0" applyNumberFormat="0" applyBorder="0" applyAlignment="0" applyProtection="0"/>
    <xf numFmtId="0" fontId="37" fillId="10" borderId="0" applyNumberFormat="0" applyBorder="0" applyAlignment="0" applyProtection="0"/>
    <xf numFmtId="0" fontId="37" fillId="5" borderId="0" applyNumberFormat="0" applyBorder="0" applyAlignment="0" applyProtection="0"/>
    <xf numFmtId="0" fontId="37" fillId="8" borderId="0" applyNumberFormat="0" applyBorder="0" applyAlignment="0" applyProtection="0"/>
    <xf numFmtId="0" fontId="37" fillId="11" borderId="0" applyNumberFormat="0" applyBorder="0" applyAlignment="0" applyProtection="0"/>
    <xf numFmtId="0" fontId="38" fillId="12" borderId="0" applyNumberFormat="0" applyBorder="0" applyAlignment="0" applyProtection="0"/>
    <xf numFmtId="0" fontId="38" fillId="9" borderId="0" applyNumberFormat="0" applyBorder="0" applyAlignment="0" applyProtection="0"/>
    <xf numFmtId="0" fontId="38" fillId="10" borderId="0" applyNumberFormat="0" applyBorder="0" applyAlignment="0" applyProtection="0"/>
    <xf numFmtId="0" fontId="38" fillId="13" borderId="0" applyNumberFormat="0" applyBorder="0" applyAlignment="0" applyProtection="0"/>
    <xf numFmtId="0" fontId="38" fillId="14" borderId="0" applyNumberFormat="0" applyBorder="0" applyAlignment="0" applyProtection="0"/>
    <xf numFmtId="0" fontId="38" fillId="15" borderId="0" applyNumberFormat="0" applyBorder="0" applyAlignment="0" applyProtection="0"/>
    <xf numFmtId="0" fontId="38" fillId="16" borderId="0" applyNumberFormat="0" applyBorder="0" applyAlignment="0" applyProtection="0"/>
    <xf numFmtId="0" fontId="38" fillId="17" borderId="0" applyNumberFormat="0" applyBorder="0" applyAlignment="0" applyProtection="0"/>
    <xf numFmtId="0" fontId="38" fillId="18" borderId="0" applyNumberFormat="0" applyBorder="0" applyAlignment="0" applyProtection="0"/>
    <xf numFmtId="0" fontId="38" fillId="13" borderId="0" applyNumberFormat="0" applyBorder="0" applyAlignment="0" applyProtection="0"/>
    <xf numFmtId="0" fontId="38" fillId="14" borderId="0" applyNumberFormat="0" applyBorder="0" applyAlignment="0" applyProtection="0"/>
    <xf numFmtId="0" fontId="38" fillId="19" borderId="0" applyNumberFormat="0" applyBorder="0" applyAlignment="0" applyProtection="0"/>
    <xf numFmtId="0" fontId="39" fillId="3" borderId="0" applyNumberFormat="0" applyBorder="0" applyAlignment="0" applyProtection="0"/>
    <xf numFmtId="0" fontId="40" fillId="20" borderId="30" applyNumberFormat="0" applyAlignment="0" applyProtection="0"/>
    <xf numFmtId="0" fontId="41" fillId="21" borderId="31" applyNumberFormat="0" applyAlignment="0" applyProtection="0"/>
    <xf numFmtId="164" fontId="37" fillId="0" borderId="0" applyFont="0" applyFill="0" applyBorder="0" applyAlignment="0" applyProtection="0"/>
    <xf numFmtId="164" fontId="22" fillId="0" borderId="0" applyFont="0" applyFill="0" applyBorder="0" applyAlignment="0" applyProtection="0"/>
    <xf numFmtId="164" fontId="22" fillId="0" borderId="0" applyFont="0" applyFill="0" applyBorder="0" applyAlignment="0" applyProtection="0"/>
    <xf numFmtId="164" fontId="22" fillId="0" borderId="0" applyFont="0" applyFill="0" applyBorder="0" applyAlignment="0" applyProtection="0"/>
    <xf numFmtId="164" fontId="19" fillId="0" borderId="0" applyFont="0" applyFill="0" applyBorder="0" applyAlignment="0" applyProtection="0"/>
    <xf numFmtId="165" fontId="37" fillId="0" borderId="0" applyFont="0" applyFill="0" applyBorder="0" applyAlignment="0" applyProtection="0"/>
    <xf numFmtId="165" fontId="22" fillId="0" borderId="0" applyFont="0" applyFill="0" applyBorder="0" applyAlignment="0" applyProtection="0"/>
    <xf numFmtId="165" fontId="4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165" fontId="22" fillId="0" borderId="0" applyFont="0" applyFill="0" applyBorder="0" applyAlignment="0" applyProtection="0"/>
    <xf numFmtId="0" fontId="43" fillId="0" borderId="0" applyNumberFormat="0" applyFill="0" applyBorder="0" applyAlignment="0" applyProtection="0"/>
    <xf numFmtId="0" fontId="44" fillId="4" borderId="0" applyNumberFormat="0" applyBorder="0" applyAlignment="0" applyProtection="0"/>
    <xf numFmtId="0" fontId="45" fillId="0" borderId="32" applyNumberFormat="0" applyFill="0" applyAlignment="0" applyProtection="0"/>
    <xf numFmtId="0" fontId="46" fillId="0" borderId="33" applyNumberFormat="0" applyFill="0" applyAlignment="0" applyProtection="0"/>
    <xf numFmtId="0" fontId="47" fillId="0" borderId="34" applyNumberFormat="0" applyFill="0" applyAlignment="0" applyProtection="0"/>
    <xf numFmtId="0" fontId="47" fillId="0" borderId="0" applyNumberFormat="0" applyFill="0" applyBorder="0" applyAlignment="0" applyProtection="0"/>
    <xf numFmtId="0" fontId="48" fillId="7" borderId="30" applyNumberFormat="0" applyAlignment="0" applyProtection="0"/>
    <xf numFmtId="0" fontId="49" fillId="0" borderId="35" applyNumberFormat="0" applyFill="0" applyAlignment="0" applyProtection="0"/>
    <xf numFmtId="0" fontId="50" fillId="22" borderId="0" applyNumberFormat="0" applyBorder="0" applyAlignment="0" applyProtection="0"/>
    <xf numFmtId="0" fontId="37" fillId="0" borderId="0"/>
    <xf numFmtId="0" fontId="51" fillId="0" borderId="0"/>
    <xf numFmtId="0" fontId="52" fillId="0" borderId="0"/>
    <xf numFmtId="0" fontId="19" fillId="0" borderId="0"/>
    <xf numFmtId="0" fontId="26" fillId="0" borderId="0"/>
    <xf numFmtId="0" fontId="22" fillId="23" borderId="36" applyNumberFormat="0" applyFont="0" applyAlignment="0" applyProtection="0"/>
    <xf numFmtId="0" fontId="53" fillId="20" borderId="37" applyNumberFormat="0" applyAlignment="0" applyProtection="0"/>
    <xf numFmtId="9" fontId="22" fillId="0" borderId="0" applyFont="0" applyFill="0" applyBorder="0" applyAlignment="0" applyProtection="0"/>
    <xf numFmtId="0" fontId="54" fillId="0" borderId="0" applyNumberFormat="0" applyFill="0" applyBorder="0" applyAlignment="0" applyProtection="0"/>
    <xf numFmtId="0" fontId="55" fillId="0" borderId="38" applyNumberFormat="0" applyFill="0" applyAlignment="0" applyProtection="0"/>
    <xf numFmtId="0" fontId="56" fillId="0" borderId="0" applyNumberFormat="0" applyFill="0" applyBorder="0" applyAlignment="0" applyProtection="0"/>
    <xf numFmtId="165" fontId="51" fillId="0" borderId="0" applyFont="0" applyFill="0" applyBorder="0" applyAlignment="0" applyProtection="0"/>
    <xf numFmtId="165" fontId="19" fillId="0" borderId="0" applyFont="0" applyFill="0" applyBorder="0" applyAlignment="0" applyProtection="0"/>
    <xf numFmtId="0" fontId="31" fillId="0" borderId="0"/>
    <xf numFmtId="0" fontId="17" fillId="0" borderId="0"/>
    <xf numFmtId="41" fontId="17" fillId="0" borderId="0" applyFont="0" applyFill="0" applyBorder="0" applyAlignment="0" applyProtection="0"/>
    <xf numFmtId="165" fontId="22" fillId="0" borderId="0" applyFont="0" applyFill="0" applyBorder="0" applyAlignment="0" applyProtection="0"/>
    <xf numFmtId="0" fontId="22" fillId="0" borderId="0"/>
    <xf numFmtId="0" fontId="74" fillId="0" borderId="0"/>
    <xf numFmtId="165" fontId="22" fillId="0" borderId="0" applyFont="0" applyFill="0" applyBorder="0" applyAlignment="0" applyProtection="0"/>
    <xf numFmtId="165" fontId="22" fillId="0" borderId="0" applyFont="0" applyFill="0" applyBorder="0" applyAlignment="0" applyProtection="0"/>
    <xf numFmtId="0" fontId="80" fillId="0" borderId="0" applyNumberFormat="0" applyFill="0" applyBorder="0" applyAlignment="0" applyProtection="0">
      <alignment vertical="top"/>
      <protection locked="0"/>
    </xf>
    <xf numFmtId="0" fontId="22" fillId="0" borderId="0"/>
    <xf numFmtId="0" fontId="22" fillId="0" borderId="0"/>
    <xf numFmtId="0" fontId="19" fillId="0" borderId="0"/>
    <xf numFmtId="0" fontId="22" fillId="0" borderId="0"/>
    <xf numFmtId="165" fontId="22" fillId="0" borderId="0" applyFont="0" applyFill="0" applyBorder="0" applyAlignment="0" applyProtection="0"/>
    <xf numFmtId="174" fontId="24" fillId="0" borderId="0"/>
    <xf numFmtId="174" fontId="24" fillId="0" borderId="0"/>
    <xf numFmtId="0" fontId="9" fillId="0" borderId="0"/>
    <xf numFmtId="0" fontId="8" fillId="0" borderId="0"/>
    <xf numFmtId="41" fontId="8" fillId="0" borderId="0" applyFont="0" applyFill="0" applyBorder="0" applyAlignment="0" applyProtection="0"/>
    <xf numFmtId="0" fontId="22" fillId="0" borderId="0"/>
    <xf numFmtId="0" fontId="19" fillId="0" borderId="0"/>
    <xf numFmtId="0" fontId="22" fillId="0" borderId="0"/>
    <xf numFmtId="0" fontId="94" fillId="0" borderId="0"/>
    <xf numFmtId="43" fontId="19" fillId="0" borderId="0" applyFont="0" applyFill="0" applyBorder="0" applyAlignment="0" applyProtection="0"/>
    <xf numFmtId="43" fontId="97" fillId="0" borderId="0" applyFont="0" applyFill="0" applyBorder="0" applyAlignment="0" applyProtection="0"/>
    <xf numFmtId="0" fontId="19" fillId="0" borderId="0"/>
    <xf numFmtId="0" fontId="2" fillId="0" borderId="0"/>
    <xf numFmtId="165" fontId="22" fillId="0" borderId="0" applyFont="0" applyFill="0" applyBorder="0" applyAlignment="0" applyProtection="0"/>
    <xf numFmtId="0" fontId="1" fillId="0" borderId="0"/>
    <xf numFmtId="41" fontId="1" fillId="0" borderId="0" applyFont="0" applyFill="0" applyBorder="0" applyAlignment="0" applyProtection="0"/>
    <xf numFmtId="164" fontId="22" fillId="0" borderId="0" applyFont="0" applyFill="0" applyBorder="0" applyAlignment="0" applyProtection="0"/>
    <xf numFmtId="43" fontId="111" fillId="0" borderId="0" applyFont="0" applyFill="0" applyBorder="0" applyAlignment="0" applyProtection="0"/>
    <xf numFmtId="165" fontId="37" fillId="0" borderId="0" applyFont="0" applyFill="0" applyBorder="0" applyAlignment="0" applyProtection="0"/>
    <xf numFmtId="165" fontId="37" fillId="0" borderId="0" applyFont="0" applyFill="0" applyBorder="0" applyAlignment="0" applyProtection="0"/>
    <xf numFmtId="0" fontId="113" fillId="0" borderId="0"/>
    <xf numFmtId="0" fontId="22" fillId="0" borderId="0"/>
    <xf numFmtId="0" fontId="22" fillId="0" borderId="0"/>
    <xf numFmtId="164" fontId="22" fillId="0" borderId="0" applyFont="0" applyFill="0" applyBorder="0" applyAlignment="0" applyProtection="0"/>
    <xf numFmtId="0" fontId="22" fillId="0" borderId="0"/>
    <xf numFmtId="181" fontId="22" fillId="0" borderId="0" applyFont="0" applyFill="0" applyBorder="0" applyAlignment="0" applyProtection="0"/>
    <xf numFmtId="0" fontId="22" fillId="0" borderId="0"/>
    <xf numFmtId="182" fontId="22" fillId="0" borderId="0" applyFont="0" applyFill="0" applyBorder="0" applyAlignment="0" applyProtection="0"/>
    <xf numFmtId="0" fontId="22" fillId="0" borderId="0"/>
  </cellStyleXfs>
  <cellXfs count="1791">
    <xf numFmtId="0" fontId="0" fillId="0" borderId="0" xfId="0"/>
    <xf numFmtId="0" fontId="18" fillId="0" borderId="0" xfId="0" applyFont="1" applyAlignment="1">
      <alignment horizontal="left" vertical="center"/>
    </xf>
    <xf numFmtId="164" fontId="0" fillId="0" borderId="0" xfId="1" applyFont="1"/>
    <xf numFmtId="0" fontId="24" fillId="0" borderId="3" xfId="0" applyFont="1" applyBorder="1" applyAlignment="1">
      <alignment vertical="center"/>
    </xf>
    <xf numFmtId="0" fontId="24" fillId="0" borderId="3" xfId="0" applyFont="1" applyBorder="1" applyAlignment="1">
      <alignment horizontal="center" vertical="center" wrapText="1"/>
    </xf>
    <xf numFmtId="164" fontId="23" fillId="0" borderId="3" xfId="0" applyNumberFormat="1" applyFont="1" applyBorder="1" applyAlignment="1">
      <alignment vertical="center"/>
    </xf>
    <xf numFmtId="164" fontId="23" fillId="0" borderId="3" xfId="1" applyFont="1" applyFill="1" applyBorder="1" applyAlignment="1">
      <alignment vertical="center"/>
    </xf>
    <xf numFmtId="164" fontId="0" fillId="0" borderId="0" xfId="0" applyNumberFormat="1"/>
    <xf numFmtId="0" fontId="20" fillId="0" borderId="3" xfId="0" applyFont="1" applyBorder="1" applyAlignment="1">
      <alignment horizontal="left" vertical="center"/>
    </xf>
    <xf numFmtId="0" fontId="22" fillId="0" borderId="0" xfId="3"/>
    <xf numFmtId="0" fontId="26" fillId="0" borderId="0" xfId="0" applyFont="1"/>
    <xf numFmtId="49" fontId="20" fillId="0" borderId="0" xfId="0" applyNumberFormat="1" applyFont="1"/>
    <xf numFmtId="0" fontId="26" fillId="0" borderId="0" xfId="0" applyFont="1" applyAlignment="1">
      <alignment horizontal="center"/>
    </xf>
    <xf numFmtId="49" fontId="20" fillId="0" borderId="3" xfId="0" applyNumberFormat="1" applyFont="1" applyBorder="1"/>
    <xf numFmtId="0" fontId="26" fillId="0" borderId="3" xfId="0" applyFont="1" applyBorder="1"/>
    <xf numFmtId="0" fontId="26" fillId="0" borderId="3" xfId="0" applyFont="1" applyBorder="1" applyAlignment="1">
      <alignment horizontal="center"/>
    </xf>
    <xf numFmtId="166" fontId="26" fillId="0" borderId="8" xfId="0" applyNumberFormat="1" applyFont="1" applyBorder="1"/>
    <xf numFmtId="164" fontId="26" fillId="0" borderId="0" xfId="0" applyNumberFormat="1" applyFont="1"/>
    <xf numFmtId="166" fontId="26" fillId="0" borderId="0" xfId="0" applyNumberFormat="1" applyFont="1"/>
    <xf numFmtId="164" fontId="23" fillId="0" borderId="19" xfId="0" applyNumberFormat="1" applyFont="1" applyBorder="1" applyAlignment="1">
      <alignment vertical="center"/>
    </xf>
    <xf numFmtId="164" fontId="23" fillId="0" borderId="19" xfId="1" applyFont="1" applyFill="1" applyBorder="1" applyAlignment="1">
      <alignment vertical="center"/>
    </xf>
    <xf numFmtId="0" fontId="26" fillId="0" borderId="28" xfId="0" applyFont="1" applyBorder="1"/>
    <xf numFmtId="9" fontId="20" fillId="0" borderId="16" xfId="6" applyFont="1" applyFill="1" applyBorder="1" applyAlignment="1">
      <alignment horizontal="right"/>
    </xf>
    <xf numFmtId="0" fontId="33" fillId="0" borderId="0" xfId="12" applyFont="1"/>
    <xf numFmtId="173" fontId="35" fillId="0" borderId="0" xfId="13" applyNumberFormat="1" applyFont="1" applyFill="1" applyBorder="1" applyAlignment="1" applyProtection="1">
      <alignment horizontal="right"/>
    </xf>
    <xf numFmtId="0" fontId="57" fillId="0" borderId="0" xfId="0" applyFont="1" applyAlignment="1">
      <alignment horizontal="center"/>
    </xf>
    <xf numFmtId="0" fontId="57" fillId="0" borderId="0" xfId="0" applyFont="1"/>
    <xf numFmtId="0" fontId="29" fillId="0" borderId="0" xfId="0" applyFont="1"/>
    <xf numFmtId="166" fontId="29" fillId="0" borderId="0" xfId="0" applyNumberFormat="1" applyFont="1"/>
    <xf numFmtId="0" fontId="36" fillId="0" borderId="0" xfId="12" applyFont="1"/>
    <xf numFmtId="9" fontId="22" fillId="0" borderId="16" xfId="6" applyFont="1" applyFill="1" applyBorder="1" applyAlignment="1">
      <alignment horizontal="right"/>
    </xf>
    <xf numFmtId="0" fontId="64" fillId="0" borderId="10" xfId="3" applyFont="1" applyBorder="1" applyAlignment="1">
      <alignment horizontal="center"/>
    </xf>
    <xf numFmtId="173" fontId="25" fillId="0" borderId="0" xfId="13" applyNumberFormat="1" applyFont="1" applyFill="1" applyBorder="1" applyAlignment="1">
      <alignment horizontal="center"/>
    </xf>
    <xf numFmtId="0" fontId="64" fillId="0" borderId="16" xfId="3" applyFont="1" applyBorder="1" applyAlignment="1">
      <alignment horizontal="center"/>
    </xf>
    <xf numFmtId="0" fontId="63" fillId="0" borderId="3" xfId="3" applyFont="1" applyBorder="1" applyAlignment="1">
      <alignment horizontal="center"/>
    </xf>
    <xf numFmtId="0" fontId="22" fillId="0" borderId="16" xfId="3" applyBorder="1" applyAlignment="1">
      <alignment horizontal="center"/>
    </xf>
    <xf numFmtId="0" fontId="22" fillId="0" borderId="24" xfId="13" applyNumberFormat="1" applyFont="1" applyFill="1" applyBorder="1"/>
    <xf numFmtId="173" fontId="25" fillId="0" borderId="24" xfId="13" applyNumberFormat="1" applyFont="1" applyFill="1" applyBorder="1" applyAlignment="1">
      <alignment horizontal="center"/>
    </xf>
    <xf numFmtId="0" fontId="68" fillId="0" borderId="3" xfId="0" applyFont="1" applyBorder="1" applyAlignment="1">
      <alignment vertical="center"/>
    </xf>
    <xf numFmtId="49" fontId="68" fillId="0" borderId="3" xfId="0" applyNumberFormat="1" applyFont="1" applyBorder="1"/>
    <xf numFmtId="164" fontId="0" fillId="0" borderId="0" xfId="1" applyFont="1" applyFill="1"/>
    <xf numFmtId="0" fontId="0" fillId="0" borderId="0" xfId="1" applyNumberFormat="1" applyFont="1" applyAlignment="1">
      <alignment horizontal="center" vertical="center"/>
    </xf>
    <xf numFmtId="164" fontId="23" fillId="0" borderId="13" xfId="0" applyNumberFormat="1" applyFont="1" applyBorder="1" applyAlignment="1">
      <alignment vertical="center"/>
    </xf>
    <xf numFmtId="0" fontId="23" fillId="0" borderId="3" xfId="0" applyFont="1" applyBorder="1" applyAlignment="1">
      <alignment horizontal="center" vertical="center"/>
    </xf>
    <xf numFmtId="0" fontId="23" fillId="0" borderId="13" xfId="0" applyFont="1" applyBorder="1" applyAlignment="1">
      <alignment horizontal="center" vertical="center"/>
    </xf>
    <xf numFmtId="0" fontId="24" fillId="0" borderId="13" xfId="0" applyFont="1" applyBorder="1" applyAlignment="1">
      <alignment vertical="center"/>
    </xf>
    <xf numFmtId="0" fontId="24" fillId="0" borderId="13" xfId="0" applyFont="1" applyBorder="1" applyAlignment="1">
      <alignment horizontal="center" vertical="center" wrapText="1"/>
    </xf>
    <xf numFmtId="164" fontId="23" fillId="0" borderId="13" xfId="1" applyFont="1" applyFill="1" applyBorder="1" applyAlignment="1">
      <alignment vertical="center"/>
    </xf>
    <xf numFmtId="164" fontId="23" fillId="0" borderId="44" xfId="0" applyNumberFormat="1" applyFont="1" applyBorder="1" applyAlignment="1">
      <alignment vertical="center"/>
    </xf>
    <xf numFmtId="0" fontId="58" fillId="0" borderId="3" xfId="0" applyFont="1" applyBorder="1" applyAlignment="1">
      <alignment horizontal="center"/>
    </xf>
    <xf numFmtId="0" fontId="58" fillId="0" borderId="39" xfId="0" applyFont="1" applyBorder="1" applyAlignment="1">
      <alignment horizontal="center"/>
    </xf>
    <xf numFmtId="0" fontId="22" fillId="0" borderId="43" xfId="13" applyNumberFormat="1" applyFont="1" applyFill="1" applyBorder="1"/>
    <xf numFmtId="0" fontId="22" fillId="0" borderId="13" xfId="3" applyBorder="1" applyAlignment="1">
      <alignment horizontal="center"/>
    </xf>
    <xf numFmtId="165" fontId="66" fillId="0" borderId="13" xfId="10" applyFont="1" applyFill="1" applyBorder="1"/>
    <xf numFmtId="165" fontId="70" fillId="0" borderId="13" xfId="10" applyFont="1" applyFill="1" applyBorder="1"/>
    <xf numFmtId="173" fontId="66" fillId="0" borderId="0" xfId="13" applyNumberFormat="1" applyFont="1" applyFill="1"/>
    <xf numFmtId="0" fontId="63" fillId="0" borderId="0" xfId="3" applyFont="1"/>
    <xf numFmtId="173" fontId="22" fillId="0" borderId="0" xfId="1" applyNumberFormat="1" applyFont="1" applyFill="1" applyBorder="1"/>
    <xf numFmtId="0" fontId="22" fillId="0" borderId="0" xfId="3" applyAlignment="1">
      <alignment horizontal="center" vertical="center"/>
    </xf>
    <xf numFmtId="165" fontId="66" fillId="0" borderId="0" xfId="10" applyFont="1" applyFill="1" applyAlignment="1">
      <alignment horizontal="center" vertical="center"/>
    </xf>
    <xf numFmtId="173" fontId="36" fillId="0" borderId="0" xfId="13" applyNumberFormat="1" applyFont="1" applyFill="1"/>
    <xf numFmtId="173" fontId="33" fillId="0" borderId="0" xfId="13" applyNumberFormat="1" applyFont="1" applyFill="1"/>
    <xf numFmtId="0" fontId="25" fillId="0" borderId="10" xfId="3" applyFont="1" applyBorder="1" applyAlignment="1">
      <alignment horizontal="center"/>
    </xf>
    <xf numFmtId="0" fontId="25" fillId="0" borderId="45" xfId="3" applyFont="1" applyBorder="1" applyAlignment="1">
      <alignment horizontal="center"/>
    </xf>
    <xf numFmtId="0" fontId="25" fillId="0" borderId="29" xfId="3" applyFont="1" applyBorder="1" applyAlignment="1">
      <alignment horizontal="center"/>
    </xf>
    <xf numFmtId="173" fontId="25" fillId="0" borderId="29" xfId="13" applyNumberFormat="1" applyFont="1" applyFill="1" applyBorder="1" applyAlignment="1">
      <alignment horizontal="center"/>
    </xf>
    <xf numFmtId="0" fontId="25" fillId="0" borderId="16" xfId="3" applyFont="1" applyBorder="1" applyAlignment="1">
      <alignment horizontal="center"/>
    </xf>
    <xf numFmtId="0" fontId="25" fillId="0" borderId="41" xfId="3" applyFont="1" applyBorder="1" applyAlignment="1">
      <alignment horizontal="center"/>
    </xf>
    <xf numFmtId="0" fontId="25" fillId="0" borderId="24" xfId="3" applyFont="1" applyBorder="1" applyAlignment="1">
      <alignment horizontal="center"/>
    </xf>
    <xf numFmtId="173" fontId="25" fillId="0" borderId="43" xfId="13" applyNumberFormat="1" applyFont="1" applyFill="1" applyBorder="1" applyAlignment="1">
      <alignment horizontal="center"/>
    </xf>
    <xf numFmtId="0" fontId="64" fillId="0" borderId="13" xfId="3" applyFont="1" applyBorder="1" applyAlignment="1">
      <alignment horizontal="center"/>
    </xf>
    <xf numFmtId="0" fontId="22" fillId="0" borderId="3" xfId="3" applyBorder="1" applyAlignment="1">
      <alignment horizontal="center"/>
    </xf>
    <xf numFmtId="0" fontId="22" fillId="0" borderId="39" xfId="3" applyBorder="1" applyAlignment="1">
      <alignment horizontal="center"/>
    </xf>
    <xf numFmtId="0" fontId="22" fillId="0" borderId="28" xfId="3" applyBorder="1" applyAlignment="1">
      <alignment horizontal="center"/>
    </xf>
    <xf numFmtId="1" fontId="66" fillId="0" borderId="28" xfId="13" applyNumberFormat="1" applyFont="1" applyFill="1" applyBorder="1" applyAlignment="1">
      <alignment horizontal="center"/>
    </xf>
    <xf numFmtId="1" fontId="66" fillId="0" borderId="0" xfId="13" applyNumberFormat="1" applyFont="1" applyFill="1" applyBorder="1" applyAlignment="1">
      <alignment horizontal="center"/>
    </xf>
    <xf numFmtId="0" fontId="22" fillId="0" borderId="10" xfId="3" applyBorder="1"/>
    <xf numFmtId="0" fontId="22" fillId="0" borderId="45" xfId="3" applyBorder="1"/>
    <xf numFmtId="0" fontId="22" fillId="0" borderId="29" xfId="3" applyBorder="1"/>
    <xf numFmtId="173" fontId="66" fillId="0" borderId="24" xfId="13" applyNumberFormat="1" applyFont="1" applyFill="1" applyBorder="1"/>
    <xf numFmtId="173" fontId="66" fillId="0" borderId="0" xfId="13" applyNumberFormat="1" applyFont="1" applyFill="1" applyBorder="1"/>
    <xf numFmtId="0" fontId="63" fillId="0" borderId="16" xfId="3" applyFont="1" applyBorder="1"/>
    <xf numFmtId="0" fontId="65" fillId="0" borderId="16" xfId="3" applyFont="1" applyBorder="1" applyAlignment="1">
      <alignment horizontal="center"/>
    </xf>
    <xf numFmtId="0" fontId="65" fillId="0" borderId="41" xfId="3" applyFont="1" applyBorder="1" applyAlignment="1">
      <alignment horizontal="center"/>
    </xf>
    <xf numFmtId="0" fontId="65" fillId="0" borderId="24" xfId="3" applyFont="1" applyBorder="1"/>
    <xf numFmtId="165" fontId="66" fillId="0" borderId="16" xfId="10" applyFont="1" applyFill="1" applyBorder="1"/>
    <xf numFmtId="0" fontId="22" fillId="0" borderId="16" xfId="3" applyBorder="1"/>
    <xf numFmtId="173" fontId="66" fillId="0" borderId="41" xfId="13" applyNumberFormat="1" applyFont="1" applyFill="1" applyBorder="1"/>
    <xf numFmtId="0" fontId="25" fillId="0" borderId="24" xfId="3" applyFont="1" applyBorder="1"/>
    <xf numFmtId="0" fontId="22" fillId="0" borderId="41" xfId="3" applyBorder="1" applyAlignment="1">
      <alignment horizontal="center"/>
    </xf>
    <xf numFmtId="0" fontId="22" fillId="0" borderId="24" xfId="3" applyBorder="1"/>
    <xf numFmtId="165" fontId="70" fillId="0" borderId="16" xfId="10" applyFont="1" applyFill="1" applyBorder="1"/>
    <xf numFmtId="173" fontId="22" fillId="0" borderId="24" xfId="13" applyNumberFormat="1" applyFont="1" applyFill="1" applyBorder="1"/>
    <xf numFmtId="173" fontId="22" fillId="0" borderId="41" xfId="13" applyNumberFormat="1" applyFont="1" applyFill="1" applyBorder="1"/>
    <xf numFmtId="165" fontId="63" fillId="0" borderId="16" xfId="3" applyNumberFormat="1" applyFont="1" applyBorder="1"/>
    <xf numFmtId="164" fontId="63" fillId="0" borderId="16" xfId="13" applyFont="1" applyFill="1" applyBorder="1"/>
    <xf numFmtId="164" fontId="63" fillId="0" borderId="16" xfId="13" quotePrefix="1" applyFont="1" applyFill="1" applyBorder="1"/>
    <xf numFmtId="0" fontId="22" fillId="0" borderId="44" xfId="3" applyBorder="1" applyAlignment="1">
      <alignment horizontal="center"/>
    </xf>
    <xf numFmtId="0" fontId="22" fillId="0" borderId="13" xfId="3" applyBorder="1"/>
    <xf numFmtId="0" fontId="22" fillId="0" borderId="43" xfId="3" applyBorder="1"/>
    <xf numFmtId="0" fontId="22" fillId="0" borderId="10" xfId="3" applyBorder="1" applyAlignment="1">
      <alignment horizontal="center"/>
    </xf>
    <xf numFmtId="0" fontId="22" fillId="0" borderId="45" xfId="3" applyBorder="1" applyAlignment="1">
      <alignment horizontal="center"/>
    </xf>
    <xf numFmtId="165" fontId="66" fillId="0" borderId="10" xfId="10" applyFont="1" applyFill="1" applyBorder="1"/>
    <xf numFmtId="165" fontId="22" fillId="0" borderId="16" xfId="3" applyNumberFormat="1" applyBorder="1"/>
    <xf numFmtId="165" fontId="70" fillId="0" borderId="10" xfId="10" applyFont="1" applyFill="1" applyBorder="1"/>
    <xf numFmtId="164" fontId="22" fillId="0" borderId="0" xfId="1" applyFont="1" applyFill="1" applyBorder="1"/>
    <xf numFmtId="173" fontId="66" fillId="0" borderId="43" xfId="13" applyNumberFormat="1" applyFont="1" applyFill="1" applyBorder="1"/>
    <xf numFmtId="0" fontId="63" fillId="0" borderId="13" xfId="3" applyFont="1" applyBorder="1"/>
    <xf numFmtId="173" fontId="22" fillId="0" borderId="42" xfId="13" applyNumberFormat="1" applyFont="1" applyFill="1" applyBorder="1"/>
    <xf numFmtId="173" fontId="22" fillId="0" borderId="0" xfId="13" applyNumberFormat="1" applyFont="1" applyFill="1" applyBorder="1"/>
    <xf numFmtId="164" fontId="26" fillId="0" borderId="0" xfId="1" applyFont="1" applyFill="1"/>
    <xf numFmtId="164" fontId="26" fillId="0" borderId="0" xfId="1" applyFont="1" applyFill="1" applyAlignment="1"/>
    <xf numFmtId="164" fontId="22" fillId="0" borderId="3" xfId="1" applyFont="1" applyFill="1" applyBorder="1"/>
    <xf numFmtId="164" fontId="22" fillId="0" borderId="24" xfId="1" applyFont="1" applyFill="1" applyBorder="1"/>
    <xf numFmtId="0" fontId="22" fillId="0" borderId="39" xfId="0" applyFont="1" applyBorder="1" applyAlignment="1">
      <alignment horizontal="left" vertical="center"/>
    </xf>
    <xf numFmtId="0" fontId="22" fillId="0" borderId="28" xfId="0" applyFont="1" applyBorder="1" applyAlignment="1">
      <alignment horizontal="left" vertical="center"/>
    </xf>
    <xf numFmtId="0" fontId="22" fillId="0" borderId="0" xfId="0" applyFont="1" applyAlignment="1">
      <alignment horizontal="left" vertical="center"/>
    </xf>
    <xf numFmtId="173" fontId="33" fillId="0" borderId="0" xfId="13" applyNumberFormat="1" applyFont="1" applyFill="1" applyAlignment="1"/>
    <xf numFmtId="0" fontId="32" fillId="0" borderId="0" xfId="13" applyNumberFormat="1" applyFont="1" applyFill="1" applyAlignment="1"/>
    <xf numFmtId="0" fontId="32" fillId="0" borderId="0" xfId="12" applyFont="1"/>
    <xf numFmtId="39" fontId="36" fillId="0" borderId="3" xfId="12" applyNumberFormat="1" applyFont="1" applyBorder="1" applyAlignment="1">
      <alignment horizontal="center"/>
    </xf>
    <xf numFmtId="0" fontId="33" fillId="0" borderId="3" xfId="12" applyFont="1" applyBorder="1"/>
    <xf numFmtId="0" fontId="33" fillId="0" borderId="3" xfId="12" applyFont="1" applyBorder="1" applyAlignment="1">
      <alignment horizontal="center" vertical="top"/>
    </xf>
    <xf numFmtId="0" fontId="33" fillId="0" borderId="3" xfId="12" applyFont="1" applyBorder="1" applyAlignment="1">
      <alignment horizontal="center"/>
    </xf>
    <xf numFmtId="165" fontId="33" fillId="0" borderId="3" xfId="10" applyFont="1" applyFill="1" applyBorder="1"/>
    <xf numFmtId="0" fontId="33" fillId="0" borderId="3" xfId="12" applyFont="1" applyBorder="1" applyAlignment="1">
      <alignment horizontal="center" vertical="center"/>
    </xf>
    <xf numFmtId="165" fontId="33" fillId="0" borderId="0" xfId="12" applyNumberFormat="1" applyFont="1"/>
    <xf numFmtId="0" fontId="17" fillId="0" borderId="0" xfId="75"/>
    <xf numFmtId="0" fontId="25" fillId="0" borderId="0" xfId="75" applyFont="1" applyAlignment="1">
      <alignment horizontal="center" vertical="center"/>
    </xf>
    <xf numFmtId="165" fontId="25" fillId="0" borderId="0" xfId="77" applyFont="1" applyFill="1" applyBorder="1" applyAlignment="1">
      <alignment vertical="center"/>
    </xf>
    <xf numFmtId="0" fontId="25" fillId="0" borderId="0" xfId="75" applyFont="1" applyAlignment="1">
      <alignment horizontal="center"/>
    </xf>
    <xf numFmtId="0" fontId="25" fillId="0" borderId="0" xfId="75" applyFont="1" applyAlignment="1">
      <alignment horizontal="left" vertical="center"/>
    </xf>
    <xf numFmtId="0" fontId="22" fillId="0" borderId="0" xfId="75" applyFont="1"/>
    <xf numFmtId="0" fontId="25" fillId="0" borderId="0" xfId="78" applyFont="1"/>
    <xf numFmtId="0" fontId="22" fillId="0" borderId="0" xfId="75" applyFont="1" applyAlignment="1">
      <alignment vertical="center"/>
    </xf>
    <xf numFmtId="0" fontId="25" fillId="0" borderId="0" xfId="75" applyFont="1"/>
    <xf numFmtId="165" fontId="25" fillId="26" borderId="51" xfId="77" applyFont="1" applyFill="1" applyBorder="1" applyAlignment="1">
      <alignment horizontal="center" vertical="center" wrapText="1"/>
    </xf>
    <xf numFmtId="165" fontId="25" fillId="26" borderId="27" xfId="77" applyFont="1" applyFill="1" applyBorder="1" applyAlignment="1">
      <alignment horizontal="center" vertical="center" wrapText="1"/>
    </xf>
    <xf numFmtId="0" fontId="25" fillId="26" borderId="55" xfId="75" applyFont="1" applyFill="1" applyBorder="1" applyAlignment="1">
      <alignment horizontal="center"/>
    </xf>
    <xf numFmtId="165" fontId="25" fillId="26" borderId="60" xfId="77" applyFont="1" applyFill="1" applyBorder="1" applyAlignment="1">
      <alignment horizontal="center" vertical="center" wrapText="1"/>
    </xf>
    <xf numFmtId="41" fontId="22" fillId="0" borderId="0" xfId="76" applyFont="1"/>
    <xf numFmtId="0" fontId="25" fillId="26" borderId="61" xfId="75" applyFont="1" applyFill="1" applyBorder="1" applyAlignment="1">
      <alignment horizontal="center"/>
    </xf>
    <xf numFmtId="165" fontId="25" fillId="26" borderId="66" xfId="77" applyFont="1" applyFill="1" applyBorder="1" applyAlignment="1">
      <alignment horizontal="center" vertical="center" wrapText="1"/>
    </xf>
    <xf numFmtId="0" fontId="22" fillId="26" borderId="61" xfId="75" applyFont="1" applyFill="1" applyBorder="1" applyAlignment="1">
      <alignment horizontal="center"/>
    </xf>
    <xf numFmtId="165" fontId="22" fillId="26" borderId="67" xfId="77" applyFont="1" applyFill="1" applyBorder="1" applyAlignment="1">
      <alignment horizontal="center" vertical="center" wrapText="1"/>
    </xf>
    <xf numFmtId="0" fontId="25" fillId="26" borderId="63" xfId="75" applyFont="1" applyFill="1" applyBorder="1" applyAlignment="1">
      <alignment horizontal="right" vertical="center"/>
    </xf>
    <xf numFmtId="0" fontId="25" fillId="26" borderId="64" xfId="75" applyFont="1" applyFill="1" applyBorder="1" applyAlignment="1">
      <alignment horizontal="right" vertical="center"/>
    </xf>
    <xf numFmtId="164" fontId="22" fillId="26" borderId="63" xfId="75" applyNumberFormat="1" applyFont="1" applyFill="1" applyBorder="1" applyAlignment="1">
      <alignment horizontal="left"/>
    </xf>
    <xf numFmtId="0" fontId="25" fillId="26" borderId="72" xfId="75" applyFont="1" applyFill="1" applyBorder="1" applyAlignment="1">
      <alignment horizontal="right" vertical="center"/>
    </xf>
    <xf numFmtId="0" fontId="25" fillId="26" borderId="28" xfId="75" applyFont="1" applyFill="1" applyBorder="1" applyAlignment="1">
      <alignment horizontal="right" vertical="center"/>
    </xf>
    <xf numFmtId="0" fontId="25" fillId="26" borderId="74" xfId="75" applyFont="1" applyFill="1" applyBorder="1" applyAlignment="1">
      <alignment horizontal="center"/>
    </xf>
    <xf numFmtId="164" fontId="25" fillId="26" borderId="68" xfId="75" applyNumberFormat="1" applyFont="1" applyFill="1" applyBorder="1" applyAlignment="1">
      <alignment vertical="center"/>
    </xf>
    <xf numFmtId="0" fontId="22" fillId="26" borderId="74" xfId="75" applyFont="1" applyFill="1" applyBorder="1" applyAlignment="1">
      <alignment horizontal="center"/>
    </xf>
    <xf numFmtId="164" fontId="22" fillId="26" borderId="68" xfId="75" applyNumberFormat="1" applyFont="1" applyFill="1" applyBorder="1" applyAlignment="1">
      <alignment vertical="center"/>
    </xf>
    <xf numFmtId="0" fontId="22" fillId="26" borderId="77" xfId="75" applyFont="1" applyFill="1" applyBorder="1" applyAlignment="1">
      <alignment horizontal="center"/>
    </xf>
    <xf numFmtId="164" fontId="22" fillId="26" borderId="62" xfId="75" applyNumberFormat="1" applyFont="1" applyFill="1" applyBorder="1" applyAlignment="1">
      <alignment vertical="center"/>
    </xf>
    <xf numFmtId="165" fontId="22" fillId="26" borderId="66" xfId="77" applyFont="1" applyFill="1" applyBorder="1" applyAlignment="1">
      <alignment horizontal="center" vertical="center" wrapText="1"/>
    </xf>
    <xf numFmtId="0" fontId="22" fillId="0" borderId="84" xfId="75" applyFont="1" applyBorder="1"/>
    <xf numFmtId="0" fontId="17" fillId="0" borderId="0" xfId="75" applyAlignment="1">
      <alignment horizontal="center"/>
    </xf>
    <xf numFmtId="0" fontId="74" fillId="0" borderId="0" xfId="79"/>
    <xf numFmtId="0" fontId="17" fillId="25" borderId="0" xfId="75" applyFill="1"/>
    <xf numFmtId="0" fontId="74" fillId="0" borderId="19" xfId="79" applyBorder="1" applyAlignment="1">
      <alignment horizontal="center"/>
    </xf>
    <xf numFmtId="0" fontId="74" fillId="0" borderId="20" xfId="79" applyBorder="1" applyAlignment="1">
      <alignment horizontal="center"/>
    </xf>
    <xf numFmtId="0" fontId="74" fillId="0" borderId="25" xfId="79" applyBorder="1" applyAlignment="1">
      <alignment horizontal="center"/>
    </xf>
    <xf numFmtId="0" fontId="74" fillId="0" borderId="26" xfId="79" applyBorder="1" applyAlignment="1">
      <alignment horizontal="center"/>
    </xf>
    <xf numFmtId="0" fontId="74" fillId="0" borderId="23" xfId="79" applyBorder="1" applyAlignment="1">
      <alignment horizontal="center"/>
    </xf>
    <xf numFmtId="0" fontId="74" fillId="0" borderId="15" xfId="79" applyBorder="1" applyAlignment="1">
      <alignment horizontal="center"/>
    </xf>
    <xf numFmtId="0" fontId="74" fillId="0" borderId="16" xfId="79" applyBorder="1" applyAlignment="1">
      <alignment horizontal="center"/>
    </xf>
    <xf numFmtId="0" fontId="74" fillId="0" borderId="17" xfId="79" applyBorder="1" applyAlignment="1">
      <alignment horizontal="center"/>
    </xf>
    <xf numFmtId="0" fontId="74" fillId="0" borderId="12" xfId="79" applyBorder="1" applyAlignment="1">
      <alignment horizontal="center"/>
    </xf>
    <xf numFmtId="0" fontId="74" fillId="0" borderId="13" xfId="79" applyBorder="1" applyAlignment="1">
      <alignment horizontal="center"/>
    </xf>
    <xf numFmtId="169" fontId="74" fillId="0" borderId="13" xfId="79" applyNumberFormat="1" applyBorder="1" applyAlignment="1">
      <alignment horizontal="center"/>
    </xf>
    <xf numFmtId="169" fontId="74" fillId="25" borderId="14" xfId="79" applyNumberFormat="1" applyFill="1" applyBorder="1" applyAlignment="1">
      <alignment horizontal="center"/>
    </xf>
    <xf numFmtId="0" fontId="74" fillId="0" borderId="7" xfId="79" applyBorder="1" applyAlignment="1">
      <alignment horizontal="center"/>
    </xf>
    <xf numFmtId="0" fontId="74" fillId="0" borderId="3" xfId="79" applyBorder="1" applyAlignment="1">
      <alignment horizontal="center"/>
    </xf>
    <xf numFmtId="0" fontId="17" fillId="27" borderId="0" xfId="75" applyFill="1"/>
    <xf numFmtId="0" fontId="74" fillId="27" borderId="7" xfId="79" applyFill="1" applyBorder="1" applyAlignment="1">
      <alignment horizontal="center"/>
    </xf>
    <xf numFmtId="0" fontId="74" fillId="27" borderId="3" xfId="79" applyFill="1" applyBorder="1" applyAlignment="1">
      <alignment horizontal="center"/>
    </xf>
    <xf numFmtId="169" fontId="74" fillId="27" borderId="13" xfId="79" applyNumberFormat="1" applyFill="1" applyBorder="1" applyAlignment="1">
      <alignment horizontal="center"/>
    </xf>
    <xf numFmtId="169" fontId="74" fillId="27" borderId="14" xfId="79" applyNumberFormat="1" applyFill="1" applyBorder="1" applyAlignment="1">
      <alignment horizontal="center"/>
    </xf>
    <xf numFmtId="169" fontId="17" fillId="0" borderId="0" xfId="75" applyNumberFormat="1"/>
    <xf numFmtId="169" fontId="74" fillId="0" borderId="22" xfId="79" applyNumberFormat="1" applyBorder="1" applyAlignment="1">
      <alignment horizontal="center"/>
    </xf>
    <xf numFmtId="169" fontId="74" fillId="25" borderId="27" xfId="79" applyNumberFormat="1" applyFill="1" applyBorder="1" applyAlignment="1">
      <alignment horizontal="center"/>
    </xf>
    <xf numFmtId="0" fontId="17" fillId="25" borderId="0" xfId="75" applyFill="1" applyAlignment="1">
      <alignment horizontal="right"/>
    </xf>
    <xf numFmtId="0" fontId="74" fillId="27" borderId="0" xfId="79" applyFill="1" applyAlignment="1">
      <alignment horizontal="center"/>
    </xf>
    <xf numFmtId="169" fontId="74" fillId="27" borderId="0" xfId="79" applyNumberFormat="1" applyFill="1" applyAlignment="1">
      <alignment horizontal="center"/>
    </xf>
    <xf numFmtId="0" fontId="74" fillId="0" borderId="0" xfId="79" applyAlignment="1">
      <alignment horizontal="center"/>
    </xf>
    <xf numFmtId="169" fontId="74" fillId="0" borderId="0" xfId="79" applyNumberFormat="1" applyAlignment="1">
      <alignment horizontal="center"/>
    </xf>
    <xf numFmtId="169" fontId="74" fillId="25" borderId="0" xfId="79" applyNumberFormat="1" applyFill="1" applyAlignment="1">
      <alignment horizontal="center"/>
    </xf>
    <xf numFmtId="169" fontId="17" fillId="25" borderId="0" xfId="75" applyNumberFormat="1" applyFill="1"/>
    <xf numFmtId="0" fontId="17" fillId="0" borderId="0" xfId="75" applyAlignment="1">
      <alignment horizontal="right"/>
    </xf>
    <xf numFmtId="0" fontId="17" fillId="28" borderId="0" xfId="75" applyFill="1"/>
    <xf numFmtId="0" fontId="22" fillId="26" borderId="86" xfId="75" applyFont="1" applyFill="1" applyBorder="1" applyAlignment="1">
      <alignment horizontal="center"/>
    </xf>
    <xf numFmtId="164" fontId="22" fillId="26" borderId="41" xfId="75" applyNumberFormat="1" applyFont="1" applyFill="1" applyBorder="1" applyAlignment="1">
      <alignment vertical="center"/>
    </xf>
    <xf numFmtId="164" fontId="17" fillId="0" borderId="0" xfId="75" applyNumberFormat="1"/>
    <xf numFmtId="0" fontId="17" fillId="25" borderId="0" xfId="75" quotePrefix="1" applyFill="1" applyAlignment="1">
      <alignment horizontal="center"/>
    </xf>
    <xf numFmtId="0" fontId="17" fillId="29" borderId="0" xfId="75" applyFill="1"/>
    <xf numFmtId="0" fontId="71" fillId="0" borderId="0" xfId="75" applyFont="1"/>
    <xf numFmtId="0" fontId="75" fillId="0" borderId="0" xfId="75" applyFont="1"/>
    <xf numFmtId="0" fontId="76" fillId="0" borderId="0" xfId="75" applyFont="1"/>
    <xf numFmtId="0" fontId="57" fillId="0" borderId="0" xfId="75" applyFont="1"/>
    <xf numFmtId="0" fontId="57" fillId="0" borderId="0" xfId="75" applyFont="1" applyAlignment="1">
      <alignment horizontal="center"/>
    </xf>
    <xf numFmtId="0" fontId="17" fillId="0" borderId="0" xfId="75" applyAlignment="1">
      <alignment vertical="top"/>
    </xf>
    <xf numFmtId="0" fontId="17" fillId="0" borderId="0" xfId="75" applyAlignment="1">
      <alignment horizontal="left" vertical="top" wrapText="1"/>
    </xf>
    <xf numFmtId="0" fontId="17" fillId="0" borderId="0" xfId="75" applyAlignment="1">
      <alignment horizontal="center" vertical="top"/>
    </xf>
    <xf numFmtId="0" fontId="57" fillId="0" borderId="0" xfId="75" applyFont="1" applyAlignment="1">
      <alignment vertical="top"/>
    </xf>
    <xf numFmtId="2" fontId="17" fillId="0" borderId="0" xfId="75" applyNumberFormat="1" applyAlignment="1">
      <alignment horizontal="center"/>
    </xf>
    <xf numFmtId="2" fontId="17" fillId="0" borderId="0" xfId="75" applyNumberFormat="1" applyAlignment="1">
      <alignment horizontal="center" vertical="center"/>
    </xf>
    <xf numFmtId="0" fontId="17" fillId="0" borderId="0" xfId="75" applyAlignment="1">
      <alignment horizontal="center" vertical="center"/>
    </xf>
    <xf numFmtId="164" fontId="25" fillId="26" borderId="63" xfId="75" applyNumberFormat="1" applyFont="1" applyFill="1" applyBorder="1" applyAlignment="1">
      <alignment horizontal="left"/>
    </xf>
    <xf numFmtId="2" fontId="57" fillId="0" borderId="0" xfId="75" applyNumberFormat="1" applyFont="1" applyAlignment="1">
      <alignment horizontal="center"/>
    </xf>
    <xf numFmtId="2" fontId="57" fillId="0" borderId="0" xfId="75" applyNumberFormat="1" applyFont="1" applyAlignment="1">
      <alignment horizontal="center" vertical="top"/>
    </xf>
    <xf numFmtId="0" fontId="77" fillId="0" borderId="0" xfId="75" applyFont="1"/>
    <xf numFmtId="165" fontId="25" fillId="26" borderId="67" xfId="77" applyFont="1" applyFill="1" applyBorder="1" applyAlignment="1">
      <alignment horizontal="center" vertical="center" wrapText="1"/>
    </xf>
    <xf numFmtId="0" fontId="22" fillId="26" borderId="63" xfId="75" applyFont="1" applyFill="1" applyBorder="1" applyAlignment="1">
      <alignment horizontal="left" vertical="center"/>
    </xf>
    <xf numFmtId="0" fontId="22" fillId="26" borderId="64" xfId="75" applyFont="1" applyFill="1" applyBorder="1" applyAlignment="1">
      <alignment horizontal="left" vertical="center"/>
    </xf>
    <xf numFmtId="0" fontId="25" fillId="26" borderId="62" xfId="75" applyFont="1" applyFill="1" applyBorder="1" applyAlignment="1">
      <alignment horizontal="left" vertical="center"/>
    </xf>
    <xf numFmtId="0" fontId="25" fillId="26" borderId="63" xfId="75" applyFont="1" applyFill="1" applyBorder="1" applyAlignment="1">
      <alignment horizontal="left" vertical="center"/>
    </xf>
    <xf numFmtId="0" fontId="25" fillId="26" borderId="64" xfId="75" applyFont="1" applyFill="1" applyBorder="1" applyAlignment="1">
      <alignment horizontal="left" vertical="center"/>
    </xf>
    <xf numFmtId="0" fontId="16" fillId="0" borderId="0" xfId="75" applyFont="1"/>
    <xf numFmtId="0" fontId="65" fillId="0" borderId="0" xfId="75" applyFont="1" applyAlignment="1">
      <alignment horizontal="center" vertical="center"/>
    </xf>
    <xf numFmtId="173" fontId="65" fillId="0" borderId="0" xfId="76" applyNumberFormat="1" applyFont="1" applyFill="1" applyBorder="1" applyAlignment="1">
      <alignment vertical="center"/>
    </xf>
    <xf numFmtId="165" fontId="65" fillId="0" borderId="0" xfId="77" applyFont="1" applyFill="1" applyBorder="1" applyAlignment="1">
      <alignment vertical="center"/>
    </xf>
    <xf numFmtId="0" fontId="65" fillId="0" borderId="0" xfId="75" applyFont="1" applyAlignment="1">
      <alignment horizontal="center"/>
    </xf>
    <xf numFmtId="0" fontId="65" fillId="0" borderId="0" xfId="75" applyFont="1" applyAlignment="1">
      <alignment horizontal="left" vertical="center"/>
    </xf>
    <xf numFmtId="0" fontId="69" fillId="0" borderId="0" xfId="75" applyFont="1"/>
    <xf numFmtId="0" fontId="65" fillId="0" borderId="0" xfId="78" applyFont="1"/>
    <xf numFmtId="0" fontId="69" fillId="0" borderId="0" xfId="75" applyFont="1" applyAlignment="1">
      <alignment horizontal="center"/>
    </xf>
    <xf numFmtId="0" fontId="69" fillId="0" borderId="0" xfId="75" applyFont="1" applyAlignment="1">
      <alignment horizontal="center" vertical="center"/>
    </xf>
    <xf numFmtId="0" fontId="69" fillId="0" borderId="0" xfId="75" applyFont="1" applyAlignment="1">
      <alignment vertical="center"/>
    </xf>
    <xf numFmtId="0" fontId="65" fillId="0" borderId="0" xfId="75" applyFont="1"/>
    <xf numFmtId="173" fontId="69" fillId="0" borderId="0" xfId="76" applyNumberFormat="1" applyFont="1" applyFill="1" applyBorder="1" applyAlignment="1">
      <alignment vertical="center"/>
    </xf>
    <xf numFmtId="165" fontId="69" fillId="0" borderId="0" xfId="77" applyFont="1" applyFill="1" applyBorder="1" applyAlignment="1">
      <alignment vertical="center"/>
    </xf>
    <xf numFmtId="173" fontId="65" fillId="26" borderId="50" xfId="76" applyNumberFormat="1" applyFont="1" applyFill="1" applyBorder="1" applyAlignment="1">
      <alignment horizontal="center" vertical="center" wrapText="1"/>
    </xf>
    <xf numFmtId="165" fontId="65" fillId="26" borderId="51" xfId="77" applyFont="1" applyFill="1" applyBorder="1" applyAlignment="1">
      <alignment horizontal="center" vertical="center" wrapText="1"/>
    </xf>
    <xf numFmtId="173" fontId="65" fillId="26" borderId="22" xfId="76" applyNumberFormat="1" applyFont="1" applyFill="1" applyBorder="1" applyAlignment="1">
      <alignment horizontal="center" vertical="center" wrapText="1"/>
    </xf>
    <xf numFmtId="165" fontId="65" fillId="26" borderId="27" xfId="77" applyFont="1" applyFill="1" applyBorder="1" applyAlignment="1">
      <alignment horizontal="center" vertical="center" wrapText="1"/>
    </xf>
    <xf numFmtId="0" fontId="65" fillId="26" borderId="55" xfId="75" applyFont="1" applyFill="1" applyBorder="1" applyAlignment="1">
      <alignment horizontal="center"/>
    </xf>
    <xf numFmtId="0" fontId="65" fillId="26" borderId="56" xfId="75" applyFont="1" applyFill="1" applyBorder="1" applyAlignment="1">
      <alignment horizontal="center" vertical="center"/>
    </xf>
    <xf numFmtId="0" fontId="65" fillId="26" borderId="58" xfId="75" applyFont="1" applyFill="1" applyBorder="1" applyAlignment="1">
      <alignment horizontal="center" vertical="center"/>
    </xf>
    <xf numFmtId="0" fontId="65" fillId="26" borderId="59" xfId="75" applyFont="1" applyFill="1" applyBorder="1" applyAlignment="1">
      <alignment horizontal="center" vertical="center"/>
    </xf>
    <xf numFmtId="173" fontId="65" fillId="26" borderId="59" xfId="76" applyNumberFormat="1" applyFont="1" applyFill="1" applyBorder="1" applyAlignment="1">
      <alignment horizontal="right" vertical="center"/>
    </xf>
    <xf numFmtId="165" fontId="65" fillId="26" borderId="60" xfId="77" applyFont="1" applyFill="1" applyBorder="1" applyAlignment="1">
      <alignment horizontal="center" vertical="center" wrapText="1"/>
    </xf>
    <xf numFmtId="41" fontId="69" fillId="0" borderId="0" xfId="76" applyFont="1"/>
    <xf numFmtId="0" fontId="65" fillId="26" borderId="61" xfId="75" applyFont="1" applyFill="1" applyBorder="1" applyAlignment="1">
      <alignment horizontal="center"/>
    </xf>
    <xf numFmtId="0" fontId="65" fillId="26" borderId="62" xfId="75" applyFont="1" applyFill="1" applyBorder="1" applyAlignment="1">
      <alignment horizontal="center" vertical="center"/>
    </xf>
    <xf numFmtId="0" fontId="65" fillId="26" borderId="64" xfId="75" applyFont="1" applyFill="1" applyBorder="1" applyAlignment="1">
      <alignment horizontal="center" vertical="center"/>
    </xf>
    <xf numFmtId="0" fontId="65" fillId="26" borderId="65" xfId="75" applyFont="1" applyFill="1" applyBorder="1" applyAlignment="1">
      <alignment horizontal="center" vertical="center"/>
    </xf>
    <xf numFmtId="173" fontId="65" fillId="26" borderId="65" xfId="76" applyNumberFormat="1" applyFont="1" applyFill="1" applyBorder="1" applyAlignment="1">
      <alignment horizontal="right" vertical="center"/>
    </xf>
    <xf numFmtId="165" fontId="65" fillId="26" borderId="66" xfId="77" applyFont="1" applyFill="1" applyBorder="1" applyAlignment="1">
      <alignment horizontal="center" vertical="center" wrapText="1"/>
    </xf>
    <xf numFmtId="164" fontId="69" fillId="26" borderId="0" xfId="75" applyNumberFormat="1" applyFont="1" applyFill="1" applyAlignment="1">
      <alignment horizontal="left"/>
    </xf>
    <xf numFmtId="0" fontId="69" fillId="26" borderId="61" xfId="75" applyFont="1" applyFill="1" applyBorder="1" applyAlignment="1">
      <alignment horizontal="center"/>
    </xf>
    <xf numFmtId="164" fontId="69" fillId="26" borderId="64" xfId="75" applyNumberFormat="1" applyFont="1" applyFill="1" applyBorder="1" applyAlignment="1">
      <alignment horizontal="left"/>
    </xf>
    <xf numFmtId="0" fontId="65" fillId="26" borderId="65" xfId="75" applyFont="1" applyFill="1" applyBorder="1" applyAlignment="1">
      <alignment horizontal="right" vertical="center"/>
    </xf>
    <xf numFmtId="165" fontId="69" fillId="26" borderId="62" xfId="77" applyFont="1" applyFill="1" applyBorder="1" applyAlignment="1">
      <alignment horizontal="center" vertical="center"/>
    </xf>
    <xf numFmtId="0" fontId="69" fillId="26" borderId="64" xfId="75" applyFont="1" applyFill="1" applyBorder="1" applyAlignment="1">
      <alignment horizontal="center" vertical="center"/>
    </xf>
    <xf numFmtId="49" fontId="69" fillId="26" borderId="62" xfId="75" applyNumberFormat="1" applyFont="1" applyFill="1" applyBorder="1" applyAlignment="1">
      <alignment horizontal="center" vertical="center"/>
    </xf>
    <xf numFmtId="173" fontId="69" fillId="26" borderId="62" xfId="76" applyNumberFormat="1" applyFont="1" applyFill="1" applyBorder="1" applyAlignment="1">
      <alignment horizontal="center" vertical="center"/>
    </xf>
    <xf numFmtId="165" fontId="69" fillId="26" borderId="67" xfId="77" applyFont="1" applyFill="1" applyBorder="1" applyAlignment="1">
      <alignment horizontal="center" vertical="center" wrapText="1"/>
    </xf>
    <xf numFmtId="0" fontId="65" fillId="26" borderId="63" xfId="75" applyFont="1" applyFill="1" applyBorder="1" applyAlignment="1">
      <alignment horizontal="right" vertical="center"/>
    </xf>
    <xf numFmtId="0" fontId="65" fillId="26" borderId="64" xfId="75" applyFont="1" applyFill="1" applyBorder="1" applyAlignment="1">
      <alignment horizontal="right" vertical="center"/>
    </xf>
    <xf numFmtId="165" fontId="69" fillId="26" borderId="62" xfId="77" quotePrefix="1" applyFont="1" applyFill="1" applyBorder="1" applyAlignment="1">
      <alignment horizontal="center" vertical="center"/>
    </xf>
    <xf numFmtId="164" fontId="69" fillId="26" borderId="63" xfId="75" applyNumberFormat="1" applyFont="1" applyFill="1" applyBorder="1" applyAlignment="1">
      <alignment horizontal="left"/>
    </xf>
    <xf numFmtId="164" fontId="69" fillId="26" borderId="62" xfId="75" applyNumberFormat="1" applyFont="1" applyFill="1" applyBorder="1" applyAlignment="1">
      <alignment horizontal="center" vertical="center"/>
    </xf>
    <xf numFmtId="164" fontId="65" fillId="26" borderId="63" xfId="75" applyNumberFormat="1" applyFont="1" applyFill="1" applyBorder="1" applyAlignment="1">
      <alignment horizontal="left"/>
    </xf>
    <xf numFmtId="0" fontId="69" fillId="26" borderId="63" xfId="75" applyFont="1" applyFill="1" applyBorder="1" applyAlignment="1">
      <alignment horizontal="right" vertical="center"/>
    </xf>
    <xf numFmtId="0" fontId="69" fillId="26" borderId="64" xfId="75" applyFont="1" applyFill="1" applyBorder="1" applyAlignment="1">
      <alignment horizontal="right" vertical="center"/>
    </xf>
    <xf numFmtId="164" fontId="69" fillId="26" borderId="63" xfId="75" quotePrefix="1" applyNumberFormat="1" applyFont="1" applyFill="1" applyBorder="1" applyAlignment="1">
      <alignment horizontal="left"/>
    </xf>
    <xf numFmtId="164" fontId="69" fillId="26" borderId="62" xfId="75" applyNumberFormat="1" applyFont="1" applyFill="1" applyBorder="1" applyAlignment="1">
      <alignment horizontal="left"/>
    </xf>
    <xf numFmtId="164" fontId="65" fillId="26" borderId="62" xfId="75" applyNumberFormat="1" applyFont="1" applyFill="1" applyBorder="1" applyAlignment="1">
      <alignment horizontal="left"/>
    </xf>
    <xf numFmtId="165" fontId="65" fillId="26" borderId="62" xfId="77" applyFont="1" applyFill="1" applyBorder="1" applyAlignment="1">
      <alignment horizontal="center" vertical="center"/>
    </xf>
    <xf numFmtId="164" fontId="65" fillId="26" borderId="62" xfId="75" applyNumberFormat="1" applyFont="1" applyFill="1" applyBorder="1" applyAlignment="1">
      <alignment horizontal="center" vertical="center"/>
    </xf>
    <xf numFmtId="41" fontId="65" fillId="0" borderId="0" xfId="76" applyFont="1"/>
    <xf numFmtId="0" fontId="65" fillId="26" borderId="71" xfId="75" applyFont="1" applyFill="1" applyBorder="1" applyAlignment="1">
      <alignment vertical="center"/>
    </xf>
    <xf numFmtId="0" fontId="65" fillId="26" borderId="72" xfId="75" applyFont="1" applyFill="1" applyBorder="1" applyAlignment="1">
      <alignment vertical="center"/>
    </xf>
    <xf numFmtId="165" fontId="65" fillId="26" borderId="73" xfId="77" applyFont="1" applyFill="1" applyBorder="1" applyAlignment="1">
      <alignment horizontal="center" vertical="center" wrapText="1"/>
    </xf>
    <xf numFmtId="0" fontId="16" fillId="0" borderId="0" xfId="75" applyFont="1" applyAlignment="1">
      <alignment horizontal="center"/>
    </xf>
    <xf numFmtId="165" fontId="69" fillId="26" borderId="68" xfId="77" applyFont="1" applyFill="1" applyBorder="1" applyAlignment="1">
      <alignment horizontal="center" vertical="center"/>
    </xf>
    <xf numFmtId="0" fontId="69" fillId="26" borderId="69" xfId="75" applyFont="1" applyFill="1" applyBorder="1" applyAlignment="1">
      <alignment horizontal="center" vertical="center"/>
    </xf>
    <xf numFmtId="165" fontId="69" fillId="26" borderId="0" xfId="77" applyFont="1" applyFill="1" applyBorder="1" applyAlignment="1">
      <alignment horizontal="center" vertical="center" wrapText="1"/>
    </xf>
    <xf numFmtId="0" fontId="65" fillId="26" borderId="71" xfId="75" applyFont="1" applyFill="1" applyBorder="1" applyAlignment="1">
      <alignment horizontal="center"/>
    </xf>
    <xf numFmtId="165" fontId="69" fillId="26" borderId="0" xfId="77" applyFont="1" applyFill="1" applyBorder="1" applyAlignment="1">
      <alignment horizontal="center" vertical="center"/>
    </xf>
    <xf numFmtId="0" fontId="65" fillId="26" borderId="74" xfId="75" applyFont="1" applyFill="1" applyBorder="1" applyAlignment="1">
      <alignment horizontal="center"/>
    </xf>
    <xf numFmtId="164" fontId="65" fillId="26" borderId="68" xfId="75" applyNumberFormat="1" applyFont="1" applyFill="1" applyBorder="1" applyAlignment="1">
      <alignment vertical="center"/>
    </xf>
    <xf numFmtId="0" fontId="69" fillId="26" borderId="70" xfId="75" applyFont="1" applyFill="1" applyBorder="1" applyAlignment="1">
      <alignment vertical="center"/>
    </xf>
    <xf numFmtId="0" fontId="69" fillId="26" borderId="69" xfId="75" applyFont="1" applyFill="1" applyBorder="1" applyAlignment="1">
      <alignment vertical="center"/>
    </xf>
    <xf numFmtId="164" fontId="69" fillId="26" borderId="75" xfId="75" applyNumberFormat="1" applyFont="1" applyFill="1" applyBorder="1" applyAlignment="1">
      <alignment horizontal="center" vertical="center"/>
    </xf>
    <xf numFmtId="173" fontId="69" fillId="26" borderId="75" xfId="76" applyNumberFormat="1" applyFont="1" applyFill="1" applyBorder="1" applyAlignment="1">
      <alignment horizontal="right" vertical="center"/>
    </xf>
    <xf numFmtId="165" fontId="69" fillId="26" borderId="76" xfId="77" applyFont="1" applyFill="1" applyBorder="1" applyAlignment="1">
      <alignment horizontal="center" vertical="center" wrapText="1"/>
    </xf>
    <xf numFmtId="0" fontId="69" fillId="26" borderId="74" xfId="75" applyFont="1" applyFill="1" applyBorder="1" applyAlignment="1">
      <alignment horizontal="center"/>
    </xf>
    <xf numFmtId="164" fontId="69" fillId="26" borderId="68" xfId="75" applyNumberFormat="1" applyFont="1" applyFill="1" applyBorder="1" applyAlignment="1">
      <alignment vertical="center"/>
    </xf>
    <xf numFmtId="49" fontId="69" fillId="26" borderId="75" xfId="75" applyNumberFormat="1" applyFont="1" applyFill="1" applyBorder="1" applyAlignment="1">
      <alignment horizontal="center" vertical="center"/>
    </xf>
    <xf numFmtId="0" fontId="69" fillId="26" borderId="77" xfId="75" applyFont="1" applyFill="1" applyBorder="1" applyAlignment="1">
      <alignment horizontal="center"/>
    </xf>
    <xf numFmtId="164" fontId="69" fillId="26" borderId="62" xfId="75" applyNumberFormat="1" applyFont="1" applyFill="1" applyBorder="1" applyAlignment="1">
      <alignment vertical="center"/>
    </xf>
    <xf numFmtId="0" fontId="69" fillId="26" borderId="70" xfId="75" applyFont="1" applyFill="1" applyBorder="1" applyAlignment="1">
      <alignment horizontal="center" vertical="center"/>
    </xf>
    <xf numFmtId="173" fontId="69" fillId="26" borderId="75" xfId="76" applyNumberFormat="1" applyFont="1" applyFill="1" applyBorder="1" applyAlignment="1">
      <alignment horizontal="center" vertical="center"/>
    </xf>
    <xf numFmtId="0" fontId="65" fillId="26" borderId="79" xfId="75" applyFont="1" applyFill="1" applyBorder="1" applyAlignment="1">
      <alignment horizontal="center" vertical="center"/>
    </xf>
    <xf numFmtId="0" fontId="65" fillId="26" borderId="62" xfId="75" applyFont="1" applyFill="1" applyBorder="1" applyAlignment="1">
      <alignment vertical="center"/>
    </xf>
    <xf numFmtId="0" fontId="69" fillId="26" borderId="63" xfId="75" applyFont="1" applyFill="1" applyBorder="1" applyAlignment="1">
      <alignment vertical="center"/>
    </xf>
    <xf numFmtId="0" fontId="69" fillId="26" borderId="64" xfId="75" applyFont="1" applyFill="1" applyBorder="1" applyAlignment="1">
      <alignment vertical="center"/>
    </xf>
    <xf numFmtId="0" fontId="69" fillId="26" borderId="63" xfId="75" applyFont="1" applyFill="1" applyBorder="1" applyAlignment="1">
      <alignment horizontal="center" vertical="center"/>
    </xf>
    <xf numFmtId="0" fontId="69" fillId="26" borderId="65" xfId="75" applyFont="1" applyFill="1" applyBorder="1" applyAlignment="1">
      <alignment horizontal="center" vertical="center"/>
    </xf>
    <xf numFmtId="173" fontId="69" fillId="26" borderId="65" xfId="76" applyNumberFormat="1" applyFont="1" applyFill="1" applyBorder="1" applyAlignment="1">
      <alignment horizontal="center" vertical="center"/>
    </xf>
    <xf numFmtId="165" fontId="69" fillId="26" borderId="66" xfId="77" applyFont="1" applyFill="1" applyBorder="1" applyAlignment="1">
      <alignment horizontal="center" vertical="center" wrapText="1"/>
    </xf>
    <xf numFmtId="165" fontId="69" fillId="26" borderId="80" xfId="77" applyFont="1" applyFill="1" applyBorder="1" applyAlignment="1">
      <alignment horizontal="center" vertical="center" wrapText="1"/>
    </xf>
    <xf numFmtId="0" fontId="69" fillId="26" borderId="77" xfId="75" applyFont="1" applyFill="1" applyBorder="1" applyAlignment="1">
      <alignment horizontal="center" vertical="center"/>
    </xf>
    <xf numFmtId="165" fontId="69" fillId="26" borderId="78" xfId="77" applyFont="1" applyFill="1" applyBorder="1" applyAlignment="1">
      <alignment horizontal="center" vertical="center" wrapText="1"/>
    </xf>
    <xf numFmtId="0" fontId="69" fillId="26" borderId="62" xfId="75" applyFont="1" applyFill="1" applyBorder="1" applyAlignment="1">
      <alignment vertical="center"/>
    </xf>
    <xf numFmtId="0" fontId="65" fillId="26" borderId="70" xfId="75" applyFont="1" applyFill="1" applyBorder="1" applyAlignment="1">
      <alignment vertical="center"/>
    </xf>
    <xf numFmtId="0" fontId="69" fillId="26" borderId="77" xfId="75" applyFont="1" applyFill="1" applyBorder="1" applyAlignment="1">
      <alignment horizontal="right" vertical="center"/>
    </xf>
    <xf numFmtId="0" fontId="69" fillId="26" borderId="81" xfId="75" applyFont="1" applyFill="1" applyBorder="1" applyAlignment="1">
      <alignment horizontal="right" vertical="center"/>
    </xf>
    <xf numFmtId="0" fontId="65" fillId="26" borderId="82" xfId="75" applyFont="1" applyFill="1" applyBorder="1" applyAlignment="1">
      <alignment vertical="center"/>
    </xf>
    <xf numFmtId="0" fontId="69" fillId="26" borderId="83" xfId="75" applyFont="1" applyFill="1" applyBorder="1" applyAlignment="1">
      <alignment vertical="center"/>
    </xf>
    <xf numFmtId="0" fontId="69" fillId="26" borderId="82" xfId="75" applyFont="1" applyFill="1" applyBorder="1" applyAlignment="1">
      <alignment horizontal="center" vertical="center"/>
    </xf>
    <xf numFmtId="173" fontId="69" fillId="26" borderId="85" xfId="76" applyNumberFormat="1" applyFont="1" applyFill="1" applyBorder="1" applyAlignment="1">
      <alignment horizontal="center" vertical="center"/>
    </xf>
    <xf numFmtId="164" fontId="17" fillId="0" borderId="0" xfId="75" applyNumberFormat="1" applyAlignment="1">
      <alignment horizontal="center"/>
    </xf>
    <xf numFmtId="164" fontId="17" fillId="0" borderId="0" xfId="75" applyNumberFormat="1" applyAlignment="1">
      <alignment horizontal="center" vertical="center"/>
    </xf>
    <xf numFmtId="164" fontId="57" fillId="0" borderId="0" xfId="75" applyNumberFormat="1" applyFont="1" applyAlignment="1">
      <alignment horizontal="center"/>
    </xf>
    <xf numFmtId="173" fontId="69" fillId="26" borderId="76" xfId="76" applyNumberFormat="1" applyFont="1" applyFill="1" applyBorder="1" applyAlignment="1">
      <alignment horizontal="center" vertical="center"/>
    </xf>
    <xf numFmtId="173" fontId="69" fillId="26" borderId="67" xfId="76" applyNumberFormat="1" applyFont="1" applyFill="1" applyBorder="1" applyAlignment="1">
      <alignment horizontal="center" vertical="center"/>
    </xf>
    <xf numFmtId="0" fontId="25" fillId="26" borderId="15" xfId="75" applyFont="1" applyFill="1" applyBorder="1" applyAlignment="1">
      <alignment horizontal="center"/>
    </xf>
    <xf numFmtId="0" fontId="25" fillId="26" borderId="24" xfId="75" applyFont="1" applyFill="1" applyBorder="1" applyAlignment="1">
      <alignment horizontal="right" vertical="center"/>
    </xf>
    <xf numFmtId="165" fontId="25" fillId="26" borderId="17" xfId="77" applyFont="1" applyFill="1" applyBorder="1" applyAlignment="1">
      <alignment horizontal="center" vertical="center" wrapText="1"/>
    </xf>
    <xf numFmtId="0" fontId="22" fillId="26" borderId="18" xfId="75" applyFont="1" applyFill="1" applyBorder="1" applyAlignment="1">
      <alignment horizontal="center"/>
    </xf>
    <xf numFmtId="164" fontId="22" fillId="26" borderId="87" xfId="75" applyNumberFormat="1" applyFont="1" applyFill="1" applyBorder="1" applyAlignment="1">
      <alignment horizontal="left"/>
    </xf>
    <xf numFmtId="0" fontId="25" fillId="26" borderId="87" xfId="75" applyFont="1" applyFill="1" applyBorder="1" applyAlignment="1">
      <alignment horizontal="right" vertical="center"/>
    </xf>
    <xf numFmtId="0" fontId="25" fillId="26" borderId="88" xfId="75" applyFont="1" applyFill="1" applyBorder="1" applyAlignment="1">
      <alignment horizontal="right" vertical="center"/>
    </xf>
    <xf numFmtId="165" fontId="22" fillId="26" borderId="20" xfId="77" applyFont="1" applyFill="1" applyBorder="1" applyAlignment="1">
      <alignment horizontal="center" vertical="center" wrapText="1"/>
    </xf>
    <xf numFmtId="0" fontId="22" fillId="26" borderId="7" xfId="75" applyFont="1" applyFill="1" applyBorder="1" applyAlignment="1">
      <alignment horizontal="center"/>
    </xf>
    <xf numFmtId="164" fontId="22" fillId="26" borderId="72" xfId="75" applyNumberFormat="1" applyFont="1" applyFill="1" applyBorder="1" applyAlignment="1">
      <alignment horizontal="left"/>
    </xf>
    <xf numFmtId="0" fontId="22" fillId="26" borderId="25" xfId="75" applyFont="1" applyFill="1" applyBorder="1" applyAlignment="1">
      <alignment horizontal="center"/>
    </xf>
    <xf numFmtId="164" fontId="22" fillId="26" borderId="89" xfId="75" applyNumberFormat="1" applyFont="1" applyFill="1" applyBorder="1" applyAlignment="1">
      <alignment horizontal="left"/>
    </xf>
    <xf numFmtId="0" fontId="25" fillId="26" borderId="89" xfId="75" applyFont="1" applyFill="1" applyBorder="1" applyAlignment="1">
      <alignment horizontal="right" vertical="center"/>
    </xf>
    <xf numFmtId="0" fontId="25" fillId="26" borderId="90" xfId="75" applyFont="1" applyFill="1" applyBorder="1" applyAlignment="1">
      <alignment horizontal="right" vertical="center"/>
    </xf>
    <xf numFmtId="165" fontId="25" fillId="26" borderId="8" xfId="77" applyFont="1" applyFill="1" applyBorder="1" applyAlignment="1">
      <alignment horizontal="center" vertical="center" wrapText="1"/>
    </xf>
    <xf numFmtId="0" fontId="65" fillId="26" borderId="63" xfId="75" applyFont="1" applyFill="1" applyBorder="1" applyAlignment="1">
      <alignment horizontal="left" vertical="center"/>
    </xf>
    <xf numFmtId="0" fontId="65" fillId="26" borderId="64" xfId="75" applyFont="1" applyFill="1" applyBorder="1" applyAlignment="1">
      <alignment horizontal="left" vertical="center"/>
    </xf>
    <xf numFmtId="0" fontId="69" fillId="0" borderId="84" xfId="83" applyFont="1" applyBorder="1" applyAlignment="1">
      <alignment horizontal="left"/>
    </xf>
    <xf numFmtId="0" fontId="69" fillId="0" borderId="84" xfId="83" quotePrefix="1" applyFont="1" applyBorder="1" applyAlignment="1">
      <alignment horizontal="left"/>
    </xf>
    <xf numFmtId="165" fontId="69" fillId="0" borderId="83" xfId="83" applyNumberFormat="1" applyFont="1" applyBorder="1" applyAlignment="1">
      <alignment horizontal="center"/>
    </xf>
    <xf numFmtId="164" fontId="71" fillId="0" borderId="0" xfId="75" applyNumberFormat="1" applyFont="1" applyAlignment="1">
      <alignment horizontal="center"/>
    </xf>
    <xf numFmtId="164" fontId="71" fillId="0" borderId="0" xfId="75" applyNumberFormat="1" applyFont="1" applyAlignment="1">
      <alignment horizontal="center" vertical="center"/>
    </xf>
    <xf numFmtId="0" fontId="15" fillId="0" borderId="0" xfId="75" applyFont="1"/>
    <xf numFmtId="0" fontId="71" fillId="0" borderId="0" xfId="75" applyFont="1" applyAlignment="1">
      <alignment horizontal="left" vertical="center"/>
    </xf>
    <xf numFmtId="0" fontId="81" fillId="0" borderId="0" xfId="75" applyFont="1"/>
    <xf numFmtId="2" fontId="15" fillId="0" borderId="0" xfId="75" applyNumberFormat="1" applyFont="1" applyAlignment="1">
      <alignment horizontal="center"/>
    </xf>
    <xf numFmtId="0" fontId="82" fillId="0" borderId="0" xfId="75" applyFont="1"/>
    <xf numFmtId="0" fontId="17" fillId="24" borderId="0" xfId="75" applyFill="1"/>
    <xf numFmtId="0" fontId="14" fillId="0" borderId="0" xfId="75" applyFont="1" applyAlignment="1">
      <alignment horizontal="left" vertical="top" wrapText="1"/>
    </xf>
    <xf numFmtId="0" fontId="14" fillId="0" borderId="0" xfId="75" applyFont="1"/>
    <xf numFmtId="0" fontId="83" fillId="0" borderId="0" xfId="75" applyFont="1" applyAlignment="1">
      <alignment horizontal="left" vertical="top" wrapText="1"/>
    </xf>
    <xf numFmtId="0" fontId="83" fillId="0" borderId="0" xfId="75" applyFont="1"/>
    <xf numFmtId="2" fontId="14" fillId="0" borderId="0" xfId="75" applyNumberFormat="1" applyFont="1" applyAlignment="1">
      <alignment horizontal="center"/>
    </xf>
    <xf numFmtId="0" fontId="16" fillId="0" borderId="0" xfId="75" applyFont="1" applyAlignment="1">
      <alignment vertical="top" wrapText="1"/>
    </xf>
    <xf numFmtId="0" fontId="14" fillId="0" borderId="0" xfId="75" applyFont="1" applyAlignment="1">
      <alignment vertical="top" wrapText="1"/>
    </xf>
    <xf numFmtId="0" fontId="83" fillId="0" borderId="0" xfId="75" applyFont="1" applyAlignment="1">
      <alignment vertical="top" wrapText="1"/>
    </xf>
    <xf numFmtId="0" fontId="13" fillId="0" borderId="0" xfId="75" applyFont="1" applyAlignment="1">
      <alignment horizontal="left" vertical="top" wrapText="1"/>
    </xf>
    <xf numFmtId="2" fontId="13" fillId="0" borderId="0" xfId="75" applyNumberFormat="1" applyFont="1" applyAlignment="1">
      <alignment horizontal="center"/>
    </xf>
    <xf numFmtId="0" fontId="13" fillId="0" borderId="0" xfId="75" applyFont="1"/>
    <xf numFmtId="0" fontId="12" fillId="0" borderId="0" xfId="75" applyFont="1" applyAlignment="1">
      <alignment vertical="top" wrapText="1"/>
    </xf>
    <xf numFmtId="2" fontId="12" fillId="0" borderId="0" xfId="75" applyNumberFormat="1" applyFont="1" applyAlignment="1">
      <alignment horizontal="center"/>
    </xf>
    <xf numFmtId="0" fontId="84" fillId="0" borderId="0" xfId="75" applyFont="1"/>
    <xf numFmtId="0" fontId="71" fillId="0" borderId="0" xfId="75" applyFont="1" applyAlignment="1">
      <alignment vertical="top"/>
    </xf>
    <xf numFmtId="0" fontId="11" fillId="0" borderId="0" xfId="75" applyFont="1" applyAlignment="1">
      <alignment horizontal="center"/>
    </xf>
    <xf numFmtId="0" fontId="10" fillId="0" borderId="0" xfId="75" applyFont="1" applyAlignment="1">
      <alignment horizontal="left" vertical="top" wrapText="1"/>
    </xf>
    <xf numFmtId="0" fontId="10" fillId="0" borderId="0" xfId="75" applyFont="1"/>
    <xf numFmtId="0" fontId="85" fillId="0" borderId="0" xfId="90" applyFont="1"/>
    <xf numFmtId="165" fontId="85" fillId="0" borderId="0" xfId="0" applyNumberFormat="1" applyFont="1"/>
    <xf numFmtId="0" fontId="85" fillId="0" borderId="0" xfId="0" applyFont="1"/>
    <xf numFmtId="43" fontId="85" fillId="0" borderId="0" xfId="90" applyNumberFormat="1" applyFont="1"/>
    <xf numFmtId="10" fontId="85" fillId="0" borderId="0" xfId="6" applyNumberFormat="1" applyFont="1"/>
    <xf numFmtId="165" fontId="85" fillId="0" borderId="0" xfId="90" applyNumberFormat="1" applyFont="1"/>
    <xf numFmtId="0" fontId="86" fillId="0" borderId="0" xfId="90" applyFont="1"/>
    <xf numFmtId="176" fontId="86" fillId="0" borderId="0" xfId="90" applyNumberFormat="1" applyFont="1"/>
    <xf numFmtId="165" fontId="86" fillId="0" borderId="0" xfId="90" applyNumberFormat="1" applyFont="1"/>
    <xf numFmtId="43" fontId="86" fillId="0" borderId="0" xfId="90" applyNumberFormat="1" applyFont="1"/>
    <xf numFmtId="10" fontId="86" fillId="0" borderId="0" xfId="90" applyNumberFormat="1" applyFont="1"/>
    <xf numFmtId="165" fontId="87" fillId="0" borderId="0" xfId="90" applyNumberFormat="1" applyFont="1"/>
    <xf numFmtId="0" fontId="69" fillId="26" borderId="62" xfId="75" applyFont="1" applyFill="1" applyBorder="1" applyAlignment="1">
      <alignment horizontal="center" vertical="center"/>
    </xf>
    <xf numFmtId="173" fontId="69" fillId="26" borderId="65" xfId="76" applyNumberFormat="1" applyFont="1" applyFill="1" applyBorder="1" applyAlignment="1">
      <alignment horizontal="right" vertical="center"/>
    </xf>
    <xf numFmtId="0" fontId="65" fillId="26" borderId="61" xfId="91" applyFont="1" applyFill="1" applyBorder="1" applyAlignment="1">
      <alignment horizontal="center"/>
    </xf>
    <xf numFmtId="0" fontId="65" fillId="26" borderId="64" xfId="91" applyFont="1" applyFill="1" applyBorder="1" applyAlignment="1">
      <alignment horizontal="center" vertical="center"/>
    </xf>
    <xf numFmtId="173" fontId="65" fillId="26" borderId="65" xfId="92" applyNumberFormat="1" applyFont="1" applyFill="1" applyBorder="1" applyAlignment="1">
      <alignment horizontal="right" vertical="center"/>
    </xf>
    <xf numFmtId="41" fontId="69" fillId="0" borderId="0" xfId="92" applyFont="1"/>
    <xf numFmtId="164" fontId="69" fillId="26" borderId="0" xfId="91" applyNumberFormat="1" applyFont="1" applyFill="1" applyAlignment="1">
      <alignment horizontal="left"/>
    </xf>
    <xf numFmtId="0" fontId="69" fillId="0" borderId="0" xfId="91" applyFont="1"/>
    <xf numFmtId="0" fontId="69" fillId="26" borderId="61" xfId="91" applyFont="1" applyFill="1" applyBorder="1" applyAlignment="1">
      <alignment horizontal="center"/>
    </xf>
    <xf numFmtId="164" fontId="69" fillId="26" borderId="62" xfId="91" applyNumberFormat="1" applyFont="1" applyFill="1" applyBorder="1" applyAlignment="1">
      <alignment horizontal="left"/>
    </xf>
    <xf numFmtId="0" fontId="65" fillId="26" borderId="63" xfId="91" applyFont="1" applyFill="1" applyBorder="1" applyAlignment="1">
      <alignment horizontal="right" vertical="center"/>
    </xf>
    <xf numFmtId="0" fontId="65" fillId="26" borderId="64" xfId="91" applyFont="1" applyFill="1" applyBorder="1" applyAlignment="1">
      <alignment horizontal="right" vertical="center"/>
    </xf>
    <xf numFmtId="0" fontId="69" fillId="26" borderId="63" xfId="91" applyFont="1" applyFill="1" applyBorder="1" applyAlignment="1">
      <alignment horizontal="center" vertical="center"/>
    </xf>
    <xf numFmtId="173" fontId="69" fillId="26" borderId="62" xfId="92" applyNumberFormat="1" applyFont="1" applyFill="1" applyBorder="1" applyAlignment="1">
      <alignment horizontal="center" vertical="center"/>
    </xf>
    <xf numFmtId="0" fontId="65" fillId="26" borderId="71" xfId="91" applyFont="1" applyFill="1" applyBorder="1" applyAlignment="1">
      <alignment horizontal="center"/>
    </xf>
    <xf numFmtId="0" fontId="65" fillId="26" borderId="72" xfId="91" applyFont="1" applyFill="1" applyBorder="1" applyAlignment="1">
      <alignment vertical="center"/>
    </xf>
    <xf numFmtId="0" fontId="65" fillId="26" borderId="28" xfId="91" applyFont="1" applyFill="1" applyBorder="1" applyAlignment="1">
      <alignment vertical="center"/>
    </xf>
    <xf numFmtId="165" fontId="65" fillId="26" borderId="8" xfId="77" applyFont="1" applyFill="1" applyBorder="1" applyAlignment="1">
      <alignment horizontal="center" vertical="center" wrapText="1"/>
    </xf>
    <xf numFmtId="166" fontId="26" fillId="0" borderId="6" xfId="0" applyNumberFormat="1" applyFont="1" applyBorder="1"/>
    <xf numFmtId="0" fontId="26" fillId="0" borderId="0" xfId="0" applyFont="1" applyAlignment="1">
      <alignment horizontal="right"/>
    </xf>
    <xf numFmtId="164" fontId="62" fillId="0" borderId="0" xfId="1" applyFont="1" applyFill="1" applyAlignment="1"/>
    <xf numFmtId="0" fontId="29" fillId="0" borderId="0" xfId="0" applyFont="1" applyAlignment="1">
      <alignment horizontal="center"/>
    </xf>
    <xf numFmtId="0" fontId="29" fillId="0" borderId="0" xfId="0" applyFont="1" applyAlignment="1">
      <alignment horizontal="right"/>
    </xf>
    <xf numFmtId="49" fontId="20" fillId="0" borderId="4" xfId="0" applyNumberFormat="1" applyFont="1" applyBorder="1"/>
    <xf numFmtId="49" fontId="20" fillId="0" borderId="5" xfId="0" applyNumberFormat="1" applyFont="1" applyBorder="1"/>
    <xf numFmtId="49" fontId="20" fillId="0" borderId="5" xfId="0" applyNumberFormat="1" applyFont="1" applyBorder="1" applyAlignment="1">
      <alignment horizontal="center"/>
    </xf>
    <xf numFmtId="49" fontId="20" fillId="0" borderId="5" xfId="0" applyNumberFormat="1" applyFont="1" applyBorder="1" applyAlignment="1">
      <alignment horizontal="right"/>
    </xf>
    <xf numFmtId="49" fontId="20" fillId="0" borderId="6" xfId="0" applyNumberFormat="1" applyFont="1" applyBorder="1"/>
    <xf numFmtId="49" fontId="20" fillId="0" borderId="7" xfId="0" applyNumberFormat="1" applyFont="1" applyBorder="1"/>
    <xf numFmtId="0" fontId="26" fillId="0" borderId="3" xfId="0" applyFont="1" applyBorder="1" applyAlignment="1">
      <alignment horizontal="right"/>
    </xf>
    <xf numFmtId="0" fontId="26" fillId="0" borderId="8" xfId="0" applyFont="1" applyBorder="1"/>
    <xf numFmtId="0" fontId="26" fillId="0" borderId="7" xfId="0" applyFont="1" applyBorder="1"/>
    <xf numFmtId="49" fontId="20" fillId="0" borderId="3" xfId="0" applyNumberFormat="1" applyFont="1" applyBorder="1" applyAlignment="1">
      <alignment horizontal="center"/>
    </xf>
    <xf numFmtId="167" fontId="20" fillId="0" borderId="3" xfId="0" applyNumberFormat="1" applyFont="1" applyBorder="1" applyAlignment="1">
      <alignment horizontal="right"/>
    </xf>
    <xf numFmtId="164" fontId="26" fillId="0" borderId="3" xfId="0" applyNumberFormat="1" applyFont="1" applyBorder="1"/>
    <xf numFmtId="0" fontId="26" fillId="0" borderId="9" xfId="0" applyFont="1" applyBorder="1"/>
    <xf numFmtId="49" fontId="20" fillId="0" borderId="10" xfId="0" applyNumberFormat="1" applyFont="1" applyBorder="1"/>
    <xf numFmtId="49" fontId="20" fillId="0" borderId="10" xfId="0" applyNumberFormat="1" applyFont="1" applyBorder="1" applyAlignment="1">
      <alignment horizontal="center"/>
    </xf>
    <xf numFmtId="167" fontId="20" fillId="0" borderId="10" xfId="0" applyNumberFormat="1" applyFont="1" applyBorder="1" applyAlignment="1">
      <alignment horizontal="right"/>
    </xf>
    <xf numFmtId="0" fontId="26" fillId="0" borderId="4" xfId="0" applyFont="1" applyBorder="1"/>
    <xf numFmtId="0" fontId="26" fillId="0" borderId="5" xfId="0" applyFont="1" applyBorder="1"/>
    <xf numFmtId="0" fontId="26" fillId="0" borderId="5" xfId="0" applyFont="1" applyBorder="1" applyAlignment="1">
      <alignment horizontal="center"/>
    </xf>
    <xf numFmtId="167" fontId="20" fillId="0" borderId="5" xfId="0" applyNumberFormat="1" applyFont="1" applyBorder="1" applyAlignment="1">
      <alignment horizontal="right"/>
    </xf>
    <xf numFmtId="164" fontId="26" fillId="0" borderId="5" xfId="0" applyNumberFormat="1" applyFont="1" applyBorder="1"/>
    <xf numFmtId="49" fontId="20" fillId="0" borderId="12" xfId="0" applyNumberFormat="1" applyFont="1" applyBorder="1"/>
    <xf numFmtId="49" fontId="20" fillId="0" borderId="13" xfId="0" applyNumberFormat="1" applyFont="1" applyBorder="1"/>
    <xf numFmtId="0" fontId="26" fillId="0" borderId="13" xfId="0" applyFont="1" applyBorder="1"/>
    <xf numFmtId="0" fontId="26" fillId="0" borderId="13" xfId="0" applyFont="1" applyBorder="1" applyAlignment="1">
      <alignment horizontal="center"/>
    </xf>
    <xf numFmtId="167" fontId="26" fillId="0" borderId="13" xfId="0" applyNumberFormat="1" applyFont="1" applyBorder="1" applyAlignment="1">
      <alignment horizontal="right"/>
    </xf>
    <xf numFmtId="164" fontId="26" fillId="0" borderId="13" xfId="0" applyNumberFormat="1" applyFont="1" applyBorder="1"/>
    <xf numFmtId="166" fontId="26" fillId="0" borderId="14" xfId="0" applyNumberFormat="1" applyFont="1" applyBorder="1"/>
    <xf numFmtId="0" fontId="26" fillId="0" borderId="10" xfId="0" applyFont="1" applyBorder="1"/>
    <xf numFmtId="166" fontId="26" fillId="0" borderId="11" xfId="0" applyNumberFormat="1" applyFont="1" applyBorder="1"/>
    <xf numFmtId="49" fontId="20" fillId="0" borderId="15" xfId="0" applyNumberFormat="1" applyFont="1" applyBorder="1"/>
    <xf numFmtId="49" fontId="20" fillId="0" borderId="16" xfId="0" applyNumberFormat="1" applyFont="1" applyBorder="1"/>
    <xf numFmtId="0" fontId="26" fillId="0" borderId="16" xfId="0" applyFont="1" applyBorder="1"/>
    <xf numFmtId="0" fontId="26" fillId="0" borderId="16" xfId="0" applyFont="1" applyBorder="1" applyAlignment="1">
      <alignment horizontal="center"/>
    </xf>
    <xf numFmtId="167" fontId="26" fillId="0" borderId="16" xfId="0" applyNumberFormat="1" applyFont="1" applyBorder="1" applyAlignment="1">
      <alignment horizontal="right"/>
    </xf>
    <xf numFmtId="164" fontId="26" fillId="0" borderId="16" xfId="0" applyNumberFormat="1" applyFont="1" applyBorder="1"/>
    <xf numFmtId="166" fontId="26" fillId="0" borderId="17" xfId="0" applyNumberFormat="1" applyFont="1" applyBorder="1"/>
    <xf numFmtId="49" fontId="20" fillId="0" borderId="9" xfId="0" applyNumberFormat="1" applyFont="1" applyBorder="1"/>
    <xf numFmtId="0" fontId="26" fillId="0" borderId="10" xfId="0" applyFont="1" applyBorder="1" applyAlignment="1">
      <alignment horizontal="center"/>
    </xf>
    <xf numFmtId="9" fontId="20" fillId="0" borderId="10" xfId="6" applyFont="1" applyFill="1" applyBorder="1" applyAlignment="1">
      <alignment horizontal="right"/>
    </xf>
    <xf numFmtId="164" fontId="26" fillId="0" borderId="10" xfId="0" applyNumberFormat="1" applyFont="1" applyBorder="1"/>
    <xf numFmtId="167" fontId="26" fillId="0" borderId="5" xfId="0" applyNumberFormat="1" applyFont="1" applyBorder="1" applyAlignment="1">
      <alignment horizontal="right"/>
    </xf>
    <xf numFmtId="167" fontId="26" fillId="0" borderId="0" xfId="0" applyNumberFormat="1" applyFont="1" applyAlignment="1">
      <alignment horizontal="right"/>
    </xf>
    <xf numFmtId="49" fontId="20" fillId="0" borderId="18" xfId="0" applyNumberFormat="1" applyFont="1" applyBorder="1"/>
    <xf numFmtId="49" fontId="20" fillId="0" borderId="19" xfId="0" applyNumberFormat="1" applyFont="1" applyBorder="1"/>
    <xf numFmtId="0" fontId="26" fillId="0" borderId="19" xfId="0" applyFont="1" applyBorder="1"/>
    <xf numFmtId="0" fontId="26" fillId="0" borderId="19" xfId="0" applyFont="1" applyBorder="1" applyAlignment="1">
      <alignment horizontal="center"/>
    </xf>
    <xf numFmtId="167" fontId="26" fillId="0" borderId="19" xfId="0" applyNumberFormat="1" applyFont="1" applyBorder="1" applyAlignment="1">
      <alignment horizontal="right"/>
    </xf>
    <xf numFmtId="164" fontId="26" fillId="0" borderId="19" xfId="0" applyNumberFormat="1" applyFont="1" applyBorder="1"/>
    <xf numFmtId="166" fontId="26" fillId="0" borderId="20" xfId="0" applyNumberFormat="1" applyFont="1" applyBorder="1"/>
    <xf numFmtId="167" fontId="26" fillId="0" borderId="3" xfId="0" applyNumberFormat="1" applyFont="1" applyBorder="1" applyAlignment="1">
      <alignment horizontal="right"/>
    </xf>
    <xf numFmtId="49" fontId="62" fillId="0" borderId="0" xfId="0" applyNumberFormat="1" applyFont="1"/>
    <xf numFmtId="167" fontId="29" fillId="0" borderId="0" xfId="0" applyNumberFormat="1" applyFont="1" applyAlignment="1">
      <alignment horizontal="right"/>
    </xf>
    <xf numFmtId="2" fontId="20" fillId="0" borderId="3" xfId="0" applyNumberFormat="1" applyFont="1" applyBorder="1" applyAlignment="1">
      <alignment horizontal="right"/>
    </xf>
    <xf numFmtId="164" fontId="26" fillId="0" borderId="3" xfId="0" applyNumberFormat="1" applyFont="1" applyBorder="1" applyAlignment="1">
      <alignment horizontal="left"/>
    </xf>
    <xf numFmtId="0" fontId="20" fillId="0" borderId="0" xfId="0" applyFont="1" applyAlignment="1">
      <alignment horizontal="left" vertical="center"/>
    </xf>
    <xf numFmtId="0" fontId="21" fillId="0" borderId="0" xfId="0" applyFont="1" applyAlignment="1">
      <alignment horizontal="left" vertical="center"/>
    </xf>
    <xf numFmtId="49" fontId="22" fillId="0" borderId="3" xfId="0" applyNumberFormat="1" applyFont="1" applyBorder="1"/>
    <xf numFmtId="0" fontId="26" fillId="0" borderId="25" xfId="0" applyFont="1" applyBorder="1"/>
    <xf numFmtId="49" fontId="20" fillId="0" borderId="26" xfId="0" applyNumberFormat="1" applyFont="1" applyBorder="1"/>
    <xf numFmtId="0" fontId="26" fillId="0" borderId="26" xfId="0" applyFont="1" applyBorder="1"/>
    <xf numFmtId="49" fontId="20" fillId="0" borderId="26" xfId="0" applyNumberFormat="1" applyFont="1" applyBorder="1" applyAlignment="1">
      <alignment horizontal="center"/>
    </xf>
    <xf numFmtId="167" fontId="20" fillId="0" borderId="26" xfId="0" applyNumberFormat="1" applyFont="1" applyBorder="1" applyAlignment="1">
      <alignment horizontal="right"/>
    </xf>
    <xf numFmtId="164" fontId="26" fillId="0" borderId="26" xfId="0" applyNumberFormat="1" applyFont="1" applyBorder="1"/>
    <xf numFmtId="166" fontId="26" fillId="0" borderId="23" xfId="0" applyNumberFormat="1" applyFont="1" applyBorder="1"/>
    <xf numFmtId="0" fontId="20" fillId="0" borderId="7" xfId="0" applyFont="1" applyBorder="1" applyAlignment="1">
      <alignment horizontal="left" vertical="center"/>
    </xf>
    <xf numFmtId="0" fontId="20" fillId="0" borderId="3" xfId="0" applyFont="1" applyBorder="1" applyAlignment="1">
      <alignment vertical="center"/>
    </xf>
    <xf numFmtId="0" fontId="20" fillId="0" borderId="3" xfId="0" applyFont="1" applyBorder="1" applyAlignment="1">
      <alignment horizontal="center" vertical="center"/>
    </xf>
    <xf numFmtId="0" fontId="20" fillId="0" borderId="3" xfId="0" applyFont="1" applyBorder="1" applyAlignment="1">
      <alignment horizontal="right" vertical="center"/>
    </xf>
    <xf numFmtId="0" fontId="20" fillId="0" borderId="9" xfId="0" applyFont="1" applyBorder="1" applyAlignment="1">
      <alignment horizontal="left" vertical="center"/>
    </xf>
    <xf numFmtId="0" fontId="20" fillId="0" borderId="10" xfId="0" applyFont="1" applyBorder="1" applyAlignment="1">
      <alignment vertical="center"/>
    </xf>
    <xf numFmtId="0" fontId="20" fillId="0" borderId="10" xfId="0" applyFont="1" applyBorder="1" applyAlignment="1">
      <alignment horizontal="left" vertical="center"/>
    </xf>
    <xf numFmtId="0" fontId="20" fillId="0" borderId="10" xfId="0" applyFont="1" applyBorder="1" applyAlignment="1">
      <alignment horizontal="center" vertical="center"/>
    </xf>
    <xf numFmtId="0" fontId="20" fillId="0" borderId="10" xfId="0" applyFont="1" applyBorder="1" applyAlignment="1">
      <alignment horizontal="right" vertical="center"/>
    </xf>
    <xf numFmtId="0" fontId="21" fillId="0" borderId="3" xfId="0" applyFont="1" applyBorder="1" applyAlignment="1">
      <alignment vertical="center"/>
    </xf>
    <xf numFmtId="0" fontId="21" fillId="0" borderId="10" xfId="0" applyFont="1" applyBorder="1" applyAlignment="1">
      <alignment vertical="center"/>
    </xf>
    <xf numFmtId="9" fontId="20" fillId="0" borderId="5" xfId="6" applyFont="1" applyFill="1" applyBorder="1" applyAlignment="1">
      <alignment horizontal="right"/>
    </xf>
    <xf numFmtId="49" fontId="20" fillId="0" borderId="21" xfId="0" applyNumberFormat="1" applyFont="1" applyBorder="1"/>
    <xf numFmtId="49" fontId="20" fillId="0" borderId="22" xfId="0" applyNumberFormat="1" applyFont="1" applyBorder="1"/>
    <xf numFmtId="0" fontId="26" fillId="0" borderId="22" xfId="0" applyFont="1" applyBorder="1"/>
    <xf numFmtId="0" fontId="26" fillId="0" borderId="22" xfId="0" applyFont="1" applyBorder="1" applyAlignment="1">
      <alignment horizontal="center"/>
    </xf>
    <xf numFmtId="167" fontId="26" fillId="0" borderId="22" xfId="0" applyNumberFormat="1" applyFont="1" applyBorder="1" applyAlignment="1">
      <alignment horizontal="right"/>
    </xf>
    <xf numFmtId="164" fontId="26" fillId="0" borderId="22" xfId="0" applyNumberFormat="1" applyFont="1" applyBorder="1"/>
    <xf numFmtId="166" fontId="26" fillId="0" borderId="27" xfId="0" applyNumberFormat="1" applyFont="1" applyBorder="1"/>
    <xf numFmtId="0" fontId="20" fillId="0" borderId="0" xfId="0" applyFont="1" applyAlignment="1">
      <alignment horizontal="right" vertical="center"/>
    </xf>
    <xf numFmtId="0" fontId="20" fillId="0" borderId="0" xfId="0" applyFont="1" applyAlignment="1">
      <alignment horizontal="center" vertical="center"/>
    </xf>
    <xf numFmtId="171" fontId="20" fillId="0" borderId="0" xfId="1" applyNumberFormat="1" applyFont="1" applyFill="1" applyBorder="1" applyAlignment="1">
      <alignment horizontal="left" vertical="center"/>
    </xf>
    <xf numFmtId="171" fontId="20" fillId="0" borderId="0" xfId="1" applyNumberFormat="1" applyFont="1" applyFill="1" applyBorder="1" applyAlignment="1"/>
    <xf numFmtId="171" fontId="26" fillId="0" borderId="0" xfId="1" applyNumberFormat="1" applyFont="1" applyFill="1" applyBorder="1" applyAlignment="1"/>
    <xf numFmtId="171" fontId="20" fillId="0" borderId="0" xfId="1" applyNumberFormat="1" applyFont="1" applyFill="1" applyBorder="1" applyAlignment="1">
      <alignment horizontal="right" vertical="center"/>
    </xf>
    <xf numFmtId="0" fontId="20" fillId="0" borderId="0" xfId="1" applyNumberFormat="1" applyFont="1" applyFill="1" applyBorder="1" applyAlignment="1">
      <alignment horizontal="right" vertical="center"/>
    </xf>
    <xf numFmtId="0" fontId="20" fillId="0" borderId="0" xfId="1" applyNumberFormat="1" applyFont="1" applyFill="1" applyBorder="1" applyAlignment="1">
      <alignment horizontal="center" vertical="center"/>
    </xf>
    <xf numFmtId="0" fontId="20" fillId="0" borderId="0" xfId="1" applyNumberFormat="1" applyFont="1" applyFill="1" applyBorder="1" applyAlignment="1">
      <alignment horizontal="center"/>
    </xf>
    <xf numFmtId="164" fontId="26" fillId="0" borderId="28" xfId="0" applyNumberFormat="1" applyFont="1" applyBorder="1"/>
    <xf numFmtId="164" fontId="26" fillId="0" borderId="29" xfId="0" applyNumberFormat="1" applyFont="1" applyBorder="1"/>
    <xf numFmtId="0" fontId="22" fillId="0" borderId="3" xfId="0" applyFont="1" applyBorder="1"/>
    <xf numFmtId="49" fontId="22" fillId="0" borderId="3" xfId="0" applyNumberFormat="1" applyFont="1" applyBorder="1" applyAlignment="1">
      <alignment horizontal="center"/>
    </xf>
    <xf numFmtId="167" fontId="22" fillId="0" borderId="3" xfId="0" applyNumberFormat="1" applyFont="1" applyBorder="1" applyAlignment="1">
      <alignment horizontal="right"/>
    </xf>
    <xf numFmtId="49" fontId="20" fillId="0" borderId="0" xfId="0" applyNumberFormat="1" applyFont="1" applyAlignment="1">
      <alignment horizontal="center"/>
    </xf>
    <xf numFmtId="172" fontId="20" fillId="0" borderId="3" xfId="1" applyNumberFormat="1" applyFont="1" applyFill="1" applyBorder="1" applyAlignment="1">
      <alignment horizontal="right" vertical="center"/>
    </xf>
    <xf numFmtId="172" fontId="20" fillId="0" borderId="10" xfId="1" applyNumberFormat="1" applyFont="1" applyFill="1" applyBorder="1" applyAlignment="1">
      <alignment horizontal="right" vertical="center"/>
    </xf>
    <xf numFmtId="0" fontId="20" fillId="0" borderId="26" xfId="0" applyFont="1" applyBorder="1" applyAlignment="1">
      <alignment horizontal="left" vertical="center"/>
    </xf>
    <xf numFmtId="0" fontId="26" fillId="0" borderId="21" xfId="0" applyFont="1" applyBorder="1"/>
    <xf numFmtId="167" fontId="20" fillId="0" borderId="22" xfId="0" applyNumberFormat="1" applyFont="1" applyBorder="1" applyAlignment="1">
      <alignment horizontal="right"/>
    </xf>
    <xf numFmtId="171" fontId="20" fillId="0" borderId="3" xfId="1" applyNumberFormat="1" applyFont="1" applyFill="1" applyBorder="1" applyAlignment="1">
      <alignment horizontal="right" vertical="center"/>
    </xf>
    <xf numFmtId="171" fontId="20" fillId="0" borderId="10" xfId="1" applyNumberFormat="1" applyFont="1" applyFill="1" applyBorder="1" applyAlignment="1">
      <alignment horizontal="right" vertical="center"/>
    </xf>
    <xf numFmtId="0" fontId="20" fillId="0" borderId="26" xfId="0" applyFont="1" applyBorder="1" applyAlignment="1">
      <alignment horizontal="right" vertical="center"/>
    </xf>
    <xf numFmtId="171" fontId="22" fillId="0" borderId="3" xfId="1" applyNumberFormat="1" applyFont="1" applyFill="1" applyBorder="1" applyAlignment="1">
      <alignment horizontal="right" vertical="center"/>
    </xf>
    <xf numFmtId="171" fontId="22" fillId="0" borderId="10" xfId="1" applyNumberFormat="1" applyFont="1" applyFill="1" applyBorder="1" applyAlignment="1">
      <alignment horizontal="right" vertical="center"/>
    </xf>
    <xf numFmtId="0" fontId="22" fillId="0" borderId="3" xfId="0" applyFont="1" applyBorder="1" applyAlignment="1">
      <alignment horizontal="right" vertical="center"/>
    </xf>
    <xf numFmtId="0" fontId="22" fillId="0" borderId="26" xfId="0" applyFont="1" applyBorder="1" applyAlignment="1">
      <alignment horizontal="right" vertical="center"/>
    </xf>
    <xf numFmtId="9" fontId="20" fillId="0" borderId="22" xfId="6" applyFont="1" applyFill="1" applyBorder="1" applyAlignment="1">
      <alignment horizontal="right"/>
    </xf>
    <xf numFmtId="167" fontId="20" fillId="0" borderId="0" xfId="0" applyNumberFormat="1" applyFont="1" applyAlignment="1">
      <alignment horizontal="right"/>
    </xf>
    <xf numFmtId="167" fontId="26" fillId="0" borderId="10" xfId="0" applyNumberFormat="1" applyFont="1" applyBorder="1" applyAlignment="1">
      <alignment horizontal="right"/>
    </xf>
    <xf numFmtId="9" fontId="20" fillId="0" borderId="3" xfId="6" applyFont="1" applyFill="1" applyBorder="1" applyAlignment="1">
      <alignment horizontal="right"/>
    </xf>
    <xf numFmtId="49" fontId="20" fillId="0" borderId="25" xfId="0" applyNumberFormat="1" applyFont="1" applyBorder="1"/>
    <xf numFmtId="0" fontId="26" fillId="0" borderId="26" xfId="0" applyFont="1" applyBorder="1" applyAlignment="1">
      <alignment horizontal="center"/>
    </xf>
    <xf numFmtId="167" fontId="26" fillId="0" borderId="26" xfId="0" applyNumberFormat="1" applyFont="1" applyBorder="1" applyAlignment="1">
      <alignment horizontal="right"/>
    </xf>
    <xf numFmtId="167" fontId="20" fillId="0" borderId="3" xfId="0" applyNumberFormat="1" applyFont="1" applyBorder="1" applyAlignment="1">
      <alignment horizontal="right" vertical="center"/>
    </xf>
    <xf numFmtId="167" fontId="20" fillId="0" borderId="10" xfId="0" applyNumberFormat="1" applyFont="1" applyBorder="1" applyAlignment="1">
      <alignment horizontal="right" vertical="center"/>
    </xf>
    <xf numFmtId="164" fontId="22" fillId="0" borderId="3" xfId="0" applyNumberFormat="1" applyFont="1" applyBorder="1"/>
    <xf numFmtId="0" fontId="22" fillId="0" borderId="5" xfId="0" applyFont="1" applyBorder="1"/>
    <xf numFmtId="0" fontId="22" fillId="0" borderId="5" xfId="0" applyFont="1" applyBorder="1" applyAlignment="1">
      <alignment horizontal="center"/>
    </xf>
    <xf numFmtId="167" fontId="22" fillId="0" borderId="5" xfId="0" applyNumberFormat="1" applyFont="1" applyBorder="1" applyAlignment="1">
      <alignment horizontal="right"/>
    </xf>
    <xf numFmtId="164" fontId="22" fillId="0" borderId="5" xfId="0" applyNumberFormat="1" applyFont="1" applyBorder="1"/>
    <xf numFmtId="0" fontId="22" fillId="0" borderId="3" xfId="0" applyFont="1" applyBorder="1" applyAlignment="1">
      <alignment horizontal="center"/>
    </xf>
    <xf numFmtId="49" fontId="22" fillId="0" borderId="19" xfId="0" applyNumberFormat="1" applyFont="1" applyBorder="1"/>
    <xf numFmtId="0" fontId="22" fillId="0" borderId="19" xfId="0" applyFont="1" applyBorder="1"/>
    <xf numFmtId="0" fontId="22" fillId="0" borderId="19" xfId="0" applyFont="1" applyBorder="1" applyAlignment="1">
      <alignment horizontal="center"/>
    </xf>
    <xf numFmtId="167" fontId="22" fillId="0" borderId="19" xfId="0" applyNumberFormat="1" applyFont="1" applyBorder="1" applyAlignment="1">
      <alignment horizontal="right"/>
    </xf>
    <xf numFmtId="164" fontId="22" fillId="0" borderId="19" xfId="0" applyNumberFormat="1" applyFont="1" applyBorder="1"/>
    <xf numFmtId="49" fontId="22" fillId="0" borderId="16" xfId="0" applyNumberFormat="1" applyFont="1" applyBorder="1"/>
    <xf numFmtId="0" fontId="22" fillId="0" borderId="16" xfId="0" applyFont="1" applyBorder="1"/>
    <xf numFmtId="0" fontId="22" fillId="0" borderId="16" xfId="0" applyFont="1" applyBorder="1" applyAlignment="1">
      <alignment horizontal="center"/>
    </xf>
    <xf numFmtId="164" fontId="22" fillId="0" borderId="16" xfId="0" applyNumberFormat="1" applyFont="1" applyBorder="1"/>
    <xf numFmtId="49" fontId="22" fillId="0" borderId="5" xfId="0" applyNumberFormat="1" applyFont="1" applyBorder="1"/>
    <xf numFmtId="49" fontId="22" fillId="0" borderId="0" xfId="0" applyNumberFormat="1" applyFont="1"/>
    <xf numFmtId="0" fontId="22" fillId="0" borderId="0" xfId="0" applyFont="1"/>
    <xf numFmtId="0" fontId="22" fillId="0" borderId="0" xfId="0" applyFont="1" applyAlignment="1">
      <alignment horizontal="center"/>
    </xf>
    <xf numFmtId="167" fontId="22" fillId="0" borderId="0" xfId="0" applyNumberFormat="1" applyFont="1" applyAlignment="1">
      <alignment horizontal="right"/>
    </xf>
    <xf numFmtId="49" fontId="22" fillId="0" borderId="5" xfId="0" applyNumberFormat="1" applyFont="1" applyBorder="1" applyAlignment="1">
      <alignment horizontal="center"/>
    </xf>
    <xf numFmtId="49" fontId="22" fillId="0" borderId="5" xfId="0" applyNumberFormat="1" applyFont="1" applyBorder="1" applyAlignment="1">
      <alignment horizontal="right"/>
    </xf>
    <xf numFmtId="167" fontId="20" fillId="0" borderId="3" xfId="0" applyNumberFormat="1" applyFont="1" applyBorder="1" applyAlignment="1">
      <alignment horizontal="center"/>
    </xf>
    <xf numFmtId="0" fontId="20" fillId="0" borderId="3" xfId="0" applyFont="1" applyBorder="1" applyAlignment="1">
      <alignment horizontal="right"/>
    </xf>
    <xf numFmtId="168" fontId="20" fillId="0" borderId="3" xfId="0" applyNumberFormat="1" applyFont="1" applyBorder="1" applyAlignment="1">
      <alignment horizontal="right"/>
    </xf>
    <xf numFmtId="49" fontId="20" fillId="0" borderId="3" xfId="0" applyNumberFormat="1" applyFont="1" applyBorder="1" applyAlignment="1">
      <alignment horizontal="right"/>
    </xf>
    <xf numFmtId="165" fontId="26" fillId="0" borderId="8" xfId="73" applyFont="1" applyFill="1" applyBorder="1"/>
    <xf numFmtId="169" fontId="20" fillId="0" borderId="3" xfId="0" applyNumberFormat="1" applyFont="1" applyBorder="1" applyAlignment="1">
      <alignment horizontal="right"/>
    </xf>
    <xf numFmtId="165" fontId="26" fillId="0" borderId="0" xfId="0" applyNumberFormat="1" applyFont="1"/>
    <xf numFmtId="167" fontId="26" fillId="0" borderId="3" xfId="0" applyNumberFormat="1" applyFont="1" applyBorder="1" applyAlignment="1">
      <alignment horizontal="center"/>
    </xf>
    <xf numFmtId="169" fontId="26" fillId="0" borderId="3" xfId="0" applyNumberFormat="1" applyFont="1" applyBorder="1" applyAlignment="1">
      <alignment horizontal="right"/>
    </xf>
    <xf numFmtId="49" fontId="20" fillId="0" borderId="24" xfId="0" applyNumberFormat="1" applyFont="1" applyBorder="1"/>
    <xf numFmtId="164" fontId="29" fillId="0" borderId="0" xfId="0" applyNumberFormat="1" applyFont="1"/>
    <xf numFmtId="0" fontId="22" fillId="0" borderId="3" xfId="0" applyFont="1" applyBorder="1" applyAlignment="1">
      <alignment vertical="center"/>
    </xf>
    <xf numFmtId="170" fontId="22" fillId="0" borderId="3" xfId="9" quotePrefix="1" applyNumberFormat="1" applyBorder="1" applyAlignment="1">
      <alignment horizontal="right" vertical="center"/>
    </xf>
    <xf numFmtId="0" fontId="25" fillId="0" borderId="0" xfId="0" applyFont="1" applyAlignment="1">
      <alignment horizontal="left" vertical="center"/>
    </xf>
    <xf numFmtId="0" fontId="22" fillId="0" borderId="0" xfId="3" applyAlignment="1">
      <alignment horizontal="center"/>
    </xf>
    <xf numFmtId="0" fontId="25" fillId="0" borderId="0" xfId="3" applyFont="1" applyAlignment="1">
      <alignment horizontal="right"/>
    </xf>
    <xf numFmtId="165" fontId="22" fillId="0" borderId="0" xfId="3" applyNumberFormat="1"/>
    <xf numFmtId="49" fontId="20" fillId="0" borderId="4" xfId="0" applyNumberFormat="1" applyFont="1" applyBorder="1" applyAlignment="1">
      <alignment horizontal="center" vertical="center" wrapText="1"/>
    </xf>
    <xf numFmtId="49" fontId="20" fillId="0" borderId="5" xfId="0" applyNumberFormat="1" applyFont="1" applyBorder="1" applyAlignment="1">
      <alignment horizontal="center" vertical="center" wrapText="1"/>
    </xf>
    <xf numFmtId="49" fontId="20" fillId="0" borderId="6" xfId="0" applyNumberFormat="1" applyFont="1" applyBorder="1" applyAlignment="1">
      <alignment horizontal="center" vertical="center" wrapText="1"/>
    </xf>
    <xf numFmtId="173" fontId="26" fillId="0" borderId="3" xfId="0" applyNumberFormat="1" applyFont="1" applyBorder="1"/>
    <xf numFmtId="169" fontId="22" fillId="0" borderId="3" xfId="0" applyNumberFormat="1" applyFont="1" applyBorder="1" applyAlignment="1">
      <alignment horizontal="right"/>
    </xf>
    <xf numFmtId="165" fontId="25" fillId="26" borderId="23" xfId="77" applyFont="1" applyFill="1" applyBorder="1" applyAlignment="1">
      <alignment horizontal="center" vertical="center" wrapText="1"/>
    </xf>
    <xf numFmtId="0" fontId="65" fillId="26" borderId="91" xfId="91" applyFont="1" applyFill="1" applyBorder="1" applyAlignment="1">
      <alignment horizontal="center" vertical="center"/>
    </xf>
    <xf numFmtId="0" fontId="69" fillId="26" borderId="64" xfId="91" applyFont="1" applyFill="1" applyBorder="1" applyAlignment="1">
      <alignment horizontal="center" vertical="center"/>
    </xf>
    <xf numFmtId="0" fontId="69" fillId="26" borderId="43" xfId="91" applyFont="1" applyFill="1" applyBorder="1" applyAlignment="1">
      <alignment horizontal="center" vertical="center"/>
    </xf>
    <xf numFmtId="0" fontId="65" fillId="26" borderId="58" xfId="91" applyFont="1" applyFill="1" applyBorder="1" applyAlignment="1">
      <alignment horizontal="center" vertical="center"/>
    </xf>
    <xf numFmtId="2" fontId="7" fillId="0" borderId="0" xfId="75" applyNumberFormat="1" applyFont="1" applyAlignment="1">
      <alignment horizontal="center"/>
    </xf>
    <xf numFmtId="173" fontId="65" fillId="26" borderId="62" xfId="76" applyNumberFormat="1" applyFont="1" applyFill="1" applyBorder="1" applyAlignment="1">
      <alignment horizontal="center" vertical="center"/>
    </xf>
    <xf numFmtId="0" fontId="6" fillId="0" borderId="0" xfId="75" applyFont="1"/>
    <xf numFmtId="0" fontId="6" fillId="0" borderId="0" xfId="75" applyFont="1" applyAlignment="1">
      <alignment horizontal="center"/>
    </xf>
    <xf numFmtId="0" fontId="6" fillId="0" borderId="0" xfId="75" applyFont="1" applyAlignment="1">
      <alignment horizontal="left" wrapText="1"/>
    </xf>
    <xf numFmtId="0" fontId="6" fillId="0" borderId="0" xfId="75" applyFont="1" applyAlignment="1">
      <alignment horizontal="center" vertical="center"/>
    </xf>
    <xf numFmtId="0" fontId="5" fillId="0" borderId="0" xfId="75" applyFont="1"/>
    <xf numFmtId="0" fontId="5" fillId="0" borderId="0" xfId="75" applyFont="1" applyAlignment="1">
      <alignment horizontal="center" vertical="center"/>
    </xf>
    <xf numFmtId="0" fontId="5" fillId="0" borderId="0" xfId="75" applyFont="1" applyAlignment="1">
      <alignment horizontal="center"/>
    </xf>
    <xf numFmtId="0" fontId="4" fillId="0" borderId="0" xfId="75" applyFont="1"/>
    <xf numFmtId="2" fontId="4" fillId="0" borderId="0" xfId="75" applyNumberFormat="1" applyFont="1" applyAlignment="1">
      <alignment horizontal="center"/>
    </xf>
    <xf numFmtId="0" fontId="4" fillId="0" borderId="0" xfId="75" applyFont="1" applyAlignment="1">
      <alignment horizontal="left" vertical="top" wrapText="1"/>
    </xf>
    <xf numFmtId="165" fontId="16" fillId="0" borderId="0" xfId="75" applyNumberFormat="1" applyFont="1"/>
    <xf numFmtId="41" fontId="88" fillId="0" borderId="0" xfId="76" applyFont="1"/>
    <xf numFmtId="0" fontId="65" fillId="26" borderId="77" xfId="75" applyFont="1" applyFill="1" applyBorder="1" applyAlignment="1">
      <alignment horizontal="center" vertical="center"/>
    </xf>
    <xf numFmtId="0" fontId="69" fillId="26" borderId="81" xfId="75" applyFont="1" applyFill="1" applyBorder="1" applyAlignment="1">
      <alignment horizontal="center" vertical="center"/>
    </xf>
    <xf numFmtId="0" fontId="65" fillId="26" borderId="63" xfId="75" applyFont="1" applyFill="1" applyBorder="1" applyAlignment="1">
      <alignment vertical="center"/>
    </xf>
    <xf numFmtId="164" fontId="22" fillId="0" borderId="0" xfId="1" applyFont="1" applyFill="1"/>
    <xf numFmtId="164" fontId="22" fillId="0" borderId="0" xfId="1" applyFont="1" applyFill="1" applyAlignment="1"/>
    <xf numFmtId="0" fontId="89" fillId="0" borderId="3" xfId="0" applyFont="1" applyBorder="1" applyAlignment="1">
      <alignment horizontal="center"/>
    </xf>
    <xf numFmtId="164" fontId="89" fillId="0" borderId="3" xfId="1" applyFont="1" applyFill="1" applyBorder="1" applyAlignment="1">
      <alignment horizontal="center"/>
    </xf>
    <xf numFmtId="0" fontId="89" fillId="0" borderId="39" xfId="0" applyFont="1" applyBorder="1" applyAlignment="1">
      <alignment horizontal="center"/>
    </xf>
    <xf numFmtId="0" fontId="89" fillId="0" borderId="28" xfId="0" applyFont="1" applyBorder="1" applyAlignment="1">
      <alignment horizontal="center"/>
    </xf>
    <xf numFmtId="0" fontId="22" fillId="0" borderId="39" xfId="0" applyFont="1" applyBorder="1"/>
    <xf numFmtId="0" fontId="22" fillId="0" borderId="28" xfId="0" applyFont="1" applyBorder="1"/>
    <xf numFmtId="164" fontId="22" fillId="0" borderId="3" xfId="1" applyFont="1" applyFill="1" applyBorder="1" applyAlignment="1"/>
    <xf numFmtId="0" fontId="25" fillId="0" borderId="3" xfId="0" applyFont="1" applyBorder="1"/>
    <xf numFmtId="164" fontId="25" fillId="0" borderId="3" xfId="1" applyFont="1" applyFill="1" applyBorder="1" applyAlignment="1"/>
    <xf numFmtId="0" fontId="25" fillId="0" borderId="39" xfId="0" applyFont="1" applyBorder="1"/>
    <xf numFmtId="0" fontId="25" fillId="0" borderId="28" xfId="0" applyFont="1" applyBorder="1"/>
    <xf numFmtId="0" fontId="25" fillId="0" borderId="0" xfId="0" applyFont="1"/>
    <xf numFmtId="49" fontId="22" fillId="0" borderId="39" xfId="0" applyNumberFormat="1" applyFont="1" applyBorder="1"/>
    <xf numFmtId="49" fontId="22" fillId="0" borderId="28" xfId="0" applyNumberFormat="1" applyFont="1" applyBorder="1"/>
    <xf numFmtId="173" fontId="22" fillId="0" borderId="0" xfId="1" applyNumberFormat="1" applyFont="1" applyFill="1"/>
    <xf numFmtId="164" fontId="22" fillId="0" borderId="0" xfId="0" applyNumberFormat="1" applyFont="1"/>
    <xf numFmtId="0" fontId="25" fillId="0" borderId="3" xfId="0" applyFont="1" applyBorder="1" applyAlignment="1">
      <alignment horizontal="center"/>
    </xf>
    <xf numFmtId="164" fontId="25" fillId="0" borderId="3" xfId="1" applyFont="1" applyFill="1" applyBorder="1"/>
    <xf numFmtId="49" fontId="25" fillId="0" borderId="3" xfId="0" applyNumberFormat="1" applyFont="1" applyBorder="1"/>
    <xf numFmtId="164" fontId="66" fillId="0" borderId="3" xfId="1" applyFont="1" applyFill="1" applyBorder="1"/>
    <xf numFmtId="164" fontId="90" fillId="0" borderId="3" xfId="1" applyFont="1" applyFill="1" applyBorder="1"/>
    <xf numFmtId="166" fontId="22" fillId="0" borderId="0" xfId="0" applyNumberFormat="1" applyFont="1"/>
    <xf numFmtId="0" fontId="22" fillId="0" borderId="3" xfId="0" applyFont="1" applyBorder="1" applyAlignment="1">
      <alignment horizontal="left" vertical="center"/>
    </xf>
    <xf numFmtId="0" fontId="69" fillId="0" borderId="3" xfId="0" applyFont="1" applyBorder="1" applyAlignment="1">
      <alignment horizontal="left" vertical="center"/>
    </xf>
    <xf numFmtId="166" fontId="22" fillId="0" borderId="8" xfId="0" applyNumberFormat="1" applyFont="1" applyBorder="1"/>
    <xf numFmtId="0" fontId="69" fillId="0" borderId="0" xfId="0" applyFont="1" applyAlignment="1">
      <alignment horizontal="left" vertical="center"/>
    </xf>
    <xf numFmtId="0" fontId="69" fillId="0" borderId="0" xfId="0" applyFont="1"/>
    <xf numFmtId="164" fontId="66" fillId="0" borderId="0" xfId="0" applyNumberFormat="1" applyFont="1"/>
    <xf numFmtId="166" fontId="66" fillId="0" borderId="0" xfId="0" applyNumberFormat="1" applyFont="1"/>
    <xf numFmtId="0" fontId="22" fillId="0" borderId="1" xfId="0" applyFont="1" applyBorder="1" applyAlignment="1">
      <alignment horizontal="left" vertical="center"/>
    </xf>
    <xf numFmtId="0" fontId="22" fillId="0" borderId="2" xfId="0" applyFont="1" applyBorder="1" applyAlignment="1">
      <alignment vertical="center"/>
    </xf>
    <xf numFmtId="0" fontId="22" fillId="0" borderId="2" xfId="0" applyFont="1" applyBorder="1" applyAlignment="1">
      <alignment horizontal="left" vertical="center"/>
    </xf>
    <xf numFmtId="164" fontId="65" fillId="0" borderId="3" xfId="1" applyFont="1" applyFill="1" applyBorder="1" applyAlignment="1">
      <alignment horizontal="left" vertical="center"/>
    </xf>
    <xf numFmtId="49" fontId="25" fillId="0" borderId="39" xfId="0" applyNumberFormat="1" applyFont="1" applyBorder="1"/>
    <xf numFmtId="49" fontId="25" fillId="0" borderId="28" xfId="0" applyNumberFormat="1" applyFont="1" applyBorder="1"/>
    <xf numFmtId="166" fontId="25" fillId="0" borderId="0" xfId="0" applyNumberFormat="1" applyFont="1"/>
    <xf numFmtId="0" fontId="25" fillId="0" borderId="1" xfId="0" applyFont="1" applyBorder="1" applyAlignment="1">
      <alignment horizontal="left" vertical="center"/>
    </xf>
    <xf numFmtId="0" fontId="25" fillId="0" borderId="2" xfId="0" applyFont="1" applyBorder="1" applyAlignment="1">
      <alignment vertical="center"/>
    </xf>
    <xf numFmtId="0" fontId="25" fillId="0" borderId="2" xfId="0" applyFont="1" applyBorder="1" applyAlignment="1">
      <alignment horizontal="left" vertical="center"/>
    </xf>
    <xf numFmtId="164" fontId="90" fillId="0" borderId="0" xfId="0" applyNumberFormat="1" applyFont="1"/>
    <xf numFmtId="166" fontId="90" fillId="0" borderId="0" xfId="0" applyNumberFormat="1" applyFont="1"/>
    <xf numFmtId="0" fontId="22" fillId="0" borderId="41" xfId="0" applyFont="1" applyBorder="1" applyAlignment="1">
      <alignment horizontal="center"/>
    </xf>
    <xf numFmtId="49" fontId="22" fillId="0" borderId="3" xfId="0" applyNumberFormat="1" applyFont="1" applyBorder="1" applyAlignment="1">
      <alignment horizontal="center" vertical="center"/>
    </xf>
    <xf numFmtId="0" fontId="66" fillId="0" borderId="0" xfId="0" applyFont="1"/>
    <xf numFmtId="164" fontId="66" fillId="0" borderId="0" xfId="1" applyFont="1" applyFill="1"/>
    <xf numFmtId="165" fontId="22" fillId="0" borderId="0" xfId="75" applyNumberFormat="1" applyFont="1"/>
    <xf numFmtId="2" fontId="84" fillId="0" borderId="0" xfId="75" applyNumberFormat="1" applyFont="1" applyAlignment="1">
      <alignment horizontal="center"/>
    </xf>
    <xf numFmtId="0" fontId="84" fillId="0" borderId="0" xfId="75" applyFont="1" applyAlignment="1">
      <alignment horizontal="center"/>
    </xf>
    <xf numFmtId="164" fontId="84" fillId="0" borderId="0" xfId="75" applyNumberFormat="1" applyFont="1" applyAlignment="1">
      <alignment horizontal="center"/>
    </xf>
    <xf numFmtId="0" fontId="84" fillId="0" borderId="0" xfId="75" applyFont="1" applyAlignment="1">
      <alignment horizontal="left" wrapText="1"/>
    </xf>
    <xf numFmtId="2" fontId="84" fillId="0" borderId="0" xfId="75" applyNumberFormat="1" applyFont="1" applyAlignment="1">
      <alignment horizontal="center" vertical="center"/>
    </xf>
    <xf numFmtId="0" fontId="84" fillId="0" borderId="0" xfId="75" applyFont="1" applyAlignment="1">
      <alignment horizontal="center" vertical="center"/>
    </xf>
    <xf numFmtId="164" fontId="84" fillId="0" borderId="0" xfId="75" applyNumberFormat="1" applyFont="1" applyAlignment="1">
      <alignment horizontal="center" vertical="center"/>
    </xf>
    <xf numFmtId="0" fontId="84" fillId="0" borderId="0" xfId="75" applyFont="1" applyAlignment="1">
      <alignment horizontal="left" vertical="center"/>
    </xf>
    <xf numFmtId="0" fontId="77" fillId="0" borderId="0" xfId="75" applyFont="1" applyAlignment="1">
      <alignment horizontal="center"/>
    </xf>
    <xf numFmtId="164" fontId="77" fillId="0" borderId="0" xfId="75" applyNumberFormat="1" applyFont="1" applyAlignment="1">
      <alignment horizontal="center"/>
    </xf>
    <xf numFmtId="0" fontId="77" fillId="0" borderId="75" xfId="75" applyFont="1" applyBorder="1"/>
    <xf numFmtId="2" fontId="84" fillId="0" borderId="75" xfId="75" applyNumberFormat="1" applyFont="1" applyBorder="1" applyAlignment="1">
      <alignment horizontal="center"/>
    </xf>
    <xf numFmtId="0" fontId="84" fillId="0" borderId="75" xfId="75" applyFont="1" applyBorder="1" applyAlignment="1">
      <alignment horizontal="center"/>
    </xf>
    <xf numFmtId="0" fontId="84" fillId="0" borderId="75" xfId="75" applyFont="1" applyBorder="1"/>
    <xf numFmtId="164" fontId="84" fillId="0" borderId="75" xfId="75" applyNumberFormat="1" applyFont="1" applyBorder="1" applyAlignment="1">
      <alignment horizontal="center"/>
    </xf>
    <xf numFmtId="0" fontId="84" fillId="0" borderId="75" xfId="75" applyFont="1" applyBorder="1" applyAlignment="1">
      <alignment horizontal="left" wrapText="1"/>
    </xf>
    <xf numFmtId="2" fontId="84" fillId="0" borderId="75" xfId="75" applyNumberFormat="1" applyFont="1" applyBorder="1" applyAlignment="1">
      <alignment horizontal="center" vertical="center"/>
    </xf>
    <xf numFmtId="0" fontId="84" fillId="0" borderId="75" xfId="75" applyFont="1" applyBorder="1" applyAlignment="1">
      <alignment horizontal="center" vertical="center"/>
    </xf>
    <xf numFmtId="164" fontId="84" fillId="0" borderId="75" xfId="75" applyNumberFormat="1" applyFont="1" applyBorder="1" applyAlignment="1">
      <alignment horizontal="center" vertical="center"/>
    </xf>
    <xf numFmtId="0" fontId="77" fillId="0" borderId="75" xfId="75" applyFont="1" applyBorder="1" applyAlignment="1">
      <alignment horizontal="center"/>
    </xf>
    <xf numFmtId="164" fontId="77" fillId="0" borderId="75" xfId="75" applyNumberFormat="1" applyFont="1" applyBorder="1" applyAlignment="1">
      <alignment horizontal="center"/>
    </xf>
    <xf numFmtId="0" fontId="84" fillId="0" borderId="92" xfId="75" applyFont="1" applyBorder="1"/>
    <xf numFmtId="2" fontId="84" fillId="0" borderId="92" xfId="75" applyNumberFormat="1" applyFont="1" applyBorder="1" applyAlignment="1">
      <alignment horizontal="center"/>
    </xf>
    <xf numFmtId="0" fontId="84" fillId="0" borderId="92" xfId="75" applyFont="1" applyBorder="1" applyAlignment="1">
      <alignment horizontal="center"/>
    </xf>
    <xf numFmtId="0" fontId="77" fillId="0" borderId="92" xfId="75" applyFont="1" applyBorder="1" applyAlignment="1">
      <alignment horizontal="center"/>
    </xf>
    <xf numFmtId="164" fontId="77" fillId="0" borderId="92" xfId="75" applyNumberFormat="1" applyFont="1" applyBorder="1" applyAlignment="1">
      <alignment horizontal="center"/>
    </xf>
    <xf numFmtId="0" fontId="77" fillId="0" borderId="65" xfId="75" applyFont="1" applyBorder="1"/>
    <xf numFmtId="2" fontId="84" fillId="0" borderId="65" xfId="75" applyNumberFormat="1" applyFont="1" applyBorder="1" applyAlignment="1">
      <alignment horizontal="center"/>
    </xf>
    <xf numFmtId="0" fontId="84" fillId="0" borderId="65" xfId="75" applyFont="1" applyBorder="1" applyAlignment="1">
      <alignment horizontal="center"/>
    </xf>
    <xf numFmtId="0" fontId="84" fillId="0" borderId="3" xfId="75" applyFont="1" applyBorder="1"/>
    <xf numFmtId="2" fontId="84" fillId="0" borderId="3" xfId="75" applyNumberFormat="1" applyFont="1" applyBorder="1" applyAlignment="1">
      <alignment horizontal="center"/>
    </xf>
    <xf numFmtId="0" fontId="84" fillId="0" borderId="3" xfId="75" applyFont="1" applyBorder="1" applyAlignment="1">
      <alignment horizontal="center"/>
    </xf>
    <xf numFmtId="0" fontId="65" fillId="26" borderId="57" xfId="75" applyFont="1" applyFill="1" applyBorder="1" applyAlignment="1">
      <alignment horizontal="left" vertical="center"/>
    </xf>
    <xf numFmtId="0" fontId="3" fillId="0" borderId="0" xfId="75" applyFont="1"/>
    <xf numFmtId="0" fontId="22" fillId="0" borderId="75" xfId="93" applyBorder="1" applyAlignment="1">
      <alignment vertical="top"/>
    </xf>
    <xf numFmtId="0" fontId="92" fillId="0" borderId="0" xfId="94" applyFont="1" applyAlignment="1">
      <alignment horizontal="left" vertical="top"/>
    </xf>
    <xf numFmtId="175" fontId="93" fillId="0" borderId="98" xfId="95" applyNumberFormat="1" applyFont="1" applyBorder="1" applyAlignment="1">
      <alignment vertical="center"/>
    </xf>
    <xf numFmtId="174" fontId="61" fillId="0" borderId="0" xfId="95" applyNumberFormat="1" applyFont="1"/>
    <xf numFmtId="0" fontId="89" fillId="0" borderId="0" xfId="96" applyFont="1" applyAlignment="1">
      <alignment horizontal="center" vertical="center"/>
    </xf>
    <xf numFmtId="174" fontId="61" fillId="0" borderId="0" xfId="95" applyNumberFormat="1" applyFont="1" applyAlignment="1">
      <alignment vertical="center"/>
    </xf>
    <xf numFmtId="174" fontId="61" fillId="0" borderId="0" xfId="95" applyNumberFormat="1" applyFont="1" applyAlignment="1">
      <alignment vertical="center" wrapText="1"/>
    </xf>
    <xf numFmtId="4" fontId="92" fillId="0" borderId="0" xfId="94" applyNumberFormat="1" applyFont="1" applyAlignment="1">
      <alignment horizontal="center" vertical="top"/>
    </xf>
    <xf numFmtId="177" fontId="92" fillId="0" borderId="0" xfId="97" applyNumberFormat="1" applyFont="1" applyFill="1" applyAlignment="1">
      <alignment horizontal="center" vertical="top"/>
    </xf>
    <xf numFmtId="4" fontId="92" fillId="0" borderId="0" xfId="94" applyNumberFormat="1" applyFont="1" applyAlignment="1">
      <alignment horizontal="right" vertical="top"/>
    </xf>
    <xf numFmtId="0" fontId="92" fillId="0" borderId="99" xfId="94" applyFont="1" applyBorder="1" applyAlignment="1">
      <alignment horizontal="center" vertical="top"/>
    </xf>
    <xf numFmtId="0" fontId="89" fillId="0" borderId="0" xfId="94" applyFont="1" applyAlignment="1">
      <alignment horizontal="left" vertical="center"/>
    </xf>
    <xf numFmtId="0" fontId="31" fillId="0" borderId="0" xfId="96" applyFont="1" applyAlignment="1">
      <alignment vertical="center"/>
    </xf>
    <xf numFmtId="1" fontId="61" fillId="0" borderId="0" xfId="95" applyNumberFormat="1" applyFont="1" applyAlignment="1">
      <alignment vertical="center"/>
    </xf>
    <xf numFmtId="0" fontId="92" fillId="0" borderId="53" xfId="94" applyFont="1" applyBorder="1" applyAlignment="1">
      <alignment horizontal="left" vertical="top"/>
    </xf>
    <xf numFmtId="4" fontId="92" fillId="0" borderId="53" xfId="94" applyNumberFormat="1" applyFont="1" applyBorder="1" applyAlignment="1">
      <alignment horizontal="center" vertical="center"/>
    </xf>
    <xf numFmtId="177" fontId="92" fillId="0" borderId="53" xfId="97" applyNumberFormat="1" applyFont="1" applyFill="1" applyBorder="1" applyAlignment="1">
      <alignment horizontal="center" vertical="center"/>
    </xf>
    <xf numFmtId="4" fontId="92" fillId="0" borderId="53" xfId="94" applyNumberFormat="1" applyFont="1" applyBorder="1" applyAlignment="1">
      <alignment horizontal="center" vertical="top"/>
    </xf>
    <xf numFmtId="4" fontId="92" fillId="0" borderId="53" xfId="94" applyNumberFormat="1" applyFont="1" applyBorder="1" applyAlignment="1">
      <alignment horizontal="center" vertical="center" wrapText="1"/>
    </xf>
    <xf numFmtId="4" fontId="92" fillId="0" borderId="53" xfId="94" applyNumberFormat="1" applyFont="1" applyBorder="1" applyAlignment="1">
      <alignment horizontal="right" vertical="center"/>
    </xf>
    <xf numFmtId="0" fontId="92" fillId="0" borderId="97" xfId="94" applyFont="1" applyBorder="1" applyAlignment="1">
      <alignment horizontal="center" vertical="center"/>
    </xf>
    <xf numFmtId="0" fontId="91" fillId="0" borderId="104" xfId="94" applyFont="1" applyBorder="1" applyAlignment="1">
      <alignment horizontal="left" vertical="top"/>
    </xf>
    <xf numFmtId="0" fontId="91" fillId="0" borderId="105" xfId="94" applyFont="1" applyBorder="1" applyAlignment="1">
      <alignment horizontal="left" vertical="top"/>
    </xf>
    <xf numFmtId="0" fontId="92" fillId="0" borderId="105" xfId="94" applyFont="1" applyBorder="1" applyAlignment="1">
      <alignment horizontal="left" vertical="top"/>
    </xf>
    <xf numFmtId="0" fontId="92" fillId="0" borderId="106" xfId="94" applyFont="1" applyBorder="1" applyAlignment="1">
      <alignment horizontal="left" vertical="top"/>
    </xf>
    <xf numFmtId="4" fontId="92" fillId="0" borderId="105" xfId="94" applyNumberFormat="1" applyFont="1" applyBorder="1" applyAlignment="1">
      <alignment horizontal="center" vertical="top"/>
    </xf>
    <xf numFmtId="177" fontId="92" fillId="0" borderId="105" xfId="97" applyNumberFormat="1" applyFont="1" applyFill="1" applyBorder="1" applyAlignment="1">
      <alignment horizontal="center" vertical="top"/>
    </xf>
    <xf numFmtId="4" fontId="92" fillId="0" borderId="105" xfId="94" applyNumberFormat="1" applyFont="1" applyBorder="1" applyAlignment="1">
      <alignment horizontal="right" vertical="top"/>
    </xf>
    <xf numFmtId="0" fontId="92" fillId="0" borderId="107" xfId="94" applyFont="1" applyBorder="1" applyAlignment="1">
      <alignment horizontal="center" vertical="top"/>
    </xf>
    <xf numFmtId="20" fontId="92" fillId="0" borderId="108" xfId="94" quotePrefix="1" applyNumberFormat="1" applyFont="1" applyBorder="1" applyAlignment="1">
      <alignment horizontal="left" vertical="top"/>
    </xf>
    <xf numFmtId="0" fontId="92" fillId="0" borderId="70" xfId="94" applyFont="1" applyBorder="1" applyAlignment="1">
      <alignment horizontal="left" vertical="top"/>
    </xf>
    <xf numFmtId="0" fontId="92" fillId="0" borderId="109" xfId="94" applyFont="1" applyBorder="1" applyAlignment="1">
      <alignment horizontal="left" vertical="top"/>
    </xf>
    <xf numFmtId="4" fontId="92" fillId="0" borderId="70" xfId="94" applyNumberFormat="1" applyFont="1" applyBorder="1" applyAlignment="1">
      <alignment horizontal="center" vertical="top"/>
    </xf>
    <xf numFmtId="177" fontId="92" fillId="0" borderId="70" xfId="97" applyNumberFormat="1" applyFont="1" applyFill="1" applyBorder="1" applyAlignment="1">
      <alignment horizontal="center" vertical="top"/>
    </xf>
    <xf numFmtId="4" fontId="91" fillId="0" borderId="70" xfId="94" applyNumberFormat="1" applyFont="1" applyBorder="1" applyAlignment="1">
      <alignment horizontal="right" vertical="top"/>
    </xf>
    <xf numFmtId="0" fontId="92" fillId="0" borderId="110" xfId="94" applyFont="1" applyBorder="1" applyAlignment="1">
      <alignment horizontal="center" vertical="top"/>
    </xf>
    <xf numFmtId="0" fontId="92" fillId="0" borderId="108" xfId="94" quotePrefix="1" applyFont="1" applyBorder="1" applyAlignment="1">
      <alignment horizontal="left" vertical="top"/>
    </xf>
    <xf numFmtId="0" fontId="91" fillId="0" borderId="108" xfId="94" applyFont="1" applyBorder="1" applyAlignment="1">
      <alignment horizontal="left" vertical="top"/>
    </xf>
    <xf numFmtId="0" fontId="91" fillId="0" borderId="70" xfId="94" applyFont="1" applyBorder="1" applyAlignment="1">
      <alignment horizontal="left" vertical="top"/>
    </xf>
    <xf numFmtId="0" fontId="92" fillId="0" borderId="108" xfId="94" applyFont="1" applyBorder="1" applyAlignment="1">
      <alignment horizontal="left" vertical="top"/>
    </xf>
    <xf numFmtId="0" fontId="92" fillId="0" borderId="98" xfId="94" applyFont="1" applyBorder="1" applyAlignment="1">
      <alignment horizontal="left" vertical="top"/>
    </xf>
    <xf numFmtId="0" fontId="92" fillId="0" borderId="80" xfId="94" applyFont="1" applyBorder="1" applyAlignment="1">
      <alignment horizontal="left" vertical="top"/>
    </xf>
    <xf numFmtId="177" fontId="92" fillId="0" borderId="0" xfId="97" applyNumberFormat="1" applyFont="1" applyFill="1" applyBorder="1" applyAlignment="1">
      <alignment horizontal="center" vertical="top"/>
    </xf>
    <xf numFmtId="4" fontId="91" fillId="0" borderId="0" xfId="94" applyNumberFormat="1" applyFont="1" applyAlignment="1">
      <alignment horizontal="right" vertical="top"/>
    </xf>
    <xf numFmtId="0" fontId="92" fillId="0" borderId="98" xfId="94" quotePrefix="1" applyFont="1" applyBorder="1" applyAlignment="1">
      <alignment horizontal="left" vertical="top"/>
    </xf>
    <xf numFmtId="0" fontId="92" fillId="0" borderId="103" xfId="94" applyFont="1" applyBorder="1" applyAlignment="1">
      <alignment horizontal="left" vertical="top"/>
    </xf>
    <xf numFmtId="0" fontId="91" fillId="0" borderId="100" xfId="94" applyFont="1" applyBorder="1" applyAlignment="1">
      <alignment vertical="top"/>
    </xf>
    <xf numFmtId="0" fontId="91" fillId="0" borderId="48" xfId="94" applyFont="1" applyBorder="1" applyAlignment="1">
      <alignment vertical="top"/>
    </xf>
    <xf numFmtId="0" fontId="92" fillId="0" borderId="48" xfId="94" applyFont="1" applyBorder="1" applyAlignment="1">
      <alignment vertical="top"/>
    </xf>
    <xf numFmtId="0" fontId="92" fillId="0" borderId="101" xfId="94" applyFont="1" applyBorder="1" applyAlignment="1">
      <alignment vertical="top"/>
    </xf>
    <xf numFmtId="0" fontId="92" fillId="0" borderId="98" xfId="94" quotePrefix="1" applyFont="1" applyBorder="1" applyAlignment="1">
      <alignment vertical="top"/>
    </xf>
    <xf numFmtId="0" fontId="92" fillId="0" borderId="0" xfId="94" applyFont="1" applyAlignment="1">
      <alignment vertical="top"/>
    </xf>
    <xf numFmtId="0" fontId="92" fillId="0" borderId="80" xfId="94" applyFont="1" applyBorder="1" applyAlignment="1">
      <alignment vertical="top"/>
    </xf>
    <xf numFmtId="0" fontId="92" fillId="0" borderId="112" xfId="94" applyFont="1" applyBorder="1" applyAlignment="1">
      <alignment horizontal="left" vertical="top"/>
    </xf>
    <xf numFmtId="0" fontId="92" fillId="0" borderId="98" xfId="94" applyFont="1" applyBorder="1" applyAlignment="1">
      <alignment vertical="top"/>
    </xf>
    <xf numFmtId="0" fontId="92" fillId="0" borderId="113" xfId="94" applyFont="1" applyBorder="1" applyAlignment="1">
      <alignment horizontal="left" vertical="center"/>
    </xf>
    <xf numFmtId="0" fontId="92" fillId="0" borderId="105" xfId="94" applyFont="1" applyBorder="1" applyAlignment="1">
      <alignment horizontal="left" vertical="center"/>
    </xf>
    <xf numFmtId="4" fontId="92" fillId="0" borderId="105" xfId="94" applyNumberFormat="1" applyFont="1" applyBorder="1" applyAlignment="1">
      <alignment horizontal="center" vertical="center"/>
    </xf>
    <xf numFmtId="177" fontId="92" fillId="0" borderId="105" xfId="97" applyNumberFormat="1" applyFont="1" applyFill="1" applyBorder="1" applyAlignment="1">
      <alignment horizontal="center" vertical="center"/>
    </xf>
    <xf numFmtId="0" fontId="92" fillId="0" borderId="107" xfId="94" applyFont="1" applyBorder="1" applyAlignment="1">
      <alignment horizontal="center" vertical="center"/>
    </xf>
    <xf numFmtId="0" fontId="92" fillId="0" borderId="77" xfId="94" applyFont="1" applyBorder="1" applyAlignment="1">
      <alignment horizontal="left" vertical="center"/>
    </xf>
    <xf numFmtId="0" fontId="92" fillId="0" borderId="70" xfId="94" applyFont="1" applyBorder="1" applyAlignment="1">
      <alignment horizontal="left" vertical="center"/>
    </xf>
    <xf numFmtId="4" fontId="92" fillId="0" borderId="70" xfId="94" applyNumberFormat="1" applyFont="1" applyBorder="1" applyAlignment="1">
      <alignment horizontal="center" vertical="center"/>
    </xf>
    <xf numFmtId="177" fontId="92" fillId="0" borderId="70" xfId="97" applyNumberFormat="1" applyFont="1" applyFill="1" applyBorder="1" applyAlignment="1">
      <alignment horizontal="center" vertical="center"/>
    </xf>
    <xf numFmtId="4" fontId="91" fillId="0" borderId="70" xfId="94" applyNumberFormat="1" applyFont="1" applyBorder="1" applyAlignment="1">
      <alignment horizontal="right" vertical="center"/>
    </xf>
    <xf numFmtId="3" fontId="92" fillId="0" borderId="70" xfId="94" applyNumberFormat="1" applyFont="1" applyBorder="1" applyAlignment="1">
      <alignment horizontal="center" vertical="center"/>
    </xf>
    <xf numFmtId="4" fontId="92" fillId="0" borderId="70" xfId="94" quotePrefix="1" applyNumberFormat="1" applyFont="1" applyBorder="1" applyAlignment="1">
      <alignment horizontal="center" vertical="center"/>
    </xf>
    <xf numFmtId="0" fontId="92" fillId="0" borderId="110" xfId="94" applyFont="1" applyBorder="1" applyAlignment="1">
      <alignment horizontal="center" vertical="center"/>
    </xf>
    <xf numFmtId="0" fontId="95" fillId="0" borderId="98" xfId="94" applyFont="1" applyBorder="1" applyAlignment="1">
      <alignment vertical="top"/>
    </xf>
    <xf numFmtId="0" fontId="96" fillId="0" borderId="0" xfId="94" applyFont="1" applyAlignment="1">
      <alignment vertical="top"/>
    </xf>
    <xf numFmtId="0" fontId="96" fillId="0" borderId="80" xfId="94" applyFont="1" applyBorder="1" applyAlignment="1">
      <alignment vertical="top"/>
    </xf>
    <xf numFmtId="0" fontId="95" fillId="0" borderId="77" xfId="94" applyFont="1" applyBorder="1" applyAlignment="1">
      <alignment vertical="top"/>
    </xf>
    <xf numFmtId="0" fontId="92" fillId="0" borderId="70" xfId="94" applyFont="1" applyBorder="1" applyAlignment="1">
      <alignment vertical="top"/>
    </xf>
    <xf numFmtId="4" fontId="92" fillId="0" borderId="70" xfId="94" applyNumberFormat="1" applyFont="1" applyBorder="1" applyAlignment="1">
      <alignment horizontal="right" vertical="top"/>
    </xf>
    <xf numFmtId="0" fontId="92" fillId="0" borderId="114" xfId="94" applyFont="1" applyBorder="1" applyAlignment="1">
      <alignment vertical="top"/>
    </xf>
    <xf numFmtId="0" fontId="92" fillId="0" borderId="115" xfId="94" applyFont="1" applyBorder="1" applyAlignment="1">
      <alignment horizontal="left" vertical="top"/>
    </xf>
    <xf numFmtId="0" fontId="92" fillId="0" borderId="116" xfId="94" applyFont="1" applyBorder="1" applyAlignment="1">
      <alignment horizontal="left" vertical="top"/>
    </xf>
    <xf numFmtId="0" fontId="92" fillId="0" borderId="117" xfId="94" applyFont="1" applyBorder="1" applyAlignment="1">
      <alignment vertical="top"/>
    </xf>
    <xf numFmtId="0" fontId="92" fillId="0" borderId="118" xfId="94" applyFont="1" applyBorder="1" applyAlignment="1">
      <alignment horizontal="left" vertical="top"/>
    </xf>
    <xf numFmtId="0" fontId="92" fillId="0" borderId="118" xfId="94" applyFont="1" applyBorder="1" applyAlignment="1">
      <alignment vertical="top"/>
    </xf>
    <xf numFmtId="43" fontId="92" fillId="0" borderId="118" xfId="98" applyFont="1" applyFill="1" applyBorder="1" applyAlignment="1">
      <alignment vertical="top"/>
    </xf>
    <xf numFmtId="4" fontId="92" fillId="0" borderId="118" xfId="94" applyNumberFormat="1" applyFont="1" applyBorder="1" applyAlignment="1">
      <alignment horizontal="center" vertical="top"/>
    </xf>
    <xf numFmtId="4" fontId="92" fillId="0" borderId="118" xfId="94" applyNumberFormat="1" applyFont="1" applyBorder="1" applyAlignment="1">
      <alignment vertical="top"/>
    </xf>
    <xf numFmtId="177" fontId="92" fillId="0" borderId="118" xfId="97" applyNumberFormat="1" applyFont="1" applyFill="1" applyBorder="1" applyAlignment="1">
      <alignment vertical="top"/>
    </xf>
    <xf numFmtId="4" fontId="92" fillId="0" borderId="118" xfId="94" applyNumberFormat="1" applyFont="1" applyBorder="1" applyAlignment="1">
      <alignment horizontal="right" vertical="top"/>
    </xf>
    <xf numFmtId="4" fontId="92" fillId="0" borderId="119" xfId="94" applyNumberFormat="1" applyFont="1" applyBorder="1" applyAlignment="1">
      <alignment horizontal="center" vertical="top"/>
    </xf>
    <xf numFmtId="0" fontId="95" fillId="0" borderId="98" xfId="94" applyFont="1" applyBorder="1" applyAlignment="1">
      <alignment horizontal="left" vertical="top"/>
    </xf>
    <xf numFmtId="3" fontId="92" fillId="0" borderId="105" xfId="94" applyNumberFormat="1" applyFont="1" applyBorder="1" applyAlignment="1">
      <alignment horizontal="center" vertical="center"/>
    </xf>
    <xf numFmtId="4" fontId="92" fillId="0" borderId="105" xfId="94" quotePrefix="1" applyNumberFormat="1" applyFont="1" applyBorder="1" applyAlignment="1">
      <alignment horizontal="center" vertical="center"/>
    </xf>
    <xf numFmtId="4" fontId="91" fillId="0" borderId="105" xfId="94" applyNumberFormat="1" applyFont="1" applyBorder="1" applyAlignment="1">
      <alignment horizontal="right" vertical="center"/>
    </xf>
    <xf numFmtId="0" fontId="96" fillId="0" borderId="98" xfId="94" applyFont="1" applyBorder="1" applyAlignment="1">
      <alignment horizontal="left" vertical="top"/>
    </xf>
    <xf numFmtId="0" fontId="96" fillId="0" borderId="98" xfId="94" applyFont="1" applyBorder="1" applyAlignment="1">
      <alignment vertical="top"/>
    </xf>
    <xf numFmtId="0" fontId="92" fillId="0" borderId="77" xfId="94" applyFont="1" applyBorder="1" applyAlignment="1">
      <alignment horizontal="center" vertical="center"/>
    </xf>
    <xf numFmtId="0" fontId="92" fillId="0" borderId="70" xfId="94" applyFont="1" applyBorder="1" applyAlignment="1">
      <alignment horizontal="center" vertical="center"/>
    </xf>
    <xf numFmtId="0" fontId="96" fillId="0" borderId="114" xfId="94" applyFont="1" applyBorder="1" applyAlignment="1">
      <alignment vertical="top"/>
    </xf>
    <xf numFmtId="0" fontId="92" fillId="0" borderId="117" xfId="94" applyFont="1" applyBorder="1" applyAlignment="1">
      <alignment horizontal="left" vertical="top"/>
    </xf>
    <xf numFmtId="0" fontId="92" fillId="0" borderId="118" xfId="94" applyFont="1" applyBorder="1" applyAlignment="1">
      <alignment horizontal="center" vertical="top"/>
    </xf>
    <xf numFmtId="177" fontId="92" fillId="0" borderId="118" xfId="97" applyNumberFormat="1" applyFont="1" applyFill="1" applyBorder="1" applyAlignment="1">
      <alignment horizontal="center" vertical="top"/>
    </xf>
    <xf numFmtId="4" fontId="96" fillId="0" borderId="118" xfId="94" applyNumberFormat="1" applyFont="1" applyBorder="1" applyAlignment="1">
      <alignment horizontal="right" vertical="top"/>
    </xf>
    <xf numFmtId="0" fontId="92" fillId="0" borderId="119" xfId="94" applyFont="1" applyBorder="1" applyAlignment="1">
      <alignment horizontal="center" vertical="top"/>
    </xf>
    <xf numFmtId="0" fontId="92" fillId="0" borderId="100" xfId="94" quotePrefix="1" applyFont="1" applyBorder="1" applyAlignment="1">
      <alignment vertical="top"/>
    </xf>
    <xf numFmtId="0" fontId="92" fillId="0" borderId="98" xfId="94" applyFont="1" applyBorder="1" applyAlignment="1">
      <alignment horizontal="center" vertical="top"/>
    </xf>
    <xf numFmtId="0" fontId="92" fillId="0" borderId="0" xfId="94" applyFont="1" applyAlignment="1">
      <alignment horizontal="center" vertical="top"/>
    </xf>
    <xf numFmtId="0" fontId="92" fillId="0" borderId="80" xfId="94" applyFont="1" applyBorder="1" applyAlignment="1">
      <alignment horizontal="center" vertical="top"/>
    </xf>
    <xf numFmtId="0" fontId="91" fillId="0" borderId="0" xfId="94" applyFont="1" applyAlignment="1">
      <alignment horizontal="left" vertical="top"/>
    </xf>
    <xf numFmtId="0" fontId="92" fillId="0" borderId="70" xfId="94" applyFont="1" applyBorder="1" applyAlignment="1">
      <alignment horizontal="right" vertical="top"/>
    </xf>
    <xf numFmtId="0" fontId="31" fillId="0" borderId="77" xfId="94" applyFont="1" applyBorder="1" applyAlignment="1">
      <alignment horizontal="left" vertical="center"/>
    </xf>
    <xf numFmtId="0" fontId="31" fillId="0" borderId="70" xfId="94" applyFont="1" applyBorder="1" applyAlignment="1">
      <alignment horizontal="left" vertical="center"/>
    </xf>
    <xf numFmtId="4" fontId="31" fillId="0" borderId="70" xfId="94" applyNumberFormat="1" applyFont="1" applyBorder="1" applyAlignment="1">
      <alignment horizontal="center" vertical="center"/>
    </xf>
    <xf numFmtId="177" fontId="31" fillId="0" borderId="70" xfId="97" applyNumberFormat="1" applyFont="1" applyFill="1" applyBorder="1" applyAlignment="1">
      <alignment horizontal="center" vertical="center"/>
    </xf>
    <xf numFmtId="0" fontId="98" fillId="0" borderId="77" xfId="94" applyFont="1" applyBorder="1" applyAlignment="1">
      <alignment horizontal="left" vertical="center"/>
    </xf>
    <xf numFmtId="0" fontId="98" fillId="0" borderId="70" xfId="94" applyFont="1" applyBorder="1" applyAlignment="1">
      <alignment horizontal="left" vertical="center"/>
    </xf>
    <xf numFmtId="4" fontId="98" fillId="0" borderId="70" xfId="94" applyNumberFormat="1" applyFont="1" applyBorder="1" applyAlignment="1">
      <alignment horizontal="center" vertical="center"/>
    </xf>
    <xf numFmtId="177" fontId="98" fillId="0" borderId="70" xfId="97" applyNumberFormat="1" applyFont="1" applyFill="1" applyBorder="1" applyAlignment="1">
      <alignment horizontal="center" vertical="center"/>
    </xf>
    <xf numFmtId="4" fontId="98" fillId="0" borderId="70" xfId="94" quotePrefix="1" applyNumberFormat="1" applyFont="1" applyBorder="1" applyAlignment="1">
      <alignment horizontal="center" vertical="center"/>
    </xf>
    <xf numFmtId="4" fontId="31" fillId="0" borderId="70" xfId="94" quotePrefix="1" applyNumberFormat="1" applyFont="1" applyBorder="1" applyAlignment="1">
      <alignment horizontal="center" vertical="center"/>
    </xf>
    <xf numFmtId="4" fontId="92" fillId="0" borderId="115" xfId="94" applyNumberFormat="1" applyFont="1" applyBorder="1" applyAlignment="1">
      <alignment horizontal="center" vertical="top"/>
    </xf>
    <xf numFmtId="177" fontId="92" fillId="0" borderId="115" xfId="97" applyNumberFormat="1" applyFont="1" applyFill="1" applyBorder="1" applyAlignment="1">
      <alignment horizontal="center" vertical="top"/>
    </xf>
    <xf numFmtId="0" fontId="92" fillId="25" borderId="100" xfId="94" quotePrefix="1" applyFont="1" applyFill="1" applyBorder="1" applyAlignment="1">
      <alignment vertical="top"/>
    </xf>
    <xf numFmtId="0" fontId="92" fillId="25" borderId="48" xfId="94" applyFont="1" applyFill="1" applyBorder="1" applyAlignment="1">
      <alignment vertical="top"/>
    </xf>
    <xf numFmtId="0" fontId="92" fillId="25" borderId="101" xfId="94" applyFont="1" applyFill="1" applyBorder="1" applyAlignment="1">
      <alignment vertical="top"/>
    </xf>
    <xf numFmtId="3" fontId="31" fillId="0" borderId="70" xfId="94" applyNumberFormat="1" applyFont="1" applyBorder="1" applyAlignment="1">
      <alignment horizontal="center" vertical="center"/>
    </xf>
    <xf numFmtId="4" fontId="93" fillId="0" borderId="70" xfId="94" applyNumberFormat="1" applyFont="1" applyBorder="1" applyAlignment="1">
      <alignment horizontal="center" vertical="center"/>
    </xf>
    <xf numFmtId="177" fontId="93" fillId="0" borderId="70" xfId="97" applyNumberFormat="1" applyFont="1" applyFill="1" applyBorder="1" applyAlignment="1">
      <alignment horizontal="center" vertical="center"/>
    </xf>
    <xf numFmtId="4" fontId="93" fillId="0" borderId="70" xfId="94" quotePrefix="1" applyNumberFormat="1" applyFont="1" applyBorder="1" applyAlignment="1">
      <alignment horizontal="center"/>
    </xf>
    <xf numFmtId="4" fontId="93" fillId="0" borderId="70" xfId="94" applyNumberFormat="1" applyFont="1" applyBorder="1"/>
    <xf numFmtId="0" fontId="99" fillId="25" borderId="98" xfId="94" quotePrefix="1" applyFont="1" applyFill="1" applyBorder="1" applyAlignment="1">
      <alignment horizontal="left" vertical="top"/>
    </xf>
    <xf numFmtId="0" fontId="92" fillId="25" borderId="0" xfId="94" applyFont="1" applyFill="1" applyAlignment="1">
      <alignment horizontal="left" vertical="top"/>
    </xf>
    <xf numFmtId="0" fontId="92" fillId="25" borderId="80" xfId="94" applyFont="1" applyFill="1" applyBorder="1" applyAlignment="1">
      <alignment horizontal="left" vertical="top"/>
    </xf>
    <xf numFmtId="0" fontId="92" fillId="25" borderId="98" xfId="94" quotePrefix="1" applyFont="1" applyFill="1" applyBorder="1" applyAlignment="1">
      <alignment horizontal="left" vertical="top"/>
    </xf>
    <xf numFmtId="0" fontId="92" fillId="0" borderId="96" xfId="94" applyFont="1" applyBorder="1" applyAlignment="1">
      <alignment vertical="top"/>
    </xf>
    <xf numFmtId="0" fontId="92" fillId="0" borderId="53" xfId="94" applyFont="1" applyBorder="1" applyAlignment="1">
      <alignment vertical="top"/>
    </xf>
    <xf numFmtId="0" fontId="92" fillId="0" borderId="103" xfId="94" applyFont="1" applyBorder="1" applyAlignment="1">
      <alignment vertical="top"/>
    </xf>
    <xf numFmtId="0" fontId="91" fillId="0" borderId="100" xfId="94" quotePrefix="1" applyFont="1" applyBorder="1" applyAlignment="1">
      <alignment vertical="top"/>
    </xf>
    <xf numFmtId="0" fontId="92" fillId="25" borderId="98" xfId="94" quotePrefix="1" applyFont="1" applyFill="1" applyBorder="1" applyAlignment="1">
      <alignment vertical="top"/>
    </xf>
    <xf numFmtId="0" fontId="92" fillId="25" borderId="0" xfId="94" applyFont="1" applyFill="1" applyAlignment="1">
      <alignment vertical="top"/>
    </xf>
    <xf numFmtId="4" fontId="93" fillId="0" borderId="70" xfId="94" applyNumberFormat="1" applyFont="1" applyBorder="1" applyAlignment="1">
      <alignment horizontal="center"/>
    </xf>
    <xf numFmtId="177" fontId="93" fillId="0" borderId="70" xfId="97" applyNumberFormat="1" applyFont="1" applyFill="1" applyBorder="1"/>
    <xf numFmtId="0" fontId="93" fillId="0" borderId="70" xfId="94" applyFont="1" applyBorder="1"/>
    <xf numFmtId="4" fontId="61" fillId="0" borderId="70" xfId="94" applyNumberFormat="1" applyFont="1" applyBorder="1" applyAlignment="1">
      <alignment horizontal="right"/>
    </xf>
    <xf numFmtId="0" fontId="92" fillId="0" borderId="109" xfId="94" applyFont="1" applyBorder="1" applyAlignment="1">
      <alignment horizontal="center" vertical="top"/>
    </xf>
    <xf numFmtId="0" fontId="93" fillId="0" borderId="70" xfId="94" applyFont="1" applyBorder="1" applyAlignment="1">
      <alignment horizontal="right"/>
    </xf>
    <xf numFmtId="0" fontId="96" fillId="0" borderId="77" xfId="94" applyFont="1" applyBorder="1" applyAlignment="1">
      <alignment vertical="top"/>
    </xf>
    <xf numFmtId="0" fontId="96" fillId="0" borderId="70" xfId="94" applyFont="1" applyBorder="1" applyAlignment="1">
      <alignment vertical="top"/>
    </xf>
    <xf numFmtId="0" fontId="92" fillId="0" borderId="96" xfId="94" applyFont="1" applyBorder="1" applyAlignment="1">
      <alignment horizontal="left" vertical="top"/>
    </xf>
    <xf numFmtId="0" fontId="92" fillId="0" borderId="112" xfId="94" applyFont="1" applyBorder="1" applyAlignment="1">
      <alignment horizontal="left" vertical="center"/>
    </xf>
    <xf numFmtId="0" fontId="92" fillId="0" borderId="53" xfId="94" applyFont="1" applyBorder="1" applyAlignment="1">
      <alignment horizontal="left" vertical="center"/>
    </xf>
    <xf numFmtId="0" fontId="92" fillId="0" borderId="68" xfId="94" applyFont="1" applyBorder="1" applyAlignment="1">
      <alignment horizontal="left" vertical="center"/>
    </xf>
    <xf numFmtId="4" fontId="100" fillId="0" borderId="70" xfId="94" applyNumberFormat="1" applyFont="1" applyBorder="1" applyAlignment="1">
      <alignment horizontal="center" vertical="center"/>
    </xf>
    <xf numFmtId="0" fontId="96" fillId="0" borderId="117" xfId="94" applyFont="1" applyBorder="1" applyAlignment="1">
      <alignment vertical="top"/>
    </xf>
    <xf numFmtId="0" fontId="96" fillId="0" borderId="118" xfId="94" applyFont="1" applyBorder="1" applyAlignment="1">
      <alignment vertical="top"/>
    </xf>
    <xf numFmtId="3" fontId="98" fillId="0" borderId="70" xfId="94" applyNumberFormat="1" applyFont="1" applyBorder="1" applyAlignment="1">
      <alignment horizontal="center" vertical="center"/>
    </xf>
    <xf numFmtId="0" fontId="92" fillId="0" borderId="113" xfId="94" applyFont="1" applyBorder="1" applyAlignment="1">
      <alignment horizontal="left" vertical="top"/>
    </xf>
    <xf numFmtId="0" fontId="92" fillId="0" borderId="106" xfId="94" applyFont="1" applyBorder="1" applyAlignment="1">
      <alignment horizontal="center" vertical="top"/>
    </xf>
    <xf numFmtId="0" fontId="92" fillId="0" borderId="109" xfId="94" applyFont="1" applyBorder="1" applyAlignment="1">
      <alignment horizontal="center" vertical="center"/>
    </xf>
    <xf numFmtId="0" fontId="93" fillId="0" borderId="70" xfId="94" applyFont="1" applyBorder="1" applyAlignment="1">
      <alignment horizontal="center" vertical="center"/>
    </xf>
    <xf numFmtId="0" fontId="31" fillId="0" borderId="70" xfId="94" applyFont="1" applyBorder="1" applyAlignment="1">
      <alignment horizontal="center" vertical="center"/>
    </xf>
    <xf numFmtId="4" fontId="31" fillId="0" borderId="70" xfId="94" applyNumberFormat="1" applyFont="1" applyBorder="1"/>
    <xf numFmtId="0" fontId="92" fillId="0" borderId="77" xfId="94" applyFont="1" applyBorder="1" applyAlignment="1">
      <alignment horizontal="left" vertical="top"/>
    </xf>
    <xf numFmtId="4" fontId="93" fillId="0" borderId="105" xfId="94" applyNumberFormat="1" applyFont="1" applyBorder="1" applyAlignment="1">
      <alignment horizontal="center" vertical="center"/>
    </xf>
    <xf numFmtId="0" fontId="93" fillId="0" borderId="105" xfId="94" applyFont="1" applyBorder="1" applyAlignment="1">
      <alignment horizontal="center" vertical="center"/>
    </xf>
    <xf numFmtId="177" fontId="93" fillId="0" borderId="105" xfId="97" applyNumberFormat="1" applyFont="1" applyFill="1" applyBorder="1" applyAlignment="1">
      <alignment horizontal="center" vertical="center"/>
    </xf>
    <xf numFmtId="4" fontId="93" fillId="0" borderId="105" xfId="94" applyNumberFormat="1" applyFont="1" applyBorder="1" applyAlignment="1">
      <alignment horizontal="center"/>
    </xf>
    <xf numFmtId="0" fontId="93" fillId="0" borderId="105" xfId="94" applyFont="1" applyBorder="1" applyAlignment="1">
      <alignment horizontal="center"/>
    </xf>
    <xf numFmtId="4" fontId="93" fillId="0" borderId="105" xfId="94" applyNumberFormat="1" applyFont="1" applyBorder="1" applyAlignment="1">
      <alignment horizontal="right"/>
    </xf>
    <xf numFmtId="0" fontId="93" fillId="0" borderId="70" xfId="94" applyFont="1" applyBorder="1" applyAlignment="1">
      <alignment horizontal="right" vertical="center"/>
    </xf>
    <xf numFmtId="0" fontId="92" fillId="0" borderId="77" xfId="94" applyFont="1" applyBorder="1" applyAlignment="1">
      <alignment vertical="top"/>
    </xf>
    <xf numFmtId="0" fontId="91" fillId="0" borderId="77" xfId="94" applyFont="1" applyBorder="1" applyAlignment="1">
      <alignment horizontal="left" vertical="center"/>
    </xf>
    <xf numFmtId="0" fontId="91" fillId="0" borderId="70" xfId="94" applyFont="1" applyBorder="1" applyAlignment="1">
      <alignment horizontal="left" vertical="center"/>
    </xf>
    <xf numFmtId="3" fontId="93" fillId="0" borderId="70" xfId="94" applyNumberFormat="1" applyFont="1" applyBorder="1" applyAlignment="1">
      <alignment horizontal="center" vertical="center"/>
    </xf>
    <xf numFmtId="4" fontId="92" fillId="0" borderId="0" xfId="94" applyNumberFormat="1" applyFont="1" applyAlignment="1">
      <alignment horizontal="left" vertical="top"/>
    </xf>
    <xf numFmtId="4" fontId="61" fillId="0" borderId="70" xfId="94" applyNumberFormat="1" applyFont="1" applyBorder="1" applyAlignment="1">
      <alignment horizontal="right" vertical="center"/>
    </xf>
    <xf numFmtId="4" fontId="93" fillId="0" borderId="70" xfId="94" applyNumberFormat="1" applyFont="1" applyBorder="1" applyAlignment="1">
      <alignment horizontal="right" vertical="center"/>
    </xf>
    <xf numFmtId="3" fontId="93" fillId="0" borderId="70" xfId="94" applyNumberFormat="1" applyFont="1" applyBorder="1" applyAlignment="1">
      <alignment horizontal="center"/>
    </xf>
    <xf numFmtId="4" fontId="93" fillId="0" borderId="70" xfId="94" applyNumberFormat="1" applyFont="1" applyBorder="1" applyAlignment="1">
      <alignment horizontal="right"/>
    </xf>
    <xf numFmtId="0" fontId="61" fillId="0" borderId="70" xfId="94" applyFont="1" applyBorder="1" applyAlignment="1">
      <alignment vertical="center"/>
    </xf>
    <xf numFmtId="0" fontId="101" fillId="0" borderId="70" xfId="94" applyFont="1" applyBorder="1"/>
    <xf numFmtId="0" fontId="101" fillId="0" borderId="70" xfId="94" applyFont="1" applyBorder="1" applyAlignment="1">
      <alignment horizontal="right"/>
    </xf>
    <xf numFmtId="0" fontId="61" fillId="0" borderId="70" xfId="94" applyFont="1" applyBorder="1"/>
    <xf numFmtId="0" fontId="61" fillId="0" borderId="70" xfId="94" applyFont="1" applyBorder="1" applyAlignment="1">
      <alignment horizontal="right"/>
    </xf>
    <xf numFmtId="4" fontId="93" fillId="0" borderId="105" xfId="94" applyNumberFormat="1" applyFont="1" applyBorder="1"/>
    <xf numFmtId="0" fontId="93" fillId="0" borderId="105" xfId="94" applyFont="1" applyBorder="1"/>
    <xf numFmtId="4" fontId="61" fillId="0" borderId="105" xfId="94" applyNumberFormat="1" applyFont="1" applyBorder="1" applyAlignment="1">
      <alignment horizontal="right"/>
    </xf>
    <xf numFmtId="0" fontId="92" fillId="0" borderId="70" xfId="94" applyFont="1" applyBorder="1" applyAlignment="1">
      <alignment horizontal="center" vertical="top"/>
    </xf>
    <xf numFmtId="177" fontId="92" fillId="0" borderId="70" xfId="97" applyNumberFormat="1" applyFont="1" applyFill="1" applyBorder="1" applyAlignment="1">
      <alignment horizontal="left" vertical="top"/>
    </xf>
    <xf numFmtId="0" fontId="31" fillId="0" borderId="77" xfId="94" applyFont="1" applyBorder="1" applyAlignment="1">
      <alignment horizontal="left" vertical="top"/>
    </xf>
    <xf numFmtId="0" fontId="31" fillId="0" borderId="70" xfId="94" applyFont="1" applyBorder="1" applyAlignment="1">
      <alignment horizontal="left" vertical="top"/>
    </xf>
    <xf numFmtId="0" fontId="92" fillId="0" borderId="0" xfId="94" applyFont="1" applyAlignment="1">
      <alignment horizontal="right" vertical="top"/>
    </xf>
    <xf numFmtId="0" fontId="61" fillId="0" borderId="70" xfId="94" applyFont="1" applyBorder="1" applyAlignment="1">
      <alignment horizontal="right" vertical="center"/>
    </xf>
    <xf numFmtId="4" fontId="92" fillId="0" borderId="115" xfId="94" applyNumberFormat="1" applyFont="1" applyBorder="1" applyAlignment="1">
      <alignment vertical="top"/>
    </xf>
    <xf numFmtId="177" fontId="92" fillId="0" borderId="115" xfId="97" applyNumberFormat="1" applyFont="1" applyFill="1" applyBorder="1" applyAlignment="1">
      <alignment vertical="top"/>
    </xf>
    <xf numFmtId="4" fontId="96" fillId="0" borderId="115" xfId="94" applyNumberFormat="1" applyFont="1" applyBorder="1" applyAlignment="1">
      <alignment horizontal="right" vertical="top"/>
    </xf>
    <xf numFmtId="4" fontId="92" fillId="0" borderId="116" xfId="94" applyNumberFormat="1" applyFont="1" applyBorder="1" applyAlignment="1">
      <alignment horizontal="center" vertical="top"/>
    </xf>
    <xf numFmtId="0" fontId="98" fillId="0" borderId="0" xfId="94" applyFont="1" applyAlignment="1">
      <alignment horizontal="left" vertical="top"/>
    </xf>
    <xf numFmtId="0" fontId="99" fillId="25" borderId="0" xfId="94" applyFont="1" applyFill="1" applyAlignment="1">
      <alignment horizontal="left" vertical="top"/>
    </xf>
    <xf numFmtId="0" fontId="98" fillId="25" borderId="0" xfId="94" applyFont="1" applyFill="1" applyAlignment="1">
      <alignment horizontal="left" vertical="top"/>
    </xf>
    <xf numFmtId="0" fontId="98" fillId="25" borderId="80" xfId="94" applyFont="1" applyFill="1" applyBorder="1" applyAlignment="1">
      <alignment horizontal="left" vertical="top"/>
    </xf>
    <xf numFmtId="43" fontId="98" fillId="0" borderId="0" xfId="94" applyNumberFormat="1" applyFont="1" applyAlignment="1">
      <alignment horizontal="left" vertical="top"/>
    </xf>
    <xf numFmtId="0" fontId="98" fillId="25" borderId="98" xfId="94" quotePrefix="1" applyFont="1" applyFill="1" applyBorder="1" applyAlignment="1">
      <alignment horizontal="left" vertical="top"/>
    </xf>
    <xf numFmtId="0" fontId="98" fillId="0" borderId="112" xfId="94" applyFont="1" applyBorder="1" applyAlignment="1">
      <alignment horizontal="left" vertical="top"/>
    </xf>
    <xf numFmtId="0" fontId="98" fillId="0" borderId="53" xfId="94" applyFont="1" applyBorder="1" applyAlignment="1">
      <alignment horizontal="left" vertical="top"/>
    </xf>
    <xf numFmtId="4" fontId="98" fillId="0" borderId="53" xfId="94" applyNumberFormat="1" applyFont="1" applyBorder="1" applyAlignment="1">
      <alignment horizontal="center" vertical="center"/>
    </xf>
    <xf numFmtId="177" fontId="98" fillId="0" borderId="53" xfId="97" applyNumberFormat="1" applyFont="1" applyFill="1" applyBorder="1" applyAlignment="1">
      <alignment horizontal="center" vertical="center"/>
    </xf>
    <xf numFmtId="4" fontId="98" fillId="0" borderId="53" xfId="94" applyNumberFormat="1" applyFont="1" applyBorder="1" applyAlignment="1">
      <alignment horizontal="center" vertical="top"/>
    </xf>
    <xf numFmtId="4" fontId="98" fillId="0" borderId="53" xfId="94" applyNumberFormat="1" applyFont="1" applyBorder="1" applyAlignment="1">
      <alignment horizontal="center" vertical="center" wrapText="1"/>
    </xf>
    <xf numFmtId="4" fontId="98" fillId="0" borderId="53" xfId="94" applyNumberFormat="1" applyFont="1" applyBorder="1" applyAlignment="1">
      <alignment horizontal="right" vertical="center"/>
    </xf>
    <xf numFmtId="0" fontId="98" fillId="0" borderId="97" xfId="94" applyFont="1" applyBorder="1" applyAlignment="1">
      <alignment horizontal="center" vertical="center"/>
    </xf>
    <xf numFmtId="0" fontId="92" fillId="0" borderId="82" xfId="94" applyFont="1" applyBorder="1" applyAlignment="1">
      <alignment horizontal="left" vertical="center"/>
    </xf>
    <xf numFmtId="4" fontId="92" fillId="0" borderId="82" xfId="94" applyNumberFormat="1" applyFont="1" applyBorder="1" applyAlignment="1">
      <alignment horizontal="center" vertical="center"/>
    </xf>
    <xf numFmtId="3" fontId="92" fillId="0" borderId="82" xfId="94" applyNumberFormat="1" applyFont="1" applyBorder="1" applyAlignment="1">
      <alignment horizontal="center" vertical="center"/>
    </xf>
    <xf numFmtId="177" fontId="92" fillId="0" borderId="82" xfId="97" applyNumberFormat="1" applyFont="1" applyFill="1" applyBorder="1" applyAlignment="1">
      <alignment horizontal="center" vertical="center"/>
    </xf>
    <xf numFmtId="4" fontId="92" fillId="0" borderId="82" xfId="94" quotePrefix="1" applyNumberFormat="1" applyFont="1" applyBorder="1" applyAlignment="1">
      <alignment horizontal="center" vertical="center"/>
    </xf>
    <xf numFmtId="4" fontId="91" fillId="0" borderId="82" xfId="94" applyNumberFormat="1" applyFont="1" applyBorder="1" applyAlignment="1">
      <alignment horizontal="right" vertical="center"/>
    </xf>
    <xf numFmtId="0" fontId="92" fillId="0" borderId="120" xfId="94" applyFont="1" applyBorder="1" applyAlignment="1">
      <alignment horizontal="center" vertical="center"/>
    </xf>
    <xf numFmtId="0" fontId="98" fillId="25" borderId="80" xfId="94" applyFont="1" applyFill="1" applyBorder="1" applyAlignment="1">
      <alignment vertical="top"/>
    </xf>
    <xf numFmtId="0" fontId="65" fillId="26" borderId="63" xfId="91" applyFont="1" applyFill="1" applyBorder="1" applyAlignment="1">
      <alignment horizontal="left" vertical="center"/>
    </xf>
    <xf numFmtId="4" fontId="69" fillId="26" borderId="70" xfId="75" applyNumberFormat="1" applyFont="1" applyFill="1" applyBorder="1" applyAlignment="1">
      <alignment vertical="center"/>
    </xf>
    <xf numFmtId="4" fontId="69" fillId="26" borderId="82" xfId="75" applyNumberFormat="1" applyFont="1" applyFill="1" applyBorder="1" applyAlignment="1">
      <alignment vertical="center"/>
    </xf>
    <xf numFmtId="0" fontId="102" fillId="0" borderId="0" xfId="94" applyFont="1" applyAlignment="1">
      <alignment horizontal="left" vertical="top"/>
    </xf>
    <xf numFmtId="4" fontId="102" fillId="0" borderId="0" xfId="94" applyNumberFormat="1" applyFont="1" applyAlignment="1">
      <alignment horizontal="center" vertical="top"/>
    </xf>
    <xf numFmtId="177" fontId="102" fillId="0" borderId="0" xfId="97" applyNumberFormat="1" applyFont="1" applyFill="1" applyAlignment="1">
      <alignment horizontal="center" vertical="top"/>
    </xf>
    <xf numFmtId="4" fontId="102" fillId="0" borderId="0" xfId="94" applyNumberFormat="1" applyFont="1" applyAlignment="1">
      <alignment horizontal="right" vertical="top"/>
    </xf>
    <xf numFmtId="0" fontId="102" fillId="0" borderId="0" xfId="94" applyFont="1" applyAlignment="1">
      <alignment horizontal="center" vertical="top"/>
    </xf>
    <xf numFmtId="0" fontId="92" fillId="0" borderId="81" xfId="94" applyFont="1" applyBorder="1" applyAlignment="1">
      <alignment horizontal="left" vertical="center"/>
    </xf>
    <xf numFmtId="0" fontId="92" fillId="0" borderId="120" xfId="94" applyFont="1" applyBorder="1" applyAlignment="1">
      <alignment horizontal="center" vertical="top"/>
    </xf>
    <xf numFmtId="3" fontId="91" fillId="0" borderId="70" xfId="94" applyNumberFormat="1" applyFont="1" applyBorder="1" applyAlignment="1">
      <alignment horizontal="right" vertical="center"/>
    </xf>
    <xf numFmtId="0" fontId="69" fillId="26" borderId="79" xfId="75" applyFont="1" applyFill="1" applyBorder="1" applyAlignment="1">
      <alignment horizontal="center" vertical="center"/>
    </xf>
    <xf numFmtId="2" fontId="69" fillId="26" borderId="70" xfId="75" applyNumberFormat="1" applyFont="1" applyFill="1" applyBorder="1" applyAlignment="1">
      <alignment vertical="center"/>
    </xf>
    <xf numFmtId="3" fontId="69" fillId="26" borderId="63" xfId="75" applyNumberFormat="1" applyFont="1" applyFill="1" applyBorder="1" applyAlignment="1">
      <alignment vertical="center"/>
    </xf>
    <xf numFmtId="4" fontId="69" fillId="26" borderId="63" xfId="75" applyNumberFormat="1" applyFont="1" applyFill="1" applyBorder="1" applyAlignment="1">
      <alignment vertical="center"/>
    </xf>
    <xf numFmtId="9" fontId="17" fillId="0" borderId="0" xfId="6" applyFont="1"/>
    <xf numFmtId="9" fontId="22" fillId="0" borderId="0" xfId="6" applyFont="1"/>
    <xf numFmtId="9" fontId="22" fillId="26" borderId="0" xfId="6" applyFont="1" applyFill="1" applyAlignment="1">
      <alignment horizontal="left"/>
    </xf>
    <xf numFmtId="9" fontId="22" fillId="26" borderId="0" xfId="6" applyFont="1" applyFill="1" applyBorder="1" applyAlignment="1">
      <alignment horizontal="center" vertical="center" wrapText="1"/>
    </xf>
    <xf numFmtId="0" fontId="89" fillId="25" borderId="98" xfId="94" quotePrefix="1" applyFont="1" applyFill="1" applyBorder="1" applyAlignment="1">
      <alignment horizontal="left" vertical="top"/>
    </xf>
    <xf numFmtId="0" fontId="89" fillId="25" borderId="0" xfId="94" applyFont="1" applyFill="1" applyAlignment="1">
      <alignment horizontal="left" vertical="top"/>
    </xf>
    <xf numFmtId="0" fontId="31" fillId="25" borderId="0" xfId="94" applyFont="1" applyFill="1" applyAlignment="1">
      <alignment horizontal="left" vertical="top"/>
    </xf>
    <xf numFmtId="0" fontId="31" fillId="25" borderId="80" xfId="94" applyFont="1" applyFill="1" applyBorder="1" applyAlignment="1">
      <alignment horizontal="left" vertical="top"/>
    </xf>
    <xf numFmtId="0" fontId="31" fillId="0" borderId="0" xfId="94" applyFont="1" applyAlignment="1">
      <alignment horizontal="left" vertical="top"/>
    </xf>
    <xf numFmtId="43" fontId="31" fillId="0" borderId="0" xfId="94" applyNumberFormat="1" applyFont="1" applyAlignment="1">
      <alignment horizontal="left" vertical="top"/>
    </xf>
    <xf numFmtId="0" fontId="31" fillId="25" borderId="98" xfId="94" quotePrefix="1" applyFont="1" applyFill="1" applyBorder="1" applyAlignment="1">
      <alignment horizontal="left" vertical="top"/>
    </xf>
    <xf numFmtId="0" fontId="31" fillId="0" borderId="112" xfId="94" applyFont="1" applyBorder="1" applyAlignment="1">
      <alignment horizontal="left" vertical="top"/>
    </xf>
    <xf numFmtId="0" fontId="31" fillId="0" borderId="53" xfId="94" applyFont="1" applyBorder="1" applyAlignment="1">
      <alignment horizontal="left" vertical="top"/>
    </xf>
    <xf numFmtId="4" fontId="31" fillId="0" borderId="53" xfId="94" applyNumberFormat="1" applyFont="1" applyBorder="1" applyAlignment="1">
      <alignment horizontal="center" vertical="center"/>
    </xf>
    <xf numFmtId="177" fontId="31" fillId="0" borderId="53" xfId="97" applyNumberFormat="1" applyFont="1" applyFill="1" applyBorder="1" applyAlignment="1">
      <alignment horizontal="center" vertical="center"/>
    </xf>
    <xf numFmtId="4" fontId="31" fillId="0" borderId="53" xfId="94" applyNumberFormat="1" applyFont="1" applyBorder="1" applyAlignment="1">
      <alignment horizontal="center" vertical="top"/>
    </xf>
    <xf numFmtId="4" fontId="31" fillId="0" borderId="53" xfId="94" applyNumberFormat="1" applyFont="1" applyBorder="1" applyAlignment="1">
      <alignment horizontal="center" vertical="center" wrapText="1"/>
    </xf>
    <xf numFmtId="4" fontId="31" fillId="0" borderId="53" xfId="94" applyNumberFormat="1" applyFont="1" applyBorder="1" applyAlignment="1">
      <alignment horizontal="right" vertical="center"/>
    </xf>
    <xf numFmtId="0" fontId="31" fillId="0" borderId="97" xfId="94" applyFont="1" applyBorder="1" applyAlignment="1">
      <alignment horizontal="center" vertical="center"/>
    </xf>
    <xf numFmtId="0" fontId="92" fillId="0" borderId="121" xfId="94" applyFont="1" applyBorder="1" applyAlignment="1">
      <alignment horizontal="center" vertical="center"/>
    </xf>
    <xf numFmtId="0" fontId="92" fillId="0" borderId="122" xfId="94" applyFont="1" applyBorder="1" applyAlignment="1">
      <alignment horizontal="center" vertical="center"/>
    </xf>
    <xf numFmtId="4" fontId="92" fillId="0" borderId="122" xfId="94" applyNumberFormat="1" applyFont="1" applyBorder="1" applyAlignment="1">
      <alignment horizontal="center" vertical="center"/>
    </xf>
    <xf numFmtId="3" fontId="92" fillId="0" borderId="122" xfId="94" applyNumberFormat="1" applyFont="1" applyBorder="1" applyAlignment="1">
      <alignment horizontal="center" vertical="center"/>
    </xf>
    <xf numFmtId="177" fontId="92" fillId="0" borderId="122" xfId="97" applyNumberFormat="1" applyFont="1" applyFill="1" applyBorder="1" applyAlignment="1">
      <alignment horizontal="center" vertical="center"/>
    </xf>
    <xf numFmtId="4" fontId="92" fillId="0" borderId="122" xfId="94" quotePrefix="1" applyNumberFormat="1" applyFont="1" applyBorder="1" applyAlignment="1">
      <alignment horizontal="center" vertical="center"/>
    </xf>
    <xf numFmtId="4" fontId="91" fillId="0" borderId="122" xfId="94" applyNumberFormat="1" applyFont="1" applyBorder="1" applyAlignment="1">
      <alignment horizontal="right" vertical="center"/>
    </xf>
    <xf numFmtId="0" fontId="92" fillId="0" borderId="123" xfId="94" applyFont="1" applyBorder="1" applyAlignment="1">
      <alignment horizontal="center" vertical="top"/>
    </xf>
    <xf numFmtId="0" fontId="92" fillId="0" borderId="124" xfId="94" applyFont="1" applyBorder="1" applyAlignment="1">
      <alignment horizontal="left" vertical="top"/>
    </xf>
    <xf numFmtId="0" fontId="92" fillId="0" borderId="125" xfId="94" applyFont="1" applyBorder="1" applyAlignment="1">
      <alignment horizontal="left" vertical="top"/>
    </xf>
    <xf numFmtId="0" fontId="92" fillId="0" borderId="126" xfId="94" applyFont="1" applyBorder="1" applyAlignment="1">
      <alignment horizontal="left" vertical="top"/>
    </xf>
    <xf numFmtId="4" fontId="93" fillId="0" borderId="118" xfId="94" applyNumberFormat="1" applyFont="1" applyBorder="1" applyAlignment="1">
      <alignment horizontal="center"/>
    </xf>
    <xf numFmtId="0" fontId="93" fillId="0" borderId="118" xfId="94" applyFont="1" applyBorder="1"/>
    <xf numFmtId="177" fontId="93" fillId="0" borderId="118" xfId="97" applyNumberFormat="1" applyFont="1" applyFill="1" applyBorder="1"/>
    <xf numFmtId="4" fontId="93" fillId="0" borderId="118" xfId="94" applyNumberFormat="1" applyFont="1" applyBorder="1"/>
    <xf numFmtId="4" fontId="61" fillId="0" borderId="118" xfId="94" applyNumberFormat="1" applyFont="1" applyBorder="1" applyAlignment="1">
      <alignment horizontal="right"/>
    </xf>
    <xf numFmtId="0" fontId="92" fillId="0" borderId="127" xfId="94" applyFont="1" applyBorder="1" applyAlignment="1">
      <alignment horizontal="center" vertical="top"/>
    </xf>
    <xf numFmtId="0" fontId="92" fillId="0" borderId="79" xfId="94" applyFont="1" applyBorder="1" applyAlignment="1">
      <alignment horizontal="left" vertical="top"/>
    </xf>
    <xf numFmtId="0" fontId="92" fillId="0" borderId="63" xfId="94" applyFont="1" applyBorder="1" applyAlignment="1">
      <alignment horizontal="left" vertical="top"/>
    </xf>
    <xf numFmtId="164" fontId="25" fillId="26" borderId="0" xfId="75" applyNumberFormat="1" applyFont="1" applyFill="1" applyAlignment="1">
      <alignment horizontal="left"/>
    </xf>
    <xf numFmtId="0" fontId="25" fillId="26" borderId="0" xfId="75" applyFont="1" applyFill="1" applyAlignment="1">
      <alignment horizontal="right" vertical="center"/>
    </xf>
    <xf numFmtId="0" fontId="69" fillId="26" borderId="61" xfId="75" applyFont="1" applyFill="1" applyBorder="1" applyAlignment="1">
      <alignment horizontal="center" vertical="center"/>
    </xf>
    <xf numFmtId="0" fontId="2" fillId="0" borderId="0" xfId="75" applyFont="1" applyAlignment="1">
      <alignment vertical="top" wrapText="1"/>
    </xf>
    <xf numFmtId="4" fontId="26" fillId="0" borderId="15" xfId="100" applyNumberFormat="1" applyFont="1" applyBorder="1" applyAlignment="1">
      <alignment horizontal="left" vertical="center"/>
    </xf>
    <xf numFmtId="164" fontId="26" fillId="0" borderId="16" xfId="1" applyFont="1" applyBorder="1" applyAlignment="1">
      <alignment horizontal="center"/>
    </xf>
    <xf numFmtId="164" fontId="84" fillId="0" borderId="65" xfId="75" applyNumberFormat="1" applyFont="1" applyBorder="1" applyAlignment="1">
      <alignment horizontal="center"/>
    </xf>
    <xf numFmtId="43" fontId="69" fillId="0" borderId="0" xfId="75" applyNumberFormat="1" applyFont="1"/>
    <xf numFmtId="49" fontId="20" fillId="0" borderId="10" xfId="0" applyNumberFormat="1" applyFont="1" applyBorder="1" applyAlignment="1">
      <alignment horizontal="left" wrapText="1"/>
    </xf>
    <xf numFmtId="165" fontId="104" fillId="0" borderId="0" xfId="77" applyFont="1" applyFill="1" applyBorder="1" applyAlignment="1">
      <alignment vertical="center"/>
    </xf>
    <xf numFmtId="0" fontId="103" fillId="0" borderId="0" xfId="75" applyFont="1"/>
    <xf numFmtId="164" fontId="69" fillId="26" borderId="68" xfId="75" quotePrefix="1" applyNumberFormat="1" applyFont="1" applyFill="1" applyBorder="1" applyAlignment="1">
      <alignment vertical="center"/>
    </xf>
    <xf numFmtId="0" fontId="17" fillId="0" borderId="0" xfId="75" quotePrefix="1"/>
    <xf numFmtId="165" fontId="22" fillId="26" borderId="0" xfId="6" applyNumberFormat="1" applyFont="1" applyFill="1" applyBorder="1" applyAlignment="1">
      <alignment horizontal="center" vertical="center" wrapText="1"/>
    </xf>
    <xf numFmtId="164" fontId="69" fillId="26" borderId="62" xfId="75" quotePrefix="1" applyNumberFormat="1" applyFont="1" applyFill="1" applyBorder="1" applyAlignment="1">
      <alignment horizontal="left"/>
    </xf>
    <xf numFmtId="0" fontId="106" fillId="0" borderId="3" xfId="0" applyFont="1" applyBorder="1" applyAlignment="1">
      <alignment horizontal="center" vertical="top" wrapText="1"/>
    </xf>
    <xf numFmtId="0" fontId="108" fillId="0" borderId="0" xfId="102" applyFont="1"/>
    <xf numFmtId="0" fontId="25" fillId="0" borderId="0" xfId="102" applyFont="1" applyAlignment="1">
      <alignment horizontal="center"/>
    </xf>
    <xf numFmtId="0" fontId="25" fillId="0" borderId="0" xfId="102" applyFont="1" applyAlignment="1">
      <alignment horizontal="left" vertical="center"/>
    </xf>
    <xf numFmtId="0" fontId="22" fillId="0" borderId="0" xfId="102" applyFont="1"/>
    <xf numFmtId="0" fontId="22" fillId="0" borderId="0" xfId="102" applyFont="1" applyAlignment="1">
      <alignment horizontal="center"/>
    </xf>
    <xf numFmtId="0" fontId="22" fillId="0" borderId="0" xfId="102" applyFont="1" applyAlignment="1">
      <alignment horizontal="center" vertical="center"/>
    </xf>
    <xf numFmtId="0" fontId="25" fillId="0" borderId="0" xfId="102" applyFont="1" applyAlignment="1">
      <alignment horizontal="center" vertical="center"/>
    </xf>
    <xf numFmtId="173" fontId="25" fillId="0" borderId="0" xfId="103" applyNumberFormat="1" applyFont="1" applyFill="1" applyBorder="1" applyAlignment="1">
      <alignment vertical="center"/>
    </xf>
    <xf numFmtId="0" fontId="22" fillId="0" borderId="0" xfId="102" applyFont="1" applyAlignment="1">
      <alignment vertical="center"/>
    </xf>
    <xf numFmtId="173" fontId="22" fillId="0" borderId="0" xfId="103" applyNumberFormat="1" applyFont="1" applyFill="1" applyBorder="1" applyAlignment="1">
      <alignment vertical="center"/>
    </xf>
    <xf numFmtId="165" fontId="22" fillId="0" borderId="0" xfId="77" applyFont="1" applyFill="1" applyBorder="1" applyAlignment="1">
      <alignment vertical="center"/>
    </xf>
    <xf numFmtId="173" fontId="25" fillId="26" borderId="50" xfId="103" applyNumberFormat="1" applyFont="1" applyFill="1" applyBorder="1" applyAlignment="1">
      <alignment horizontal="center" vertical="center" wrapText="1"/>
    </xf>
    <xf numFmtId="173" fontId="25" fillId="26" borderId="22" xfId="103" applyNumberFormat="1" applyFont="1" applyFill="1" applyBorder="1" applyAlignment="1">
      <alignment horizontal="center" vertical="center" wrapText="1"/>
    </xf>
    <xf numFmtId="0" fontId="25" fillId="26" borderId="55" xfId="102" applyFont="1" applyFill="1" applyBorder="1" applyAlignment="1">
      <alignment horizontal="center"/>
    </xf>
    <xf numFmtId="0" fontId="25" fillId="26" borderId="56" xfId="102" applyFont="1" applyFill="1" applyBorder="1" applyAlignment="1">
      <alignment horizontal="center" vertical="center"/>
    </xf>
    <xf numFmtId="0" fontId="25" fillId="26" borderId="58" xfId="102" applyFont="1" applyFill="1" applyBorder="1" applyAlignment="1">
      <alignment horizontal="center" vertical="center"/>
    </xf>
    <xf numFmtId="0" fontId="25" fillId="26" borderId="59" xfId="102" applyFont="1" applyFill="1" applyBorder="1" applyAlignment="1">
      <alignment horizontal="center" vertical="center"/>
    </xf>
    <xf numFmtId="173" fontId="25" fillId="26" borderId="128" xfId="103" applyNumberFormat="1" applyFont="1" applyFill="1" applyBorder="1" applyAlignment="1">
      <alignment horizontal="right" vertical="center"/>
    </xf>
    <xf numFmtId="41" fontId="22" fillId="0" borderId="0" xfId="103" applyFont="1"/>
    <xf numFmtId="0" fontId="25" fillId="26" borderId="61" xfId="102" applyFont="1" applyFill="1" applyBorder="1" applyAlignment="1">
      <alignment horizontal="center"/>
    </xf>
    <xf numFmtId="0" fontId="25" fillId="26" borderId="62" xfId="102" applyFont="1" applyFill="1" applyBorder="1" applyAlignment="1">
      <alignment horizontal="center" vertical="center"/>
    </xf>
    <xf numFmtId="0" fontId="25" fillId="26" borderId="64" xfId="102" applyFont="1" applyFill="1" applyBorder="1" applyAlignment="1">
      <alignment horizontal="center" vertical="center"/>
    </xf>
    <xf numFmtId="0" fontId="25" fillId="26" borderId="65" xfId="102" applyFont="1" applyFill="1" applyBorder="1" applyAlignment="1">
      <alignment horizontal="center" vertical="center"/>
    </xf>
    <xf numFmtId="173" fontId="25" fillId="26" borderId="65" xfId="103" applyNumberFormat="1" applyFont="1" applyFill="1" applyBorder="1" applyAlignment="1">
      <alignment horizontal="right" vertical="center"/>
    </xf>
    <xf numFmtId="164" fontId="22" fillId="26" borderId="0" xfId="102" applyNumberFormat="1" applyFont="1" applyFill="1" applyAlignment="1">
      <alignment horizontal="left"/>
    </xf>
    <xf numFmtId="164" fontId="25" fillId="26" borderId="63" xfId="102" applyNumberFormat="1" applyFont="1" applyFill="1" applyBorder="1" applyAlignment="1">
      <alignment horizontal="left"/>
    </xf>
    <xf numFmtId="0" fontId="25" fillId="26" borderId="63" xfId="102" applyFont="1" applyFill="1" applyBorder="1" applyAlignment="1">
      <alignment horizontal="right" vertical="center"/>
    </xf>
    <xf numFmtId="0" fontId="25" fillId="26" borderId="64" xfId="102" applyFont="1" applyFill="1" applyBorder="1" applyAlignment="1">
      <alignment horizontal="right" vertical="center"/>
    </xf>
    <xf numFmtId="165" fontId="22" fillId="26" borderId="62" xfId="77" quotePrefix="1" applyFont="1" applyFill="1" applyBorder="1" applyAlignment="1">
      <alignment horizontal="center" vertical="center"/>
    </xf>
    <xf numFmtId="0" fontId="22" fillId="26" borderId="64" xfId="102" applyFont="1" applyFill="1" applyBorder="1" applyAlignment="1">
      <alignment horizontal="center" vertical="center"/>
    </xf>
    <xf numFmtId="164" fontId="22" fillId="26" borderId="62" xfId="102" applyNumberFormat="1" applyFont="1" applyFill="1" applyBorder="1" applyAlignment="1">
      <alignment horizontal="center" vertical="center"/>
    </xf>
    <xf numFmtId="173" fontId="22" fillId="26" borderId="65" xfId="103" applyNumberFormat="1" applyFont="1" applyFill="1" applyBorder="1" applyAlignment="1">
      <alignment horizontal="center" vertical="center"/>
    </xf>
    <xf numFmtId="0" fontId="22" fillId="26" borderId="61" xfId="102" applyFont="1" applyFill="1" applyBorder="1" applyAlignment="1">
      <alignment horizontal="center"/>
    </xf>
    <xf numFmtId="0" fontId="22" fillId="30" borderId="70" xfId="0" applyFont="1" applyFill="1" applyBorder="1"/>
    <xf numFmtId="0" fontId="25" fillId="26" borderId="71" xfId="102" applyFont="1" applyFill="1" applyBorder="1" applyAlignment="1">
      <alignment vertical="center"/>
    </xf>
    <xf numFmtId="0" fontId="25" fillId="26" borderId="72" xfId="102" applyFont="1" applyFill="1" applyBorder="1" applyAlignment="1">
      <alignment vertical="center"/>
    </xf>
    <xf numFmtId="165" fontId="25" fillId="26" borderId="73" xfId="77" applyFont="1" applyFill="1" applyBorder="1" applyAlignment="1">
      <alignment horizontal="center" vertical="center" wrapText="1"/>
    </xf>
    <xf numFmtId="0" fontId="25" fillId="26" borderId="64" xfId="102" applyFont="1" applyFill="1" applyBorder="1" applyAlignment="1">
      <alignment horizontal="left" vertical="center"/>
    </xf>
    <xf numFmtId="0" fontId="22" fillId="0" borderId="70" xfId="0" applyFont="1" applyBorder="1" applyAlignment="1">
      <alignment vertical="center"/>
    </xf>
    <xf numFmtId="0" fontId="22" fillId="26" borderId="64" xfId="102" applyFont="1" applyFill="1" applyBorder="1" applyAlignment="1">
      <alignment horizontal="left" vertical="center"/>
    </xf>
    <xf numFmtId="0" fontId="22" fillId="26" borderId="62" xfId="102" applyFont="1" applyFill="1" applyBorder="1" applyAlignment="1">
      <alignment horizontal="center" vertical="center"/>
    </xf>
    <xf numFmtId="173" fontId="22" fillId="26" borderId="65" xfId="103" applyNumberFormat="1" applyFont="1" applyFill="1" applyBorder="1" applyAlignment="1">
      <alignment horizontal="right" vertical="center"/>
    </xf>
    <xf numFmtId="173" fontId="22" fillId="0" borderId="68" xfId="104" applyNumberFormat="1" applyFont="1" applyFill="1" applyBorder="1" applyAlignment="1">
      <alignment horizontal="center" vertical="center"/>
    </xf>
    <xf numFmtId="0" fontId="22" fillId="0" borderId="69" xfId="0" applyFont="1" applyBorder="1" applyAlignment="1">
      <alignment horizontal="center"/>
    </xf>
    <xf numFmtId="0" fontId="22" fillId="26" borderId="63" xfId="102" applyFont="1" applyFill="1" applyBorder="1" applyAlignment="1">
      <alignment horizontal="left" vertical="center"/>
    </xf>
    <xf numFmtId="164" fontId="22" fillId="26" borderId="63" xfId="102" applyNumberFormat="1" applyFont="1" applyFill="1" applyBorder="1" applyAlignment="1">
      <alignment horizontal="left"/>
    </xf>
    <xf numFmtId="0" fontId="22" fillId="26" borderId="63" xfId="102" applyFont="1" applyFill="1" applyBorder="1" applyAlignment="1">
      <alignment horizontal="right" vertical="center"/>
    </xf>
    <xf numFmtId="0" fontId="22" fillId="26" borderId="64" xfId="102" applyFont="1" applyFill="1" applyBorder="1" applyAlignment="1">
      <alignment horizontal="right" vertical="center"/>
    </xf>
    <xf numFmtId="0" fontId="26" fillId="0" borderId="63" xfId="0" applyFont="1" applyBorder="1" applyAlignment="1">
      <alignment vertical="center"/>
    </xf>
    <xf numFmtId="164" fontId="109" fillId="26" borderId="63" xfId="102" applyNumberFormat="1" applyFont="1" applyFill="1" applyBorder="1" applyAlignment="1">
      <alignment horizontal="left"/>
    </xf>
    <xf numFmtId="0" fontId="22" fillId="0" borderId="75" xfId="85" applyFont="1" applyBorder="1" applyAlignment="1">
      <alignment horizontal="left"/>
    </xf>
    <xf numFmtId="0" fontId="22" fillId="0" borderId="68" xfId="85" applyFont="1" applyBorder="1" applyAlignment="1">
      <alignment horizontal="left"/>
    </xf>
    <xf numFmtId="0" fontId="22" fillId="0" borderId="75" xfId="85" applyFont="1" applyBorder="1" applyAlignment="1">
      <alignment horizontal="left" vertical="center"/>
    </xf>
    <xf numFmtId="0" fontId="25" fillId="0" borderId="65" xfId="85" applyFont="1" applyBorder="1" applyAlignment="1">
      <alignment horizontal="left"/>
    </xf>
    <xf numFmtId="173" fontId="22" fillId="0" borderId="75" xfId="104" applyNumberFormat="1" applyFont="1" applyBorder="1"/>
    <xf numFmtId="0" fontId="22" fillId="0" borderId="84" xfId="85" applyFont="1" applyBorder="1" applyAlignment="1">
      <alignment horizontal="left"/>
    </xf>
    <xf numFmtId="173" fontId="22" fillId="26" borderId="62" xfId="103" applyNumberFormat="1" applyFont="1" applyFill="1" applyBorder="1" applyAlignment="1">
      <alignment horizontal="center" vertical="center"/>
    </xf>
    <xf numFmtId="164" fontId="25" fillId="26" borderId="62" xfId="102" applyNumberFormat="1" applyFont="1" applyFill="1" applyBorder="1" applyAlignment="1">
      <alignment horizontal="left"/>
    </xf>
    <xf numFmtId="165" fontId="22" fillId="26" borderId="62" xfId="77" applyFont="1" applyFill="1" applyBorder="1" applyAlignment="1">
      <alignment horizontal="center" vertical="center"/>
    </xf>
    <xf numFmtId="0" fontId="25" fillId="30" borderId="70" xfId="0" quotePrefix="1" applyFont="1" applyFill="1" applyBorder="1" applyAlignment="1">
      <alignment horizontal="left" vertical="center"/>
    </xf>
    <xf numFmtId="165" fontId="25" fillId="26" borderId="62" xfId="77" applyFont="1" applyFill="1" applyBorder="1" applyAlignment="1">
      <alignment horizontal="center" vertical="center"/>
    </xf>
    <xf numFmtId="164" fontId="25" fillId="26" borderId="62" xfId="102" applyNumberFormat="1" applyFont="1" applyFill="1" applyBorder="1" applyAlignment="1">
      <alignment horizontal="center" vertical="center"/>
    </xf>
    <xf numFmtId="173" fontId="25" fillId="26" borderId="75" xfId="103" applyNumberFormat="1" applyFont="1" applyFill="1" applyBorder="1" applyAlignment="1">
      <alignment horizontal="center" vertical="center"/>
    </xf>
    <xf numFmtId="41" fontId="25" fillId="0" borderId="0" xfId="103" applyFont="1"/>
    <xf numFmtId="0" fontId="25" fillId="0" borderId="0" xfId="102" applyFont="1"/>
    <xf numFmtId="0" fontId="22" fillId="30" borderId="70" xfId="0" quotePrefix="1" applyFont="1" applyFill="1" applyBorder="1" applyAlignment="1">
      <alignment horizontal="left" vertical="center"/>
    </xf>
    <xf numFmtId="173" fontId="22" fillId="0" borderId="65" xfId="104" applyNumberFormat="1" applyFont="1" applyBorder="1"/>
    <xf numFmtId="173" fontId="22" fillId="26" borderId="13" xfId="103" applyNumberFormat="1" applyFont="1" applyFill="1" applyBorder="1" applyAlignment="1">
      <alignment horizontal="center" vertical="center"/>
    </xf>
    <xf numFmtId="0" fontId="22" fillId="0" borderId="68" xfId="0" applyFont="1" applyBorder="1"/>
    <xf numFmtId="173" fontId="22" fillId="26" borderId="75" xfId="103" applyNumberFormat="1" applyFont="1" applyFill="1" applyBorder="1" applyAlignment="1">
      <alignment horizontal="center" vertical="center"/>
    </xf>
    <xf numFmtId="165" fontId="22" fillId="26" borderId="62" xfId="77" applyFont="1" applyFill="1" applyBorder="1" applyAlignment="1">
      <alignment horizontal="right" vertical="center"/>
    </xf>
    <xf numFmtId="0" fontId="22" fillId="30" borderId="68" xfId="0" applyFont="1" applyFill="1" applyBorder="1" applyAlignment="1">
      <alignment horizontal="left" vertical="top"/>
    </xf>
    <xf numFmtId="0" fontId="22" fillId="30" borderId="70" xfId="0" applyFont="1" applyFill="1" applyBorder="1" applyAlignment="1">
      <alignment horizontal="left" vertical="top"/>
    </xf>
    <xf numFmtId="0" fontId="22" fillId="26" borderId="71" xfId="102" applyFont="1" applyFill="1" applyBorder="1" applyAlignment="1">
      <alignment vertical="center"/>
    </xf>
    <xf numFmtId="0" fontId="22" fillId="26" borderId="72" xfId="102" applyFont="1" applyFill="1" applyBorder="1" applyAlignment="1">
      <alignment vertical="center"/>
    </xf>
    <xf numFmtId="0" fontId="22" fillId="26" borderId="61" xfId="102" applyFont="1" applyFill="1" applyBorder="1" applyAlignment="1">
      <alignment horizontal="center" vertical="center"/>
    </xf>
    <xf numFmtId="0" fontId="108" fillId="0" borderId="0" xfId="102" applyFont="1" applyAlignment="1">
      <alignment horizontal="center"/>
    </xf>
    <xf numFmtId="0" fontId="25" fillId="30" borderId="0" xfId="3" applyFont="1" applyFill="1" applyAlignment="1">
      <alignment horizontal="center"/>
    </xf>
    <xf numFmtId="164" fontId="25" fillId="30" borderId="0" xfId="3" applyNumberFormat="1" applyFont="1" applyFill="1" applyAlignment="1">
      <alignment horizontal="center"/>
    </xf>
    <xf numFmtId="164" fontId="22" fillId="30" borderId="0" xfId="3" applyNumberFormat="1" applyFill="1"/>
    <xf numFmtId="0" fontId="22" fillId="30" borderId="0" xfId="3" applyFill="1"/>
    <xf numFmtId="9" fontId="25" fillId="30" borderId="0" xfId="3" applyNumberFormat="1" applyFont="1" applyFill="1" applyAlignment="1">
      <alignment horizontal="center"/>
    </xf>
    <xf numFmtId="0" fontId="25" fillId="30" borderId="10" xfId="3" applyFont="1" applyFill="1" applyBorder="1" applyAlignment="1">
      <alignment horizontal="center" vertical="center"/>
    </xf>
    <xf numFmtId="0" fontId="25" fillId="30" borderId="0" xfId="3" applyFont="1" applyFill="1" applyAlignment="1">
      <alignment horizontal="center" vertical="center"/>
    </xf>
    <xf numFmtId="0" fontId="25" fillId="30" borderId="16" xfId="3" applyFont="1" applyFill="1" applyBorder="1" applyAlignment="1">
      <alignment horizontal="center" vertical="center"/>
    </xf>
    <xf numFmtId="0" fontId="25" fillId="30" borderId="13" xfId="3" applyFont="1" applyFill="1" applyBorder="1" applyAlignment="1">
      <alignment horizontal="center" vertical="center"/>
    </xf>
    <xf numFmtId="164" fontId="25" fillId="30" borderId="10" xfId="3" quotePrefix="1" applyNumberFormat="1" applyFont="1" applyFill="1" applyBorder="1" applyAlignment="1">
      <alignment horizontal="center" vertical="center"/>
    </xf>
    <xf numFmtId="0" fontId="25" fillId="30" borderId="10" xfId="3" quotePrefix="1" applyFont="1" applyFill="1" applyBorder="1" applyAlignment="1">
      <alignment horizontal="center" vertical="center"/>
    </xf>
    <xf numFmtId="0" fontId="25" fillId="30" borderId="42" xfId="3" quotePrefix="1" applyFont="1" applyFill="1" applyBorder="1" applyAlignment="1">
      <alignment horizontal="center" vertical="center"/>
    </xf>
    <xf numFmtId="164" fontId="22" fillId="0" borderId="59" xfId="3" applyNumberFormat="1" applyBorder="1" applyAlignment="1">
      <alignment horizontal="center" vertical="center"/>
    </xf>
    <xf numFmtId="43" fontId="22" fillId="30" borderId="39" xfId="105" applyFont="1" applyFill="1" applyBorder="1" applyAlignment="1">
      <alignment vertical="center"/>
    </xf>
    <xf numFmtId="0" fontId="22" fillId="30" borderId="72" xfId="3" applyFill="1" applyBorder="1"/>
    <xf numFmtId="165" fontId="22" fillId="30" borderId="3" xfId="106" applyFont="1" applyFill="1" applyBorder="1" applyAlignment="1">
      <alignment horizontal="center" vertical="center"/>
    </xf>
    <xf numFmtId="0" fontId="22" fillId="30" borderId="3" xfId="3" applyFill="1" applyBorder="1" applyAlignment="1">
      <alignment horizontal="center" vertical="center"/>
    </xf>
    <xf numFmtId="165" fontId="22" fillId="30" borderId="3" xfId="106" applyFont="1" applyFill="1" applyBorder="1" applyAlignment="1">
      <alignment horizontal="center" vertical="center" shrinkToFit="1"/>
    </xf>
    <xf numFmtId="165" fontId="22" fillId="30" borderId="3" xfId="106" applyFont="1" applyFill="1" applyBorder="1" applyAlignment="1">
      <alignment vertical="center"/>
    </xf>
    <xf numFmtId="165" fontId="22" fillId="30" borderId="3" xfId="107" applyFont="1" applyFill="1" applyBorder="1" applyAlignment="1">
      <alignment vertical="center"/>
    </xf>
    <xf numFmtId="164" fontId="22" fillId="30" borderId="3" xfId="3" applyNumberFormat="1" applyFill="1" applyBorder="1" applyAlignment="1">
      <alignment horizontal="right" vertical="center"/>
    </xf>
    <xf numFmtId="43" fontId="22" fillId="30" borderId="39" xfId="105" quotePrefix="1" applyFont="1" applyFill="1" applyBorder="1" applyAlignment="1">
      <alignment vertical="center"/>
    </xf>
    <xf numFmtId="0" fontId="22" fillId="0" borderId="56" xfId="3" applyBorder="1" applyAlignment="1">
      <alignment vertical="center"/>
    </xf>
    <xf numFmtId="0" fontId="22" fillId="0" borderId="57" xfId="3" applyBorder="1"/>
    <xf numFmtId="164" fontId="22" fillId="0" borderId="59" xfId="104" applyFont="1" applyFill="1" applyBorder="1" applyAlignment="1">
      <alignment vertical="center"/>
    </xf>
    <xf numFmtId="0" fontId="22" fillId="0" borderId="59" xfId="3" applyBorder="1" applyAlignment="1">
      <alignment vertical="center"/>
    </xf>
    <xf numFmtId="171" fontId="22" fillId="0" borderId="59" xfId="104" applyNumberFormat="1" applyFont="1" applyFill="1" applyBorder="1" applyAlignment="1">
      <alignment vertical="center"/>
    </xf>
    <xf numFmtId="173" fontId="22" fillId="0" borderId="59" xfId="104" applyNumberFormat="1" applyFont="1" applyFill="1" applyBorder="1" applyAlignment="1">
      <alignment vertical="center"/>
    </xf>
    <xf numFmtId="165" fontId="22" fillId="0" borderId="59" xfId="3" applyNumberFormat="1" applyBorder="1" applyAlignment="1">
      <alignment vertical="center"/>
    </xf>
    <xf numFmtId="164" fontId="22" fillId="0" borderId="75" xfId="3" applyNumberFormat="1" applyBorder="1" applyAlignment="1">
      <alignment horizontal="center" vertical="center"/>
    </xf>
    <xf numFmtId="0" fontId="22" fillId="0" borderId="68" xfId="3" applyBorder="1" applyAlignment="1">
      <alignment vertical="center"/>
    </xf>
    <xf numFmtId="0" fontId="22" fillId="0" borderId="70" xfId="3" applyBorder="1"/>
    <xf numFmtId="164" fontId="22" fillId="0" borderId="75" xfId="104" applyFont="1" applyFill="1" applyBorder="1" applyAlignment="1">
      <alignment vertical="center"/>
    </xf>
    <xf numFmtId="0" fontId="22" fillId="0" borderId="75" xfId="3" applyBorder="1" applyAlignment="1">
      <alignment vertical="center"/>
    </xf>
    <xf numFmtId="173" fontId="22" fillId="0" borderId="75" xfId="104" applyNumberFormat="1" applyFont="1" applyFill="1" applyBorder="1" applyAlignment="1">
      <alignment vertical="center"/>
    </xf>
    <xf numFmtId="165" fontId="22" fillId="0" borderId="75" xfId="3" applyNumberFormat="1" applyBorder="1" applyAlignment="1">
      <alignment vertical="center"/>
    </xf>
    <xf numFmtId="164" fontId="22" fillId="0" borderId="92" xfId="3" applyNumberFormat="1" applyBorder="1" applyAlignment="1">
      <alignment horizontal="center" vertical="center"/>
    </xf>
    <xf numFmtId="0" fontId="22" fillId="0" borderId="130" xfId="3" applyBorder="1" applyAlignment="1">
      <alignment vertical="center"/>
    </xf>
    <xf numFmtId="0" fontId="22" fillId="0" borderId="131" xfId="3" applyBorder="1"/>
    <xf numFmtId="164" fontId="22" fillId="0" borderId="92" xfId="104" applyFont="1" applyFill="1" applyBorder="1" applyAlignment="1">
      <alignment vertical="center"/>
    </xf>
    <xf numFmtId="0" fontId="22" fillId="0" borderId="92" xfId="3" applyBorder="1" applyAlignment="1">
      <alignment vertical="center"/>
    </xf>
    <xf numFmtId="171" fontId="22" fillId="0" borderId="92" xfId="104" applyNumberFormat="1" applyFont="1" applyFill="1" applyBorder="1" applyAlignment="1">
      <alignment vertical="center"/>
    </xf>
    <xf numFmtId="173" fontId="22" fillId="0" borderId="92" xfId="104" applyNumberFormat="1" applyFont="1" applyFill="1" applyBorder="1" applyAlignment="1">
      <alignment vertical="center"/>
    </xf>
    <xf numFmtId="165" fontId="25" fillId="0" borderId="92" xfId="3" applyNumberFormat="1" applyFont="1" applyBorder="1" applyAlignment="1">
      <alignment vertical="center"/>
    </xf>
    <xf numFmtId="164" fontId="25" fillId="0" borderId="0" xfId="3" applyNumberFormat="1" applyFont="1" applyAlignment="1">
      <alignment horizontal="center" vertical="center"/>
    </xf>
    <xf numFmtId="164" fontId="22" fillId="0" borderId="0" xfId="104" applyFont="1" applyFill="1" applyAlignment="1">
      <alignment horizontal="center" vertical="center"/>
    </xf>
    <xf numFmtId="0" fontId="22" fillId="0" borderId="0" xfId="3" applyAlignment="1">
      <alignment horizontal="left" vertical="center"/>
    </xf>
    <xf numFmtId="49" fontId="22" fillId="0" borderId="0" xfId="3" applyNumberFormat="1" applyAlignment="1">
      <alignment vertical="center"/>
    </xf>
    <xf numFmtId="164" fontId="22" fillId="0" borderId="0" xfId="104" applyFont="1" applyFill="1" applyBorder="1" applyAlignment="1">
      <alignment horizontal="center" vertical="center"/>
    </xf>
    <xf numFmtId="171" fontId="22" fillId="0" borderId="0" xfId="104" applyNumberFormat="1" applyFont="1" applyFill="1" applyBorder="1" applyAlignment="1">
      <alignment horizontal="right" vertical="center"/>
    </xf>
    <xf numFmtId="173" fontId="22" fillId="0" borderId="0" xfId="104" applyNumberFormat="1" applyFont="1" applyFill="1" applyBorder="1" applyAlignment="1">
      <alignment vertical="center"/>
    </xf>
    <xf numFmtId="166" fontId="22" fillId="0" borderId="0" xfId="3" applyNumberFormat="1" applyAlignment="1">
      <alignment vertical="center"/>
    </xf>
    <xf numFmtId="164" fontId="25" fillId="0" borderId="0" xfId="104" applyFont="1" applyFill="1" applyAlignment="1">
      <alignment horizontal="center" vertical="center"/>
    </xf>
    <xf numFmtId="0" fontId="25" fillId="0" borderId="0" xfId="3" applyFont="1" applyAlignment="1">
      <alignment horizontal="left" vertical="center"/>
    </xf>
    <xf numFmtId="0" fontId="25" fillId="0" borderId="0" xfId="3" applyFont="1"/>
    <xf numFmtId="0" fontId="25" fillId="0" borderId="0" xfId="3" applyFont="1" applyAlignment="1">
      <alignment vertical="center"/>
    </xf>
    <xf numFmtId="164" fontId="25" fillId="0" borderId="0" xfId="104" applyFont="1" applyFill="1" applyBorder="1" applyAlignment="1">
      <alignment horizontal="center" vertical="center"/>
    </xf>
    <xf numFmtId="0" fontId="25" fillId="0" borderId="0" xfId="3" applyFont="1" applyAlignment="1">
      <alignment horizontal="center" vertical="center"/>
    </xf>
    <xf numFmtId="171" fontId="25" fillId="0" borderId="0" xfId="104" applyNumberFormat="1" applyFont="1" applyFill="1" applyBorder="1" applyAlignment="1">
      <alignment horizontal="right" vertical="center"/>
    </xf>
    <xf numFmtId="173" fontId="25" fillId="0" borderId="0" xfId="104" applyNumberFormat="1" applyFont="1" applyFill="1" applyBorder="1" applyAlignment="1">
      <alignment vertical="center"/>
    </xf>
    <xf numFmtId="164" fontId="22" fillId="0" borderId="3" xfId="3" applyNumberFormat="1" applyBorder="1" applyAlignment="1">
      <alignment horizontal="center" vertical="center"/>
    </xf>
    <xf numFmtId="0" fontId="22" fillId="0" borderId="72" xfId="3" applyBorder="1" applyAlignment="1">
      <alignment horizontal="center" vertical="center"/>
    </xf>
    <xf numFmtId="164" fontId="22" fillId="0" borderId="3" xfId="104" applyFont="1" applyFill="1" applyBorder="1" applyAlignment="1">
      <alignment horizontal="center" vertical="center"/>
    </xf>
    <xf numFmtId="49" fontId="22" fillId="0" borderId="3" xfId="3" applyNumberFormat="1" applyBorder="1" applyAlignment="1">
      <alignment horizontal="center" vertical="center"/>
    </xf>
    <xf numFmtId="171" fontId="22" fillId="0" borderId="3" xfId="104" applyNumberFormat="1" applyFont="1" applyFill="1" applyBorder="1" applyAlignment="1">
      <alignment horizontal="center" vertical="center"/>
    </xf>
    <xf numFmtId="173" fontId="22" fillId="0" borderId="3" xfId="104" applyNumberFormat="1" applyFont="1" applyFill="1" applyBorder="1" applyAlignment="1">
      <alignment horizontal="center" vertical="center" wrapText="1"/>
    </xf>
    <xf numFmtId="49" fontId="22" fillId="0" borderId="3" xfId="3" applyNumberFormat="1" applyBorder="1" applyAlignment="1">
      <alignment horizontal="center" vertical="center" wrapText="1"/>
    </xf>
    <xf numFmtId="164" fontId="22" fillId="0" borderId="65" xfId="3" applyNumberFormat="1" applyBorder="1" applyAlignment="1">
      <alignment horizontal="center" vertical="center"/>
    </xf>
    <xf numFmtId="0" fontId="22" fillId="0" borderId="62" xfId="3" applyBorder="1" applyAlignment="1">
      <alignment vertical="center"/>
    </xf>
    <xf numFmtId="164" fontId="22" fillId="0" borderId="65" xfId="104" applyFont="1" applyFill="1" applyBorder="1" applyAlignment="1">
      <alignment horizontal="center" vertical="center"/>
    </xf>
    <xf numFmtId="0" fontId="22" fillId="0" borderId="65" xfId="3" applyBorder="1" applyAlignment="1">
      <alignment horizontal="center" vertical="center"/>
    </xf>
    <xf numFmtId="171" fontId="22" fillId="0" borderId="65" xfId="104" applyNumberFormat="1" applyFont="1" applyFill="1" applyBorder="1" applyAlignment="1">
      <alignment horizontal="right" vertical="center"/>
    </xf>
    <xf numFmtId="173" fontId="22" fillId="0" borderId="65" xfId="104" applyNumberFormat="1" applyFont="1" applyFill="1" applyBorder="1" applyAlignment="1">
      <alignment vertical="center"/>
    </xf>
    <xf numFmtId="166" fontId="22" fillId="0" borderId="65" xfId="3" applyNumberFormat="1" applyBorder="1" applyAlignment="1">
      <alignment vertical="center"/>
    </xf>
    <xf numFmtId="164" fontId="22" fillId="0" borderId="75" xfId="104" applyFont="1" applyFill="1" applyBorder="1" applyAlignment="1">
      <alignment horizontal="center" vertical="center"/>
    </xf>
    <xf numFmtId="0" fontId="22" fillId="0" borderId="75" xfId="3" applyBorder="1" applyAlignment="1">
      <alignment horizontal="center" vertical="center"/>
    </xf>
    <xf numFmtId="171" fontId="22" fillId="0" borderId="75" xfId="104" quotePrefix="1" applyNumberFormat="1" applyFont="1" applyFill="1" applyBorder="1" applyAlignment="1">
      <alignment horizontal="right" vertical="center"/>
    </xf>
    <xf numFmtId="166" fontId="22" fillId="0" borderId="75" xfId="3" applyNumberFormat="1" applyBorder="1" applyAlignment="1">
      <alignment vertical="center"/>
    </xf>
    <xf numFmtId="0" fontId="22" fillId="0" borderId="70" xfId="3" applyBorder="1" applyAlignment="1">
      <alignment vertical="center"/>
    </xf>
    <xf numFmtId="43" fontId="22" fillId="0" borderId="75" xfId="3" applyNumberFormat="1" applyBorder="1" applyAlignment="1">
      <alignment vertical="center"/>
    </xf>
    <xf numFmtId="164" fontId="22" fillId="0" borderId="85" xfId="3" applyNumberFormat="1" applyBorder="1" applyAlignment="1">
      <alignment horizontal="center" vertical="center"/>
    </xf>
    <xf numFmtId="0" fontId="22" fillId="0" borderId="84" xfId="3" applyBorder="1" applyAlignment="1">
      <alignment vertical="center"/>
    </xf>
    <xf numFmtId="164" fontId="22" fillId="0" borderId="85" xfId="104" applyFont="1" applyFill="1" applyBorder="1" applyAlignment="1">
      <alignment horizontal="center" vertical="center"/>
    </xf>
    <xf numFmtId="0" fontId="22" fillId="0" borderId="85" xfId="3" applyBorder="1" applyAlignment="1">
      <alignment horizontal="center" vertical="center"/>
    </xf>
    <xf numFmtId="173" fontId="22" fillId="0" borderId="85" xfId="104" applyNumberFormat="1" applyFont="1" applyFill="1" applyBorder="1" applyAlignment="1">
      <alignment vertical="center"/>
    </xf>
    <xf numFmtId="166" fontId="22" fillId="0" borderId="3" xfId="3" applyNumberFormat="1" applyBorder="1" applyAlignment="1">
      <alignment vertical="center"/>
    </xf>
    <xf numFmtId="49" fontId="22" fillId="0" borderId="75" xfId="3" applyNumberFormat="1" applyBorder="1" applyAlignment="1">
      <alignment horizontal="center" vertical="center"/>
    </xf>
    <xf numFmtId="171" fontId="22" fillId="0" borderId="75" xfId="104" applyNumberFormat="1" applyFont="1" applyFill="1" applyBorder="1" applyAlignment="1">
      <alignment horizontal="right" vertical="center"/>
    </xf>
    <xf numFmtId="171" fontId="22" fillId="0" borderId="85" xfId="104" applyNumberFormat="1" applyFont="1" applyFill="1" applyBorder="1" applyAlignment="1">
      <alignment horizontal="right" vertical="center"/>
    </xf>
    <xf numFmtId="164" fontId="22" fillId="0" borderId="16" xfId="3" applyNumberFormat="1" applyBorder="1" applyAlignment="1">
      <alignment horizontal="center" vertical="center"/>
    </xf>
    <xf numFmtId="0" fontId="22" fillId="0" borderId="41" xfId="3" applyBorder="1" applyAlignment="1">
      <alignment vertical="center"/>
    </xf>
    <xf numFmtId="164" fontId="22" fillId="0" borderId="16" xfId="104" applyFont="1" applyFill="1" applyBorder="1" applyAlignment="1">
      <alignment horizontal="center" vertical="center"/>
    </xf>
    <xf numFmtId="0" fontId="22" fillId="0" borderId="16" xfId="3" applyBorder="1" applyAlignment="1">
      <alignment horizontal="center" vertical="center"/>
    </xf>
    <xf numFmtId="171" fontId="22" fillId="0" borderId="16" xfId="104" applyNumberFormat="1" applyFont="1" applyFill="1" applyBorder="1" applyAlignment="1">
      <alignment horizontal="right" vertical="center"/>
    </xf>
    <xf numFmtId="173" fontId="22" fillId="0" borderId="16" xfId="104" applyNumberFormat="1" applyFont="1" applyFill="1" applyBorder="1" applyAlignment="1">
      <alignment vertical="center"/>
    </xf>
    <xf numFmtId="166" fontId="22" fillId="0" borderId="16" xfId="3" applyNumberFormat="1" applyBorder="1" applyAlignment="1">
      <alignment vertical="center"/>
    </xf>
    <xf numFmtId="0" fontId="22" fillId="0" borderId="56" xfId="3" applyBorder="1" applyAlignment="1">
      <alignment horizontal="center" vertical="center"/>
    </xf>
    <xf numFmtId="0" fontId="22" fillId="0" borderId="57" xfId="3" applyBorder="1" applyAlignment="1">
      <alignment horizontal="center" vertical="center"/>
    </xf>
    <xf numFmtId="164" fontId="22" fillId="0" borderId="59" xfId="104" applyFont="1" applyFill="1" applyBorder="1" applyAlignment="1">
      <alignment horizontal="center" vertical="center"/>
    </xf>
    <xf numFmtId="49" fontId="22" fillId="0" borderId="59" xfId="3" applyNumberFormat="1" applyBorder="1" applyAlignment="1">
      <alignment horizontal="center" vertical="center"/>
    </xf>
    <xf numFmtId="171" fontId="22" fillId="0" borderId="59" xfId="104" applyNumberFormat="1" applyFont="1" applyFill="1" applyBorder="1" applyAlignment="1">
      <alignment horizontal="center" vertical="center"/>
    </xf>
    <xf numFmtId="173" fontId="22" fillId="0" borderId="59" xfId="104" applyNumberFormat="1" applyFont="1" applyFill="1" applyBorder="1" applyAlignment="1">
      <alignment horizontal="center" vertical="center" wrapText="1"/>
    </xf>
    <xf numFmtId="49" fontId="22" fillId="0" borderId="59" xfId="3" applyNumberFormat="1" applyBorder="1" applyAlignment="1">
      <alignment horizontal="center" vertical="center" wrapText="1"/>
    </xf>
    <xf numFmtId="164" fontId="22" fillId="0" borderId="75" xfId="3" applyNumberFormat="1" applyBorder="1" applyAlignment="1">
      <alignment vertical="center"/>
    </xf>
    <xf numFmtId="0" fontId="22" fillId="0" borderId="82" xfId="3" applyBorder="1"/>
    <xf numFmtId="164" fontId="22" fillId="0" borderId="65" xfId="3" applyNumberFormat="1" applyBorder="1" applyAlignment="1">
      <alignment vertical="center"/>
    </xf>
    <xf numFmtId="0" fontId="22" fillId="0" borderId="63" xfId="3" applyBorder="1"/>
    <xf numFmtId="164" fontId="22" fillId="0" borderId="85" xfId="3" applyNumberFormat="1" applyBorder="1" applyAlignment="1">
      <alignment vertical="center"/>
    </xf>
    <xf numFmtId="49" fontId="22" fillId="0" borderId="85" xfId="3" applyNumberFormat="1" applyBorder="1" applyAlignment="1">
      <alignment horizontal="center" vertical="center"/>
    </xf>
    <xf numFmtId="164" fontId="22" fillId="0" borderId="16" xfId="3" applyNumberFormat="1" applyBorder="1" applyAlignment="1">
      <alignment vertical="center"/>
    </xf>
    <xf numFmtId="164" fontId="22" fillId="0" borderId="65" xfId="104" applyFont="1" applyFill="1" applyBorder="1" applyAlignment="1">
      <alignment vertical="center"/>
    </xf>
    <xf numFmtId="0" fontId="22" fillId="0" borderId="65" xfId="3" applyBorder="1" applyAlignment="1">
      <alignment vertical="center"/>
    </xf>
    <xf numFmtId="171" fontId="22" fillId="0" borderId="65" xfId="104" applyNumberFormat="1" applyFont="1" applyFill="1" applyBorder="1" applyAlignment="1">
      <alignment vertical="center"/>
    </xf>
    <xf numFmtId="165" fontId="22" fillId="0" borderId="65" xfId="3" applyNumberFormat="1" applyBorder="1" applyAlignment="1">
      <alignment vertical="center"/>
    </xf>
    <xf numFmtId="0" fontId="22" fillId="0" borderId="3" xfId="3" applyBorder="1" applyAlignment="1">
      <alignment horizontal="center" vertical="center"/>
    </xf>
    <xf numFmtId="0" fontId="22" fillId="0" borderId="92" xfId="3" applyBorder="1"/>
    <xf numFmtId="0" fontId="22" fillId="0" borderId="130" xfId="3" applyBorder="1"/>
    <xf numFmtId="49" fontId="25" fillId="0" borderId="0" xfId="3" applyNumberFormat="1" applyFont="1" applyAlignment="1">
      <alignment vertical="center"/>
    </xf>
    <xf numFmtId="164" fontId="25" fillId="0" borderId="129" xfId="104" applyFont="1" applyFill="1" applyBorder="1" applyAlignment="1">
      <alignment horizontal="center" vertical="center"/>
    </xf>
    <xf numFmtId="0" fontId="25" fillId="0" borderId="129" xfId="3" applyFont="1" applyBorder="1" applyAlignment="1">
      <alignment horizontal="center" vertical="center"/>
    </xf>
    <xf numFmtId="167" fontId="25" fillId="0" borderId="129" xfId="3" applyNumberFormat="1" applyFont="1" applyBorder="1" applyAlignment="1">
      <alignment horizontal="right" vertical="center"/>
    </xf>
    <xf numFmtId="173" fontId="25" fillId="0" borderId="129" xfId="104" applyNumberFormat="1" applyFont="1" applyFill="1" applyBorder="1" applyAlignment="1">
      <alignment vertical="center"/>
    </xf>
    <xf numFmtId="0" fontId="25" fillId="0" borderId="129" xfId="3" applyFont="1" applyBorder="1" applyAlignment="1">
      <alignment vertical="center"/>
    </xf>
    <xf numFmtId="164" fontId="22" fillId="0" borderId="46" xfId="3" applyNumberFormat="1" applyBorder="1" applyAlignment="1">
      <alignment horizontal="center" vertical="center"/>
    </xf>
    <xf numFmtId="49" fontId="22" fillId="0" borderId="16" xfId="3" applyNumberFormat="1" applyBorder="1" applyAlignment="1">
      <alignment horizontal="center" vertical="center"/>
    </xf>
    <xf numFmtId="167" fontId="22" fillId="0" borderId="16" xfId="3" applyNumberFormat="1" applyBorder="1" applyAlignment="1">
      <alignment horizontal="center" vertical="center"/>
    </xf>
    <xf numFmtId="173" fontId="22" fillId="0" borderId="16" xfId="104" applyNumberFormat="1" applyFont="1" applyFill="1" applyBorder="1" applyAlignment="1">
      <alignment horizontal="center" vertical="center" wrapText="1"/>
    </xf>
    <xf numFmtId="49" fontId="22" fillId="0" borderId="17" xfId="3" applyNumberFormat="1" applyBorder="1" applyAlignment="1">
      <alignment horizontal="center" vertical="center" wrapText="1"/>
    </xf>
    <xf numFmtId="164" fontId="22" fillId="0" borderId="55" xfId="3" applyNumberFormat="1" applyBorder="1" applyAlignment="1">
      <alignment vertical="center"/>
    </xf>
    <xf numFmtId="0" fontId="22" fillId="0" borderId="56" xfId="3" applyBorder="1"/>
    <xf numFmtId="0" fontId="22" fillId="0" borderId="59" xfId="3" applyBorder="1" applyAlignment="1">
      <alignment horizontal="center" vertical="center"/>
    </xf>
    <xf numFmtId="167" fontId="22" fillId="0" borderId="59" xfId="3" applyNumberFormat="1" applyBorder="1" applyAlignment="1">
      <alignment horizontal="right" vertical="center"/>
    </xf>
    <xf numFmtId="166" fontId="22" fillId="0" borderId="132" xfId="3" applyNumberFormat="1" applyBorder="1" applyAlignment="1">
      <alignment vertical="center"/>
    </xf>
    <xf numFmtId="171" fontId="22" fillId="0" borderId="85" xfId="104" quotePrefix="1" applyNumberFormat="1" applyFont="1" applyFill="1" applyBorder="1" applyAlignment="1">
      <alignment horizontal="right" vertical="center"/>
    </xf>
    <xf numFmtId="166" fontId="22" fillId="0" borderId="85" xfId="3" applyNumberFormat="1" applyBorder="1" applyAlignment="1">
      <alignment vertical="center"/>
    </xf>
    <xf numFmtId="166" fontId="22" fillId="0" borderId="8" xfId="3" applyNumberFormat="1" applyBorder="1" applyAlignment="1">
      <alignment vertical="center"/>
    </xf>
    <xf numFmtId="164" fontId="22" fillId="0" borderId="74" xfId="3" applyNumberFormat="1" applyBorder="1" applyAlignment="1">
      <alignment vertical="center"/>
    </xf>
    <xf numFmtId="167" fontId="22" fillId="0" borderId="75" xfId="3" applyNumberFormat="1" applyBorder="1" applyAlignment="1">
      <alignment horizontal="right" vertical="center"/>
    </xf>
    <xf numFmtId="165" fontId="22" fillId="30" borderId="75" xfId="3" applyNumberFormat="1" applyFill="1" applyBorder="1" applyAlignment="1">
      <alignment vertical="center"/>
    </xf>
    <xf numFmtId="164" fontId="22" fillId="0" borderId="133" xfId="3" applyNumberFormat="1" applyBorder="1" applyAlignment="1">
      <alignment vertical="center"/>
    </xf>
    <xf numFmtId="164" fontId="22" fillId="0" borderId="92" xfId="104" applyFont="1" applyFill="1" applyBorder="1" applyAlignment="1">
      <alignment horizontal="center" vertical="center"/>
    </xf>
    <xf numFmtId="49" fontId="22" fillId="0" borderId="92" xfId="3" applyNumberFormat="1" applyBorder="1" applyAlignment="1">
      <alignment horizontal="center" vertical="center"/>
    </xf>
    <xf numFmtId="167" fontId="22" fillId="0" borderId="92" xfId="3" applyNumberFormat="1" applyBorder="1" applyAlignment="1">
      <alignment horizontal="right" vertical="center"/>
    </xf>
    <xf numFmtId="164" fontId="22" fillId="0" borderId="15" xfId="3" applyNumberFormat="1" applyBorder="1" applyAlignment="1">
      <alignment vertical="center"/>
    </xf>
    <xf numFmtId="0" fontId="22" fillId="0" borderId="16" xfId="3" applyBorder="1" applyAlignment="1">
      <alignment vertical="center"/>
    </xf>
    <xf numFmtId="167" fontId="22" fillId="0" borderId="16" xfId="3" applyNumberFormat="1" applyBorder="1" applyAlignment="1">
      <alignment horizontal="right" vertical="center"/>
    </xf>
    <xf numFmtId="166" fontId="22" fillId="0" borderId="17" xfId="3" applyNumberFormat="1" applyBorder="1" applyAlignment="1">
      <alignment vertical="center"/>
    </xf>
    <xf numFmtId="164" fontId="22" fillId="0" borderId="7" xfId="3" applyNumberFormat="1" applyBorder="1" applyAlignment="1">
      <alignment vertical="center"/>
    </xf>
    <xf numFmtId="0" fontId="22" fillId="0" borderId="3" xfId="3" applyBorder="1" applyAlignment="1">
      <alignment vertical="center"/>
    </xf>
    <xf numFmtId="0" fontId="22" fillId="0" borderId="72" xfId="3" applyBorder="1"/>
    <xf numFmtId="167" fontId="22" fillId="0" borderId="3" xfId="3" applyNumberFormat="1" applyBorder="1" applyAlignment="1">
      <alignment horizontal="right" vertical="center"/>
    </xf>
    <xf numFmtId="173" fontId="22" fillId="0" borderId="3" xfId="104" applyNumberFormat="1" applyFont="1" applyFill="1" applyBorder="1" applyAlignment="1">
      <alignment vertical="center"/>
    </xf>
    <xf numFmtId="166" fontId="25" fillId="0" borderId="8" xfId="3" applyNumberFormat="1" applyFont="1" applyBorder="1" applyAlignment="1">
      <alignment vertical="center"/>
    </xf>
    <xf numFmtId="164" fontId="22" fillId="30" borderId="0" xfId="3" applyNumberFormat="1" applyFill="1" applyAlignment="1">
      <alignment horizontal="center"/>
    </xf>
    <xf numFmtId="0" fontId="25" fillId="30" borderId="0" xfId="3" applyFont="1" applyFill="1" applyAlignment="1">
      <alignment horizontal="left" vertical="center"/>
    </xf>
    <xf numFmtId="0" fontId="22" fillId="30" borderId="0" xfId="3" applyFill="1" applyAlignment="1">
      <alignment horizontal="center" vertical="center"/>
    </xf>
    <xf numFmtId="0" fontId="25" fillId="30" borderId="29" xfId="3" applyFont="1" applyFill="1" applyBorder="1" applyAlignment="1">
      <alignment horizontal="center" vertical="center"/>
    </xf>
    <xf numFmtId="0" fontId="25" fillId="30" borderId="24" xfId="3" applyFont="1" applyFill="1" applyBorder="1" applyAlignment="1">
      <alignment horizontal="center" vertical="center"/>
    </xf>
    <xf numFmtId="0" fontId="25" fillId="30" borderId="43" xfId="3" applyFont="1" applyFill="1" applyBorder="1" applyAlignment="1">
      <alignment horizontal="center" vertical="center"/>
    </xf>
    <xf numFmtId="164" fontId="112" fillId="30" borderId="3" xfId="3" quotePrefix="1" applyNumberFormat="1" applyFont="1" applyFill="1" applyBorder="1" applyAlignment="1">
      <alignment horizontal="center" vertical="center"/>
    </xf>
    <xf numFmtId="0" fontId="112" fillId="30" borderId="28" xfId="3" applyFont="1" applyFill="1" applyBorder="1" applyAlignment="1">
      <alignment horizontal="center" vertical="center"/>
    </xf>
    <xf numFmtId="0" fontId="112" fillId="30" borderId="3" xfId="3" quotePrefix="1" applyFont="1" applyFill="1" applyBorder="1" applyAlignment="1">
      <alignment horizontal="center" vertical="center"/>
    </xf>
    <xf numFmtId="0" fontId="112" fillId="30" borderId="72" xfId="3" quotePrefix="1" applyFont="1" applyFill="1" applyBorder="1" applyAlignment="1">
      <alignment horizontal="center" vertical="center"/>
    </xf>
    <xf numFmtId="164" fontId="25" fillId="30" borderId="85" xfId="3" applyNumberFormat="1" applyFont="1" applyFill="1" applyBorder="1" applyAlignment="1">
      <alignment horizontal="center" vertical="center"/>
    </xf>
    <xf numFmtId="0" fontId="25" fillId="0" borderId="59" xfId="3" applyFont="1" applyBorder="1" applyAlignment="1">
      <alignment vertical="center"/>
    </xf>
    <xf numFmtId="166" fontId="22" fillId="0" borderId="6" xfId="3" applyNumberFormat="1" applyBorder="1" applyAlignment="1">
      <alignment vertical="center"/>
    </xf>
    <xf numFmtId="164" fontId="22" fillId="30" borderId="16" xfId="3" applyNumberFormat="1" applyFill="1" applyBorder="1" applyAlignment="1">
      <alignment horizontal="center" vertical="center"/>
    </xf>
    <xf numFmtId="0" fontId="22" fillId="30" borderId="63" xfId="3" applyFill="1" applyBorder="1" applyAlignment="1">
      <alignment horizontal="center" vertical="center"/>
    </xf>
    <xf numFmtId="0" fontId="22" fillId="30" borderId="63" xfId="3" applyFill="1" applyBorder="1" applyAlignment="1">
      <alignment vertical="center"/>
    </xf>
    <xf numFmtId="0" fontId="22" fillId="30" borderId="24" xfId="3" applyFill="1" applyBorder="1" applyAlignment="1">
      <alignment vertical="center"/>
    </xf>
    <xf numFmtId="0" fontId="22" fillId="30" borderId="16" xfId="3" applyFill="1" applyBorder="1" applyAlignment="1">
      <alignment horizontal="center" vertical="center"/>
    </xf>
    <xf numFmtId="0" fontId="22" fillId="30" borderId="16" xfId="3" applyFill="1" applyBorder="1" applyAlignment="1">
      <alignment vertical="center"/>
    </xf>
    <xf numFmtId="43" fontId="22" fillId="30" borderId="16" xfId="3" applyNumberFormat="1" applyFill="1" applyBorder="1" applyAlignment="1">
      <alignment vertical="center"/>
    </xf>
    <xf numFmtId="0" fontId="22" fillId="30" borderId="82" xfId="3" applyFill="1" applyBorder="1" applyAlignment="1">
      <alignment horizontal="center" vertical="center"/>
    </xf>
    <xf numFmtId="0" fontId="25" fillId="30" borderId="70" xfId="3" applyFont="1" applyFill="1" applyBorder="1" applyAlignment="1">
      <alignment horizontal="left" vertical="center"/>
    </xf>
    <xf numFmtId="0" fontId="25" fillId="30" borderId="70" xfId="3" applyFont="1" applyFill="1" applyBorder="1" applyAlignment="1">
      <alignment vertical="center"/>
    </xf>
    <xf numFmtId="0" fontId="109" fillId="30" borderId="83" xfId="3" applyFont="1" applyFill="1" applyBorder="1" applyAlignment="1">
      <alignment vertical="center"/>
    </xf>
    <xf numFmtId="0" fontId="22" fillId="30" borderId="85" xfId="3" applyFill="1" applyBorder="1" applyAlignment="1">
      <alignment horizontal="center" vertical="center"/>
    </xf>
    <xf numFmtId="172" fontId="22" fillId="30" borderId="85" xfId="104" applyNumberFormat="1" applyFont="1" applyFill="1" applyBorder="1" applyAlignment="1">
      <alignment vertical="center"/>
    </xf>
    <xf numFmtId="0" fontId="22" fillId="30" borderId="85" xfId="3" applyFill="1" applyBorder="1" applyAlignment="1">
      <alignment vertical="center"/>
    </xf>
    <xf numFmtId="43" fontId="22" fillId="30" borderId="85" xfId="3" applyNumberFormat="1" applyFill="1" applyBorder="1" applyAlignment="1">
      <alignment vertical="center"/>
    </xf>
    <xf numFmtId="164" fontId="22" fillId="30" borderId="75" xfId="3" applyNumberFormat="1" applyFill="1" applyBorder="1" applyAlignment="1">
      <alignment horizontal="center" vertical="center"/>
    </xf>
    <xf numFmtId="0" fontId="22" fillId="30" borderId="70" xfId="3" applyFill="1" applyBorder="1" applyAlignment="1">
      <alignment horizontal="center" vertical="center"/>
    </xf>
    <xf numFmtId="0" fontId="22" fillId="30" borderId="70" xfId="108" applyFont="1" applyFill="1" applyBorder="1"/>
    <xf numFmtId="0" fontId="22" fillId="30" borderId="70" xfId="3" applyFill="1" applyBorder="1"/>
    <xf numFmtId="0" fontId="22" fillId="30" borderId="75" xfId="3" applyFill="1" applyBorder="1" applyAlignment="1">
      <alignment horizontal="center" vertical="center"/>
    </xf>
    <xf numFmtId="178" fontId="22" fillId="30" borderId="136" xfId="47" applyNumberFormat="1" applyFont="1" applyFill="1" applyBorder="1" applyAlignment="1">
      <alignment horizontal="left" vertical="center"/>
    </xf>
    <xf numFmtId="43" fontId="22" fillId="30" borderId="75" xfId="3" applyNumberFormat="1" applyFill="1" applyBorder="1" applyAlignment="1">
      <alignment vertical="center"/>
    </xf>
    <xf numFmtId="0" fontId="22" fillId="30" borderId="68" xfId="3" applyFill="1" applyBorder="1" applyAlignment="1">
      <alignment horizontal="center" vertical="center"/>
    </xf>
    <xf numFmtId="0" fontId="22" fillId="0" borderId="69" xfId="3" applyBorder="1" applyAlignment="1">
      <alignment vertical="center"/>
    </xf>
    <xf numFmtId="165" fontId="22" fillId="30" borderId="75" xfId="47" applyFont="1" applyFill="1" applyBorder="1" applyAlignment="1">
      <alignment horizontal="center" vertical="center"/>
    </xf>
    <xf numFmtId="178" fontId="22" fillId="30" borderId="75" xfId="47" applyNumberFormat="1" applyFont="1" applyFill="1" applyBorder="1" applyAlignment="1">
      <alignment horizontal="left" vertical="center"/>
    </xf>
    <xf numFmtId="173" fontId="22" fillId="30" borderId="75" xfId="104" applyNumberFormat="1" applyFont="1" applyFill="1" applyBorder="1" applyAlignment="1">
      <alignment vertical="center"/>
    </xf>
    <xf numFmtId="0" fontId="22" fillId="30" borderId="84" xfId="3" applyFill="1" applyBorder="1" applyAlignment="1">
      <alignment horizontal="center" vertical="center"/>
    </xf>
    <xf numFmtId="165" fontId="22" fillId="30" borderId="85" xfId="47" applyFont="1" applyFill="1" applyBorder="1" applyAlignment="1">
      <alignment horizontal="center" vertical="center"/>
    </xf>
    <xf numFmtId="178" fontId="22" fillId="30" borderId="85" xfId="47" applyNumberFormat="1" applyFont="1" applyFill="1" applyBorder="1" applyAlignment="1">
      <alignment horizontal="left" vertical="center"/>
    </xf>
    <xf numFmtId="173" fontId="22" fillId="30" borderId="85" xfId="104" applyNumberFormat="1" applyFont="1" applyFill="1" applyBorder="1" applyAlignment="1">
      <alignment vertical="center"/>
    </xf>
    <xf numFmtId="0" fontId="22" fillId="0" borderId="82" xfId="3" applyBorder="1" applyAlignment="1">
      <alignment vertical="center"/>
    </xf>
    <xf numFmtId="164" fontId="22" fillId="30" borderId="92" xfId="3" applyNumberFormat="1" applyFill="1" applyBorder="1" applyAlignment="1">
      <alignment horizontal="center" vertical="center"/>
    </xf>
    <xf numFmtId="0" fontId="22" fillId="30" borderId="131" xfId="3" applyFill="1" applyBorder="1" applyAlignment="1">
      <alignment horizontal="center" vertical="center"/>
    </xf>
    <xf numFmtId="0" fontId="22" fillId="30" borderId="131" xfId="3" applyFill="1" applyBorder="1"/>
    <xf numFmtId="0" fontId="22" fillId="30" borderId="92" xfId="3" applyFill="1" applyBorder="1"/>
    <xf numFmtId="165" fontId="22" fillId="30" borderId="92" xfId="47" applyFont="1" applyFill="1" applyBorder="1" applyAlignment="1">
      <alignment horizontal="center" vertical="center"/>
    </xf>
    <xf numFmtId="178" fontId="22" fillId="30" borderId="92" xfId="47" applyNumberFormat="1" applyFont="1" applyFill="1" applyBorder="1" applyAlignment="1">
      <alignment horizontal="left" vertical="center"/>
    </xf>
    <xf numFmtId="173" fontId="22" fillId="30" borderId="92" xfId="104" applyNumberFormat="1" applyFont="1" applyFill="1" applyBorder="1" applyAlignment="1">
      <alignment vertical="center"/>
    </xf>
    <xf numFmtId="179" fontId="22" fillId="30" borderId="92" xfId="3" applyNumberFormat="1" applyFill="1" applyBorder="1" applyAlignment="1">
      <alignment vertical="center"/>
    </xf>
    <xf numFmtId="164" fontId="25" fillId="30" borderId="75" xfId="3" applyNumberFormat="1" applyFont="1" applyFill="1" applyBorder="1" applyAlignment="1">
      <alignment horizontal="center" vertical="center"/>
    </xf>
    <xf numFmtId="0" fontId="25" fillId="30" borderId="70" xfId="3" applyFont="1" applyFill="1" applyBorder="1" applyAlignment="1">
      <alignment horizontal="center" vertical="center"/>
    </xf>
    <xf numFmtId="0" fontId="25" fillId="30" borderId="63" xfId="3" applyFont="1" applyFill="1" applyBorder="1" applyAlignment="1">
      <alignment vertical="center"/>
    </xf>
    <xf numFmtId="0" fontId="25" fillId="30" borderId="69" xfId="3" applyFont="1" applyFill="1" applyBorder="1" applyAlignment="1">
      <alignment horizontal="center" vertical="center"/>
    </xf>
    <xf numFmtId="172" fontId="25" fillId="30" borderId="75" xfId="104" applyNumberFormat="1" applyFont="1" applyFill="1" applyBorder="1" applyAlignment="1">
      <alignment vertical="center"/>
    </xf>
    <xf numFmtId="165" fontId="25" fillId="30" borderId="75" xfId="3" applyNumberFormat="1" applyFont="1" applyFill="1" applyBorder="1" applyAlignment="1">
      <alignment vertical="center"/>
    </xf>
    <xf numFmtId="179" fontId="25" fillId="30" borderId="75" xfId="3" applyNumberFormat="1" applyFont="1" applyFill="1" applyBorder="1" applyAlignment="1">
      <alignment vertical="center"/>
    </xf>
    <xf numFmtId="164" fontId="25" fillId="30" borderId="92" xfId="3" applyNumberFormat="1" applyFont="1" applyFill="1" applyBorder="1" applyAlignment="1">
      <alignment horizontal="center" vertical="center"/>
    </xf>
    <xf numFmtId="0" fontId="25" fillId="30" borderId="131" xfId="3" applyFont="1" applyFill="1" applyBorder="1" applyAlignment="1">
      <alignment horizontal="center" vertical="center"/>
    </xf>
    <xf numFmtId="0" fontId="25" fillId="30" borderId="131" xfId="3" applyFont="1" applyFill="1" applyBorder="1" applyAlignment="1">
      <alignment horizontal="left" vertical="center"/>
    </xf>
    <xf numFmtId="0" fontId="25" fillId="30" borderId="131" xfId="3" applyFont="1" applyFill="1" applyBorder="1" applyAlignment="1">
      <alignment vertical="center"/>
    </xf>
    <xf numFmtId="0" fontId="25" fillId="30" borderId="137" xfId="3" applyFont="1" applyFill="1" applyBorder="1" applyAlignment="1">
      <alignment horizontal="center" vertical="center"/>
    </xf>
    <xf numFmtId="172" fontId="25" fillId="30" borderId="92" xfId="104" applyNumberFormat="1" applyFont="1" applyFill="1" applyBorder="1" applyAlignment="1">
      <alignment vertical="center"/>
    </xf>
    <xf numFmtId="165" fontId="25" fillId="30" borderId="92" xfId="3" applyNumberFormat="1" applyFont="1" applyFill="1" applyBorder="1" applyAlignment="1">
      <alignment vertical="center"/>
    </xf>
    <xf numFmtId="179" fontId="25" fillId="30" borderId="92" xfId="3" applyNumberFormat="1" applyFont="1" applyFill="1" applyBorder="1" applyAlignment="1">
      <alignment vertical="center"/>
    </xf>
    <xf numFmtId="164" fontId="25" fillId="30" borderId="0" xfId="3" applyNumberFormat="1" applyFont="1" applyFill="1" applyAlignment="1">
      <alignment horizontal="center" vertical="center"/>
    </xf>
    <xf numFmtId="0" fontId="25" fillId="30" borderId="0" xfId="3" applyFont="1" applyFill="1" applyAlignment="1">
      <alignment vertical="center"/>
    </xf>
    <xf numFmtId="172" fontId="25" fillId="30" borderId="0" xfId="104" applyNumberFormat="1" applyFont="1" applyFill="1" applyBorder="1" applyAlignment="1">
      <alignment vertical="center"/>
    </xf>
    <xf numFmtId="165" fontId="25" fillId="30" borderId="0" xfId="3" applyNumberFormat="1" applyFont="1" applyFill="1" applyAlignment="1">
      <alignment vertical="center"/>
    </xf>
    <xf numFmtId="179" fontId="25" fillId="30" borderId="0" xfId="3" applyNumberFormat="1" applyFont="1" applyFill="1" applyAlignment="1">
      <alignment vertical="center"/>
    </xf>
    <xf numFmtId="164" fontId="25" fillId="25" borderId="0" xfId="3" applyNumberFormat="1" applyFont="1" applyFill="1" applyAlignment="1">
      <alignment horizontal="center"/>
    </xf>
    <xf numFmtId="0" fontId="25" fillId="25" borderId="0" xfId="3" applyFont="1" applyFill="1" applyAlignment="1">
      <alignment horizontal="left" vertical="center"/>
    </xf>
    <xf numFmtId="0" fontId="22" fillId="25" borderId="0" xfId="3" applyFill="1" applyAlignment="1">
      <alignment horizontal="center" vertical="center"/>
    </xf>
    <xf numFmtId="0" fontId="22" fillId="25" borderId="0" xfId="3" applyFill="1"/>
    <xf numFmtId="164" fontId="25" fillId="30" borderId="3" xfId="3" quotePrefix="1" applyNumberFormat="1" applyFont="1" applyFill="1" applyBorder="1" applyAlignment="1">
      <alignment horizontal="center" vertical="center"/>
    </xf>
    <xf numFmtId="0" fontId="25" fillId="30" borderId="28" xfId="3" applyFont="1" applyFill="1" applyBorder="1" applyAlignment="1">
      <alignment horizontal="center" vertical="center"/>
    </xf>
    <xf numFmtId="0" fontId="25" fillId="30" borderId="3" xfId="3" quotePrefix="1" applyFont="1" applyFill="1" applyBorder="1" applyAlignment="1">
      <alignment horizontal="center" vertical="center"/>
    </xf>
    <xf numFmtId="0" fontId="25" fillId="30" borderId="72" xfId="3" quotePrefix="1" applyFont="1" applyFill="1" applyBorder="1" applyAlignment="1">
      <alignment horizontal="center" vertical="center"/>
    </xf>
    <xf numFmtId="0" fontId="22" fillId="0" borderId="0" xfId="3" applyAlignment="1">
      <alignment vertical="center"/>
    </xf>
    <xf numFmtId="0" fontId="22" fillId="0" borderId="24" xfId="3" applyBorder="1" applyAlignment="1">
      <alignment vertical="center"/>
    </xf>
    <xf numFmtId="43" fontId="22" fillId="0" borderId="16" xfId="3" applyNumberFormat="1" applyBorder="1" applyAlignment="1">
      <alignment vertical="center"/>
    </xf>
    <xf numFmtId="164" fontId="25" fillId="0" borderId="85" xfId="3" applyNumberFormat="1" applyFont="1" applyBorder="1" applyAlignment="1">
      <alignment horizontal="center" vertical="center"/>
    </xf>
    <xf numFmtId="0" fontId="22" fillId="0" borderId="82" xfId="3" applyBorder="1" applyAlignment="1">
      <alignment horizontal="center" vertical="center"/>
    </xf>
    <xf numFmtId="0" fontId="25" fillId="0" borderId="82" xfId="3" applyFont="1" applyBorder="1" applyAlignment="1">
      <alignment vertical="center"/>
    </xf>
    <xf numFmtId="0" fontId="109" fillId="0" borderId="83" xfId="3" applyFont="1" applyBorder="1" applyAlignment="1">
      <alignment vertical="center"/>
    </xf>
    <xf numFmtId="172" fontId="22" fillId="0" borderId="85" xfId="104" applyNumberFormat="1" applyFont="1" applyFill="1" applyBorder="1" applyAlignment="1">
      <alignment vertical="center"/>
    </xf>
    <xf numFmtId="0" fontId="22" fillId="0" borderId="85" xfId="3" applyBorder="1" applyAlignment="1">
      <alignment vertical="center"/>
    </xf>
    <xf numFmtId="43" fontId="22" fillId="0" borderId="85" xfId="3" applyNumberFormat="1" applyBorder="1" applyAlignment="1">
      <alignment vertical="center"/>
    </xf>
    <xf numFmtId="0" fontId="22" fillId="0" borderId="70" xfId="3" applyBorder="1" applyAlignment="1">
      <alignment horizontal="center" vertical="center"/>
    </xf>
    <xf numFmtId="178" fontId="22" fillId="0" borderId="136" xfId="47" applyNumberFormat="1" applyFont="1" applyFill="1" applyBorder="1" applyAlignment="1">
      <alignment horizontal="left" vertical="center"/>
    </xf>
    <xf numFmtId="0" fontId="22" fillId="0" borderId="68" xfId="3" applyBorder="1" applyAlignment="1">
      <alignment horizontal="center" vertical="center"/>
    </xf>
    <xf numFmtId="164" fontId="22" fillId="0" borderId="39" xfId="3" applyNumberFormat="1" applyBorder="1" applyAlignment="1">
      <alignment horizontal="center" vertical="center"/>
    </xf>
    <xf numFmtId="0" fontId="22" fillId="0" borderId="72" xfId="3" applyBorder="1" applyAlignment="1">
      <alignment vertical="center"/>
    </xf>
    <xf numFmtId="172" fontId="25" fillId="0" borderId="72" xfId="104" applyNumberFormat="1" applyFont="1" applyFill="1" applyBorder="1" applyAlignment="1">
      <alignment vertical="center"/>
    </xf>
    <xf numFmtId="165" fontId="25" fillId="0" borderId="3" xfId="3" applyNumberFormat="1" applyFont="1" applyBorder="1" applyAlignment="1">
      <alignment vertical="center"/>
    </xf>
    <xf numFmtId="43" fontId="25" fillId="0" borderId="3" xfId="3" applyNumberFormat="1" applyFont="1" applyBorder="1" applyAlignment="1">
      <alignment vertical="center"/>
    </xf>
    <xf numFmtId="164" fontId="25" fillId="0" borderId="84" xfId="3" applyNumberFormat="1" applyFont="1" applyBorder="1" applyAlignment="1">
      <alignment horizontal="center" vertical="center"/>
    </xf>
    <xf numFmtId="0" fontId="25" fillId="0" borderId="57" xfId="3" applyFont="1" applyBorder="1" applyAlignment="1">
      <alignment vertical="center"/>
    </xf>
    <xf numFmtId="0" fontId="109" fillId="0" borderId="10" xfId="3" applyFont="1" applyBorder="1" applyAlignment="1">
      <alignment vertical="center"/>
    </xf>
    <xf numFmtId="0" fontId="22" fillId="0" borderId="10" xfId="3" applyBorder="1" applyAlignment="1">
      <alignment horizontal="center" vertical="center"/>
    </xf>
    <xf numFmtId="172" fontId="22" fillId="0" borderId="10" xfId="104" applyNumberFormat="1" applyFont="1" applyFill="1" applyBorder="1" applyAlignment="1">
      <alignment vertical="center"/>
    </xf>
    <xf numFmtId="0" fontId="22" fillId="0" borderId="10" xfId="3" applyBorder="1" applyAlignment="1">
      <alignment vertical="center"/>
    </xf>
    <xf numFmtId="179" fontId="22" fillId="0" borderId="10" xfId="3" applyNumberFormat="1" applyBorder="1" applyAlignment="1">
      <alignment vertical="center"/>
    </xf>
    <xf numFmtId="164" fontId="22" fillId="0" borderId="68" xfId="3" applyNumberFormat="1" applyBorder="1" applyAlignment="1">
      <alignment horizontal="center" vertical="center"/>
    </xf>
    <xf numFmtId="0" fontId="22" fillId="0" borderId="75" xfId="3" applyBorder="1"/>
    <xf numFmtId="165" fontId="22" fillId="0" borderId="75" xfId="47" applyFont="1" applyFill="1" applyBorder="1" applyAlignment="1">
      <alignment horizontal="center" vertical="center"/>
    </xf>
    <xf numFmtId="178" fontId="22" fillId="0" borderId="75" xfId="47" applyNumberFormat="1" applyFont="1" applyFill="1" applyBorder="1" applyAlignment="1">
      <alignment horizontal="left" vertical="center"/>
    </xf>
    <xf numFmtId="179" fontId="22" fillId="0" borderId="75" xfId="3" applyNumberFormat="1" applyBorder="1" applyAlignment="1">
      <alignment vertical="center"/>
    </xf>
    <xf numFmtId="0" fontId="22" fillId="0" borderId="70" xfId="108" applyFont="1" applyBorder="1"/>
    <xf numFmtId="0" fontId="22" fillId="0" borderId="84" xfId="3" applyBorder="1" applyAlignment="1">
      <alignment horizontal="center" vertical="center"/>
    </xf>
    <xf numFmtId="0" fontId="22" fillId="0" borderId="85" xfId="3" applyBorder="1"/>
    <xf numFmtId="0" fontId="22" fillId="30" borderId="75" xfId="3" applyFill="1" applyBorder="1"/>
    <xf numFmtId="179" fontId="22" fillId="30" borderId="75" xfId="3" applyNumberFormat="1" applyFill="1" applyBorder="1" applyAlignment="1">
      <alignment vertical="center"/>
    </xf>
    <xf numFmtId="0" fontId="22" fillId="30" borderId="82" xfId="3" applyFill="1" applyBorder="1"/>
    <xf numFmtId="0" fontId="22" fillId="0" borderId="82" xfId="108" applyFont="1" applyBorder="1"/>
    <xf numFmtId="164" fontId="22" fillId="0" borderId="130" xfId="3" applyNumberFormat="1" applyBorder="1" applyAlignment="1">
      <alignment horizontal="center" vertical="center"/>
    </xf>
    <xf numFmtId="0" fontId="22" fillId="0" borderId="130" xfId="3" applyBorder="1" applyAlignment="1">
      <alignment horizontal="center" vertical="center"/>
    </xf>
    <xf numFmtId="165" fontId="22" fillId="0" borderId="92" xfId="47" applyFont="1" applyFill="1" applyBorder="1" applyAlignment="1">
      <alignment horizontal="center" vertical="center"/>
    </xf>
    <xf numFmtId="178" fontId="22" fillId="0" borderId="92" xfId="47" applyNumberFormat="1" applyFont="1" applyFill="1" applyBorder="1" applyAlignment="1">
      <alignment horizontal="left" vertical="center"/>
    </xf>
    <xf numFmtId="179" fontId="22" fillId="0" borderId="92" xfId="3" applyNumberFormat="1" applyBorder="1" applyAlignment="1">
      <alignment vertical="center"/>
    </xf>
    <xf numFmtId="165" fontId="25" fillId="0" borderId="72" xfId="3" applyNumberFormat="1" applyFont="1" applyBorder="1" applyAlignment="1">
      <alignment vertical="center"/>
    </xf>
    <xf numFmtId="179" fontId="25" fillId="0" borderId="28" xfId="3" applyNumberFormat="1" applyFont="1" applyBorder="1" applyAlignment="1">
      <alignment vertical="center"/>
    </xf>
    <xf numFmtId="164" fontId="25" fillId="0" borderId="59" xfId="3" applyNumberFormat="1" applyFont="1" applyBorder="1" applyAlignment="1">
      <alignment horizontal="center" vertical="center"/>
    </xf>
    <xf numFmtId="0" fontId="109" fillId="0" borderId="59" xfId="3" applyFont="1" applyBorder="1" applyAlignment="1">
      <alignment vertical="center"/>
    </xf>
    <xf numFmtId="0" fontId="22" fillId="0" borderId="58" xfId="3" applyBorder="1" applyAlignment="1">
      <alignment horizontal="center" vertical="center"/>
    </xf>
    <xf numFmtId="172" fontId="22" fillId="0" borderId="59" xfId="104" applyNumberFormat="1" applyFont="1" applyFill="1" applyBorder="1" applyAlignment="1">
      <alignment vertical="center"/>
    </xf>
    <xf numFmtId="179" fontId="22" fillId="0" borderId="59" xfId="3" applyNumberFormat="1" applyBorder="1" applyAlignment="1">
      <alignment vertical="center"/>
    </xf>
    <xf numFmtId="164" fontId="25" fillId="0" borderId="41" xfId="3" applyNumberFormat="1" applyFont="1" applyBorder="1" applyAlignment="1">
      <alignment horizontal="center" vertical="center"/>
    </xf>
    <xf numFmtId="0" fontId="25" fillId="0" borderId="70" xfId="3" applyFont="1" applyBorder="1" applyAlignment="1">
      <alignment vertical="center"/>
    </xf>
    <xf numFmtId="0" fontId="109" fillId="0" borderId="16" xfId="3" applyFont="1" applyBorder="1" applyAlignment="1">
      <alignment vertical="center"/>
    </xf>
    <xf numFmtId="172" fontId="22" fillId="0" borderId="75" xfId="104" applyNumberFormat="1" applyFont="1" applyFill="1" applyBorder="1" applyAlignment="1">
      <alignment vertical="center"/>
    </xf>
    <xf numFmtId="179" fontId="22" fillId="0" borderId="65" xfId="3" applyNumberFormat="1" applyBorder="1" applyAlignment="1">
      <alignment vertical="center"/>
    </xf>
    <xf numFmtId="0" fontId="22" fillId="0" borderId="131" xfId="3" applyBorder="1" applyAlignment="1">
      <alignment horizontal="left" vertical="center"/>
    </xf>
    <xf numFmtId="0" fontId="25" fillId="0" borderId="131" xfId="3" applyFont="1" applyBorder="1" applyAlignment="1">
      <alignment vertical="center"/>
    </xf>
    <xf numFmtId="0" fontId="109" fillId="0" borderId="92" xfId="3" applyFont="1" applyBorder="1" applyAlignment="1">
      <alignment vertical="center"/>
    </xf>
    <xf numFmtId="0" fontId="22" fillId="0" borderId="131" xfId="3" applyBorder="1" applyAlignment="1">
      <alignment horizontal="center" vertical="center"/>
    </xf>
    <xf numFmtId="178" fontId="22" fillId="0" borderId="138" xfId="47" applyNumberFormat="1" applyFont="1" applyFill="1" applyBorder="1" applyAlignment="1">
      <alignment horizontal="left" vertical="center"/>
    </xf>
    <xf numFmtId="173" fontId="22" fillId="0" borderId="92" xfId="3" applyNumberFormat="1" applyBorder="1" applyAlignment="1">
      <alignment vertical="center"/>
    </xf>
    <xf numFmtId="164" fontId="25" fillId="0" borderId="75" xfId="3" applyNumberFormat="1" applyFont="1" applyBorder="1" applyAlignment="1">
      <alignment horizontal="center" vertical="center"/>
    </xf>
    <xf numFmtId="0" fontId="25" fillId="0" borderId="70" xfId="3" applyFont="1" applyBorder="1" applyAlignment="1">
      <alignment horizontal="center" vertical="center"/>
    </xf>
    <xf numFmtId="0" fontId="25" fillId="0" borderId="70" xfId="3" applyFont="1" applyBorder="1" applyAlignment="1">
      <alignment horizontal="left" vertical="center"/>
    </xf>
    <xf numFmtId="0" fontId="25" fillId="0" borderId="63" xfId="3" applyFont="1" applyBorder="1" applyAlignment="1">
      <alignment vertical="center"/>
    </xf>
    <xf numFmtId="0" fontId="25" fillId="0" borderId="69" xfId="3" applyFont="1" applyBorder="1" applyAlignment="1">
      <alignment horizontal="center" vertical="center"/>
    </xf>
    <xf numFmtId="172" fontId="25" fillId="0" borderId="75" xfId="104" applyNumberFormat="1" applyFont="1" applyFill="1" applyBorder="1" applyAlignment="1">
      <alignment vertical="center"/>
    </xf>
    <xf numFmtId="165" fontId="25" fillId="0" borderId="75" xfId="3" applyNumberFormat="1" applyFont="1" applyBorder="1" applyAlignment="1">
      <alignment vertical="center"/>
    </xf>
    <xf numFmtId="179" fontId="25" fillId="0" borderId="75" xfId="3" applyNumberFormat="1" applyFont="1" applyBorder="1" applyAlignment="1">
      <alignment vertical="center"/>
    </xf>
    <xf numFmtId="164" fontId="25" fillId="0" borderId="92" xfId="3" applyNumberFormat="1" applyFont="1" applyBorder="1" applyAlignment="1">
      <alignment horizontal="center" vertical="center"/>
    </xf>
    <xf numFmtId="0" fontId="25" fillId="0" borderId="131" xfId="3" applyFont="1" applyBorder="1" applyAlignment="1">
      <alignment horizontal="center" vertical="center"/>
    </xf>
    <xf numFmtId="0" fontId="25" fillId="0" borderId="131" xfId="3" applyFont="1" applyBorder="1" applyAlignment="1">
      <alignment horizontal="left" vertical="center"/>
    </xf>
    <xf numFmtId="0" fontId="25" fillId="0" borderId="137" xfId="3" applyFont="1" applyBorder="1" applyAlignment="1">
      <alignment horizontal="center" vertical="center"/>
    </xf>
    <xf numFmtId="172" fontId="25" fillId="0" borderId="92" xfId="104" applyNumberFormat="1" applyFont="1" applyFill="1" applyBorder="1" applyAlignment="1">
      <alignment vertical="center"/>
    </xf>
    <xf numFmtId="179" fontId="25" fillId="0" borderId="92" xfId="3" applyNumberFormat="1" applyFont="1" applyBorder="1" applyAlignment="1">
      <alignment vertical="center"/>
    </xf>
    <xf numFmtId="0" fontId="22" fillId="30" borderId="0" xfId="3" applyFill="1" applyAlignment="1">
      <alignment vertical="center"/>
    </xf>
    <xf numFmtId="0" fontId="25" fillId="30" borderId="82" xfId="3" applyFont="1" applyFill="1" applyBorder="1" applyAlignment="1">
      <alignment vertical="center"/>
    </xf>
    <xf numFmtId="0" fontId="22" fillId="30" borderId="70" xfId="3" applyFill="1" applyBorder="1" applyAlignment="1">
      <alignment vertical="center"/>
    </xf>
    <xf numFmtId="164" fontId="22" fillId="30" borderId="39" xfId="3" applyNumberFormat="1" applyFill="1" applyBorder="1" applyAlignment="1">
      <alignment horizontal="center" vertical="center"/>
    </xf>
    <xf numFmtId="0" fontId="22" fillId="30" borderId="72" xfId="3" applyFill="1" applyBorder="1" applyAlignment="1">
      <alignment horizontal="center" vertical="center"/>
    </xf>
    <xf numFmtId="0" fontId="22" fillId="30" borderId="72" xfId="3" applyFill="1" applyBorder="1" applyAlignment="1">
      <alignment vertical="center"/>
    </xf>
    <xf numFmtId="172" fontId="25" fillId="30" borderId="72" xfId="104" applyNumberFormat="1" applyFont="1" applyFill="1" applyBorder="1" applyAlignment="1">
      <alignment vertical="center"/>
    </xf>
    <xf numFmtId="165" fontId="25" fillId="30" borderId="3" xfId="3" applyNumberFormat="1" applyFont="1" applyFill="1" applyBorder="1" applyAlignment="1">
      <alignment vertical="center"/>
    </xf>
    <xf numFmtId="43" fontId="25" fillId="30" borderId="3" xfId="3" applyNumberFormat="1" applyFont="1" applyFill="1" applyBorder="1" applyAlignment="1">
      <alignment vertical="center"/>
    </xf>
    <xf numFmtId="164" fontId="25" fillId="30" borderId="84" xfId="3" applyNumberFormat="1" applyFont="1" applyFill="1" applyBorder="1" applyAlignment="1">
      <alignment horizontal="center" vertical="center"/>
    </xf>
    <xf numFmtId="0" fontId="22" fillId="30" borderId="56" xfId="3" applyFill="1" applyBorder="1" applyAlignment="1">
      <alignment horizontal="center" vertical="center"/>
    </xf>
    <xf numFmtId="0" fontId="25" fillId="30" borderId="57" xfId="3" applyFont="1" applyFill="1" applyBorder="1" applyAlignment="1">
      <alignment vertical="center"/>
    </xf>
    <xf numFmtId="0" fontId="109" fillId="30" borderId="10" xfId="3" applyFont="1" applyFill="1" applyBorder="1" applyAlignment="1">
      <alignment vertical="center"/>
    </xf>
    <xf numFmtId="0" fontId="22" fillId="30" borderId="10" xfId="3" applyFill="1" applyBorder="1" applyAlignment="1">
      <alignment horizontal="center" vertical="center"/>
    </xf>
    <xf numFmtId="172" fontId="22" fillId="30" borderId="10" xfId="104" applyNumberFormat="1" applyFont="1" applyFill="1" applyBorder="1" applyAlignment="1">
      <alignment vertical="center"/>
    </xf>
    <xf numFmtId="0" fontId="22" fillId="30" borderId="10" xfId="3" applyFill="1" applyBorder="1" applyAlignment="1">
      <alignment vertical="center"/>
    </xf>
    <xf numFmtId="179" fontId="22" fillId="30" borderId="10" xfId="3" applyNumberFormat="1" applyFill="1" applyBorder="1" applyAlignment="1">
      <alignment vertical="center"/>
    </xf>
    <xf numFmtId="164" fontId="22" fillId="30" borderId="68" xfId="3" applyNumberFormat="1" applyFill="1" applyBorder="1" applyAlignment="1">
      <alignment horizontal="center" vertical="center"/>
    </xf>
    <xf numFmtId="0" fontId="22" fillId="30" borderId="85" xfId="3" applyFill="1" applyBorder="1"/>
    <xf numFmtId="165" fontId="25" fillId="30" borderId="72" xfId="3" applyNumberFormat="1" applyFont="1" applyFill="1" applyBorder="1" applyAlignment="1">
      <alignment vertical="center"/>
    </xf>
    <xf numFmtId="179" fontId="25" fillId="30" borderId="28" xfId="3" applyNumberFormat="1" applyFont="1" applyFill="1" applyBorder="1" applyAlignment="1">
      <alignment vertical="center"/>
    </xf>
    <xf numFmtId="164" fontId="25" fillId="30" borderId="59" xfId="3" applyNumberFormat="1" applyFont="1" applyFill="1" applyBorder="1" applyAlignment="1">
      <alignment horizontal="center" vertical="center"/>
    </xf>
    <xf numFmtId="0" fontId="22" fillId="30" borderId="57" xfId="3" applyFill="1" applyBorder="1" applyAlignment="1">
      <alignment horizontal="center" vertical="center"/>
    </xf>
    <xf numFmtId="0" fontId="109" fillId="30" borderId="59" xfId="3" applyFont="1" applyFill="1" applyBorder="1" applyAlignment="1">
      <alignment vertical="center"/>
    </xf>
    <xf numFmtId="0" fontId="22" fillId="30" borderId="58" xfId="3" applyFill="1" applyBorder="1" applyAlignment="1">
      <alignment horizontal="center" vertical="center"/>
    </xf>
    <xf numFmtId="172" fontId="22" fillId="30" borderId="59" xfId="104" applyNumberFormat="1" applyFont="1" applyFill="1" applyBorder="1" applyAlignment="1">
      <alignment vertical="center"/>
    </xf>
    <xf numFmtId="0" fontId="22" fillId="30" borderId="59" xfId="3" applyFill="1" applyBorder="1" applyAlignment="1">
      <alignment vertical="center"/>
    </xf>
    <xf numFmtId="179" fontId="22" fillId="30" borderId="59" xfId="3" applyNumberFormat="1" applyFill="1" applyBorder="1" applyAlignment="1">
      <alignment vertical="center"/>
    </xf>
    <xf numFmtId="164" fontId="22" fillId="30" borderId="130" xfId="3" applyNumberFormat="1" applyFill="1" applyBorder="1" applyAlignment="1">
      <alignment horizontal="center" vertical="center"/>
    </xf>
    <xf numFmtId="0" fontId="22" fillId="30" borderId="130" xfId="3" applyFill="1" applyBorder="1" applyAlignment="1">
      <alignment horizontal="center" vertical="center"/>
    </xf>
    <xf numFmtId="0" fontId="22" fillId="30" borderId="131" xfId="3" applyFill="1" applyBorder="1" applyAlignment="1">
      <alignment horizontal="left" vertical="center"/>
    </xf>
    <xf numFmtId="0" fontId="109" fillId="30" borderId="92" xfId="3" applyFont="1" applyFill="1" applyBorder="1" applyAlignment="1">
      <alignment vertical="center"/>
    </xf>
    <xf numFmtId="178" fontId="22" fillId="30" borderId="138" xfId="47" applyNumberFormat="1" applyFont="1" applyFill="1" applyBorder="1" applyAlignment="1">
      <alignment horizontal="left" vertical="center"/>
    </xf>
    <xf numFmtId="173" fontId="22" fillId="30" borderId="92" xfId="3" applyNumberFormat="1" applyFill="1" applyBorder="1" applyAlignment="1">
      <alignment vertical="center"/>
    </xf>
    <xf numFmtId="173" fontId="25" fillId="0" borderId="75" xfId="104" applyNumberFormat="1" applyFont="1" applyFill="1" applyBorder="1" applyAlignment="1">
      <alignment vertical="center"/>
    </xf>
    <xf numFmtId="164" fontId="25" fillId="0" borderId="0" xfId="3" applyNumberFormat="1" applyFont="1" applyAlignment="1">
      <alignment horizontal="center"/>
    </xf>
    <xf numFmtId="9" fontId="25" fillId="0" borderId="75" xfId="68" applyFont="1" applyFill="1" applyBorder="1" applyAlignment="1">
      <alignment vertical="center"/>
    </xf>
    <xf numFmtId="172" fontId="25" fillId="0" borderId="0" xfId="104" applyNumberFormat="1" applyFont="1" applyFill="1" applyBorder="1" applyAlignment="1">
      <alignment vertical="center"/>
    </xf>
    <xf numFmtId="165" fontId="25" fillId="0" borderId="0" xfId="3" applyNumberFormat="1" applyFont="1" applyAlignment="1">
      <alignment vertical="center"/>
    </xf>
    <xf numFmtId="179" fontId="25" fillId="0" borderId="0" xfId="3" applyNumberFormat="1" applyFont="1" applyAlignment="1">
      <alignment vertical="center"/>
    </xf>
    <xf numFmtId="164" fontId="22" fillId="0" borderId="84" xfId="3" applyNumberFormat="1" applyBorder="1" applyAlignment="1">
      <alignment horizontal="center" vertical="center"/>
    </xf>
    <xf numFmtId="164" fontId="22" fillId="0" borderId="0" xfId="109" applyNumberFormat="1" applyAlignment="1">
      <alignment horizontal="center" vertical="center"/>
    </xf>
    <xf numFmtId="0" fontId="22" fillId="0" borderId="0" xfId="110" applyAlignment="1">
      <alignment vertical="center"/>
    </xf>
    <xf numFmtId="173" fontId="22" fillId="0" borderId="0" xfId="111" applyNumberFormat="1" applyFont="1" applyFill="1" applyBorder="1" applyAlignment="1">
      <alignment horizontal="right" vertical="center"/>
    </xf>
    <xf numFmtId="0" fontId="22" fillId="0" borderId="0" xfId="112" applyAlignment="1">
      <alignment horizontal="center" vertical="center"/>
    </xf>
    <xf numFmtId="180" fontId="22" fillId="0" borderId="0" xfId="83" applyNumberFormat="1" applyAlignment="1">
      <alignment vertical="center"/>
    </xf>
    <xf numFmtId="181" fontId="22" fillId="0" borderId="0" xfId="111" applyNumberFormat="1" applyFont="1" applyFill="1" applyBorder="1" applyAlignment="1">
      <alignment vertical="center"/>
    </xf>
    <xf numFmtId="164" fontId="22" fillId="30" borderId="84" xfId="3" applyNumberFormat="1" applyFill="1" applyBorder="1" applyAlignment="1">
      <alignment horizontal="center" vertical="center"/>
    </xf>
    <xf numFmtId="164" fontId="22" fillId="0" borderId="0" xfId="3" applyNumberFormat="1"/>
    <xf numFmtId="165" fontId="25" fillId="0" borderId="10" xfId="113" applyNumberFormat="1" applyFont="1" applyFill="1" applyBorder="1" applyAlignment="1">
      <alignment horizontal="center" vertical="center"/>
    </xf>
    <xf numFmtId="165" fontId="25" fillId="0" borderId="16" xfId="113" applyNumberFormat="1" applyFont="1" applyFill="1" applyBorder="1" applyAlignment="1">
      <alignment horizontal="center" vertical="center"/>
    </xf>
    <xf numFmtId="164" fontId="25" fillId="0" borderId="3" xfId="108" quotePrefix="1" applyNumberFormat="1" applyFont="1" applyBorder="1" applyAlignment="1">
      <alignment horizontal="center"/>
    </xf>
    <xf numFmtId="165" fontId="25" fillId="0" borderId="39" xfId="113" quotePrefix="1" applyNumberFormat="1" applyFont="1" applyFill="1" applyBorder="1" applyAlignment="1">
      <alignment horizontal="center"/>
    </xf>
    <xf numFmtId="165" fontId="25" fillId="0" borderId="3" xfId="113" quotePrefix="1" applyNumberFormat="1" applyFont="1" applyFill="1" applyBorder="1" applyAlignment="1">
      <alignment horizontal="center"/>
    </xf>
    <xf numFmtId="164" fontId="22" fillId="0" borderId="41" xfId="108" applyNumberFormat="1" applyFont="1" applyBorder="1" applyAlignment="1">
      <alignment horizontal="center"/>
    </xf>
    <xf numFmtId="164" fontId="22" fillId="0" borderId="41" xfId="104" applyFont="1" applyFill="1" applyBorder="1" applyAlignment="1"/>
    <xf numFmtId="0" fontId="22" fillId="0" borderId="42" xfId="108" applyFont="1" applyBorder="1" applyAlignment="1">
      <alignment horizontal="center"/>
    </xf>
    <xf numFmtId="0" fontId="25" fillId="0" borderId="0" xfId="108" applyFont="1" applyAlignment="1">
      <alignment horizontal="left"/>
    </xf>
    <xf numFmtId="165" fontId="22" fillId="0" borderId="41" xfId="113" applyNumberFormat="1" applyFont="1" applyFill="1" applyBorder="1"/>
    <xf numFmtId="165" fontId="22" fillId="0" borderId="16" xfId="113" applyNumberFormat="1" applyFont="1" applyFill="1" applyBorder="1"/>
    <xf numFmtId="165" fontId="25" fillId="0" borderId="16" xfId="113" applyNumberFormat="1" applyFont="1" applyFill="1" applyBorder="1"/>
    <xf numFmtId="0" fontId="22" fillId="0" borderId="0" xfId="108" applyFont="1" applyAlignment="1">
      <alignment horizontal="center"/>
    </xf>
    <xf numFmtId="0" fontId="22" fillId="0" borderId="0" xfId="47" applyNumberFormat="1" applyFont="1" applyFill="1" applyBorder="1" applyAlignment="1">
      <alignment horizontal="left"/>
    </xf>
    <xf numFmtId="2" fontId="22" fillId="0" borderId="41" xfId="113" applyNumberFormat="1" applyFont="1" applyFill="1" applyBorder="1" applyAlignment="1"/>
    <xf numFmtId="0" fontId="22" fillId="0" borderId="0" xfId="47" quotePrefix="1" applyNumberFormat="1" applyFont="1" applyFill="1" applyBorder="1" applyAlignment="1">
      <alignment horizontal="left"/>
    </xf>
    <xf numFmtId="0" fontId="22" fillId="0" borderId="0" xfId="108" applyFont="1"/>
    <xf numFmtId="165" fontId="22" fillId="0" borderId="44" xfId="113" applyNumberFormat="1" applyFont="1" applyFill="1" applyBorder="1"/>
    <xf numFmtId="165" fontId="22" fillId="0" borderId="13" xfId="113" applyNumberFormat="1" applyFont="1" applyFill="1" applyBorder="1"/>
    <xf numFmtId="0" fontId="25" fillId="0" borderId="16" xfId="3" applyFont="1" applyBorder="1"/>
    <xf numFmtId="165" fontId="22" fillId="0" borderId="0" xfId="113" applyNumberFormat="1" applyFont="1" applyFill="1" applyBorder="1"/>
    <xf numFmtId="9" fontId="22" fillId="0" borderId="41" xfId="113" applyNumberFormat="1" applyFont="1" applyFill="1" applyBorder="1" applyAlignment="1"/>
    <xf numFmtId="164" fontId="22" fillId="0" borderId="44" xfId="108" applyNumberFormat="1" applyFont="1" applyBorder="1" applyAlignment="1">
      <alignment horizontal="center"/>
    </xf>
    <xf numFmtId="2" fontId="22" fillId="0" borderId="44" xfId="113" applyNumberFormat="1" applyFont="1" applyFill="1" applyBorder="1" applyAlignment="1"/>
    <xf numFmtId="0" fontId="22" fillId="0" borderId="129" xfId="108" applyFont="1" applyBorder="1" applyAlignment="1">
      <alignment horizontal="center"/>
    </xf>
    <xf numFmtId="0" fontId="22" fillId="0" borderId="129" xfId="108" applyFont="1" applyBorder="1"/>
    <xf numFmtId="0" fontId="22" fillId="0" borderId="129" xfId="3" applyBorder="1"/>
    <xf numFmtId="165" fontId="25" fillId="0" borderId="13" xfId="113" applyNumberFormat="1" applyFont="1" applyFill="1" applyBorder="1"/>
    <xf numFmtId="0" fontId="26" fillId="0" borderId="0" xfId="3" applyFont="1"/>
    <xf numFmtId="164" fontId="26" fillId="0" borderId="0" xfId="3" applyNumberFormat="1" applyFont="1"/>
    <xf numFmtId="9" fontId="26" fillId="0" borderId="0" xfId="3" applyNumberFormat="1" applyFont="1"/>
    <xf numFmtId="164" fontId="62" fillId="0" borderId="0" xfId="0" applyNumberFormat="1" applyFont="1" applyAlignment="1">
      <alignment vertical="center"/>
    </xf>
    <xf numFmtId="0" fontId="29" fillId="0" borderId="0" xfId="0" applyFont="1" applyAlignment="1">
      <alignment vertical="center"/>
    </xf>
    <xf numFmtId="0" fontId="26" fillId="0" borderId="0" xfId="0" applyFont="1" applyAlignment="1">
      <alignment vertical="center"/>
    </xf>
    <xf numFmtId="0" fontId="26" fillId="0" borderId="0" xfId="0" applyFont="1" applyAlignment="1">
      <alignment horizontal="center" vertical="center"/>
    </xf>
    <xf numFmtId="167" fontId="26" fillId="0" borderId="0" xfId="0" applyNumberFormat="1" applyFont="1" applyAlignment="1">
      <alignment horizontal="right" vertical="center"/>
    </xf>
    <xf numFmtId="173" fontId="26" fillId="0" borderId="0" xfId="104" applyNumberFormat="1" applyFont="1" applyAlignment="1">
      <alignment vertical="center"/>
    </xf>
    <xf numFmtId="0" fontId="108" fillId="0" borderId="0" xfId="0" applyFont="1"/>
    <xf numFmtId="164" fontId="20" fillId="0" borderId="3" xfId="0" applyNumberFormat="1" applyFont="1" applyBorder="1" applyAlignment="1">
      <alignment horizontal="center" vertical="center"/>
    </xf>
    <xf numFmtId="0" fontId="20" fillId="0" borderId="39" xfId="0" applyFont="1" applyBorder="1" applyAlignment="1">
      <alignment horizontal="center" vertical="center"/>
    </xf>
    <xf numFmtId="0" fontId="20" fillId="0" borderId="72" xfId="0" applyFont="1" applyBorder="1" applyAlignment="1">
      <alignment horizontal="center" vertical="center"/>
    </xf>
    <xf numFmtId="0" fontId="20" fillId="0" borderId="28" xfId="0" applyFont="1" applyBorder="1" applyAlignment="1">
      <alignment horizontal="center" vertical="center"/>
    </xf>
    <xf numFmtId="49" fontId="20" fillId="0" borderId="3" xfId="0" applyNumberFormat="1" applyFont="1" applyBorder="1" applyAlignment="1">
      <alignment horizontal="center" vertical="center"/>
    </xf>
    <xf numFmtId="167" fontId="20" fillId="0" borderId="3" xfId="0" applyNumberFormat="1" applyFont="1" applyBorder="1" applyAlignment="1">
      <alignment horizontal="center" vertical="center"/>
    </xf>
    <xf numFmtId="173" fontId="20" fillId="0" borderId="3" xfId="104" applyNumberFormat="1" applyFont="1" applyBorder="1" applyAlignment="1">
      <alignment horizontal="center" vertical="center" wrapText="1"/>
    </xf>
    <xf numFmtId="49" fontId="20" fillId="0" borderId="3" xfId="0" applyNumberFormat="1" applyFont="1" applyBorder="1" applyAlignment="1">
      <alignment horizontal="center" vertical="center" wrapText="1"/>
    </xf>
    <xf numFmtId="164" fontId="20" fillId="0" borderId="3" xfId="0" applyNumberFormat="1" applyFont="1" applyBorder="1" applyAlignment="1">
      <alignment vertical="center"/>
    </xf>
    <xf numFmtId="0" fontId="20" fillId="0" borderId="39" xfId="0" applyFont="1" applyBorder="1" applyAlignment="1">
      <alignment vertical="center"/>
    </xf>
    <xf numFmtId="0" fontId="20" fillId="0" borderId="72" xfId="0" applyFont="1" applyBorder="1" applyAlignment="1">
      <alignment vertical="center"/>
    </xf>
    <xf numFmtId="0" fontId="20" fillId="0" borderId="28" xfId="0" applyFont="1" applyBorder="1" applyAlignment="1">
      <alignment vertical="center"/>
    </xf>
    <xf numFmtId="0" fontId="26" fillId="0" borderId="3" xfId="0" applyFont="1" applyBorder="1" applyAlignment="1">
      <alignment horizontal="center" vertical="center"/>
    </xf>
    <xf numFmtId="167" fontId="26" fillId="0" borderId="3" xfId="0" applyNumberFormat="1" applyFont="1" applyBorder="1" applyAlignment="1">
      <alignment horizontal="right" vertical="center"/>
    </xf>
    <xf numFmtId="173" fontId="26" fillId="0" borderId="3" xfId="104" applyNumberFormat="1" applyFont="1" applyBorder="1" applyAlignment="1">
      <alignment vertical="center"/>
    </xf>
    <xf numFmtId="166" fontId="26" fillId="0" borderId="3" xfId="0" applyNumberFormat="1" applyFont="1" applyBorder="1" applyAlignment="1">
      <alignment vertical="center"/>
    </xf>
    <xf numFmtId="164" fontId="26" fillId="0" borderId="3" xfId="0" applyNumberFormat="1" applyFont="1" applyBorder="1" applyAlignment="1">
      <alignment vertical="center"/>
    </xf>
    <xf numFmtId="164" fontId="26" fillId="0" borderId="3" xfId="0" applyNumberFormat="1" applyFont="1" applyBorder="1" applyAlignment="1">
      <alignment horizontal="center" vertical="center"/>
    </xf>
    <xf numFmtId="165" fontId="26" fillId="0" borderId="3" xfId="0" applyNumberFormat="1" applyFont="1" applyBorder="1" applyAlignment="1">
      <alignment horizontal="left" vertical="center"/>
    </xf>
    <xf numFmtId="0" fontId="26" fillId="0" borderId="39" xfId="0" applyFont="1" applyBorder="1" applyAlignment="1">
      <alignment vertical="center"/>
    </xf>
    <xf numFmtId="0" fontId="26" fillId="0" borderId="72" xfId="0" applyFont="1" applyBorder="1" applyAlignment="1">
      <alignment vertical="center"/>
    </xf>
    <xf numFmtId="0" fontId="26" fillId="0" borderId="28" xfId="0" applyFont="1" applyBorder="1" applyAlignment="1">
      <alignment vertical="center"/>
    </xf>
    <xf numFmtId="9" fontId="20" fillId="0" borderId="3" xfId="68" applyFont="1" applyBorder="1" applyAlignment="1">
      <alignment horizontal="right" vertical="center"/>
    </xf>
    <xf numFmtId="166" fontId="29" fillId="0" borderId="3" xfId="0" applyNumberFormat="1" applyFont="1" applyBorder="1" applyAlignment="1">
      <alignment vertical="center"/>
    </xf>
    <xf numFmtId="164" fontId="20" fillId="0" borderId="0" xfId="0" applyNumberFormat="1" applyFont="1" applyAlignment="1">
      <alignment vertical="center"/>
    </xf>
    <xf numFmtId="0" fontId="20" fillId="0" borderId="0" xfId="0" applyFont="1" applyAlignment="1">
      <alignment vertical="center"/>
    </xf>
    <xf numFmtId="173" fontId="26" fillId="0" borderId="0" xfId="104" applyNumberFormat="1" applyFont="1" applyBorder="1" applyAlignment="1">
      <alignment vertical="center"/>
    </xf>
    <xf numFmtId="166" fontId="29" fillId="0" borderId="0" xfId="0" applyNumberFormat="1" applyFont="1" applyAlignment="1">
      <alignment vertical="center"/>
    </xf>
    <xf numFmtId="164" fontId="62" fillId="0" borderId="0" xfId="3" applyNumberFormat="1" applyFont="1" applyAlignment="1">
      <alignment vertical="center"/>
    </xf>
    <xf numFmtId="0" fontId="29" fillId="0" borderId="0" xfId="3" applyFont="1" applyAlignment="1">
      <alignment vertical="center"/>
    </xf>
    <xf numFmtId="0" fontId="26" fillId="0" borderId="0" xfId="3" applyFont="1" applyAlignment="1">
      <alignment vertical="center"/>
    </xf>
    <xf numFmtId="0" fontId="26" fillId="0" borderId="0" xfId="3" applyFont="1" applyAlignment="1">
      <alignment horizontal="center" vertical="center"/>
    </xf>
    <xf numFmtId="167" fontId="26" fillId="0" borderId="0" xfId="3" applyNumberFormat="1" applyFont="1" applyAlignment="1">
      <alignment horizontal="right" vertical="center"/>
    </xf>
    <xf numFmtId="164" fontId="20" fillId="0" borderId="3" xfId="3" applyNumberFormat="1" applyFont="1" applyBorder="1" applyAlignment="1">
      <alignment horizontal="center" vertical="center"/>
    </xf>
    <xf numFmtId="0" fontId="20" fillId="0" borderId="39" xfId="3" applyFont="1" applyBorder="1" applyAlignment="1">
      <alignment horizontal="center" vertical="center"/>
    </xf>
    <xf numFmtId="0" fontId="20" fillId="0" borderId="72" xfId="3" applyFont="1" applyBorder="1" applyAlignment="1">
      <alignment horizontal="center" vertical="center"/>
    </xf>
    <xf numFmtId="0" fontId="20" fillId="0" borderId="28" xfId="3" applyFont="1" applyBorder="1" applyAlignment="1">
      <alignment horizontal="center" vertical="center"/>
    </xf>
    <xf numFmtId="49" fontId="20" fillId="0" borderId="3" xfId="3" applyNumberFormat="1" applyFont="1" applyBorder="1" applyAlignment="1">
      <alignment horizontal="center" vertical="center"/>
    </xf>
    <xf numFmtId="167" fontId="20" fillId="0" borderId="3" xfId="3" applyNumberFormat="1" applyFont="1" applyBorder="1" applyAlignment="1">
      <alignment horizontal="center" vertical="center"/>
    </xf>
    <xf numFmtId="49" fontId="20" fillId="0" borderId="3" xfId="3" applyNumberFormat="1" applyFont="1" applyBorder="1" applyAlignment="1">
      <alignment horizontal="center" vertical="center" wrapText="1"/>
    </xf>
    <xf numFmtId="164" fontId="20" fillId="0" borderId="3" xfId="3" applyNumberFormat="1" applyFont="1" applyBorder="1" applyAlignment="1">
      <alignment vertical="center"/>
    </xf>
    <xf numFmtId="0" fontId="20" fillId="0" borderId="39" xfId="3" applyFont="1" applyBorder="1" applyAlignment="1">
      <alignment vertical="center"/>
    </xf>
    <xf numFmtId="0" fontId="20" fillId="0" borderId="72" xfId="3" applyFont="1" applyBorder="1" applyAlignment="1">
      <alignment vertical="center"/>
    </xf>
    <xf numFmtId="0" fontId="20" fillId="0" borderId="28" xfId="3" applyFont="1" applyBorder="1" applyAlignment="1">
      <alignment vertical="center"/>
    </xf>
    <xf numFmtId="0" fontId="26" fillId="0" borderId="3" xfId="3" applyFont="1" applyBorder="1" applyAlignment="1">
      <alignment horizontal="center" vertical="center"/>
    </xf>
    <xf numFmtId="167" fontId="26" fillId="0" borderId="3" xfId="3" applyNumberFormat="1" applyFont="1" applyBorder="1" applyAlignment="1">
      <alignment horizontal="right" vertical="center"/>
    </xf>
    <xf numFmtId="166" fontId="26" fillId="0" borderId="3" xfId="3" applyNumberFormat="1" applyFont="1" applyBorder="1" applyAlignment="1">
      <alignment vertical="center"/>
    </xf>
    <xf numFmtId="164" fontId="26" fillId="0" borderId="3" xfId="3" applyNumberFormat="1" applyFont="1" applyBorder="1" applyAlignment="1">
      <alignment vertical="center"/>
    </xf>
    <xf numFmtId="164" fontId="26" fillId="0" borderId="3" xfId="3" applyNumberFormat="1" applyFont="1" applyBorder="1" applyAlignment="1">
      <alignment horizontal="center" vertical="center"/>
    </xf>
    <xf numFmtId="167" fontId="20" fillId="0" borderId="3" xfId="3" applyNumberFormat="1" applyFont="1" applyBorder="1" applyAlignment="1">
      <alignment horizontal="right" vertical="center"/>
    </xf>
    <xf numFmtId="165" fontId="26" fillId="0" borderId="3" xfId="3" applyNumberFormat="1" applyFont="1" applyBorder="1" applyAlignment="1">
      <alignment horizontal="left" vertical="center"/>
    </xf>
    <xf numFmtId="0" fontId="26" fillId="0" borderId="39" xfId="3" applyFont="1" applyBorder="1" applyAlignment="1">
      <alignment vertical="center"/>
    </xf>
    <xf numFmtId="0" fontId="26" fillId="0" borderId="72" xfId="3" applyFont="1" applyBorder="1" applyAlignment="1">
      <alignment vertical="center"/>
    </xf>
    <xf numFmtId="0" fontId="26" fillId="0" borderId="28" xfId="3" applyFont="1" applyBorder="1" applyAlignment="1">
      <alignment vertical="center"/>
    </xf>
    <xf numFmtId="166" fontId="29" fillId="0" borderId="3" xfId="3" applyNumberFormat="1" applyFont="1" applyBorder="1" applyAlignment="1">
      <alignment vertical="center"/>
    </xf>
    <xf numFmtId="164" fontId="62" fillId="0" borderId="129" xfId="104" applyFont="1" applyBorder="1" applyAlignment="1">
      <alignment vertical="center"/>
    </xf>
    <xf numFmtId="173" fontId="62" fillId="0" borderId="129" xfId="104" applyNumberFormat="1" applyFont="1" applyBorder="1" applyAlignment="1">
      <alignment vertical="center"/>
    </xf>
    <xf numFmtId="173" fontId="29" fillId="0" borderId="0" xfId="104" applyNumberFormat="1" applyFont="1" applyAlignment="1">
      <alignment vertical="center"/>
    </xf>
    <xf numFmtId="0" fontId="114" fillId="0" borderId="0" xfId="3" applyFont="1" applyAlignment="1">
      <alignment horizontal="center" vertical="center"/>
    </xf>
    <xf numFmtId="164" fontId="20" fillId="0" borderId="3" xfId="104" applyFont="1" applyBorder="1" applyAlignment="1">
      <alignment vertical="center"/>
    </xf>
    <xf numFmtId="173" fontId="20" fillId="0" borderId="39" xfId="104" applyNumberFormat="1" applyFont="1" applyBorder="1" applyAlignment="1">
      <alignment vertical="center"/>
    </xf>
    <xf numFmtId="173" fontId="20" fillId="0" borderId="72" xfId="104" applyNumberFormat="1" applyFont="1" applyBorder="1" applyAlignment="1">
      <alignment vertical="center"/>
    </xf>
    <xf numFmtId="173" fontId="20" fillId="0" borderId="28" xfId="104" applyNumberFormat="1" applyFont="1" applyBorder="1" applyAlignment="1">
      <alignment vertical="center"/>
    </xf>
    <xf numFmtId="173" fontId="20" fillId="0" borderId="3" xfId="104" applyNumberFormat="1" applyFont="1" applyBorder="1" applyAlignment="1">
      <alignment vertical="center"/>
    </xf>
    <xf numFmtId="173" fontId="62" fillId="0" borderId="3" xfId="104" applyNumberFormat="1" applyFont="1" applyBorder="1" applyAlignment="1">
      <alignment vertical="center"/>
    </xf>
    <xf numFmtId="164" fontId="62" fillId="0" borderId="3" xfId="3" applyNumberFormat="1" applyFont="1" applyBorder="1" applyAlignment="1">
      <alignment horizontal="center" vertical="center"/>
    </xf>
    <xf numFmtId="0" fontId="62" fillId="0" borderId="39" xfId="3" applyFont="1" applyBorder="1" applyAlignment="1">
      <alignment horizontal="center" vertical="center"/>
    </xf>
    <xf numFmtId="0" fontId="62" fillId="0" borderId="72" xfId="3" applyFont="1" applyBorder="1" applyAlignment="1">
      <alignment horizontal="center" vertical="center"/>
    </xf>
    <xf numFmtId="0" fontId="62" fillId="0" borderId="28" xfId="3" applyFont="1" applyBorder="1" applyAlignment="1">
      <alignment horizontal="center" vertical="center"/>
    </xf>
    <xf numFmtId="49" fontId="62" fillId="0" borderId="3" xfId="3" applyNumberFormat="1" applyFont="1" applyBorder="1" applyAlignment="1">
      <alignment horizontal="center" vertical="center"/>
    </xf>
    <xf numFmtId="167" fontId="62" fillId="0" borderId="3" xfId="3" applyNumberFormat="1" applyFont="1" applyBorder="1" applyAlignment="1">
      <alignment horizontal="center" vertical="center"/>
    </xf>
    <xf numFmtId="173" fontId="62" fillId="0" borderId="3" xfId="104" applyNumberFormat="1" applyFont="1" applyBorder="1" applyAlignment="1">
      <alignment horizontal="center" vertical="center" wrapText="1"/>
    </xf>
    <xf numFmtId="49" fontId="62" fillId="0" borderId="3" xfId="3" applyNumberFormat="1" applyFont="1" applyBorder="1" applyAlignment="1">
      <alignment horizontal="center" vertical="center" wrapText="1"/>
    </xf>
    <xf numFmtId="164" fontId="29" fillId="0" borderId="3" xfId="3" applyNumberFormat="1" applyFont="1" applyBorder="1" applyAlignment="1">
      <alignment horizontal="center" vertical="center"/>
    </xf>
    <xf numFmtId="0" fontId="22" fillId="0" borderId="139" xfId="3" applyBorder="1" applyAlignment="1">
      <alignment horizontal="center" vertical="center"/>
    </xf>
    <xf numFmtId="164" fontId="20" fillId="0" borderId="129" xfId="3" applyNumberFormat="1" applyFont="1" applyBorder="1" applyAlignment="1">
      <alignment vertical="center"/>
    </xf>
    <xf numFmtId="0" fontId="20" fillId="0" borderId="129" xfId="3" applyFont="1" applyBorder="1" applyAlignment="1">
      <alignment vertical="center"/>
    </xf>
    <xf numFmtId="0" fontId="26" fillId="0" borderId="129" xfId="3" applyFont="1" applyBorder="1" applyAlignment="1">
      <alignment horizontal="center" vertical="center"/>
    </xf>
    <xf numFmtId="167" fontId="26" fillId="0" borderId="129" xfId="3" applyNumberFormat="1" applyFont="1" applyBorder="1" applyAlignment="1">
      <alignment horizontal="right" vertical="center"/>
    </xf>
    <xf numFmtId="173" fontId="26" fillId="0" borderId="129" xfId="104" applyNumberFormat="1" applyFont="1" applyBorder="1" applyAlignment="1">
      <alignment vertical="center"/>
    </xf>
    <xf numFmtId="166" fontId="29" fillId="0" borderId="129" xfId="3" applyNumberFormat="1" applyFont="1" applyBorder="1" applyAlignment="1">
      <alignment vertical="center"/>
    </xf>
    <xf numFmtId="0" fontId="29" fillId="0" borderId="39" xfId="3" applyFont="1" applyBorder="1" applyAlignment="1">
      <alignment vertical="center"/>
    </xf>
    <xf numFmtId="0" fontId="29" fillId="0" borderId="72" xfId="3" applyFont="1" applyBorder="1" applyAlignment="1">
      <alignment vertical="center"/>
    </xf>
    <xf numFmtId="0" fontId="29" fillId="0" borderId="28" xfId="3" applyFont="1" applyBorder="1" applyAlignment="1">
      <alignment vertical="center"/>
    </xf>
    <xf numFmtId="0" fontId="25" fillId="0" borderId="3" xfId="3" applyFont="1" applyBorder="1"/>
    <xf numFmtId="0" fontId="29" fillId="0" borderId="3" xfId="3" applyFont="1" applyBorder="1" applyAlignment="1">
      <alignment vertical="center"/>
    </xf>
    <xf numFmtId="0" fontId="29" fillId="0" borderId="3" xfId="3" applyFont="1" applyBorder="1" applyAlignment="1">
      <alignment horizontal="center" vertical="center"/>
    </xf>
    <xf numFmtId="171" fontId="29" fillId="0" borderId="3" xfId="104" applyNumberFormat="1" applyFont="1" applyBorder="1" applyAlignment="1">
      <alignment horizontal="center" vertical="center"/>
    </xf>
    <xf numFmtId="171" fontId="20" fillId="0" borderId="3" xfId="104" applyNumberFormat="1" applyFont="1" applyBorder="1" applyAlignment="1">
      <alignment horizontal="center" vertical="center"/>
    </xf>
    <xf numFmtId="171" fontId="26" fillId="0" borderId="3" xfId="104" applyNumberFormat="1" applyFont="1" applyBorder="1" applyAlignment="1">
      <alignment horizontal="center" vertical="center"/>
    </xf>
    <xf numFmtId="0" fontId="26" fillId="0" borderId="39" xfId="114" applyFont="1" applyBorder="1" applyAlignment="1">
      <alignment vertical="center"/>
    </xf>
    <xf numFmtId="0" fontId="26" fillId="0" borderId="72" xfId="114" applyFont="1" applyBorder="1" applyAlignment="1">
      <alignment vertical="center"/>
    </xf>
    <xf numFmtId="0" fontId="26" fillId="0" borderId="28" xfId="114" applyFont="1" applyBorder="1" applyAlignment="1">
      <alignment vertical="center"/>
    </xf>
    <xf numFmtId="164" fontId="22" fillId="0" borderId="0" xfId="3" applyNumberFormat="1" applyAlignment="1">
      <alignment horizontal="left" vertical="center"/>
    </xf>
    <xf numFmtId="164" fontId="20" fillId="0" borderId="0" xfId="3" applyNumberFormat="1" applyFont="1" applyAlignment="1">
      <alignment vertical="center"/>
    </xf>
    <xf numFmtId="0" fontId="20" fillId="0" borderId="0" xfId="3" applyFont="1" applyAlignment="1">
      <alignment vertical="center"/>
    </xf>
    <xf numFmtId="166" fontId="29" fillId="0" borderId="0" xfId="3" applyNumberFormat="1" applyFont="1" applyAlignment="1">
      <alignment vertical="center"/>
    </xf>
    <xf numFmtId="165" fontId="25" fillId="0" borderId="10" xfId="113" applyNumberFormat="1" applyFont="1" applyBorder="1" applyAlignment="1">
      <alignment horizontal="center" vertical="center"/>
    </xf>
    <xf numFmtId="165" fontId="25" fillId="0" borderId="140" xfId="113" applyNumberFormat="1" applyFont="1" applyBorder="1" applyAlignment="1">
      <alignment horizontal="center" vertical="center"/>
    </xf>
    <xf numFmtId="164" fontId="25" fillId="0" borderId="144" xfId="108" quotePrefix="1" applyNumberFormat="1" applyFont="1" applyBorder="1" applyAlignment="1">
      <alignment horizontal="center"/>
    </xf>
    <xf numFmtId="165" fontId="25" fillId="0" borderId="145" xfId="113" quotePrefix="1" applyNumberFormat="1" applyFont="1" applyBorder="1" applyAlignment="1">
      <alignment horizontal="center"/>
    </xf>
    <xf numFmtId="165" fontId="25" fillId="0" borderId="144" xfId="113" quotePrefix="1" applyNumberFormat="1" applyFont="1" applyBorder="1" applyAlignment="1">
      <alignment horizontal="center"/>
    </xf>
    <xf numFmtId="164" fontId="25" fillId="0" borderId="41" xfId="108" quotePrefix="1" applyNumberFormat="1" applyFont="1" applyBorder="1" applyAlignment="1">
      <alignment horizontal="center"/>
    </xf>
    <xf numFmtId="0" fontId="25" fillId="0" borderId="148" xfId="47" applyNumberFormat="1" applyFont="1" applyBorder="1" applyAlignment="1">
      <alignment horizontal="left"/>
    </xf>
    <xf numFmtId="0" fontId="25" fillId="0" borderId="0" xfId="108" quotePrefix="1" applyFont="1" applyAlignment="1">
      <alignment horizontal="center"/>
    </xf>
    <xf numFmtId="165" fontId="25" fillId="0" borderId="41" xfId="113" quotePrefix="1" applyNumberFormat="1" applyFont="1" applyBorder="1" applyAlignment="1">
      <alignment horizontal="center"/>
    </xf>
    <xf numFmtId="165" fontId="25" fillId="0" borderId="16" xfId="113" quotePrefix="1" applyNumberFormat="1" applyFont="1" applyBorder="1" applyAlignment="1">
      <alignment horizontal="center"/>
    </xf>
    <xf numFmtId="2" fontId="22" fillId="0" borderId="41" xfId="115" applyNumberFormat="1" applyFont="1" applyBorder="1"/>
    <xf numFmtId="0" fontId="22" fillId="0" borderId="0" xfId="47" applyNumberFormat="1" applyFont="1" applyAlignment="1">
      <alignment horizontal="left"/>
    </xf>
    <xf numFmtId="165" fontId="22" fillId="0" borderId="0" xfId="115" applyNumberFormat="1" applyFont="1"/>
    <xf numFmtId="165" fontId="22" fillId="0" borderId="41" xfId="115" applyNumberFormat="1" applyFont="1" applyBorder="1"/>
    <xf numFmtId="165" fontId="22" fillId="0" borderId="16" xfId="115" applyNumberFormat="1" applyFont="1" applyBorder="1"/>
    <xf numFmtId="165" fontId="25" fillId="0" borderId="16" xfId="115" applyNumberFormat="1" applyFont="1" applyBorder="1"/>
    <xf numFmtId="165" fontId="22" fillId="0" borderId="44" xfId="113" applyNumberFormat="1" applyFont="1" applyBorder="1"/>
    <xf numFmtId="165" fontId="22" fillId="0" borderId="13" xfId="115" applyNumberFormat="1" applyFont="1" applyBorder="1"/>
    <xf numFmtId="9" fontId="22" fillId="0" borderId="41" xfId="115" applyNumberFormat="1" applyFont="1" applyBorder="1"/>
    <xf numFmtId="2" fontId="22" fillId="0" borderId="44" xfId="115" applyNumberFormat="1" applyFont="1" applyBorder="1"/>
    <xf numFmtId="165" fontId="22" fillId="0" borderId="129" xfId="115" applyNumberFormat="1" applyFont="1" applyBorder="1"/>
    <xf numFmtId="165" fontId="22" fillId="0" borderId="44" xfId="115" applyNumberFormat="1" applyFont="1" applyBorder="1"/>
    <xf numFmtId="165" fontId="25" fillId="0" borderId="13" xfId="115" applyNumberFormat="1" applyFont="1" applyBorder="1"/>
    <xf numFmtId="164" fontId="22" fillId="0" borderId="72" xfId="108" applyNumberFormat="1" applyFont="1" applyBorder="1" applyAlignment="1">
      <alignment horizontal="center"/>
    </xf>
    <xf numFmtId="2" fontId="22" fillId="0" borderId="72" xfId="115" applyNumberFormat="1" applyFont="1" applyBorder="1"/>
    <xf numFmtId="0" fontId="22" fillId="0" borderId="72" xfId="108" applyFont="1" applyBorder="1" applyAlignment="1">
      <alignment horizontal="center"/>
    </xf>
    <xf numFmtId="0" fontId="22" fillId="0" borderId="72" xfId="108" applyFont="1" applyBorder="1"/>
    <xf numFmtId="165" fontId="22" fillId="0" borderId="72" xfId="115" applyNumberFormat="1" applyFont="1" applyBorder="1"/>
    <xf numFmtId="165" fontId="25" fillId="0" borderId="72" xfId="115" applyNumberFormat="1" applyFont="1" applyBorder="1"/>
    <xf numFmtId="0" fontId="25" fillId="0" borderId="41" xfId="108" applyFont="1" applyBorder="1" applyAlignment="1">
      <alignment horizontal="left"/>
    </xf>
    <xf numFmtId="0" fontId="22" fillId="0" borderId="0" xfId="108" applyFont="1" applyAlignment="1">
      <alignment horizontal="left"/>
    </xf>
    <xf numFmtId="0" fontId="25" fillId="0" borderId="45" xfId="47" applyNumberFormat="1" applyFont="1" applyBorder="1" applyAlignment="1">
      <alignment horizontal="left"/>
    </xf>
    <xf numFmtId="165" fontId="22" fillId="0" borderId="10" xfId="115" applyNumberFormat="1" applyFont="1" applyBorder="1"/>
    <xf numFmtId="165" fontId="25" fillId="0" borderId="10" xfId="115" applyNumberFormat="1" applyFont="1" applyBorder="1"/>
    <xf numFmtId="0" fontId="25" fillId="0" borderId="0" xfId="47" applyNumberFormat="1" applyFont="1" applyAlignment="1">
      <alignment horizontal="left"/>
    </xf>
    <xf numFmtId="165" fontId="22" fillId="0" borderId="0" xfId="115" applyNumberFormat="1" applyFont="1" applyAlignment="1">
      <alignment horizontal="center"/>
    </xf>
    <xf numFmtId="0" fontId="25" fillId="0" borderId="0" xfId="116" applyFont="1" applyAlignment="1">
      <alignment horizontal="left"/>
    </xf>
    <xf numFmtId="0" fontId="116" fillId="0" borderId="0" xfId="0" applyFont="1" applyAlignment="1">
      <alignment horizontal="center"/>
    </xf>
    <xf numFmtId="0" fontId="117" fillId="0" borderId="3" xfId="0" applyFont="1" applyBorder="1" applyAlignment="1">
      <alignment horizontal="center"/>
    </xf>
    <xf numFmtId="0" fontId="117" fillId="0" borderId="39" xfId="0" applyFont="1" applyBorder="1" applyAlignment="1">
      <alignment horizontal="center"/>
    </xf>
    <xf numFmtId="0" fontId="26" fillId="0" borderId="13" xfId="0" applyFont="1" applyBorder="1" applyAlignment="1">
      <alignment horizontal="center" vertical="center"/>
    </xf>
    <xf numFmtId="0" fontId="22" fillId="0" borderId="13" xfId="0" applyFont="1" applyBorder="1" applyAlignment="1">
      <alignment vertical="center"/>
    </xf>
    <xf numFmtId="0" fontId="22" fillId="0" borderId="13" xfId="0" applyFont="1" applyBorder="1" applyAlignment="1">
      <alignment horizontal="center" vertical="center" wrapText="1"/>
    </xf>
    <xf numFmtId="164" fontId="26" fillId="0" borderId="13" xfId="0" applyNumberFormat="1" applyFont="1" applyBorder="1" applyAlignment="1">
      <alignment vertical="center"/>
    </xf>
    <xf numFmtId="164" fontId="26" fillId="0" borderId="13" xfId="1" applyFont="1" applyFill="1" applyBorder="1" applyAlignment="1">
      <alignment vertical="center"/>
    </xf>
    <xf numFmtId="0" fontId="22" fillId="0" borderId="3" xfId="0" applyFont="1" applyBorder="1" applyAlignment="1">
      <alignment horizontal="center" vertical="center" wrapText="1"/>
    </xf>
    <xf numFmtId="164" fontId="26" fillId="0" borderId="3" xfId="1" applyFont="1" applyFill="1" applyBorder="1" applyAlignment="1">
      <alignment vertical="center"/>
    </xf>
    <xf numFmtId="164" fontId="26" fillId="0" borderId="19" xfId="0" applyNumberFormat="1" applyFont="1" applyBorder="1" applyAlignment="1">
      <alignment vertical="center"/>
    </xf>
    <xf numFmtId="164" fontId="26" fillId="0" borderId="19" xfId="1" applyFont="1" applyFill="1" applyBorder="1" applyAlignment="1">
      <alignment vertical="center"/>
    </xf>
    <xf numFmtId="0" fontId="116" fillId="0" borderId="0" xfId="0" applyFont="1"/>
    <xf numFmtId="0" fontId="25" fillId="0" borderId="0" xfId="83" applyFont="1"/>
    <xf numFmtId="0" fontId="22" fillId="0" borderId="0" xfId="83"/>
    <xf numFmtId="164" fontId="22" fillId="0" borderId="0" xfId="104" applyFont="1" applyFill="1" applyAlignment="1">
      <alignment horizontal="center"/>
    </xf>
    <xf numFmtId="0" fontId="22" fillId="0" borderId="0" xfId="83" applyAlignment="1">
      <alignment horizontal="center"/>
    </xf>
    <xf numFmtId="164" fontId="22" fillId="0" borderId="75" xfId="104" applyFont="1" applyFill="1" applyBorder="1" applyAlignment="1">
      <alignment horizontal="center"/>
    </xf>
    <xf numFmtId="0" fontId="22" fillId="0" borderId="75" xfId="83" applyBorder="1" applyAlignment="1">
      <alignment horizontal="center"/>
    </xf>
    <xf numFmtId="173" fontId="22" fillId="0" borderId="68" xfId="104" applyNumberFormat="1" applyFont="1" applyFill="1" applyBorder="1" applyAlignment="1">
      <alignment vertical="center"/>
    </xf>
    <xf numFmtId="164" fontId="25" fillId="0" borderId="75" xfId="104" applyFont="1" applyFill="1" applyBorder="1" applyAlignment="1">
      <alignment horizontal="center"/>
    </xf>
    <xf numFmtId="164" fontId="25" fillId="0" borderId="75" xfId="104" applyFont="1" applyFill="1" applyBorder="1"/>
    <xf numFmtId="173" fontId="22" fillId="0" borderId="0" xfId="83" applyNumberFormat="1"/>
    <xf numFmtId="0" fontId="22" fillId="0" borderId="75" xfId="83" applyBorder="1" applyAlignment="1">
      <alignment vertical="center"/>
    </xf>
    <xf numFmtId="0" fontId="22" fillId="0" borderId="75" xfId="83" applyBorder="1" applyAlignment="1">
      <alignment horizontal="center" vertical="center"/>
    </xf>
    <xf numFmtId="164" fontId="22" fillId="0" borderId="75" xfId="104" applyFont="1" applyFill="1" applyBorder="1"/>
    <xf numFmtId="0" fontId="25" fillId="0" borderId="75" xfId="83" applyFont="1" applyBorder="1"/>
    <xf numFmtId="0" fontId="25" fillId="0" borderId="75" xfId="83" applyFont="1" applyBorder="1" applyAlignment="1">
      <alignment horizontal="center"/>
    </xf>
    <xf numFmtId="173" fontId="25" fillId="0" borderId="0" xfId="83" applyNumberFormat="1" applyFont="1"/>
    <xf numFmtId="0" fontId="22" fillId="0" borderId="75" xfId="83" applyBorder="1"/>
    <xf numFmtId="0" fontId="25" fillId="26" borderId="62" xfId="75" applyFont="1" applyFill="1" applyBorder="1" applyAlignment="1">
      <alignment horizontal="left" vertical="center"/>
    </xf>
    <xf numFmtId="0" fontId="25" fillId="26" borderId="63" xfId="75" applyFont="1" applyFill="1" applyBorder="1" applyAlignment="1">
      <alignment horizontal="left" vertical="center"/>
    </xf>
    <xf numFmtId="0" fontId="25" fillId="26" borderId="64" xfId="75" applyFont="1" applyFill="1" applyBorder="1" applyAlignment="1">
      <alignment horizontal="left" vertical="center"/>
    </xf>
    <xf numFmtId="0" fontId="72" fillId="26" borderId="0" xfId="75" applyFont="1" applyFill="1" applyAlignment="1">
      <alignment horizontal="center" vertical="center"/>
    </xf>
    <xf numFmtId="0" fontId="25" fillId="26" borderId="46" xfId="75" applyFont="1" applyFill="1" applyBorder="1" applyAlignment="1">
      <alignment horizontal="center" vertical="center"/>
    </xf>
    <xf numFmtId="0" fontId="25" fillId="26" borderId="21" xfId="75" applyFont="1" applyFill="1" applyBorder="1" applyAlignment="1">
      <alignment horizontal="center" vertical="center"/>
    </xf>
    <xf numFmtId="0" fontId="25" fillId="26" borderId="47" xfId="75" applyFont="1" applyFill="1" applyBorder="1" applyAlignment="1">
      <alignment horizontal="center" vertical="center"/>
    </xf>
    <xf numFmtId="0" fontId="25" fillId="26" borderId="48" xfId="75" applyFont="1" applyFill="1" applyBorder="1" applyAlignment="1">
      <alignment horizontal="center" vertical="center"/>
    </xf>
    <xf numFmtId="0" fontId="25" fillId="26" borderId="52" xfId="75" applyFont="1" applyFill="1" applyBorder="1" applyAlignment="1">
      <alignment horizontal="center" vertical="center"/>
    </xf>
    <xf numFmtId="0" fontId="25" fillId="26" borderId="53" xfId="75" applyFont="1" applyFill="1" applyBorder="1" applyAlignment="1">
      <alignment horizontal="center" vertical="center"/>
    </xf>
    <xf numFmtId="0" fontId="25" fillId="26" borderId="56" xfId="75" applyFont="1" applyFill="1" applyBorder="1" applyAlignment="1">
      <alignment horizontal="left" vertical="center"/>
    </xf>
    <xf numFmtId="0" fontId="25" fillId="26" borderId="57" xfId="75" applyFont="1" applyFill="1" applyBorder="1" applyAlignment="1">
      <alignment horizontal="left" vertical="center"/>
    </xf>
    <xf numFmtId="0" fontId="25" fillId="26" borderId="58" xfId="75" applyFont="1" applyFill="1" applyBorder="1" applyAlignment="1">
      <alignment horizontal="left" vertical="center"/>
    </xf>
    <xf numFmtId="0" fontId="65" fillId="26" borderId="68" xfId="91" applyFont="1" applyFill="1" applyBorder="1" applyAlignment="1">
      <alignment horizontal="left" vertical="center"/>
    </xf>
    <xf numFmtId="0" fontId="65" fillId="26" borderId="70" xfId="91" applyFont="1" applyFill="1" applyBorder="1" applyAlignment="1">
      <alignment horizontal="left" vertical="center"/>
    </xf>
    <xf numFmtId="0" fontId="65" fillId="26" borderId="69" xfId="91" applyFont="1" applyFill="1" applyBorder="1" applyAlignment="1">
      <alignment horizontal="left" vertical="center"/>
    </xf>
    <xf numFmtId="0" fontId="65" fillId="26" borderId="62" xfId="75" applyFont="1" applyFill="1" applyBorder="1" applyAlignment="1">
      <alignment horizontal="left" vertical="center"/>
    </xf>
    <xf numFmtId="0" fontId="65" fillId="26" borderId="63" xfId="75" applyFont="1" applyFill="1" applyBorder="1" applyAlignment="1">
      <alignment horizontal="left" vertical="center"/>
    </xf>
    <xf numFmtId="0" fontId="65" fillId="26" borderId="64" xfId="75" applyFont="1" applyFill="1" applyBorder="1" applyAlignment="1">
      <alignment horizontal="left" vertical="center"/>
    </xf>
    <xf numFmtId="0" fontId="65" fillId="26" borderId="72" xfId="75" applyFont="1" applyFill="1" applyBorder="1" applyAlignment="1">
      <alignment horizontal="right" vertical="center"/>
    </xf>
    <xf numFmtId="0" fontId="65" fillId="26" borderId="28" xfId="75" applyFont="1" applyFill="1" applyBorder="1" applyAlignment="1">
      <alignment horizontal="right" vertical="center"/>
    </xf>
    <xf numFmtId="0" fontId="65" fillId="26" borderId="56" xfId="75" applyFont="1" applyFill="1" applyBorder="1" applyAlignment="1">
      <alignment horizontal="left" vertical="center"/>
    </xf>
    <xf numFmtId="0" fontId="65" fillId="26" borderId="57" xfId="75" applyFont="1" applyFill="1" applyBorder="1" applyAlignment="1">
      <alignment horizontal="left" vertical="center"/>
    </xf>
    <xf numFmtId="0" fontId="65" fillId="26" borderId="58" xfId="75" applyFont="1" applyFill="1" applyBorder="1" applyAlignment="1">
      <alignment horizontal="left" vertical="center"/>
    </xf>
    <xf numFmtId="0" fontId="65" fillId="26" borderId="46" xfId="75" applyFont="1" applyFill="1" applyBorder="1" applyAlignment="1">
      <alignment horizontal="center" vertical="center"/>
    </xf>
    <xf numFmtId="0" fontId="65" fillId="26" borderId="21" xfId="75" applyFont="1" applyFill="1" applyBorder="1" applyAlignment="1">
      <alignment horizontal="center" vertical="center"/>
    </xf>
    <xf numFmtId="0" fontId="65" fillId="26" borderId="47" xfId="75" applyFont="1" applyFill="1" applyBorder="1" applyAlignment="1">
      <alignment horizontal="center" vertical="center"/>
    </xf>
    <xf numFmtId="0" fontId="65" fillId="26" borderId="48" xfId="75" applyFont="1" applyFill="1" applyBorder="1" applyAlignment="1">
      <alignment horizontal="center" vertical="center"/>
    </xf>
    <xf numFmtId="0" fontId="65" fillId="26" borderId="52" xfId="75" applyFont="1" applyFill="1" applyBorder="1" applyAlignment="1">
      <alignment horizontal="center" vertical="center"/>
    </xf>
    <xf numFmtId="0" fontId="65" fillId="26" borderId="53" xfId="75" applyFont="1" applyFill="1" applyBorder="1" applyAlignment="1">
      <alignment horizontal="center" vertical="center"/>
    </xf>
    <xf numFmtId="0" fontId="65" fillId="26" borderId="50" xfId="75" applyFont="1" applyFill="1" applyBorder="1" applyAlignment="1">
      <alignment horizontal="center" vertical="center" wrapText="1"/>
    </xf>
    <xf numFmtId="0" fontId="65" fillId="26" borderId="22" xfId="75" applyFont="1" applyFill="1" applyBorder="1" applyAlignment="1">
      <alignment horizontal="center" vertical="center" wrapText="1"/>
    </xf>
    <xf numFmtId="0" fontId="65" fillId="26" borderId="72" xfId="91" applyFont="1" applyFill="1" applyBorder="1" applyAlignment="1">
      <alignment horizontal="center" vertical="center"/>
    </xf>
    <xf numFmtId="0" fontId="65" fillId="26" borderId="28" xfId="91" applyFont="1" applyFill="1" applyBorder="1" applyAlignment="1">
      <alignment horizontal="center" vertical="center"/>
    </xf>
    <xf numFmtId="164" fontId="69" fillId="26" borderId="68" xfId="91" applyNumberFormat="1" applyFont="1" applyFill="1" applyBorder="1" applyAlignment="1">
      <alignment horizontal="left" wrapText="1"/>
    </xf>
    <xf numFmtId="164" fontId="69" fillId="26" borderId="70" xfId="91" applyNumberFormat="1" applyFont="1" applyFill="1" applyBorder="1" applyAlignment="1">
      <alignment horizontal="left" wrapText="1"/>
    </xf>
    <xf numFmtId="164" fontId="69" fillId="26" borderId="69" xfId="91" applyNumberFormat="1" applyFont="1" applyFill="1" applyBorder="1" applyAlignment="1">
      <alignment horizontal="left" wrapText="1"/>
    </xf>
    <xf numFmtId="0" fontId="105" fillId="26" borderId="47" xfId="75" applyFont="1" applyFill="1" applyBorder="1" applyAlignment="1">
      <alignment horizontal="center" vertical="center"/>
    </xf>
    <xf numFmtId="0" fontId="105" fillId="26" borderId="49" xfId="75" applyFont="1" applyFill="1" applyBorder="1" applyAlignment="1">
      <alignment horizontal="center" vertical="center"/>
    </xf>
    <xf numFmtId="0" fontId="65" fillId="26" borderId="54" xfId="75" applyFont="1" applyFill="1" applyBorder="1" applyAlignment="1">
      <alignment horizontal="center" vertical="center"/>
    </xf>
    <xf numFmtId="164" fontId="69" fillId="26" borderId="68" xfId="75" applyNumberFormat="1" applyFont="1" applyFill="1" applyBorder="1" applyAlignment="1">
      <alignment horizontal="left" wrapText="1"/>
    </xf>
    <xf numFmtId="164" fontId="69" fillId="26" borderId="70" xfId="75" applyNumberFormat="1" applyFont="1" applyFill="1" applyBorder="1" applyAlignment="1">
      <alignment horizontal="left" wrapText="1"/>
    </xf>
    <xf numFmtId="164" fontId="69" fillId="26" borderId="69" xfId="75" applyNumberFormat="1" applyFont="1" applyFill="1" applyBorder="1" applyAlignment="1">
      <alignment horizontal="left" wrapText="1"/>
    </xf>
    <xf numFmtId="0" fontId="74" fillId="0" borderId="18" xfId="79" applyBorder="1" applyAlignment="1">
      <alignment horizontal="center"/>
    </xf>
    <xf numFmtId="0" fontId="74" fillId="0" borderId="19" xfId="79" applyBorder="1" applyAlignment="1">
      <alignment horizontal="center"/>
    </xf>
    <xf numFmtId="0" fontId="25" fillId="26" borderId="72" xfId="102" applyFont="1" applyFill="1" applyBorder="1" applyAlignment="1">
      <alignment horizontal="right" vertical="center"/>
    </xf>
    <xf numFmtId="0" fontId="25" fillId="26" borderId="28" xfId="102" applyFont="1" applyFill="1" applyBorder="1" applyAlignment="1">
      <alignment horizontal="right" vertical="center"/>
    </xf>
    <xf numFmtId="164" fontId="25" fillId="26" borderId="68" xfId="102" applyNumberFormat="1" applyFont="1" applyFill="1" applyBorder="1" applyAlignment="1">
      <alignment horizontal="left" vertical="center" wrapText="1"/>
    </xf>
    <xf numFmtId="164" fontId="25" fillId="26" borderId="70" xfId="102" applyNumberFormat="1" applyFont="1" applyFill="1" applyBorder="1" applyAlignment="1">
      <alignment horizontal="left" vertical="center" wrapText="1"/>
    </xf>
    <xf numFmtId="164" fontId="25" fillId="26" borderId="69" xfId="102" applyNumberFormat="1" applyFont="1" applyFill="1" applyBorder="1" applyAlignment="1">
      <alignment horizontal="left" vertical="center" wrapText="1"/>
    </xf>
    <xf numFmtId="0" fontId="22" fillId="30" borderId="68" xfId="0" quotePrefix="1" applyFont="1" applyFill="1" applyBorder="1" applyAlignment="1">
      <alignment horizontal="left" vertical="center" wrapText="1"/>
    </xf>
    <xf numFmtId="0" fontId="22" fillId="30" borderId="70" xfId="0" quotePrefix="1" applyFont="1" applyFill="1" applyBorder="1" applyAlignment="1">
      <alignment horizontal="left" vertical="center" wrapText="1"/>
    </xf>
    <xf numFmtId="0" fontId="22" fillId="30" borderId="69" xfId="0" quotePrefix="1" applyFont="1" applyFill="1" applyBorder="1" applyAlignment="1">
      <alignment horizontal="left" vertical="center" wrapText="1"/>
    </xf>
    <xf numFmtId="164" fontId="22" fillId="26" borderId="68" xfId="102" applyNumberFormat="1" applyFont="1" applyFill="1" applyBorder="1" applyAlignment="1">
      <alignment horizontal="left" wrapText="1"/>
    </xf>
    <xf numFmtId="164" fontId="22" fillId="26" borderId="70" xfId="102" applyNumberFormat="1" applyFont="1" applyFill="1" applyBorder="1" applyAlignment="1">
      <alignment horizontal="left" wrapText="1"/>
    </xf>
    <xf numFmtId="164" fontId="22" fillId="26" borderId="69" xfId="102" applyNumberFormat="1" applyFont="1" applyFill="1" applyBorder="1" applyAlignment="1">
      <alignment horizontal="left" wrapText="1"/>
    </xf>
    <xf numFmtId="0" fontId="22" fillId="0" borderId="68" xfId="0" applyFont="1" applyBorder="1" applyAlignment="1">
      <alignment horizontal="left" vertical="top" wrapText="1"/>
    </xf>
    <xf numFmtId="0" fontId="22" fillId="0" borderId="70" xfId="0" applyFont="1" applyBorder="1" applyAlignment="1">
      <alignment horizontal="left" vertical="top" wrapText="1"/>
    </xf>
    <xf numFmtId="0" fontId="22" fillId="0" borderId="69" xfId="0" applyFont="1" applyBorder="1" applyAlignment="1">
      <alignment horizontal="left" vertical="top" wrapText="1"/>
    </xf>
    <xf numFmtId="0" fontId="22" fillId="0" borderId="68" xfId="85" applyFont="1" applyBorder="1" applyAlignment="1">
      <alignment horizontal="left" vertical="center" wrapText="1"/>
    </xf>
    <xf numFmtId="0" fontId="22" fillId="0" borderId="70" xfId="85" applyFont="1" applyBorder="1" applyAlignment="1">
      <alignment horizontal="left" vertical="center" wrapText="1"/>
    </xf>
    <xf numFmtId="0" fontId="22" fillId="0" borderId="69" xfId="85" applyFont="1" applyBorder="1" applyAlignment="1">
      <alignment horizontal="left" vertical="center" wrapText="1"/>
    </xf>
    <xf numFmtId="0" fontId="25" fillId="26" borderId="56" xfId="102" applyFont="1" applyFill="1" applyBorder="1" applyAlignment="1">
      <alignment horizontal="left" vertical="center"/>
    </xf>
    <xf numFmtId="0" fontId="25" fillId="26" borderId="57" xfId="102" applyFont="1" applyFill="1" applyBorder="1" applyAlignment="1">
      <alignment horizontal="left" vertical="center"/>
    </xf>
    <xf numFmtId="0" fontId="25" fillId="26" borderId="58" xfId="102" applyFont="1" applyFill="1" applyBorder="1" applyAlignment="1">
      <alignment horizontal="left" vertical="center"/>
    </xf>
    <xf numFmtId="0" fontId="109" fillId="26" borderId="62" xfId="102" applyFont="1" applyFill="1" applyBorder="1" applyAlignment="1">
      <alignment horizontal="left" vertical="center"/>
    </xf>
    <xf numFmtId="0" fontId="109" fillId="26" borderId="63" xfId="102" applyFont="1" applyFill="1" applyBorder="1" applyAlignment="1">
      <alignment horizontal="left" vertical="center"/>
    </xf>
    <xf numFmtId="0" fontId="109" fillId="26" borderId="64" xfId="102" applyFont="1" applyFill="1" applyBorder="1" applyAlignment="1">
      <alignment horizontal="left" vertical="center"/>
    </xf>
    <xf numFmtId="0" fontId="25" fillId="26" borderId="62" xfId="102" applyFont="1" applyFill="1" applyBorder="1" applyAlignment="1">
      <alignment horizontal="left" vertical="center"/>
    </xf>
    <xf numFmtId="0" fontId="25" fillId="26" borderId="63" xfId="102" applyFont="1" applyFill="1" applyBorder="1" applyAlignment="1">
      <alignment horizontal="left" vertical="center"/>
    </xf>
    <xf numFmtId="0" fontId="25" fillId="26" borderId="64" xfId="102" applyFont="1" applyFill="1" applyBorder="1" applyAlignment="1">
      <alignment horizontal="left" vertical="center"/>
    </xf>
    <xf numFmtId="0" fontId="72" fillId="26" borderId="0" xfId="102" applyFont="1" applyFill="1" applyAlignment="1">
      <alignment horizontal="center" vertical="center"/>
    </xf>
    <xf numFmtId="0" fontId="72" fillId="0" borderId="0" xfId="102" applyFont="1" applyAlignment="1">
      <alignment horizontal="center" vertical="center"/>
    </xf>
    <xf numFmtId="0" fontId="25" fillId="26" borderId="46" xfId="102" applyFont="1" applyFill="1" applyBorder="1" applyAlignment="1">
      <alignment horizontal="center" vertical="center"/>
    </xf>
    <xf numFmtId="0" fontId="25" fillId="26" borderId="21" xfId="102" applyFont="1" applyFill="1" applyBorder="1" applyAlignment="1">
      <alignment horizontal="center" vertical="center"/>
    </xf>
    <xf numFmtId="0" fontId="25" fillId="26" borderId="47" xfId="102" applyFont="1" applyFill="1" applyBorder="1" applyAlignment="1">
      <alignment horizontal="center" vertical="center"/>
    </xf>
    <xf numFmtId="0" fontId="25" fillId="26" borderId="48" xfId="102" applyFont="1" applyFill="1" applyBorder="1" applyAlignment="1">
      <alignment horizontal="center" vertical="center"/>
    </xf>
    <xf numFmtId="0" fontId="25" fillId="26" borderId="52" xfId="102" applyFont="1" applyFill="1" applyBorder="1" applyAlignment="1">
      <alignment horizontal="center" vertical="center"/>
    </xf>
    <xf numFmtId="0" fontId="25" fillId="26" borderId="53" xfId="102" applyFont="1" applyFill="1" applyBorder="1" applyAlignment="1">
      <alignment horizontal="center" vertical="center"/>
    </xf>
    <xf numFmtId="0" fontId="25" fillId="26" borderId="49" xfId="102" applyFont="1" applyFill="1" applyBorder="1" applyAlignment="1">
      <alignment horizontal="center" vertical="center"/>
    </xf>
    <xf numFmtId="0" fontId="25" fillId="26" borderId="54" xfId="102" applyFont="1" applyFill="1" applyBorder="1" applyAlignment="1">
      <alignment horizontal="center" vertical="center"/>
    </xf>
    <xf numFmtId="0" fontId="25" fillId="26" borderId="50" xfId="102" applyFont="1" applyFill="1" applyBorder="1" applyAlignment="1">
      <alignment horizontal="center" vertical="center" wrapText="1"/>
    </xf>
    <xf numFmtId="0" fontId="25" fillId="26" borderId="22" xfId="102" applyFont="1" applyFill="1" applyBorder="1" applyAlignment="1">
      <alignment horizontal="center" vertical="center" wrapText="1"/>
    </xf>
    <xf numFmtId="0" fontId="25" fillId="0" borderId="41" xfId="47" applyNumberFormat="1" applyFont="1" applyBorder="1" applyAlignment="1">
      <alignment horizontal="left"/>
    </xf>
    <xf numFmtId="0" fontId="25" fillId="0" borderId="0" xfId="47" applyNumberFormat="1" applyFont="1" applyAlignment="1">
      <alignment horizontal="left"/>
    </xf>
    <xf numFmtId="0" fontId="25" fillId="0" borderId="24" xfId="47" applyNumberFormat="1" applyFont="1" applyBorder="1" applyAlignment="1">
      <alignment horizontal="left"/>
    </xf>
    <xf numFmtId="0" fontId="29" fillId="0" borderId="0" xfId="3" applyFont="1" applyAlignment="1">
      <alignment horizontal="center"/>
    </xf>
    <xf numFmtId="164" fontId="25" fillId="0" borderId="10" xfId="108" applyNumberFormat="1" applyFont="1" applyBorder="1" applyAlignment="1">
      <alignment horizontal="center" vertical="center"/>
    </xf>
    <xf numFmtId="164" fontId="25" fillId="0" borderId="140" xfId="108" applyNumberFormat="1" applyFont="1" applyBorder="1" applyAlignment="1">
      <alignment horizontal="center" vertical="center"/>
    </xf>
    <xf numFmtId="0" fontId="25" fillId="0" borderId="45" xfId="108" applyFont="1" applyBorder="1" applyAlignment="1">
      <alignment horizontal="center" vertical="center"/>
    </xf>
    <xf numFmtId="0" fontId="25" fillId="0" borderId="42" xfId="108" applyFont="1" applyBorder="1" applyAlignment="1">
      <alignment horizontal="center" vertical="center"/>
    </xf>
    <xf numFmtId="0" fontId="25" fillId="0" borderId="29" xfId="108" applyFont="1" applyBorder="1" applyAlignment="1">
      <alignment horizontal="center" vertical="center"/>
    </xf>
    <xf numFmtId="0" fontId="25" fillId="0" borderId="141" xfId="108" applyFont="1" applyBorder="1" applyAlignment="1">
      <alignment horizontal="center" vertical="center"/>
    </xf>
    <xf numFmtId="0" fontId="25" fillId="0" borderId="142" xfId="108" applyFont="1" applyBorder="1" applyAlignment="1">
      <alignment horizontal="center" vertical="center"/>
    </xf>
    <xf numFmtId="0" fontId="25" fillId="0" borderId="143" xfId="108" applyFont="1" applyBorder="1" applyAlignment="1">
      <alignment horizontal="center" vertical="center"/>
    </xf>
    <xf numFmtId="0" fontId="25" fillId="0" borderId="145" xfId="108" quotePrefix="1" applyFont="1" applyBorder="1" applyAlignment="1">
      <alignment horizontal="center"/>
    </xf>
    <xf numFmtId="0" fontId="25" fillId="0" borderId="146" xfId="108" quotePrefix="1" applyFont="1" applyBorder="1" applyAlignment="1">
      <alignment horizontal="center"/>
    </xf>
    <xf numFmtId="0" fontId="25" fillId="0" borderId="147" xfId="108" quotePrefix="1" applyFont="1" applyBorder="1" applyAlignment="1">
      <alignment horizontal="center"/>
    </xf>
    <xf numFmtId="164" fontId="25" fillId="30" borderId="10" xfId="3" applyNumberFormat="1" applyFont="1" applyFill="1" applyBorder="1" applyAlignment="1">
      <alignment horizontal="center" vertical="center"/>
    </xf>
    <xf numFmtId="164" fontId="25" fillId="30" borderId="16" xfId="3" applyNumberFormat="1" applyFont="1" applyFill="1" applyBorder="1" applyAlignment="1">
      <alignment horizontal="center" vertical="center"/>
    </xf>
    <xf numFmtId="164" fontId="25" fillId="30" borderId="13" xfId="3" applyNumberFormat="1" applyFont="1" applyFill="1" applyBorder="1" applyAlignment="1">
      <alignment horizontal="center" vertical="center"/>
    </xf>
    <xf numFmtId="0" fontId="25" fillId="30" borderId="45" xfId="3" applyFont="1" applyFill="1" applyBorder="1" applyAlignment="1">
      <alignment horizontal="center" vertical="center"/>
    </xf>
    <xf numFmtId="0" fontId="25" fillId="30" borderId="42" xfId="3" applyFont="1" applyFill="1" applyBorder="1" applyAlignment="1">
      <alignment horizontal="center" vertical="center"/>
    </xf>
    <xf numFmtId="0" fontId="25" fillId="30" borderId="41" xfId="3" applyFont="1" applyFill="1" applyBorder="1" applyAlignment="1">
      <alignment horizontal="center" vertical="center"/>
    </xf>
    <xf numFmtId="0" fontId="25" fillId="30" borderId="0" xfId="3" applyFont="1" applyFill="1" applyAlignment="1">
      <alignment horizontal="center" vertical="center"/>
    </xf>
    <xf numFmtId="0" fontId="25" fillId="30" borderId="44" xfId="3" applyFont="1" applyFill="1" applyBorder="1" applyAlignment="1">
      <alignment horizontal="center" vertical="center"/>
    </xf>
    <xf numFmtId="0" fontId="25" fillId="30" borderId="129" xfId="3" applyFont="1" applyFill="1" applyBorder="1" applyAlignment="1">
      <alignment horizontal="center" vertical="center"/>
    </xf>
    <xf numFmtId="0" fontId="25" fillId="30" borderId="10" xfId="3" applyFont="1" applyFill="1" applyBorder="1" applyAlignment="1">
      <alignment horizontal="center" vertical="center"/>
    </xf>
    <xf numFmtId="0" fontId="25" fillId="30" borderId="16" xfId="3" applyFont="1" applyFill="1" applyBorder="1" applyAlignment="1">
      <alignment horizontal="center" vertical="center"/>
    </xf>
    <xf numFmtId="0" fontId="25" fillId="30" borderId="13" xfId="3" applyFont="1" applyFill="1" applyBorder="1" applyAlignment="1">
      <alignment horizontal="center" vertical="center"/>
    </xf>
    <xf numFmtId="0" fontId="25" fillId="30" borderId="39" xfId="3" applyFont="1" applyFill="1" applyBorder="1" applyAlignment="1">
      <alignment horizontal="center" vertical="center"/>
    </xf>
    <xf numFmtId="0" fontId="25" fillId="30" borderId="72" xfId="3" applyFont="1" applyFill="1" applyBorder="1" applyAlignment="1">
      <alignment horizontal="center" vertical="center"/>
    </xf>
    <xf numFmtId="164" fontId="25" fillId="0" borderId="16" xfId="108" applyNumberFormat="1" applyFont="1" applyBorder="1" applyAlignment="1">
      <alignment horizontal="center" vertical="center"/>
    </xf>
    <xf numFmtId="0" fontId="25" fillId="0" borderId="41" xfId="108" applyFont="1" applyBorder="1" applyAlignment="1">
      <alignment horizontal="center" vertical="center"/>
    </xf>
    <xf numFmtId="0" fontId="25" fillId="0" borderId="0" xfId="108" applyFont="1" applyAlignment="1">
      <alignment horizontal="center" vertical="center"/>
    </xf>
    <xf numFmtId="0" fontId="25" fillId="0" borderId="24" xfId="108" applyFont="1" applyBorder="1" applyAlignment="1">
      <alignment horizontal="center" vertical="center"/>
    </xf>
    <xf numFmtId="0" fontId="25" fillId="0" borderId="39" xfId="108" quotePrefix="1" applyFont="1" applyBorder="1" applyAlignment="1">
      <alignment horizontal="center"/>
    </xf>
    <xf numFmtId="0" fontId="25" fillId="0" borderId="72" xfId="108" quotePrefix="1" applyFont="1" applyBorder="1" applyAlignment="1">
      <alignment horizontal="center"/>
    </xf>
    <xf numFmtId="0" fontId="25" fillId="0" borderId="28" xfId="108" quotePrefix="1" applyFont="1" applyBorder="1" applyAlignment="1">
      <alignment horizontal="center"/>
    </xf>
    <xf numFmtId="165" fontId="22" fillId="0" borderId="0" xfId="113" applyNumberFormat="1" applyFont="1" applyFill="1" applyBorder="1" applyAlignment="1">
      <alignment horizontal="center"/>
    </xf>
    <xf numFmtId="165" fontId="22" fillId="0" borderId="24" xfId="113" applyNumberFormat="1" applyFont="1" applyFill="1" applyBorder="1" applyAlignment="1">
      <alignment horizontal="center"/>
    </xf>
    <xf numFmtId="0" fontId="112" fillId="30" borderId="39" xfId="3" applyFont="1" applyFill="1" applyBorder="1" applyAlignment="1">
      <alignment horizontal="center" vertical="center"/>
    </xf>
    <xf numFmtId="0" fontId="112" fillId="30" borderId="72" xfId="3" applyFont="1" applyFill="1" applyBorder="1" applyAlignment="1">
      <alignment horizontal="center" vertical="center"/>
    </xf>
    <xf numFmtId="164" fontId="22" fillId="0" borderId="40" xfId="104" applyFont="1" applyFill="1" applyBorder="1" applyAlignment="1" applyProtection="1">
      <alignment horizontal="right" vertical="center"/>
      <protection hidden="1"/>
    </xf>
    <xf numFmtId="164" fontId="22" fillId="0" borderId="134" xfId="104" applyFont="1" applyFill="1" applyBorder="1" applyAlignment="1" applyProtection="1">
      <alignment horizontal="right" vertical="center"/>
      <protection hidden="1"/>
    </xf>
    <xf numFmtId="164" fontId="22" fillId="0" borderId="135" xfId="104" applyFont="1" applyFill="1" applyBorder="1" applyAlignment="1" applyProtection="1">
      <alignment horizontal="right" vertical="center"/>
      <protection hidden="1"/>
    </xf>
    <xf numFmtId="164" fontId="22" fillId="0" borderId="71" xfId="104" applyFont="1" applyFill="1" applyBorder="1" applyAlignment="1" applyProtection="1">
      <alignment horizontal="right" vertical="center" wrapText="1"/>
      <protection hidden="1"/>
    </xf>
    <xf numFmtId="164" fontId="22" fillId="0" borderId="72" xfId="104" applyFont="1" applyFill="1" applyBorder="1" applyAlignment="1" applyProtection="1">
      <alignment horizontal="right" vertical="center" wrapText="1"/>
      <protection hidden="1"/>
    </xf>
    <xf numFmtId="164" fontId="22" fillId="0" borderId="28" xfId="104" applyFont="1" applyFill="1" applyBorder="1" applyAlignment="1" applyProtection="1">
      <alignment horizontal="right" vertical="center" wrapText="1"/>
      <protection hidden="1"/>
    </xf>
    <xf numFmtId="0" fontId="22" fillId="0" borderId="45" xfId="3" applyBorder="1" applyAlignment="1">
      <alignment horizontal="center" vertical="center"/>
    </xf>
    <xf numFmtId="0" fontId="22" fillId="0" borderId="42" xfId="3" applyBorder="1" applyAlignment="1">
      <alignment horizontal="center" vertical="center"/>
    </xf>
    <xf numFmtId="164" fontId="22" fillId="0" borderId="71" xfId="104" applyFont="1" applyFill="1" applyBorder="1" applyAlignment="1" applyProtection="1">
      <alignment horizontal="right" vertical="center"/>
      <protection hidden="1"/>
    </xf>
    <xf numFmtId="164" fontId="22" fillId="0" borderId="72" xfId="104" applyFont="1" applyFill="1" applyBorder="1" applyAlignment="1" applyProtection="1">
      <alignment horizontal="right" vertical="center"/>
      <protection hidden="1"/>
    </xf>
    <xf numFmtId="164" fontId="22" fillId="0" borderId="28" xfId="104" applyFont="1" applyFill="1" applyBorder="1" applyAlignment="1" applyProtection="1">
      <alignment horizontal="right" vertical="center"/>
      <protection hidden="1"/>
    </xf>
    <xf numFmtId="164" fontId="22" fillId="0" borderId="39" xfId="104" applyFont="1" applyFill="1" applyBorder="1" applyAlignment="1" applyProtection="1">
      <alignment horizontal="right" vertical="center" wrapText="1"/>
      <protection hidden="1"/>
    </xf>
    <xf numFmtId="164" fontId="22" fillId="0" borderId="39" xfId="104" applyFont="1" applyFill="1" applyBorder="1" applyAlignment="1" applyProtection="1">
      <alignment horizontal="center" vertical="center" wrapText="1"/>
      <protection hidden="1"/>
    </xf>
    <xf numFmtId="164" fontId="22" fillId="0" borderId="72" xfId="104" applyFont="1" applyFill="1" applyBorder="1" applyAlignment="1" applyProtection="1">
      <alignment horizontal="center" vertical="center" wrapText="1"/>
      <protection hidden="1"/>
    </xf>
    <xf numFmtId="164" fontId="22" fillId="0" borderId="28" xfId="104" applyFont="1" applyFill="1" applyBorder="1" applyAlignment="1" applyProtection="1">
      <alignment horizontal="center" vertical="center" wrapText="1"/>
      <protection hidden="1"/>
    </xf>
    <xf numFmtId="0" fontId="22" fillId="0" borderId="3" xfId="3" applyBorder="1" applyAlignment="1">
      <alignment horizontal="center" vertical="center"/>
    </xf>
    <xf numFmtId="164" fontId="22" fillId="0" borderId="39" xfId="104" applyFont="1" applyFill="1" applyBorder="1" applyAlignment="1" applyProtection="1">
      <alignment horizontal="right" vertical="center"/>
      <protection hidden="1"/>
    </xf>
    <xf numFmtId="0" fontId="22" fillId="0" borderId="56" xfId="3" applyBorder="1" applyAlignment="1">
      <alignment horizontal="center" vertical="center"/>
    </xf>
    <xf numFmtId="0" fontId="22" fillId="0" borderId="57" xfId="3" applyBorder="1" applyAlignment="1">
      <alignment horizontal="center" vertical="center"/>
    </xf>
    <xf numFmtId="164" fontId="22" fillId="0" borderId="39" xfId="104" applyFont="1" applyFill="1" applyBorder="1" applyAlignment="1" applyProtection="1">
      <alignment horizontal="center" vertical="center"/>
      <protection hidden="1"/>
    </xf>
    <xf numFmtId="164" fontId="22" fillId="0" borderId="72" xfId="104" applyFont="1" applyFill="1" applyBorder="1" applyAlignment="1" applyProtection="1">
      <alignment horizontal="center" vertical="center"/>
      <protection hidden="1"/>
    </xf>
    <xf numFmtId="164" fontId="22" fillId="0" borderId="28" xfId="104" applyFont="1" applyFill="1" applyBorder="1" applyAlignment="1" applyProtection="1">
      <alignment horizontal="center" vertical="center"/>
      <protection hidden="1"/>
    </xf>
    <xf numFmtId="0" fontId="22" fillId="0" borderId="39" xfId="3" applyBorder="1" applyAlignment="1">
      <alignment horizontal="center" vertical="center"/>
    </xf>
    <xf numFmtId="0" fontId="22" fillId="0" borderId="72" xfId="3" applyBorder="1" applyAlignment="1">
      <alignment horizontal="center" vertical="center"/>
    </xf>
    <xf numFmtId="0" fontId="25" fillId="30" borderId="0" xfId="3" applyFont="1" applyFill="1" applyAlignment="1">
      <alignment horizontal="center"/>
    </xf>
    <xf numFmtId="0" fontId="108" fillId="0" borderId="0" xfId="0" applyFont="1" applyAlignment="1">
      <alignment horizontal="center"/>
    </xf>
    <xf numFmtId="0" fontId="115" fillId="0" borderId="0" xfId="0" applyFont="1" applyAlignment="1">
      <alignment horizontal="center"/>
    </xf>
    <xf numFmtId="0" fontId="116" fillId="0" borderId="0" xfId="0" applyFont="1" applyAlignment="1">
      <alignment horizontal="center"/>
    </xf>
    <xf numFmtId="0" fontId="118" fillId="0" borderId="0" xfId="0" applyFont="1" applyAlignment="1">
      <alignment horizontal="center"/>
    </xf>
    <xf numFmtId="0" fontId="89" fillId="0" borderId="0" xfId="83" applyFont="1" applyAlignment="1">
      <alignment horizontal="center"/>
    </xf>
    <xf numFmtId="164" fontId="25" fillId="0" borderId="10" xfId="104" applyFont="1" applyFill="1" applyBorder="1" applyAlignment="1">
      <alignment horizontal="center" vertical="center"/>
    </xf>
    <xf numFmtId="164" fontId="25" fillId="0" borderId="16" xfId="104" applyFont="1" applyFill="1" applyBorder="1" applyAlignment="1">
      <alignment horizontal="center" vertical="center"/>
    </xf>
    <xf numFmtId="164" fontId="25" fillId="0" borderId="13" xfId="104" applyFont="1" applyFill="1" applyBorder="1" applyAlignment="1">
      <alignment horizontal="center" vertical="center"/>
    </xf>
    <xf numFmtId="173" fontId="25" fillId="0" borderId="45" xfId="104" applyNumberFormat="1" applyFont="1" applyFill="1" applyBorder="1" applyAlignment="1">
      <alignment horizontal="center" vertical="center" wrapText="1"/>
    </xf>
    <xf numFmtId="173" fontId="25" fillId="0" borderId="41" xfId="104" applyNumberFormat="1" applyFont="1" applyFill="1" applyBorder="1" applyAlignment="1">
      <alignment horizontal="center" vertical="center" wrapText="1"/>
    </xf>
    <xf numFmtId="173" fontId="25" fillId="0" borderId="44" xfId="104" applyNumberFormat="1" applyFont="1" applyFill="1" applyBorder="1" applyAlignment="1">
      <alignment horizontal="center" vertical="center" wrapText="1"/>
    </xf>
    <xf numFmtId="0" fontId="25" fillId="0" borderId="10" xfId="83" applyFont="1" applyBorder="1" applyAlignment="1">
      <alignment horizontal="center" vertical="center"/>
    </xf>
    <xf numFmtId="0" fontId="25" fillId="0" borderId="16" xfId="83" applyFont="1" applyBorder="1" applyAlignment="1">
      <alignment horizontal="center" vertical="center"/>
    </xf>
    <xf numFmtId="0" fontId="25" fillId="0" borderId="13" xfId="83" applyFont="1" applyBorder="1" applyAlignment="1">
      <alignment horizontal="center" vertical="center"/>
    </xf>
    <xf numFmtId="0" fontId="36" fillId="0" borderId="0" xfId="0" applyFont="1" applyAlignment="1">
      <alignment horizontal="center"/>
    </xf>
    <xf numFmtId="0" fontId="107" fillId="0" borderId="0" xfId="75" applyFont="1" applyAlignment="1">
      <alignment horizontal="center"/>
    </xf>
    <xf numFmtId="0" fontId="61" fillId="0" borderId="0" xfId="0" applyFont="1" applyAlignment="1">
      <alignment horizontal="center"/>
    </xf>
    <xf numFmtId="0" fontId="59" fillId="0" borderId="0" xfId="0" applyFont="1" applyAlignment="1">
      <alignment horizontal="center"/>
    </xf>
    <xf numFmtId="0" fontId="0" fillId="0" borderId="0" xfId="0" applyAlignment="1">
      <alignment horizontal="center"/>
    </xf>
    <xf numFmtId="0" fontId="57" fillId="0" borderId="0" xfId="0" applyFont="1" applyAlignment="1">
      <alignment horizontal="center"/>
    </xf>
    <xf numFmtId="0" fontId="60" fillId="0" borderId="0" xfId="0" applyFont="1" applyAlignment="1">
      <alignment horizontal="center"/>
    </xf>
    <xf numFmtId="0" fontId="51" fillId="0" borderId="0" xfId="0" applyFont="1" applyAlignment="1">
      <alignment horizontal="center"/>
    </xf>
    <xf numFmtId="0" fontId="36" fillId="0" borderId="3" xfId="12" applyFont="1" applyBorder="1" applyAlignment="1">
      <alignment horizontal="center" vertical="center"/>
    </xf>
    <xf numFmtId="0" fontId="34" fillId="0" borderId="0" xfId="12" applyFont="1" applyAlignment="1">
      <alignment horizontal="center"/>
    </xf>
    <xf numFmtId="39" fontId="36" fillId="0" borderId="3" xfId="12" applyNumberFormat="1" applyFont="1" applyBorder="1" applyAlignment="1">
      <alignment horizontal="center" vertical="center"/>
    </xf>
    <xf numFmtId="173" fontId="36" fillId="0" borderId="3" xfId="13" applyNumberFormat="1" applyFont="1" applyFill="1" applyBorder="1" applyAlignment="1" applyProtection="1">
      <alignment horizontal="center" vertical="center"/>
    </xf>
    <xf numFmtId="0" fontId="22" fillId="0" borderId="0" xfId="3" applyAlignment="1">
      <alignment horizontal="center" vertical="center"/>
    </xf>
    <xf numFmtId="0" fontId="67" fillId="0" borderId="0" xfId="0" applyFont="1" applyAlignment="1">
      <alignment horizontal="center"/>
    </xf>
    <xf numFmtId="0" fontId="91" fillId="0" borderId="111" xfId="94" applyFont="1" applyBorder="1" applyAlignment="1">
      <alignment horizontal="center" vertical="top"/>
    </xf>
    <xf numFmtId="0" fontId="91" fillId="0" borderId="87" xfId="94" applyFont="1" applyBorder="1" applyAlignment="1">
      <alignment horizontal="center" vertical="top"/>
    </xf>
    <xf numFmtId="0" fontId="91" fillId="0" borderId="102" xfId="94" applyFont="1" applyBorder="1" applyAlignment="1">
      <alignment horizontal="center" vertical="top"/>
    </xf>
    <xf numFmtId="0" fontId="92" fillId="0" borderId="98" xfId="94" applyFont="1" applyBorder="1" applyAlignment="1">
      <alignment horizontal="center" vertical="top"/>
    </xf>
    <xf numFmtId="0" fontId="92" fillId="0" borderId="0" xfId="94" applyFont="1" applyAlignment="1">
      <alignment horizontal="center" vertical="top"/>
    </xf>
    <xf numFmtId="0" fontId="92" fillId="0" borderId="80" xfId="94" applyFont="1" applyBorder="1" applyAlignment="1">
      <alignment horizontal="center" vertical="top"/>
    </xf>
    <xf numFmtId="1" fontId="92" fillId="25" borderId="0" xfId="94" applyNumberFormat="1" applyFont="1" applyFill="1" applyAlignment="1">
      <alignment horizontal="left" vertical="top" wrapText="1"/>
    </xf>
    <xf numFmtId="1" fontId="92" fillId="25" borderId="80" xfId="94" applyNumberFormat="1" applyFont="1" applyFill="1" applyBorder="1" applyAlignment="1">
      <alignment horizontal="left" vertical="top" wrapText="1"/>
    </xf>
    <xf numFmtId="0" fontId="99" fillId="0" borderId="111" xfId="94" applyFont="1" applyBorder="1" applyAlignment="1">
      <alignment horizontal="center" vertical="top"/>
    </xf>
    <xf numFmtId="0" fontId="99" fillId="0" borderId="87" xfId="94" applyFont="1" applyBorder="1" applyAlignment="1">
      <alignment horizontal="center" vertical="top"/>
    </xf>
    <xf numFmtId="0" fontId="99" fillId="0" borderId="102" xfId="94" applyFont="1" applyBorder="1" applyAlignment="1">
      <alignment horizontal="center" vertical="top"/>
    </xf>
    <xf numFmtId="0" fontId="91" fillId="0" borderId="93" xfId="94" applyFont="1" applyBorder="1" applyAlignment="1">
      <alignment horizontal="center" vertical="center"/>
    </xf>
    <xf numFmtId="0" fontId="91" fillId="0" borderId="94" xfId="94" applyFont="1" applyBorder="1" applyAlignment="1">
      <alignment horizontal="center" vertical="center"/>
    </xf>
    <xf numFmtId="0" fontId="91" fillId="0" borderId="95" xfId="94" applyFont="1" applyBorder="1" applyAlignment="1">
      <alignment horizontal="center" vertical="center"/>
    </xf>
    <xf numFmtId="0" fontId="91" fillId="0" borderId="96" xfId="94" applyFont="1" applyBorder="1" applyAlignment="1">
      <alignment horizontal="center" vertical="center"/>
    </xf>
    <xf numFmtId="0" fontId="91" fillId="0" borderId="53" xfId="94" applyFont="1" applyBorder="1" applyAlignment="1">
      <alignment horizontal="center" vertical="center"/>
    </xf>
    <xf numFmtId="0" fontId="91" fillId="0" borderId="97" xfId="94" applyFont="1" applyBorder="1" applyAlignment="1">
      <alignment horizontal="center" vertical="center"/>
    </xf>
    <xf numFmtId="1" fontId="61" fillId="0" borderId="0" xfId="95" applyNumberFormat="1" applyFont="1" applyAlignment="1">
      <alignment horizontal="left" vertical="center"/>
    </xf>
    <xf numFmtId="0" fontId="92" fillId="0" borderId="100" xfId="94" applyFont="1" applyBorder="1" applyAlignment="1">
      <alignment horizontal="center" vertical="center"/>
    </xf>
    <xf numFmtId="0" fontId="92" fillId="0" borderId="96" xfId="94" applyFont="1" applyBorder="1" applyAlignment="1">
      <alignment horizontal="center" vertical="center"/>
    </xf>
    <xf numFmtId="0" fontId="91" fillId="0" borderId="48" xfId="94" applyFont="1" applyBorder="1" applyAlignment="1">
      <alignment horizontal="center" vertical="center"/>
    </xf>
    <xf numFmtId="0" fontId="91" fillId="0" borderId="101" xfId="94" applyFont="1" applyBorder="1" applyAlignment="1">
      <alignment horizontal="center" vertical="center"/>
    </xf>
    <xf numFmtId="0" fontId="91" fillId="0" borderId="103" xfId="94" applyFont="1" applyBorder="1" applyAlignment="1">
      <alignment horizontal="center" vertical="center"/>
    </xf>
    <xf numFmtId="0" fontId="89" fillId="0" borderId="111" xfId="94" applyFont="1" applyBorder="1" applyAlignment="1">
      <alignment horizontal="center" vertical="top"/>
    </xf>
    <xf numFmtId="0" fontId="89" fillId="0" borderId="87" xfId="94" applyFont="1" applyBorder="1" applyAlignment="1">
      <alignment horizontal="center" vertical="top"/>
    </xf>
    <xf numFmtId="0" fontId="89" fillId="0" borderId="102" xfId="94" applyFont="1" applyBorder="1" applyAlignment="1">
      <alignment horizontal="center" vertical="top"/>
    </xf>
  </cellXfs>
  <cellStyles count="117">
    <cellStyle name="20% - Accent1 2" xfId="14" xr:uid="{00000000-0005-0000-0000-000000000000}"/>
    <cellStyle name="20% - Accent2 2" xfId="15" xr:uid="{00000000-0005-0000-0000-000001000000}"/>
    <cellStyle name="20% - Accent3 2" xfId="16" xr:uid="{00000000-0005-0000-0000-000002000000}"/>
    <cellStyle name="20% - Accent4 2" xfId="17" xr:uid="{00000000-0005-0000-0000-000003000000}"/>
    <cellStyle name="20% - Accent5 2" xfId="18" xr:uid="{00000000-0005-0000-0000-000004000000}"/>
    <cellStyle name="20% - Accent6 2" xfId="19" xr:uid="{00000000-0005-0000-0000-000005000000}"/>
    <cellStyle name="40% - Accent1 2" xfId="20" xr:uid="{00000000-0005-0000-0000-000006000000}"/>
    <cellStyle name="40% - Accent2 2" xfId="21" xr:uid="{00000000-0005-0000-0000-000007000000}"/>
    <cellStyle name="40% - Accent3 2" xfId="22" xr:uid="{00000000-0005-0000-0000-000008000000}"/>
    <cellStyle name="40% - Accent4 2" xfId="23" xr:uid="{00000000-0005-0000-0000-000009000000}"/>
    <cellStyle name="40% - Accent5 2" xfId="24" xr:uid="{00000000-0005-0000-0000-00000A000000}"/>
    <cellStyle name="40% - Accent6 2" xfId="25" xr:uid="{00000000-0005-0000-0000-00000B000000}"/>
    <cellStyle name="60% - Accent1 2" xfId="26" xr:uid="{00000000-0005-0000-0000-00000C000000}"/>
    <cellStyle name="60% - Accent2 2" xfId="27" xr:uid="{00000000-0005-0000-0000-00000D000000}"/>
    <cellStyle name="60% - Accent3 2" xfId="28" xr:uid="{00000000-0005-0000-0000-00000E000000}"/>
    <cellStyle name="60% - Accent4 2" xfId="29" xr:uid="{00000000-0005-0000-0000-00000F000000}"/>
    <cellStyle name="60% - Accent5 2" xfId="30" xr:uid="{00000000-0005-0000-0000-000010000000}"/>
    <cellStyle name="60% - Accent6 2" xfId="31" xr:uid="{00000000-0005-0000-0000-000011000000}"/>
    <cellStyle name="Accent1 2" xfId="32" xr:uid="{00000000-0005-0000-0000-000012000000}"/>
    <cellStyle name="Accent2 2" xfId="33" xr:uid="{00000000-0005-0000-0000-000013000000}"/>
    <cellStyle name="Accent3 2" xfId="34" xr:uid="{00000000-0005-0000-0000-000014000000}"/>
    <cellStyle name="Accent4 2" xfId="35" xr:uid="{00000000-0005-0000-0000-000015000000}"/>
    <cellStyle name="Accent5 2" xfId="36" xr:uid="{00000000-0005-0000-0000-000016000000}"/>
    <cellStyle name="Accent6 2" xfId="37" xr:uid="{00000000-0005-0000-0000-000017000000}"/>
    <cellStyle name="Bad 2" xfId="38" xr:uid="{00000000-0005-0000-0000-000018000000}"/>
    <cellStyle name="Calculation 2" xfId="39" xr:uid="{00000000-0005-0000-0000-000019000000}"/>
    <cellStyle name="Check Cell 2" xfId="40" xr:uid="{00000000-0005-0000-0000-00001A000000}"/>
    <cellStyle name="Comma" xfId="73" builtinId="3"/>
    <cellStyle name="Comma [0]" xfId="1" builtinId="6"/>
    <cellStyle name="Comma [0] 10 2" xfId="104" xr:uid="{B418472A-6990-499B-97FE-563E855236CB}"/>
    <cellStyle name="Comma [0] 15" xfId="80" xr:uid="{EA33A53C-994D-4409-BDCC-26201726065D}"/>
    <cellStyle name="Comma [0] 2" xfId="13" xr:uid="{00000000-0005-0000-0000-00001D000000}"/>
    <cellStyle name="Comma [0] 2 2" xfId="41" xr:uid="{00000000-0005-0000-0000-00001E000000}"/>
    <cellStyle name="Comma [0] 2 2 2" xfId="111" xr:uid="{79CC05A4-8AE2-40F2-A8CB-02AD7E8B1643}"/>
    <cellStyle name="Comma [0] 3" xfId="42" xr:uid="{00000000-0005-0000-0000-00001F000000}"/>
    <cellStyle name="Comma [0] 4" xfId="43" xr:uid="{00000000-0005-0000-0000-000020000000}"/>
    <cellStyle name="Comma [0] 5" xfId="44" xr:uid="{00000000-0005-0000-0000-000021000000}"/>
    <cellStyle name="Comma [0] 6" xfId="45" xr:uid="{00000000-0005-0000-0000-000022000000}"/>
    <cellStyle name="Comma [0] 7" xfId="76" xr:uid="{E5AB89B4-7089-42D0-AF94-8A68DB6DCD22}"/>
    <cellStyle name="Comma [0] 7 2" xfId="92" xr:uid="{8D1F23EB-6740-4F05-A76D-FA04863306CD}"/>
    <cellStyle name="Comma [0] 7 3" xfId="103" xr:uid="{6C7549CE-1271-4E3B-9DA7-462A5BF9393C}"/>
    <cellStyle name="Comma 10 2 2" xfId="87" xr:uid="{804AED9B-7905-444F-980E-CDE1DAFDA1E7}"/>
    <cellStyle name="Comma 11" xfId="81" xr:uid="{395F2D26-77D4-4ABE-93C4-D5754FBA0D67}"/>
    <cellStyle name="Comma 12" xfId="101" xr:uid="{DB8BADF5-E0B2-4450-B58D-7B6B4CEACAC7}"/>
    <cellStyle name="Comma 12 2" xfId="105" xr:uid="{9EA33F2C-6915-439F-BCAA-BAE54EA8914F}"/>
    <cellStyle name="Comma 13" xfId="10" xr:uid="{00000000-0005-0000-0000-000023000000}"/>
    <cellStyle name="Comma 136" xfId="98" xr:uid="{CC3E8B9E-C332-42FB-9C58-A9F0AA5C7FA2}"/>
    <cellStyle name="Comma 16" xfId="11" xr:uid="{00000000-0005-0000-0000-000024000000}"/>
    <cellStyle name="Comma 17" xfId="5" xr:uid="{00000000-0005-0000-0000-000025000000}"/>
    <cellStyle name="Comma 2" xfId="7" xr:uid="{00000000-0005-0000-0000-000026000000}"/>
    <cellStyle name="Comma 2 2" xfId="46" xr:uid="{00000000-0005-0000-0000-000027000000}"/>
    <cellStyle name="Comma 2 2 2" xfId="47" xr:uid="{00000000-0005-0000-0000-000028000000}"/>
    <cellStyle name="Comma 2 3" xfId="48" xr:uid="{00000000-0005-0000-0000-000029000000}"/>
    <cellStyle name="Comma 2 3 2" xfId="77" xr:uid="{3D24233B-4700-4AFD-B9A5-A7292106BAB9}"/>
    <cellStyle name="Comma 2 4" xfId="49" xr:uid="{00000000-0005-0000-0000-00002A000000}"/>
    <cellStyle name="Comma 201 2 2" xfId="106" xr:uid="{37E6023D-B2DD-4708-96F1-A7E3DAF216B2}"/>
    <cellStyle name="Comma 3" xfId="8" xr:uid="{00000000-0005-0000-0000-00002B000000}"/>
    <cellStyle name="Comma 3 20" xfId="97" xr:uid="{178AE6D6-46F5-4818-984A-029406C0FCF8}"/>
    <cellStyle name="Comma 4" xfId="50" xr:uid="{00000000-0005-0000-0000-00002C000000}"/>
    <cellStyle name="Comma 4 2 3" xfId="107" xr:uid="{7BCCE8FE-2D84-4FC1-B3DC-29484D75DD3D}"/>
    <cellStyle name="Comma 5" xfId="51" xr:uid="{00000000-0005-0000-0000-00002D000000}"/>
    <cellStyle name="Comma 6" xfId="72" xr:uid="{00000000-0005-0000-0000-00002E000000}"/>
    <cellStyle name="Currency 2" xfId="115" xr:uid="{57AAE6D1-D867-450E-9148-1890CB13D6C7}"/>
    <cellStyle name="Currency 5" xfId="113" xr:uid="{3252AC63-9306-4DE0-8FFF-27C87D6343F9}"/>
    <cellStyle name="Explanatory Text 2" xfId="52" xr:uid="{00000000-0005-0000-0000-00002F000000}"/>
    <cellStyle name="Good 2" xfId="53" xr:uid="{00000000-0005-0000-0000-000030000000}"/>
    <cellStyle name="Heading 1 2" xfId="54" xr:uid="{00000000-0005-0000-0000-000031000000}"/>
    <cellStyle name="Heading 2 2" xfId="55" xr:uid="{00000000-0005-0000-0000-000032000000}"/>
    <cellStyle name="Heading 3 2" xfId="56" xr:uid="{00000000-0005-0000-0000-000033000000}"/>
    <cellStyle name="Heading 4 2" xfId="57" xr:uid="{00000000-0005-0000-0000-000034000000}"/>
    <cellStyle name="Hyperlink 2" xfId="82" xr:uid="{88A80E7A-C214-4FC0-BE0A-C02339C323AD}"/>
    <cellStyle name="Input 2" xfId="58" xr:uid="{00000000-0005-0000-0000-000035000000}"/>
    <cellStyle name="Linked Cell 2" xfId="59" xr:uid="{00000000-0005-0000-0000-000036000000}"/>
    <cellStyle name="Neutral 2" xfId="60" xr:uid="{00000000-0005-0000-0000-000037000000}"/>
    <cellStyle name="Normal" xfId="0" builtinId="0"/>
    <cellStyle name="Normal - Style1 2" xfId="83" xr:uid="{BA795CCB-5712-4C90-9AD4-299AF9B6333A}"/>
    <cellStyle name="Normal 10 2" xfId="93" xr:uid="{27A80C83-1BAC-441E-A6E1-5E78152C8DB4}"/>
    <cellStyle name="Normal 11" xfId="84" xr:uid="{4ED27E68-8D93-40EF-AE7A-3B5B75A25FD3}"/>
    <cellStyle name="Normal 14 7" xfId="95" xr:uid="{784143E5-B9F1-4676-BEC9-B6AE415B3D3A}"/>
    <cellStyle name="Normal 140" xfId="109" xr:uid="{806F8F3B-CD79-44BC-8434-3F7596AA562A}"/>
    <cellStyle name="Normal 15 2 2" xfId="85" xr:uid="{00C96FA6-F613-4B03-BA70-B863106BCCEF}"/>
    <cellStyle name="Normal 2" xfId="3" xr:uid="{00000000-0005-0000-0000-000039000000}"/>
    <cellStyle name="Normal 2 2" xfId="61" xr:uid="{00000000-0005-0000-0000-00003A000000}"/>
    <cellStyle name="Normal 2 2 2" xfId="78" xr:uid="{A149DC1D-F456-484A-9F59-23DB886119B6}"/>
    <cellStyle name="Normal 2 2 36" xfId="96" xr:uid="{CA60E20A-F9A0-43FF-B178-0B2F38AF932D}"/>
    <cellStyle name="Normal 2 3" xfId="62" xr:uid="{00000000-0005-0000-0000-00003B000000}"/>
    <cellStyle name="Normal 2 3 2" xfId="108" xr:uid="{0CB9D882-DAC0-4AD4-B945-AF2BE942B970}"/>
    <cellStyle name="Normal 2 4" xfId="90" xr:uid="{D63A1450-E1F8-4D22-BEFA-6E7B31E5F51D}"/>
    <cellStyle name="Normal 2 49" xfId="94" xr:uid="{74F97BC8-0C05-4514-A01F-2FF94350FF56}"/>
    <cellStyle name="Normal 3" xfId="12" xr:uid="{00000000-0005-0000-0000-00003C000000}"/>
    <cellStyle name="Normal 38 2 2" xfId="100" xr:uid="{0434C0A7-D5F0-4547-8C1A-1B947202D4A6}"/>
    <cellStyle name="Normal 4" xfId="63" xr:uid="{00000000-0005-0000-0000-00003D000000}"/>
    <cellStyle name="Normal 4 19" xfId="99" xr:uid="{B74F6B77-A669-4A0D-BA5F-4C60A9EB17E5}"/>
    <cellStyle name="Normal 4 2" xfId="74" xr:uid="{00000000-0005-0000-0000-00003E000000}"/>
    <cellStyle name="Normal 4 3" xfId="79" xr:uid="{3D4E4C6D-38A1-41BE-B4DF-DE9971682364}"/>
    <cellStyle name="Normal 47" xfId="112" xr:uid="{EB65DA51-248A-4E44-8313-F193BEE5E649}"/>
    <cellStyle name="Normal 48" xfId="110" xr:uid="{229290BE-90A3-44F6-839B-55D2F69D830F}"/>
    <cellStyle name="Normal 5" xfId="2" xr:uid="{00000000-0005-0000-0000-00003F000000}"/>
    <cellStyle name="Normal 5 10" xfId="86" xr:uid="{71B04242-1DE9-44E4-9E9E-0B0413809FBD}"/>
    <cellStyle name="Normal 5 2 2" xfId="88" xr:uid="{C49D7031-A280-4CCC-B881-8696289032A3}"/>
    <cellStyle name="Normal 5 2 2 4" xfId="89" xr:uid="{7B7B8DDA-BDFA-46EF-B956-CC6EDA9F6AED}"/>
    <cellStyle name="Normal 6" xfId="64" xr:uid="{00000000-0005-0000-0000-000040000000}"/>
    <cellStyle name="Normal 6 2" xfId="116" xr:uid="{2A145056-8D08-485D-8873-B39A1F17FCEB}"/>
    <cellStyle name="Normal 7" xfId="4" xr:uid="{00000000-0005-0000-0000-000041000000}"/>
    <cellStyle name="Normal 8" xfId="65" xr:uid="{00000000-0005-0000-0000-000042000000}"/>
    <cellStyle name="Normal 9" xfId="75" xr:uid="{479652FF-7A70-493D-8F20-26449ED6F116}"/>
    <cellStyle name="Normal 9 2" xfId="91" xr:uid="{77751BB1-3198-40AD-B2CB-84C1D98B3021}"/>
    <cellStyle name="Normal 9 3" xfId="102" xr:uid="{A721E2B6-74EC-4792-9924-6FEDC65396B3}"/>
    <cellStyle name="Normal_Analisa gedung SNI 2011 MURNI Mei 2011 (FIX)" xfId="114" xr:uid="{B627D96A-A8D4-4502-8D6B-385708A1114C}"/>
    <cellStyle name="Normal_Analisa Harga Satuan (version 2)" xfId="9" xr:uid="{00000000-0005-0000-0000-000043000000}"/>
    <cellStyle name="Note 2" xfId="66" xr:uid="{00000000-0005-0000-0000-000044000000}"/>
    <cellStyle name="Output 2" xfId="67" xr:uid="{00000000-0005-0000-0000-000045000000}"/>
    <cellStyle name="Percent" xfId="6" builtinId="5"/>
    <cellStyle name="Percent 2" xfId="68" xr:uid="{00000000-0005-0000-0000-000047000000}"/>
    <cellStyle name="Title 2" xfId="69" xr:uid="{00000000-0005-0000-0000-000048000000}"/>
    <cellStyle name="Total 2" xfId="70" xr:uid="{00000000-0005-0000-0000-000049000000}"/>
    <cellStyle name="Warning Text 2" xfId="71" xr:uid="{00000000-0005-0000-0000-00004A000000}"/>
  </cellStyles>
  <dxfs count="3">
    <dxf>
      <fill>
        <patternFill>
          <bgColor theme="5" tint="0.79998168889431442"/>
        </patternFill>
      </fill>
    </dxf>
    <dxf>
      <fill>
        <patternFill>
          <bgColor theme="4" tint="0.39994506668294322"/>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38" Type="http://schemas.openxmlformats.org/officeDocument/2006/relationships/externalLink" Target="externalLinks/externalLink121.xml"/><Relationship Id="rId159" Type="http://schemas.openxmlformats.org/officeDocument/2006/relationships/externalLink" Target="externalLinks/externalLink142.xml"/><Relationship Id="rId170" Type="http://schemas.openxmlformats.org/officeDocument/2006/relationships/externalLink" Target="externalLinks/externalLink153.xml"/><Relationship Id="rId191" Type="http://schemas.openxmlformats.org/officeDocument/2006/relationships/externalLink" Target="externalLinks/externalLink174.xml"/><Relationship Id="rId205" Type="http://schemas.openxmlformats.org/officeDocument/2006/relationships/externalLink" Target="externalLinks/externalLink188.xml"/><Relationship Id="rId226" Type="http://schemas.openxmlformats.org/officeDocument/2006/relationships/sheetMetadata" Target="metadata.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53" Type="http://schemas.openxmlformats.org/officeDocument/2006/relationships/externalLink" Target="externalLinks/externalLink36.xml"/><Relationship Id="rId74" Type="http://schemas.openxmlformats.org/officeDocument/2006/relationships/externalLink" Target="externalLinks/externalLink57.xml"/><Relationship Id="rId128" Type="http://schemas.openxmlformats.org/officeDocument/2006/relationships/externalLink" Target="externalLinks/externalLink111.xml"/><Relationship Id="rId149" Type="http://schemas.openxmlformats.org/officeDocument/2006/relationships/externalLink" Target="externalLinks/externalLink132.xml"/><Relationship Id="rId5" Type="http://schemas.openxmlformats.org/officeDocument/2006/relationships/worksheet" Target="worksheets/sheet5.xml"/><Relationship Id="rId95" Type="http://schemas.openxmlformats.org/officeDocument/2006/relationships/externalLink" Target="externalLinks/externalLink78.xml"/><Relationship Id="rId160" Type="http://schemas.openxmlformats.org/officeDocument/2006/relationships/externalLink" Target="externalLinks/externalLink143.xml"/><Relationship Id="rId181" Type="http://schemas.openxmlformats.org/officeDocument/2006/relationships/externalLink" Target="externalLinks/externalLink164.xml"/><Relationship Id="rId216" Type="http://schemas.openxmlformats.org/officeDocument/2006/relationships/externalLink" Target="externalLinks/externalLink199.xml"/><Relationship Id="rId22" Type="http://schemas.openxmlformats.org/officeDocument/2006/relationships/externalLink" Target="externalLinks/externalLink5.xml"/><Relationship Id="rId43" Type="http://schemas.openxmlformats.org/officeDocument/2006/relationships/externalLink" Target="externalLinks/externalLink26.xml"/><Relationship Id="rId64" Type="http://schemas.openxmlformats.org/officeDocument/2006/relationships/externalLink" Target="externalLinks/externalLink47.xml"/><Relationship Id="rId118" Type="http://schemas.openxmlformats.org/officeDocument/2006/relationships/externalLink" Target="externalLinks/externalLink101.xml"/><Relationship Id="rId139" Type="http://schemas.openxmlformats.org/officeDocument/2006/relationships/externalLink" Target="externalLinks/externalLink122.xml"/><Relationship Id="rId85" Type="http://schemas.openxmlformats.org/officeDocument/2006/relationships/externalLink" Target="externalLinks/externalLink68.xml"/><Relationship Id="rId150" Type="http://schemas.openxmlformats.org/officeDocument/2006/relationships/externalLink" Target="externalLinks/externalLink133.xml"/><Relationship Id="rId171" Type="http://schemas.openxmlformats.org/officeDocument/2006/relationships/externalLink" Target="externalLinks/externalLink154.xml"/><Relationship Id="rId192" Type="http://schemas.openxmlformats.org/officeDocument/2006/relationships/externalLink" Target="externalLinks/externalLink175.xml"/><Relationship Id="rId206" Type="http://schemas.openxmlformats.org/officeDocument/2006/relationships/externalLink" Target="externalLinks/externalLink189.xml"/><Relationship Id="rId227" Type="http://schemas.openxmlformats.org/officeDocument/2006/relationships/calcChain" Target="calcChain.xml"/><Relationship Id="rId12" Type="http://schemas.openxmlformats.org/officeDocument/2006/relationships/worksheet" Target="worksheets/sheet12.xml"/><Relationship Id="rId33" Type="http://schemas.openxmlformats.org/officeDocument/2006/relationships/externalLink" Target="externalLinks/externalLink16.xml"/><Relationship Id="rId108" Type="http://schemas.openxmlformats.org/officeDocument/2006/relationships/externalLink" Target="externalLinks/externalLink91.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5" Type="http://schemas.openxmlformats.org/officeDocument/2006/relationships/externalLink" Target="externalLinks/externalLink58.xml"/><Relationship Id="rId96" Type="http://schemas.openxmlformats.org/officeDocument/2006/relationships/externalLink" Target="externalLinks/externalLink79.xml"/><Relationship Id="rId140" Type="http://schemas.openxmlformats.org/officeDocument/2006/relationships/externalLink" Target="externalLinks/externalLink123.xml"/><Relationship Id="rId161" Type="http://schemas.openxmlformats.org/officeDocument/2006/relationships/externalLink" Target="externalLinks/externalLink144.xml"/><Relationship Id="rId182" Type="http://schemas.openxmlformats.org/officeDocument/2006/relationships/externalLink" Target="externalLinks/externalLink165.xml"/><Relationship Id="rId217" Type="http://schemas.openxmlformats.org/officeDocument/2006/relationships/externalLink" Target="externalLinks/externalLink200.xml"/><Relationship Id="rId6" Type="http://schemas.openxmlformats.org/officeDocument/2006/relationships/worksheet" Target="worksheets/sheet6.xml"/><Relationship Id="rId23" Type="http://schemas.openxmlformats.org/officeDocument/2006/relationships/externalLink" Target="externalLinks/externalLink6.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5" Type="http://schemas.openxmlformats.org/officeDocument/2006/relationships/externalLink" Target="externalLinks/externalLink48.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51" Type="http://schemas.openxmlformats.org/officeDocument/2006/relationships/externalLink" Target="externalLinks/externalLink134.xml"/><Relationship Id="rId172" Type="http://schemas.openxmlformats.org/officeDocument/2006/relationships/externalLink" Target="externalLinks/externalLink155.xml"/><Relationship Id="rId193" Type="http://schemas.openxmlformats.org/officeDocument/2006/relationships/externalLink" Target="externalLinks/externalLink176.xml"/><Relationship Id="rId207" Type="http://schemas.openxmlformats.org/officeDocument/2006/relationships/externalLink" Target="externalLinks/externalLink190.xml"/><Relationship Id="rId13" Type="http://schemas.openxmlformats.org/officeDocument/2006/relationships/worksheet" Target="worksheets/sheet13.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20" Type="http://schemas.openxmlformats.org/officeDocument/2006/relationships/externalLink" Target="externalLinks/externalLink103.xml"/><Relationship Id="rId141" Type="http://schemas.openxmlformats.org/officeDocument/2006/relationships/externalLink" Target="externalLinks/externalLink124.xml"/><Relationship Id="rId7" Type="http://schemas.openxmlformats.org/officeDocument/2006/relationships/worksheet" Target="worksheets/sheet7.xml"/><Relationship Id="rId162" Type="http://schemas.openxmlformats.org/officeDocument/2006/relationships/externalLink" Target="externalLinks/externalLink145.xml"/><Relationship Id="rId183" Type="http://schemas.openxmlformats.org/officeDocument/2006/relationships/externalLink" Target="externalLinks/externalLink166.xml"/><Relationship Id="rId218" Type="http://schemas.openxmlformats.org/officeDocument/2006/relationships/externalLink" Target="externalLinks/externalLink201.xml"/><Relationship Id="rId24" Type="http://schemas.openxmlformats.org/officeDocument/2006/relationships/externalLink" Target="externalLinks/externalLink7.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31" Type="http://schemas.openxmlformats.org/officeDocument/2006/relationships/externalLink" Target="externalLinks/externalLink114.xml"/><Relationship Id="rId152" Type="http://schemas.openxmlformats.org/officeDocument/2006/relationships/externalLink" Target="externalLinks/externalLink135.xml"/><Relationship Id="rId173" Type="http://schemas.openxmlformats.org/officeDocument/2006/relationships/externalLink" Target="externalLinks/externalLink156.xml"/><Relationship Id="rId194" Type="http://schemas.openxmlformats.org/officeDocument/2006/relationships/externalLink" Target="externalLinks/externalLink177.xml"/><Relationship Id="rId208" Type="http://schemas.openxmlformats.org/officeDocument/2006/relationships/externalLink" Target="externalLinks/externalLink191.xml"/><Relationship Id="rId14" Type="http://schemas.openxmlformats.org/officeDocument/2006/relationships/worksheet" Target="worksheets/sheet14.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8" Type="http://schemas.openxmlformats.org/officeDocument/2006/relationships/worksheet" Target="worksheets/sheet8.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142" Type="http://schemas.openxmlformats.org/officeDocument/2006/relationships/externalLink" Target="externalLinks/externalLink125.xml"/><Relationship Id="rId163" Type="http://schemas.openxmlformats.org/officeDocument/2006/relationships/externalLink" Target="externalLinks/externalLink146.xml"/><Relationship Id="rId184" Type="http://schemas.openxmlformats.org/officeDocument/2006/relationships/externalLink" Target="externalLinks/externalLink167.xml"/><Relationship Id="rId219" Type="http://schemas.openxmlformats.org/officeDocument/2006/relationships/externalLink" Target="externalLinks/externalLink202.xml"/><Relationship Id="rId3" Type="http://schemas.openxmlformats.org/officeDocument/2006/relationships/worksheet" Target="worksheets/sheet3.xml"/><Relationship Id="rId214" Type="http://schemas.openxmlformats.org/officeDocument/2006/relationships/externalLink" Target="externalLinks/externalLink197.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externalLink" Target="externalLinks/externalLink120.xml"/><Relationship Id="rId158" Type="http://schemas.openxmlformats.org/officeDocument/2006/relationships/externalLink" Target="externalLinks/externalLink14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3" Type="http://schemas.openxmlformats.org/officeDocument/2006/relationships/externalLink" Target="externalLinks/externalLink136.xml"/><Relationship Id="rId174" Type="http://schemas.openxmlformats.org/officeDocument/2006/relationships/externalLink" Target="externalLinks/externalLink157.xml"/><Relationship Id="rId179" Type="http://schemas.openxmlformats.org/officeDocument/2006/relationships/externalLink" Target="externalLinks/externalLink162.xml"/><Relationship Id="rId195" Type="http://schemas.openxmlformats.org/officeDocument/2006/relationships/externalLink" Target="externalLinks/externalLink178.xml"/><Relationship Id="rId209" Type="http://schemas.openxmlformats.org/officeDocument/2006/relationships/externalLink" Target="externalLinks/externalLink192.xml"/><Relationship Id="rId190" Type="http://schemas.openxmlformats.org/officeDocument/2006/relationships/externalLink" Target="externalLinks/externalLink173.xml"/><Relationship Id="rId204" Type="http://schemas.openxmlformats.org/officeDocument/2006/relationships/externalLink" Target="externalLinks/externalLink187.xml"/><Relationship Id="rId220" Type="http://schemas.openxmlformats.org/officeDocument/2006/relationships/externalLink" Target="externalLinks/externalLink203.xml"/><Relationship Id="rId225"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143" Type="http://schemas.openxmlformats.org/officeDocument/2006/relationships/externalLink" Target="externalLinks/externalLink126.xml"/><Relationship Id="rId148" Type="http://schemas.openxmlformats.org/officeDocument/2006/relationships/externalLink" Target="externalLinks/externalLink131.xml"/><Relationship Id="rId164" Type="http://schemas.openxmlformats.org/officeDocument/2006/relationships/externalLink" Target="externalLinks/externalLink147.xml"/><Relationship Id="rId169" Type="http://schemas.openxmlformats.org/officeDocument/2006/relationships/externalLink" Target="externalLinks/externalLink152.xml"/><Relationship Id="rId185" Type="http://schemas.openxmlformats.org/officeDocument/2006/relationships/externalLink" Target="externalLinks/externalLink168.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externalLink" Target="externalLinks/externalLink163.xml"/><Relationship Id="rId210" Type="http://schemas.openxmlformats.org/officeDocument/2006/relationships/externalLink" Target="externalLinks/externalLink193.xml"/><Relationship Id="rId215" Type="http://schemas.openxmlformats.org/officeDocument/2006/relationships/externalLink" Target="externalLinks/externalLink198.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externalLink" Target="externalLinks/externalLink116.xml"/><Relationship Id="rId154" Type="http://schemas.openxmlformats.org/officeDocument/2006/relationships/externalLink" Target="externalLinks/externalLink137.xml"/><Relationship Id="rId175" Type="http://schemas.openxmlformats.org/officeDocument/2006/relationships/externalLink" Target="externalLinks/externalLink158.xml"/><Relationship Id="rId196" Type="http://schemas.openxmlformats.org/officeDocument/2006/relationships/externalLink" Target="externalLinks/externalLink179.xml"/><Relationship Id="rId200" Type="http://schemas.openxmlformats.org/officeDocument/2006/relationships/externalLink" Target="externalLinks/externalLink183.xml"/><Relationship Id="rId16" Type="http://schemas.openxmlformats.org/officeDocument/2006/relationships/worksheet" Target="worksheets/sheet16.xml"/><Relationship Id="rId221" Type="http://schemas.openxmlformats.org/officeDocument/2006/relationships/externalLink" Target="externalLinks/externalLink204.xml"/><Relationship Id="rId37" Type="http://schemas.openxmlformats.org/officeDocument/2006/relationships/externalLink" Target="externalLinks/externalLink20.xml"/><Relationship Id="rId58" Type="http://schemas.openxmlformats.org/officeDocument/2006/relationships/externalLink" Target="externalLinks/externalLink41.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44" Type="http://schemas.openxmlformats.org/officeDocument/2006/relationships/externalLink" Target="externalLinks/externalLink127.xml"/><Relationship Id="rId90" Type="http://schemas.openxmlformats.org/officeDocument/2006/relationships/externalLink" Target="externalLinks/externalLink73.xml"/><Relationship Id="rId165" Type="http://schemas.openxmlformats.org/officeDocument/2006/relationships/externalLink" Target="externalLinks/externalLink148.xml"/><Relationship Id="rId186" Type="http://schemas.openxmlformats.org/officeDocument/2006/relationships/externalLink" Target="externalLinks/externalLink169.xml"/><Relationship Id="rId211" Type="http://schemas.openxmlformats.org/officeDocument/2006/relationships/externalLink" Target="externalLinks/externalLink194.xml"/><Relationship Id="rId27" Type="http://schemas.openxmlformats.org/officeDocument/2006/relationships/externalLink" Target="externalLinks/externalLink10.xml"/><Relationship Id="rId48" Type="http://schemas.openxmlformats.org/officeDocument/2006/relationships/externalLink" Target="externalLinks/externalLink31.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34" Type="http://schemas.openxmlformats.org/officeDocument/2006/relationships/externalLink" Target="externalLinks/externalLink117.xml"/><Relationship Id="rId80" Type="http://schemas.openxmlformats.org/officeDocument/2006/relationships/externalLink" Target="externalLinks/externalLink63.xml"/><Relationship Id="rId155" Type="http://schemas.openxmlformats.org/officeDocument/2006/relationships/externalLink" Target="externalLinks/externalLink138.xml"/><Relationship Id="rId176" Type="http://schemas.openxmlformats.org/officeDocument/2006/relationships/externalLink" Target="externalLinks/externalLink159.xml"/><Relationship Id="rId197" Type="http://schemas.openxmlformats.org/officeDocument/2006/relationships/externalLink" Target="externalLinks/externalLink180.xml"/><Relationship Id="rId201" Type="http://schemas.openxmlformats.org/officeDocument/2006/relationships/externalLink" Target="externalLinks/externalLink184.xml"/><Relationship Id="rId222" Type="http://schemas.openxmlformats.org/officeDocument/2006/relationships/externalLink" Target="externalLinks/externalLink205.xml"/><Relationship Id="rId17" Type="http://schemas.openxmlformats.org/officeDocument/2006/relationships/worksheet" Target="worksheets/sheet17.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24" Type="http://schemas.openxmlformats.org/officeDocument/2006/relationships/externalLink" Target="externalLinks/externalLink107.xml"/><Relationship Id="rId70" Type="http://schemas.openxmlformats.org/officeDocument/2006/relationships/externalLink" Target="externalLinks/externalLink53.xml"/><Relationship Id="rId91" Type="http://schemas.openxmlformats.org/officeDocument/2006/relationships/externalLink" Target="externalLinks/externalLink74.xml"/><Relationship Id="rId145" Type="http://schemas.openxmlformats.org/officeDocument/2006/relationships/externalLink" Target="externalLinks/externalLink128.xml"/><Relationship Id="rId166" Type="http://schemas.openxmlformats.org/officeDocument/2006/relationships/externalLink" Target="externalLinks/externalLink149.xml"/><Relationship Id="rId187" Type="http://schemas.openxmlformats.org/officeDocument/2006/relationships/externalLink" Target="externalLinks/externalLink170.xml"/><Relationship Id="rId1" Type="http://schemas.openxmlformats.org/officeDocument/2006/relationships/worksheet" Target="worksheets/sheet1.xml"/><Relationship Id="rId212" Type="http://schemas.openxmlformats.org/officeDocument/2006/relationships/externalLink" Target="externalLinks/externalLink195.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60" Type="http://schemas.openxmlformats.org/officeDocument/2006/relationships/externalLink" Target="externalLinks/externalLink43.xml"/><Relationship Id="rId81" Type="http://schemas.openxmlformats.org/officeDocument/2006/relationships/externalLink" Target="externalLinks/externalLink64.xml"/><Relationship Id="rId135" Type="http://schemas.openxmlformats.org/officeDocument/2006/relationships/externalLink" Target="externalLinks/externalLink118.xml"/><Relationship Id="rId156" Type="http://schemas.openxmlformats.org/officeDocument/2006/relationships/externalLink" Target="externalLinks/externalLink139.xml"/><Relationship Id="rId177" Type="http://schemas.openxmlformats.org/officeDocument/2006/relationships/externalLink" Target="externalLinks/externalLink160.xml"/><Relationship Id="rId198" Type="http://schemas.openxmlformats.org/officeDocument/2006/relationships/externalLink" Target="externalLinks/externalLink181.xml"/><Relationship Id="rId202" Type="http://schemas.openxmlformats.org/officeDocument/2006/relationships/externalLink" Target="externalLinks/externalLink185.xml"/><Relationship Id="rId223" Type="http://schemas.openxmlformats.org/officeDocument/2006/relationships/theme" Target="theme/theme1.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50" Type="http://schemas.openxmlformats.org/officeDocument/2006/relationships/externalLink" Target="externalLinks/externalLink33.xml"/><Relationship Id="rId104" Type="http://schemas.openxmlformats.org/officeDocument/2006/relationships/externalLink" Target="externalLinks/externalLink87.xml"/><Relationship Id="rId125" Type="http://schemas.openxmlformats.org/officeDocument/2006/relationships/externalLink" Target="externalLinks/externalLink108.xml"/><Relationship Id="rId146" Type="http://schemas.openxmlformats.org/officeDocument/2006/relationships/externalLink" Target="externalLinks/externalLink129.xml"/><Relationship Id="rId167" Type="http://schemas.openxmlformats.org/officeDocument/2006/relationships/externalLink" Target="externalLinks/externalLink150.xml"/><Relationship Id="rId188" Type="http://schemas.openxmlformats.org/officeDocument/2006/relationships/externalLink" Target="externalLinks/externalLink171.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213" Type="http://schemas.openxmlformats.org/officeDocument/2006/relationships/externalLink" Target="externalLinks/externalLink196.xml"/><Relationship Id="rId2" Type="http://schemas.openxmlformats.org/officeDocument/2006/relationships/worksheet" Target="worksheets/sheet2.xml"/><Relationship Id="rId29" Type="http://schemas.openxmlformats.org/officeDocument/2006/relationships/externalLink" Target="externalLinks/externalLink12.xml"/><Relationship Id="rId40" Type="http://schemas.openxmlformats.org/officeDocument/2006/relationships/externalLink" Target="externalLinks/externalLink23.xml"/><Relationship Id="rId115" Type="http://schemas.openxmlformats.org/officeDocument/2006/relationships/externalLink" Target="externalLinks/externalLink98.xml"/><Relationship Id="rId136" Type="http://schemas.openxmlformats.org/officeDocument/2006/relationships/externalLink" Target="externalLinks/externalLink119.xml"/><Relationship Id="rId157" Type="http://schemas.openxmlformats.org/officeDocument/2006/relationships/externalLink" Target="externalLinks/externalLink140.xml"/><Relationship Id="rId178" Type="http://schemas.openxmlformats.org/officeDocument/2006/relationships/externalLink" Target="externalLinks/externalLink161.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9" Type="http://schemas.openxmlformats.org/officeDocument/2006/relationships/externalLink" Target="externalLinks/externalLink182.xml"/><Relationship Id="rId203" Type="http://schemas.openxmlformats.org/officeDocument/2006/relationships/externalLink" Target="externalLinks/externalLink186.xml"/><Relationship Id="rId19" Type="http://schemas.openxmlformats.org/officeDocument/2006/relationships/externalLink" Target="externalLinks/externalLink2.xml"/><Relationship Id="rId224" Type="http://schemas.openxmlformats.org/officeDocument/2006/relationships/styles" Target="styles.xml"/><Relationship Id="rId30" Type="http://schemas.openxmlformats.org/officeDocument/2006/relationships/externalLink" Target="externalLinks/externalLink1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147" Type="http://schemas.openxmlformats.org/officeDocument/2006/relationships/externalLink" Target="externalLinks/externalLink130.xml"/><Relationship Id="rId168" Type="http://schemas.openxmlformats.org/officeDocument/2006/relationships/externalLink" Target="externalLinks/externalLink151.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189" Type="http://schemas.openxmlformats.org/officeDocument/2006/relationships/externalLink" Target="externalLinks/externalLink172.xml"/></Relationships>
</file>

<file path=xl/drawings/drawing1.xml><?xml version="1.0" encoding="utf-8"?>
<xdr:wsDr xmlns:xdr="http://schemas.openxmlformats.org/drawingml/2006/spreadsheetDrawing" xmlns:a="http://schemas.openxmlformats.org/drawingml/2006/main">
  <xdr:twoCellAnchor>
    <xdr:from>
      <xdr:col>3</xdr:col>
      <xdr:colOff>1769745</xdr:colOff>
      <xdr:row>46</xdr:row>
      <xdr:rowOff>118110</xdr:rowOff>
    </xdr:from>
    <xdr:to>
      <xdr:col>4</xdr:col>
      <xdr:colOff>1140656</xdr:colOff>
      <xdr:row>57</xdr:row>
      <xdr:rowOff>118489</xdr:rowOff>
    </xdr:to>
    <xdr:sp macro="" textlink="">
      <xdr:nvSpPr>
        <xdr:cNvPr id="2" name="TextBox 1">
          <a:extLst>
            <a:ext uri="{FF2B5EF4-FFF2-40B4-BE49-F238E27FC236}">
              <a16:creationId xmlns:a16="http://schemas.microsoft.com/office/drawing/2014/main" id="{177D20D2-A57B-47DF-8708-753009734865}"/>
            </a:ext>
          </a:extLst>
        </xdr:cNvPr>
        <xdr:cNvSpPr txBox="1"/>
      </xdr:nvSpPr>
      <xdr:spPr>
        <a:xfrm>
          <a:off x="3499485" y="8896350"/>
          <a:ext cx="2761811" cy="20120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sz="1200">
              <a:latin typeface="Arial Narrow" pitchFamily="34" charset="0"/>
            </a:rPr>
            <a:t>Jakarta, ......................2025</a:t>
          </a:r>
        </a:p>
        <a:p>
          <a:pPr algn="ctr"/>
          <a:endParaRPr lang="en-US" sz="1200">
            <a:latin typeface="Arial Narrow" pitchFamily="34" charset="0"/>
          </a:endParaRPr>
        </a:p>
        <a:p>
          <a:pPr algn="ctr"/>
          <a:r>
            <a:rPr lang="en-US" sz="1200">
              <a:latin typeface="Arial Narrow" pitchFamily="34" charset="0"/>
            </a:rPr>
            <a:t>..........................</a:t>
          </a:r>
        </a:p>
        <a:p>
          <a:pPr algn="ctr"/>
          <a:r>
            <a:rPr lang="en-US" sz="1200" b="1" baseline="0">
              <a:latin typeface="Arial Narrow" pitchFamily="34" charset="0"/>
            </a:rPr>
            <a:t>............................</a:t>
          </a:r>
          <a:endParaRPr lang="en-US" sz="1200" b="1">
            <a:latin typeface="Arial Narrow" pitchFamily="34" charset="0"/>
          </a:endParaRPr>
        </a:p>
        <a:p>
          <a:pPr algn="ctr"/>
          <a:endParaRPr lang="en-US" sz="1200">
            <a:latin typeface="Arial Narrow" pitchFamily="34" charset="0"/>
          </a:endParaRPr>
        </a:p>
        <a:p>
          <a:pPr algn="ctr"/>
          <a:endParaRPr lang="en-US" sz="1200">
            <a:latin typeface="Arial Narrow" pitchFamily="34" charset="0"/>
          </a:endParaRPr>
        </a:p>
        <a:p>
          <a:pPr algn="ctr"/>
          <a:endParaRPr lang="en-US" sz="1200">
            <a:latin typeface="Arial Narrow" pitchFamily="34" charset="0"/>
          </a:endParaRPr>
        </a:p>
        <a:p>
          <a:pPr algn="ctr"/>
          <a:r>
            <a:rPr lang="en-US" sz="1200" b="1" u="sng">
              <a:latin typeface="Arial Narrow" pitchFamily="34" charset="0"/>
            </a:rPr>
            <a:t>..........................</a:t>
          </a:r>
        </a:p>
        <a:p>
          <a:pPr algn="ctr"/>
          <a:r>
            <a:rPr lang="en-US" sz="1200">
              <a:latin typeface="Arial Narrow" pitchFamily="34" charset="0"/>
            </a:rPr>
            <a:t>Direktur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FICHRIZ/Documents/HPS%20-%20Jembatan%20Plos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INTEL%20H61M/AppData/Roaming/Microsoft/Excel/buyung/RAB%20BR/Data%20Proyek%20Birano/Data%20Proyek%20Jakarta/Rusun/Cibesel/RAB%20DED%20DKI-JAKARTA/MISC/Congviec/Ta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INTEL%20H61M/AppData/Roaming/Microsoft/Excel/buyung/RAB%20BR/Data%20Proyek%20Birano/Data%20Proyek%20Jakarta/Rusun/Cibesel/RAB%20DED%20DKI-JAKARTA/ADANG/Cileunyi%20Nagreg%20Rev%201/SPH%20cileunyi-nagreg88%2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INTEL%20H61M/AppData/Roaming/Microsoft/Excel/RAB%20PENDIDIKAN/REVISI%20SELATAN/Data%20Proyek%20Birano/Data%20Proyek%20Jakarta/Rusun/Cibesel/RAB%20DED%20DKI-JAKARTA/MISC/Congviec/Ta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ech_Breakdown_Formul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INTEL%20H61M/AppData/Roaming/Microsoft/Excel/RAB%20PENDIDIKAN/REVISI%20SELATAN/Data%20Proyek%20Birano/Data%20Proyek%20Jakarta/Rusun/Cibesel/RAB%20DED%20DKI-JAKARTA/ADANG/Cileunyi%20Nagreg%20Rev%201/SPH%20cileunyi-nagreg88%2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ng-2\E\ADANG\Cileunyi%20Nagreg%20Rev%201\SPH%20cileunyi-nagreg88%2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LATITUDE\MMC%20Adib\penawaran\citra%20pertiwi\a.%20dahlan\pemel_jl_magelang.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NEGO-CKB-BBG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Station77\Estimasi\SAID-DATA\2005\DKI\GEDUNG\KWK%20SELATAN%202005-300305\KWK%20SELATAN%202005-300305\KWK%20JAKSEL%202004\KWK%20JAKSEL%20SAYAP\1budi\Gedung\Dinas%20Teknis\BILL%20DPRD%20RIAU.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TENDER%202011/JATIM_1/WILAYAH%20II/Pembangunan%20Jalan%20Pacitan-Sidomulyo/untung/AK-9.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SPH%20Tarikolot%20rev.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JIMMY\Proyek\Documents%20and%20Settings\CBD\Local%20Settings\Temp\PROJECT\01\15\ESTIMATE\EST-1CV.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ATA_kOE/ARSIP/Master/buku%20pinter/97%20STudIos/BUCK%20UP-ANALISA/2-DIV-II.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Poyek%202012/Jemb.%20Pantura%20Barat/Administrasi%20Rutin/dATA_kOE/ARSIP/Master/buku%20pinter/97%20STudIos/BUCK%20UP-ANALISA/2-DIV-II.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Korra1\0610-Royal%20Kuningan%20Jakarta\Pabrik\Pabrik%20Kelapa%20Sawit\BQ-REFINERY%20PLANT.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Owner\My%20Documents\Analisa%20DIRJEN%20binamarga%20-%20Panduan%20Analisis%20Harga%20Satuan%20No%20008BM200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orra1\0610-Royal%20Kuningan%20Jakarta\MISC\Congviec\Tam.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A/DATA%20TENDER/WADUK/Pelaparado/DATA%20TENDER/J-Tukad%20Bangkung/Analisa-ubp.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A/DATA%20TENDER/J-Tukad%20Bangkung/BQPAKET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INTEL%20H61M/AppData/Roaming/Microsoft/Excel/buyung/pancoran/HAQI%20RAB/HAQI%20RAB/Data%20Andri/ANDRI/TENDER/TENDER%202006/GEDUNG/CAMAT%20KMY/My%20Data/Excel/Tender/Tahun%202006/Gedung/Bandara/BOQ%20-%20ISTANA%20vlookup.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A/Istaka/pltmg/bq_build.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Yowaldi\YOWALDI%20(E)\Kantor\Graha%20Jakpro\Sheraton-rev1a\BQ%20Sheraton.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Korra1\0610-Royal%20Kuningan%20Jakarta\Kantor\ACC%20Astra%20Final\BQ%20ACC%20TB%20Simatupang.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Korra1\0610-Royal%20Kuningan%20Jakarta\Documents%20and%20Settings\Erwin\My%20Documents\STRK%20ARS%20PPATK%2006-11-2006%20F.5%20BQ.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orra1\0610-Royal%20Kuningan%20Jakarta\Perumahan\Rusun%20Marunda\Analisa.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Pemasaran3\hery\Tender\RSUD-BA\BQ-RSUD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diktat%20proyek\document\Analize\BQBI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orra1\0610-Royal%20Kuningan%20Jakarta\bq-06b.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analisa-DSPND.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ANLS\REKAPANALISA.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F:\LELANG%20APBD%202013\HPS%20(konstruksi)%20FINAL\My%20Documents\Wilteng\Pogram\2013\Analisa%20CTRB%20dan%20CMRFB\HPS%20BAWEN-PRINGSURAT-2.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G:\Analisa%20Harga%20Satuan%20Tahun%202015%20smtr%202\Analisa%20PSDA%202011%20MURNI%20Mei%202011%20(FIX).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REKAP%20BQ\Bill%20of%20Qty-MAL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INTEL%20H61M/AppData/Roaming/Microsoft/Excel/buyung/pancoran/HAQI%20RAB/HAQI%20RAB/Data%20Andri/ANDRI/TENDER/TENDER%202006/GEDUNG/ISTANA%20CIPANAS/TEKNIS%20&amp;%20SPH/BOQ%20-%20ISTANA.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INTEL%20H61M/AppData/Roaming/Microsoft/Excel/buyung/pancoran/EST-%20DEPT/Percetakan%20Gramedia%20Surabaya/RAB/bill-sip%20(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G:\Analisa%20Harga%20Satuan%20Tahun%202015%20smtr%202\Harga%20Satuan%20Upah%202014.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orra1\0610-Royal%20Kuningan%20Jakarta\Kantor\BI%20CRB\BQ%20BI%20(27-09-05)rev%20F%20(tahap%20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meratus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Yowaldi\YOWALDI%20(E)\Kantor\Graha%20Jakpro\Kantor\Mahkamah%20Konst\BQ%20STR.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Korra1\0611-Recuperation%20&amp;%20Wellness%20Resort,%20Nusa%20Dua\Pulauintan%20Est\omni%20disket%20baru\D'BACH\Gandhi\Vol%20GANDI%20Utility%20R.%20Karyawan.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PathMissing" Target="Rehab%20SKKT%20Pulau%20Kelapa.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Pancakiri\D\Bayeman\O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Korra1\0610-Royal%20Kuningan%20Jakarta\HENDRICK.S\LATIHAN\Analyse\Documents%20and%20Settings\MMC%20MENADO\RAB%20AMBON%2024-09-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Tarkim2\datadony\DATA%20PERENCANAAN\oen\Perencanaan%202006\Analis\ANALIS%20BM%20200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A:\02\29\BQ\M-E\Elektrikal%20&amp;%20Electronic\Price\Daf%20No.3%20Tsuara.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A/DATA%20TENDER/J-Tukad%20Bangkung/RAP-PKT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ARS.RSUDPKU.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BANG%20-%2012%20A/JALAN%20SINABANG-SIBIGO-BIGO-LEWAK%20(REVISI).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Seulimum%20-%20Jantho/JALAN-REVISI%2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RAP/ALISA-RAP.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A/WINDOWS/Temporary%20Internet%20Files/Y53D5XGQ/RAP/ALISA-RAP.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A/DATA%20TENDER/WADUK/Pelaparado/DATA%20TENDER/J-Tukad%20Bangkung/BQPAKET4.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LG%20-%2003B/JALAN-LG-03B-REVISI%202.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User-pc\e\PENAWARAN\Contoh%20Lelang%20APBD%20OE,%20APBN%20dan%20praskot\FT-ugm-2006.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Korra1\0610-Royal%20Kuningan%20Jakarta\My%20Documents\guksgags\tender%20pintu%20mall\pintu%20alumunium\bq\BQ%20PRELIM.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A/DATA%20TENDER/J-Tukad%20Bangkung/PAKET4.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ISTAKA%20KARYA/Tender%20Wil1/Tender%20Gedung/Market%20Peunayong/Data%20%20Fille/Tender%202005%20Aceh/BQ-PQ%20&amp;%20Metod%20-%20M/PQ%20&amp;%20BQ%20-%20Kr-Jreue/Bq-Irigasi%20Jreue.xls" TargetMode="External"/></Relationships>
</file>

<file path=xl/externalLinks/_rels/externalLink59.xml.rels><?xml version="1.0" encoding="UTF-8" standalone="yes"?>
<Relationships xmlns="http://schemas.openxmlformats.org/package/2006/relationships"><Relationship Id="rId1" Type="http://schemas.microsoft.com/office/2006/relationships/xlExternalLinkPath/xlPathMissing" Target="Tuban-Bulu.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A/DATA%20TENDER/WADUK/Pelaparado/DATA%20TENDER/J-Tukad%20Bangkung/BQPAKET5.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DSGSRV\01_Project\Buku\SANYO\Sanyo\FDK-R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A/DATA%20TENDER/WADUK/Pelaparado/DATA%20TENDER/J-Tukad%20Bangkung/PAKET4.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WINDOWS/Temporary%20Internet%20Files/Y53D5XGQ/My%20Documents/Natal-2002/RAP/ALISA-RAP.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Polnep-2000\DATA\Sekura\sekura-99\Rima-RAB.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Korra1\0610-Royal%20Kuningan%20Jakarta\Mall\Plaza%20Pondok%20Gede\RAB%20PLAZA%20PDGEDE.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Users/INTEL%20H61M/AppData/Roaming/Microsoft/Excel/RAB%20PENDIDIKAN/REVISI%20SELATAN/EE%20-%20Rusunawa%20UNSYIAH%20-%20BANDA%20ACEH%20reTender%20(optimum)%20rev-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Users/INTEL%20H61M/AppData/Roaming/Microsoft/Excel/RAB%20PENDIDIKAN/REVISI%20SELATAN/DF%2039%20New4/Rusunawa%20UNJA%20JAMBI%20Sumater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ARTHA%20GDING\BQ-OWN.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BKPM\RAB%20BKPM%20ARS.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A/DATA%20TENDER/J-Tukad%20Bangkung/BQPAKET4.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SENTUL.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Users/INTEL%20H61M/AppData/Roaming/Microsoft/Excel/buyung/pancoran/HAQI%20RAB/Proyek%20SMAN%2091/Documents%20and%20Settings/Ima/My%20Documents/RAB-SIPIL-DAEHAN.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DISPND\anlis-dc.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J/Tender%202005/APBD/Suramadu-Sisi%20Madura/Teknis/BQ%20Madura%2050%25.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M:\TIME%20SHEET%20KITA-KITA\Standard\staff\RIDA\STRUKTUR\pemasaran\AMIK\letung12juni.dc.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Users/INTEL%20H61M/AppData/Roaming/Microsoft/Excel/buyung/pancoran/Kantor/Grha%20Energi/Graha%20Energi%20Rev.2/BQ-Graha%20Energi.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A/DATA%20TENDER/J-Tukad%20Bangkung/ANALISA-UB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C:/PROJECT%202018/PERENCANAAN%20GD%20KEMAHASISWAAN%20UGM%20ME/MEP%20Gd.%20Kemahasiswaan%20Psikologi%20UGM/RAB%20MEP%20Gd.%20F%20rev.xlsx" TargetMode="External"/></Relationships>
</file>

<file path=xl/externalLinks/_rels/externalLink79.xml.rels><?xml version="1.0" encoding="UTF-8" standalone="yes"?>
<Relationships xmlns="http://schemas.openxmlformats.org/package/2006/relationships"><Relationship Id="rId1" Type="http://schemas.microsoft.com/office/2006/relationships/xlExternalLinkPath/xlPathMissing" Target="Tol%20Lingkar%20Luar%20Jakarta.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A/HARDISK%20BUDI/LAP-OPERASI/WINDOWS/Temporary%20Internet%20Files/Y53D5XGQ/RAP/ALISA-RAP.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User-pc\e\PENAWARAN\JALAN%20&amp;%20JEMBATAN\TH%202008\wasis%20karya\APBN\RAB%20arteri%20selatan%201%20isi%20staf.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Tarkim2\datadony\RAB%20PRIAGUNG%201.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PAKUBUWONO\PENAWARAN\bq-Pkbwono.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Users/hambaALLAH/Downloads/Probolinggo%20Paiton%20(Ralat)/OE%202015/EE%20Probo%20paiton%20(oe)/Teknik1/My%20Documents/LUTFI/TENDER/PEMKOT%20SBY/Tahap%20I%20-%202005/Jembatan%20Romokalisari%20(Dinas%20Pangan).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X:\Proyek\Ged%20Kanwil%20MTO,%20KPP%20MTO%20Dan%20KPP%20Menteng%203\Kanwil%20MTO,%20KPP%20MTO%20Dan%20KPP%20Menteng%203%20(Paket%202)\Review%20(RAB)\POP\PERDAGANGAN%20LANJUTAN\RAB%20LANJUTAN\RAB%20Mei_2006\RAB%20STRUKTUR%20LANJUTAN.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F:\Wiwied\Paket%20DIY\RAP%20Excel\Urugan%20KR.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MANHATHAN\RAB.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P07-DSY\BOQ\MAS-STR.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EST-%20DEPT\Percetakan%20Gramedia%20Surabaya\RAB\bill-sip%20(1).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J/UNTUNG/RUN%20PROYEK%202003/PROYEK%20JOMBANG-GEMEKAN/BIAYA%20LANGSUNG%20BP04.2-01.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D:\Proyek\Proyek%202021\Cianjur\102.RAB.MCK%20TYPE%201-2UNT%20SINDANGRESMI-TAKOKAK.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Sam_new\data%20(d)\JATIM\JATIM%202009\METRO\DR.SOETOMO%20CS\Sutomo%20Revisi%20(10-9-2009)\MANUNGKU%20(F)\Agustus\BAB%202\2.5.6%20MC%20Tongo%20Juli.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boqrsudiv.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braga-citywalk_r3_alt1\ANALISA_ars_bcw.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Korra1\0610-Royal%20Kuningan%20Jakarta\Kondominium\mediterania_garden_2\analisa_mgr_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Users/INTEL%20H61M/AppData/Roaming/Microsoft/Excel/buyung/pancoran/EST-%20DPT/RAB/Showroom%20KIA/Madiun/RSUD%20Madiun-me.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A:\EST-%20DEPT\Citraland\CLUB%20HOUSE-UNESA(12-12-03).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A:\Tomahawk\ALDIRON%20BLOK%20M\SENTIONG%20-%20BQ_rev-new3penawaran1rev9month.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mp-1\d\ADANG%20BARU\Tender%20TH%202005\PENAWARAN-SURAMADU\suramadur1.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M:\TIME%20SHEET%20KITA-KITA\Standard\staff\RIDA\STRUKTUR\PEMASARAN\jalan\pekanheran\jalanpekanheran-dc.xls" TargetMode="External"/></Relationships>
</file>

<file path=xl/externalLinks/_rels/externalLink101.xml.rels><?xml version="1.0" encoding="UTF-8" standalone="yes"?>
<Relationships xmlns="http://schemas.openxmlformats.org/package/2006/relationships"><Relationship Id="rId1" Type="http://schemas.microsoft.com/office/2006/relationships/xlExternalLinkPath/xlPathMissing" Target="PANTI%20SOSIAL%20TRESNA%20WERHA%20MULYA%20CIRACA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TATION43\C\1_Tosan\GEDUNG\2Tangerang\JKMP\Analisa%20Bupati.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A:\FDK-R2.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PAKUBUWONO\bq-Pkbwono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D.I.%20JAMBO%20AYE/DI.%20Jambo%20Aye%20Revisi%201.xls%20(KG).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orra1\0611-Recuperation%20&amp;%20Wellness%20Resort,%20Nusa%20Dua\Data\My%20Project\mmc.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I%20W%20H%20A%20N/Mlirip-jprogo/Copy%20of%201-BOQ.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DI.%20Jambo%20Aye.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A/WINDOWS/Temporary%20Internet%20Files/Y53D5XGQ/TENDER/SRRP/Rab-Karo4.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My%20Documents\Masonry.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Yoez/Aceh%202/BQ-LG%2001%20A%20PANITIA-PST.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A/WINDOWS/Temporary%20Internet%20Files/Y53D5XGQ/My%20Documents/Natal-2002/RAP/ALISA-RAP.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A/WINDOWS/Temporary%20Internet%20Files/Y53D5XGQ/Yoez/Aceh%202/BQ-LG%2001%20A%20PANITIA-PST.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G:\PAHS2006\Copy%20of%20PAHS2006%20R2%20draft(MIS)new.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F:\Wiwied\Paket%20DIY\RAP%20Excel\Kaliurang%20-%20FT.UGM.xls" TargetMode="External"/></Relationships>
</file>

<file path=xl/externalLinks/_rels/externalLink116.xml.rels><?xml version="1.0" encoding="UTF-8" standalone="yes"?>
<Relationships xmlns="http://schemas.openxmlformats.org/package/2006/relationships"><Relationship Id="rId1" Type="http://schemas.microsoft.com/office/2006/relationships/xlExternalLinkPath/xlPathMissing" Target="Seneca-Ckp-Pamanukan--rev5.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A/HARDISK%20BUDI/LAP-OPERASI/WINDOWS/Temporary%20Internet%20Files/Y53D5XGQ/My%20Documents/Natal-2002/RAP/ALISA-RAP.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F:\Wiwied\Tender%20DIY\Tender%202003\toyan%20pertiwi.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A/HARDISK%20BUDI/LAP-OPERASI/WINDOWS/Temporary%20Internet%20Files/Y53D5XGQ/Yoez/Aceh%202/BQ-LG%2001%20A%20PANITIA-PST.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X:\Proyek\Ged%20Kanwil%20MTO,%20KPP%20MTO%20Dan%20KPP%20Menteng%203\Kanwil%20MTO,%20KPP%20MTO%20Dan%20KPP%20Menteng%203%20(Paket%202)\Review%20(RAB)\POP\PERDAGANGAN%20LANJUTAN\RAB%20LANJUTAN\RAB%20Mei_2006\RAB%20ARSITEKTUR%20LANJUTAN.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POMALA\Fe-Ni-a-rev.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Computer4\c\Estimate\aa.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A:\SPh%20TR%20200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Yowaldi\Kantor%20Taspen%20Aceh\Mall\DP%20MALL%20SMG%20tender%20080606\Rev\bq%20SFP%20semarang.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TR-17%20%20(Jl.%20Cemara)/BQ%20Tr-17-OK1(Inggris).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EVALUASI%202008/Book2.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F:\Wiwied\Milir%20-%20Wates\gading.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FEC09098\ESTIMASI%20RAB%20TAHAP%20II%201%20Juni%20Revisi%202%202006.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H:\Wiwied\Milir%20-%20Wates\seturan\pembangunan2003.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J/Tender%202005/APBD/Suramadu-Sisi%20Surabaya/Teknis/BQ%20sisi%20Surabaya.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G:\Divisi%20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Kasirun\kasirun%20(c)\1.%20Kasirun\1.%20TENDER%20PROYEK%202003\2.%20Penawaran\05.%20Bina%20Marga%20Jawa%20Barat\PT.%20Gariand\SPH%20Pasirhayam.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G:\Divisi%203.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G:\Divisi%204.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G:\Divisi%20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ARTHA%20GDING\Bill%20Qty.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Ine\d\INDAH\Proyek\Sumber%20Jaya\Pabrik%20Farmasi%20Pandaan\Plaza%20Adhika%20Bahtera\EST-%20DEPT\Percetakan%20Gramedia%20Surabaya\RAB\bill-sip%20(1).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D-I.%20Meureudu/DI.%20Meuredu%20Paket%20I-1-2%20okt%2003.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Dian\d\Sjn%20Wmw\Proyek\Lain\Daftar%20Harga%20ME.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REKAP%20BQ\BEKASI.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A:\Rosnia\Proyek\Sumber%20Jaya\Madiun\RSUD%20Madiun-me.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A:\Tifico-newoffice,R1.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Users/INTEL%20H61M/AppData/Roaming/Microsoft/Excel/buyung/RAB%20BR/Data%20Proyek%20Birano/Data%20Proyek%20Jakarta/Rusun/Cibesel/RAB%20DED%20DKI-JAKARTA/urugan%20dan%20waterproofing%20add.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A:\03\07\BQ\ME\Price\Daf%20No.6%20Tsuara.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03\02\BQ%20Price\NSC\ME&amp;P-R1\Daf-8%20Sound%20Sistem-KR.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Lonsum\bill\Analisa_str_ars.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H:\Work\B@D_BOY$%20(G)\RAP\RAP%20CK(Ngaglik).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ANLS\ANA-REKAP.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Yowaldi\YOWALDI%20(E)\Kantor\Graha%20Jakpro\Niaga-2%20Rev.1\BQ%20Niaga.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A:\Tender\RSUD-BA\BQ-RSUD1.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A:\03\02\BQ%20Price\NSC\ME&amp;P-R1\Daf-7%20Telepon.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eng-3\D\titip%20vivi\BoQ%20%20Rusunawa%20Yogyakarta%202007.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LELANG%202017/Jln.%20Kr.%20Pucung%20_Wangon_Ajibarang/Penwaran%20Jalan/Penawaran%20Paket%20Preservasi%20dan%20Pelebaran%20Jalan%20Karangpucung%20-%20Wangon-Ajibarang.xlsx" TargetMode="External"/></Relationships>
</file>

<file path=xl/externalLinks/_rels/externalLink154.xml.rels><?xml version="1.0" encoding="UTF-8" standalone="yes"?>
<Relationships xmlns="http://schemas.openxmlformats.org/package/2006/relationships"><Relationship Id="rId1" Type="http://schemas.microsoft.com/office/2006/relationships/xlExternalLinkPath/xlPathMissing" Target="RAPBD1"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Nelson\c\DATA\Project%202004\Power%20Plan-Cilegon\File%20IBRD\Schedule\Schedule%20Intern%20Rev%2001.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Korwil\temp\Jl%20Areteri%20Selatan1.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Komp3\d\INDAH\Proyek\Sumber%20Jaya\Toto%20Gasono\INDAH\Proyek\Sumber%20Jaya\Hotel%20Tarakan%20Plaza\Rosnia\Proyek\Sumber%20Jaya\Madiun\RSUD%20Madiun-me.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Korra1\0610-Royal%20Kuningan%20Jakarta\Kantor\BNI%20Aceh\contoh\BNI%20Bekasi%20on%20Yowaldi\BNI%20BEKASI%20(DC)\BQ%20BNI%20BEKASI.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Yowaldi\YOWALDI%20(E)\Mall\Mall-kg-rev1\326BQSMB.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H:\Wiwied\Milir%20-%20Wates\sedayu.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Documents%20and%20Settings/Administrator/My%20Documents/P_RENCANA/LELANG%202006/a-PERSIAPAN/OE%20JUANDA_KRIAN/OE%20JUANDA_KRIAN(hrg%20sat_kab-sda)1.xls" TargetMode="External"/></Relationships>
</file>

<file path=xl/externalLinks/_rels/externalLink162.xml.rels><?xml version="1.0" encoding="UTF-8" standalone="yes"?>
<Relationships xmlns="http://schemas.openxmlformats.org/package/2006/relationships"><Relationship Id="rId1" Type="http://schemas.microsoft.com/office/2006/relationships/xlExternalLinkPath/xlPathMissing" Target="SPH%20Tarikolot.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Metro%20Surabaya/Usulan%203%20M/Usulan%203%20M/BOQ%20Jembatan%20Bogor%20kerep%202011%20(Add%20BQ).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A:\SPH%20JAGUR%20TANGERANG%202004.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F:\PROGRAM%20LELANG%202010\HPS%20OKE%20APBD%20TAHUN%202010\HPS%20JALAN%20BAWANG%20-%20PLANTUNGAN.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C:/@2018/@Tim%207/@Kepatihan/Kepatihan%20terbaru/Mep%20final#2/2-2-2018/RAB MEP_2022018.xlsx"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A/DATA%20TENDER/WADUK/Pelaparado/DATA%20TENDER/J-Tukad%20Bangkung/RAP-PKT1.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Korra1\0611-Recuperation%20&amp;%20Wellness%20Resort,%20Nusa%20Dua\Pulauintan%20Est\omni%20disket%20baru\D'BACH\Gandhi\Gandhi%20Bali\Volume%20GANDI%20BALI.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Korra1\0611-Recuperation%20&amp;%20Wellness%20Resort,%20Nusa%20Dua\PROYEK\BPK_Bandung\V_STR_BPK_Bdg.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G:\Documents%20and%20Settings\user\My%20Documents\LAP%20HARGA%20SAT\ANL%20HARGA%20SATUAN\EXCEL-PAHS\PANDUAN%20BQ\EE%20FO%20Pamanukan\3-DIV3.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A/DATA%20TENDER/WADUK/Pelaparado/DATA%20TENDER/J-Tukad%20Bangkung/ANALISA-UBA.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Dell-server\Perencanaan\Tender\Wilayah%201\Tender%20TH%202004\APBD\sasakbeusi.xls" TargetMode="External"/></Relationships>
</file>

<file path=xl/externalLinks/_rels/externalLink173.xml.rels><?xml version="1.0" encoding="UTF-8" standalone="yes"?>
<Relationships xmlns="http://schemas.openxmlformats.org/package/2006/relationships"><Relationship Id="rId1" Type="http://schemas.microsoft.com/office/2006/relationships/xlExternalLinkPath/xlPathMissing" Target="Sagaranten-Demix.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Marketing-1\02.%20DATA%20KASIRUN\5.%20KASIRUN%202006\1.%20TENDER\18.%20MEMPERA\HARGA\Rekap%20psa-paesa%20tangerang%20R1.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Korra1\0610-Royal%20Kuningan%20Jakarta\Data\Data\PACIFIC\OLEOCHEM\WAREHOUSE2\RAB%20WAREHOUSE.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A:\data%20gue\My%20Gawean%20'04\Gereja\BQ%20Gereja\BOQ-ARS-GRJ%20ALFONSUS%203.xls" TargetMode="External"/></Relationships>
</file>

<file path=xl/externalLinks/_rels/externalLink177.xml.rels><?xml version="1.0" encoding="UTF-8" standalone="yes"?>
<Relationships xmlns="http://schemas.openxmlformats.org/package/2006/relationships"><Relationship Id="rId2" Type="http://schemas.microsoft.com/office/2019/04/relationships/externalLinkLongPath" Target="file:///\\Pamurtya09\HARI%20INI%20(E)\05.%20FINAL%20PROJECT%202006\PERENCANAAN\RANCANGAN%20TEKNIK%20TERINCI\BALAI%20KESEHATAN%20PENERBANGAN%202006\DOKUMEN%20TENDER\BALAI%20KESEHATAN%20PENERBANGAN\PERANCANAAN\COST%20PROPOSAL\LIBRARY\ESTIMASI%20KONSTRUKSI%20LENGKAP01.xls?DBE257C0" TargetMode="External"/><Relationship Id="rId1" Type="http://schemas.openxmlformats.org/officeDocument/2006/relationships/externalLinkPath" Target="file:///\\DBE257C0\ESTIMASI%20KONSTRUKSI%20LENGKAP01.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NATAL%202005T.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Tarkim1\d\Pindahan%20Tarkim2\dhe_oen\2006\GSG\RAB%20GSG%202006.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Bandung-2\d\vee-vee\material2\BOQ\sph%20ITB%20Bandung-26-11-06%231%20CCO2%2025-01-07.xls" TargetMode="External"/></Relationships>
</file>

<file path=xl/externalLinks/_rels/externalLink181.xml.rels><?xml version="1.0" encoding="UTF-8" standalone="yes"?>
<Relationships xmlns="http://schemas.openxmlformats.org/package/2006/relationships"><Relationship Id="rId1" Type="http://schemas.microsoft.com/office/2006/relationships/xlExternalLinkPath/xlPathMissing" Target="Padalarang%20bypass.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TENDER/SRRP/Rab-Karo4.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Korra1\0610-Royal%20Kuningan%20Jakarta\Kondominium\Marina%20Ars\Qty\analisa_marina_struktur.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M:\omc\Data\My%20Project\mmc.xls" TargetMode="External"/></Relationships>
</file>

<file path=xl/externalLinks/_rels/externalLink185.xml.rels><?xml version="1.0" encoding="UTF-8" standalone="yes"?>
<Relationships xmlns="http://schemas.openxmlformats.org/package/2006/relationships"><Relationship Id="rId2" Type="http://schemas.microsoft.com/office/2019/04/relationships/externalLinkLongPath" Target="file:///\\Korra1\0611-Recuperation%20&amp;%20Wellness%20Resort,%20Nusa%20Dua\Pulauintan%20Est\omni%20disket%20baru\BQ%20TENDER%202006\BQ%20PENAWARAN\04.%20APRIL\04.%20BQ%20RS%20OMI\BQ%20PEN-04\BQ%20TENDER%202006\DATA%20TERIMA\BQ%20RS%20OMC\str%20n%20other\Data\My%20Project\mmc.xls?88B552F2" TargetMode="External"/><Relationship Id="rId1" Type="http://schemas.openxmlformats.org/officeDocument/2006/relationships/externalLinkPath" Target="file:///\\88B552F2\mmc.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Mesrv\me%20database\Project%20sgi\sd\FDK-R2.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A:\waty\residence%20struktur%20atas\Data\Matraman\Bq-01%20R2.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eng-4\D\Documents%20and%20Settings\DC\My%20Documents\Owner%20Estimete\Bulex-OE%20_01Titip%20BOQ_BL1.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A:\ITC%20DEPOK\ceha\Pelita\Aluminium\KWK%20Selatan\dinasteknis\diktat%20proyek\document\Analize\BQBI3.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TANAH%20ABANG\check1\ANALISA.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Nu2ng\Nu2nG\NISSAN%20BSD%20Tender\NISSAN%20BSD%20PI\TENDER-R1\bq-standard.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HARDISK%20BUDI/Tender/IRIGASI%20RIAU/Wilayah%20Kampar%20&amp;%20Kepri-1.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Korra1\0610-Royal%20Kuningan%20Jakarta\MISC\Hoai\B-CAOQ~1.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Haryanto\c\tender\LAPAS%20BATAM\LAPAS%20BATAM.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Users/hambaALLAH/Downloads/Probolinggo%20Paiton%20(Ralat)/OE%202015/EE%20Probo%20paiton%20(oe)/192.168.0.8/Bank%20Data/Documents%20and%20Settings/xxx/My%20Documents/tamb.%20koreksi.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M:\TIME%20SHEET%20KITA-KITA\Standard\staff\RIDA\STRUKTUR\Data\PENAWARAN\TANAH%20ABANG\BILL%201.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A:\INDAH\OTHER\Balik%20Papan\Balik%20Papan\Rosnia\Proyek\Sumber%20Jaya\Madiun\RSUD%20Madiun-me.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Yowaldi\YOWALDI%20(E)\Kantor\Graha%20Jakpro\Peak-out-bata\BQ%20The%20Peak%20(Finishing)%20R2%20Non%20Rp.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EMA/Ema/TENDER/Jalan%20&amp;%20Jembatan%20Sumut/BQ%20Pemb.%20Jalan%20Bts.%20Lab.%20Batu%20Asahan-R.%20Prapat-1.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SENECA-SERVER\Perencanaan\PPC\ServerNovel\DRV_G\TITIP\DARYANTO\LPJK(L.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suli%20titip/flas%20king/KINGKONG%20(G)/adm%20tek/Probolinggo-Mlandingan/EMA/Ema/TENDER/Jalan%20&amp;%20Jembatan%20Sumut/BQ%20Pemb.%20Jalan%20Bts.%20Lab.%20Batu%20Asahan-R.%20Prapat.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A:\&#65420;&#65384;&#65432;&#65419;&#65439;&#65437;&#35386;&#30274;\JICA&#27010;&#32207;.xls" TargetMode="External"/></Relationships>
</file>

<file path=xl/externalLinks/_rels/externalLink203.xml.rels><?xml version="1.0" encoding="UTF-8" standalone="yes"?>
<Relationships xmlns="http://schemas.openxmlformats.org/package/2006/relationships"><Relationship Id="rId1" Type="http://schemas.microsoft.com/office/2006/relationships/xlExternalLinkPath/xlPathMissing" Target="&#35211;&#31309;NET(SEM).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E:\ANDI%202020\KENDAL\zul2007\RAB\RAB%20LISTRIK.xls" TargetMode="External"/></Relationships>
</file>

<file path=xl/externalLinks/_rels/externalLink205.xml.rels><?xml version="1.0" encoding="UTF-8" standalone="yes"?>
<Relationships xmlns="http://schemas.openxmlformats.org/package/2006/relationships"><Relationship Id="rId2" Type="http://schemas.openxmlformats.org/officeDocument/2006/relationships/externalLinkPath" Target="file:///D:\KERJAAN\KRIDA%20KARYA\solo3\RAB%20MEEP%20KEBANGSAAN%20REV..xlsx" TargetMode="External"/><Relationship Id="rId1" Type="http://schemas.openxmlformats.org/officeDocument/2006/relationships/externalLinkPath" Target="file:///D:\KERJAAN\KRIDA%20KARYA\solo3\RAB%20MEEP%20KEBANGSAAN%20RE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CLAIMER"/>
      <sheetName val="cover (2)"/>
      <sheetName val="Sheet1"/>
      <sheetName val="hitung"/>
      <sheetName val="Uang"/>
      <sheetName val="Informasi"/>
      <sheetName val="Peta Quarry"/>
      <sheetName val="Mobilisasi (PISAH)"/>
      <sheetName val="Perhitungan Mobilisasi Alat"/>
      <sheetName val="Lalu Lintas"/>
      <sheetName val="Jembatan Sementara"/>
      <sheetName val="LALULINTAS"/>
      <sheetName val="Rekap"/>
      <sheetName val="BOQ (2)"/>
      <sheetName val="HSD"/>
      <sheetName val="4-Basic Price"/>
      <sheetName val="5-ALAT(1)"/>
      <sheetName val="D2"/>
      <sheetName val="D3"/>
      <sheetName val="D3 (2)"/>
      <sheetName val="D3 berbutir"/>
      <sheetName val="D4"/>
      <sheetName val="D5"/>
      <sheetName val="5.rigid"/>
      <sheetName val="AGG S"/>
      <sheetName val="D6 ASBT"/>
      <sheetName val="D6"/>
      <sheetName val="D7(1)"/>
      <sheetName val="D7(2)"/>
      <sheetName val="D7(3)"/>
      <sheetName val="D8(1)"/>
      <sheetName val="D8(TL&amp;TT)"/>
      <sheetName val="D8(2)"/>
      <sheetName val="D9"/>
      <sheetName val="D10 LS-Rutin"/>
      <sheetName val="D10 Kuantitas"/>
      <sheetName val="D10 Analisa HSP"/>
      <sheetName val="4-Analisa Quarry"/>
      <sheetName val="4-formulir harga bahan"/>
      <sheetName val="5-ALAT (2)"/>
      <sheetName val="Agg Halus &amp; Kasar"/>
      <sheetName val="Agg A"/>
      <sheetName val="Agg B"/>
      <sheetName val="Agg C"/>
      <sheetName val="D6 Tambh"/>
    </sheetNames>
    <sheetDataSet>
      <sheetData sheetId="0"/>
      <sheetData sheetId="1"/>
      <sheetData sheetId="2"/>
      <sheetData sheetId="3"/>
      <sheetData sheetId="4"/>
      <sheetData sheetId="5">
        <row r="8">
          <cell r="G8" t="str">
            <v>: 1 (satu)</v>
          </cell>
        </row>
      </sheetData>
      <sheetData sheetId="6"/>
      <sheetData sheetId="7"/>
      <sheetData sheetId="8"/>
      <sheetData sheetId="9"/>
      <sheetData sheetId="10"/>
      <sheetData sheetId="11"/>
      <sheetData sheetId="12">
        <row r="40">
          <cell r="I40">
            <v>8613606563.576664</v>
          </cell>
        </row>
      </sheetData>
      <sheetData sheetId="13">
        <row r="52">
          <cell r="F52">
            <v>197658</v>
          </cell>
        </row>
      </sheetData>
      <sheetData sheetId="14"/>
      <sheetData sheetId="15">
        <row r="8">
          <cell r="D8" t="str">
            <v>(L01)</v>
          </cell>
        </row>
        <row r="110">
          <cell r="F110">
            <v>95000</v>
          </cell>
        </row>
      </sheetData>
      <sheetData sheetId="16">
        <row r="8">
          <cell r="AR8" t="str">
            <v>E01</v>
          </cell>
        </row>
      </sheetData>
      <sheetData sheetId="17">
        <row r="8">
          <cell r="O8" t="str">
            <v>: SATUAN KERJA PELAKSANAAN JALAN NASIONAL METROPOLITAN II SURABAYA</v>
          </cell>
        </row>
      </sheetData>
      <sheetData sheetId="18"/>
      <sheetData sheetId="19"/>
      <sheetData sheetId="20"/>
      <sheetData sheetId="21"/>
      <sheetData sheetId="22"/>
      <sheetData sheetId="23"/>
      <sheetData sheetId="24"/>
      <sheetData sheetId="25"/>
      <sheetData sheetId="26"/>
      <sheetData sheetId="27">
        <row r="8">
          <cell r="O8" t="str">
            <v>: SATUAN KERJA PELAKSANAAN JALAN NASIONAL METROPOLITAN II SURABAYA</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m"/>
      <sheetName val="Du_lieu"/>
      <sheetName val="KH-Q1,Q2,01"/>
      <sheetName val="TONGKE3p "/>
      <sheetName val="TDTKP"/>
      <sheetName val="DON GIA"/>
      <sheetName val="TONG HOP VL-NC"/>
      <sheetName val="TNHCHINH"/>
      <sheetName val="CHITIET VL-NC-TT -1p"/>
      <sheetName val="TDTKP1"/>
      <sheetName val="phuluc1"/>
      <sheetName val="TONG HOP VL-NC TT"/>
      <sheetName val="KPVC-BD "/>
      <sheetName val="#REF"/>
      <sheetName val="gvl"/>
      <sheetName val="Tiepdia"/>
      <sheetName val="CHITIET VL-NC-TT-3p"/>
      <sheetName val="VCV-BE-TONG"/>
      <sheetName val="chitiet"/>
      <sheetName val="VC"/>
      <sheetName val="CHITIET VL-NC"/>
      <sheetName val="THPDMoi  (2)"/>
      <sheetName val="t-h HA THE"/>
      <sheetName val="giathanh1"/>
      <sheetName val="TONGKE-HT"/>
      <sheetName val="LKVL-CK-HT-GD1"/>
      <sheetName val="TH VL, NC, DDHT Thanhphuoc"/>
      <sheetName val="dongia (2)"/>
      <sheetName val="DG"/>
      <sheetName val="DONGIA"/>
      <sheetName val="chitimc"/>
      <sheetName val="dtxl"/>
      <sheetName val="gtrinh"/>
      <sheetName val="lam-moi"/>
      <sheetName val="TH XL"/>
      <sheetName val="thao-go"/>
      <sheetName val="BAOGIATHANG"/>
      <sheetName val="vanchuyen TC"/>
      <sheetName val="DAODAT"/>
      <sheetName val="dongiaX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LMP.12"/>
      <sheetName val="surat "/>
      <sheetName val="REK"/>
      <sheetName val="BOQ (2)"/>
      <sheetName val="BOQ"/>
      <sheetName val="SCH"/>
      <sheetName val="ANA LS"/>
      <sheetName val="ANA"/>
      <sheetName val="HSD"/>
      <sheetName val="MET-BAB-7"/>
      <sheetName val="MET-BAB-06"/>
      <sheetName val="konf"/>
      <sheetName val="staf"/>
      <sheetName val="alat"/>
      <sheetName val="SUBkon"/>
      <sheetName val="MPU"/>
      <sheetName val="dATA KONTRAK"/>
      <sheetName val="RTN"/>
      <sheetName val="MOS"/>
      <sheetName val="nonpns"/>
      <sheetName val="bhn luar"/>
      <sheetName val="Kar"/>
      <sheetName val="Met-02"/>
      <sheetName val="MET-03"/>
      <sheetName val="MET-BAB-04"/>
      <sheetName val="Met-master"/>
      <sheetName val="Met-Bab-08"/>
      <sheetName val="Met Rtn"/>
      <sheetName val="BALT"/>
      <sheetName val="IND"/>
      <sheetName val="Sheet2"/>
      <sheetName val="Sheet2 (2)"/>
      <sheetName val="Sheet1"/>
      <sheetName val="Sheet1 (2)"/>
      <sheetName val="Sheet3"/>
      <sheetName val="RAKAP"/>
      <sheetName val="SUB REKAP"/>
      <sheetName val="RAB"/>
      <sheetName val="ARS&amp;LINGK"/>
      <sheetName val="Atap"/>
      <sheetName val="ME"/>
      <sheetName val="ARS.1"/>
      <sheetName val="ARS.2"/>
      <sheetName val="ARS.3"/>
      <sheetName val="ARS.4"/>
      <sheetName val="ARS.5"/>
      <sheetName val="ARS.6"/>
      <sheetName val="VOL.SARPRAS"/>
      <sheetName val="PENDAHULUAN"/>
      <sheetName val="STRUKTUR"/>
      <sheetName val="ARSITEKTUR"/>
      <sheetName val="M.E"/>
      <sheetName val="SARANA&amp;PRASARANA"/>
      <sheetName val="ANL"/>
      <sheetName val="ANL RAIL"/>
      <sheetName val="ANLS LIST"/>
      <sheetName val="QS"/>
      <sheetName val="QS (2)"/>
      <sheetName val="1.REKAP"/>
      <sheetName val="2.RAB"/>
      <sheetName val="3.ANALISA"/>
      <sheetName val="4.BAHAN,UPAH,ALAT"/>
      <sheetName val="5.TKDN"/>
      <sheetName val="analisa mstr"/>
      <sheetName val="BUA Mstr"/>
      <sheetName val="3.analisa harga satuan utama"/>
      <sheetName val="4.bahan,upah, alat"/>
      <sheetName val="5. subkontrakkan"/>
      <sheetName val="REKAP"/>
      <sheetName val="CAT"/>
      <sheetName val=" kuda-kuda"/>
      <sheetName val="dinding"/>
      <sheetName val="AN PTR"/>
      <sheetName val="vol BATA"/>
      <sheetName val="RasioStrAts"/>
      <sheetName val="PER VOL"/>
      <sheetName val="AN KSN"/>
      <sheetName val="STRats"/>
      <sheetName val="Rasio StrBwah"/>
      <sheetName val="h.Beton"/>
      <sheetName val="kusen pengurangan"/>
      <sheetName val="ANA-KSN"/>
      <sheetName val="VOL KERAMIK"/>
      <sheetName val="VOL CAT"/>
      <sheetName val="vol PLAFON"/>
      <sheetName val="VOL PARTISI"/>
      <sheetName val="REALLING"/>
      <sheetName val="URUGAN PENINGGIAN"/>
      <sheetName val="Index"/>
      <sheetName val="Kuda2"/>
      <sheetName val="PER M2"/>
      <sheetName val="REKAP TOTAL A+B (2)"/>
      <sheetName val="RasioStrAts (2)"/>
      <sheetName val="REKAP B"/>
      <sheetName val="RAB Bangunan B"/>
      <sheetName val="ANALISA HRG"/>
      <sheetName val="urugan"/>
      <sheetName val="BREAKDONW"/>
      <sheetName val="Addendum"/>
      <sheetName val="Time Kendali (86 hari)"/>
      <sheetName val="BOBOT"/>
      <sheetName val="SCEDULE"/>
    </sheetNames>
    <sheetDataSet>
      <sheetData sheetId="0" refreshError="1">
        <row r="6">
          <cell r="C6" t="str">
            <v>Pembangunan Jalan dan Jembatan Jawa Barat</v>
          </cell>
        </row>
        <row r="7">
          <cell r="C7">
            <v>0</v>
          </cell>
        </row>
        <row r="8">
          <cell r="C8" t="str">
            <v>PENINGKATAN JALAN CILEUNYI - NAGREG</v>
          </cell>
        </row>
        <row r="9">
          <cell r="C9" t="str">
            <v>JAWA BARAT / BANDUNG</v>
          </cell>
        </row>
        <row r="13">
          <cell r="C13">
            <v>0</v>
          </cell>
        </row>
        <row r="14">
          <cell r="C14">
            <v>0</v>
          </cell>
        </row>
        <row r="15">
          <cell r="D15" t="str">
            <v xml:space="preserve"> (tiga ratus)</v>
          </cell>
        </row>
        <row r="17">
          <cell r="C17">
            <v>0</v>
          </cell>
        </row>
        <row r="19">
          <cell r="C19">
            <v>225000000</v>
          </cell>
        </row>
        <row r="23">
          <cell r="C23">
            <v>72</v>
          </cell>
        </row>
        <row r="25">
          <cell r="C25">
            <v>24</v>
          </cell>
        </row>
        <row r="26">
          <cell r="C26">
            <v>5</v>
          </cell>
        </row>
        <row r="29">
          <cell r="C29">
            <v>0.04</v>
          </cell>
        </row>
        <row r="33">
          <cell r="C33" t="str">
            <v>KU.08.01/PAN-PEL/01</v>
          </cell>
        </row>
        <row r="34">
          <cell r="C34" t="str">
            <v>19 April 2005</v>
          </cell>
        </row>
        <row r="38">
          <cell r="C38" t="str">
            <v>xxx/yyy/zzz</v>
          </cell>
        </row>
        <row r="39">
          <cell r="C39" t="str">
            <v>PT. PAESA PASINDO ENGINEERING</v>
          </cell>
        </row>
        <row r="41">
          <cell r="C41" t="str">
            <v>Ir. PANAL BANJARNAHOR</v>
          </cell>
        </row>
        <row r="42">
          <cell r="C42" t="str">
            <v>Presiden Direktur</v>
          </cell>
        </row>
      </sheetData>
      <sheetData sheetId="1" refreshError="1"/>
      <sheetData sheetId="2" refreshError="1"/>
      <sheetData sheetId="3" refreshError="1">
        <row r="33">
          <cell r="I33">
            <v>6192960599.9499998</v>
          </cell>
        </row>
        <row r="38">
          <cell r="B38" t="str">
            <v>Enam milyar seratus sembilan puluh dua juta sembilan ratus enam puluh ribu rupiah.</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3">
          <cell r="B3" t="str">
            <v>Ir. Setiawan Pryana</v>
          </cell>
          <cell r="C3" t="str">
            <v>Bogor, 3 Desember 1953</v>
          </cell>
          <cell r="D3" t="str">
            <v>Kopo Permai Blok F 15 No. 1 Bandung</v>
          </cell>
          <cell r="E3" t="str">
            <v>Kepala Divisi Teknik</v>
          </cell>
          <cell r="F3" t="str">
            <v>1310</v>
          </cell>
          <cell r="G3" t="str">
            <v>S1 Teknik Sipil</v>
          </cell>
          <cell r="M3">
            <v>1984</v>
          </cell>
        </row>
        <row r="4">
          <cell r="B4" t="str">
            <v>Ir. Roedi Yoeswandi</v>
          </cell>
          <cell r="C4" t="str">
            <v>Surabaya, 26 Juli 1957</v>
          </cell>
          <cell r="D4" t="str">
            <v>Mega Asri II Blok B No. 1 Bandung</v>
          </cell>
          <cell r="E4" t="str">
            <v>Kepala Biro Engineering</v>
          </cell>
          <cell r="F4" t="str">
            <v>81027/II/BAP-ITB/82</v>
          </cell>
          <cell r="G4" t="str">
            <v>S1 Teknik Sipil</v>
          </cell>
          <cell r="H4" t="str">
            <v>Campaka</v>
          </cell>
          <cell r="I4" t="str">
            <v>06/07</v>
          </cell>
          <cell r="J4" t="str">
            <v>Andir</v>
          </cell>
          <cell r="L4" t="str">
            <v>1050042607573001</v>
          </cell>
          <cell r="M4">
            <v>1982</v>
          </cell>
        </row>
        <row r="5">
          <cell r="B5" t="str">
            <v xml:space="preserve">Ir. Thomas Edris Gunawan </v>
          </cell>
          <cell r="C5" t="str">
            <v>Surabaya, 10 Oktober 1960</v>
          </cell>
          <cell r="D5" t="str">
            <v>Delta Sari Indah Blok BD No. 12 Sidoarjo</v>
          </cell>
          <cell r="E5" t="str">
            <v>General Superintendent</v>
          </cell>
          <cell r="F5" t="str">
            <v>0227/S/TS/88</v>
          </cell>
          <cell r="G5" t="str">
            <v>S1 Teknik Sipil</v>
          </cell>
          <cell r="H5" t="str">
            <v>Lontar</v>
          </cell>
          <cell r="I5" t="str">
            <v>002/010</v>
          </cell>
          <cell r="J5" t="str">
            <v>Lakarsantri</v>
          </cell>
          <cell r="K5" t="str">
            <v>60216</v>
          </cell>
          <cell r="L5" t="str">
            <v>12.5615.161060.0002</v>
          </cell>
          <cell r="M5">
            <v>1988</v>
          </cell>
        </row>
        <row r="6">
          <cell r="B6" t="str">
            <v>Ir. Darmansyah K. Siregar</v>
          </cell>
          <cell r="C6" t="str">
            <v>Labuanbatu, 16 Mei 1967</v>
          </cell>
          <cell r="D6" t="str">
            <v>Puri Cipageran II C.6 No. 27 Cimahi</v>
          </cell>
          <cell r="E6" t="str">
            <v>Ka. Bag Teknik Lapangan/Proyek</v>
          </cell>
          <cell r="F6" t="str">
            <v>221/1323/T/TS/93</v>
          </cell>
          <cell r="G6" t="str">
            <v>S1 Teknik Sipil</v>
          </cell>
          <cell r="H6" t="str">
            <v>Tani Mulya</v>
          </cell>
          <cell r="I6" t="str">
            <v>02/20</v>
          </cell>
          <cell r="J6" t="str">
            <v>Ngamprah</v>
          </cell>
          <cell r="K6" t="str">
            <v>40552</v>
          </cell>
          <cell r="L6" t="str">
            <v>10.1601.160567.0009</v>
          </cell>
          <cell r="M6">
            <v>1993</v>
          </cell>
        </row>
        <row r="7">
          <cell r="B7" t="str">
            <v>Ir. Dadan Suryaman</v>
          </cell>
          <cell r="C7" t="str">
            <v>Purwakarta, 22 Juni 1966</v>
          </cell>
          <cell r="D7" t="str">
            <v>Jl. Sederhana No. 49 Bandung</v>
          </cell>
          <cell r="E7" t="str">
            <v>Ka. Bag Teknik Lapangan/Proyek</v>
          </cell>
          <cell r="F7" t="str">
            <v>0202.22.94</v>
          </cell>
          <cell r="G7" t="str">
            <v>S1 Teknik Sipil</v>
          </cell>
          <cell r="H7" t="str">
            <v>Pasteur</v>
          </cell>
          <cell r="I7" t="str">
            <v>002/010</v>
          </cell>
          <cell r="J7" t="str">
            <v>Sukajadi</v>
          </cell>
          <cell r="L7" t="str">
            <v>1050021226660001</v>
          </cell>
          <cell r="M7">
            <v>1994</v>
          </cell>
        </row>
        <row r="8">
          <cell r="B8" t="str">
            <v>Ir. Yadi Heryadi</v>
          </cell>
          <cell r="C8" t="str">
            <v>Bandung, 19 Agustus 1966</v>
          </cell>
          <cell r="D8" t="str">
            <v>Jl. Sederhana No. 49 Bandung</v>
          </cell>
          <cell r="E8" t="str">
            <v>Ka. Bag Teknik Lapangan/Proyek</v>
          </cell>
          <cell r="F8" t="str">
            <v>A.0768/S.41/1991</v>
          </cell>
          <cell r="G8" t="str">
            <v>S1 Teknik Sipil</v>
          </cell>
          <cell r="H8" t="str">
            <v>Pasteur</v>
          </cell>
          <cell r="I8" t="str">
            <v>002/010</v>
          </cell>
          <cell r="J8" t="str">
            <v>Sukajadi</v>
          </cell>
          <cell r="L8" t="str">
            <v>1050021208660001</v>
          </cell>
          <cell r="M8">
            <v>1991</v>
          </cell>
        </row>
        <row r="9">
          <cell r="B9" t="str">
            <v>Ir. Miftahul Iman</v>
          </cell>
          <cell r="C9" t="str">
            <v>Bandung, 23 Nopember 1968</v>
          </cell>
          <cell r="D9" t="str">
            <v>Jl. Sentosa Asih No. 10 Bandung</v>
          </cell>
          <cell r="E9" t="str">
            <v>Ka. Bag Teknik Lapangan/Proyek</v>
          </cell>
          <cell r="F9" t="str">
            <v>2609/SRI-AS/95/TS-ST/45.2685</v>
          </cell>
          <cell r="G9" t="str">
            <v>S1 Teknik Sipil</v>
          </cell>
          <cell r="M9">
            <v>1995</v>
          </cell>
        </row>
        <row r="10">
          <cell r="B10" t="str">
            <v>Ir. Yudha Poernawan</v>
          </cell>
          <cell r="C10" t="str">
            <v>Surabaya, 29 Juli 1971</v>
          </cell>
          <cell r="D10" t="str">
            <v>Jl. Wadas Raya No. 3 Jakarta</v>
          </cell>
          <cell r="E10" t="str">
            <v>Kepala Pelaksana</v>
          </cell>
          <cell r="F10" t="str">
            <v>1965100</v>
          </cell>
          <cell r="G10" t="str">
            <v>S1 Teknik Sipil</v>
          </cell>
          <cell r="M10">
            <v>1996</v>
          </cell>
        </row>
        <row r="11">
          <cell r="B11" t="str">
            <v>Ir. Th. Widia Liestiani</v>
          </cell>
          <cell r="C11" t="str">
            <v>Yogyakarta, 31 Januari 1966</v>
          </cell>
          <cell r="D11" t="str">
            <v>Jl. Sorowajan Baru No. 41 Yogyakarta</v>
          </cell>
          <cell r="E11" t="str">
            <v>Quality Control</v>
          </cell>
          <cell r="F11" t="str">
            <v>050/S/TS/93</v>
          </cell>
          <cell r="G11" t="str">
            <v>S1 Teknik Sipil</v>
          </cell>
          <cell r="M11">
            <v>1993</v>
          </cell>
        </row>
        <row r="12">
          <cell r="B12" t="str">
            <v>Ir. A. Unggul Berlianadi</v>
          </cell>
          <cell r="C12" t="str">
            <v>Semarang, 19 Oktober 1971</v>
          </cell>
          <cell r="D12" t="str">
            <v>Jl. Kenari Miliran II No. 158 Yogyakarta</v>
          </cell>
          <cell r="E12" t="str">
            <v>Ka. Bag Teknik Lapangan/Proyek</v>
          </cell>
          <cell r="F12" t="str">
            <v>27945/AS-AS/FTS-S1/96-119</v>
          </cell>
          <cell r="G12" t="str">
            <v>S1 Teknik Sipil</v>
          </cell>
          <cell r="H12" t="str">
            <v>Muja Muju</v>
          </cell>
          <cell r="I12" t="str">
            <v>011/004</v>
          </cell>
          <cell r="J12" t="str">
            <v>Umbulharjo</v>
          </cell>
          <cell r="K12" t="str">
            <v>55165</v>
          </cell>
          <cell r="L12" t="str">
            <v>11.5007.191071.0001</v>
          </cell>
          <cell r="M12">
            <v>1996</v>
          </cell>
        </row>
        <row r="13">
          <cell r="B13" t="str">
            <v>Ir. Sonny Novianto</v>
          </cell>
          <cell r="C13" t="str">
            <v>Subang, 27 Nopember 1967</v>
          </cell>
          <cell r="D13" t="str">
            <v>Puri Cipageran II C.4 No. 27 Cimahi</v>
          </cell>
          <cell r="E13" t="str">
            <v>Kepala Urusan Perencanaan</v>
          </cell>
          <cell r="F13" t="str">
            <v>A04201427700</v>
          </cell>
          <cell r="G13" t="str">
            <v>S1 Teknik Sipil</v>
          </cell>
          <cell r="H13" t="str">
            <v>Tani Mulya</v>
          </cell>
          <cell r="I13" t="str">
            <v>02/20</v>
          </cell>
          <cell r="J13" t="str">
            <v>Ngamprah</v>
          </cell>
          <cell r="K13" t="str">
            <v>40552</v>
          </cell>
          <cell r="L13" t="str">
            <v>10.1601.271167.0009</v>
          </cell>
          <cell r="M13">
            <v>1995</v>
          </cell>
        </row>
        <row r="14">
          <cell r="B14" t="str">
            <v>Ir. Dadi Fahrudin</v>
          </cell>
          <cell r="C14" t="str">
            <v>Bandung, 10 Nopember 1969</v>
          </cell>
          <cell r="D14" t="str">
            <v>Jl. Cimindi Raya - Cimahi</v>
          </cell>
          <cell r="E14" t="str">
            <v>Pengendalian Biaya</v>
          </cell>
          <cell r="F14" t="str">
            <v>1107</v>
          </cell>
          <cell r="G14" t="str">
            <v>S1 Teknik Sipil</v>
          </cell>
          <cell r="M14">
            <v>1995</v>
          </cell>
        </row>
        <row r="15">
          <cell r="B15" t="str">
            <v>Ir. Setio Ratmono</v>
          </cell>
          <cell r="C15" t="str">
            <v>Bandung, 6 Agustus 1957</v>
          </cell>
          <cell r="D15" t="str">
            <v>Jl. Blitar No. 7 Bandung</v>
          </cell>
          <cell r="E15" t="str">
            <v>Ka. Bag Teknik Lapangan/Proyek</v>
          </cell>
          <cell r="F15" t="str">
            <v>S1.81020/I/BAP-ITB/83</v>
          </cell>
          <cell r="G15" t="str">
            <v>S1 Teknik Sipil</v>
          </cell>
          <cell r="H15" t="str">
            <v>Antapani Kidul</v>
          </cell>
          <cell r="I15" t="str">
            <v>005/006</v>
          </cell>
          <cell r="J15" t="str">
            <v>Cicadas</v>
          </cell>
          <cell r="L15" t="str">
            <v>1050170608570001</v>
          </cell>
          <cell r="M15">
            <v>1983</v>
          </cell>
        </row>
        <row r="16">
          <cell r="B16" t="str">
            <v>Romualdus Nahim</v>
          </cell>
          <cell r="C16" t="str">
            <v>Ruteng, 8 Pebruari 1965</v>
          </cell>
          <cell r="D16" t="str">
            <v>Jl. Kebon Rumput No. 30 Cimahi</v>
          </cell>
          <cell r="E16" t="str">
            <v>Pelaksana</v>
          </cell>
          <cell r="F16" t="str">
            <v>S0.81021/BAAK/ITB/1990</v>
          </cell>
          <cell r="G16" t="str">
            <v>D III Teknik Sipil</v>
          </cell>
          <cell r="M16">
            <v>1990</v>
          </cell>
        </row>
        <row r="17">
          <cell r="B17" t="str">
            <v>Deni Abdul Rasyid</v>
          </cell>
          <cell r="C17" t="str">
            <v>Sumedang, 13 Juli 1966</v>
          </cell>
          <cell r="D17" t="str">
            <v>Jl. Tampak Siring Raya P 4 / 14 Depok</v>
          </cell>
          <cell r="E17" t="str">
            <v>Pegendalian Biaya</v>
          </cell>
          <cell r="F17" t="str">
            <v>S0.81009/BAAK/ITB/1989</v>
          </cell>
          <cell r="G17" t="str">
            <v>D III Teknik Sipil</v>
          </cell>
          <cell r="H17" t="str">
            <v>Limo</v>
          </cell>
          <cell r="I17" t="str">
            <v>05/13</v>
          </cell>
          <cell r="J17" t="str">
            <v>Limo</v>
          </cell>
          <cell r="L17" t="str">
            <v>32.03.27.2004/3504/4785847</v>
          </cell>
          <cell r="M17">
            <v>1989</v>
          </cell>
        </row>
        <row r="18">
          <cell r="B18" t="str">
            <v>Drs. Asep Gumelar BE</v>
          </cell>
          <cell r="C18" t="str">
            <v>Bandung, 23 Pebruari 1966</v>
          </cell>
          <cell r="D18" t="str">
            <v>Kompleks Margahayu Raya Bandung</v>
          </cell>
          <cell r="F18" t="str">
            <v>236/Si/DIII/XII/ATPU/89</v>
          </cell>
          <cell r="G18" t="str">
            <v>S1 Teknik Sipil</v>
          </cell>
          <cell r="H18" t="str">
            <v>Sekejati</v>
          </cell>
          <cell r="I18" t="str">
            <v>003/021</v>
          </cell>
          <cell r="J18" t="str">
            <v>Margacinta</v>
          </cell>
          <cell r="L18" t="str">
            <v>1050222302663004</v>
          </cell>
          <cell r="M18">
            <v>1989</v>
          </cell>
        </row>
        <row r="19">
          <cell r="B19" t="str">
            <v>Hasan Basri BE</v>
          </cell>
          <cell r="C19" t="str">
            <v>Telukbetung, 14 September 1953</v>
          </cell>
          <cell r="D19" t="str">
            <v>Komp.Taman Cibaduyut Indah E 102 Bandung</v>
          </cell>
          <cell r="G19" t="str">
            <v>D III Teknik Sipil</v>
          </cell>
          <cell r="H19" t="str">
            <v>Cangkuangkulon</v>
          </cell>
          <cell r="I19" t="str">
            <v>05/20</v>
          </cell>
          <cell r="J19" t="str">
            <v>Dayeuhkolot</v>
          </cell>
          <cell r="L19" t="str">
            <v>10.1628.140953.0001</v>
          </cell>
          <cell r="M19">
            <v>1983</v>
          </cell>
        </row>
        <row r="20">
          <cell r="B20" t="str">
            <v>Soedarjanto</v>
          </cell>
          <cell r="C20" t="str">
            <v>Bandung, 28 Mei 1966</v>
          </cell>
          <cell r="D20" t="str">
            <v>Jl. Pondok Mutiara Indah IV No. 5 Cimahi</v>
          </cell>
          <cell r="F20" t="str">
            <v>S0.82015/BAAK/ITB/1990</v>
          </cell>
          <cell r="G20" t="str">
            <v>D III Teknik Sipil</v>
          </cell>
          <cell r="H20" t="str">
            <v>Cibabat</v>
          </cell>
          <cell r="I20" t="str">
            <v>008/023</v>
          </cell>
          <cell r="J20" t="str">
            <v>Cimahi Utara</v>
          </cell>
          <cell r="K20" t="str">
            <v>40513</v>
          </cell>
          <cell r="L20" t="str">
            <v>10.5602.280566.0002</v>
          </cell>
          <cell r="M20">
            <v>1990</v>
          </cell>
        </row>
        <row r="21">
          <cell r="B21" t="str">
            <v>Akhmad Fareeka</v>
          </cell>
          <cell r="C21" t="str">
            <v>Bandung, 18 Maret 1973</v>
          </cell>
          <cell r="D21" t="str">
            <v>Jl. Ciroyom No. 115 bandung</v>
          </cell>
          <cell r="F21" t="str">
            <v>S0.81026/BAAK/ITB/1994</v>
          </cell>
          <cell r="G21" t="str">
            <v>D III Teknik Sipil</v>
          </cell>
          <cell r="M21">
            <v>1994</v>
          </cell>
        </row>
        <row r="22">
          <cell r="B22" t="str">
            <v>Agus Solihin</v>
          </cell>
          <cell r="C22" t="str">
            <v>Bandung, 12 Agustus 1967</v>
          </cell>
          <cell r="D22" t="str">
            <v>Jl. Supadio No. 99 Bandung</v>
          </cell>
          <cell r="F22" t="str">
            <v>S0.82011/BAAK/ITB/1990</v>
          </cell>
          <cell r="G22" t="str">
            <v>D III Teknik Sipil</v>
          </cell>
          <cell r="M22">
            <v>1990</v>
          </cell>
        </row>
        <row r="23">
          <cell r="B23" t="str">
            <v>Ir. Wisnu Wiratmoko</v>
          </cell>
          <cell r="C23" t="str">
            <v>Surabaya, 2 Juni 1968</v>
          </cell>
          <cell r="D23" t="str">
            <v>Jl. Bronggalan Sawah Surabaya</v>
          </cell>
          <cell r="F23" t="str">
            <v>071/TM/S.1/I.93</v>
          </cell>
          <cell r="G23" t="str">
            <v>S1 Teknik Mesin</v>
          </cell>
          <cell r="M23">
            <v>1993</v>
          </cell>
        </row>
        <row r="24">
          <cell r="B24" t="str">
            <v>Bambang Dwi Setiono</v>
          </cell>
          <cell r="C24" t="str">
            <v>Malang, 14 September 1965</v>
          </cell>
          <cell r="D24" t="str">
            <v>Jl. Setia Graha II A No. 56 Bandung</v>
          </cell>
          <cell r="F24" t="str">
            <v>002/GD/92</v>
          </cell>
          <cell r="G24" t="str">
            <v>D III Geodesi</v>
          </cell>
          <cell r="M24">
            <v>1992</v>
          </cell>
        </row>
        <row r="25">
          <cell r="B25" t="str">
            <v>Dede Sugih Bagja</v>
          </cell>
          <cell r="C25" t="str">
            <v>Subang, 14 Mei 1966</v>
          </cell>
          <cell r="D25" t="str">
            <v>Kompleks Rancabogo Subang</v>
          </cell>
          <cell r="F25" t="str">
            <v>018/GD/90</v>
          </cell>
          <cell r="G25" t="str">
            <v>D III Geodesi</v>
          </cell>
          <cell r="M25">
            <v>1990</v>
          </cell>
        </row>
        <row r="26">
          <cell r="B26" t="str">
            <v>Deni Kustiman ST</v>
          </cell>
          <cell r="C26" t="str">
            <v>Bandung, 2 Juni 1974</v>
          </cell>
          <cell r="D26" t="str">
            <v>Jl. Tongkeng No. 43 Bandung</v>
          </cell>
          <cell r="F26" t="str">
            <v>S.98434010638</v>
          </cell>
          <cell r="G26" t="str">
            <v>S1 Teknik Mesin</v>
          </cell>
          <cell r="H26" t="str">
            <v>Merdeka</v>
          </cell>
          <cell r="I26" t="str">
            <v>005/007</v>
          </cell>
          <cell r="J26" t="str">
            <v>Sumur Bandung</v>
          </cell>
          <cell r="L26" t="str">
            <v>1050230206743001</v>
          </cell>
          <cell r="M26">
            <v>1998</v>
          </cell>
        </row>
        <row r="27">
          <cell r="B27" t="str">
            <v>Bambang Dwi Raharjo</v>
          </cell>
          <cell r="C27" t="str">
            <v>Klaten, 21 Juli 1965</v>
          </cell>
          <cell r="D27" t="str">
            <v>Jl. Kemanggisan Kubur Jakarta</v>
          </cell>
          <cell r="F27" t="str">
            <v>2320</v>
          </cell>
          <cell r="G27" t="str">
            <v>D III Teknik Sipil</v>
          </cell>
          <cell r="M27">
            <v>1988</v>
          </cell>
        </row>
        <row r="28">
          <cell r="B28" t="str">
            <v>Aceng Budhi Hidayat</v>
          </cell>
          <cell r="C28" t="str">
            <v>Ciamis, 20 September 1963</v>
          </cell>
          <cell r="D28" t="str">
            <v>Jl. Raya Buniseuri No. 100 Ciamis</v>
          </cell>
          <cell r="F28" t="str">
            <v>170/22/A/III/97</v>
          </cell>
          <cell r="G28" t="str">
            <v>S1 Teknik Sipil</v>
          </cell>
          <cell r="M28">
            <v>1997</v>
          </cell>
        </row>
        <row r="29">
          <cell r="B29" t="str">
            <v>Romli</v>
          </cell>
          <cell r="C29" t="str">
            <v>Cicalengka, 8 Maret 1945</v>
          </cell>
          <cell r="D29" t="str">
            <v>Jl. Banjaran No. 140 Soreang</v>
          </cell>
          <cell r="F29" t="str">
            <v>53351 &amp; 004283</v>
          </cell>
          <cell r="G29" t="str">
            <v>STM Bangunan</v>
          </cell>
          <cell r="M29">
            <v>1965</v>
          </cell>
        </row>
        <row r="30">
          <cell r="B30" t="str">
            <v>Sigit Muharto</v>
          </cell>
          <cell r="C30" t="str">
            <v>Bandung, 19 April 1961</v>
          </cell>
          <cell r="D30" t="str">
            <v>Kompleks Permata Hijau Bandung</v>
          </cell>
          <cell r="F30" t="str">
            <v>02 Ocou 0014959</v>
          </cell>
          <cell r="G30" t="str">
            <v>STM Bangunan</v>
          </cell>
          <cell r="H30" t="str">
            <v>Jelegong</v>
          </cell>
          <cell r="I30" t="str">
            <v>04/16</v>
          </cell>
          <cell r="J30" t="str">
            <v>Rancaecek</v>
          </cell>
          <cell r="L30" t="str">
            <v>10.1614.190461.0005</v>
          </cell>
          <cell r="M30">
            <v>1981</v>
          </cell>
        </row>
        <row r="31">
          <cell r="B31" t="str">
            <v>Da'ing</v>
          </cell>
          <cell r="C31" t="str">
            <v>Tulungagung, 17 Agustus 1960</v>
          </cell>
          <cell r="D31" t="str">
            <v>Jl. By Pass Tulungangung No. 157 Indramayu</v>
          </cell>
          <cell r="F31" t="str">
            <v>X cu 079305</v>
          </cell>
          <cell r="G31" t="str">
            <v>STM Bangunan</v>
          </cell>
          <cell r="M31">
            <v>1980</v>
          </cell>
        </row>
        <row r="32">
          <cell r="B32" t="str">
            <v>Mamy Kurniawan</v>
          </cell>
          <cell r="C32" t="str">
            <v>Sukabumi, 7 September 1961</v>
          </cell>
          <cell r="D32" t="str">
            <v>Jl. Pasir Mulus I No. 13 Sukabumi</v>
          </cell>
          <cell r="F32" t="str">
            <v>02 Ocou 0054356</v>
          </cell>
          <cell r="G32" t="str">
            <v>STM Bangunan</v>
          </cell>
          <cell r="M32">
            <v>1982</v>
          </cell>
        </row>
        <row r="33">
          <cell r="B33" t="str">
            <v>Hentri Asih Lingga SE</v>
          </cell>
          <cell r="C33" t="str">
            <v>Sukabumi, 28 Juli 1959</v>
          </cell>
          <cell r="D33" t="str">
            <v>Jl. Nata Endah X No. C - 70 Bandung</v>
          </cell>
          <cell r="E33" t="str">
            <v>Kepala Biro Keuangan</v>
          </cell>
          <cell r="F33" t="str">
            <v>0642245100043</v>
          </cell>
          <cell r="G33" t="str">
            <v>S 1 Akuntansi</v>
          </cell>
          <cell r="M33">
            <v>1986</v>
          </cell>
        </row>
        <row r="34">
          <cell r="B34" t="str">
            <v>Agung Sudibyo SE</v>
          </cell>
          <cell r="C34" t="str">
            <v>Klaten, 27 Agustus 1970</v>
          </cell>
          <cell r="D34" t="str">
            <v>Perum. Bumi Langgeng Blok G No. 9 Cileunyi</v>
          </cell>
          <cell r="E34" t="str">
            <v>Urusan Keuangan</v>
          </cell>
          <cell r="F34" t="str">
            <v>053/95/AK</v>
          </cell>
          <cell r="G34" t="str">
            <v>S 1 Akuntansi</v>
          </cell>
          <cell r="H34" t="str">
            <v>Cinunuk</v>
          </cell>
          <cell r="I34" t="str">
            <v>04/22</v>
          </cell>
          <cell r="J34" t="str">
            <v>Cileunyi</v>
          </cell>
          <cell r="L34" t="str">
            <v>10.1624.220870.0009</v>
          </cell>
          <cell r="M34">
            <v>1995</v>
          </cell>
        </row>
        <row r="35">
          <cell r="B35" t="str">
            <v>Nining Setianingsih</v>
          </cell>
          <cell r="C35" t="str">
            <v>Cirebon, 21 Pebruari 1973</v>
          </cell>
          <cell r="D35" t="str">
            <v>Komp. G C A Blok B5 No. 14 Bandung</v>
          </cell>
          <cell r="E35" t="str">
            <v>Urusan Akuntansi</v>
          </cell>
          <cell r="F35" t="str">
            <v>S0.      /BAAK/ITB/1994</v>
          </cell>
          <cell r="G35" t="str">
            <v>D III Akuntansi</v>
          </cell>
          <cell r="M35">
            <v>1994</v>
          </cell>
        </row>
        <row r="36">
          <cell r="B36" t="str">
            <v>Muhammad Syukran</v>
          </cell>
          <cell r="C36" t="str">
            <v>Pangkal Pinang, 29 September 1966</v>
          </cell>
          <cell r="D36" t="str">
            <v>Jl. Lapang Supratman No. 4 Bandung</v>
          </cell>
          <cell r="E36" t="str">
            <v>Staf Keuangan</v>
          </cell>
          <cell r="F36" t="str">
            <v>021235</v>
          </cell>
          <cell r="G36" t="str">
            <v>S 1 Akuntansi</v>
          </cell>
          <cell r="M36">
            <v>1992</v>
          </cell>
        </row>
        <row r="37">
          <cell r="B37" t="str">
            <v>Drs. Dadang Sundjaya</v>
          </cell>
          <cell r="C37" t="str">
            <v>Bandung, 1 Agustus 1961</v>
          </cell>
          <cell r="D37" t="str">
            <v>Bumi Panyileukan C.14 / 4</v>
          </cell>
          <cell r="E37" t="str">
            <v>Staf Keuangan</v>
          </cell>
          <cell r="F37" t="str">
            <v>2069</v>
          </cell>
          <cell r="G37" t="str">
            <v>S 1 Manajemen</v>
          </cell>
          <cell r="H37" t="str">
            <v>Cipadung Kidul</v>
          </cell>
          <cell r="I37" t="str">
            <v>004/003</v>
          </cell>
          <cell r="J37" t="str">
            <v>Cibiru</v>
          </cell>
          <cell r="L37" t="str">
            <v>1050200108613002</v>
          </cell>
          <cell r="M37">
            <v>1987</v>
          </cell>
        </row>
        <row r="38">
          <cell r="B38" t="str">
            <v>Nana Hadiana</v>
          </cell>
          <cell r="C38" t="str">
            <v>Bandung, 19 Agustus 1976</v>
          </cell>
          <cell r="D38" t="str">
            <v>Jl. Tata Surya No. 18 Bandung</v>
          </cell>
          <cell r="E38" t="str">
            <v>Staf Keuangan</v>
          </cell>
          <cell r="F38" t="str">
            <v>106.13880/B0III.5189</v>
          </cell>
          <cell r="G38" t="str">
            <v>D III Akuntansi</v>
          </cell>
          <cell r="M38">
            <v>1998</v>
          </cell>
        </row>
        <row r="39">
          <cell r="B39" t="str">
            <v>Yadi Supriadi</v>
          </cell>
          <cell r="C39" t="str">
            <v>Bandung, 10 Juni 1976</v>
          </cell>
          <cell r="D39" t="str">
            <v>Jl. Tamansari D/59 Bandung</v>
          </cell>
          <cell r="E39" t="str">
            <v>Staf Keuangan</v>
          </cell>
          <cell r="F39" t="str">
            <v>S0.89720/BAAK/ITB/1998</v>
          </cell>
          <cell r="G39" t="str">
            <v>D III Akuntansi</v>
          </cell>
          <cell r="H39" t="str">
            <v>Tamansari</v>
          </cell>
          <cell r="I39" t="str">
            <v>005/013</v>
          </cell>
          <cell r="J39" t="str">
            <v>Bandung Wetan</v>
          </cell>
          <cell r="L39" t="str">
            <v>1050071006760001</v>
          </cell>
          <cell r="M39">
            <v>1998</v>
          </cell>
        </row>
        <row r="40">
          <cell r="B40" t="str">
            <v>Budi Utama SE</v>
          </cell>
          <cell r="C40" t="str">
            <v>Boyolali, 15 Januari 1971</v>
          </cell>
          <cell r="D40" t="str">
            <v>Jl. Atletik XII/12 Arcamanik Bandung</v>
          </cell>
          <cell r="E40" t="str">
            <v>Staf Keuangan</v>
          </cell>
          <cell r="F40" t="str">
            <v>S1A.98107693292</v>
          </cell>
          <cell r="G40" t="str">
            <v>S 1 Akuntansi</v>
          </cell>
          <cell r="M40">
            <v>1998</v>
          </cell>
        </row>
        <row r="41">
          <cell r="B41" t="str">
            <v>Yuyu Wachyu</v>
          </cell>
          <cell r="C41" t="str">
            <v>Bandung, 09 Desember 1967</v>
          </cell>
          <cell r="D41" t="str">
            <v>Bojong Koneng RT/RW 06/014 Sukapada Bandung</v>
          </cell>
          <cell r="E41" t="str">
            <v>Keuangan</v>
          </cell>
          <cell r="F41" t="str">
            <v>02.OC.oh.0670760</v>
          </cell>
          <cell r="G41" t="str">
            <v xml:space="preserve">SMA </v>
          </cell>
          <cell r="H41" t="str">
            <v>Sukapada</v>
          </cell>
          <cell r="I41" t="str">
            <v>006/014</v>
          </cell>
          <cell r="J41" t="str">
            <v>Cibeunying Kidul</v>
          </cell>
          <cell r="K41" t="str">
            <v>-</v>
          </cell>
          <cell r="L41" t="str">
            <v>1050080912673002</v>
          </cell>
          <cell r="M41">
            <v>1987</v>
          </cell>
        </row>
        <row r="42">
          <cell r="B42" t="str">
            <v>Syahrul Jamal</v>
          </cell>
          <cell r="C42" t="str">
            <v>Padang Panjang, 02 Nopember 1952</v>
          </cell>
          <cell r="D42" t="str">
            <v>Gg. Sriwijaya VI No. 23 RT/RW 05/02 Cigereleng, Regol</v>
          </cell>
          <cell r="E42" t="str">
            <v>Logistik</v>
          </cell>
          <cell r="F42" t="str">
            <v>III.11.C.I.051</v>
          </cell>
          <cell r="G42" t="str">
            <v>SMA Sastra</v>
          </cell>
          <cell r="H42" t="str">
            <v>Cigereleng</v>
          </cell>
          <cell r="I42" t="str">
            <v>005/002</v>
          </cell>
          <cell r="J42" t="str">
            <v>Regol</v>
          </cell>
          <cell r="K42" t="str">
            <v>-</v>
          </cell>
          <cell r="L42" t="str">
            <v>1050120211520002</v>
          </cell>
          <cell r="M42">
            <v>1972</v>
          </cell>
        </row>
        <row r="43">
          <cell r="B43" t="str">
            <v>Sudady</v>
          </cell>
          <cell r="C43" t="str">
            <v>Sragen, 11 Pebruari 1961</v>
          </cell>
          <cell r="D43" t="str">
            <v>Kp. Cicantu Hilir RT/RW 07/02 Hegermanah, Sukaluyu</v>
          </cell>
          <cell r="E43" t="str">
            <v>Administrasi</v>
          </cell>
          <cell r="F43" t="str">
            <v>03.OC.ou.0065593</v>
          </cell>
          <cell r="G43" t="str">
            <v>STM Pertanian</v>
          </cell>
          <cell r="H43" t="str">
            <v>Hegarmanah</v>
          </cell>
          <cell r="I43" t="str">
            <v>007/002</v>
          </cell>
          <cell r="J43" t="str">
            <v>Sukaluyu</v>
          </cell>
          <cell r="K43" t="str">
            <v>43284</v>
          </cell>
          <cell r="L43" t="str">
            <v>1006.06.2001.25060</v>
          </cell>
          <cell r="M43">
            <v>1982</v>
          </cell>
        </row>
        <row r="44">
          <cell r="B44" t="str">
            <v>Ade Sumpena</v>
          </cell>
          <cell r="C44" t="str">
            <v>Bandung, 12 Oktober 1973</v>
          </cell>
          <cell r="D44" t="str">
            <v>Bojong Koneng RT/RW 06/014 Sukapada Bandung</v>
          </cell>
          <cell r="E44" t="str">
            <v>Administrasi</v>
          </cell>
          <cell r="F44" t="str">
            <v>02.OB.og.0023586</v>
          </cell>
          <cell r="G44" t="str">
            <v>SMA</v>
          </cell>
          <cell r="H44" t="str">
            <v>Sukapada</v>
          </cell>
          <cell r="I44" t="str">
            <v>006/014</v>
          </cell>
          <cell r="J44" t="str">
            <v>Cibeunying Kidul</v>
          </cell>
          <cell r="K44" t="str">
            <v>-</v>
          </cell>
          <cell r="L44" t="str">
            <v>1050081210730002</v>
          </cell>
          <cell r="M44">
            <v>1992</v>
          </cell>
        </row>
        <row r="45">
          <cell r="B45" t="str">
            <v>Widodo</v>
          </cell>
          <cell r="C45" t="str">
            <v>Sukoharjo, 11 Agustus 1963</v>
          </cell>
          <cell r="D45" t="str">
            <v>Jl.Kademangan No.25  Kota Cimahi</v>
          </cell>
          <cell r="E45" t="str">
            <v>Logistik</v>
          </cell>
          <cell r="F45" t="str">
            <v>03 OC ou 0041764</v>
          </cell>
          <cell r="G45" t="str">
            <v>STM</v>
          </cell>
          <cell r="H45" t="str">
            <v>Cimahi Tengah</v>
          </cell>
          <cell r="I45" t="str">
            <v>01/06</v>
          </cell>
          <cell r="J45" t="str">
            <v>Cimahi Tengah</v>
          </cell>
          <cell r="L45" t="str">
            <v>1056011108630000</v>
          </cell>
          <cell r="M45">
            <v>1982</v>
          </cell>
        </row>
        <row r="46">
          <cell r="B46" t="str">
            <v>Ir. Th. Widia Liestiani</v>
          </cell>
          <cell r="C46" t="str">
            <v>Yogyakarta, 31 Januari 1966</v>
          </cell>
          <cell r="D46" t="str">
            <v>Jl. Sorowajan Baru No. 41 Yogyakarta</v>
          </cell>
          <cell r="E46" t="str">
            <v>Quality Control</v>
          </cell>
          <cell r="F46" t="str">
            <v>050/S/TS/93</v>
          </cell>
          <cell r="M46">
            <v>1993</v>
          </cell>
        </row>
        <row r="47">
          <cell r="B47" t="str">
            <v>Ali Bosar Harahap</v>
          </cell>
          <cell r="C47" t="str">
            <v>Tapanuli, 20 Pebruari 1963</v>
          </cell>
          <cell r="D47" t="str">
            <v>Jl. Puspa Barat No. 08 RT/RW 008/026 Margacinta BDG</v>
          </cell>
          <cell r="E47" t="str">
            <v>Pelaksana</v>
          </cell>
          <cell r="F47" t="str">
            <v>02.OC.ou.0080566</v>
          </cell>
          <cell r="G47" t="str">
            <v>STM Bangunan</v>
          </cell>
          <cell r="H47" t="str">
            <v>Sekejati</v>
          </cell>
          <cell r="I47" t="str">
            <v>008/026</v>
          </cell>
          <cell r="J47" t="str">
            <v>Margacinta</v>
          </cell>
          <cell r="K47" t="str">
            <v>40286</v>
          </cell>
          <cell r="L47" t="str">
            <v>1050222002633002</v>
          </cell>
          <cell r="M47">
            <v>1993</v>
          </cell>
        </row>
      </sheetData>
      <sheetData sheetId="23" refreshError="1"/>
      <sheetData sheetId="24" refreshError="1"/>
      <sheetData sheetId="25" refreshError="1"/>
      <sheetData sheetId="26" refreshError="1"/>
      <sheetData sheetId="27" refreshError="1"/>
      <sheetData sheetId="28" refreshError="1"/>
      <sheetData sheetId="29" refreshError="1">
        <row r="19">
          <cell r="B19" t="str">
            <v>Asphalt Mixing Plant</v>
          </cell>
          <cell r="F19">
            <v>60</v>
          </cell>
          <cell r="G19" t="str">
            <v>ton/hr</v>
          </cell>
          <cell r="H19">
            <v>1100000000</v>
          </cell>
          <cell r="I19">
            <v>5</v>
          </cell>
          <cell r="J19">
            <v>2000</v>
          </cell>
          <cell r="K19">
            <v>865000000</v>
          </cell>
          <cell r="L19">
            <v>86500000</v>
          </cell>
          <cell r="M19">
            <v>0.28089999999999998</v>
          </cell>
          <cell r="N19">
            <v>109340.325</v>
          </cell>
          <cell r="O19">
            <v>1100</v>
          </cell>
          <cell r="P19">
            <v>110440.325</v>
          </cell>
          <cell r="Q19">
            <v>600</v>
          </cell>
          <cell r="R19">
            <v>1</v>
          </cell>
          <cell r="S19">
            <v>1010000</v>
          </cell>
          <cell r="T19">
            <v>8.7499999999999994E-2</v>
          </cell>
          <cell r="U19">
            <v>37843.75</v>
          </cell>
          <cell r="V19">
            <v>0.17499999999999999</v>
          </cell>
          <cell r="W19">
            <v>75687.5</v>
          </cell>
          <cell r="X19">
            <v>4500</v>
          </cell>
          <cell r="Y19">
            <v>15000</v>
          </cell>
          <cell r="Z19">
            <v>1143031.25</v>
          </cell>
          <cell r="AA19">
            <v>1253000</v>
          </cell>
        </row>
        <row r="21">
          <cell r="B21" t="str">
            <v>Dump Truck  14 Ton</v>
          </cell>
          <cell r="E21">
            <v>160</v>
          </cell>
          <cell r="F21">
            <v>14</v>
          </cell>
          <cell r="G21" t="str">
            <v>ton</v>
          </cell>
          <cell r="H21">
            <v>240000000</v>
          </cell>
          <cell r="I21">
            <v>5</v>
          </cell>
          <cell r="J21">
            <v>2000</v>
          </cell>
          <cell r="K21">
            <v>156000000</v>
          </cell>
          <cell r="L21">
            <v>15600000</v>
          </cell>
          <cell r="M21">
            <v>0.28089999999999998</v>
          </cell>
          <cell r="N21">
            <v>19719.18</v>
          </cell>
          <cell r="O21">
            <v>240</v>
          </cell>
          <cell r="P21">
            <v>19959.18</v>
          </cell>
          <cell r="Q21">
            <v>20</v>
          </cell>
          <cell r="R21">
            <v>0.56000000000000005</v>
          </cell>
          <cell r="S21">
            <v>44200</v>
          </cell>
          <cell r="T21">
            <v>8.7499999999999994E-2</v>
          </cell>
          <cell r="U21">
            <v>6825</v>
          </cell>
          <cell r="V21">
            <v>0.125</v>
          </cell>
          <cell r="W21">
            <v>9750</v>
          </cell>
          <cell r="X21">
            <v>4500</v>
          </cell>
          <cell r="Y21">
            <v>3000</v>
          </cell>
          <cell r="Z21">
            <v>68275</v>
          </cell>
          <cell r="AA21">
            <v>88200</v>
          </cell>
        </row>
        <row r="23">
          <cell r="B23" t="str">
            <v>Dump Truck 3 - 4 M3</v>
          </cell>
          <cell r="E23">
            <v>120</v>
          </cell>
          <cell r="F23">
            <v>6</v>
          </cell>
          <cell r="G23" t="str">
            <v>ton</v>
          </cell>
          <cell r="H23">
            <v>180000000</v>
          </cell>
          <cell r="I23">
            <v>5</v>
          </cell>
          <cell r="J23">
            <v>2000</v>
          </cell>
          <cell r="K23">
            <v>117000000</v>
          </cell>
          <cell r="L23">
            <v>11700000</v>
          </cell>
          <cell r="M23">
            <v>0.28089999999999998</v>
          </cell>
          <cell r="N23">
            <v>14789.385</v>
          </cell>
          <cell r="O23">
            <v>180</v>
          </cell>
          <cell r="P23">
            <v>14969.385</v>
          </cell>
          <cell r="Q23">
            <v>15</v>
          </cell>
          <cell r="R23">
            <v>0.42</v>
          </cell>
          <cell r="S23">
            <v>33150</v>
          </cell>
          <cell r="T23">
            <v>8.7499999999999994E-2</v>
          </cell>
          <cell r="U23">
            <v>5118.75</v>
          </cell>
          <cell r="V23">
            <v>0.125</v>
          </cell>
          <cell r="W23">
            <v>7312.5</v>
          </cell>
          <cell r="X23">
            <v>4500</v>
          </cell>
          <cell r="Y23">
            <v>3000</v>
          </cell>
          <cell r="Z23">
            <v>53081.25</v>
          </cell>
          <cell r="AA23">
            <v>68100</v>
          </cell>
        </row>
        <row r="25">
          <cell r="B25" t="str">
            <v>Dump Truck 24 Ton</v>
          </cell>
          <cell r="E25">
            <v>160</v>
          </cell>
          <cell r="F25">
            <v>20</v>
          </cell>
          <cell r="G25" t="str">
            <v>ton</v>
          </cell>
          <cell r="H25">
            <v>400000000</v>
          </cell>
          <cell r="I25">
            <v>5</v>
          </cell>
          <cell r="J25">
            <v>2000</v>
          </cell>
          <cell r="K25">
            <v>260000000</v>
          </cell>
          <cell r="L25">
            <v>26000000</v>
          </cell>
          <cell r="M25">
            <v>0.28089999999999998</v>
          </cell>
          <cell r="N25">
            <v>32865.299999999996</v>
          </cell>
          <cell r="O25">
            <v>400</v>
          </cell>
          <cell r="P25">
            <v>33265.299999999996</v>
          </cell>
          <cell r="Q25">
            <v>20</v>
          </cell>
          <cell r="R25">
            <v>0.56000000000000005</v>
          </cell>
          <cell r="S25">
            <v>44200</v>
          </cell>
          <cell r="T25">
            <v>8.7499999999999994E-2</v>
          </cell>
          <cell r="U25">
            <v>11375</v>
          </cell>
          <cell r="V25">
            <v>0.125</v>
          </cell>
          <cell r="W25">
            <v>16250</v>
          </cell>
          <cell r="X25">
            <v>4500</v>
          </cell>
          <cell r="Y25">
            <v>3000</v>
          </cell>
          <cell r="Z25">
            <v>79325</v>
          </cell>
          <cell r="AA25">
            <v>112600</v>
          </cell>
        </row>
        <row r="27">
          <cell r="B27" t="str">
            <v>Flat Bed Truck</v>
          </cell>
          <cell r="E27">
            <v>120</v>
          </cell>
          <cell r="F27">
            <v>4</v>
          </cell>
          <cell r="G27" t="str">
            <v>ton</v>
          </cell>
          <cell r="H27">
            <v>125000000</v>
          </cell>
          <cell r="I27">
            <v>5</v>
          </cell>
          <cell r="J27">
            <v>2000</v>
          </cell>
          <cell r="K27">
            <v>81250000</v>
          </cell>
          <cell r="L27">
            <v>8125000</v>
          </cell>
          <cell r="M27">
            <v>0.28089999999999998</v>
          </cell>
          <cell r="N27">
            <v>10270.40625</v>
          </cell>
          <cell r="O27">
            <v>125</v>
          </cell>
          <cell r="P27">
            <v>10395.40625</v>
          </cell>
          <cell r="Q27">
            <v>15</v>
          </cell>
          <cell r="R27">
            <v>0.42</v>
          </cell>
          <cell r="S27">
            <v>33150</v>
          </cell>
          <cell r="T27">
            <v>8.7499999999999994E-2</v>
          </cell>
          <cell r="U27">
            <v>3554.69</v>
          </cell>
          <cell r="V27">
            <v>0.125</v>
          </cell>
          <cell r="W27">
            <v>5078.13</v>
          </cell>
          <cell r="X27">
            <v>4500</v>
          </cell>
          <cell r="Y27">
            <v>3000</v>
          </cell>
          <cell r="Z27">
            <v>49282.82</v>
          </cell>
          <cell r="AA27">
            <v>59700</v>
          </cell>
        </row>
        <row r="29">
          <cell r="B29" t="str">
            <v>Excavator</v>
          </cell>
          <cell r="E29">
            <v>100</v>
          </cell>
          <cell r="F29">
            <v>0.9</v>
          </cell>
          <cell r="G29" t="str">
            <v>m3</v>
          </cell>
          <cell r="H29">
            <v>400000000</v>
          </cell>
          <cell r="I29">
            <v>5</v>
          </cell>
          <cell r="J29">
            <v>2000</v>
          </cell>
          <cell r="K29">
            <v>260000000</v>
          </cell>
          <cell r="L29">
            <v>26000000</v>
          </cell>
          <cell r="M29">
            <v>0.28089999999999998</v>
          </cell>
          <cell r="N29">
            <v>32865.299999999996</v>
          </cell>
          <cell r="O29">
            <v>400</v>
          </cell>
          <cell r="P29">
            <v>33149.299999999996</v>
          </cell>
          <cell r="Q29">
            <v>17.5</v>
          </cell>
          <cell r="R29">
            <v>0.6</v>
          </cell>
          <cell r="S29">
            <v>40875</v>
          </cell>
          <cell r="T29">
            <v>8.7499999999999994E-2</v>
          </cell>
          <cell r="U29">
            <v>11375</v>
          </cell>
          <cell r="V29">
            <v>0.125</v>
          </cell>
          <cell r="W29">
            <v>16250</v>
          </cell>
          <cell r="X29">
            <v>4500</v>
          </cell>
          <cell r="Y29">
            <v>3000</v>
          </cell>
          <cell r="Z29">
            <v>76000</v>
          </cell>
          <cell r="AA29">
            <v>109100</v>
          </cell>
        </row>
        <row r="31">
          <cell r="B31" t="str">
            <v>Asphalt Finisher</v>
          </cell>
          <cell r="E31">
            <v>60</v>
          </cell>
          <cell r="F31">
            <v>60</v>
          </cell>
          <cell r="G31" t="str">
            <v>ton/hr</v>
          </cell>
          <cell r="H31">
            <v>500000000</v>
          </cell>
          <cell r="I31">
            <v>4</v>
          </cell>
          <cell r="J31">
            <v>2000</v>
          </cell>
          <cell r="K31">
            <v>325000000</v>
          </cell>
          <cell r="L31">
            <v>32500000</v>
          </cell>
          <cell r="M31">
            <v>0.3327</v>
          </cell>
          <cell r="N31">
            <v>48657.375</v>
          </cell>
          <cell r="O31">
            <v>500</v>
          </cell>
          <cell r="P31">
            <v>49157.375</v>
          </cell>
          <cell r="Q31">
            <v>10.5</v>
          </cell>
          <cell r="R31">
            <v>0.36</v>
          </cell>
          <cell r="S31">
            <v>24525</v>
          </cell>
          <cell r="T31">
            <v>8.7499999999999994E-2</v>
          </cell>
          <cell r="U31">
            <v>14218.75</v>
          </cell>
          <cell r="V31">
            <v>0.125</v>
          </cell>
          <cell r="W31">
            <v>20312.5</v>
          </cell>
          <cell r="X31">
            <v>4500</v>
          </cell>
          <cell r="Y31">
            <v>3000</v>
          </cell>
          <cell r="Z31">
            <v>66556.25</v>
          </cell>
          <cell r="AA31">
            <v>115700</v>
          </cell>
        </row>
        <row r="33">
          <cell r="B33" t="str">
            <v>Pneumatic Tired Roller</v>
          </cell>
          <cell r="E33">
            <v>90</v>
          </cell>
          <cell r="F33" t="str">
            <v>10-15</v>
          </cell>
          <cell r="G33" t="str">
            <v>ton</v>
          </cell>
          <cell r="H33">
            <v>300000000</v>
          </cell>
          <cell r="I33">
            <v>5</v>
          </cell>
          <cell r="J33">
            <v>2000</v>
          </cell>
          <cell r="K33">
            <v>195000000</v>
          </cell>
          <cell r="L33">
            <v>19500000</v>
          </cell>
          <cell r="M33">
            <v>0.28089999999999998</v>
          </cell>
          <cell r="N33">
            <v>24648.974999999999</v>
          </cell>
          <cell r="O33">
            <v>300</v>
          </cell>
          <cell r="P33">
            <v>24948.974999999999</v>
          </cell>
          <cell r="Q33">
            <v>15.749999999999998</v>
          </cell>
          <cell r="R33">
            <v>0.54</v>
          </cell>
          <cell r="S33">
            <v>36787.5</v>
          </cell>
          <cell r="T33">
            <v>8.7499999999999994E-2</v>
          </cell>
          <cell r="U33">
            <v>8531.25</v>
          </cell>
          <cell r="V33">
            <v>0.125</v>
          </cell>
          <cell r="W33">
            <v>12187.5</v>
          </cell>
          <cell r="X33">
            <v>4500</v>
          </cell>
          <cell r="Y33">
            <v>3000</v>
          </cell>
          <cell r="Z33">
            <v>65006.25</v>
          </cell>
          <cell r="AA33">
            <v>90000</v>
          </cell>
        </row>
        <row r="35">
          <cell r="B35" t="str">
            <v>Tandem Roller</v>
          </cell>
          <cell r="E35">
            <v>90</v>
          </cell>
          <cell r="F35">
            <v>8</v>
          </cell>
          <cell r="G35" t="str">
            <v>ton</v>
          </cell>
          <cell r="H35">
            <v>250000000</v>
          </cell>
          <cell r="I35">
            <v>4</v>
          </cell>
          <cell r="J35">
            <v>2000</v>
          </cell>
          <cell r="K35">
            <v>162500000</v>
          </cell>
          <cell r="L35">
            <v>16250000</v>
          </cell>
          <cell r="M35">
            <v>0.3327</v>
          </cell>
          <cell r="N35">
            <v>24328.6875</v>
          </cell>
          <cell r="O35">
            <v>250</v>
          </cell>
          <cell r="P35">
            <v>24578.6875</v>
          </cell>
          <cell r="Q35">
            <v>15.749999999999998</v>
          </cell>
          <cell r="R35">
            <v>0.54</v>
          </cell>
          <cell r="S35">
            <v>36787.5</v>
          </cell>
          <cell r="T35">
            <v>8.7499999999999994E-2</v>
          </cell>
          <cell r="U35">
            <v>7109.38</v>
          </cell>
          <cell r="V35">
            <v>0.125</v>
          </cell>
          <cell r="W35">
            <v>10156.25</v>
          </cell>
          <cell r="X35">
            <v>4500</v>
          </cell>
          <cell r="Y35">
            <v>3000</v>
          </cell>
          <cell r="Z35">
            <v>61553.13</v>
          </cell>
          <cell r="AA35">
            <v>86100</v>
          </cell>
        </row>
        <row r="37">
          <cell r="B37" t="str">
            <v>Wheel Loader</v>
          </cell>
          <cell r="E37">
            <v>120</v>
          </cell>
          <cell r="F37">
            <v>1.7</v>
          </cell>
          <cell r="G37" t="str">
            <v>m3</v>
          </cell>
          <cell r="H37">
            <v>375000000</v>
          </cell>
          <cell r="I37">
            <v>5</v>
          </cell>
          <cell r="J37">
            <v>2000</v>
          </cell>
          <cell r="K37">
            <v>243750000</v>
          </cell>
          <cell r="L37">
            <v>24375000</v>
          </cell>
          <cell r="M37">
            <v>0.28089999999999998</v>
          </cell>
          <cell r="N37">
            <v>30811.21875</v>
          </cell>
          <cell r="O37">
            <v>375</v>
          </cell>
          <cell r="P37">
            <v>31186.21875</v>
          </cell>
          <cell r="Q37">
            <v>21</v>
          </cell>
          <cell r="R37">
            <v>0.72</v>
          </cell>
          <cell r="S37">
            <v>49050</v>
          </cell>
          <cell r="T37">
            <v>8.7499999999999994E-2</v>
          </cell>
          <cell r="U37">
            <v>10664.06</v>
          </cell>
          <cell r="V37">
            <v>0.125</v>
          </cell>
          <cell r="W37">
            <v>15234.38</v>
          </cell>
          <cell r="X37">
            <v>4500</v>
          </cell>
          <cell r="Y37">
            <v>3000</v>
          </cell>
          <cell r="Z37">
            <v>82448.44</v>
          </cell>
          <cell r="AA37">
            <v>113600</v>
          </cell>
        </row>
        <row r="39">
          <cell r="B39" t="str">
            <v>Motor Grader</v>
          </cell>
          <cell r="E39">
            <v>120</v>
          </cell>
          <cell r="F39">
            <v>60</v>
          </cell>
          <cell r="G39" t="str">
            <v>m3/hr</v>
          </cell>
          <cell r="H39">
            <v>400000000</v>
          </cell>
          <cell r="I39">
            <v>5</v>
          </cell>
          <cell r="J39">
            <v>2000</v>
          </cell>
          <cell r="K39">
            <v>260000000</v>
          </cell>
          <cell r="L39">
            <v>26000000</v>
          </cell>
          <cell r="M39">
            <v>0.28089999999999998</v>
          </cell>
          <cell r="N39">
            <v>32865.299999999996</v>
          </cell>
          <cell r="O39">
            <v>400</v>
          </cell>
          <cell r="P39">
            <v>33265.299999999996</v>
          </cell>
          <cell r="Q39">
            <v>21</v>
          </cell>
          <cell r="R39">
            <v>0.72</v>
          </cell>
          <cell r="S39">
            <v>49050</v>
          </cell>
          <cell r="T39">
            <v>8.7499999999999994E-2</v>
          </cell>
          <cell r="U39">
            <v>11375</v>
          </cell>
          <cell r="V39">
            <v>0.125</v>
          </cell>
          <cell r="W39">
            <v>16250</v>
          </cell>
          <cell r="X39">
            <v>4500</v>
          </cell>
          <cell r="Y39">
            <v>3000</v>
          </cell>
          <cell r="Z39">
            <v>84175</v>
          </cell>
          <cell r="AA39">
            <v>117400</v>
          </cell>
        </row>
        <row r="41">
          <cell r="B41" t="str">
            <v>Vibro Roller</v>
          </cell>
          <cell r="E41">
            <v>90</v>
          </cell>
          <cell r="F41">
            <v>10</v>
          </cell>
          <cell r="G41" t="str">
            <v>ton</v>
          </cell>
          <cell r="H41">
            <v>275000000</v>
          </cell>
          <cell r="I41">
            <v>4</v>
          </cell>
          <cell r="J41">
            <v>2000</v>
          </cell>
          <cell r="K41">
            <v>178750000</v>
          </cell>
          <cell r="L41">
            <v>17875000</v>
          </cell>
          <cell r="M41">
            <v>0.3327</v>
          </cell>
          <cell r="N41">
            <v>26761.556250000001</v>
          </cell>
          <cell r="O41">
            <v>275</v>
          </cell>
          <cell r="P41">
            <v>27036.556250000001</v>
          </cell>
          <cell r="Q41">
            <v>15.749999999999998</v>
          </cell>
          <cell r="R41">
            <v>0.54</v>
          </cell>
          <cell r="S41">
            <v>36787.5</v>
          </cell>
          <cell r="T41">
            <v>8.7499999999999994E-2</v>
          </cell>
          <cell r="U41">
            <v>7820.31</v>
          </cell>
          <cell r="V41">
            <v>0.125</v>
          </cell>
          <cell r="W41">
            <v>11171.88</v>
          </cell>
          <cell r="X41">
            <v>4500</v>
          </cell>
          <cell r="Y41">
            <v>3000</v>
          </cell>
          <cell r="Z41">
            <v>63279.689999999995</v>
          </cell>
          <cell r="AA41">
            <v>90300</v>
          </cell>
        </row>
        <row r="43">
          <cell r="B43" t="str">
            <v>Stone Crusher</v>
          </cell>
          <cell r="F43">
            <v>60</v>
          </cell>
          <cell r="G43" t="str">
            <v>ton/hr</v>
          </cell>
          <cell r="H43">
            <v>800000000</v>
          </cell>
          <cell r="I43">
            <v>4</v>
          </cell>
          <cell r="J43">
            <v>2000</v>
          </cell>
          <cell r="K43">
            <v>520000000</v>
          </cell>
          <cell r="L43">
            <v>52000000</v>
          </cell>
          <cell r="M43">
            <v>0.3327</v>
          </cell>
          <cell r="N43">
            <v>77851.8</v>
          </cell>
          <cell r="O43">
            <v>800</v>
          </cell>
          <cell r="P43">
            <v>78651.8</v>
          </cell>
          <cell r="Q43">
            <v>11</v>
          </cell>
          <cell r="R43">
            <v>0.95</v>
          </cell>
          <cell r="S43">
            <v>37150</v>
          </cell>
          <cell r="T43">
            <v>8.7499999999999994E-2</v>
          </cell>
          <cell r="U43">
            <v>22750</v>
          </cell>
          <cell r="V43">
            <v>0.125</v>
          </cell>
          <cell r="W43">
            <v>32500</v>
          </cell>
          <cell r="X43">
            <v>4500</v>
          </cell>
          <cell r="Y43">
            <v>18000</v>
          </cell>
          <cell r="Z43">
            <v>114900</v>
          </cell>
          <cell r="AA43">
            <v>193600</v>
          </cell>
        </row>
        <row r="45">
          <cell r="B45" t="str">
            <v>Generator Set 500 Kva</v>
          </cell>
          <cell r="E45">
            <v>100</v>
          </cell>
          <cell r="F45">
            <v>500</v>
          </cell>
          <cell r="G45" t="str">
            <v>KVA</v>
          </cell>
          <cell r="H45">
            <v>400000000</v>
          </cell>
          <cell r="I45">
            <v>3</v>
          </cell>
          <cell r="J45">
            <v>2000</v>
          </cell>
          <cell r="K45">
            <v>260000000</v>
          </cell>
          <cell r="L45">
            <v>26000000</v>
          </cell>
          <cell r="M45">
            <v>0.4199</v>
          </cell>
          <cell r="N45">
            <v>49128.3</v>
          </cell>
          <cell r="O45">
            <v>400</v>
          </cell>
          <cell r="P45">
            <v>49528.3</v>
          </cell>
          <cell r="Q45">
            <v>13</v>
          </cell>
          <cell r="R45">
            <v>0.6</v>
          </cell>
          <cell r="S45">
            <v>33450</v>
          </cell>
          <cell r="T45">
            <v>8.7499999999999994E-2</v>
          </cell>
          <cell r="U45">
            <v>11375</v>
          </cell>
          <cell r="V45">
            <v>0.125</v>
          </cell>
          <cell r="W45">
            <v>16250</v>
          </cell>
          <cell r="X45">
            <v>4500</v>
          </cell>
          <cell r="Y45">
            <v>3000</v>
          </cell>
          <cell r="Z45">
            <v>68575</v>
          </cell>
          <cell r="AA45">
            <v>118100</v>
          </cell>
        </row>
        <row r="47">
          <cell r="B47" t="str">
            <v>Three Wheel Roller</v>
          </cell>
          <cell r="E47">
            <v>60</v>
          </cell>
          <cell r="F47">
            <v>10</v>
          </cell>
          <cell r="G47" t="str">
            <v>ton</v>
          </cell>
          <cell r="H47">
            <v>150000000</v>
          </cell>
          <cell r="I47">
            <v>5</v>
          </cell>
          <cell r="J47">
            <v>2000</v>
          </cell>
          <cell r="K47">
            <v>97500000</v>
          </cell>
          <cell r="L47">
            <v>9750000</v>
          </cell>
          <cell r="M47">
            <v>0.28089999999999998</v>
          </cell>
          <cell r="N47">
            <v>12324.487499999999</v>
          </cell>
          <cell r="O47">
            <v>150</v>
          </cell>
          <cell r="P47">
            <v>12474.487499999999</v>
          </cell>
          <cell r="Q47">
            <v>10.5</v>
          </cell>
          <cell r="R47">
            <v>0.36</v>
          </cell>
          <cell r="S47">
            <v>24525</v>
          </cell>
          <cell r="T47">
            <v>8.7499999999999994E-2</v>
          </cell>
          <cell r="U47">
            <v>4265.63</v>
          </cell>
          <cell r="V47">
            <v>0.125</v>
          </cell>
          <cell r="W47">
            <v>6093.75</v>
          </cell>
          <cell r="X47">
            <v>1500</v>
          </cell>
          <cell r="Y47">
            <v>3000</v>
          </cell>
          <cell r="Z47">
            <v>39384.380000000005</v>
          </cell>
          <cell r="AA47">
            <v>51900</v>
          </cell>
        </row>
        <row r="49">
          <cell r="B49" t="str">
            <v>Asphalt Sprayer</v>
          </cell>
          <cell r="E49">
            <v>80</v>
          </cell>
          <cell r="F49">
            <v>1600</v>
          </cell>
          <cell r="G49" t="str">
            <v>lt/hr</v>
          </cell>
          <cell r="H49">
            <v>120000000</v>
          </cell>
          <cell r="I49">
            <v>5</v>
          </cell>
          <cell r="J49">
            <v>1600</v>
          </cell>
          <cell r="K49">
            <v>78000000</v>
          </cell>
          <cell r="L49">
            <v>7800000</v>
          </cell>
          <cell r="M49">
            <v>0.28089999999999998</v>
          </cell>
          <cell r="N49">
            <v>12324.487499999999</v>
          </cell>
          <cell r="O49">
            <v>150</v>
          </cell>
          <cell r="P49">
            <v>12474.487499999999</v>
          </cell>
          <cell r="Q49">
            <v>10</v>
          </cell>
          <cell r="R49">
            <v>0.28000000000000003</v>
          </cell>
          <cell r="S49">
            <v>22100</v>
          </cell>
          <cell r="T49">
            <v>8.7499999999999994E-2</v>
          </cell>
          <cell r="U49">
            <v>3868.63</v>
          </cell>
          <cell r="V49">
            <v>0.125</v>
          </cell>
          <cell r="W49">
            <v>6093.75</v>
          </cell>
          <cell r="X49">
            <v>1500</v>
          </cell>
          <cell r="Y49">
            <v>3000</v>
          </cell>
          <cell r="Z49">
            <v>36562.380000000005</v>
          </cell>
          <cell r="AA49">
            <v>49000</v>
          </cell>
        </row>
        <row r="51">
          <cell r="B51" t="str">
            <v>Air Compressor</v>
          </cell>
          <cell r="E51">
            <v>110</v>
          </cell>
          <cell r="F51">
            <v>6500</v>
          </cell>
          <cell r="G51" t="str">
            <v>l/min</v>
          </cell>
          <cell r="H51">
            <v>100000000</v>
          </cell>
          <cell r="I51">
            <v>5</v>
          </cell>
          <cell r="J51">
            <v>1600</v>
          </cell>
          <cell r="K51">
            <v>65000000</v>
          </cell>
          <cell r="L51">
            <v>6500000</v>
          </cell>
          <cell r="M51">
            <v>0.28089999999999998</v>
          </cell>
          <cell r="N51">
            <v>10270.406249999998</v>
          </cell>
          <cell r="O51">
            <v>125</v>
          </cell>
          <cell r="P51">
            <v>10395.406249999998</v>
          </cell>
          <cell r="Q51">
            <v>13.75</v>
          </cell>
          <cell r="R51">
            <v>0.38500000000000001</v>
          </cell>
          <cell r="S51">
            <v>30387.5</v>
          </cell>
          <cell r="T51">
            <v>8.7499999999999994E-2</v>
          </cell>
          <cell r="U51">
            <v>3554.69</v>
          </cell>
          <cell r="V51">
            <v>0.125</v>
          </cell>
          <cell r="W51">
            <v>5078.13</v>
          </cell>
          <cell r="X51">
            <v>1500</v>
          </cell>
          <cell r="Y51">
            <v>3000</v>
          </cell>
          <cell r="Z51">
            <v>43520.32</v>
          </cell>
          <cell r="AA51">
            <v>53900</v>
          </cell>
        </row>
        <row r="53">
          <cell r="B53" t="str">
            <v>Water Tanker</v>
          </cell>
          <cell r="E53">
            <v>115</v>
          </cell>
          <cell r="F53">
            <v>5000</v>
          </cell>
          <cell r="G53" t="str">
            <v>lt</v>
          </cell>
          <cell r="H53">
            <v>185000000</v>
          </cell>
          <cell r="I53">
            <v>5</v>
          </cell>
          <cell r="J53">
            <v>2000</v>
          </cell>
          <cell r="K53">
            <v>120250000</v>
          </cell>
          <cell r="L53">
            <v>12025000</v>
          </cell>
          <cell r="M53">
            <v>0.28089999999999998</v>
          </cell>
          <cell r="N53">
            <v>15200.20125</v>
          </cell>
          <cell r="O53">
            <v>185</v>
          </cell>
          <cell r="P53">
            <v>15385.20125</v>
          </cell>
          <cell r="Q53">
            <v>14.375</v>
          </cell>
          <cell r="R53">
            <v>0.40250000000000002</v>
          </cell>
          <cell r="S53">
            <v>31768.75</v>
          </cell>
          <cell r="T53">
            <v>8.7499999999999994E-2</v>
          </cell>
          <cell r="U53">
            <v>5260.94</v>
          </cell>
          <cell r="V53">
            <v>0.125</v>
          </cell>
          <cell r="W53">
            <v>7515.63</v>
          </cell>
          <cell r="X53">
            <v>1500</v>
          </cell>
          <cell r="Y53">
            <v>3000</v>
          </cell>
          <cell r="Z53">
            <v>49045.32</v>
          </cell>
          <cell r="AA53">
            <v>64400</v>
          </cell>
        </row>
        <row r="55">
          <cell r="B55" t="str">
            <v>Concrete Mixer</v>
          </cell>
          <cell r="E55">
            <v>6.5</v>
          </cell>
          <cell r="F55">
            <v>350</v>
          </cell>
          <cell r="G55" t="str">
            <v>ltr</v>
          </cell>
          <cell r="H55">
            <v>20000000</v>
          </cell>
          <cell r="I55">
            <v>3</v>
          </cell>
          <cell r="J55">
            <v>1600</v>
          </cell>
          <cell r="K55">
            <v>13000000</v>
          </cell>
          <cell r="L55">
            <v>1300000</v>
          </cell>
          <cell r="M55">
            <v>0.4199</v>
          </cell>
          <cell r="N55">
            <v>3070.5187500000002</v>
          </cell>
          <cell r="O55">
            <v>25</v>
          </cell>
          <cell r="P55">
            <v>3095.5187500000002</v>
          </cell>
          <cell r="Q55">
            <v>0.8125</v>
          </cell>
          <cell r="R55">
            <v>2.2749999999999999E-2</v>
          </cell>
          <cell r="S55">
            <v>1795.63</v>
          </cell>
          <cell r="T55">
            <v>8.7499999999999994E-2</v>
          </cell>
          <cell r="U55">
            <v>710.94</v>
          </cell>
          <cell r="V55">
            <v>0.125</v>
          </cell>
          <cell r="W55">
            <v>1131.78</v>
          </cell>
          <cell r="X55">
            <v>1500</v>
          </cell>
          <cell r="Y55">
            <v>3000</v>
          </cell>
          <cell r="Z55">
            <v>8138.35</v>
          </cell>
          <cell r="AA55">
            <v>11200</v>
          </cell>
        </row>
        <row r="57">
          <cell r="B57" t="str">
            <v>Stamper</v>
          </cell>
          <cell r="E57">
            <v>3</v>
          </cell>
          <cell r="F57">
            <v>4</v>
          </cell>
          <cell r="G57" t="str">
            <v>m3</v>
          </cell>
          <cell r="H57">
            <v>20000000</v>
          </cell>
          <cell r="I57">
            <v>3</v>
          </cell>
          <cell r="J57">
            <v>1600</v>
          </cell>
          <cell r="K57">
            <v>13000000</v>
          </cell>
          <cell r="L57">
            <v>1300000</v>
          </cell>
          <cell r="M57">
            <v>0.4199</v>
          </cell>
          <cell r="N57">
            <v>3070.5187500000002</v>
          </cell>
          <cell r="O57">
            <v>25</v>
          </cell>
          <cell r="P57">
            <v>3095.5187500000002</v>
          </cell>
          <cell r="Q57">
            <v>0.375</v>
          </cell>
          <cell r="R57">
            <v>1.0500000000000001E-2</v>
          </cell>
          <cell r="S57">
            <v>828.75</v>
          </cell>
          <cell r="T57">
            <v>8.7499999999999994E-2</v>
          </cell>
          <cell r="U57">
            <v>710.94</v>
          </cell>
          <cell r="V57">
            <v>0.125</v>
          </cell>
          <cell r="W57">
            <v>1015.63</v>
          </cell>
          <cell r="X57">
            <v>1500</v>
          </cell>
          <cell r="Y57">
            <v>3000</v>
          </cell>
          <cell r="Z57">
            <v>7055.32</v>
          </cell>
          <cell r="AA57">
            <v>10200</v>
          </cell>
        </row>
        <row r="59">
          <cell r="B59" t="str">
            <v>Bulldozer</v>
          </cell>
          <cell r="E59">
            <v>120</v>
          </cell>
          <cell r="H59">
            <v>400000000</v>
          </cell>
          <cell r="I59">
            <v>5</v>
          </cell>
          <cell r="J59">
            <v>2000</v>
          </cell>
          <cell r="K59">
            <v>260000000</v>
          </cell>
          <cell r="L59">
            <v>26000000</v>
          </cell>
          <cell r="M59">
            <v>0.28089999999999998</v>
          </cell>
          <cell r="N59">
            <v>32865.299999999996</v>
          </cell>
          <cell r="O59">
            <v>400</v>
          </cell>
          <cell r="P59">
            <v>33265.299999999996</v>
          </cell>
          <cell r="Q59">
            <v>21</v>
          </cell>
          <cell r="R59">
            <v>0.72</v>
          </cell>
          <cell r="S59">
            <v>49050</v>
          </cell>
          <cell r="T59">
            <v>8.7499999999999994E-2</v>
          </cell>
          <cell r="U59">
            <v>11375</v>
          </cell>
          <cell r="V59">
            <v>0.125</v>
          </cell>
          <cell r="W59">
            <v>16250</v>
          </cell>
          <cell r="X59">
            <v>4500</v>
          </cell>
          <cell r="Y59">
            <v>3000</v>
          </cell>
          <cell r="Z59">
            <v>84175</v>
          </cell>
          <cell r="AA59">
            <v>117400</v>
          </cell>
        </row>
        <row r="61">
          <cell r="B61" t="str">
            <v>Water Pump, 100 mm</v>
          </cell>
          <cell r="E61">
            <v>0.5</v>
          </cell>
          <cell r="F61">
            <v>100</v>
          </cell>
          <cell r="G61" t="str">
            <v>Ltr/mnt</v>
          </cell>
          <cell r="H61">
            <v>3000000</v>
          </cell>
          <cell r="I61">
            <v>3</v>
          </cell>
          <cell r="J61">
            <v>1600</v>
          </cell>
          <cell r="K61">
            <v>1950000</v>
          </cell>
          <cell r="L61">
            <v>195000</v>
          </cell>
          <cell r="M61">
            <v>0.4199</v>
          </cell>
          <cell r="N61">
            <v>460.57781249999999</v>
          </cell>
          <cell r="O61">
            <v>3.75</v>
          </cell>
          <cell r="P61">
            <v>464.32781249999999</v>
          </cell>
          <cell r="Q61">
            <v>8.7499999999999994E-2</v>
          </cell>
          <cell r="R61">
            <v>3.0000000000000001E-3</v>
          </cell>
          <cell r="S61">
            <v>204.38</v>
          </cell>
          <cell r="T61">
            <v>8.7499999999999994E-2</v>
          </cell>
          <cell r="U61">
            <v>106.64</v>
          </cell>
          <cell r="V61">
            <v>0.125</v>
          </cell>
          <cell r="W61">
            <v>152.34</v>
          </cell>
          <cell r="X61">
            <v>4500</v>
          </cell>
          <cell r="Y61">
            <v>3000</v>
          </cell>
          <cell r="Z61">
            <v>7963.36</v>
          </cell>
          <cell r="AA61">
            <v>8400</v>
          </cell>
        </row>
        <row r="63">
          <cell r="B63" t="str">
            <v>Concrete Vibrator</v>
          </cell>
          <cell r="E63">
            <v>3</v>
          </cell>
          <cell r="H63">
            <v>20000000</v>
          </cell>
          <cell r="I63">
            <v>3</v>
          </cell>
          <cell r="J63">
            <v>1600</v>
          </cell>
          <cell r="K63">
            <v>13000000</v>
          </cell>
          <cell r="L63">
            <v>1300000</v>
          </cell>
          <cell r="M63">
            <v>0.4199</v>
          </cell>
          <cell r="N63">
            <v>3070.5187500000002</v>
          </cell>
          <cell r="O63">
            <v>25</v>
          </cell>
          <cell r="P63">
            <v>3095.5187500000002</v>
          </cell>
          <cell r="Q63">
            <v>0.375</v>
          </cell>
          <cell r="R63">
            <v>1.0500000000000001E-2</v>
          </cell>
          <cell r="S63">
            <v>828.75</v>
          </cell>
          <cell r="T63">
            <v>8.7499999999999994E-2</v>
          </cell>
          <cell r="U63">
            <v>710.94</v>
          </cell>
          <cell r="V63">
            <v>0.125</v>
          </cell>
          <cell r="W63">
            <v>1015.63</v>
          </cell>
          <cell r="X63">
            <v>1500</v>
          </cell>
          <cell r="Y63">
            <v>3000</v>
          </cell>
          <cell r="Z63">
            <v>7055.32</v>
          </cell>
          <cell r="AA63">
            <v>10200</v>
          </cell>
        </row>
        <row r="65">
          <cell r="B65" t="str">
            <v>Bar Cutting Machine</v>
          </cell>
          <cell r="E65">
            <v>1</v>
          </cell>
          <cell r="F65">
            <v>500</v>
          </cell>
          <cell r="G65" t="str">
            <v>kg/jam</v>
          </cell>
          <cell r="H65">
            <v>5000000</v>
          </cell>
          <cell r="I65">
            <v>3</v>
          </cell>
          <cell r="J65">
            <v>1600</v>
          </cell>
          <cell r="K65">
            <v>3250000</v>
          </cell>
          <cell r="L65">
            <v>325000</v>
          </cell>
          <cell r="M65">
            <v>0.4199</v>
          </cell>
          <cell r="N65">
            <v>767.62968750000005</v>
          </cell>
          <cell r="O65">
            <v>6.25</v>
          </cell>
          <cell r="P65">
            <v>773.87968750000005</v>
          </cell>
          <cell r="Q65">
            <v>0.125</v>
          </cell>
          <cell r="R65">
            <v>3.5000000000000001E-3</v>
          </cell>
          <cell r="T65">
            <v>8.7499999999999994E-2</v>
          </cell>
          <cell r="U65">
            <v>177.73</v>
          </cell>
          <cell r="V65">
            <v>0.125</v>
          </cell>
          <cell r="W65">
            <v>253.91</v>
          </cell>
          <cell r="X65">
            <v>1500</v>
          </cell>
          <cell r="Y65">
            <v>3000</v>
          </cell>
          <cell r="Z65">
            <v>4931.6399999999994</v>
          </cell>
          <cell r="AA65">
            <v>5700</v>
          </cell>
        </row>
        <row r="67">
          <cell r="B67" t="str">
            <v>Bar Bendding Machine</v>
          </cell>
          <cell r="E67">
            <v>1</v>
          </cell>
          <cell r="F67">
            <v>500</v>
          </cell>
          <cell r="G67" t="str">
            <v>kg/jam</v>
          </cell>
          <cell r="H67">
            <v>5000000</v>
          </cell>
          <cell r="I67">
            <v>3</v>
          </cell>
          <cell r="J67">
            <v>1600</v>
          </cell>
          <cell r="K67">
            <v>3250000</v>
          </cell>
          <cell r="L67">
            <v>325000</v>
          </cell>
          <cell r="M67">
            <v>0.4199</v>
          </cell>
          <cell r="N67">
            <v>767.62968750000005</v>
          </cell>
          <cell r="O67">
            <v>6.25</v>
          </cell>
          <cell r="P67">
            <v>773.87968750000005</v>
          </cell>
          <cell r="Q67">
            <v>0.125</v>
          </cell>
          <cell r="R67">
            <v>3.5000000000000001E-3</v>
          </cell>
          <cell r="T67">
            <v>8.7499999999999994E-2</v>
          </cell>
          <cell r="U67">
            <v>177.73</v>
          </cell>
          <cell r="V67">
            <v>0.125</v>
          </cell>
          <cell r="W67">
            <v>253.91</v>
          </cell>
          <cell r="X67">
            <v>1500</v>
          </cell>
          <cell r="Y67">
            <v>3000</v>
          </cell>
          <cell r="Z67">
            <v>4931.6399999999994</v>
          </cell>
          <cell r="AA67">
            <v>5700</v>
          </cell>
        </row>
        <row r="69">
          <cell r="B69" t="str">
            <v>Jack Hammer</v>
          </cell>
          <cell r="E69">
            <v>1</v>
          </cell>
          <cell r="F69">
            <v>10</v>
          </cell>
          <cell r="G69" t="str">
            <v>m3/jam</v>
          </cell>
          <cell r="H69">
            <v>3000000</v>
          </cell>
          <cell r="I69">
            <v>3</v>
          </cell>
          <cell r="J69">
            <v>1600</v>
          </cell>
          <cell r="K69">
            <v>2550000</v>
          </cell>
          <cell r="L69">
            <v>255000</v>
          </cell>
          <cell r="M69">
            <v>0.4199</v>
          </cell>
          <cell r="N69">
            <v>602.2940625</v>
          </cell>
          <cell r="O69">
            <v>3.75</v>
          </cell>
          <cell r="P69">
            <v>606.0440625</v>
          </cell>
          <cell r="Q69">
            <v>0.125</v>
          </cell>
          <cell r="R69">
            <v>3.5000000000000001E-3</v>
          </cell>
          <cell r="T69">
            <v>8.7499999999999994E-2</v>
          </cell>
          <cell r="U69">
            <v>139.44999999999999</v>
          </cell>
          <cell r="V69">
            <v>0.125</v>
          </cell>
          <cell r="W69">
            <v>199.22</v>
          </cell>
          <cell r="X69">
            <v>1500</v>
          </cell>
          <cell r="Y69">
            <v>3000</v>
          </cell>
          <cell r="Z69">
            <v>4838.67</v>
          </cell>
          <cell r="AA69">
            <v>5400</v>
          </cell>
        </row>
        <row r="71">
          <cell r="B71" t="str">
            <v>Crane 10 Ton</v>
          </cell>
          <cell r="E71">
            <v>1</v>
          </cell>
          <cell r="F71">
            <v>1.59</v>
          </cell>
          <cell r="G71" t="str">
            <v>m3/jam</v>
          </cell>
          <cell r="H71">
            <v>200000000</v>
          </cell>
          <cell r="I71">
            <v>5</v>
          </cell>
          <cell r="J71">
            <v>2000</v>
          </cell>
          <cell r="K71">
            <v>170000000</v>
          </cell>
          <cell r="L71">
            <v>17000000</v>
          </cell>
          <cell r="M71">
            <v>0.28089999999999998</v>
          </cell>
          <cell r="N71">
            <v>21488.85</v>
          </cell>
          <cell r="O71">
            <v>200</v>
          </cell>
          <cell r="P71">
            <v>21688.85</v>
          </cell>
          <cell r="Q71">
            <v>0.125</v>
          </cell>
          <cell r="R71">
            <v>3.5000000000000001E-3</v>
          </cell>
          <cell r="S71">
            <v>0</v>
          </cell>
          <cell r="T71">
            <v>8.7499999999999994E-2</v>
          </cell>
          <cell r="U71">
            <v>7437.5</v>
          </cell>
          <cell r="V71">
            <v>0.125</v>
          </cell>
          <cell r="W71">
            <v>10625</v>
          </cell>
          <cell r="X71">
            <v>1500</v>
          </cell>
          <cell r="Y71">
            <v>3000</v>
          </cell>
          <cell r="Z71">
            <v>22562.5</v>
          </cell>
          <cell r="AA71">
            <v>44300</v>
          </cell>
        </row>
        <row r="73">
          <cell r="B73" t="str">
            <v>Survey Equipment</v>
          </cell>
          <cell r="E73">
            <v>1</v>
          </cell>
          <cell r="I73">
            <v>3</v>
          </cell>
          <cell r="J73">
            <v>1600</v>
          </cell>
          <cell r="K73">
            <v>0</v>
          </cell>
          <cell r="L73">
            <v>0</v>
          </cell>
          <cell r="M73">
            <v>0.4199</v>
          </cell>
          <cell r="N73">
            <v>0</v>
          </cell>
          <cell r="O73">
            <v>0</v>
          </cell>
          <cell r="P73">
            <v>0</v>
          </cell>
          <cell r="Q73">
            <v>0.125</v>
          </cell>
          <cell r="R73">
            <v>3.5000000000000001E-3</v>
          </cell>
          <cell r="S73">
            <v>0</v>
          </cell>
          <cell r="T73">
            <v>8.7499999999999994E-2</v>
          </cell>
          <cell r="U73">
            <v>0</v>
          </cell>
          <cell r="V73">
            <v>0.125</v>
          </cell>
          <cell r="W73">
            <v>0</v>
          </cell>
          <cell r="X73">
            <v>1500</v>
          </cell>
          <cell r="Y73">
            <v>3000</v>
          </cell>
          <cell r="Z73">
            <v>4500</v>
          </cell>
          <cell r="AA73">
            <v>4500</v>
          </cell>
        </row>
      </sheetData>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m"/>
      <sheetName val="Du_lieu"/>
      <sheetName val="KH-Q1,Q2,01"/>
      <sheetName val="TONGKE3p "/>
      <sheetName val="TDTKP"/>
      <sheetName val="DON GIA"/>
      <sheetName val="TONG HOP VL-NC"/>
      <sheetName val="TNHCHINH"/>
      <sheetName val="CHITIET VL-NC-TT -1p"/>
      <sheetName val="TDTKP1"/>
      <sheetName val="phuluc1"/>
      <sheetName val="TONG HOP VL-NC TT"/>
      <sheetName val="KPVC-BD "/>
      <sheetName val="#REF"/>
      <sheetName val="gvl"/>
      <sheetName val="Tiepdia"/>
      <sheetName val="CHITIET VL-NC-TT-3p"/>
      <sheetName val="VCV-BE-TONG"/>
      <sheetName val="chitiet"/>
      <sheetName val="VC"/>
      <sheetName val="CHITIET VL-NC"/>
      <sheetName val="THPDMoi  (2)"/>
      <sheetName val="t-h HA THE"/>
      <sheetName val="giathanh1"/>
      <sheetName val="TONGKE-HT"/>
      <sheetName val="LKVL-CK-HT-GD1"/>
      <sheetName val="TH VL, NC, DDHT Thanhphuoc"/>
      <sheetName val="dongia (2)"/>
      <sheetName val="DG"/>
      <sheetName val="DONGIA"/>
      <sheetName val="chitimc"/>
      <sheetName val="dtxl"/>
      <sheetName val="gtrinh"/>
      <sheetName val="lam-moi"/>
      <sheetName val="TH XL"/>
      <sheetName val="thao-go"/>
      <sheetName val="BAOGIATHANG"/>
      <sheetName val="vanchuyen TC"/>
      <sheetName val="DAODAT"/>
      <sheetName val="dongiaX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rrency Rate"/>
      <sheetName val="Unit Price M"/>
      <sheetName val="Elektrikal"/>
      <sheetName val="REF.ONLY"/>
      <sheetName val="ES-aLL"/>
      <sheetName val="price"/>
      <sheetName val="FINISHING"/>
      <sheetName val="Material"/>
      <sheetName val="Upah"/>
      <sheetName val="REQDELTA"/>
      <sheetName val="Analisa SNI STANDART "/>
      <sheetName val="REF_ONLY"/>
      <sheetName val="Kuantitas &amp; Harga"/>
      <sheetName val="Peralatan"/>
      <sheetName val="Basic Price"/>
      <sheetName val="Analisa"/>
      <sheetName val="dasboard"/>
      <sheetName val="Mech_Breakdown_Formula"/>
      <sheetName val="An Arsitektur"/>
      <sheetName val="Unit Rate (2)"/>
      <sheetName val="escon"/>
      <sheetName val="Currency_Rate"/>
      <sheetName val="Unit_Price_M"/>
      <sheetName val="Analisa_SNI_STANDART_"/>
      <sheetName val="I_KAMAR"/>
      <sheetName val="Harsat"/>
      <sheetName val="Metode"/>
      <sheetName val="Analisa DMPU"/>
      <sheetName val="DAF-2"/>
      <sheetName val="ARSITEKTUR"/>
      <sheetName val="STRUKTUR"/>
      <sheetName val="PLUMBING"/>
      <sheetName val="Bill rekap"/>
      <sheetName val="Cash Flow bulanan"/>
      <sheetName val="BANGUNAN PENUNJANG"/>
      <sheetName val="satuan_pek_ars"/>
      <sheetName val="Rkp"/>
      <sheetName val="Str"/>
      <sheetName val="概総括1"/>
      <sheetName val="Cover Daf_2"/>
      <sheetName val="Rekap Direct Cost"/>
      <sheetName val="Bill of Qty MEP"/>
      <sheetName val="chitimc"/>
      <sheetName val="dongia (2)"/>
      <sheetName val="LKVL-CK-HT-GD1"/>
      <sheetName val="giathanh1"/>
      <sheetName val="THPDMoi  (2)"/>
      <sheetName val="gtrinh"/>
      <sheetName val="phuluc1"/>
      <sheetName val="TONG HOP VL-NC"/>
      <sheetName val="lam-moi"/>
      <sheetName val="chitiet"/>
      <sheetName val="TONGKE3p "/>
      <sheetName val="TH VL, NC, DDHT Thanhphuoc"/>
      <sheetName val="#REF"/>
      <sheetName val="DONGIA"/>
      <sheetName val="thao-go"/>
      <sheetName val="DON GIA"/>
      <sheetName val="TONGKE-HT"/>
      <sheetName val="DG"/>
      <sheetName val="dtxl"/>
      <sheetName val="t-h HA THE"/>
      <sheetName val="CHITIET VL-NC-TT -1p"/>
      <sheetName val="TONG HOP VL-NC TT"/>
      <sheetName val="TNHCHINH"/>
      <sheetName val="TH XL"/>
      <sheetName val="CHITIET VL-NC"/>
      <sheetName val="VC"/>
      <sheetName val="Tiepdia"/>
      <sheetName val="CHITIET VL-NC-TT-3p"/>
      <sheetName val="TDTKP"/>
      <sheetName val="TDTKP1"/>
      <sheetName val="KPVC-BD "/>
      <sheetName val="VCV-BE-TONG"/>
      <sheetName val="Bahan "/>
      <sheetName val="Pekerjaan "/>
      <sheetName val="Kolom UT"/>
      <sheetName val="304_06"/>
      <sheetName val="RAB"/>
      <sheetName val="Anl-Umum"/>
      <sheetName val="Bunga"/>
      <sheetName val="Pricing"/>
      <sheetName val="D &amp; W sizes"/>
      <sheetName val="OP. ALAT"/>
      <sheetName val="OP. PERJAM"/>
      <sheetName val="B. PERSONIL"/>
      <sheetName val="KAN. LOKAL"/>
      <sheetName val="TOWER D"/>
      <sheetName val="mat_me pipa"/>
      <sheetName val="DAF_2"/>
      <sheetName val="REKAP"/>
      <sheetName val="Mall"/>
      <sheetName val="Alat Kerja"/>
      <sheetName val="Daf 1"/>
      <sheetName val="Estimate"/>
      <sheetName val="TOWN"/>
      <sheetName val="I-KAMAR"/>
      <sheetName val="Bldg"/>
      <sheetName val="H.Satuan"/>
      <sheetName val="villa"/>
      <sheetName val="#REF!"/>
      <sheetName val="REF_ONLY1"/>
      <sheetName val="An_Arsitektur"/>
      <sheetName val="Unit_Rate_(2)"/>
      <sheetName val="Currency_Rate1"/>
      <sheetName val="Unit_Price_M1"/>
      <sheetName val="REF_ONLY2"/>
      <sheetName val="Analisa_SNI_STANDART_1"/>
      <sheetName val="An_Arsitektur1"/>
      <sheetName val="Unit_Rate_(2)1"/>
      <sheetName val="Currency_Rate2"/>
      <sheetName val="Unit_Price_M2"/>
      <sheetName val="REF_ONLY3"/>
      <sheetName val="Analisa_SNI_STANDART_2"/>
      <sheetName val="An_Arsitektur2"/>
      <sheetName val="Unit_Rate_(2)2"/>
      <sheetName val="BANGUNAN_PENUNJANG"/>
      <sheetName val="BQ_ME"/>
      <sheetName val="BQ"/>
      <sheetName val="NET表"/>
      <sheetName val="BQ表"/>
      <sheetName val="SITE-E"/>
      <sheetName val="Cover"/>
      <sheetName val="analisa Str"/>
      <sheetName val="5.2."/>
      <sheetName val="Master 1.0"/>
      <sheetName val="Koef"/>
      <sheetName val="Analisa  (2)"/>
      <sheetName val="Hrg.Sat"/>
      <sheetName val="Analisa Upah &amp; Bahan Plum"/>
      <sheetName val="HRG BHN"/>
      <sheetName val="Cover Daf-2"/>
      <sheetName val="AN-ALT"/>
      <sheetName val="Ahs.1"/>
      <sheetName val="Ahs.2"/>
      <sheetName val="index"/>
      <sheetName val="SAP"/>
      <sheetName val=" anal hrg sat"/>
      <sheetName val="PO-2"/>
      <sheetName val="BQ-E20-02(Rp)"/>
      <sheetName val="HSD"/>
      <sheetName val="RAB-SPL2"/>
      <sheetName val="OFFICE 2 LT"/>
      <sheetName val="Penjumlahan"/>
      <sheetName val="upahbahan"/>
      <sheetName val="LISTRIK"/>
      <sheetName val="Deep Well"/>
      <sheetName val="Pek Luar"/>
      <sheetName val="Parkir"/>
      <sheetName val="anal"/>
      <sheetName val="???1"/>
      <sheetName val="NET?"/>
      <sheetName val="BQ?"/>
      <sheetName val="Perm. Test"/>
      <sheetName val="PPC"/>
      <sheetName val="Bahan"/>
      <sheetName val="Analisa (me)"/>
      <sheetName val="Volume"/>
      <sheetName val="Mob"/>
      <sheetName val="prime coal"/>
      <sheetName val="Bill 2 Summary"/>
      <sheetName val="REKAP REV.SHARING"/>
      <sheetName val="___1"/>
      <sheetName val="NET_"/>
      <sheetName val="BQ_"/>
      <sheetName val="Feb Audited"/>
      <sheetName val="H_Satuan"/>
      <sheetName val="3.5 STR PH-2 "/>
      <sheetName val="harga"/>
      <sheetName val="struktur tdk dipakai"/>
      <sheetName val="Breakdown"/>
      <sheetName val="Rate"/>
      <sheetName val="metode "/>
      <sheetName val="RAB-NEGO"/>
      <sheetName val="Sch"/>
      <sheetName val="CCe"/>
      <sheetName val="ch"/>
      <sheetName val="A"/>
      <sheetName val="Markup"/>
      <sheetName val="HB "/>
      <sheetName val="Har-mat"/>
      <sheetName val="Hargamat"/>
      <sheetName val="Kuantitas_&amp;_Harga"/>
      <sheetName val="Cash_Flow_bulanan"/>
      <sheetName val="Basic_Price"/>
      <sheetName val="Bill_rekap"/>
      <sheetName val="Bahan_"/>
      <sheetName val="Pekerjaan_"/>
      <sheetName val="_anal_hrg_sat"/>
      <sheetName val="Cover_Daf_2"/>
      <sheetName val="Rekap_Direct_Cost"/>
      <sheetName val="Bill_of_Qty_MEP"/>
      <sheetName val="Hrg_Sat"/>
      <sheetName val="Kolom_UT"/>
      <sheetName val="대비표"/>
      <sheetName val="Sheet"/>
      <sheetName val="Cover1"/>
      <sheetName val="DAF-1"/>
      <sheetName val="Pt"/>
      <sheetName val="mu"/>
      <sheetName val="Anls"/>
      <sheetName val="Urai _Resap pengikat"/>
      <sheetName val="Cth"/>
      <sheetName val="Lambersering"/>
      <sheetName val="BAG-2"/>
      <sheetName val="VAC-1"/>
      <sheetName val="RAB AR&amp;STR"/>
      <sheetName val="B"/>
      <sheetName val="FORM X COST"/>
      <sheetName val="BAG_2"/>
      <sheetName val="SEX"/>
      <sheetName val="RFP003"/>
      <sheetName val="RFP007"/>
      <sheetName val="RFP004"/>
      <sheetName val="RFP009"/>
      <sheetName val="tifico"/>
      <sheetName val="An Struktur"/>
      <sheetName val="RFP006"/>
      <sheetName val="RFP002"/>
      <sheetName val="Piping"/>
      <sheetName val="Elec_ins"/>
      <sheetName val="Duc-3"/>
      <sheetName val="Duc_3"/>
      <sheetName val="sort2"/>
      <sheetName val="Currency_Rate4"/>
      <sheetName val="Unit_Price_M4"/>
      <sheetName val="REF_ONLY5"/>
      <sheetName val="Analisa_SNI_STANDART_4"/>
      <sheetName val="An_Arsitektur4"/>
      <sheetName val="Unit_Rate_(2)4"/>
      <sheetName val="BANGUNAN_PENUNJANG3"/>
      <sheetName val="manhour"/>
      <sheetName val="BANGUNAN_PENUNJANG1"/>
      <sheetName val="Currency_Rate3"/>
      <sheetName val="Unit_Price_M3"/>
      <sheetName val="REF_ONLY4"/>
      <sheetName val="Analisa_SNI_STANDART_3"/>
      <sheetName val="An_Arsitektur3"/>
      <sheetName val="Unit_Rate_(2)3"/>
      <sheetName val="BANGUNAN_PENUNJANG2"/>
      <sheetName val="dongia_(2)"/>
      <sheetName val="THPDMoi__(2)"/>
      <sheetName val="TONG_HOP_VL-NC"/>
      <sheetName val="TONGKE3p_"/>
      <sheetName val="TH_VL,_NC,_DDHT_Thanhphuoc"/>
      <sheetName val="DON_GIA"/>
      <sheetName val="t-h_HA_THE"/>
      <sheetName val="CHITIET_VL-NC-TT_-1p"/>
      <sheetName val="TONG_HOP_VL-NC_TT"/>
      <sheetName val="TH_XL"/>
      <sheetName val="CHITIET_VL-NC"/>
      <sheetName val="CHITIET_VL-NC-TT-3p"/>
      <sheetName val="KPVC-BD_"/>
      <sheetName val="D_&amp;_W_sizes"/>
      <sheetName val="Currency_Rate5"/>
      <sheetName val="Unit_Price_M5"/>
      <sheetName val="REF_ONLY6"/>
      <sheetName val="Analisa_SNI_STANDART_5"/>
      <sheetName val="An_Arsitektur5"/>
      <sheetName val="Unit_Rate_(2)5"/>
      <sheetName val="BANGUNAN_PENUNJANG4"/>
      <sheetName val="Cash_Flow_bulanan1"/>
      <sheetName val="dongia_(2)1"/>
      <sheetName val="THPDMoi__(2)1"/>
      <sheetName val="TONG_HOP_VL-NC1"/>
      <sheetName val="TONGKE3p_1"/>
      <sheetName val="TH_VL,_NC,_DDHT_Thanhphuoc1"/>
      <sheetName val="DON_GIA1"/>
      <sheetName val="t-h_HA_THE1"/>
      <sheetName val="CHITIET_VL-NC-TT_-1p1"/>
      <sheetName val="TONG_HOP_VL-NC_TT1"/>
      <sheetName val="TH_XL1"/>
      <sheetName val="CHITIET_VL-NC1"/>
      <sheetName val="CHITIET_VL-NC-TT-3p1"/>
      <sheetName val="KPVC-BD_1"/>
      <sheetName val="Bahan_1"/>
      <sheetName val="Pekerjaan_1"/>
      <sheetName val="Cover_Daf_21"/>
      <sheetName val="Rekap_Direct_Cost1"/>
      <sheetName val="D_&amp;_W_sizes1"/>
      <sheetName val="Kuantitas_&amp;_Harga1"/>
      <sheetName val="Basic_Price1"/>
      <sheetName val="Kolom_UT1"/>
      <sheetName val="Bill_of_Qty_MEP1"/>
      <sheetName val="Bill_rekap1"/>
      <sheetName val="An_Struktur4"/>
      <sheetName val="Currency_Rate6"/>
      <sheetName val="Unit_Price_M6"/>
      <sheetName val="REF_ONLY7"/>
      <sheetName val="Analisa_SNI_STANDART_6"/>
      <sheetName val="An_Arsitektur6"/>
      <sheetName val="Unit_Rate_(2)6"/>
      <sheetName val="BANGUNAN_PENUNJANG5"/>
      <sheetName val="Cash_Flow_bulanan2"/>
      <sheetName val="dongia_(2)2"/>
      <sheetName val="THPDMoi__(2)2"/>
      <sheetName val="TONG_HOP_VL-NC2"/>
      <sheetName val="TONGKE3p_2"/>
      <sheetName val="TH_VL,_NC,_DDHT_Thanhphuoc2"/>
      <sheetName val="DON_GIA2"/>
      <sheetName val="t-h_HA_THE2"/>
      <sheetName val="CHITIET_VL-NC-TT_-1p2"/>
      <sheetName val="TONG_HOP_VL-NC_TT2"/>
      <sheetName val="TH_XL2"/>
      <sheetName val="CHITIET_VL-NC2"/>
      <sheetName val="CHITIET_VL-NC-TT-3p2"/>
      <sheetName val="KPVC-BD_2"/>
      <sheetName val="Bahan_2"/>
      <sheetName val="Pekerjaan_2"/>
      <sheetName val="Cover_Daf_22"/>
      <sheetName val="Rekap_Direct_Cost2"/>
      <sheetName val="D_&amp;_W_sizes2"/>
      <sheetName val="Kuantitas_&amp;_Harga2"/>
      <sheetName val="Basic_Price2"/>
      <sheetName val="Kolom_UT2"/>
      <sheetName val="Bill_of_Qty_MEP2"/>
      <sheetName val="Bill_rekap2"/>
      <sheetName val="L-Mechanical"/>
      <sheetName val="Cover (x)"/>
      <sheetName val="Cor Apt"/>
      <sheetName val="共機計算"/>
      <sheetName val="共機J"/>
      <sheetName val="Data basic price jgan diprint"/>
      <sheetName val="CATU DAYA LISTRIK PLB"/>
      <sheetName val="CATU DAYA LISTRIK PK"/>
      <sheetName val="PERALATAN &amp; KATUP2 PK"/>
      <sheetName val="PERALATAN UTAMA PK"/>
      <sheetName val="PERALATAN &amp; KATUP2 PLB"/>
      <sheetName val="PERALATAN UTAMA PLB"/>
      <sheetName val="PEMIPAAN PK"/>
      <sheetName val="PEMIPAAN PLB"/>
      <sheetName val="BOQ"/>
      <sheetName val="4-Basic Price"/>
      <sheetName val="5-ALAT(1)"/>
      <sheetName val="D7(1)"/>
      <sheetName val="Fill this out first___"/>
      <sheetName val="Bill-19"/>
      <sheetName val="sum-bill22"/>
      <sheetName val="rab me (by owner) "/>
      <sheetName val="BQ (by owner)"/>
      <sheetName val="rab me (fisik)"/>
      <sheetName val="Elec-ins"/>
      <sheetName val="Temp&amp;Site"/>
      <sheetName val="予算票"/>
      <sheetName val="ES_PARK"/>
      <sheetName val="Breakdown Architecture"/>
      <sheetName val="Up &amp; bhn"/>
      <sheetName val="_anal_hrg_sat1"/>
      <sheetName val="analisa_Str1"/>
      <sheetName val="Hrg_Sat1"/>
      <sheetName val="OFFICE_2_LT1"/>
      <sheetName val="Analisa_DMPU1"/>
      <sheetName val="Alat_Kerja1"/>
      <sheetName val="Daf_11"/>
      <sheetName val="Analisa__(2)1"/>
      <sheetName val="mat_me_pipa1"/>
      <sheetName val="TOWER_D1"/>
      <sheetName val="HRG_BHN1"/>
      <sheetName val="Analisa_Upah_&amp;_Bahan_Plum1"/>
      <sheetName val="5_2_1"/>
      <sheetName val="H_Satuan1"/>
      <sheetName val="HB_1"/>
      <sheetName val="Ahs_11"/>
      <sheetName val="Ahs_21"/>
      <sheetName val="analisa_Str"/>
      <sheetName val="OFFICE_2_LT"/>
      <sheetName val="Analisa_DMPU"/>
      <sheetName val="Alat_Kerja"/>
      <sheetName val="Daf_1"/>
      <sheetName val="Analisa__(2)"/>
      <sheetName val="mat_me_pipa"/>
      <sheetName val="TOWER_D"/>
      <sheetName val="HRG_BHN"/>
      <sheetName val="Analisa_Upah_&amp;_Bahan_Plum"/>
      <sheetName val="5_2_"/>
      <sheetName val="HB_"/>
      <sheetName val="Ahs_1"/>
      <sheetName val="Ahs_2"/>
      <sheetName val="_anal_hrg_sat2"/>
      <sheetName val="analisa_Str2"/>
      <sheetName val="Hrg_Sat2"/>
      <sheetName val="OFFICE_2_LT2"/>
      <sheetName val="Analisa_DMPU2"/>
      <sheetName val="Alat_Kerja2"/>
      <sheetName val="Daf_12"/>
      <sheetName val="Analisa__(2)2"/>
      <sheetName val="mat_me_pipa2"/>
      <sheetName val="TOWER_D2"/>
      <sheetName val="HRG_BHN2"/>
      <sheetName val="Analisa_Upah_&amp;_Bahan_Plum2"/>
      <sheetName val="5_2_2"/>
      <sheetName val="H_Satuan2"/>
      <sheetName val="HB_2"/>
      <sheetName val="Ahs_12"/>
      <sheetName val="Ahs_22"/>
      <sheetName val="Cash_Flow_bulanan3"/>
      <sheetName val="Bill_rekap3"/>
      <sheetName val="Bahan_3"/>
      <sheetName val="Pekerjaan_3"/>
      <sheetName val="_anal_hrg_sat3"/>
      <sheetName val="Kuantitas_&amp;_Harga3"/>
      <sheetName val="Basic_Price3"/>
      <sheetName val="Cover_Daf_23"/>
      <sheetName val="Rekap_Direct_Cost3"/>
      <sheetName val="Bill_of_Qty_MEP3"/>
      <sheetName val="dongia_(2)3"/>
      <sheetName val="THPDMoi__(2)3"/>
      <sheetName val="TONG_HOP_VL-NC3"/>
      <sheetName val="TONGKE3p_3"/>
      <sheetName val="TH_VL,_NC,_DDHT_Thanhphuoc3"/>
      <sheetName val="DON_GIA3"/>
      <sheetName val="t-h_HA_THE3"/>
      <sheetName val="CHITIET_VL-NC-TT_-1p3"/>
      <sheetName val="TONG_HOP_VL-NC_TT3"/>
      <sheetName val="TH_XL3"/>
      <sheetName val="CHITIET_VL-NC3"/>
      <sheetName val="CHITIET_VL-NC-TT-3p3"/>
      <sheetName val="KPVC-BD_3"/>
      <sheetName val="Kolom_UT3"/>
      <sheetName val="analisa_Str3"/>
      <sheetName val="Hrg_Sat3"/>
      <sheetName val="D_&amp;_W_sizes3"/>
      <sheetName val="OFFICE_2_LT3"/>
      <sheetName val="Analisa_DMPU3"/>
      <sheetName val="Alat_Kerja3"/>
      <sheetName val="Daf_13"/>
      <sheetName val="Analisa__(2)3"/>
      <sheetName val="mat_me_pipa3"/>
      <sheetName val="TOWER_D3"/>
      <sheetName val="HRG_BHN3"/>
      <sheetName val="Analisa_Upah_&amp;_Bahan_Plum3"/>
      <sheetName val="5_2_3"/>
      <sheetName val="H_Satuan3"/>
      <sheetName val="HB_3"/>
      <sheetName val="Ahs_13"/>
      <sheetName val="Ahs_23"/>
      <sheetName val="AS'97"/>
      <sheetName val="Sheet1"/>
      <sheetName val="Alat R.oke"/>
      <sheetName val="Market"/>
      <sheetName val="BU ok"/>
      <sheetName val="BM vs BB"/>
      <sheetName val="Bahan oke"/>
      <sheetName val="dashboard"/>
      <sheetName val="DAFTAR 7"/>
      <sheetName val="Ex-Rate"/>
      <sheetName val="DAF-3"/>
      <sheetName val="Identitas"/>
      <sheetName val="SKEDUL AV-05"/>
      <sheetName val="RUPS"/>
      <sheetName val="BOQ Summary"/>
      <sheetName val="dongia _2_"/>
      <sheetName val="LKVL_CK_HT_GD1"/>
      <sheetName val="THPDMoi  _2_"/>
      <sheetName val="TONG HOP VL_NC"/>
      <sheetName val="lam_moi"/>
      <sheetName val="TH VL_ NC_ DDHT Thanhphuoc"/>
      <sheetName val="_REF"/>
      <sheetName val="thao_go"/>
      <sheetName val="TONGKE_HT"/>
      <sheetName val="t_h HA THE"/>
      <sheetName val="CHITIET VL_NC_TT _1p"/>
      <sheetName val="TONG HOP VL_NC TT"/>
      <sheetName val="CHITIET VL_NC"/>
      <sheetName val="CHITIET VL_NC_TT_3p"/>
      <sheetName val="KPVC_BD "/>
      <sheetName val="VCV_BE_TONG"/>
      <sheetName val="PASANG"/>
      <sheetName val="Agregat Halus &amp; Kasar"/>
      <sheetName val="Harga Satuan"/>
      <sheetName val="ANAL lump sum"/>
      <sheetName val="RAP"/>
      <sheetName val="Analisa Upah _ Bahan Plum"/>
      <sheetName val="EXTERNAL WORK"/>
      <sheetName val="ana_str"/>
      <sheetName val="BQ(CME)"/>
      <sheetName val="B1form (2)"/>
      <sheetName val="Purchase Order"/>
      <sheetName val="Customize Your Purchase Order"/>
      <sheetName val="經企室"/>
      <sheetName val="Pipe"/>
      <sheetName val="komponen"/>
      <sheetName val="Bhn"/>
      <sheetName val="Bill sipil"/>
      <sheetName val="Fill this out first..."/>
      <sheetName val="ANALISA TENDER"/>
      <sheetName val="FA"/>
      <sheetName val="Analisa HS"/>
      <sheetName val="___ "/>
      <sheetName val="MTP"/>
      <sheetName val="6MONTHS"/>
      <sheetName val="C-LOAD(L-FACTORY.)"/>
      <sheetName val="C-LOAD(L-FACTORY_)"/>
      <sheetName val="MTO REV_2_ARMOR_"/>
      <sheetName val="AnAlISiS"/>
      <sheetName val="Basic"/>
      <sheetName val="clg fin"/>
      <sheetName val="flr fin"/>
      <sheetName val="Col"/>
      <sheetName val="Rif_Col"/>
      <sheetName val="timber frame"/>
      <sheetName val="Wall Qty"/>
      <sheetName val="roof fin"/>
      <sheetName val="Flr, Rf Bm"/>
      <sheetName val="Rif_PCap"/>
      <sheetName val="Flr Slb, stair"/>
      <sheetName val="Gd Bm"/>
      <sheetName val="PC, G.Slab"/>
      <sheetName val="wall fin"/>
      <sheetName val="BAG_III"/>
      <sheetName val="AC"/>
      <sheetName val="hrg dasar"/>
      <sheetName val="EE-PROP"/>
      <sheetName val="Public Area"/>
      <sheetName val="TE TS FA LAN MATV"/>
      <sheetName val="Ana"/>
      <sheetName val="GinRev1"/>
      <sheetName val="BiPokSurya"/>
      <sheetName val="PercProp"/>
      <sheetName val="PLN"/>
      <sheetName val="BQ-Str"/>
      <sheetName val="Analisa Harga Satuan"/>
      <sheetName val="dftr harga"/>
      <sheetName val="hrg. sat pek"/>
      <sheetName val="prhit tulangan"/>
      <sheetName val="Rekapitulasi"/>
      <sheetName val="vol pek"/>
      <sheetName val="alat"/>
      <sheetName val="DivVII"/>
      <sheetName val="koef-beton"/>
      <sheetName val="GASATAGG.XLS"/>
      <sheetName val="HSUMUM.XLS"/>
      <sheetName val="HSDRAIN.XLS"/>
      <sheetName val="HSTANAH"/>
      <sheetName val="HSBASE"/>
      <sheetName val="HSASPAL"/>
      <sheetName val="HSBETON"/>
      <sheetName val="HSSTRUK"/>
      <sheetName val="HSMISC.XLS"/>
      <sheetName val="anal Lamp 4a"/>
      <sheetName val="STAF"/>
      <sheetName val="parapet baru"/>
      <sheetName val="MCP-E"/>
      <sheetName val="Procurement"/>
      <sheetName val="Factor"/>
      <sheetName val="analisa_gedung"/>
      <sheetName val="Harga "/>
      <sheetName val="REKAP MC 02"/>
      <sheetName val="rINCIAN"/>
      <sheetName val="Z"/>
      <sheetName val="Cash2"/>
      <sheetName val="D+W"/>
      <sheetName val="AVP"/>
      <sheetName val="DCF"/>
      <sheetName val="Financial Summary"/>
      <sheetName val="Estimates"/>
      <sheetName val="Valuation Summary"/>
      <sheetName val="Ownership"/>
      <sheetName val="Shares Traded"/>
      <sheetName val="Public &amp; Private Valuation"/>
      <sheetName val="Momentum"/>
      <sheetName val="MTO REV.2(ARMOR)"/>
      <sheetName val="AC_C"/>
      <sheetName val="BASEMENT"/>
      <sheetName val="A+Supl."/>
      <sheetName val="7"/>
      <sheetName val="alue deah teungoh"/>
      <sheetName val="jeulingke"/>
      <sheetName val="lambaro skep"/>
      <sheetName val="matang rayeuk"/>
      <sheetName val="tibang"/>
      <sheetName val="deah raya"/>
      <sheetName val="RAPI"/>
      <sheetName val="Mg_I"/>
      <sheetName val="SAT UPAH RAPI"/>
      <sheetName val="Material-mr"/>
      <sheetName val="Harga Dasar"/>
      <sheetName val="BOW"/>
      <sheetName val="Daftar Hutang"/>
      <sheetName val="OVERHEAD"/>
      <sheetName val="XLS100((L)"/>
      <sheetName val="Balok"/>
      <sheetName val="BOQ CBM"/>
      <sheetName val="PileCap"/>
      <sheetName val="DAF-4"/>
      <sheetName val="DAF-5"/>
      <sheetName val="iTEM hARSAT"/>
      <sheetName val="Peralatan (2)"/>
      <sheetName val="REKAP BQ "/>
      <sheetName val="GRAND TOTAL"/>
      <sheetName val="Sat Bah &amp; Up"/>
      <sheetName val="TB"/>
      <sheetName val="Spec ME"/>
      <sheetName val="AN Tdr"/>
      <sheetName val="Analisa "/>
      <sheetName val="Tie Beam"/>
      <sheetName val="AN Beton"/>
      <sheetName val="BQ Ars"/>
      <sheetName val="Plat"/>
      <sheetName val="SAT-BHN"/>
      <sheetName val="공사내역"/>
      <sheetName val="UP_an"/>
      <sheetName val="analis standar(20m)"/>
      <sheetName val="ANAL BETON"/>
      <sheetName val="CashFlwProjections"/>
      <sheetName val="Category 1"/>
      <sheetName val="Analisa -Baku"/>
      <sheetName val="BQNSC"/>
      <sheetName val="YTD'97 Sales"/>
      <sheetName val="Week9-Feb    "/>
      <sheetName val="harga alat"/>
      <sheetName val="DHS AC"/>
      <sheetName val="jobhist"/>
      <sheetName val="電気設備表"/>
      <sheetName val="Currency_Rate7"/>
      <sheetName val="Unit_Price_M7"/>
      <sheetName val="REF_ONLY8"/>
      <sheetName val="Analisa_SNI_STANDART_7"/>
      <sheetName val="An_Arsitektur7"/>
      <sheetName val="Unit_Rate_(2)7"/>
      <sheetName val="BANGUNAN_PENUNJANG6"/>
      <sheetName val="D_&amp;_W_sizes4"/>
      <sheetName val="Bahan_4"/>
      <sheetName val="Pekerjaan_4"/>
      <sheetName val="Kuantitas_&amp;_Harga4"/>
      <sheetName val="Basic_Price4"/>
      <sheetName val="HRG_BHN4"/>
      <sheetName val="Analisa_Upah_&amp;_Bahan_Plum4"/>
      <sheetName val="Rekap_Direct_Cost4"/>
      <sheetName val="Cover_Daf_24"/>
      <sheetName val="Kolom_UT4"/>
      <sheetName val="Bill_of_Qty_MEP4"/>
      <sheetName val="DATA"/>
      <sheetName val="On Time"/>
      <sheetName val="Curup"/>
      <sheetName val="Prabu"/>
      <sheetName val="PESANTREN"/>
      <sheetName val="G"/>
      <sheetName val="Conn. Lib"/>
      <sheetName val="ALAT1"/>
      <sheetName val="JAD-PEL"/>
      <sheetName val="Ktitas&amp;Hg"/>
      <sheetName val="Rkap Bya RAP"/>
      <sheetName val="ana_san"/>
      <sheetName val="D_14"/>
      <sheetName val="Peralatan (1)"/>
      <sheetName val="GRILL"/>
      <sheetName val="hrg dasar rc"/>
      <sheetName val="351BQMCN"/>
      <sheetName val="LOADDAT"/>
      <sheetName val="BOQ-Indonesia"/>
      <sheetName val="Fire Fighting"/>
      <sheetName val="BAG-III"/>
      <sheetName val="Cash_Flow_bulanan4"/>
      <sheetName val="analisa_Str4"/>
      <sheetName val="Bill_rekap4"/>
      <sheetName val="dongia_(2)4"/>
      <sheetName val="THPDMoi__(2)4"/>
      <sheetName val="TONG_HOP_VL-NC4"/>
      <sheetName val="TONGKE3p_4"/>
      <sheetName val="TH_VL,_NC,_DDHT_Thanhphuoc4"/>
      <sheetName val="DON_GIA4"/>
      <sheetName val="t-h_HA_THE4"/>
      <sheetName val="CHITIET_VL-NC-TT_-1p4"/>
      <sheetName val="TONG_HOP_VL-NC_TT4"/>
      <sheetName val="TH_XL4"/>
      <sheetName val="CHITIET_VL-NC4"/>
      <sheetName val="CHITIET_VL-NC-TT-3p4"/>
      <sheetName val="KPVC-BD_4"/>
      <sheetName val="Hrg_Sat4"/>
      <sheetName val="Alat_Kerja4"/>
      <sheetName val="Daf_14"/>
      <sheetName val="5_2_4"/>
      <sheetName val="Analisa_DMPU4"/>
      <sheetName val="mat_me_pipa4"/>
      <sheetName val="TOWER_D4"/>
      <sheetName val="Cover_Daf-2"/>
      <sheetName val="_anal_hrg_sat4"/>
      <sheetName val="metode_"/>
      <sheetName val="Ahs_14"/>
      <sheetName val="Ahs_24"/>
      <sheetName val="H_Satuan4"/>
      <sheetName val="Analisa__(2)4"/>
      <sheetName val="HB_4"/>
      <sheetName val="Bill_2_Summary"/>
      <sheetName val="FORM_X_COST"/>
      <sheetName val="An_Struktur"/>
      <sheetName val="OFFICE_2_LT4"/>
      <sheetName val="Deep_Well"/>
      <sheetName val="Pek_Luar"/>
      <sheetName val="Master_1_0"/>
      <sheetName val="OP__ALAT"/>
      <sheetName val="OP__PERJAM"/>
      <sheetName val="B__PERSONIL"/>
      <sheetName val="KAN__LOKAL"/>
      <sheetName val="Perm__Test"/>
      <sheetName val="prime_coal"/>
      <sheetName val="REKAP_REV_SHARING"/>
      <sheetName val="Analisa_(me)"/>
      <sheetName val="Fill_this_out_first___"/>
      <sheetName val="Cover_(x)"/>
      <sheetName val="Cor_Apt"/>
      <sheetName val="Breakdown_Architecture"/>
      <sheetName val="RAB_AR&amp;STR"/>
      <sheetName val="struktur_tdk_dipakai"/>
      <sheetName val="rab_me_(by_owner)_"/>
      <sheetName val="BQ_(by_owner)"/>
      <sheetName val="rab_me_(fisik)"/>
      <sheetName val="Urai__Resap_pengikat"/>
      <sheetName val="3_5_STR_PH-2_"/>
      <sheetName val="Data_basic_price_jgan_diprint"/>
      <sheetName val="CATU_DAYA_LISTRIK_PLB"/>
      <sheetName val="CATU_DAYA_LISTRIK_PK"/>
      <sheetName val="PERALATAN_&amp;_KATUP2_PK"/>
      <sheetName val="PERALATAN_UTAMA_PK"/>
      <sheetName val="PERALATAN_&amp;_KATUP2_PLB"/>
      <sheetName val="PERALATAN_UTAMA_PLB"/>
      <sheetName val="PEMIPAAN_PK"/>
      <sheetName val="PEMIPAAN_PLB"/>
      <sheetName val="4-Basic_Price"/>
      <sheetName val="Up_&amp;_bhn"/>
      <sheetName val="Alat_R_oke"/>
      <sheetName val="BU_ok"/>
      <sheetName val="BM_vs_BB"/>
      <sheetName val="Bahan_oke"/>
      <sheetName val="Analisa_HS"/>
      <sheetName val="B1form_(2)"/>
      <sheetName val="____"/>
      <sheetName val="ANAL_lump_sum"/>
      <sheetName val="C-LOAD(L-FACTORY_)1"/>
      <sheetName val="MTO_REV_2_ARMOR_"/>
      <sheetName val="Bill_sipil"/>
      <sheetName val="DAFTAR_7"/>
      <sheetName val="Fill_this_out_first___1"/>
      <sheetName val="Purchase_Order"/>
      <sheetName val="Customize_Your_Purchase_Order"/>
      <sheetName val="SKEDUL_AV-05"/>
      <sheetName val="BOQ_Summary"/>
      <sheetName val="dongia__2_"/>
      <sheetName val="THPDMoi___2_"/>
      <sheetName val="TONG_HOP_VL_NC"/>
      <sheetName val="TH_VL__NC__DDHT_Thanhphuoc"/>
      <sheetName val="t_h_HA_THE"/>
      <sheetName val="CHITIET_VL_NC_TT__1p"/>
      <sheetName val="TONG_HOP_VL_NC_TT"/>
      <sheetName val="CHITIET_VL_NC"/>
      <sheetName val="CHITIET_VL_NC_TT_3p"/>
      <sheetName val="KPVC_BD_"/>
      <sheetName val="Agregat_Halus_&amp;_Kasar"/>
      <sheetName val="Harga_Satuan"/>
      <sheetName val="AHU"/>
      <sheetName val="SUM-AIR-Submit"/>
      <sheetName val="Elec LG"/>
      <sheetName val="tong hop"/>
      <sheetName val="8 QD957"/>
      <sheetName val="BQ AC- SEMANAN"/>
      <sheetName val="Cover_Daf-21"/>
      <sheetName val="metode_1"/>
      <sheetName val="Bill_2_Summary1"/>
      <sheetName val="Deep_Well1"/>
      <sheetName val="Pek_Luar1"/>
      <sheetName val="OP__ALAT1"/>
      <sheetName val="OP__PERJAM1"/>
      <sheetName val="B__PERSONIL1"/>
      <sheetName val="KAN__LOKAL1"/>
      <sheetName val="Perm__Test1"/>
      <sheetName val="入力作成表"/>
      <sheetName val="gvl"/>
      <sheetName val="1.Requisition(E)"/>
      <sheetName val="ABB_Trans"/>
      <sheetName val="Main Feeder"/>
      <sheetName val="Capacitor"/>
      <sheetName val="Input_Data-1"/>
      <sheetName val="PE Wire"/>
      <sheetName val="XLPE_Cable"/>
      <sheetName val="Budget Code"/>
      <sheetName val="XL4Poppy"/>
      <sheetName val="Earthwork"/>
      <sheetName val="8521"/>
      <sheetName val="試運転項目"/>
      <sheetName val="ABILITY"/>
      <sheetName val="目次"/>
      <sheetName val="TRANS"/>
      <sheetName val="BqSipil"/>
      <sheetName val="BqME"/>
      <sheetName val="AHS"/>
      <sheetName val="dasar"/>
      <sheetName val="hitungan"/>
      <sheetName val="lisbq"/>
      <sheetName val="Div2"/>
      <sheetName val="me"/>
      <sheetName val="RAB J18 "/>
      <sheetName val="Panel"/>
      <sheetName val="95삼성급(본사)"/>
      <sheetName val="Manhole"/>
      <sheetName val="LOTUS-EE1"/>
      <sheetName val="Master"/>
      <sheetName val="FitOutConfCentre"/>
      <sheetName val="Sheet2"/>
      <sheetName val="Fans"/>
      <sheetName val="electrical"/>
      <sheetName val="전기"/>
      <sheetName val="BU"/>
      <sheetName val="Analisa  _2_"/>
      <sheetName val="CIVIL-1"/>
      <sheetName val="lm7-11"/>
      <sheetName val="uba"/>
      <sheetName val="Statprod gab"/>
      <sheetName val="hrg_dasar"/>
      <sheetName val="clg_fin"/>
      <sheetName val="flr_fin"/>
      <sheetName val="timber_frame"/>
      <sheetName val="Wall_Qty"/>
      <sheetName val="roof_fin"/>
      <sheetName val="Flr,_Rf_Bm"/>
      <sheetName val="Flr_Slb,_stair"/>
      <sheetName val="Gd_Bm"/>
      <sheetName val="PC,_G_Slab"/>
      <sheetName val="wall_fin"/>
      <sheetName val="SAT_UPAH_RAPI"/>
      <sheetName val="hrg_dasar1"/>
      <sheetName val="clg_fin1"/>
      <sheetName val="flr_fin1"/>
      <sheetName val="timber_frame1"/>
      <sheetName val="Wall_Qty1"/>
      <sheetName val="roof_fin1"/>
      <sheetName val="Flr,_Rf_Bm1"/>
      <sheetName val="Flr_Slb,_stair1"/>
      <sheetName val="Gd_Bm1"/>
      <sheetName val="PC,_G_Slab1"/>
      <sheetName val="wall_fin1"/>
      <sheetName val="SAT_UPAH_RAPI1"/>
      <sheetName val="SKEDUL_AV-051"/>
      <sheetName val="struktur_tdk_dipakai1"/>
      <sheetName val="Analisa_(me)1"/>
      <sheetName val="Koordinat"/>
      <sheetName val="MAP2"/>
      <sheetName val="61004"/>
      <sheetName val="61005"/>
      <sheetName val="61006"/>
      <sheetName val="61007"/>
      <sheetName val="61008"/>
      <sheetName val="MAP"/>
      <sheetName val="anal-mpu"/>
      <sheetName val="ANA.ALAT"/>
      <sheetName val="外気負荷"/>
      <sheetName val=""/>
      <sheetName val="ANALISA_TENDER"/>
      <sheetName val="Public_Area"/>
      <sheetName val="Analisa_Upah___Bahan_Plum"/>
      <sheetName val="EXTERNAL_WORK"/>
      <sheetName val="Feb_Audited"/>
      <sheetName val="A+Supl_"/>
      <sheetName val="parapet_baru"/>
      <sheetName val="Financial_Summary"/>
      <sheetName val="Valuation_Summary"/>
      <sheetName val="Shares_Traded"/>
      <sheetName val="Public_&amp;_Private_Valuation"/>
      <sheetName val="BOQ_CBM"/>
      <sheetName val="iTEM_hARSAT"/>
      <sheetName val="Peralatan_(2)"/>
      <sheetName val="REKAP_BQ_"/>
      <sheetName val="GRAND_TOTAL"/>
      <sheetName val="Sat_Bah_&amp;_Up"/>
      <sheetName val="Spec_ME"/>
      <sheetName val="AN_Tdr"/>
      <sheetName val="Analisa_"/>
      <sheetName val="Tie_Beam"/>
      <sheetName val="AN_Beton"/>
      <sheetName val="BQ_Ars"/>
      <sheetName val="analis_standar(20m)"/>
      <sheetName val="ANAL_BETON"/>
      <sheetName val="Category_1"/>
      <sheetName val="MTO_REV_2(ARMOR)"/>
      <sheetName val="alue_deah_teungoh"/>
      <sheetName val="lambaro_skep"/>
      <sheetName val="matang_rayeuk"/>
      <sheetName val="deah_raya"/>
      <sheetName val="Harga_Dasar"/>
      <sheetName val="Analisa_Harga_Satuan"/>
      <sheetName val="Daftar_Hutang"/>
      <sheetName val="TE_TS_FA_LAN_MATV"/>
      <sheetName val="Currency_Rate8"/>
      <sheetName val="Unit_Price_M8"/>
      <sheetName val="REF_ONLY9"/>
      <sheetName val="Analisa_SNI_STANDART_8"/>
      <sheetName val="BANGUNAN_PENUNJANG7"/>
      <sheetName val="An_Arsitektur8"/>
      <sheetName val="Unit_Rate_(2)8"/>
      <sheetName val="Cash_Flow_bulanan5"/>
      <sheetName val="dongia_(2)5"/>
      <sheetName val="THPDMoi__(2)5"/>
      <sheetName val="TONG_HOP_VL-NC5"/>
      <sheetName val="TONGKE3p_5"/>
      <sheetName val="TH_VL,_NC,_DDHT_Thanhphuoc5"/>
      <sheetName val="DON_GIA5"/>
      <sheetName val="t-h_HA_THE5"/>
      <sheetName val="CHITIET_VL-NC-TT_-1p5"/>
      <sheetName val="TONG_HOP_VL-NC_TT5"/>
      <sheetName val="TH_XL5"/>
      <sheetName val="CHITIET_VL-NC5"/>
      <sheetName val="CHITIET_VL-NC-TT-3p5"/>
      <sheetName val="KPVC-BD_5"/>
      <sheetName val="Bahan_5"/>
      <sheetName val="Pekerjaan_5"/>
      <sheetName val="Cover_Daf_25"/>
      <sheetName val="Rekap_Direct_Cost5"/>
      <sheetName val="D_&amp;_W_sizes5"/>
      <sheetName val="Kuantitas_&amp;_Harga5"/>
      <sheetName val="Basic_Price5"/>
      <sheetName val="Kolom_UT5"/>
      <sheetName val="Bill_of_Qty_MEP5"/>
      <sheetName val="Bill_rekap5"/>
      <sheetName val="Hrg_Sat5"/>
      <sheetName val="Ahs_15"/>
      <sheetName val="Ahs_25"/>
      <sheetName val="Analisa_Upah_&amp;_Bahan_Plum5"/>
      <sheetName val="HRG_BHN5"/>
      <sheetName val="mat_me_pipa5"/>
      <sheetName val="TOWER_D5"/>
      <sheetName val="5_2_5"/>
      <sheetName val="Alat_Kerja5"/>
      <sheetName val="Daf_15"/>
      <sheetName val="H_Satuan5"/>
      <sheetName val="_anal_hrg_sat5"/>
      <sheetName val="Analisa__(2)5"/>
      <sheetName val="Analisa_DMPU5"/>
      <sheetName val="FORM_X_COST1"/>
      <sheetName val="An_Struktur1"/>
      <sheetName val="OFFICE_2_LT5"/>
      <sheetName val="Master_1_01"/>
      <sheetName val="prime_coal1"/>
      <sheetName val="REKAP_REV_SHARING1"/>
      <sheetName val="Fill_this_out_first___2"/>
      <sheetName val="____1"/>
      <sheetName val="HB_5"/>
      <sheetName val="Cover_(x)1"/>
      <sheetName val="Cor_Apt1"/>
      <sheetName val="rab_me_(by_owner)_1"/>
      <sheetName val="BQ_(by_owner)1"/>
      <sheetName val="rab_me_(fisik)1"/>
      <sheetName val="RAB_AR&amp;STR1"/>
      <sheetName val="3_5_STR_PH-2_1"/>
      <sheetName val="Urai__Resap_pengikat1"/>
      <sheetName val="Breakdown_Architecture1"/>
      <sheetName val="B1form_(2)1"/>
      <sheetName val="Up_&amp;_bhn1"/>
      <sheetName val="Data_basic_price_jgan_diprint1"/>
      <sheetName val="CATU_DAYA_LISTRIK_PLB1"/>
      <sheetName val="CATU_DAYA_LISTRIK_PK1"/>
      <sheetName val="PERALATAN_&amp;_KATUP2_PK1"/>
      <sheetName val="PERALATAN_UTAMA_PK1"/>
      <sheetName val="PERALATAN_&amp;_KATUP2_PLB1"/>
      <sheetName val="PERALATAN_UTAMA_PLB1"/>
      <sheetName val="PEMIPAAN_PK1"/>
      <sheetName val="PEMIPAAN_PLB1"/>
      <sheetName val="4-Basic_Price1"/>
      <sheetName val="Alat_R_oke1"/>
      <sheetName val="BU_ok1"/>
      <sheetName val="BM_vs_BB1"/>
      <sheetName val="Bahan_oke1"/>
      <sheetName val="Bill_sipil1"/>
      <sheetName val="DAFTAR_71"/>
      <sheetName val="Fill_this_out_first___3"/>
      <sheetName val="BOQ_Summary1"/>
      <sheetName val="Purchase_Order1"/>
      <sheetName val="Customize_Your_Purchase_Order1"/>
      <sheetName val="ANALISA_TENDER1"/>
      <sheetName val="dongia__2_1"/>
      <sheetName val="THPDMoi___2_1"/>
      <sheetName val="TONG_HOP_VL_NC1"/>
      <sheetName val="TH_VL__NC__DDHT_Thanhphuoc1"/>
      <sheetName val="t_h_HA_THE1"/>
      <sheetName val="CHITIET_VL_NC_TT__1p1"/>
      <sheetName val="TONG_HOP_VL_NC_TT1"/>
      <sheetName val="CHITIET_VL_NC1"/>
      <sheetName val="CHITIET_VL_NC_TT_3p1"/>
      <sheetName val="KPVC_BD_1"/>
      <sheetName val="Agregat_Halus_&amp;_Kasar1"/>
      <sheetName val="Harga_Satuan1"/>
      <sheetName val="ANAL_lump_sum1"/>
      <sheetName val="Analisa_HS1"/>
      <sheetName val="C-LOAD(L-FACTORY_)2"/>
      <sheetName val="MTO_REV_2_ARMOR_1"/>
      <sheetName val="Public_Area1"/>
      <sheetName val="Analisa_Upah___Bahan_Plum1"/>
      <sheetName val="EXTERNAL_WORK1"/>
      <sheetName val="Feb_Audited1"/>
      <sheetName val="A+Supl_1"/>
      <sheetName val="parapet_baru1"/>
      <sheetName val="Financial_Summary1"/>
      <sheetName val="Valuation_Summary1"/>
      <sheetName val="Shares_Traded1"/>
      <sheetName val="Public_&amp;_Private_Valuation1"/>
      <sheetName val="BOQ_CBM1"/>
      <sheetName val="iTEM_hARSAT1"/>
      <sheetName val="Peralatan_(2)1"/>
      <sheetName val="REKAP_BQ_1"/>
      <sheetName val="GRAND_TOTAL1"/>
      <sheetName val="Sat_Bah_&amp;_Up1"/>
      <sheetName val="Spec_ME1"/>
      <sheetName val="AN_Tdr1"/>
      <sheetName val="Analisa_1"/>
      <sheetName val="Tie_Beam1"/>
      <sheetName val="AN_Beton1"/>
      <sheetName val="BQ_Ars1"/>
      <sheetName val="analis_standar(20m)1"/>
      <sheetName val="ANAL_BETON1"/>
      <sheetName val="Category_11"/>
      <sheetName val="MTO_REV_2(ARMOR)1"/>
      <sheetName val="alue_deah_teungoh1"/>
      <sheetName val="lambaro_skep1"/>
      <sheetName val="matang_rayeuk1"/>
      <sheetName val="deah_raya1"/>
      <sheetName val="Harga_Dasar1"/>
      <sheetName val="Analisa_Harga_Satuan1"/>
      <sheetName val="Daftar_Hutang1"/>
      <sheetName val="TE_TS_FA_LAN_MATV1"/>
      <sheetName val="Analisa 2"/>
      <sheetName val="met bab3"/>
      <sheetName val="anal bab8"/>
      <sheetName val="S.UPAH"/>
      <sheetName val="S.BAHAN"/>
      <sheetName val="Isolasi Luar Dalam"/>
      <sheetName val="Isolasi Luar"/>
      <sheetName val="BQ (1)"/>
      <sheetName val="TT DZ35"/>
      <sheetName val="THCT"/>
      <sheetName val="THDZ0,4"/>
      <sheetName val="TH DZ35"/>
      <sheetName val="시산표"/>
      <sheetName val="B3A - TOWER A"/>
      <sheetName val="Tro giup"/>
      <sheetName val="FAB별"/>
      <sheetName val="總表"/>
      <sheetName val="실행철강하도"/>
      <sheetName val="노임단가"/>
      <sheetName val="UMUM"/>
      <sheetName val="F2"/>
      <sheetName val="F3a"/>
      <sheetName val="G1"/>
      <sheetName val="G3"/>
      <sheetName val="G4a"/>
      <sheetName val="hs-str"/>
      <sheetName val="304-06"/>
      <sheetName val="Form 4 &amp; 4-A"/>
      <sheetName val="TTL Project Level-2"/>
      <sheetName val="B - Norelec"/>
      <sheetName val="grafik"/>
      <sheetName val="pro ra op"/>
      <sheetName val="Bank"/>
      <sheetName val="Mark-up"/>
      <sheetName val="PNT"/>
      <sheetName val="Daftar BOQ"/>
      <sheetName val="Reference"/>
      <sheetName val="TOTAL"/>
      <sheetName val="DAFTAR_8"/>
      <sheetName val="std.wt."/>
      <sheetName val="lkalibrasi BENENAIN"/>
      <sheetName val="1"/>
      <sheetName val="Balok L_2"/>
      <sheetName val="Pengalaman Per"/>
      <sheetName val="BBM-03"/>
      <sheetName val="U&amp;B"/>
      <sheetName val="Analysis"/>
      <sheetName val="Rek-Analisa"/>
      <sheetName val="anl"/>
      <sheetName val="Analisa_(me)2"/>
      <sheetName val="daf-3(OK)"/>
      <sheetName val="daf-7(OK)"/>
      <sheetName val="HARGA MATERIAL"/>
      <sheetName val="Analisa Gabungan"/>
      <sheetName val="Sub"/>
      <sheetName val="PEF25_0I_mnhr"/>
      <sheetName val="NP"/>
      <sheetName val="Alatt"/>
      <sheetName val="3a"/>
      <sheetName val="5a"/>
      <sheetName val="Sec I ML"/>
      <sheetName val="PEF24_0I_mnpwr"/>
      <sheetName val="Anal alat"/>
      <sheetName val="10.1(3)"/>
      <sheetName val="AHS 6.1(2)"/>
      <sheetName val="Metode 8.1(5)"/>
      <sheetName val="schtng"/>
      <sheetName val="schbhn"/>
      <sheetName val="schalt"/>
      <sheetName val="SUMMARY"/>
      <sheetName val="CCY"/>
      <sheetName val="UNIT"/>
      <sheetName val="DAC"/>
      <sheetName val="销售"/>
      <sheetName val="进货"/>
      <sheetName val="Analisa Harga"/>
      <sheetName val="rumus"/>
      <sheetName val="MAT&amp;LABOR"/>
      <sheetName val="DHSD"/>
      <sheetName val="PAVEMENT"/>
      <sheetName val="SCEDUL"/>
      <sheetName val="개산공사비"/>
      <sheetName val="Rev. History"/>
      <sheetName val="AHS2 Partisi,Curtain,Pnt,Jndla"/>
      <sheetName val="Rekap B.L."/>
      <sheetName val="BoQ."/>
      <sheetName val="pivot"/>
      <sheetName val="TRNS-C1"/>
      <sheetName val="summsht"/>
      <sheetName val="1.Unit Price"/>
      <sheetName val="손익차총괄2"/>
      <sheetName val="BQMPALOC"/>
      <sheetName val="4-MVAC"/>
      <sheetName val="hf-4"/>
      <sheetName val="Mortar (pnw)"/>
      <sheetName val="Man Power &amp; Comp"/>
      <sheetName val="L-TIGA"/>
      <sheetName val="DAF.HRG"/>
      <sheetName val="rkp an_alat"/>
      <sheetName val="hrg_upah"/>
      <sheetName val="Basic P"/>
      <sheetName val="harsat&amp;upah"/>
      <sheetName val="Ana Ars"/>
      <sheetName val="Pola Belanja"/>
      <sheetName val="7.3 RAB per SDY"/>
      <sheetName val="Ana Str"/>
      <sheetName val="RABT VS RABP"/>
      <sheetName val="RAB IFFLC"/>
      <sheetName val="DAFTAR ISI"/>
      <sheetName val="RPP-6"/>
      <sheetName val="HRG"/>
      <sheetName val="Sumber Daya"/>
      <sheetName val="D-3 (M)"/>
      <sheetName val="D-7 (M)"/>
      <sheetName val="atap"/>
      <sheetName val="DAILY WORKER"/>
      <sheetName val="bahan_upah"/>
      <sheetName val="13.Nangakara Weir"/>
      <sheetName val="14.Irr.Canal Work"/>
      <sheetName val="15.Irr. Struc.Work"/>
      <sheetName val="16.Pipe Inst."/>
      <sheetName val="18.Lateral Pipe"/>
      <sheetName val="1.General Item"/>
      <sheetName val="2.Sorinangka Weir"/>
      <sheetName val="3.Irr.Canal Work"/>
      <sheetName val="4.Irr.Struc.Work"/>
      <sheetName val="6.Tertiary Work"/>
      <sheetName val="TYPICAL"/>
      <sheetName val="HS-1"/>
      <sheetName val="12CGOU"/>
      <sheetName val="Unit Rate"/>
      <sheetName val="bqtoltp"/>
      <sheetName val="analisa GRC"/>
      <sheetName val="Har Sat"/>
      <sheetName val="BAU"/>
      <sheetName val="Atur"/>
      <sheetName val="U,B"/>
      <sheetName val="Lain2"/>
      <sheetName val="AHS Marka"/>
      <sheetName val="Tabel2"/>
      <sheetName val="POS 1"/>
      <sheetName val="POS 2"/>
      <sheetName val="UPH,BHN,ALT"/>
      <sheetName val="F1c DATA ADM6"/>
      <sheetName val="Master Edit"/>
      <sheetName val="Data Alat"/>
      <sheetName val="bialangsung"/>
      <sheetName val="Galian 1"/>
      <sheetName val="Harsat Bahan"/>
      <sheetName val="Harsat Upah"/>
      <sheetName val="Daf-harga"/>
      <sheetName val="AI"/>
      <sheetName val="3.1.(3)"/>
      <sheetName val="Mob _ demob"/>
      <sheetName val="DivIV"/>
      <sheetName val="DivV"/>
      <sheetName val="DivVIII"/>
      <sheetName val="DivIII"/>
      <sheetName val="divII"/>
      <sheetName val="mobilisation"/>
      <sheetName val="rekI"/>
      <sheetName val="Vibro_Roller"/>
      <sheetName val="SCHEDULLE"/>
      <sheetName val="BRD"/>
      <sheetName val="SUMBER"/>
      <sheetName val="DIV.3"/>
      <sheetName val="Supl.X"/>
      <sheetName val="D.78"/>
      <sheetName val="D.79"/>
      <sheetName val="D.80"/>
      <sheetName val="D.81"/>
      <sheetName val="D.82"/>
      <sheetName val="D.83"/>
      <sheetName val="D.84"/>
      <sheetName val="D.85"/>
      <sheetName val="D.86"/>
      <sheetName val="D.87"/>
      <sheetName val="D.88"/>
      <sheetName val="D.89"/>
      <sheetName val="D.91"/>
      <sheetName val="D.92"/>
      <sheetName val="D.93"/>
      <sheetName val="D.94"/>
      <sheetName val="D.95"/>
      <sheetName val="D.96"/>
      <sheetName val="Analisa BOW"/>
      <sheetName val=" HARGA"/>
      <sheetName val="Lamp_V"/>
      <sheetName val="bhn-upah"/>
      <sheetName val="ANL STR"/>
      <sheetName val="SORT"/>
      <sheetName val="ALAT2"/>
      <sheetName val="Balance Sheet_Holding"/>
      <sheetName val="IS_Holding"/>
      <sheetName val="HARGADASAR"/>
      <sheetName val="arab"/>
      <sheetName val="Anls teknis"/>
      <sheetName val="rab_str"/>
      <sheetName val="All"/>
      <sheetName val="RumusTB 1 bln"/>
      <sheetName val="Step"/>
      <sheetName val="Traf&amp;Genst"/>
      <sheetName val="Insts"/>
      <sheetName val="HS"/>
      <sheetName val="F1.4"/>
      <sheetName val="Trafo"/>
      <sheetName val="Elekt"/>
      <sheetName val="auto-PPN"/>
      <sheetName val="Buis beton"/>
      <sheetName val="Bronjong"/>
      <sheetName val="eakTG"/>
      <sheetName val="AREA"/>
      <sheetName val="Bill"/>
      <sheetName val="H.Material, Upah &amp; Alat"/>
      <sheetName val="Analisa H.Sat.Pek."/>
      <sheetName val="RAB.SEKRETARIAT (1)"/>
      <sheetName val="datasht"/>
      <sheetName val="Data Base"/>
      <sheetName val="PRICE LIST"/>
      <sheetName val="Currency_Rate9"/>
      <sheetName val="Unit_Price_M9"/>
      <sheetName val="REF_ONLY10"/>
      <sheetName val="Analisa_SNI_STANDART_9"/>
      <sheetName val="BANGUNAN_PENUNJANG8"/>
      <sheetName val="An_Arsitektur9"/>
      <sheetName val="Unit_Rate_(2)9"/>
      <sheetName val="Cash_Flow_bulanan6"/>
      <sheetName val="dongia_(2)6"/>
      <sheetName val="THPDMoi__(2)6"/>
      <sheetName val="TONG_HOP_VL-NC6"/>
      <sheetName val="TONGKE3p_6"/>
      <sheetName val="TH_VL,_NC,_DDHT_Thanhphuoc6"/>
      <sheetName val="DON_GIA6"/>
      <sheetName val="t-h_HA_THE6"/>
      <sheetName val="CHITIET_VL-NC-TT_-1p6"/>
      <sheetName val="TONG_HOP_VL-NC_TT6"/>
      <sheetName val="TH_XL6"/>
      <sheetName val="CHITIET_VL-NC6"/>
      <sheetName val="CHITIET_VL-NC-TT-3p6"/>
      <sheetName val="KPVC-BD_6"/>
      <sheetName val="Bahan_6"/>
      <sheetName val="Pekerjaan_6"/>
      <sheetName val="Cover_Daf_26"/>
      <sheetName val="Rekap_Direct_Cost6"/>
      <sheetName val="D_&amp;_W_sizes6"/>
      <sheetName val="Kuantitas_&amp;_Harga6"/>
      <sheetName val="Basic_Price6"/>
      <sheetName val="Kolom_UT6"/>
      <sheetName val="Bill_of_Qty_MEP6"/>
      <sheetName val="Bill_rekap6"/>
      <sheetName val="Hrg_Sat6"/>
      <sheetName val="Ahs_16"/>
      <sheetName val="Ahs_26"/>
      <sheetName val="Analisa_Upah_&amp;_Bahan_Plum6"/>
      <sheetName val="HRG_BHN6"/>
      <sheetName val="mat_me_pipa6"/>
      <sheetName val="TOWER_D6"/>
      <sheetName val="Cover_Daf-22"/>
      <sheetName val="5_2_6"/>
      <sheetName val="Alat_Kerja6"/>
      <sheetName val="Daf_16"/>
      <sheetName val="H_Satuan6"/>
      <sheetName val="_anal_hrg_sat6"/>
      <sheetName val="Deep_Well2"/>
      <sheetName val="Pek_Luar2"/>
      <sheetName val="Analisa__(2)6"/>
      <sheetName val="Analisa_DMPU6"/>
      <sheetName val="Bill_2_Summary2"/>
      <sheetName val="FORM_X_COST2"/>
      <sheetName val="An_Struktur2"/>
      <sheetName val="OFFICE_2_LT6"/>
      <sheetName val="metode_2"/>
      <sheetName val="Master_1_02"/>
      <sheetName val="OP__ALAT2"/>
      <sheetName val="OP__PERJAM2"/>
      <sheetName val="B__PERSONIL2"/>
      <sheetName val="KAN__LOKAL2"/>
      <sheetName val="Perm__Test2"/>
      <sheetName val="prime_coal2"/>
      <sheetName val="REKAP_REV_SHARING2"/>
      <sheetName val="Analisa_(me)3"/>
      <sheetName val="Fill_this_out_first___4"/>
      <sheetName val="____2"/>
      <sheetName val="HB_6"/>
      <sheetName val="Cover_(x)2"/>
      <sheetName val="Cor_Apt2"/>
      <sheetName val="rab_me_(by_owner)_2"/>
      <sheetName val="BQ_(by_owner)2"/>
      <sheetName val="rab_me_(fisik)2"/>
      <sheetName val="RAB_AR&amp;STR2"/>
      <sheetName val="3_5_STR_PH-2_2"/>
      <sheetName val="Urai__Resap_pengikat2"/>
      <sheetName val="Breakdown_Architecture2"/>
      <sheetName val="struktur_tdk_dipakai2"/>
      <sheetName val="B1form_(2)2"/>
      <sheetName val="Up_&amp;_bhn2"/>
      <sheetName val="Data_basic_price_jgan_diprint2"/>
      <sheetName val="CATU_DAYA_LISTRIK_PLB2"/>
      <sheetName val="CATU_DAYA_LISTRIK_PK2"/>
      <sheetName val="PERALATAN_&amp;_KATUP2_PK2"/>
      <sheetName val="PERALATAN_UTAMA_PK2"/>
      <sheetName val="PERALATAN_&amp;_KATUP2_PLB2"/>
      <sheetName val="PERALATAN_UTAMA_PLB2"/>
      <sheetName val="PEMIPAAN_PK2"/>
      <sheetName val="PEMIPAAN_PLB2"/>
      <sheetName val="4-Basic_Price2"/>
      <sheetName val="Alat_R_oke2"/>
      <sheetName val="BU_ok2"/>
      <sheetName val="BM_vs_BB2"/>
      <sheetName val="Bahan_oke2"/>
      <sheetName val="Bill_sipil2"/>
      <sheetName val="DAFTAR_72"/>
      <sheetName val="SKEDUL_AV-052"/>
      <sheetName val="Fill_this_out_first___5"/>
      <sheetName val="BOQ_Summary2"/>
      <sheetName val="Purchase_Order2"/>
      <sheetName val="Customize_Your_Purchase_Order2"/>
      <sheetName val="ANALISA_TENDER2"/>
      <sheetName val="dongia__2_2"/>
      <sheetName val="THPDMoi___2_2"/>
      <sheetName val="TONG_HOP_VL_NC2"/>
      <sheetName val="TH_VL__NC__DDHT_Thanhphuoc2"/>
      <sheetName val="t_h_HA_THE2"/>
      <sheetName val="CHITIET_VL_NC_TT__1p2"/>
      <sheetName val="TONG_HOP_VL_NC_TT2"/>
      <sheetName val="CHITIET_VL_NC2"/>
      <sheetName val="CHITIET_VL_NC_TT_3p2"/>
      <sheetName val="KPVC_BD_2"/>
      <sheetName val="Agregat_Halus_&amp;_Kasar2"/>
      <sheetName val="Harga_Satuan2"/>
      <sheetName val="ANAL_lump_sum2"/>
      <sheetName val="clg_fin2"/>
      <sheetName val="flr_fin2"/>
      <sheetName val="timber_frame2"/>
      <sheetName val="Wall_Qty2"/>
      <sheetName val="roof_fin2"/>
      <sheetName val="Flr,_Rf_Bm2"/>
      <sheetName val="Flr_Slb,_stair2"/>
      <sheetName val="Gd_Bm2"/>
      <sheetName val="PC,_G_Slab2"/>
      <sheetName val="wall_fin2"/>
      <sheetName val="hrg_dasar2"/>
      <sheetName val="Analisa_HS2"/>
      <sheetName val="C-LOAD(L-FACTORY_)3"/>
      <sheetName val="MTO_REV_2_ARMOR_2"/>
      <sheetName val="Public_Area2"/>
      <sheetName val="Analisa_Upah___Bahan_Plum2"/>
      <sheetName val="EXTERNAL_WORK2"/>
      <sheetName val="Feb_Audited2"/>
      <sheetName val="A+Supl_2"/>
      <sheetName val="parapet_baru2"/>
      <sheetName val="Financial_Summary2"/>
      <sheetName val="Valuation_Summary2"/>
      <sheetName val="Shares_Traded2"/>
      <sheetName val="Public_&amp;_Private_Valuation2"/>
      <sheetName val="BOQ_CBM2"/>
      <sheetName val="iTEM_hARSAT2"/>
      <sheetName val="Peralatan_(2)2"/>
      <sheetName val="REKAP_BQ_2"/>
      <sheetName val="GRAND_TOTAL2"/>
      <sheetName val="Sat_Bah_&amp;_Up2"/>
      <sheetName val="Spec_ME2"/>
      <sheetName val="AN_Tdr2"/>
      <sheetName val="Analisa_2"/>
      <sheetName val="Tie_Beam2"/>
      <sheetName val="AN_Beton2"/>
      <sheetName val="BQ_Ars2"/>
      <sheetName val="analis_standar(20m)2"/>
      <sheetName val="ANAL_BETON2"/>
      <sheetName val="Category_12"/>
      <sheetName val="MTO_REV_2(ARMOR)2"/>
      <sheetName val="alue_deah_teungoh2"/>
      <sheetName val="lambaro_skep2"/>
      <sheetName val="matang_rayeuk2"/>
      <sheetName val="deah_raya2"/>
      <sheetName val="SAT_UPAH_RAPI2"/>
      <sheetName val="Harga_Dasar2"/>
      <sheetName val="Analisa_Harga_Satuan2"/>
      <sheetName val="Daftar_Hutang2"/>
      <sheetName val="TE_TS_FA_LAN_MATV2"/>
      <sheetName val="YTD'97_Sales"/>
      <sheetName val="Week9-Feb____"/>
      <sheetName val="RAB_J18_"/>
      <sheetName val="Fire_Fighting"/>
      <sheetName val="Analisa_-Baku"/>
      <sheetName val="Analisa___2_"/>
      <sheetName val="Statprod_gab"/>
      <sheetName val="Elec_LG"/>
      <sheetName val="tong_hop"/>
      <sheetName val="8_QD957"/>
      <sheetName val="BQ_AC-_SEMANAN"/>
      <sheetName val="1_Requisition(E)"/>
      <sheetName val="Main_Feeder"/>
      <sheetName val="PE_Wire"/>
      <sheetName val="Budget_Code"/>
      <sheetName val="Analisa_21"/>
      <sheetName val="met_bab3"/>
      <sheetName val="anal_bab8"/>
      <sheetName val="dftr_harga"/>
      <sheetName val="hrg__sat_pek"/>
      <sheetName val="prhit_tulangan"/>
      <sheetName val="vol_pek"/>
      <sheetName val="GASATAGG_XLS"/>
      <sheetName val="HSUMUM_XLS"/>
      <sheetName val="HSDRAIN_XLS"/>
      <sheetName val="HSMISC_XLS"/>
      <sheetName val="anal_Lamp_4a"/>
      <sheetName val="S_UPAH"/>
      <sheetName val="S_BAHAN"/>
      <sheetName val="Harga_"/>
      <sheetName val="ANA_ALAT"/>
      <sheetName val="Isolasi_Luar_Dalam"/>
      <sheetName val="Isolasi_Luar"/>
      <sheetName val="Form_4_&amp;_4-A"/>
      <sheetName val="TTL_Project_Level-2"/>
      <sheetName val="B_-_Norelec"/>
      <sheetName val="pro_ra_op"/>
      <sheetName val="HARGA_ALAT"/>
      <sheetName val="BQ_(1)"/>
      <sheetName val="hrg_dasar_rc"/>
      <sheetName val="DHS_AC"/>
      <sheetName val="Daftar_BOQ"/>
      <sheetName val="std_wt_"/>
      <sheetName val="lkalibrasi_BENENAIN"/>
      <sheetName val="On_Time"/>
      <sheetName val="Conn__Lib"/>
      <sheetName val="Balok_L_2"/>
      <sheetName val="Pengalaman_Per"/>
      <sheetName val="HARGA_MATERIAL"/>
      <sheetName val="Analisa_Gabungan"/>
      <sheetName val="Sec_I_ML"/>
      <sheetName val="Anal_alat"/>
      <sheetName val="10_1(3)"/>
      <sheetName val="AHS_6_1(2)"/>
      <sheetName val="Metode_8_1(5)"/>
      <sheetName val="TT_DZ35"/>
      <sheetName val="TH_DZ35"/>
      <sheetName val="B3A_-_TOWER_A"/>
      <sheetName val="Tro_giup"/>
      <sheetName val="Peralatan_(1)"/>
      <sheetName val="AHS2_Partisi,Curtain,Pnt,Jndla"/>
      <sheetName val="Rekap_B_L_"/>
      <sheetName val="BoQ_"/>
      <sheetName val="Analisa_Harga"/>
      <sheetName val="Rev__History"/>
      <sheetName val="Mortar_(pnw)"/>
      <sheetName val="RumusTB_1_bln"/>
      <sheetName val="1_Unit_Price"/>
      <sheetName val="Harga Sat"/>
      <sheetName val="hrg-sat.pek"/>
      <sheetName val="Perhit.Alat"/>
      <sheetName val="Harga_Sat"/>
      <sheetName val="daf_3_OK_"/>
      <sheetName val="daf_7_OK_"/>
      <sheetName val="satpek"/>
      <sheetName val="C"/>
      <sheetName val="M"/>
      <sheetName val="Sheet3"/>
      <sheetName val="ca"/>
      <sheetName val="FLI - Sec.1"/>
      <sheetName val="sept"/>
      <sheetName val="Asumsi"/>
      <sheetName val="Twr (15)"/>
      <sheetName val="NRCPTK01"/>
      <sheetName val="entertain-720"/>
      <sheetName val="W-NAD"/>
      <sheetName val="P-SA"/>
      <sheetName val="Kabel C&amp;S"/>
      <sheetName val="Electrical "/>
      <sheetName val="SCADA ENG"/>
      <sheetName val="Supervisory Control System"/>
      <sheetName val="Sheet5"/>
      <sheetName val="Sch-5"/>
      <sheetName val="Kamus"/>
      <sheetName val="Resume"/>
      <sheetName val="RAB BPS"/>
      <sheetName val="BAHAN &amp; UPAH"/>
      <sheetName val="brd2"/>
      <sheetName val="PRD 01-6(I-II)"/>
      <sheetName val="Hrg Sat"/>
      <sheetName val="Idx Lokasi PG"/>
      <sheetName val="Data PG"/>
      <sheetName val="Up _ bhn"/>
      <sheetName val="H S D"/>
      <sheetName val="Sheet9"/>
      <sheetName val="ALS1"/>
      <sheetName val="ALS5"/>
      <sheetName val="ALS3"/>
      <sheetName val="ALS4"/>
      <sheetName val="s-curve BP05 (7)"/>
      <sheetName val="SAT"/>
      <sheetName val="REK"/>
      <sheetName val="6.6(1)"/>
      <sheetName val="analisa print"/>
      <sheetName val="Pas. Batu Gng"/>
      <sheetName val="Hrg Satuan"/>
      <sheetName val="DAFTAR HARGA"/>
      <sheetName val="INF"/>
      <sheetName val="ana-alat"/>
      <sheetName val="Lantai 1 ME"/>
      <sheetName val="AN-ALAT"/>
      <sheetName val="Penj. Total"/>
      <sheetName val="SNI"/>
      <sheetName val="Harga Bahan"/>
      <sheetName val="SNI STRUKTUR"/>
      <sheetName val="hs_ars"/>
      <sheetName val="Lt. 1 (A)"/>
      <sheetName val="analisa_Str6"/>
      <sheetName val="ANALISA SNI'13 "/>
      <sheetName val="ANALISA1"/>
      <sheetName val="Analat"/>
      <sheetName val="skejul"/>
      <sheetName val="Antek"/>
      <sheetName val="lamp2"/>
      <sheetName val="BYYALAT"/>
      <sheetName val="PRY01-1(2)"/>
      <sheetName val="Currency_Rate10"/>
      <sheetName val="Unit_Price_M10"/>
      <sheetName val="REF_ONLY11"/>
      <sheetName val="Analisa_SNI_STANDART_10"/>
      <sheetName val="An_Arsitektur10"/>
      <sheetName val="Unit_Rate_(2)10"/>
      <sheetName val="BANGUNAN_PENUNJANG9"/>
      <sheetName val="Cover_Daf_27"/>
      <sheetName val="Rekap_Direct_Cost7"/>
      <sheetName val="Kuantitas_&amp;_Harga7"/>
      <sheetName val="Basic_Price7"/>
      <sheetName val="Alat_Kerja7"/>
      <sheetName val="Daf_17"/>
      <sheetName val="Cash_Flow_bulanan7"/>
      <sheetName val="Bill_rekap7"/>
      <sheetName val="Bill_of_Qty_MEP7"/>
      <sheetName val="Kolom_UT7"/>
      <sheetName val="Analisa__(2)7"/>
      <sheetName val="analisa_Str5"/>
      <sheetName val="D_&amp;_W_sizes7"/>
      <sheetName val="Bahan_7"/>
      <sheetName val="Pekerjaan_7"/>
      <sheetName val="HRG_BHN7"/>
      <sheetName val="Analisa_Upah_&amp;_Bahan_Plum7"/>
      <sheetName val="5_2_7"/>
      <sheetName val="Hrg_Sat7"/>
      <sheetName val="Master_1_03"/>
      <sheetName val="TOWER_D7"/>
      <sheetName val="_anal_hrg_sat7"/>
      <sheetName val="dongia_(2)7"/>
      <sheetName val="THPDMoi__(2)7"/>
      <sheetName val="TONG_HOP_VL-NC7"/>
      <sheetName val="TONGKE3p_7"/>
      <sheetName val="TH_VL,_NC,_DDHT_Thanhphuoc7"/>
      <sheetName val="DON_GIA7"/>
      <sheetName val="t-h_HA_THE7"/>
      <sheetName val="CHITIET_VL-NC-TT_-1p7"/>
      <sheetName val="TONG_HOP_VL-NC_TT7"/>
      <sheetName val="TH_XL7"/>
      <sheetName val="CHITIET_VL-NC7"/>
      <sheetName val="CHITIET_VL-NC-TT-3p7"/>
      <sheetName val="KPVC-BD_7"/>
      <sheetName val="OFFICE_2_LT7"/>
      <sheetName val="mat_me_pipa7"/>
      <sheetName val="H_Satuan7"/>
      <sheetName val="Deep_Well3"/>
      <sheetName val="Pek_Luar3"/>
      <sheetName val="OP__ALAT3"/>
      <sheetName val="OP__PERJAM3"/>
      <sheetName val="B__PERSONIL3"/>
      <sheetName val="KAN__LOKAL3"/>
      <sheetName val="Perm__Test3"/>
      <sheetName val="Analisa_DMPU7"/>
      <sheetName val="prime_coal3"/>
      <sheetName val="Ahs_17"/>
      <sheetName val="Ahs_27"/>
      <sheetName val="Urai__Resap_pengikat3"/>
      <sheetName val="REKAP_REV_SHARING3"/>
      <sheetName val="Cover_Daf-23"/>
      <sheetName val="Bill_2_Summary3"/>
      <sheetName val="metode_3"/>
      <sheetName val="HB_7"/>
      <sheetName val="FORM_X_COST3"/>
      <sheetName val="An_Struktur3"/>
      <sheetName val="Cover_(x)3"/>
      <sheetName val="Cor_Apt3"/>
      <sheetName val="3_5_STR_PH-2_3"/>
      <sheetName val="RAB_AR&amp;STR3"/>
      <sheetName val="struktur_tdk_dipakai3"/>
      <sheetName val="Up_&amp;_bhn3"/>
      <sheetName val="Breakdown_Architecture3"/>
      <sheetName val="rab_me_(by_owner)_3"/>
      <sheetName val="BQ_(by_owner)3"/>
      <sheetName val="rab_me_(fisik)3"/>
      <sheetName val="Alat_R_oke3"/>
      <sheetName val="BU_ok3"/>
      <sheetName val="BM_vs_BB3"/>
      <sheetName val="Bahan_oke3"/>
      <sheetName val="DAFTAR_73"/>
      <sheetName val="Data_basic_price_jgan_diprint3"/>
      <sheetName val="CATU_DAYA_LISTRIK_PLB3"/>
      <sheetName val="CATU_DAYA_LISTRIK_PK3"/>
      <sheetName val="PERALATAN_&amp;_KATUP2_PK3"/>
      <sheetName val="PERALATAN_UTAMA_PK3"/>
      <sheetName val="PERALATAN_&amp;_KATUP2_PLB3"/>
      <sheetName val="PERALATAN_UTAMA_PLB3"/>
      <sheetName val="PEMIPAAN_PK3"/>
      <sheetName val="PEMIPAAN_PLB3"/>
      <sheetName val="4-Basic_Price3"/>
      <sheetName val="SKEDUL_AV-053"/>
      <sheetName val="Analisa_3"/>
      <sheetName val="Analisa_-Baku1"/>
      <sheetName val="YTD'97_Sales1"/>
      <sheetName val="Week9-Feb____1"/>
      <sheetName val="Analisa_Harga1"/>
      <sheetName val="Lt__1_(A)"/>
      <sheetName val="F1c_DATA_ADM6"/>
      <sheetName val="Master_Edit"/>
      <sheetName val="Data_Alat"/>
      <sheetName val="SUMBER_DAYA"/>
      <sheetName val="3_1_(3)"/>
      <sheetName val="13_Nangakara_Weir"/>
      <sheetName val="14_Irr_Canal_Work"/>
      <sheetName val="15_Irr__Struc_Work"/>
      <sheetName val="16_Pipe_Inst_"/>
      <sheetName val="18_Lateral_Pipe"/>
      <sheetName val="1_General_Item"/>
      <sheetName val="2_Sorinangka_Weir"/>
      <sheetName val="3_Irr_Canal_Work"/>
      <sheetName val="4_Irr_Struc_Work"/>
      <sheetName val="6_Tertiary_Work"/>
      <sheetName val="Galian_1"/>
      <sheetName val="Harsat_Bahan"/>
      <sheetName val="Harsat_Upah"/>
      <sheetName val="_HARGA"/>
      <sheetName val="DAS-SAT (2)"/>
      <sheetName val="DAS-SAT (3)"/>
      <sheetName val="DAFTAR D.2"/>
      <sheetName val="BS"/>
      <sheetName val="Bill3-Basement"/>
      <sheetName val="QSS"/>
      <sheetName val="Material&amp;Alat"/>
      <sheetName val="DB"/>
      <sheetName val="DW"/>
      <sheetName val="ELEMENT SUM"/>
      <sheetName val="6PILE  (돌출)"/>
      <sheetName val="MAPP"/>
      <sheetName val="Steel-Twr"/>
      <sheetName val="NOV 2019"/>
      <sheetName val="a.2"/>
      <sheetName val="div10"/>
      <sheetName val="HARSAT_BAH"/>
      <sheetName val="REMUNERASISTANDAR"/>
      <sheetName val="TABEL-DETASIR"/>
      <sheetName val="Hsatuan-OK"/>
      <sheetName val="COV"/>
      <sheetName val="analisa_Str7"/>
      <sheetName val="Currency_Rate17"/>
      <sheetName val="Unit_Price_M17"/>
      <sheetName val="REF_ONLY17"/>
      <sheetName val="Analisa_SNI_STANDART_16"/>
      <sheetName val="An_Arsitektur16"/>
      <sheetName val="Unit_Rate_(2)16"/>
      <sheetName val="BANGUNAN_PENUNJANG15"/>
      <sheetName val="Rekap_Direct_Cost13"/>
      <sheetName val="Kuantitas_&amp;_Harga13"/>
      <sheetName val="Basic_Price13"/>
      <sheetName val="Cover_Daf_213"/>
      <sheetName val="Bill_of_Qty_MEP13"/>
      <sheetName val="Kolom_UT13"/>
      <sheetName val="analisa_Str13"/>
      <sheetName val="Bill_rekap13"/>
      <sheetName val="Cash_Flow_bulanan13"/>
      <sheetName val="D_&amp;_W_sizes13"/>
      <sheetName val="Bahan_13"/>
      <sheetName val="Pekerjaan_13"/>
      <sheetName val="HRG_BHN13"/>
      <sheetName val="Analisa_Upah_&amp;_Bahan_Plum13"/>
      <sheetName val="Alat_Kerja13"/>
      <sheetName val="Daf_113"/>
      <sheetName val="_anal_hrg_sat13"/>
      <sheetName val="H_Satuan13"/>
      <sheetName val="mat_me_pipa13"/>
      <sheetName val="TOWER_D13"/>
      <sheetName val="5_2_13"/>
      <sheetName val="Hrg_Sat13"/>
      <sheetName val="dongia_(2)13"/>
      <sheetName val="THPDMoi__(2)13"/>
      <sheetName val="TONG_HOP_VL-NC13"/>
      <sheetName val="TONGKE3p_13"/>
      <sheetName val="TH_VL,_NC,_DDHT_Thanhphuoc13"/>
      <sheetName val="DON_GIA13"/>
      <sheetName val="t-h_HA_THE13"/>
      <sheetName val="CHITIET_VL-NC-TT_-1p13"/>
      <sheetName val="TONG_HOP_VL-NC_TT13"/>
      <sheetName val="TH_XL13"/>
      <sheetName val="CHITIET_VL-NC13"/>
      <sheetName val="CHITIET_VL-NC-TT-3p13"/>
      <sheetName val="KPVC-BD_13"/>
      <sheetName val="Ahs_113"/>
      <sheetName val="Ahs_213"/>
      <sheetName val="Analisa__(2)13"/>
      <sheetName val="Analisa_DMPU13"/>
      <sheetName val="Deep_Well9"/>
      <sheetName val="Pek_Luar9"/>
      <sheetName val="OFFICE_2_LT13"/>
      <sheetName val="Master_1_09"/>
      <sheetName val="Analisa_(me)9"/>
      <sheetName val="CATU_DAYA_LISTRIK_PLB9"/>
      <sheetName val="CATU_DAYA_LISTRIK_PK9"/>
      <sheetName val="PERALATAN_&amp;_KATUP2_PK9"/>
      <sheetName val="PERALATAN_UTAMA_PK9"/>
      <sheetName val="PERALATAN_&amp;_KATUP2_PLB9"/>
      <sheetName val="PERALATAN_UTAMA_PLB9"/>
      <sheetName val="PEMIPAAN_PK9"/>
      <sheetName val="PEMIPAAN_PLB9"/>
      <sheetName val="prime_coal9"/>
      <sheetName val="REKAP_REV_SHARING9"/>
      <sheetName val="OP__ALAT9"/>
      <sheetName val="OP__PERJAM9"/>
      <sheetName val="B__PERSONIL9"/>
      <sheetName val="KAN__LOKAL9"/>
      <sheetName val="Perm__Test9"/>
      <sheetName val="HB_13"/>
      <sheetName val="Cover_Daf-29"/>
      <sheetName val="Bill_2_Summary9"/>
      <sheetName val="metode_9"/>
      <sheetName val="Urai__Resap_pengikat9"/>
      <sheetName val="Alat_R_oke9"/>
      <sheetName val="BU_ok9"/>
      <sheetName val="BM_vs_BB9"/>
      <sheetName val="Bahan_oke9"/>
      <sheetName val="RAB_AR&amp;STR9"/>
      <sheetName val="FORM_X_COST9"/>
      <sheetName val="An_Struktur10"/>
      <sheetName val="Cover_(x)9"/>
      <sheetName val="Cor_Apt9"/>
      <sheetName val="struktur_tdk_dipakai9"/>
      <sheetName val="Fill_this_out_first___9"/>
      <sheetName val="Breakdown_Architecture9"/>
      <sheetName val="3_5_STR_PH-2_9"/>
      <sheetName val="Up_&amp;_bhn9"/>
      <sheetName val="rab_me_(by_owner)_9"/>
      <sheetName val="BQ_(by_owner)9"/>
      <sheetName val="rab_me_(fisik)9"/>
      <sheetName val="DAFTAR_79"/>
      <sheetName val="Data_basic_price_jgan_diprint9"/>
      <sheetName val="4-Basic_Price9"/>
      <sheetName val="SKEDUL_AV-059"/>
      <sheetName val="Currency_Rate11"/>
      <sheetName val="Unit_Price_M11"/>
      <sheetName val="REF_ONLY12"/>
      <sheetName val="Analisa_SNI_STANDART_11"/>
      <sheetName val="An_Arsitektur11"/>
      <sheetName val="Unit_Rate_(2)11"/>
      <sheetName val="BANGUNAN_PENUNJANG10"/>
      <sheetName val="Rekap_Direct_Cost8"/>
      <sheetName val="Kuantitas_&amp;_Harga8"/>
      <sheetName val="Basic_Price8"/>
      <sheetName val="Cover_Daf_28"/>
      <sheetName val="Bill_of_Qty_MEP8"/>
      <sheetName val="Kolom_UT8"/>
      <sheetName val="analisa_Str8"/>
      <sheetName val="Bill_rekap8"/>
      <sheetName val="Cash_Flow_bulanan8"/>
      <sheetName val="D_&amp;_W_sizes8"/>
      <sheetName val="Bahan_8"/>
      <sheetName val="Pekerjaan_8"/>
      <sheetName val="HRG_BHN8"/>
      <sheetName val="Analisa_Upah_&amp;_Bahan_Plum8"/>
      <sheetName val="Alat_Kerja8"/>
      <sheetName val="Daf_18"/>
      <sheetName val="_anal_hrg_sat8"/>
      <sheetName val="H_Satuan8"/>
      <sheetName val="mat_me_pipa8"/>
      <sheetName val="TOWER_D8"/>
      <sheetName val="5_2_8"/>
      <sheetName val="Hrg_Sat8"/>
      <sheetName val="dongia_(2)8"/>
      <sheetName val="THPDMoi__(2)8"/>
      <sheetName val="TONG_HOP_VL-NC8"/>
      <sheetName val="TONGKE3p_8"/>
      <sheetName val="TH_VL,_NC,_DDHT_Thanhphuoc8"/>
      <sheetName val="DON_GIA8"/>
      <sheetName val="t-h_HA_THE8"/>
      <sheetName val="CHITIET_VL-NC-TT_-1p8"/>
      <sheetName val="TONG_HOP_VL-NC_TT8"/>
      <sheetName val="TH_XL8"/>
      <sheetName val="CHITIET_VL-NC8"/>
      <sheetName val="CHITIET_VL-NC-TT-3p8"/>
      <sheetName val="KPVC-BD_8"/>
      <sheetName val="Ahs_18"/>
      <sheetName val="Ahs_28"/>
      <sheetName val="Analisa__(2)8"/>
      <sheetName val="Analisa_DMPU8"/>
      <sheetName val="Deep_Well4"/>
      <sheetName val="Pek_Luar4"/>
      <sheetName val="OFFICE_2_LT8"/>
      <sheetName val="Master_1_04"/>
      <sheetName val="Analisa_(me)4"/>
      <sheetName val="CATU_DAYA_LISTRIK_PLB4"/>
      <sheetName val="CATU_DAYA_LISTRIK_PK4"/>
      <sheetName val="PERALATAN_&amp;_KATUP2_PK4"/>
      <sheetName val="PERALATAN_UTAMA_PK4"/>
      <sheetName val="PERALATAN_&amp;_KATUP2_PLB4"/>
      <sheetName val="PERALATAN_UTAMA_PLB4"/>
      <sheetName val="PEMIPAAN_PK4"/>
      <sheetName val="PEMIPAAN_PLB4"/>
      <sheetName val="prime_coal4"/>
      <sheetName val="REKAP_REV_SHARING4"/>
      <sheetName val="OP__ALAT4"/>
      <sheetName val="OP__PERJAM4"/>
      <sheetName val="B__PERSONIL4"/>
      <sheetName val="KAN__LOKAL4"/>
      <sheetName val="Perm__Test4"/>
      <sheetName val="HB_8"/>
      <sheetName val="Cover_Daf-24"/>
      <sheetName val="Bill_2_Summary4"/>
      <sheetName val="metode_4"/>
      <sheetName val="Urai__Resap_pengikat4"/>
      <sheetName val="Alat_R_oke4"/>
      <sheetName val="BU_ok4"/>
      <sheetName val="BM_vs_BB4"/>
      <sheetName val="Bahan_oke4"/>
      <sheetName val="RAB_AR&amp;STR4"/>
      <sheetName val="FORM_X_COST4"/>
      <sheetName val="An_Struktur5"/>
      <sheetName val="Cover_(x)4"/>
      <sheetName val="Cor_Apt4"/>
      <sheetName val="struktur_tdk_dipakai4"/>
      <sheetName val="Breakdown_Architecture4"/>
      <sheetName val="3_5_STR_PH-2_4"/>
      <sheetName val="Up_&amp;_bhn4"/>
      <sheetName val="rab_me_(by_owner)_4"/>
      <sheetName val="BQ_(by_owner)4"/>
      <sheetName val="rab_me_(fisik)4"/>
      <sheetName val="DAFTAR_74"/>
      <sheetName val="Data_basic_price_jgan_diprint4"/>
      <sheetName val="4-Basic_Price4"/>
      <sheetName val="SKEDUL_AV-054"/>
      <sheetName val="Currency_Rate12"/>
      <sheetName val="Unit_Price_M12"/>
      <sheetName val="REF_ONLY13"/>
      <sheetName val="Analisa_SNI_STANDART_12"/>
      <sheetName val="An_Arsitektur12"/>
      <sheetName val="Unit_Rate_(2)12"/>
      <sheetName val="BANGUNAN_PENUNJANG11"/>
      <sheetName val="Rekap_Direct_Cost9"/>
      <sheetName val="Kuantitas_&amp;_Harga9"/>
      <sheetName val="Basic_Price9"/>
      <sheetName val="Cover_Daf_29"/>
      <sheetName val="Bill_of_Qty_MEP9"/>
      <sheetName val="Kolom_UT9"/>
      <sheetName val="analisa_Str9"/>
      <sheetName val="Bill_rekap9"/>
      <sheetName val="Cash_Flow_bulanan9"/>
      <sheetName val="D_&amp;_W_sizes9"/>
      <sheetName val="Bahan_9"/>
      <sheetName val="Pekerjaan_9"/>
      <sheetName val="HRG_BHN9"/>
      <sheetName val="Analisa_Upah_&amp;_Bahan_Plum9"/>
      <sheetName val="Alat_Kerja9"/>
      <sheetName val="Daf_19"/>
      <sheetName val="_anal_hrg_sat9"/>
      <sheetName val="H_Satuan9"/>
      <sheetName val="mat_me_pipa9"/>
      <sheetName val="TOWER_D9"/>
      <sheetName val="5_2_9"/>
      <sheetName val="Hrg_Sat9"/>
      <sheetName val="dongia_(2)9"/>
      <sheetName val="THPDMoi__(2)9"/>
      <sheetName val="TONG_HOP_VL-NC9"/>
      <sheetName val="TONGKE3p_9"/>
      <sheetName val="TH_VL,_NC,_DDHT_Thanhphuoc9"/>
      <sheetName val="DON_GIA9"/>
      <sheetName val="t-h_HA_THE9"/>
      <sheetName val="CHITIET_VL-NC-TT_-1p9"/>
      <sheetName val="TONG_HOP_VL-NC_TT9"/>
      <sheetName val="TH_XL9"/>
      <sheetName val="CHITIET_VL-NC9"/>
      <sheetName val="CHITIET_VL-NC-TT-3p9"/>
      <sheetName val="KPVC-BD_9"/>
      <sheetName val="Ahs_19"/>
      <sheetName val="Ahs_29"/>
      <sheetName val="Analisa__(2)9"/>
      <sheetName val="Analisa_DMPU9"/>
      <sheetName val="Deep_Well5"/>
      <sheetName val="Pek_Luar5"/>
      <sheetName val="OFFICE_2_LT9"/>
      <sheetName val="Master_1_05"/>
      <sheetName val="Analisa_(me)5"/>
      <sheetName val="CATU_DAYA_LISTRIK_PLB5"/>
      <sheetName val="CATU_DAYA_LISTRIK_PK5"/>
      <sheetName val="PERALATAN_&amp;_KATUP2_PK5"/>
      <sheetName val="PERALATAN_UTAMA_PK5"/>
      <sheetName val="PERALATAN_&amp;_KATUP2_PLB5"/>
      <sheetName val="PERALATAN_UTAMA_PLB5"/>
      <sheetName val="PEMIPAAN_PK5"/>
      <sheetName val="PEMIPAAN_PLB5"/>
      <sheetName val="prime_coal5"/>
      <sheetName val="REKAP_REV_SHARING5"/>
      <sheetName val="OP__ALAT5"/>
      <sheetName val="OP__PERJAM5"/>
      <sheetName val="B__PERSONIL5"/>
      <sheetName val="KAN__LOKAL5"/>
      <sheetName val="Perm__Test5"/>
      <sheetName val="HB_9"/>
      <sheetName val="Cover_Daf-25"/>
      <sheetName val="Bill_2_Summary5"/>
      <sheetName val="metode_5"/>
      <sheetName val="Urai__Resap_pengikat5"/>
      <sheetName val="Alat_R_oke5"/>
      <sheetName val="BU_ok5"/>
      <sheetName val="BM_vs_BB5"/>
      <sheetName val="Bahan_oke5"/>
      <sheetName val="RAB_AR&amp;STR5"/>
      <sheetName val="FORM_X_COST5"/>
      <sheetName val="An_Struktur6"/>
      <sheetName val="Cover_(x)5"/>
      <sheetName val="Cor_Apt5"/>
      <sheetName val="struktur_tdk_dipakai5"/>
      <sheetName val="Breakdown_Architecture5"/>
      <sheetName val="3_5_STR_PH-2_5"/>
      <sheetName val="Up_&amp;_bhn5"/>
      <sheetName val="rab_me_(by_owner)_5"/>
      <sheetName val="BQ_(by_owner)5"/>
      <sheetName val="rab_me_(fisik)5"/>
      <sheetName val="DAFTAR_75"/>
      <sheetName val="Data_basic_price_jgan_diprint5"/>
      <sheetName val="4-Basic_Price5"/>
      <sheetName val="SKEDUL_AV-055"/>
      <sheetName val="Currency_Rate13"/>
      <sheetName val="Unit_Price_M13"/>
      <sheetName val="REF_ONLY14"/>
      <sheetName val="Analisa_SNI_STANDART_13"/>
      <sheetName val="An_Arsitektur13"/>
      <sheetName val="Unit_Rate_(2)13"/>
      <sheetName val="BANGUNAN_PENUNJANG12"/>
      <sheetName val="Rekap_Direct_Cost10"/>
      <sheetName val="Kuantitas_&amp;_Harga10"/>
      <sheetName val="Basic_Price10"/>
      <sheetName val="Cover_Daf_210"/>
      <sheetName val="Bill_of_Qty_MEP10"/>
      <sheetName val="Kolom_UT10"/>
      <sheetName val="analisa_Str10"/>
      <sheetName val="Bill_rekap10"/>
      <sheetName val="Cash_Flow_bulanan10"/>
      <sheetName val="D_&amp;_W_sizes10"/>
      <sheetName val="Bahan_10"/>
      <sheetName val="Pekerjaan_10"/>
      <sheetName val="HRG_BHN10"/>
      <sheetName val="Analisa_Upah_&amp;_Bahan_Plum10"/>
      <sheetName val="Alat_Kerja10"/>
      <sheetName val="Daf_110"/>
      <sheetName val="_anal_hrg_sat10"/>
      <sheetName val="H_Satuan10"/>
      <sheetName val="mat_me_pipa10"/>
      <sheetName val="TOWER_D10"/>
      <sheetName val="5_2_10"/>
      <sheetName val="Hrg_Sat10"/>
      <sheetName val="dongia_(2)10"/>
      <sheetName val="THPDMoi__(2)10"/>
      <sheetName val="TONG_HOP_VL-NC10"/>
      <sheetName val="TONGKE3p_10"/>
      <sheetName val="TH_VL,_NC,_DDHT_Thanhphuoc10"/>
      <sheetName val="DON_GIA10"/>
      <sheetName val="t-h_HA_THE10"/>
      <sheetName val="CHITIET_VL-NC-TT_-1p10"/>
      <sheetName val="TONG_HOP_VL-NC_TT10"/>
      <sheetName val="TH_XL10"/>
      <sheetName val="CHITIET_VL-NC10"/>
      <sheetName val="CHITIET_VL-NC-TT-3p10"/>
      <sheetName val="KPVC-BD_10"/>
      <sheetName val="Ahs_110"/>
      <sheetName val="Ahs_210"/>
      <sheetName val="Analisa__(2)10"/>
      <sheetName val="Analisa_DMPU10"/>
      <sheetName val="Deep_Well6"/>
      <sheetName val="Pek_Luar6"/>
      <sheetName val="OFFICE_2_LT10"/>
      <sheetName val="Master_1_06"/>
      <sheetName val="Analisa_(me)6"/>
      <sheetName val="CATU_DAYA_LISTRIK_PLB6"/>
      <sheetName val="CATU_DAYA_LISTRIK_PK6"/>
      <sheetName val="PERALATAN_&amp;_KATUP2_PK6"/>
      <sheetName val="PERALATAN_UTAMA_PK6"/>
      <sheetName val="PERALATAN_&amp;_KATUP2_PLB6"/>
      <sheetName val="PERALATAN_UTAMA_PLB6"/>
      <sheetName val="PEMIPAAN_PK6"/>
      <sheetName val="PEMIPAAN_PLB6"/>
      <sheetName val="prime_coal6"/>
      <sheetName val="REKAP_REV_SHARING6"/>
      <sheetName val="OP__ALAT6"/>
      <sheetName val="OP__PERJAM6"/>
      <sheetName val="B__PERSONIL6"/>
      <sheetName val="KAN__LOKAL6"/>
      <sheetName val="Perm__Test6"/>
      <sheetName val="HB_10"/>
      <sheetName val="Cover_Daf-26"/>
      <sheetName val="Bill_2_Summary6"/>
      <sheetName val="metode_6"/>
      <sheetName val="Urai__Resap_pengikat6"/>
      <sheetName val="Alat_R_oke6"/>
      <sheetName val="BU_ok6"/>
      <sheetName val="BM_vs_BB6"/>
      <sheetName val="Bahan_oke6"/>
      <sheetName val="RAB_AR&amp;STR6"/>
      <sheetName val="FORM_X_COST6"/>
      <sheetName val="An_Struktur7"/>
      <sheetName val="Cover_(x)6"/>
      <sheetName val="Cor_Apt6"/>
      <sheetName val="struktur_tdk_dipakai6"/>
      <sheetName val="Fill_this_out_first___6"/>
      <sheetName val="Breakdown_Architecture6"/>
      <sheetName val="3_5_STR_PH-2_6"/>
      <sheetName val="Up_&amp;_bhn6"/>
      <sheetName val="rab_me_(by_owner)_6"/>
      <sheetName val="BQ_(by_owner)6"/>
      <sheetName val="rab_me_(fisik)6"/>
      <sheetName val="DAFTAR_76"/>
      <sheetName val="Data_basic_price_jgan_diprint6"/>
      <sheetName val="4-Basic_Price6"/>
      <sheetName val="SKEDUL_AV-056"/>
      <sheetName val="Currency_Rate14"/>
      <sheetName val="Unit_Price_M14"/>
      <sheetName val="Currency_Rate15"/>
      <sheetName val="Unit_Price_M15"/>
      <sheetName val="REF_ONLY15"/>
      <sheetName val="Analisa_SNI_STANDART_14"/>
      <sheetName val="An_Arsitektur14"/>
      <sheetName val="Unit_Rate_(2)14"/>
      <sheetName val="BANGUNAN_PENUNJANG13"/>
      <sheetName val="Rekap_Direct_Cost11"/>
      <sheetName val="Kuantitas_&amp;_Harga11"/>
      <sheetName val="Basic_Price11"/>
      <sheetName val="Cover_Daf_211"/>
      <sheetName val="Bill_of_Qty_MEP11"/>
      <sheetName val="Kolom_UT11"/>
      <sheetName val="analisa_Str11"/>
      <sheetName val="Bill_rekap11"/>
      <sheetName val="Cash_Flow_bulanan11"/>
      <sheetName val="D_&amp;_W_sizes11"/>
      <sheetName val="Bahan_11"/>
      <sheetName val="Pekerjaan_11"/>
      <sheetName val="HRG_BHN11"/>
      <sheetName val="Analisa_Upah_&amp;_Bahan_Plum11"/>
      <sheetName val="Alat_Kerja11"/>
      <sheetName val="Daf_111"/>
      <sheetName val="_anal_hrg_sat11"/>
      <sheetName val="H_Satuan11"/>
      <sheetName val="mat_me_pipa11"/>
      <sheetName val="TOWER_D11"/>
      <sheetName val="5_2_11"/>
      <sheetName val="Hrg_Sat11"/>
      <sheetName val="dongia_(2)11"/>
      <sheetName val="THPDMoi__(2)11"/>
      <sheetName val="TONG_HOP_VL-NC11"/>
      <sheetName val="TONGKE3p_11"/>
      <sheetName val="TH_VL,_NC,_DDHT_Thanhphuoc11"/>
      <sheetName val="DON_GIA11"/>
      <sheetName val="t-h_HA_THE11"/>
      <sheetName val="CHITIET_VL-NC-TT_-1p11"/>
      <sheetName val="TONG_HOP_VL-NC_TT11"/>
      <sheetName val="TH_XL11"/>
      <sheetName val="CHITIET_VL-NC11"/>
      <sheetName val="CHITIET_VL-NC-TT-3p11"/>
      <sheetName val="KPVC-BD_11"/>
      <sheetName val="Ahs_111"/>
      <sheetName val="Ahs_211"/>
      <sheetName val="Analisa__(2)11"/>
      <sheetName val="Analisa_DMPU11"/>
      <sheetName val="Deep_Well7"/>
      <sheetName val="Pek_Luar7"/>
      <sheetName val="OFFICE_2_LT11"/>
      <sheetName val="Master_1_07"/>
      <sheetName val="Analisa_(me)7"/>
      <sheetName val="CATU_DAYA_LISTRIK_PLB7"/>
      <sheetName val="CATU_DAYA_LISTRIK_PK7"/>
      <sheetName val="PERALATAN_&amp;_KATUP2_PK7"/>
      <sheetName val="PERALATAN_UTAMA_PK7"/>
      <sheetName val="PERALATAN_&amp;_KATUP2_PLB7"/>
      <sheetName val="PERALATAN_UTAMA_PLB7"/>
      <sheetName val="PEMIPAAN_PK7"/>
      <sheetName val="PEMIPAAN_PLB7"/>
      <sheetName val="prime_coal7"/>
      <sheetName val="REKAP_REV_SHARING7"/>
      <sheetName val="OP__ALAT7"/>
      <sheetName val="OP__PERJAM7"/>
      <sheetName val="B__PERSONIL7"/>
      <sheetName val="KAN__LOKAL7"/>
      <sheetName val="Perm__Test7"/>
      <sheetName val="HB_11"/>
      <sheetName val="Cover_Daf-27"/>
      <sheetName val="Bill_2_Summary7"/>
      <sheetName val="metode_7"/>
      <sheetName val="Urai__Resap_pengikat7"/>
      <sheetName val="Alat_R_oke7"/>
      <sheetName val="BU_ok7"/>
      <sheetName val="BM_vs_BB7"/>
      <sheetName val="Bahan_oke7"/>
      <sheetName val="RAB_AR&amp;STR7"/>
      <sheetName val="FORM_X_COST7"/>
      <sheetName val="An_Struktur8"/>
      <sheetName val="Cover_(x)7"/>
      <sheetName val="Cor_Apt7"/>
      <sheetName val="struktur_tdk_dipakai7"/>
      <sheetName val="Fill_this_out_first___7"/>
      <sheetName val="Breakdown_Architecture7"/>
      <sheetName val="3_5_STR_PH-2_7"/>
      <sheetName val="Up_&amp;_bhn7"/>
      <sheetName val="rab_me_(by_owner)_7"/>
      <sheetName val="BQ_(by_owner)7"/>
      <sheetName val="rab_me_(fisik)7"/>
      <sheetName val="DAFTAR_77"/>
      <sheetName val="Data_basic_price_jgan_diprint7"/>
      <sheetName val="4-Basic_Price7"/>
      <sheetName val="SKEDUL_AV-057"/>
      <sheetName val="Currency_Rate16"/>
      <sheetName val="Unit_Price_M16"/>
      <sheetName val="REF_ONLY16"/>
      <sheetName val="Analisa_SNI_STANDART_15"/>
      <sheetName val="An_Arsitektur15"/>
      <sheetName val="Unit_Rate_(2)15"/>
      <sheetName val="BANGUNAN_PENUNJANG14"/>
      <sheetName val="Rekap_Direct_Cost12"/>
      <sheetName val="Kuantitas_&amp;_Harga12"/>
      <sheetName val="Basic_Price12"/>
      <sheetName val="Cover_Daf_212"/>
      <sheetName val="Bill_of_Qty_MEP12"/>
      <sheetName val="Kolom_UT12"/>
      <sheetName val="analisa_Str12"/>
      <sheetName val="Bill_rekap12"/>
      <sheetName val="Cash_Flow_bulanan12"/>
      <sheetName val="D_&amp;_W_sizes12"/>
      <sheetName val="Bahan_12"/>
      <sheetName val="Pekerjaan_12"/>
      <sheetName val="HRG_BHN12"/>
      <sheetName val="Analisa_Upah_&amp;_Bahan_Plum12"/>
      <sheetName val="Alat_Kerja12"/>
      <sheetName val="Daf_112"/>
      <sheetName val="_anal_hrg_sat12"/>
      <sheetName val="H_Satuan12"/>
      <sheetName val="mat_me_pipa12"/>
      <sheetName val="TOWER_D12"/>
      <sheetName val="5_2_12"/>
      <sheetName val="Hrg_Sat12"/>
      <sheetName val="dongia_(2)12"/>
      <sheetName val="THPDMoi__(2)12"/>
      <sheetName val="TONG_HOP_VL-NC12"/>
      <sheetName val="TONGKE3p_12"/>
      <sheetName val="TH_VL,_NC,_DDHT_Thanhphuoc12"/>
      <sheetName val="DON_GIA12"/>
      <sheetName val="t-h_HA_THE12"/>
      <sheetName val="CHITIET_VL-NC-TT_-1p12"/>
      <sheetName val="TONG_HOP_VL-NC_TT12"/>
      <sheetName val="TH_XL12"/>
      <sheetName val="CHITIET_VL-NC12"/>
      <sheetName val="CHITIET_VL-NC-TT-3p12"/>
      <sheetName val="KPVC-BD_12"/>
      <sheetName val="Ahs_112"/>
      <sheetName val="Ahs_212"/>
      <sheetName val="Analisa__(2)12"/>
      <sheetName val="Analisa_DMPU12"/>
      <sheetName val="Deep_Well8"/>
      <sheetName val="Pek_Luar8"/>
      <sheetName val="OFFICE_2_LT12"/>
      <sheetName val="Master_1_08"/>
      <sheetName val="Analisa_(me)8"/>
      <sheetName val="CATU_DAYA_LISTRIK_PLB8"/>
      <sheetName val="CATU_DAYA_LISTRIK_PK8"/>
      <sheetName val="PERALATAN_&amp;_KATUP2_PK8"/>
      <sheetName val="PERALATAN_UTAMA_PK8"/>
      <sheetName val="PERALATAN_&amp;_KATUP2_PLB8"/>
      <sheetName val="PERALATAN_UTAMA_PLB8"/>
      <sheetName val="PEMIPAAN_PK8"/>
      <sheetName val="PEMIPAAN_PLB8"/>
      <sheetName val="prime_coal8"/>
      <sheetName val="REKAP_REV_SHARING8"/>
      <sheetName val="OP__ALAT8"/>
      <sheetName val="OP__PERJAM8"/>
      <sheetName val="B__PERSONIL8"/>
      <sheetName val="KAN__LOKAL8"/>
      <sheetName val="Perm__Test8"/>
      <sheetName val="HB_12"/>
      <sheetName val="Cover_Daf-28"/>
      <sheetName val="Bill_2_Summary8"/>
      <sheetName val="metode_8"/>
      <sheetName val="Urai__Resap_pengikat8"/>
      <sheetName val="Alat_R_oke8"/>
      <sheetName val="BU_ok8"/>
      <sheetName val="BM_vs_BB8"/>
      <sheetName val="Bahan_oke8"/>
      <sheetName val="RAB_AR&amp;STR8"/>
      <sheetName val="FORM_X_COST8"/>
      <sheetName val="An_Struktur9"/>
      <sheetName val="Cover_(x)8"/>
      <sheetName val="Cor_Apt8"/>
      <sheetName val="struktur_tdk_dipakai8"/>
      <sheetName val="Fill_this_out_first___8"/>
      <sheetName val="Breakdown_Architecture8"/>
      <sheetName val="3_5_STR_PH-2_8"/>
      <sheetName val="Up_&amp;_bhn8"/>
      <sheetName val="rab_me_(by_owner)_8"/>
      <sheetName val="BQ_(by_owner)8"/>
      <sheetName val="rab_me_(fisik)8"/>
      <sheetName val="DAFTAR_78"/>
      <sheetName val="Data_basic_price_jgan_diprint8"/>
      <sheetName val="4-Basic_Price8"/>
      <sheetName val="SKEDUL_AV-058"/>
      <sheetName val="Currency_Rate18"/>
      <sheetName val="Unit_Price_M18"/>
      <sheetName val="REF_ONLY18"/>
      <sheetName val="Analisa_SNI_STANDART_17"/>
      <sheetName val="An_Arsitektur17"/>
      <sheetName val="Unit_Rate_(2)17"/>
      <sheetName val="BANGUNAN_PENUNJANG16"/>
      <sheetName val="Rekap_Direct_Cost14"/>
      <sheetName val="Kuantitas_&amp;_Harga14"/>
      <sheetName val="Basic_Price14"/>
      <sheetName val="Cover_Daf_214"/>
      <sheetName val="Bill_of_Qty_MEP14"/>
      <sheetName val="Kolom_UT14"/>
      <sheetName val="analisa_Str14"/>
      <sheetName val="Bill_rekap14"/>
      <sheetName val="Cash_Flow_bulanan14"/>
      <sheetName val="D_&amp;_W_sizes14"/>
      <sheetName val="Bahan_14"/>
      <sheetName val="Pekerjaan_14"/>
      <sheetName val="HRG_BHN14"/>
      <sheetName val="Analisa_Upah_&amp;_Bahan_Plum14"/>
      <sheetName val="Alat_Kerja14"/>
      <sheetName val="Daf_114"/>
      <sheetName val="_anal_hrg_sat14"/>
      <sheetName val="H_Satuan14"/>
      <sheetName val="mat_me_pipa14"/>
      <sheetName val="TOWER_D14"/>
      <sheetName val="5_2_14"/>
      <sheetName val="Hrg_Sat14"/>
      <sheetName val="dongia_(2)14"/>
      <sheetName val="THPDMoi__(2)14"/>
      <sheetName val="TONG_HOP_VL-NC14"/>
      <sheetName val="TONGKE3p_14"/>
      <sheetName val="TH_VL,_NC,_DDHT_Thanhphuoc14"/>
      <sheetName val="DON_GIA14"/>
      <sheetName val="t-h_HA_THE14"/>
      <sheetName val="CHITIET_VL-NC-TT_-1p14"/>
      <sheetName val="TONG_HOP_VL-NC_TT14"/>
      <sheetName val="TH_XL14"/>
      <sheetName val="CHITIET_VL-NC14"/>
      <sheetName val="CHITIET_VL-NC-TT-3p14"/>
      <sheetName val="KPVC-BD_14"/>
      <sheetName val="Ahs_114"/>
      <sheetName val="Ahs_214"/>
      <sheetName val="Analisa__(2)14"/>
      <sheetName val="Analisa_DMPU14"/>
      <sheetName val="Deep_Well10"/>
      <sheetName val="Pek_Luar10"/>
      <sheetName val="OFFICE_2_LT14"/>
      <sheetName val="Master_1_010"/>
      <sheetName val="Analisa_(me)10"/>
      <sheetName val="CATU_DAYA_LISTRIK_PLB10"/>
      <sheetName val="CATU_DAYA_LISTRIK_PK10"/>
      <sheetName val="PERALATAN_&amp;_KATUP2_PK10"/>
      <sheetName val="PERALATAN_UTAMA_PK10"/>
      <sheetName val="PERALATAN_&amp;_KATUP2_PLB10"/>
      <sheetName val="PERALATAN_UTAMA_PLB10"/>
      <sheetName val="PEMIPAAN_PK10"/>
      <sheetName val="PEMIPAAN_PLB10"/>
      <sheetName val="prime_coal10"/>
      <sheetName val="REKAP_REV_SHARING10"/>
      <sheetName val="OP__ALAT10"/>
      <sheetName val="OP__PERJAM10"/>
      <sheetName val="B__PERSONIL10"/>
      <sheetName val="KAN__LOKAL10"/>
      <sheetName val="Perm__Test10"/>
      <sheetName val="HB_14"/>
      <sheetName val="Cover_Daf-210"/>
      <sheetName val="Bill_2_Summary10"/>
      <sheetName val="metode_10"/>
      <sheetName val="Urai__Resap_pengikat10"/>
      <sheetName val="Alat_R_oke10"/>
      <sheetName val="BU_ok10"/>
      <sheetName val="BM_vs_BB10"/>
      <sheetName val="Bahan_oke10"/>
      <sheetName val="RAB_AR&amp;STR10"/>
      <sheetName val="FORM_X_COST10"/>
      <sheetName val="An_Struktur11"/>
      <sheetName val="Cover_(x)10"/>
      <sheetName val="Cor_Apt10"/>
      <sheetName val="struktur_tdk_dipakai10"/>
      <sheetName val="Fill_this_out_first___10"/>
      <sheetName val="Breakdown_Architecture10"/>
      <sheetName val="3_5_STR_PH-2_10"/>
      <sheetName val="Up_&amp;_bhn10"/>
      <sheetName val="rab_me_(by_owner)_10"/>
      <sheetName val="BQ_(by_owner)10"/>
      <sheetName val="rab_me_(fisik)10"/>
      <sheetName val="DAFTAR_710"/>
      <sheetName val="Data_basic_price_jgan_diprint10"/>
      <sheetName val="4-Basic_Price10"/>
      <sheetName val="SKEDUL_AV-0510"/>
      <sheetName val="Fill_this_out_first___11"/>
      <sheetName val="ETAB 2"/>
      <sheetName val="UM"/>
      <sheetName val="TS"/>
      <sheetName val="Bill of Qty"/>
      <sheetName val="SB. 2.1 - Peralatan Utama"/>
      <sheetName val="GRAND SUMMARY"/>
      <sheetName val="SB. 3.2 - Air Bersih &amp; Panas"/>
      <sheetName val="pvc"/>
      <sheetName val="Alat (1)"/>
      <sheetName val="Sche"/>
      <sheetName val="Analisa  BOW"/>
      <sheetName val="M.Pekerjaan"/>
      <sheetName val="Electrikal"/>
      <sheetName val="Elektronik"/>
      <sheetName val="Item Kompensasi"/>
      <sheetName val="DIV 7"/>
      <sheetName val="clearing"/>
      <sheetName val="Upah,Bah&amp;alat"/>
      <sheetName val="Analisa (3)"/>
      <sheetName val="Analisa (2)"/>
      <sheetName val="MTa"/>
      <sheetName val="GKP"/>
      <sheetName val="telp"/>
      <sheetName val="TL"/>
      <sheetName val="Bored Pile"/>
      <sheetName val="Spun pile"/>
      <sheetName val="slipsumpR"/>
      <sheetName val="ANALISA GRS TENGAH"/>
      <sheetName val="DU&amp;B"/>
      <sheetName val="REKAP_Akap"/>
      <sheetName val="ANALIS"/>
      <sheetName val="PANELKAST"/>
      <sheetName val="Har_mat"/>
      <sheetName val="IRR sponsor"/>
      <sheetName val="RefG"/>
      <sheetName val="REALABO"/>
      <sheetName val="KONS BID P&amp;N"/>
      <sheetName val="UP II DUMAI"/>
      <sheetName val="KP.DIT.HULU"/>
      <sheetName val="UP VI BALONGAN"/>
      <sheetName val="KPC"/>
      <sheetName val="PRABUMULIH"/>
      <sheetName val="UP 1 BRANDAN"/>
      <sheetName val="UP V BALIKPAPAN"/>
      <sheetName val="OPSEN"/>
      <sheetName val="SIBAYAK"/>
      <sheetName val="DIT HILIR"/>
      <sheetName val="KAMOJANG"/>
      <sheetName val="UP IV CILACAP"/>
      <sheetName val="UP III PLAJU"/>
      <sheetName val="SORONG"/>
      <sheetName val="KONS DIT HULU"/>
      <sheetName val="RANTAU"/>
      <sheetName val="JAMBI"/>
      <sheetName val="KR.AMPEL"/>
      <sheetName val="CEPU"/>
      <sheetName val="SANGATA-BUNYU"/>
      <sheetName val="UP VII KASIM"/>
      <sheetName val="KONS BID P"/>
      <sheetName val="."/>
      <sheetName val="KODE-NGR"/>
      <sheetName val="Progress Input"/>
      <sheetName val="Breadown-Nop"/>
      <sheetName val="Breadown"/>
      <sheetName val="Breadown-Tham khao"/>
      <sheetName val="ANL Pek Persiapan"/>
      <sheetName val="ANL Pek Tanah"/>
      <sheetName val="ANL Pek Pemb R.Pompa"/>
      <sheetName val="ANL Pek Pemb R.Genset"/>
      <sheetName val="ANL Pek. Pagar"/>
      <sheetName val="ANL Pek. KMWC"/>
      <sheetName val="ANL Pek. Pagar Saluran"/>
      <sheetName val="ANL Pek. Jalan"/>
      <sheetName val="ANL Pek. Box Culvert"/>
      <sheetName val="ANL Pek Sheet Pile"/>
      <sheetName val="ANL Pek. Pintu Air"/>
      <sheetName val="ANL Pek. Mech Screen"/>
      <sheetName val="HSD Material"/>
      <sheetName val="RAB SIPIL"/>
      <sheetName val="RAB Mechanical Screen "/>
      <sheetName val="HSD.Upah"/>
      <sheetName val="JAM TO TB"/>
      <sheetName val="Ans"/>
      <sheetName val="DH"/>
      <sheetName val="PM"/>
      <sheetName val="Kua"/>
      <sheetName val="SAT-DAS"/>
      <sheetName val="Analisa (ok punya)"/>
      <sheetName val="hrg-dsr"/>
      <sheetName val="Unit-P"/>
      <sheetName val="Accretion Output"/>
      <sheetName val="NewCo to RLRN"/>
      <sheetName val="Projections vs Consensus"/>
      <sheetName val="Projections"/>
      <sheetName val="Football Field"/>
      <sheetName val="uraian analisa"/>
      <sheetName val="analisa mek"/>
      <sheetName val="analisa el"/>
      <sheetName val="DataTeknis"/>
      <sheetName val="Data by Drawing"/>
      <sheetName val="Timbunan "/>
      <sheetName val="SM Bgn"/>
      <sheetName val="SM Tnh"/>
      <sheetName val="anal.K"/>
      <sheetName val="5.1(1)sep"/>
      <sheetName val="5.1(1)okt"/>
      <sheetName val="FAK"/>
      <sheetName val="TON  per Jam"/>
      <sheetName val="NERACA"/>
      <sheetName val="INPUT 3"/>
      <sheetName val="INPUT 2"/>
      <sheetName val="Gaji"/>
      <sheetName val="RINC FIN T4  _3_"/>
      <sheetName val="RINC FIN T4  _2_"/>
      <sheetName val="luar"/>
      <sheetName val="RINC hotel"/>
      <sheetName val="RINC FIN T4 "/>
      <sheetName val="Prelim"/>
      <sheetName val="INPUT HARGA"/>
      <sheetName val="Bag_1"/>
      <sheetName val="BOQPUSJAL"/>
      <sheetName val="amtek"/>
      <sheetName val="ANALISA-1"/>
      <sheetName val="ANALISA-2"/>
      <sheetName val="Rencana Anggaran Biaya"/>
      <sheetName val="Biaya-Lat"/>
      <sheetName val="Traffic(2a)"/>
      <sheetName val="ts411"/>
      <sheetName val="Normalisasi"/>
      <sheetName val="H.Dasar"/>
      <sheetName val="anal-1"/>
      <sheetName val="BQ_E20_02_Rp_"/>
      <sheetName val="BREAKSCD"/>
      <sheetName val="Dash"/>
      <sheetName val="DAF-UPAH"/>
      <sheetName val="수량산출내역1115"/>
      <sheetName val="dongia__2_3"/>
      <sheetName val="THPDMoi___2_3"/>
      <sheetName val="TONG_HOP_VL_NC3"/>
      <sheetName val="TH_VL__NC__DDHT_Thanhphuoc3"/>
      <sheetName val="t_h_HA_THE3"/>
      <sheetName val="CHITIET_VL_NC_TT__1p3"/>
      <sheetName val="TONG_HOP_VL_NC_TT3"/>
      <sheetName val="CHITIET_VL_NC3"/>
      <sheetName val="CHITIET_VL_NC_TT_3p3"/>
      <sheetName val="KPVC_BD_3"/>
      <sheetName val="Agregat_Halus_&amp;_Kasar3"/>
      <sheetName val="Harga_Satuan3"/>
      <sheetName val="ANAL_lump_sum3"/>
      <sheetName val="BOQ_Summary3"/>
      <sheetName val="B1form_(2)3"/>
      <sheetName val="Purchase_Order3"/>
      <sheetName val="Customize_Your_Purchase_Order3"/>
      <sheetName val="dongia__2_4"/>
      <sheetName val="THPDMoi___2_4"/>
      <sheetName val="TONG_HOP_VL_NC4"/>
      <sheetName val="TH_VL__NC__DDHT_Thanhphuoc4"/>
      <sheetName val="t_h_HA_THE4"/>
      <sheetName val="CHITIET_VL_NC_TT__1p4"/>
      <sheetName val="TONG_HOP_VL_NC_TT4"/>
      <sheetName val="CHITIET_VL_NC4"/>
      <sheetName val="CHITIET_VL_NC_TT_3p4"/>
      <sheetName val="KPVC_BD_4"/>
      <sheetName val="Agregat_Halus_&amp;_Kasar4"/>
      <sheetName val="Harga_Satuan4"/>
      <sheetName val="ANAL_lump_sum4"/>
      <sheetName val="BOQ_Summary4"/>
      <sheetName val="B1form_(2)4"/>
      <sheetName val="Purchase_Order4"/>
      <sheetName val="Customize_Your_Purchase_Order4"/>
      <sheetName val="Tabel Harga Tiket"/>
      <sheetName val="OwningCost"/>
      <sheetName val="A.HARSAT ARS"/>
      <sheetName val="간접비 총괄표"/>
      <sheetName val="Ex_Rate"/>
      <sheetName val="CIP_USD"/>
      <sheetName val="Resume Material"/>
      <sheetName val="REFF"/>
      <sheetName val="갑지"/>
      <sheetName val="Mechanical (JYP)"/>
      <sheetName val="Eq. Mobilization"/>
      <sheetName val="경비"/>
      <sheetName val="ANALISA_TENDER3"/>
      <sheetName val="Feb_Audited3"/>
      <sheetName val="clg_fin4"/>
      <sheetName val="flr_fin4"/>
      <sheetName val="timber_frame4"/>
      <sheetName val="Wall_Qty4"/>
      <sheetName val="roof_fin4"/>
      <sheetName val="Flr,_Rf_Bm4"/>
      <sheetName val="Flr_Slb,_stair4"/>
      <sheetName val="Gd_Bm4"/>
      <sheetName val="PC,_G_Slab4"/>
      <sheetName val="wall_fin4"/>
      <sheetName val="hrg_dasar4"/>
      <sheetName val="SAT_UPAH_RAPI4"/>
      <sheetName val="HARGA_ALAT2"/>
      <sheetName val="alue_deah_teungoh3"/>
      <sheetName val="lambaro_skep3"/>
      <sheetName val="matang_rayeuk3"/>
      <sheetName val="deah_raya3"/>
      <sheetName val="Buis_beton2"/>
      <sheetName val="H_Material,_Upah_&amp;_Alat2"/>
      <sheetName val="Analisa_H_Sat_Pek_2"/>
      <sheetName val="Anal_alat2"/>
      <sheetName val="Harga_Dasar3"/>
      <sheetName val="Bill_sipil3"/>
      <sheetName val="RAB_SEKRETARIAT_(1)2"/>
      <sheetName val="Analisa_Harga_Satuan3"/>
      <sheetName val="Analisa_HS3"/>
      <sheetName val="____3"/>
      <sheetName val="C-LOAD(L-FACTORY_)4"/>
      <sheetName val="MTO_REV_2_ARMOR_3"/>
      <sheetName val="Public_Area3"/>
      <sheetName val="Analisa_Upah___Bahan_Plum3"/>
      <sheetName val="EXTERNAL_WORK3"/>
      <sheetName val="parapet_baru3"/>
      <sheetName val="Financial_Summary3"/>
      <sheetName val="Valuation_Summary3"/>
      <sheetName val="Shares_Traded3"/>
      <sheetName val="Public_&amp;_Private_Valuation3"/>
      <sheetName val="Harga_2"/>
      <sheetName val="MTO_REV_2(ARMOR)3"/>
      <sheetName val="A+Supl_3"/>
      <sheetName val="DHS_AC2"/>
      <sheetName val="IRR_sponsor2"/>
      <sheetName val="KONS_BID_P&amp;N2"/>
      <sheetName val="UP_II_DUMAI2"/>
      <sheetName val="KP_DIT_HULU2"/>
      <sheetName val="UP_VI_BALONGAN2"/>
      <sheetName val="UP_1_BRANDAN2"/>
      <sheetName val="UP_V_BALIKPAPAN2"/>
      <sheetName val="DIT_HILIR2"/>
      <sheetName val="UP_IV_CILACAP2"/>
      <sheetName val="UP_III_PLAJU2"/>
      <sheetName val="KONS_DIT_HULU2"/>
      <sheetName val="KR_AMPEL2"/>
      <sheetName val="UP_VII_KASIM2"/>
      <sheetName val="KONS_BID_P2"/>
      <sheetName val="_2"/>
      <sheetName val="Progress_Input2"/>
      <sheetName val="Daftar_Hutang3"/>
      <sheetName val="ANALISA_SNI'13_2"/>
      <sheetName val="AHS2_Partisi,Curtain,Pnt,Jndla2"/>
      <sheetName val="Rekap_B_L_2"/>
      <sheetName val="BoQ_2"/>
      <sheetName val="Breadown-Tham_khao2"/>
      <sheetName val="Isolasi_Luar_Dalam2"/>
      <sheetName val="Isolasi_Luar2"/>
      <sheetName val="TE_TS_FA_LAN_MATV3"/>
      <sheetName val="Statprod_gab2"/>
      <sheetName val="DIV_32"/>
      <sheetName val="Anls_teknis2"/>
      <sheetName val="Balance_Sheet_Holding2"/>
      <sheetName val="10_1(3)2"/>
      <sheetName val="AHS_6_1(2)2"/>
      <sheetName val="Metode_8_1(5)2"/>
      <sheetName val="BOQ_CBM3"/>
      <sheetName val="iTEM_hARSAT3"/>
      <sheetName val="Peralatan_(2)3"/>
      <sheetName val="REKAP_BQ_3"/>
      <sheetName val="GRAND_TOTAL3"/>
      <sheetName val="Sat_Bah_&amp;_Up3"/>
      <sheetName val="Spec_ME3"/>
      <sheetName val="AN_Tdr3"/>
      <sheetName val="Tie_Beam3"/>
      <sheetName val="AN_Beton3"/>
      <sheetName val="BQ_Ars3"/>
      <sheetName val="analis_standar(20m)3"/>
      <sheetName val="ANAL_BETON3"/>
      <sheetName val="Category_13"/>
      <sheetName val="1_Unit_Price2"/>
      <sheetName val="Buis_beton"/>
      <sheetName val="H_Material,_Upah_&amp;_Alat"/>
      <sheetName val="Analisa_H_Sat_Pek_"/>
      <sheetName val="RAB_SEKRETARIAT_(1)"/>
      <sheetName val="IRR_sponsor"/>
      <sheetName val="KONS_BID_P&amp;N"/>
      <sheetName val="UP_II_DUMAI"/>
      <sheetName val="KP_DIT_HULU"/>
      <sheetName val="UP_VI_BALONGAN"/>
      <sheetName val="UP_1_BRANDAN"/>
      <sheetName val="UP_V_BALIKPAPAN"/>
      <sheetName val="DIT_HILIR"/>
      <sheetName val="UP_IV_CILACAP"/>
      <sheetName val="UP_III_PLAJU"/>
      <sheetName val="KONS_DIT_HULU"/>
      <sheetName val="KR_AMPEL"/>
      <sheetName val="UP_VII_KASIM"/>
      <sheetName val="KONS_BID_P"/>
      <sheetName val="_"/>
      <sheetName val="Progress_Input"/>
      <sheetName val="ANALISA_SNI'13_"/>
      <sheetName val="Breadown-Tham_khao"/>
      <sheetName val="DIV_3"/>
      <sheetName val="Anls_teknis"/>
      <sheetName val="Balance_Sheet_Holding"/>
      <sheetName val="TTL_Project_Level-21"/>
      <sheetName val="F1_41"/>
      <sheetName val="On_Time1"/>
      <sheetName val="HARGA_MATERIAL1"/>
      <sheetName val="Analisa_Gabungan1"/>
      <sheetName val="Sec_I_ML1"/>
      <sheetName val="RAB_J18_1"/>
      <sheetName val="Fire_Fighting1"/>
      <sheetName val="Analisa___2_1"/>
      <sheetName val="Elec_LG1"/>
      <sheetName val="tong_hop1"/>
      <sheetName val="8_QD9571"/>
      <sheetName val="BQ_AC-_SEMANAN1"/>
      <sheetName val="1_Requisition(E)1"/>
      <sheetName val="Main_Feeder1"/>
      <sheetName val="PE_Wire1"/>
      <sheetName val="Budget_Code1"/>
      <sheetName val="Mortar_(pnw)1"/>
      <sheetName val="dftr_harga1"/>
      <sheetName val="hrg__sat_pek1"/>
      <sheetName val="prhit_tulangan1"/>
      <sheetName val="vol_pek1"/>
      <sheetName val="GASATAGG_XLS1"/>
      <sheetName val="HSUMUM_XLS1"/>
      <sheetName val="HSDRAIN_XLS1"/>
      <sheetName val="HSMISC_XLS1"/>
      <sheetName val="anal_Lamp_4a1"/>
      <sheetName val="Data_Base1"/>
      <sheetName val="F1c_DATA_ADM61"/>
      <sheetName val="Master_Edit1"/>
      <sheetName val="Data_Alat1"/>
      <sheetName val="SUMBER_DAYA1"/>
      <sheetName val="Galian_11"/>
      <sheetName val="Harsat_Bahan1"/>
      <sheetName val="Harsat_Upah1"/>
      <sheetName val="3_1_(3)1"/>
      <sheetName val="Harga_Sat1"/>
      <sheetName val="간접비_총괄표1"/>
      <sheetName val="13_Nangakara_Weir1"/>
      <sheetName val="14_Irr_Canal_Work1"/>
      <sheetName val="15_Irr__Struc_Work1"/>
      <sheetName val="16_Pipe_Inst_1"/>
      <sheetName val="18_Lateral_Pipe1"/>
      <sheetName val="Resume_Material1"/>
      <sheetName val="Analisa_22"/>
      <sheetName val="DAFTAR_HARGA1"/>
      <sheetName val="Mechanical_(JYP)1"/>
      <sheetName val="Eq__Mobilization1"/>
      <sheetName val="4_Irr_Struc_Work1"/>
      <sheetName val="6_Tertiary_Work1"/>
      <sheetName val="anal_K1"/>
      <sheetName val="5_1(1)sep1"/>
      <sheetName val="5_1(1)okt1"/>
      <sheetName val="clg_fin3"/>
      <sheetName val="flr_fin3"/>
      <sheetName val="timber_frame3"/>
      <sheetName val="Wall_Qty3"/>
      <sheetName val="roof_fin3"/>
      <sheetName val="Flr,_Rf_Bm3"/>
      <sheetName val="Flr_Slb,_stair3"/>
      <sheetName val="Gd_Bm3"/>
      <sheetName val="PC,_G_Slab3"/>
      <sheetName val="wall_fin3"/>
      <sheetName val="hrg_dasar3"/>
      <sheetName val="SAT_UPAH_RAPI3"/>
      <sheetName val="HARGA_ALAT1"/>
      <sheetName val="Buis_beton1"/>
      <sheetName val="H_Material,_Upah_&amp;_Alat1"/>
      <sheetName val="Analisa_H_Sat_Pek_1"/>
      <sheetName val="Anal_alat1"/>
      <sheetName val="RAB_SEKRETARIAT_(1)1"/>
      <sheetName val="Harga_1"/>
      <sheetName val="DHS_AC1"/>
      <sheetName val="IRR_sponsor1"/>
      <sheetName val="KONS_BID_P&amp;N1"/>
      <sheetName val="UP_II_DUMAI1"/>
      <sheetName val="KP_DIT_HULU1"/>
      <sheetName val="UP_VI_BALONGAN1"/>
      <sheetName val="UP_1_BRANDAN1"/>
      <sheetName val="UP_V_BALIKPAPAN1"/>
      <sheetName val="DIT_HILIR1"/>
      <sheetName val="UP_IV_CILACAP1"/>
      <sheetName val="UP_III_PLAJU1"/>
      <sheetName val="KONS_DIT_HULU1"/>
      <sheetName val="KR_AMPEL1"/>
      <sheetName val="UP_VII_KASIM1"/>
      <sheetName val="KONS_BID_P1"/>
      <sheetName val="_1"/>
      <sheetName val="Progress_Input1"/>
      <sheetName val="ANALISA_SNI'13_1"/>
      <sheetName val="AHS2_Partisi,Curtain,Pnt,Jndla1"/>
      <sheetName val="Rekap_B_L_1"/>
      <sheetName val="BoQ_1"/>
      <sheetName val="Breadown-Tham_khao1"/>
      <sheetName val="Isolasi_Luar_Dalam1"/>
      <sheetName val="Isolasi_Luar1"/>
      <sheetName val="Statprod_gab1"/>
      <sheetName val="DIV_31"/>
      <sheetName val="Anls_teknis1"/>
      <sheetName val="Balance_Sheet_Holding1"/>
      <sheetName val="10_1(3)1"/>
      <sheetName val="AHS_6_1(2)1"/>
      <sheetName val="Metode_8_1(5)1"/>
      <sheetName val="1_Unit_Price1"/>
      <sheetName val="F1_4"/>
      <sheetName val="Data_Base"/>
      <sheetName val="간접비_총괄표"/>
      <sheetName val="Resume_Material"/>
      <sheetName val="DAFTAR_HARGA"/>
      <sheetName val="Mechanical_(JYP)"/>
      <sheetName val="Eq__Mobilization"/>
      <sheetName val="anal_K"/>
      <sheetName val="5_1(1)sep"/>
      <sheetName val="5_1(1)okt"/>
      <sheetName val="ANALISA_TENDER4"/>
      <sheetName val="Feb_Audited4"/>
      <sheetName val="dongia__2_5"/>
      <sheetName val="THPDMoi___2_5"/>
      <sheetName val="TONG_HOP_VL_NC5"/>
      <sheetName val="TH_VL__NC__DDHT_Thanhphuoc5"/>
      <sheetName val="t_h_HA_THE5"/>
      <sheetName val="CHITIET_VL_NC_TT__1p5"/>
      <sheetName val="TONG_HOP_VL_NC_TT5"/>
      <sheetName val="CHITIET_VL_NC5"/>
      <sheetName val="CHITIET_VL_NC_TT_3p5"/>
      <sheetName val="KPVC_BD_5"/>
      <sheetName val="clg_fin5"/>
      <sheetName val="flr_fin5"/>
      <sheetName val="timber_frame5"/>
      <sheetName val="Wall_Qty5"/>
      <sheetName val="roof_fin5"/>
      <sheetName val="Flr,_Rf_Bm5"/>
      <sheetName val="Flr_Slb,_stair5"/>
      <sheetName val="Gd_Bm5"/>
      <sheetName val="PC,_G_Slab5"/>
      <sheetName val="wall_fin5"/>
      <sheetName val="hrg_dasar5"/>
      <sheetName val="SAT_UPAH_RAPI5"/>
      <sheetName val="HARGA_ALAT3"/>
      <sheetName val="alue_deah_teungoh4"/>
      <sheetName val="lambaro_skep4"/>
      <sheetName val="matang_rayeuk4"/>
      <sheetName val="deah_raya4"/>
      <sheetName val="Buis_beton3"/>
      <sheetName val="H_Material,_Upah_&amp;_Alat3"/>
      <sheetName val="Analisa_H_Sat_Pek_3"/>
      <sheetName val="Anal_alat3"/>
      <sheetName val="Harga_Dasar4"/>
      <sheetName val="Bill_sipil4"/>
      <sheetName val="RAB_SEKRETARIAT_(1)3"/>
      <sheetName val="Analisa_Harga_Satuan4"/>
      <sheetName val="Analisa_HS4"/>
      <sheetName val="____4"/>
      <sheetName val="C-LOAD(L-FACTORY_)5"/>
      <sheetName val="MTO_REV_2_ARMOR_4"/>
      <sheetName val="Public_Area4"/>
      <sheetName val="Analisa_Upah___Bahan_Plum4"/>
      <sheetName val="EXTERNAL_WORK4"/>
      <sheetName val="parapet_baru4"/>
      <sheetName val="Financial_Summary4"/>
      <sheetName val="Valuation_Summary4"/>
      <sheetName val="Shares_Traded4"/>
      <sheetName val="Public_&amp;_Private_Valuation4"/>
      <sheetName val="Harga_3"/>
      <sheetName val="MTO_REV_2(ARMOR)4"/>
      <sheetName val="A+Supl_4"/>
      <sheetName val="DHS_AC3"/>
      <sheetName val="IRR_sponsor3"/>
      <sheetName val="KONS_BID_P&amp;N3"/>
      <sheetName val="UP_II_DUMAI3"/>
      <sheetName val="KP_DIT_HULU3"/>
      <sheetName val="UP_VI_BALONGAN3"/>
      <sheetName val="UP_1_BRANDAN3"/>
      <sheetName val="UP_V_BALIKPAPAN3"/>
      <sheetName val="DIT_HILIR3"/>
      <sheetName val="UP_IV_CILACAP3"/>
      <sheetName val="UP_III_PLAJU3"/>
      <sheetName val="KONS_DIT_HULU3"/>
      <sheetName val="KR_AMPEL3"/>
      <sheetName val="UP_VII_KASIM3"/>
      <sheetName val="KONS_BID_P3"/>
      <sheetName val="_3"/>
      <sheetName val="Progress_Input3"/>
      <sheetName val="Daftar_Hutang4"/>
      <sheetName val="ANALISA_SNI'13_3"/>
      <sheetName val="AHS2_Partisi,Curtain,Pnt,Jndla3"/>
      <sheetName val="Rekap_B_L_3"/>
      <sheetName val="BoQ_3"/>
      <sheetName val="Breadown-Tham_khao3"/>
      <sheetName val="Isolasi_Luar_Dalam3"/>
      <sheetName val="Isolasi_Luar3"/>
      <sheetName val="TE_TS_FA_LAN_MATV4"/>
      <sheetName val="Statprod_gab3"/>
      <sheetName val="DIV_33"/>
      <sheetName val="Anls_teknis3"/>
      <sheetName val="Balance_Sheet_Holding3"/>
      <sheetName val="10_1(3)3"/>
      <sheetName val="AHS_6_1(2)3"/>
      <sheetName val="Metode_8_1(5)3"/>
      <sheetName val="BOQ_CBM4"/>
      <sheetName val="iTEM_hARSAT4"/>
      <sheetName val="Peralatan_(2)4"/>
      <sheetName val="REKAP_BQ_4"/>
      <sheetName val="GRAND_TOTAL4"/>
      <sheetName val="Sat_Bah_&amp;_Up4"/>
      <sheetName val="Spec_ME4"/>
      <sheetName val="AN_Tdr4"/>
      <sheetName val="Analisa_4"/>
      <sheetName val="Tie_Beam4"/>
      <sheetName val="AN_Beton4"/>
      <sheetName val="BQ_Ars4"/>
      <sheetName val="analis_standar(20m)4"/>
      <sheetName val="ANAL_BETON4"/>
      <sheetName val="Category_14"/>
      <sheetName val="1_Unit_Price3"/>
      <sheetName val="TTL_Project_Level-22"/>
      <sheetName val="F1_42"/>
      <sheetName val="On_Time2"/>
      <sheetName val="HARGA_MATERIAL2"/>
      <sheetName val="Analisa_Gabungan2"/>
      <sheetName val="Sec_I_ML2"/>
      <sheetName val="Analisa_-Baku2"/>
      <sheetName val="YTD'97_Sales2"/>
      <sheetName val="Week9-Feb____2"/>
      <sheetName val="RAB_J18_2"/>
      <sheetName val="Fire_Fighting2"/>
      <sheetName val="Analisa___2_2"/>
      <sheetName val="Elec_LG2"/>
      <sheetName val="tong_hop2"/>
      <sheetName val="8_QD9572"/>
      <sheetName val="BQ_AC-_SEMANAN2"/>
      <sheetName val="1_Requisition(E)2"/>
      <sheetName val="Main_Feeder2"/>
      <sheetName val="PE_Wire2"/>
      <sheetName val="Budget_Code2"/>
      <sheetName val="Mortar_(pnw)2"/>
      <sheetName val="dftr_harga2"/>
      <sheetName val="hrg__sat_pek2"/>
      <sheetName val="prhit_tulangan2"/>
      <sheetName val="vol_pek2"/>
      <sheetName val="GASATAGG_XLS2"/>
      <sheetName val="HSUMUM_XLS2"/>
      <sheetName val="HSDRAIN_XLS2"/>
      <sheetName val="HSMISC_XLS2"/>
      <sheetName val="anal_Lamp_4a2"/>
      <sheetName val="Data_Base2"/>
      <sheetName val="F1c_DATA_ADM62"/>
      <sheetName val="Master_Edit2"/>
      <sheetName val="Data_Alat2"/>
      <sheetName val="SUMBER_DAYA2"/>
      <sheetName val="Galian_12"/>
      <sheetName val="Harsat_Bahan2"/>
      <sheetName val="Harsat_Upah2"/>
      <sheetName val="3_1_(3)2"/>
      <sheetName val="Harga_Sat2"/>
      <sheetName val="간접비_총괄표2"/>
      <sheetName val="13_Nangakara_Weir2"/>
      <sheetName val="14_Irr_Canal_Work2"/>
      <sheetName val="15_Irr__Struc_Work2"/>
      <sheetName val="16_Pipe_Inst_2"/>
      <sheetName val="18_Lateral_Pipe2"/>
      <sheetName val="Resume_Material2"/>
      <sheetName val="Analisa_23"/>
      <sheetName val="DAFTAR_HARGA2"/>
      <sheetName val="Mechanical_(JYP)2"/>
      <sheetName val="Eq__Mobilization2"/>
      <sheetName val="4_Irr_Struc_Work2"/>
      <sheetName val="6_Tertiary_Work2"/>
      <sheetName val="anal_K2"/>
      <sheetName val="5_1(1)sep2"/>
      <sheetName val="5_1(1)okt2"/>
      <sheetName val="Account_Code"/>
      <sheetName val="FrequencyDistr."/>
      <sheetName val="SeverityDistr."/>
      <sheetName val="EL"/>
      <sheetName val="HRG BAHAN &amp; UPAH okk"/>
      <sheetName val="Analis Kusen okk"/>
      <sheetName val="Analis har"/>
      <sheetName val="Tabel"/>
      <sheetName val="PercenDiv"/>
      <sheetName val="10"/>
      <sheetName val="5"/>
      <sheetName val="ELEC STIS"/>
      <sheetName val="系数516"/>
      <sheetName val="AR2-F21"/>
      <sheetName val="AR1-F20"/>
      <sheetName val="tb. besi"/>
      <sheetName val="4334-Summary"/>
      <sheetName val="CONCRETE CALCULATION"/>
      <sheetName val="REKAPITULASI  BETON "/>
      <sheetName val="PRICE (2)"/>
      <sheetName val="Upah "/>
      <sheetName val="Sheet15"/>
      <sheetName val="D5"/>
      <sheetName val="SD"/>
      <sheetName val="ANEX1"/>
      <sheetName val="NP2"/>
      <sheetName val="BasicPrice"/>
      <sheetName val="PP"/>
      <sheetName val="AnalAdjust"/>
      <sheetName val="Analis harga"/>
      <sheetName val="anaUTama"/>
      <sheetName val="Connections"/>
      <sheetName val="DWTables"/>
      <sheetName val="DAFTAR SATUAN DASAR"/>
      <sheetName val="CH-RANC"/>
      <sheetName val="DIV9"/>
      <sheetName val="H-Bahan &amp; Tenaga"/>
      <sheetName val="Rekap Addendum"/>
      <sheetName val="Perhitungan RAB"/>
      <sheetName val="Compare"/>
      <sheetName val="Alat (2)"/>
      <sheetName val="BOQ_Aula"/>
      <sheetName val="LIST ANHARSAT"/>
      <sheetName val="Harga satuan sintel"/>
      <sheetName val="witholding tax list cji 2001"/>
      <sheetName val="1.B"/>
      <sheetName val="Rutin"/>
      <sheetName val="Split"/>
      <sheetName val="Mitsubishi"/>
      <sheetName val="Duct"/>
      <sheetName val="Input"/>
      <sheetName val="mat-me pipa"/>
      <sheetName val="DRUM"/>
      <sheetName val="Grading Tahap 1"/>
      <sheetName val="detail(sum)"/>
      <sheetName val="BQ(A)"/>
      <sheetName val="Project Data"/>
      <sheetName val="CE(M)A"/>
      <sheetName val="単価表"/>
      <sheetName val="Analisa_HS5"/>
      <sheetName val="B1form_(2)5"/>
      <sheetName val="C-LOAD(L-FACTORY_)6"/>
      <sheetName val="MTO_REV_2_ARMOR_5"/>
      <sheetName val="____5"/>
      <sheetName val="ANAL_lump_sum5"/>
      <sheetName val="Bill_sipil5"/>
      <sheetName val="Purchase_Order5"/>
      <sheetName val="Customize_Your_Purchase_Order5"/>
      <sheetName val="BOQ_Summary5"/>
      <sheetName val="Agregat_Halus_&amp;_Kasar5"/>
      <sheetName val="Harga_Satuan5"/>
      <sheetName val="Elec_LG3"/>
      <sheetName val="tong_hop3"/>
      <sheetName val="8_QD9573"/>
      <sheetName val="Fill_this_out_first___12"/>
      <sheetName val="Fill_this_out_first___13"/>
      <sheetName val="Analisa_HS6"/>
      <sheetName val="B1form_(2)6"/>
      <sheetName val="C-LOAD(L-FACTORY_)7"/>
      <sheetName val="MTO_REV_2_ARMOR_6"/>
      <sheetName val="____6"/>
      <sheetName val="ANAL_lump_sum6"/>
      <sheetName val="Bill_sipil6"/>
      <sheetName val="Fill_this_out_first___14"/>
      <sheetName val="Purchase_Order6"/>
      <sheetName val="Customize_Your_Purchase_Order6"/>
      <sheetName val="BOQ_Summary6"/>
      <sheetName val="dongia__2_6"/>
      <sheetName val="THPDMoi___2_6"/>
      <sheetName val="TONG_HOP_VL_NC6"/>
      <sheetName val="TH_VL__NC__DDHT_Thanhphuoc6"/>
      <sheetName val="t_h_HA_THE6"/>
      <sheetName val="CHITIET_VL_NC_TT__1p6"/>
      <sheetName val="TONG_HOP_VL_NC_TT6"/>
      <sheetName val="CHITIET_VL_NC6"/>
      <sheetName val="CHITIET_VL_NC_TT_3p6"/>
      <sheetName val="KPVC_BD_6"/>
      <sheetName val="Agregat_Halus_&amp;_Kasar6"/>
      <sheetName val="Harga_Satuan6"/>
      <sheetName val="parapet_baru5"/>
      <sheetName val="Public_Area5"/>
      <sheetName val="Analisa_Upah___Bahan_Plum5"/>
      <sheetName val="EXTERNAL_WORK5"/>
      <sheetName val="Feb_Audited5"/>
      <sheetName val="ANALISA_TENDER5"/>
      <sheetName val="Elec_LG4"/>
      <sheetName val="tong_hop4"/>
      <sheetName val="8_QD9574"/>
      <sheetName val="Weight_Bridge"/>
      <sheetName val="TABEL BAJA"/>
      <sheetName val="PE-F-33 Rev 02 Basic Proj.Info"/>
      <sheetName val="ocean voyage"/>
      <sheetName val="PE-F-31 Rev 01 Coversheet"/>
      <sheetName val=" PE-F-42 MR 9 Manpower"/>
      <sheetName val="Urugan Pasir"/>
      <sheetName val="Meth "/>
      <sheetName val="D3"/>
      <sheetName val="abk 1-15"/>
      <sheetName val="PROSES"/>
      <sheetName val="SAT PL"/>
      <sheetName val="ARL"/>
      <sheetName val="CB"/>
      <sheetName val="PV"/>
      <sheetName val="SAT EL"/>
      <sheetName val="TRY"/>
      <sheetName val="KBL"/>
      <sheetName val="TR"/>
      <sheetName val="Daf Harga"/>
      <sheetName val="Rekap Bill"/>
      <sheetName val="An_ Harga"/>
      <sheetName val="Bill No 6"/>
      <sheetName val="Bill No 7"/>
      <sheetName val="Har-sat"/>
      <sheetName val="instalasi konduit inbow"/>
      <sheetName val="breakdown bq unt smua paket"/>
      <sheetName val="HS_TRG"/>
      <sheetName val="D_6"/>
      <sheetName val="D_7"/>
      <sheetName val="E.082"/>
      <sheetName val="E.341"/>
      <sheetName val="HSBU-2004"/>
      <sheetName val="Summary Sheets"/>
      <sheetName val="CAPITOL MEKANIKAL"/>
      <sheetName val="an.dmpu"/>
      <sheetName val="anls by sewa"/>
      <sheetName val="Des"/>
      <sheetName val="Peralatan (Utama)"/>
      <sheetName val="PL"/>
      <sheetName val="Basic Price Nagekeo di Quarry"/>
      <sheetName val="A Alat "/>
      <sheetName val="FORM BQ TL PRATU 4cct"/>
      <sheetName val="TAP"/>
      <sheetName val="Partic"/>
      <sheetName val="Assumptions (2)"/>
      <sheetName val="動力源"/>
      <sheetName val="hsbu"/>
      <sheetName val="KELAS A"/>
      <sheetName val="Satuan"/>
      <sheetName val="BQ AC - JATAKE II"/>
      <sheetName val="rab j17"/>
      <sheetName val="fkt_pjk"/>
      <sheetName val="DFT BHN"/>
      <sheetName val="SPEC"/>
      <sheetName val="Beton"/>
      <sheetName val="Sat Bah _ Up"/>
      <sheetName val="lh"/>
      <sheetName val="Jadwal"/>
      <sheetName val="Invoice"/>
      <sheetName val="AnalisaHS"/>
      <sheetName val="Harga-bahan"/>
      <sheetName val="MATERIAL'S PRICE"/>
      <sheetName val="4_Analysis"/>
      <sheetName val="Expenditure"/>
      <sheetName val="B.O.Q"/>
      <sheetName val="Conveyors"/>
      <sheetName val="D_3 _M_"/>
      <sheetName val="Own"/>
      <sheetName val="CAT_HRG"/>
      <sheetName val="Bag_9"/>
      <sheetName val="BoQ_Int"/>
      <sheetName val="RAB_ALT (2)"/>
      <sheetName val="Parameter"/>
      <sheetName val="BOQENT01"/>
      <sheetName val="Harga ME "/>
      <sheetName val="AnalisaSIPIL RIIL RAP"/>
      <sheetName val="Up"/>
      <sheetName val="Quantity"/>
      <sheetName val="Anl_Bet"/>
      <sheetName val="HSPK"/>
      <sheetName val="BELAGIO"/>
      <sheetName val="ARTAGDING"/>
      <sheetName val="MANHATTAN"/>
      <sheetName val="SEMANAN"/>
      <sheetName val="BKPM"/>
      <sheetName val="B_7"/>
      <sheetName val="B_8"/>
      <sheetName val="B_9"/>
      <sheetName val="B_10 (4)"/>
      <sheetName val="AGG"/>
      <sheetName val="B_6"/>
      <sheetName val="MT"/>
      <sheetName val="Daftar Kuantitas &amp; Harga"/>
      <sheetName val="Data Info"/>
      <sheetName val="Huruf"/>
      <sheetName val="info"/>
      <sheetName val="spd BAS (3)"/>
      <sheetName val="spd BAS (2)"/>
      <sheetName val="Bukti Memorial"/>
      <sheetName val="Peralatan(fix)"/>
      <sheetName val="Basic Price(fix)"/>
      <sheetName val="M+MC"/>
      <sheetName val="01A- RAB"/>
      <sheetName val="POMALA"/>
      <sheetName val="7.1.5"/>
      <sheetName val="7.3.1"/>
      <sheetName val="Daftar"/>
      <sheetName val="analis.bau"/>
      <sheetName val="Kebutuhan Besi"/>
      <sheetName val="Panel,feeder,elek"/>
      <sheetName val="BP"/>
      <sheetName val="BAT &amp; All"/>
      <sheetName val="s_v13"/>
      <sheetName val="s_v14"/>
      <sheetName val="s_v16"/>
      <sheetName val="Mat.Elk"/>
      <sheetName val="Ref"/>
      <sheetName val="DATA MENTAH"/>
      <sheetName val="Analisa Alat"/>
      <sheetName val="JL SMP 5 "/>
      <sheetName val="Mobilisasi"/>
      <sheetName val="ahs (doors-windows)"/>
      <sheetName val="D8.1.(8)"/>
      <sheetName val="DAF. KUANTITAS"/>
      <sheetName val="ANALISA PEK.UMUM"/>
      <sheetName val="ANALISA KONST BTN"/>
      <sheetName val="HS-TRG"/>
      <sheetName val="ISIAN"/>
      <sheetName val="Harga Dasar-01"/>
      <sheetName val="REKAP STRKTR"/>
      <sheetName val="REKAP ARSITEKTUR"/>
      <sheetName val="UPAH &amp; BAHAN "/>
      <sheetName val="Harga Mixer"/>
      <sheetName val="prodalt"/>
      <sheetName val="bahan upah"/>
      <sheetName val="LEMBAR1"/>
      <sheetName val="LEMBAR3"/>
      <sheetName val="LEMBAR4"/>
      <sheetName val="LEMBAR5"/>
      <sheetName val="LEMBAR2"/>
      <sheetName val="top 25 market size and som"/>
      <sheetName val="Gral"/>
      <sheetName val="habis"/>
      <sheetName val="Upah Bahan"/>
      <sheetName val="Gantt"/>
      <sheetName val="Settings"/>
      <sheetName val="손익차9월2"/>
      <sheetName val="Currency_Rate19"/>
      <sheetName val="Unit_Price_M19"/>
      <sheetName val="REF_ONLY19"/>
      <sheetName val="Analisa_SNI_STANDART_18"/>
      <sheetName val="BANGUNAN_PENUNJANG17"/>
      <sheetName val="An_Arsitektur18"/>
      <sheetName val="Unit_Rate_(2)18"/>
      <sheetName val="Bahan_15"/>
      <sheetName val="Pekerjaan_15"/>
      <sheetName val="Cover_Daf_215"/>
      <sheetName val="Rekap_Direct_Cost15"/>
      <sheetName val="D_&amp;_W_sizes15"/>
      <sheetName val="Cash_Flow_bulanan15"/>
      <sheetName val="Kuantitas_&amp;_Harga15"/>
      <sheetName val="Basic_Price15"/>
      <sheetName val="Analisa_Upah_&amp;_Bahan_Plum15"/>
      <sheetName val="Kolom_UT15"/>
      <sheetName val="Bill_of_Qty_MEP15"/>
      <sheetName val="analisa_Str15"/>
      <sheetName val="Bill_rekap15"/>
      <sheetName val="HRG_BHN15"/>
      <sheetName val="dongia_(2)15"/>
      <sheetName val="THPDMoi__(2)15"/>
      <sheetName val="TONG_HOP_VL-NC15"/>
      <sheetName val="TONGKE3p_15"/>
      <sheetName val="TH_VL,_NC,_DDHT_Thanhphuoc15"/>
      <sheetName val="DON_GIA15"/>
      <sheetName val="t-h_HA_THE15"/>
      <sheetName val="CHITIET_VL-NC-TT_-1p15"/>
      <sheetName val="TONG_HOP_VL-NC_TT15"/>
      <sheetName val="TH_XL15"/>
      <sheetName val="CHITIET_VL-NC15"/>
      <sheetName val="CHITIET_VL-NC-TT-3p15"/>
      <sheetName val="KPVC-BD_15"/>
      <sheetName val="Ahs_115"/>
      <sheetName val="Ahs_215"/>
      <sheetName val="mat_me_pipa15"/>
      <sheetName val="TOWER_D15"/>
      <sheetName val="Hrg_Sat15"/>
      <sheetName val="5_2_15"/>
      <sheetName val="Cover_Daf-211"/>
      <sheetName val="Analisa__(2)15"/>
      <sheetName val="Bill_2_Summary11"/>
      <sheetName val="Alat_Kerja15"/>
      <sheetName val="Daf_115"/>
      <sheetName val="_anal_hrg_sat15"/>
      <sheetName val="H_Satuan15"/>
      <sheetName val="OFFICE_2_LT15"/>
      <sheetName val="FORM_X_COST11"/>
      <sheetName val="Analisa_DMPU15"/>
      <sheetName val="An_Struktur12"/>
      <sheetName val="Deep_Well11"/>
      <sheetName val="Pek_Luar11"/>
      <sheetName val="metode_11"/>
      <sheetName val="Master_1_011"/>
      <sheetName val="OP__ALAT11"/>
      <sheetName val="OP__PERJAM11"/>
      <sheetName val="B__PERSONIL11"/>
      <sheetName val="KAN__LOKAL11"/>
      <sheetName val="Perm__Test11"/>
      <sheetName val="prime_coal11"/>
      <sheetName val="REKAP_REV_SHARING11"/>
      <sheetName val="Analisa_(me)11"/>
      <sheetName val="HB_15"/>
      <sheetName val="Cover_(x)11"/>
      <sheetName val="Cor_Apt11"/>
      <sheetName val="rab_me_(by_owner)_11"/>
      <sheetName val="BQ_(by_owner)11"/>
      <sheetName val="rab_me_(fisik)11"/>
      <sheetName val="RAB_AR&amp;STR11"/>
      <sheetName val="Urai__Resap_pengikat11"/>
      <sheetName val="Breakdown_Architecture11"/>
      <sheetName val="struktur_tdk_dipakai11"/>
      <sheetName val="3_5_STR_PH-2_11"/>
      <sheetName val="Up_&amp;_bhn11"/>
      <sheetName val="Data_basic_price_jgan_diprint11"/>
      <sheetName val="CATU_DAYA_LISTRIK_PLB11"/>
      <sheetName val="CATU_DAYA_LISTRIK_PK11"/>
      <sheetName val="PERALATAN_&amp;_KATUP2_PK11"/>
      <sheetName val="PERALATAN_UTAMA_PK11"/>
      <sheetName val="PERALATAN_&amp;_KATUP2_PLB11"/>
      <sheetName val="PERALATAN_UTAMA_PLB11"/>
      <sheetName val="PEMIPAAN_PK11"/>
      <sheetName val="PEMIPAAN_PLB11"/>
      <sheetName val="4-Basic_Price11"/>
      <sheetName val="SKEDUL_AV-0511"/>
      <sheetName val="Alat_R_oke11"/>
      <sheetName val="BU_ok11"/>
      <sheetName val="BM_vs_BB11"/>
      <sheetName val="Bahan_oke11"/>
      <sheetName val="DAFTAR_711"/>
      <sheetName val="hrg_dasar_rc1"/>
      <sheetName val="ANA_ALAT1"/>
      <sheetName val="met_bab31"/>
      <sheetName val="anal_bab81"/>
      <sheetName val="Daftar_BOQ1"/>
      <sheetName val="std_wt_1"/>
      <sheetName val="lkalibrasi_BENENAIN1"/>
      <sheetName val="Conn__Lib1"/>
      <sheetName val="Balok_L_21"/>
      <sheetName val="Pengalaman_Per1"/>
      <sheetName val="pro_ra_op1"/>
      <sheetName val="BQ_(1)1"/>
      <sheetName val="S_UPAH1"/>
      <sheetName val="S_BAHAN1"/>
      <sheetName val="Form_4_&amp;_4-A1"/>
      <sheetName val="B_-_Norelec1"/>
      <sheetName val="TT_DZ351"/>
      <sheetName val="TH_DZ351"/>
      <sheetName val="B3A_-_TOWER_A1"/>
      <sheetName val="Tro_giup1"/>
      <sheetName val="Peralatan_(1)1"/>
      <sheetName val="Rev__History1"/>
      <sheetName val="REKAP_MC_02"/>
      <sheetName val="POS_1"/>
      <sheetName val="POS_2"/>
      <sheetName val="DAILY_WORKER"/>
      <sheetName val="Unit_Rate"/>
      <sheetName val="analisa_GRC"/>
      <sheetName val="Ana_Ars"/>
      <sheetName val="Pola_Belanja"/>
      <sheetName val="7_3_RAB_per_SDY"/>
      <sheetName val="RABT_VS_RABP"/>
      <sheetName val="RAB_IFFLC"/>
      <sheetName val="DAFTAR_ISI"/>
      <sheetName val="D-3_(M)"/>
      <sheetName val="D-7_(M)"/>
      <sheetName val="Har_Sat"/>
      <sheetName val="AHS_Marka"/>
      <sheetName val="RumusTB_1_bln1"/>
      <sheetName val="Mob___demob"/>
      <sheetName val="Supl_X"/>
      <sheetName val="D_78"/>
      <sheetName val="D_79"/>
      <sheetName val="D_80"/>
      <sheetName val="D_81"/>
      <sheetName val="D_82"/>
      <sheetName val="D_83"/>
      <sheetName val="D_84"/>
      <sheetName val="D_85"/>
      <sheetName val="D_86"/>
      <sheetName val="D_87"/>
      <sheetName val="D_88"/>
      <sheetName val="D_89"/>
      <sheetName val="D_91"/>
      <sheetName val="D_92"/>
      <sheetName val="D_93"/>
      <sheetName val="D_94"/>
      <sheetName val="D_95"/>
      <sheetName val="D_96"/>
      <sheetName val="Analisa_BOW"/>
      <sheetName val="Man_Power_&amp;_Comp"/>
      <sheetName val="ANL_STR"/>
      <sheetName val="PRICE_LIST"/>
      <sheetName val="Lt__1_(A)1"/>
      <sheetName val="Currency_Rate21"/>
      <sheetName val="Unit_Price_M21"/>
      <sheetName val="REF_ONLY21"/>
      <sheetName val="Analisa_SNI_STANDART_20"/>
      <sheetName val="BANGUNAN_PENUNJANG19"/>
      <sheetName val="An_Arsitektur20"/>
      <sheetName val="Unit_Rate_(2)20"/>
      <sheetName val="Bahan_17"/>
      <sheetName val="Pekerjaan_17"/>
      <sheetName val="Cover_Daf_217"/>
      <sheetName val="Rekap_Direct_Cost17"/>
      <sheetName val="D_&amp;_W_sizes17"/>
      <sheetName val="Cash_Flow_bulanan17"/>
      <sheetName val="Kuantitas_&amp;_Harga17"/>
      <sheetName val="Basic_Price17"/>
      <sheetName val="Analisa_Upah_&amp;_Bahan_Plum17"/>
      <sheetName val="Kolom_UT17"/>
      <sheetName val="Bill_of_Qty_MEP17"/>
      <sheetName val="analisa_Str17"/>
      <sheetName val="Bill_rekap17"/>
      <sheetName val="HRG_BHN17"/>
      <sheetName val="dongia_(2)17"/>
      <sheetName val="THPDMoi__(2)17"/>
      <sheetName val="TONG_HOP_VL-NC17"/>
      <sheetName val="TONGKE3p_17"/>
      <sheetName val="TH_VL,_NC,_DDHT_Thanhphuoc17"/>
      <sheetName val="DON_GIA17"/>
      <sheetName val="t-h_HA_THE17"/>
      <sheetName val="CHITIET_VL-NC-TT_-1p17"/>
      <sheetName val="TONG_HOP_VL-NC_TT17"/>
      <sheetName val="TH_XL17"/>
      <sheetName val="CHITIET_VL-NC17"/>
      <sheetName val="CHITIET_VL-NC-TT-3p17"/>
      <sheetName val="KPVC-BD_17"/>
      <sheetName val="Ahs_117"/>
      <sheetName val="Ahs_217"/>
      <sheetName val="mat_me_pipa17"/>
      <sheetName val="TOWER_D17"/>
      <sheetName val="Hrg_Sat17"/>
      <sheetName val="5_2_17"/>
      <sheetName val="Cover_Daf-213"/>
      <sheetName val="Analisa__(2)17"/>
      <sheetName val="Bill_2_Summary13"/>
      <sheetName val="Alat_Kerja17"/>
      <sheetName val="Daf_117"/>
      <sheetName val="_anal_hrg_sat17"/>
      <sheetName val="H_Satuan17"/>
      <sheetName val="OFFICE_2_LT17"/>
      <sheetName val="Analisa_DMPU17"/>
      <sheetName val="FORM_X_COST13"/>
      <sheetName val="An_Struktur14"/>
      <sheetName val="Deep_Well13"/>
      <sheetName val="Pek_Luar13"/>
      <sheetName val="metode_13"/>
      <sheetName val="Master_1_013"/>
      <sheetName val="OP__ALAT13"/>
      <sheetName val="OP__PERJAM13"/>
      <sheetName val="B__PERSONIL13"/>
      <sheetName val="KAN__LOKAL13"/>
      <sheetName val="Perm__Test13"/>
      <sheetName val="prime_coal13"/>
      <sheetName val="REKAP_REV_SHARING13"/>
      <sheetName val="Analisa_(me)13"/>
      <sheetName val="Fill_this_out_first___16"/>
      <sheetName val="HB_17"/>
      <sheetName val="Cover_(x)13"/>
      <sheetName val="Cor_Apt13"/>
      <sheetName val="rab_me_(by_owner)_13"/>
      <sheetName val="BQ_(by_owner)13"/>
      <sheetName val="rab_me_(fisik)13"/>
      <sheetName val="RAB_AR&amp;STR13"/>
      <sheetName val="Urai__Resap_pengikat13"/>
      <sheetName val="Breakdown_Architecture13"/>
      <sheetName val="struktur_tdk_dipakai13"/>
      <sheetName val="3_5_STR_PH-2_13"/>
      <sheetName val="Up_&amp;_bhn13"/>
      <sheetName val="Data_basic_price_jgan_diprint13"/>
      <sheetName val="CATU_DAYA_LISTRIK_PLB13"/>
      <sheetName val="CATU_DAYA_LISTRIK_PK13"/>
      <sheetName val="PERALATAN_&amp;_KATUP2_PK13"/>
      <sheetName val="PERALATAN_UTAMA_PK13"/>
      <sheetName val="PERALATAN_&amp;_KATUP2_PLB13"/>
      <sheetName val="PERALATAN_UTAMA_PLB13"/>
      <sheetName val="PEMIPAAN_PK13"/>
      <sheetName val="PEMIPAAN_PLB13"/>
      <sheetName val="4-Basic_Price13"/>
      <sheetName val="SKEDUL_AV-0513"/>
      <sheetName val="Alat_R_oke13"/>
      <sheetName val="BU_ok13"/>
      <sheetName val="BM_vs_BB13"/>
      <sheetName val="Bahan_oke13"/>
      <sheetName val="DAFTAR_713"/>
      <sheetName val="A+Supl_5"/>
      <sheetName val="Fill_this_out_first___17"/>
      <sheetName val="MTO_REV_2(ARMOR)5"/>
      <sheetName val="Financial_Summary5"/>
      <sheetName val="Valuation_Summary5"/>
      <sheetName val="Shares_Traded5"/>
      <sheetName val="Public_&amp;_Private_Valuation5"/>
      <sheetName val="BQ_AC-_SEMANAN3"/>
      <sheetName val="TE_TS_FA_LAN_MATV5"/>
      <sheetName val="1_Requisition(E)3"/>
      <sheetName val="Main_Feeder3"/>
      <sheetName val="PE_Wire3"/>
      <sheetName val="Budget_Code3"/>
      <sheetName val="BOQ_CBM5"/>
      <sheetName val="iTEM_hARSAT5"/>
      <sheetName val="Peralatan_(2)5"/>
      <sheetName val="REKAP_BQ_5"/>
      <sheetName val="GRAND_TOTAL5"/>
      <sheetName val="Sat_Bah_&amp;_Up5"/>
      <sheetName val="Spec_ME5"/>
      <sheetName val="AN_Tdr5"/>
      <sheetName val="Analisa_5"/>
      <sheetName val="Tie_Beam5"/>
      <sheetName val="AN_Beton5"/>
      <sheetName val="BQ_Ars5"/>
      <sheetName val="analis_standar(20m)5"/>
      <sheetName val="ANAL_BETON5"/>
      <sheetName val="Category_15"/>
      <sheetName val="alue_deah_teungoh5"/>
      <sheetName val="lambaro_skep5"/>
      <sheetName val="matang_rayeuk5"/>
      <sheetName val="deah_raya5"/>
      <sheetName val="Harga_Dasar5"/>
      <sheetName val="Analisa_Harga_Satuan5"/>
      <sheetName val="Daftar_Hutang5"/>
      <sheetName val="Analisa___2_3"/>
      <sheetName val="YTD'97_Sales3"/>
      <sheetName val="Week9-Feb____3"/>
      <sheetName val="RAB_J18_3"/>
      <sheetName val="Fire_Fighting3"/>
      <sheetName val="Analisa_-Baku3"/>
      <sheetName val="hrg_dasar_rc3"/>
      <sheetName val="ANA_ALAT3"/>
      <sheetName val="dftr_harga3"/>
      <sheetName val="hrg__sat_pek3"/>
      <sheetName val="prhit_tulangan3"/>
      <sheetName val="vol_pek3"/>
      <sheetName val="GASATAGG_XLS3"/>
      <sheetName val="HSUMUM_XLS3"/>
      <sheetName val="HSDRAIN_XLS3"/>
      <sheetName val="HSMISC_XLS3"/>
      <sheetName val="anal_Lamp_4a3"/>
      <sheetName val="met_bab33"/>
      <sheetName val="anal_bab83"/>
      <sheetName val="Daftar_BOQ3"/>
      <sheetName val="std_wt_3"/>
      <sheetName val="lkalibrasi_BENENAIN3"/>
      <sheetName val="On_Time3"/>
      <sheetName val="Conn__Lib3"/>
      <sheetName val="Balok_L_23"/>
      <sheetName val="Pengalaman_Per3"/>
      <sheetName val="pro_ra_op3"/>
      <sheetName val="BQ_(1)3"/>
      <sheetName val="Analisa_24"/>
      <sheetName val="S_UPAH3"/>
      <sheetName val="S_BAHAN3"/>
      <sheetName val="Form_4_&amp;_4-A3"/>
      <sheetName val="TTL_Project_Level-23"/>
      <sheetName val="B_-_Norelec3"/>
      <sheetName val="Analisa_Harga3"/>
      <sheetName val="HARGA_MATERIAL3"/>
      <sheetName val="Analisa_Gabungan3"/>
      <sheetName val="Sec_I_ML3"/>
      <sheetName val="TT_DZ353"/>
      <sheetName val="TH_DZ353"/>
      <sheetName val="B3A_-_TOWER_A3"/>
      <sheetName val="Tro_giup3"/>
      <sheetName val="Peralatan_(1)3"/>
      <sheetName val="Rev__History3"/>
      <sheetName val="Mortar_(pnw)3"/>
      <sheetName val="REKAP_MC_022"/>
      <sheetName val="POS_12"/>
      <sheetName val="POS_22"/>
      <sheetName val="DAILY_WORKER2"/>
      <sheetName val="Unit_Rate2"/>
      <sheetName val="1_General_Item2"/>
      <sheetName val="2_Sorinangka_Weir2"/>
      <sheetName val="3_Irr_Canal_Work2"/>
      <sheetName val="analisa_GRC2"/>
      <sheetName val="Ana_Ars2"/>
      <sheetName val="Pola_Belanja2"/>
      <sheetName val="7_3_RAB_per_SDY2"/>
      <sheetName val="RABT_VS_RABP2"/>
      <sheetName val="RAB_IFFLC2"/>
      <sheetName val="DAFTAR_ISI2"/>
      <sheetName val="D-3_(M)2"/>
      <sheetName val="D-7_(M)2"/>
      <sheetName val="Har_Sat2"/>
      <sheetName val="AHS_Marka2"/>
      <sheetName val="RumusTB_1_bln3"/>
      <sheetName val="_HARGA2"/>
      <sheetName val="Mob___demob2"/>
      <sheetName val="Supl_X2"/>
      <sheetName val="D_782"/>
      <sheetName val="D_792"/>
      <sheetName val="D_802"/>
      <sheetName val="D_812"/>
      <sheetName val="D_822"/>
      <sheetName val="D_832"/>
      <sheetName val="D_842"/>
      <sheetName val="D_852"/>
      <sheetName val="D_862"/>
      <sheetName val="D_872"/>
      <sheetName val="D_882"/>
      <sheetName val="D_892"/>
      <sheetName val="D_912"/>
      <sheetName val="D_922"/>
      <sheetName val="D_932"/>
      <sheetName val="D_942"/>
      <sheetName val="D_952"/>
      <sheetName val="D_962"/>
      <sheetName val="Analisa_BOW2"/>
      <sheetName val="Man_Power_&amp;_Comp2"/>
      <sheetName val="ANL_STR2"/>
      <sheetName val="PRICE_LIST2"/>
      <sheetName val="Lt__1_(A)3"/>
      <sheetName val="FLI_-_Sec_11"/>
      <sheetName val="Twr_(15)1"/>
      <sheetName val="Kabel_C&amp;S1"/>
      <sheetName val="Electrical_1"/>
      <sheetName val="SCADA_ENG1"/>
      <sheetName val="Supervisory_Control_System1"/>
      <sheetName val="Analisa_(3)1"/>
      <sheetName val="Analisa_(2)1"/>
      <sheetName val="Rekap_Addendum1"/>
      <sheetName val="Perhitungan_RAB1"/>
      <sheetName val="div6_asp"/>
      <sheetName val="div7_str"/>
      <sheetName val="summ"/>
      <sheetName val="div2_drain"/>
      <sheetName val="Pekerjaan_Utama1"/>
      <sheetName val="anls_div_101"/>
      <sheetName val="Quarry"/>
      <sheetName val="div10rutin"/>
      <sheetName val="uraian_analisa1"/>
      <sheetName val="Tabel_Harga_Tiket1"/>
      <sheetName val="analisa_mek1"/>
      <sheetName val="analisa_el1"/>
      <sheetName val="A_HARSAT_ARS1"/>
      <sheetName val="Pas__Batu_Gng1"/>
      <sheetName val="INPUT_HARGA1"/>
      <sheetName val="RINC_FIN_T4___3_1"/>
      <sheetName val="RINC_FIN_T4___2_1"/>
      <sheetName val="RINC_hotel1"/>
      <sheetName val="RINC_FIN_T4_1"/>
      <sheetName val="Data_by_Drawing1"/>
      <sheetName val="Timbunan_1"/>
      <sheetName val="Perhit_Alat1"/>
      <sheetName val="Currency_Rate20"/>
      <sheetName val="Unit_Price_M20"/>
      <sheetName val="REF_ONLY20"/>
      <sheetName val="Analisa_SNI_STANDART_19"/>
      <sheetName val="BANGUNAN_PENUNJANG18"/>
      <sheetName val="An_Arsitektur19"/>
      <sheetName val="Unit_Rate_(2)19"/>
      <sheetName val="Bahan_16"/>
      <sheetName val="Pekerjaan_16"/>
      <sheetName val="Cover_Daf_216"/>
      <sheetName val="Rekap_Direct_Cost16"/>
      <sheetName val="D_&amp;_W_sizes16"/>
      <sheetName val="Cash_Flow_bulanan16"/>
      <sheetName val="Kuantitas_&amp;_Harga16"/>
      <sheetName val="Basic_Price16"/>
      <sheetName val="Analisa_Upah_&amp;_Bahan_Plum16"/>
      <sheetName val="Kolom_UT16"/>
      <sheetName val="Bill_of_Qty_MEP16"/>
      <sheetName val="analisa_Str16"/>
      <sheetName val="Bill_rekap16"/>
      <sheetName val="HRG_BHN16"/>
      <sheetName val="dongia_(2)16"/>
      <sheetName val="THPDMoi__(2)16"/>
      <sheetName val="TONG_HOP_VL-NC16"/>
      <sheetName val="TONGKE3p_16"/>
      <sheetName val="TH_VL,_NC,_DDHT_Thanhphuoc16"/>
      <sheetName val="DON_GIA16"/>
      <sheetName val="t-h_HA_THE16"/>
      <sheetName val="CHITIET_VL-NC-TT_-1p16"/>
      <sheetName val="TONG_HOP_VL-NC_TT16"/>
      <sheetName val="TH_XL16"/>
      <sheetName val="CHITIET_VL-NC16"/>
      <sheetName val="CHITIET_VL-NC-TT-3p16"/>
      <sheetName val="KPVC-BD_16"/>
      <sheetName val="Ahs_116"/>
      <sheetName val="Ahs_216"/>
      <sheetName val="mat_me_pipa16"/>
      <sheetName val="TOWER_D16"/>
      <sheetName val="Hrg_Sat16"/>
      <sheetName val="5_2_16"/>
      <sheetName val="Cover_Daf-212"/>
      <sheetName val="Analisa__(2)16"/>
      <sheetName val="Bill_2_Summary12"/>
      <sheetName val="Alat_Kerja16"/>
      <sheetName val="Daf_116"/>
      <sheetName val="_anal_hrg_sat16"/>
      <sheetName val="H_Satuan16"/>
      <sheetName val="OFFICE_2_LT16"/>
      <sheetName val="Analisa_DMPU16"/>
      <sheetName val="FORM_X_COST12"/>
      <sheetName val="An_Struktur13"/>
      <sheetName val="Deep_Well12"/>
      <sheetName val="Pek_Luar12"/>
      <sheetName val="metode_12"/>
      <sheetName val="Master_1_012"/>
      <sheetName val="OP__ALAT12"/>
      <sheetName val="OP__PERJAM12"/>
      <sheetName val="B__PERSONIL12"/>
      <sheetName val="KAN__LOKAL12"/>
      <sheetName val="Perm__Test12"/>
      <sheetName val="prime_coal12"/>
      <sheetName val="REKAP_REV_SHARING12"/>
      <sheetName val="Analisa_(me)12"/>
      <sheetName val="HB_16"/>
      <sheetName val="Cover_(x)12"/>
      <sheetName val="Cor_Apt12"/>
      <sheetName val="rab_me_(by_owner)_12"/>
      <sheetName val="BQ_(by_owner)12"/>
      <sheetName val="rab_me_(fisik)12"/>
      <sheetName val="RAB_AR&amp;STR12"/>
      <sheetName val="Urai__Resap_pengikat12"/>
      <sheetName val="Breakdown_Architecture12"/>
      <sheetName val="struktur_tdk_dipakai12"/>
      <sheetName val="3_5_STR_PH-2_12"/>
      <sheetName val="Up_&amp;_bhn12"/>
      <sheetName val="Data_basic_price_jgan_diprint12"/>
      <sheetName val="CATU_DAYA_LISTRIK_PLB12"/>
      <sheetName val="CATU_DAYA_LISTRIK_PK12"/>
      <sheetName val="PERALATAN_&amp;_KATUP2_PK12"/>
      <sheetName val="PERALATAN_UTAMA_PK12"/>
      <sheetName val="PERALATAN_&amp;_KATUP2_PLB12"/>
      <sheetName val="PERALATAN_UTAMA_PLB12"/>
      <sheetName val="PEMIPAAN_PK12"/>
      <sheetName val="PEMIPAAN_PLB12"/>
      <sheetName val="4-Basic_Price12"/>
      <sheetName val="SKEDUL_AV-0512"/>
      <sheetName val="Alat_R_oke12"/>
      <sheetName val="BU_ok12"/>
      <sheetName val="BM_vs_BB12"/>
      <sheetName val="Bahan_oke12"/>
      <sheetName val="DAFTAR_712"/>
      <sheetName val="Fill_this_out_first___15"/>
      <sheetName val="hrg_dasar_rc2"/>
      <sheetName val="ANA_ALAT2"/>
      <sheetName val="met_bab32"/>
      <sheetName val="anal_bab82"/>
      <sheetName val="Daftar_BOQ2"/>
      <sheetName val="std_wt_2"/>
      <sheetName val="lkalibrasi_BENENAIN2"/>
      <sheetName val="Conn__Lib2"/>
      <sheetName val="Balok_L_22"/>
      <sheetName val="Pengalaman_Per2"/>
      <sheetName val="pro_ra_op2"/>
      <sheetName val="BQ_(1)2"/>
      <sheetName val="S_UPAH2"/>
      <sheetName val="S_BAHAN2"/>
      <sheetName val="Form_4_&amp;_4-A2"/>
      <sheetName val="B_-_Norelec2"/>
      <sheetName val="Analisa_Harga2"/>
      <sheetName val="TT_DZ352"/>
      <sheetName val="TH_DZ352"/>
      <sheetName val="B3A_-_TOWER_A2"/>
      <sheetName val="Tro_giup2"/>
      <sheetName val="Peralatan_(1)2"/>
      <sheetName val="Rev__History2"/>
      <sheetName val="REKAP_MC_021"/>
      <sheetName val="POS_11"/>
      <sheetName val="POS_21"/>
      <sheetName val="DAILY_WORKER1"/>
      <sheetName val="Unit_Rate1"/>
      <sheetName val="1_General_Item1"/>
      <sheetName val="2_Sorinangka_Weir1"/>
      <sheetName val="3_Irr_Canal_Work1"/>
      <sheetName val="analisa_GRC1"/>
      <sheetName val="Ana_Ars1"/>
      <sheetName val="Pola_Belanja1"/>
      <sheetName val="7_3_RAB_per_SDY1"/>
      <sheetName val="RABT_VS_RABP1"/>
      <sheetName val="RAB_IFFLC1"/>
      <sheetName val="DAFTAR_ISI1"/>
      <sheetName val="D-3_(M)1"/>
      <sheetName val="D-7_(M)1"/>
      <sheetName val="Har_Sat1"/>
      <sheetName val="AHS_Marka1"/>
      <sheetName val="RumusTB_1_bln2"/>
      <sheetName val="_HARGA1"/>
      <sheetName val="Mob___demob1"/>
      <sheetName val="Supl_X1"/>
      <sheetName val="D_781"/>
      <sheetName val="D_791"/>
      <sheetName val="D_801"/>
      <sheetName val="D_811"/>
      <sheetName val="D_821"/>
      <sheetName val="D_831"/>
      <sheetName val="D_841"/>
      <sheetName val="D_851"/>
      <sheetName val="D_861"/>
      <sheetName val="D_871"/>
      <sheetName val="D_881"/>
      <sheetName val="D_891"/>
      <sheetName val="D_911"/>
      <sheetName val="D_921"/>
      <sheetName val="D_931"/>
      <sheetName val="D_941"/>
      <sheetName val="D_951"/>
      <sheetName val="D_961"/>
      <sheetName val="Analisa_BOW1"/>
      <sheetName val="Man_Power_&amp;_Comp1"/>
      <sheetName val="ANL_STR1"/>
      <sheetName val="PRICE_LIST1"/>
      <sheetName val="Lt__1_(A)2"/>
      <sheetName val="FLI_-_Sec_1"/>
      <sheetName val="Twr_(15)"/>
      <sheetName val="Kabel_C&amp;S"/>
      <sheetName val="Electrical_"/>
      <sheetName val="SCADA_ENG"/>
      <sheetName val="Supervisory_Control_System"/>
      <sheetName val="Analisa_(3)"/>
      <sheetName val="Analisa_(2)"/>
      <sheetName val="Rekap_Addendum"/>
      <sheetName val="Perhitungan_RAB"/>
      <sheetName val="Pekerjaan_Utama"/>
      <sheetName val="anls_div_10"/>
      <sheetName val="uraian_analisa"/>
      <sheetName val="Tabel_Harga_Tiket"/>
      <sheetName val="analisa_mek"/>
      <sheetName val="analisa_el"/>
      <sheetName val="A_HARSAT_ARS"/>
      <sheetName val="Pas__Batu_Gng"/>
      <sheetName val="INPUT_HARGA"/>
      <sheetName val="RINC_FIN_T4___3_"/>
      <sheetName val="RINC_FIN_T4___2_"/>
      <sheetName val="RINC_hotel"/>
      <sheetName val="RINC_FIN_T4_"/>
      <sheetName val="Data_by_Drawing"/>
      <sheetName val="Timbunan_"/>
      <sheetName val="Perhit_Alat"/>
      <sheetName val="Pekerjaan Utama"/>
      <sheetName val="anls div 10"/>
      <sheetName val="analisa struktur"/>
      <sheetName val="HARGA J18"/>
      <sheetName val="BIL"/>
      <sheetName val="D.1.7"/>
      <sheetName val="D.1.5"/>
      <sheetName val="D.2.3"/>
      <sheetName val="D.2.2"/>
      <sheetName val="Daftar Upah"/>
      <sheetName val="Basic Price Upah (mirror)"/>
      <sheetName val="Input Data"/>
      <sheetName val="HG_JADI"/>
    </sheetNames>
    <sheetDataSet>
      <sheetData sheetId="0" refreshError="1">
        <row r="16">
          <cell r="B16">
            <v>7.0000000000000007E-2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ow r="16">
          <cell r="B16">
            <v>7.0000000000000007E-2</v>
          </cell>
        </row>
      </sheetData>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sheetData sheetId="337">
        <row r="16">
          <cell r="B16">
            <v>7.0000000000000007E-2</v>
          </cell>
        </row>
      </sheetData>
      <sheetData sheetId="338"/>
      <sheetData sheetId="339"/>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ow r="16">
          <cell r="B16">
            <v>7.0000000000000007E-2</v>
          </cell>
        </row>
      </sheetData>
      <sheetData sheetId="366">
        <row r="16">
          <cell r="B16">
            <v>7.0000000000000007E-2</v>
          </cell>
        </row>
      </sheetData>
      <sheetData sheetId="367">
        <row r="16">
          <cell r="B16">
            <v>7.0000000000000007E-2</v>
          </cell>
        </row>
      </sheetData>
      <sheetData sheetId="368">
        <row r="16">
          <cell r="B16">
            <v>7.0000000000000007E-2</v>
          </cell>
        </row>
      </sheetData>
      <sheetData sheetId="369">
        <row r="16">
          <cell r="B16">
            <v>7.0000000000000007E-2</v>
          </cell>
        </row>
      </sheetData>
      <sheetData sheetId="370">
        <row r="16">
          <cell r="B16">
            <v>7.0000000000000007E-2</v>
          </cell>
        </row>
      </sheetData>
      <sheetData sheetId="371">
        <row r="16">
          <cell r="B16">
            <v>7.0000000000000007E-2</v>
          </cell>
        </row>
      </sheetData>
      <sheetData sheetId="372">
        <row r="16">
          <cell r="B16">
            <v>7.0000000000000007E-2</v>
          </cell>
        </row>
      </sheetData>
      <sheetData sheetId="373">
        <row r="16">
          <cell r="B16">
            <v>7.0000000000000007E-2</v>
          </cell>
        </row>
      </sheetData>
      <sheetData sheetId="374">
        <row r="16">
          <cell r="B16">
            <v>7.0000000000000007E-2</v>
          </cell>
        </row>
      </sheetData>
      <sheetData sheetId="375">
        <row r="16">
          <cell r="B16">
            <v>7.0000000000000007E-2</v>
          </cell>
        </row>
      </sheetData>
      <sheetData sheetId="376">
        <row r="16">
          <cell r="B16">
            <v>7.0000000000000007E-2</v>
          </cell>
        </row>
      </sheetData>
      <sheetData sheetId="377">
        <row r="16">
          <cell r="B16">
            <v>7.0000000000000007E-2</v>
          </cell>
        </row>
      </sheetData>
      <sheetData sheetId="378"/>
      <sheetData sheetId="379"/>
      <sheetData sheetId="380"/>
      <sheetData sheetId="381"/>
      <sheetData sheetId="382">
        <row r="16">
          <cell r="B16">
            <v>7.0000000000000007E-2</v>
          </cell>
        </row>
      </sheetData>
      <sheetData sheetId="383"/>
      <sheetData sheetId="384"/>
      <sheetData sheetId="385"/>
      <sheetData sheetId="386"/>
      <sheetData sheetId="387"/>
      <sheetData sheetId="388"/>
      <sheetData sheetId="389"/>
      <sheetData sheetId="390"/>
      <sheetData sheetId="391"/>
      <sheetData sheetId="392"/>
      <sheetData sheetId="393"/>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sheetData sheetId="1020"/>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ow r="16">
          <cell r="B16">
            <v>7.0000000000000007E-2</v>
          </cell>
        </row>
      </sheetData>
      <sheetData sheetId="1085">
        <row r="16">
          <cell r="B16">
            <v>7.0000000000000007E-2</v>
          </cell>
        </row>
      </sheetData>
      <sheetData sheetId="1086">
        <row r="16">
          <cell r="B16">
            <v>7.0000000000000007E-2</v>
          </cell>
        </row>
      </sheetData>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ow r="16">
          <cell r="B16">
            <v>7.0000000000000007E-2</v>
          </cell>
        </row>
      </sheetData>
      <sheetData sheetId="1238">
        <row r="16">
          <cell r="B16">
            <v>7.0000000000000007E-2</v>
          </cell>
        </row>
      </sheetData>
      <sheetData sheetId="1239"/>
      <sheetData sheetId="1240"/>
      <sheetData sheetId="1241"/>
      <sheetData sheetId="1242">
        <row r="16">
          <cell r="B16">
            <v>7.0000000000000007E-2</v>
          </cell>
        </row>
      </sheetData>
      <sheetData sheetId="1243"/>
      <sheetData sheetId="1244">
        <row r="16">
          <cell r="B16">
            <v>7.0000000000000007E-2</v>
          </cell>
        </row>
      </sheetData>
      <sheetData sheetId="1245"/>
      <sheetData sheetId="1246">
        <row r="16">
          <cell r="B16">
            <v>7.0000000000000007E-2</v>
          </cell>
        </row>
      </sheetData>
      <sheetData sheetId="1247"/>
      <sheetData sheetId="1248">
        <row r="16">
          <cell r="B16">
            <v>7.0000000000000007E-2</v>
          </cell>
        </row>
      </sheetData>
      <sheetData sheetId="1249"/>
      <sheetData sheetId="1250"/>
      <sheetData sheetId="1251"/>
      <sheetData sheetId="1252"/>
      <sheetData sheetId="1253"/>
      <sheetData sheetId="1254"/>
      <sheetData sheetId="1255"/>
      <sheetData sheetId="1256"/>
      <sheetData sheetId="1257"/>
      <sheetData sheetId="1258"/>
      <sheetData sheetId="1259"/>
      <sheetData sheetId="1260">
        <row r="16">
          <cell r="B16">
            <v>7.0000000000000007E-2</v>
          </cell>
        </row>
      </sheetData>
      <sheetData sheetId="1261"/>
      <sheetData sheetId="1262"/>
      <sheetData sheetId="1263"/>
      <sheetData sheetId="1264"/>
      <sheetData sheetId="1265"/>
      <sheetData sheetId="1266"/>
      <sheetData sheetId="1267">
        <row r="16">
          <cell r="B16">
            <v>7.0000000000000007E-2</v>
          </cell>
        </row>
      </sheetData>
      <sheetData sheetId="1268"/>
      <sheetData sheetId="1269">
        <row r="16">
          <cell r="B16">
            <v>7.0000000000000007E-2</v>
          </cell>
        </row>
      </sheetData>
      <sheetData sheetId="1270"/>
      <sheetData sheetId="1271">
        <row r="16">
          <cell r="B16">
            <v>7.0000000000000007E-2</v>
          </cell>
        </row>
      </sheetData>
      <sheetData sheetId="1272">
        <row r="16">
          <cell r="B16">
            <v>7.0000000000000007E-2</v>
          </cell>
        </row>
      </sheetData>
      <sheetData sheetId="1273"/>
      <sheetData sheetId="1274"/>
      <sheetData sheetId="1275">
        <row r="16">
          <cell r="B16">
            <v>7.0000000000000007E-2</v>
          </cell>
        </row>
      </sheetData>
      <sheetData sheetId="1276">
        <row r="16">
          <cell r="B16">
            <v>7.0000000000000007E-2</v>
          </cell>
        </row>
      </sheetData>
      <sheetData sheetId="1277"/>
      <sheetData sheetId="1278"/>
      <sheetData sheetId="1279"/>
      <sheetData sheetId="1280"/>
      <sheetData sheetId="1281">
        <row r="16">
          <cell r="B16">
            <v>7.0000000000000007E-2</v>
          </cell>
        </row>
      </sheetData>
      <sheetData sheetId="1282">
        <row r="16">
          <cell r="B16">
            <v>7.0000000000000007E-2</v>
          </cell>
        </row>
      </sheetData>
      <sheetData sheetId="1283"/>
      <sheetData sheetId="1284"/>
      <sheetData sheetId="1285">
        <row r="16">
          <cell r="B16">
            <v>7.0000000000000007E-2</v>
          </cell>
        </row>
      </sheetData>
      <sheetData sheetId="1286"/>
      <sheetData sheetId="1287"/>
      <sheetData sheetId="1288">
        <row r="16">
          <cell r="B16">
            <v>7.0000000000000007E-2</v>
          </cell>
        </row>
      </sheetData>
      <sheetData sheetId="1289">
        <row r="16">
          <cell r="B16">
            <v>7.0000000000000007E-2</v>
          </cell>
        </row>
      </sheetData>
      <sheetData sheetId="1290"/>
      <sheetData sheetId="1291">
        <row r="16">
          <cell r="B16">
            <v>7.0000000000000007E-2</v>
          </cell>
        </row>
      </sheetData>
      <sheetData sheetId="1292">
        <row r="16">
          <cell r="B16">
            <v>7.0000000000000007E-2</v>
          </cell>
        </row>
      </sheetData>
      <sheetData sheetId="1293">
        <row r="16">
          <cell r="B16">
            <v>7.0000000000000007E-2</v>
          </cell>
        </row>
      </sheetData>
      <sheetData sheetId="1294">
        <row r="16">
          <cell r="B16">
            <v>7.0000000000000007E-2</v>
          </cell>
        </row>
      </sheetData>
      <sheetData sheetId="1295">
        <row r="16">
          <cell r="B16">
            <v>7.0000000000000007E-2</v>
          </cell>
        </row>
      </sheetData>
      <sheetData sheetId="1296"/>
      <sheetData sheetId="1297">
        <row r="16">
          <cell r="B16">
            <v>7.0000000000000007E-2</v>
          </cell>
        </row>
      </sheetData>
      <sheetData sheetId="1298"/>
      <sheetData sheetId="1299"/>
      <sheetData sheetId="1300"/>
      <sheetData sheetId="1301"/>
      <sheetData sheetId="1302">
        <row r="16">
          <cell r="B16">
            <v>7.0000000000000007E-2</v>
          </cell>
        </row>
      </sheetData>
      <sheetData sheetId="1303"/>
      <sheetData sheetId="1304">
        <row r="16">
          <cell r="B16">
            <v>7.0000000000000007E-2</v>
          </cell>
        </row>
      </sheetData>
      <sheetData sheetId="1305"/>
      <sheetData sheetId="1306"/>
      <sheetData sheetId="1307"/>
      <sheetData sheetId="1308"/>
      <sheetData sheetId="1309"/>
      <sheetData sheetId="1310"/>
      <sheetData sheetId="1311">
        <row r="16">
          <cell r="B16">
            <v>7.0000000000000007E-2</v>
          </cell>
        </row>
      </sheetData>
      <sheetData sheetId="1312"/>
      <sheetData sheetId="1313"/>
      <sheetData sheetId="1314"/>
      <sheetData sheetId="1315"/>
      <sheetData sheetId="1316"/>
      <sheetData sheetId="1317"/>
      <sheetData sheetId="1318"/>
      <sheetData sheetId="1319"/>
      <sheetData sheetId="1320"/>
      <sheetData sheetId="1321"/>
      <sheetData sheetId="1322"/>
      <sheetData sheetId="1323">
        <row r="16">
          <cell r="B16">
            <v>7.0000000000000007E-2</v>
          </cell>
        </row>
      </sheetData>
      <sheetData sheetId="1324"/>
      <sheetData sheetId="1325"/>
      <sheetData sheetId="1326"/>
      <sheetData sheetId="1327"/>
      <sheetData sheetId="1328"/>
      <sheetData sheetId="1329"/>
      <sheetData sheetId="1330">
        <row r="16">
          <cell r="B16">
            <v>7.0000000000000007E-2</v>
          </cell>
        </row>
      </sheetData>
      <sheetData sheetId="1331"/>
      <sheetData sheetId="1332"/>
      <sheetData sheetId="1333"/>
      <sheetData sheetId="1334"/>
      <sheetData sheetId="1335">
        <row r="16">
          <cell r="B16">
            <v>7.0000000000000007E-2</v>
          </cell>
        </row>
      </sheetData>
      <sheetData sheetId="1336"/>
      <sheetData sheetId="1337"/>
      <sheetData sheetId="1338"/>
      <sheetData sheetId="1339"/>
      <sheetData sheetId="1340"/>
      <sheetData sheetId="1341"/>
      <sheetData sheetId="1342"/>
      <sheetData sheetId="1343"/>
      <sheetData sheetId="1344"/>
      <sheetData sheetId="1345"/>
      <sheetData sheetId="1346">
        <row r="16">
          <cell r="B16">
            <v>7.0000000000000007E-2</v>
          </cell>
        </row>
      </sheetData>
      <sheetData sheetId="1347"/>
      <sheetData sheetId="1348"/>
      <sheetData sheetId="1349">
        <row r="16">
          <cell r="B16">
            <v>7.0000000000000007E-2</v>
          </cell>
        </row>
      </sheetData>
      <sheetData sheetId="1350">
        <row r="16">
          <cell r="B16">
            <v>7.0000000000000007E-2</v>
          </cell>
        </row>
      </sheetData>
      <sheetData sheetId="1351">
        <row r="16">
          <cell r="B16">
            <v>7.0000000000000007E-2</v>
          </cell>
        </row>
      </sheetData>
      <sheetData sheetId="1352">
        <row r="16">
          <cell r="B16">
            <v>7.0000000000000007E-2</v>
          </cell>
        </row>
      </sheetData>
      <sheetData sheetId="1353">
        <row r="16">
          <cell r="B16">
            <v>7.0000000000000007E-2</v>
          </cell>
        </row>
      </sheetData>
      <sheetData sheetId="1354">
        <row r="16">
          <cell r="B16">
            <v>7.0000000000000007E-2</v>
          </cell>
        </row>
      </sheetData>
      <sheetData sheetId="1355">
        <row r="16">
          <cell r="B16">
            <v>7.0000000000000007E-2</v>
          </cell>
        </row>
      </sheetData>
      <sheetData sheetId="1356">
        <row r="16">
          <cell r="B16">
            <v>7.0000000000000007E-2</v>
          </cell>
        </row>
      </sheetData>
      <sheetData sheetId="1357">
        <row r="16">
          <cell r="B16">
            <v>7.0000000000000007E-2</v>
          </cell>
        </row>
      </sheetData>
      <sheetData sheetId="1358">
        <row r="16">
          <cell r="B16">
            <v>7.0000000000000007E-2</v>
          </cell>
        </row>
      </sheetData>
      <sheetData sheetId="1359"/>
      <sheetData sheetId="1360"/>
      <sheetData sheetId="1361"/>
      <sheetData sheetId="1362">
        <row r="16">
          <cell r="B16">
            <v>7.0000000000000007E-2</v>
          </cell>
        </row>
      </sheetData>
      <sheetData sheetId="1363"/>
      <sheetData sheetId="1364"/>
      <sheetData sheetId="1365">
        <row r="16">
          <cell r="B16">
            <v>7.0000000000000007E-2</v>
          </cell>
        </row>
      </sheetData>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row r="16">
          <cell r="B16">
            <v>7.0000000000000007E-2</v>
          </cell>
        </row>
      </sheetData>
      <sheetData sheetId="1399">
        <row r="16">
          <cell r="B16">
            <v>7.0000000000000007E-2</v>
          </cell>
        </row>
      </sheetData>
      <sheetData sheetId="1400"/>
      <sheetData sheetId="1401">
        <row r="16">
          <cell r="B16">
            <v>7.0000000000000007E-2</v>
          </cell>
        </row>
      </sheetData>
      <sheetData sheetId="1402">
        <row r="16">
          <cell r="B16">
            <v>7.0000000000000007E-2</v>
          </cell>
        </row>
      </sheetData>
      <sheetData sheetId="1403"/>
      <sheetData sheetId="1404">
        <row r="16">
          <cell r="B16">
            <v>7.0000000000000007E-2</v>
          </cell>
        </row>
      </sheetData>
      <sheetData sheetId="1405"/>
      <sheetData sheetId="1406"/>
      <sheetData sheetId="1407"/>
      <sheetData sheetId="1408"/>
      <sheetData sheetId="1409"/>
      <sheetData sheetId="1410"/>
      <sheetData sheetId="1411"/>
      <sheetData sheetId="1412"/>
      <sheetData sheetId="1413"/>
      <sheetData sheetId="1414">
        <row r="16">
          <cell r="B16">
            <v>7.0000000000000007E-2</v>
          </cell>
        </row>
      </sheetData>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refreshError="1"/>
      <sheetData sheetId="1435"/>
      <sheetData sheetId="1436"/>
      <sheetData sheetId="1437"/>
      <sheetData sheetId="1438"/>
      <sheetData sheetId="1439"/>
      <sheetData sheetId="1440"/>
      <sheetData sheetId="1441"/>
      <sheetData sheetId="1442"/>
      <sheetData sheetId="1443">
        <row r="16">
          <cell r="B16">
            <v>7.0000000000000007E-2</v>
          </cell>
        </row>
      </sheetData>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refreshError="1"/>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refreshError="1"/>
      <sheetData sheetId="2885" refreshError="1"/>
      <sheetData sheetId="2886" refreshError="1"/>
      <sheetData sheetId="2887" refreshError="1"/>
      <sheetData sheetId="2888"/>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ow r="16">
          <cell r="B16">
            <v>7.0000000000000007E-2</v>
          </cell>
        </row>
      </sheetData>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row r="16">
          <cell r="B16">
            <v>7.0000000000000007E-2</v>
          </cell>
        </row>
      </sheetData>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refreshError="1"/>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row r="16">
          <cell r="B16">
            <v>7.0000000000000007E-2</v>
          </cell>
        </row>
      </sheetData>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LMP.12"/>
      <sheetName val="surat "/>
      <sheetName val="REK"/>
      <sheetName val="BOQ (2)"/>
      <sheetName val="BOQ"/>
      <sheetName val="SCH"/>
      <sheetName val="ANA LS"/>
      <sheetName val="ANA"/>
      <sheetName val="HSD"/>
      <sheetName val="MET-BAB-7"/>
      <sheetName val="MET-BAB-06"/>
      <sheetName val="konf"/>
      <sheetName val="staf"/>
      <sheetName val="alat"/>
      <sheetName val="SUBkon"/>
      <sheetName val="MPU"/>
      <sheetName val="dATA KONTRAK"/>
      <sheetName val="RTN"/>
      <sheetName val="MOS"/>
      <sheetName val="nonpns"/>
      <sheetName val="bhn luar"/>
      <sheetName val="Kar"/>
      <sheetName val="Met-02"/>
      <sheetName val="MET-03"/>
      <sheetName val="MET-BAB-04"/>
      <sheetName val="Met-master"/>
      <sheetName val="Met-Bab-08"/>
      <sheetName val="Met Rtn"/>
      <sheetName val="BALT"/>
      <sheetName val="IND"/>
      <sheetName val="Sheet2"/>
      <sheetName val="Sheet2 (2)"/>
      <sheetName val="Sheet1"/>
      <sheetName val="Sheet1 (2)"/>
      <sheetName val="Sheet3"/>
      <sheetName val="RAKAP"/>
      <sheetName val="SUB REKAP"/>
      <sheetName val="RAB"/>
      <sheetName val="ARS&amp;LINGK"/>
      <sheetName val="Atap"/>
      <sheetName val="ME"/>
      <sheetName val="ARS.1"/>
      <sheetName val="ARS.2"/>
      <sheetName val="ARS.3"/>
      <sheetName val="ARS.4"/>
      <sheetName val="ARS.5"/>
      <sheetName val="ARS.6"/>
      <sheetName val="VOL.SARPRAS"/>
      <sheetName val="PENDAHULUAN"/>
      <sheetName val="STRUKTUR"/>
      <sheetName val="ARSITEKTUR"/>
      <sheetName val="M.E"/>
      <sheetName val="SARANA&amp;PRASARANA"/>
      <sheetName val="ANL"/>
      <sheetName val="ANL RAIL"/>
      <sheetName val="ANLS LIST"/>
      <sheetName val="QS"/>
      <sheetName val="QS (2)"/>
      <sheetName val="1.REKAP"/>
      <sheetName val="2.RAB"/>
      <sheetName val="3.ANALISA"/>
      <sheetName val="4.BAHAN,UPAH,ALAT"/>
      <sheetName val="5.TKDN"/>
      <sheetName val="analisa mstr"/>
      <sheetName val="BUA Mstr"/>
      <sheetName val="3.analisa harga satuan utama"/>
      <sheetName val="4.bahan,upah, alat"/>
      <sheetName val="5. subkontrakkan"/>
      <sheetName val="REKAP B"/>
      <sheetName val="RAB Bangunan B"/>
      <sheetName val="BREAKDONW"/>
      <sheetName val="VOL CAT"/>
      <sheetName val="VOL KERAMIK"/>
      <sheetName val="kusen pengurangan"/>
      <sheetName val="ANA-KSN"/>
      <sheetName val="ANALISA HRG"/>
      <sheetName val="urugan"/>
      <sheetName val="vol BATA"/>
      <sheetName val="vol PLAFON"/>
      <sheetName val="VOL PARTISI"/>
      <sheetName val="REALLING"/>
      <sheetName val="Addendum"/>
      <sheetName val="Time Kendali (86 hari)"/>
      <sheetName val="REKAP"/>
      <sheetName val="BOBOT"/>
      <sheetName val="SCEDULE"/>
      <sheetName val="CAT"/>
      <sheetName val=" kuda-kuda"/>
      <sheetName val="dinding"/>
      <sheetName val="AN PTR"/>
      <sheetName val="RasioStrAts"/>
      <sheetName val="PER VOL"/>
      <sheetName val="AN KSN"/>
      <sheetName val="STRats"/>
      <sheetName val="Rasio StrBwah"/>
      <sheetName val="h.Beton"/>
      <sheetName val="URUGAN PENINGGIAN"/>
      <sheetName val="Index"/>
      <sheetName val="Kuda2"/>
      <sheetName val="PER M2"/>
      <sheetName val="REKAP TOTAL A+B (2)"/>
      <sheetName val="RasioStrAts (2)"/>
      <sheetName val="Analisa "/>
      <sheetName val="RAB-ELEKTRIKAL"/>
      <sheetName val="Analisa-1"/>
      <sheetName val="RAB-PLAMBING"/>
      <sheetName val="Anl ARS 1 "/>
      <sheetName val="Analisa Ars 2"/>
      <sheetName val="HARGA_NON LINK"/>
      <sheetName val="Break Down Str"/>
      <sheetName val="Anl beton"/>
    </sheetNames>
    <sheetDataSet>
      <sheetData sheetId="0" refreshError="1">
        <row r="6">
          <cell r="C6" t="str">
            <v>Pembangunan Jalan dan Jembatan Jawa Barat</v>
          </cell>
        </row>
        <row r="9">
          <cell r="C9" t="str">
            <v>JAWA BARAT / BANDUNG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LMP.12"/>
      <sheetName val="surat "/>
      <sheetName val="REK"/>
      <sheetName val="BOQ (2)"/>
      <sheetName val="BOQ"/>
      <sheetName val="SCH"/>
      <sheetName val="ANA LS"/>
      <sheetName val="ANA"/>
      <sheetName val="HSD"/>
      <sheetName val="MET-BAB-7"/>
      <sheetName val="MET-BAB-06"/>
      <sheetName val="konf"/>
      <sheetName val="staf"/>
      <sheetName val="alat"/>
      <sheetName val="SUBkon"/>
      <sheetName val="MPU"/>
      <sheetName val="dATA KONTRAK"/>
      <sheetName val="RTN"/>
      <sheetName val="MOS"/>
      <sheetName val="nonpns"/>
      <sheetName val="bhn luar"/>
      <sheetName val="Kar"/>
      <sheetName val="Met-02"/>
      <sheetName val="MET-03"/>
      <sheetName val="MET-BAB-04"/>
      <sheetName val="Met-master"/>
      <sheetName val="Met-Bab-08"/>
      <sheetName val="Met Rtn"/>
      <sheetName val="BALT"/>
      <sheetName val="IND"/>
      <sheetName val="Sheet2"/>
      <sheetName val="Sheet2 (2)"/>
      <sheetName val="Sheet1"/>
      <sheetName val="Sheet1 (2)"/>
      <sheetName val="5-ALAT(1)"/>
      <sheetName val="4-Basic Price"/>
      <sheetName val="STR"/>
      <sheetName val="Currency Rate"/>
      <sheetName val="SAP"/>
    </sheetNames>
    <sheetDataSet>
      <sheetData sheetId="0" refreshError="1">
        <row r="11">
          <cell r="C11">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ang"/>
      <sheetName val="RANGKUMAN"/>
      <sheetName val="REK"/>
      <sheetName val="RAB"/>
      <sheetName val="MPU"/>
      <sheetName val="MAJ"/>
      <sheetName val="MET-utama"/>
      <sheetName val="MET"/>
      <sheetName val="MOB"/>
      <sheetName val="URAI"/>
      <sheetName val="PLANT"/>
      <sheetName val="BATU"/>
      <sheetName val="DLAT"/>
      <sheetName val="DLAT (2)"/>
      <sheetName val="HSD"/>
      <sheetName val="SCHED"/>
      <sheetName val="STAF"/>
      <sheetName val="MET-RUT"/>
      <sheetName val="DLAMP"/>
      <sheetName val="SUB"/>
      <sheetName val="RUT"/>
      <sheetName val="camp"/>
      <sheetName val="adukan "/>
      <sheetName val="bhan"/>
      <sheetName val="itempek"/>
      <sheetName val="rekap"/>
      <sheetName val="bq"/>
      <sheetName val="Cdg"/>
      <sheetName val="Item1"/>
      <sheetName val="Item2"/>
      <sheetName val="tanah"/>
      <sheetName val="kapalat"/>
      <sheetName val="Proses"/>
      <sheetName val="Analisa Alat"/>
      <sheetName val="Item3"/>
      <sheetName val="Item5"/>
      <sheetName val="Item6"/>
      <sheetName val="Item7"/>
      <sheetName val="Item8"/>
      <sheetName val="H.Satuan"/>
      <sheetName val="Pareto"/>
      <sheetName val="Item10"/>
      <sheetName val="Gorong-2"/>
      <sheetName val="H-quarry"/>
      <sheetName val="Pas-batu"/>
      <sheetName val="Resiko"/>
      <sheetName val="Vol K.225"/>
      <sheetName val="Titip"/>
      <sheetName val="H_Satu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SCHE."/>
      <sheetName val="SRT"/>
      <sheetName val="Rek"/>
      <sheetName val="BOQ"/>
      <sheetName val="ANA"/>
      <sheetName val="METH"/>
      <sheetName val="SDY"/>
      <sheetName val="SDY-rev"/>
      <sheetName val="MOS"/>
      <sheetName val="Mob."/>
      <sheetName val="u_Alat"/>
      <sheetName val="LAMP_3"/>
      <sheetName val="Sipil"/>
      <sheetName val="Inti"/>
      <sheetName val="Major"/>
      <sheetName val="Subkon"/>
      <sheetName val="Conf."/>
      <sheetName val="ROUTINE"/>
      <sheetName val="Hitung"/>
      <sheetName val="HSD"/>
      <sheetName val="STF (2)"/>
      <sheetName val="alt-cimangkok"/>
      <sheetName val="SCH"/>
      <sheetName val="MET"/>
      <sheetName val="SUB"/>
      <sheetName val="DLM"/>
      <sheetName val="MJR"/>
      <sheetName val="BALT"/>
      <sheetName val="LMP.1"/>
      <sheetName val="LMP.2"/>
      <sheetName val="RTN"/>
      <sheetName val="ANA (BAK)"/>
      <sheetName val="MET (BAK)"/>
      <sheetName val="IND"/>
      <sheetName val="CMK"/>
      <sheetName val="TM"/>
      <sheetName val="chitimc"/>
      <sheetName val="dongia (2)"/>
      <sheetName val="LKVL-CK-HT-GD1"/>
      <sheetName val="giathanh1"/>
      <sheetName val="D.78"/>
      <sheetName val="D.79"/>
      <sheetName val="D.80"/>
      <sheetName val="D.81"/>
      <sheetName val="D.82"/>
      <sheetName val="D.83"/>
      <sheetName val="D.84"/>
      <sheetName val="D.85"/>
      <sheetName val="D.86"/>
      <sheetName val="D.87"/>
      <sheetName val="D.88"/>
      <sheetName val="D.89"/>
      <sheetName val="D.91"/>
      <sheetName val="D.92"/>
      <sheetName val="D.93"/>
      <sheetName val="D.94"/>
      <sheetName val="D.95"/>
      <sheetName val="D.96"/>
      <sheetName val="8LT 12"/>
      <sheetName val="alat"/>
      <sheetName val="Perhitungan RAB"/>
      <sheetName val="Mobilisasi"/>
      <sheetName val="Galian drainase.sal."/>
      <sheetName val="Pas.Batu Mortar"/>
      <sheetName val="Galian Biasa"/>
      <sheetName val="Penyiapa Badan Jln"/>
      <sheetName val="LPA Klas B Bahu.Jln"/>
      <sheetName val="LPA Klas B."/>
      <sheetName val="LPA Klas A "/>
      <sheetName val="Lap.Resap Ikat"/>
      <sheetName val="Lapis Perekat"/>
      <sheetName val="Laston ACWC"/>
      <sheetName val="Laston AC-BC"/>
      <sheetName val="Ac Bc Levelling"/>
      <sheetName val="gambar"/>
      <sheetName val="ALT"/>
      <sheetName val="STF"/>
      <sheetName val="MET-bab2"/>
      <sheetName val="Met-bab2.3(2)"/>
      <sheetName val="MET-bab3"/>
      <sheetName val="MET-bab4"/>
      <sheetName val="MET-bab5"/>
      <sheetName val="MET-bab6"/>
      <sheetName val="MET-bab7"/>
      <sheetName val="MET-bab8"/>
      <sheetName val="LMP.12"/>
      <sheetName val="surat "/>
      <sheetName val="ANA LS"/>
      <sheetName val="Met Rtn"/>
      <sheetName val="LMP.6"/>
      <sheetName val="LMP 7"/>
      <sheetName val="staf"/>
      <sheetName val="Kar"/>
      <sheetName val="MET-BAB-04"/>
      <sheetName val="MET-BAB-06"/>
      <sheetName val="MET-BAB-06b"/>
      <sheetName val="MET-bab-08"/>
      <sheetName val="Sheet2"/>
      <sheetName val="Sheet2 (2)"/>
      <sheetName val="Sheet1"/>
      <sheetName val="Sheet1 (2)"/>
      <sheetName val="simak"/>
      <sheetName val="rekap"/>
      <sheetName val="surat"/>
      <sheetName val="BOQ (2)"/>
      <sheetName val="DAFTAR KUANTITAS"/>
      <sheetName val="MPU"/>
      <sheetName val="ANALISA DIV-7"/>
      <sheetName val="bab 7"/>
      <sheetName val="HSD (2)"/>
      <sheetName val="S-CURVE"/>
      <sheetName val="sc-peralatan"/>
      <sheetName val="sc-bahan"/>
      <sheetName val="Kebutuhan bahan"/>
      <sheetName val="staf (2)"/>
      <sheetName val="peralatan utama"/>
      <sheetName val="konfirmasi"/>
      <sheetName val="luar negeri"/>
      <sheetName val="non pns"/>
      <sheetName val="surat kuasa"/>
      <sheetName val="MP-Div 2"/>
      <sheetName val="ANALISA DIV-2"/>
      <sheetName val="MP-3"/>
      <sheetName val="ANALISA-Div 3"/>
      <sheetName val="MP-5"/>
      <sheetName val="ANALISA DIV-5"/>
      <sheetName val="MP-7"/>
      <sheetName val="MP-8"/>
      <sheetName val="ANALISA DIV-8"/>
      <sheetName val="ANALISA DIV-6"/>
      <sheetName val="MP-6"/>
      <sheetName val="MET BAB-07"/>
      <sheetName val="BAB 7 (2)"/>
      <sheetName val="BOQ INDUK (2)"/>
      <sheetName val="REK INDUK"/>
      <sheetName val="BOQ INDUK"/>
      <sheetName val="ANA mob"/>
      <sheetName val="BAB 3"/>
      <sheetName val="ANA BAB 3"/>
      <sheetName val="BAB 4"/>
      <sheetName val="ANA BAB 4"/>
      <sheetName val="BAB 6"/>
      <sheetName val="ANA BAB 6"/>
      <sheetName val="ANA BAB 7"/>
      <sheetName val="BAB 8"/>
      <sheetName val="ANA BAB 8"/>
      <sheetName val="ANA mob (2)"/>
      <sheetName val="LS-Rutin"/>
      <sheetName val="SCH pekerjaan (2)"/>
      <sheetName val="ANALISA"/>
      <sheetName val="DAFT PERALATAN"/>
      <sheetName val="SCH MOB (2)"/>
      <sheetName val="SCH bahan (2)"/>
      <sheetName val="REK ANAK"/>
      <sheetName val="BOQ ANAK"/>
      <sheetName val="ANA rutin"/>
      <sheetName val="KONF"/>
      <sheetName val="STAFF"/>
      <sheetName val="HSD UPAH"/>
      <sheetName val="HSD BAHAN"/>
      <sheetName val="HSD ALAT"/>
      <sheetName val="AMP"/>
      <sheetName val="FINISHER"/>
      <sheetName val="SPRAYER"/>
      <sheetName val="BULLDOZER"/>
      <sheetName val="COMPRESSOR"/>
      <sheetName val="CONCRETE MIXER"/>
      <sheetName val="CRANE"/>
      <sheetName val="DUMP TRUCK 3-4"/>
      <sheetName val="DUMP TRUCK "/>
      <sheetName val="DUMP TRUCK  TRONTON"/>
      <sheetName val="EXCAVATOR"/>
      <sheetName val="FLAT BED TRUCK"/>
      <sheetName val="GENSET"/>
      <sheetName val="MOTOR GRADER"/>
      <sheetName val="TRACK LOADER"/>
      <sheetName val="WHEEL LOADER"/>
      <sheetName val="THREE WHEEL ROLLER"/>
      <sheetName val="TANDEM ROLLER"/>
      <sheetName val="TIRE ROLLER"/>
      <sheetName val="VIBRATORY ROLLER2T"/>
      <sheetName val="VIBRATORY ROLLER 8t"/>
      <sheetName val="CONCRETE VIBRATOR"/>
      <sheetName val="STONE CRUSHER"/>
      <sheetName val="WATER PUMP"/>
      <sheetName val="WATER TANKER"/>
      <sheetName val="PEDESTRIAN ROLLER"/>
      <sheetName val="Rekapitulasi"/>
      <sheetName val="daf hs"/>
      <sheetName val="dft alat utam"/>
      <sheetName val="met bab 2.2"/>
      <sheetName val="met 3.1 (1)"/>
      <sheetName val="Met 3.2(2)"/>
      <sheetName val="met 5.1(1)"/>
      <sheetName val="met 5.1(2)"/>
      <sheetName val="met 6.3 (5)"/>
      <sheetName val="met 6.3.(6)"/>
      <sheetName val="met 6.3 (7)"/>
      <sheetName val="TAMPER"/>
      <sheetName val="JACK HAMMER"/>
      <sheetName val="FULVI MIXER"/>
      <sheetName val="CONC PAVER"/>
      <sheetName val="TRUCK MIXER"/>
      <sheetName val="BATCHING PLANT"/>
      <sheetName val="PNSPOLRI"/>
      <sheetName val="JAMSOSTEK"/>
      <sheetName val="ASURANSI"/>
      <sheetName val="RETRIBUSI"/>
      <sheetName val="data"/>
      <sheetName val="judul"/>
      <sheetName val="jadwal alat"/>
      <sheetName val="SCH pekerjaan"/>
      <sheetName val="Compatibility Report"/>
      <sheetName val="Kuantitas"/>
      <sheetName val="Analisa HSP"/>
      <sheetName val="HSD BAHAN (2)"/>
      <sheetName val="HSD ALAT (2)"/>
      <sheetName val="CH Met Bab"/>
      <sheetName val="Jadwal"/>
      <sheetName val="Ana MPU"/>
      <sheetName val="DPU"/>
      <sheetName val="HSD Upah+Alat"/>
      <sheetName val="Met Bab 02"/>
      <sheetName val="Met Bab 05 (a)"/>
      <sheetName val="Met Bab 05 (b)"/>
      <sheetName val="Met Bab 06 (a)"/>
      <sheetName val="Met Bab 06 (b)"/>
      <sheetName val="Met Bab 04"/>
      <sheetName val="Met Bab 07"/>
      <sheetName val="Met Bab 08"/>
      <sheetName val="Konfirm"/>
      <sheetName val="Sub Kont"/>
      <sheetName val="Myr"/>
      <sheetName val="SCH (3)"/>
      <sheetName val="LIST"/>
      <sheetName val="SK"/>
      <sheetName val="SRT PNW"/>
      <sheetName val="MO&amp;DEMOB"/>
      <sheetName val="HSD upah (2)"/>
      <sheetName val="HSD bhn + ONGKOS"/>
      <sheetName val="HSD alt"/>
      <sheetName val="MET.PEL"/>
      <sheetName val="METODE (3)"/>
      <sheetName val="SCH (2)"/>
      <sheetName val="PERSONIL"/>
      <sheetName val="PERALATAN MINIMUM"/>
      <sheetName val="subkontrakkan"/>
      <sheetName val="KSO"/>
      <sheetName val="ANA ONGKOS ANGKUT"/>
      <sheetName val="HSD bhn (2)"/>
      <sheetName val="MOB"/>
      <sheetName val="ANA MOB ALT"/>
      <sheetName val="ANA RUTIN 1"/>
      <sheetName val="RAMBU"/>
      <sheetName val="MET ANA RUTIN"/>
      <sheetName val="HSD bhn"/>
      <sheetName val="PERSONILUTAMA"/>
      <sheetName val="METODE (4)"/>
      <sheetName val="lamp 9"/>
      <sheetName val="sph"/>
      <sheetName val="ana_san"/>
      <sheetName val="Material"/>
      <sheetName val="Analisa Str"/>
      <sheetName val="BQ"/>
      <sheetName val="SAT-BHN"/>
      <sheetName val="TOTAL"/>
      <sheetName val="DAFTAR 7"/>
      <sheetName val="DAFTAR_8"/>
      <sheetName val="DAF_1"/>
      <sheetName val="STR"/>
      <sheetName val="rekap1"/>
      <sheetName val="REKAP A BESAR"/>
      <sheetName val="Fill this out first___"/>
      <sheetName val="Harsat Bahan"/>
      <sheetName val="Harsat Upah"/>
      <sheetName val="Bag_1"/>
      <sheetName val="analisa el"/>
      <sheetName val="analisa mek"/>
      <sheetName val="Data basic price jgan diprint"/>
      <sheetName val="10.1(3)"/>
      <sheetName val="AHS 6.1(2)"/>
      <sheetName val="Metode 8.1(5)"/>
      <sheetName val="ESCON"/>
      <sheetName val="DONGIA"/>
      <sheetName val="REF.ONLY"/>
      <sheetName val="Rate"/>
      <sheetName val="Pipe"/>
      <sheetName val="Hrg.Sat"/>
      <sheetName val="Kolom UT"/>
      <sheetName val="Currency Rate"/>
      <sheetName val="har-sat"/>
      <sheetName val="PAD-F"/>
      <sheetName val="rab me (by owner) "/>
      <sheetName val="SATER PUMP"/>
      <sheetName val="Mat Bab 02"/>
      <sheetName val="AC-BC-balance"/>
      <sheetName val="AC-WC-balance"/>
      <sheetName val="Pas. Batu Mortar balance"/>
      <sheetName val="Pas. Batu Mortar(FE)"/>
      <sheetName val="PROGRESS"/>
      <sheetName val="Bahu(L) bal"/>
      <sheetName val="SCH pekerjaa_x0000_só_x0002_j"/>
      <sheetName val="SCH pekerjaa"/>
      <sheetName val="Har-mat"/>
      <sheetName val="Bahan upah"/>
      <sheetName val="NEGO-CKB-BBGN"/>
      <sheetName val="È³_x0003_&amp;0ß_x0000__x0000_"/>
      <sheetName val=""/>
      <sheetName val="DATA PROYEK"/>
      <sheetName val="RAB"/>
      <sheetName val="Hrg. Sat"/>
      <sheetName val="bahan"/>
      <sheetName val="arab"/>
      <sheetName val="rumus"/>
      <sheetName val="Srt-Pengantar"/>
      <sheetName val="Basic Price_bahan"/>
      <sheetName val="RAB 1"/>
      <sheetName val="RAB 10"/>
      <sheetName val="RAB 11"/>
      <sheetName val="RAB 2"/>
      <sheetName val="RAB 3"/>
      <sheetName val="RAB 8"/>
      <sheetName val="RAB 9"/>
      <sheetName val="RAB 4"/>
      <sheetName val="RAB 5"/>
      <sheetName val="RAB 6"/>
      <sheetName val="RAB 7"/>
      <sheetName val="HARGA UPAH 3.gBAHAN 3.h-ALAT3.i"/>
      <sheetName val="Kuantitas &amp; Harga"/>
      <sheetName val="Upah &amp; Bahan"/>
      <sheetName val="Rekap Biaya"/>
      <sheetName val="jeulingke"/>
      <sheetName val="gampong kuala cs"/>
      <sheetName val="kuala seuntang cs"/>
      <sheetName val="lambaro skep"/>
      <sheetName val="Harsat"/>
      <sheetName val="Beton"/>
      <sheetName val="Aspal (2)"/>
      <sheetName val="Relok-PJU"/>
      <sheetName val="NP"/>
      <sheetName val="S.BAHAN"/>
      <sheetName val="S.UPAH"/>
      <sheetName val="tifico"/>
      <sheetName val="PANELKAST"/>
      <sheetName val="AC"/>
      <sheetName val="rev-1"/>
      <sheetName val="DATUM"/>
    </sheetNames>
    <sheetDataSet>
      <sheetData sheetId="0" refreshError="1">
        <row r="9">
          <cell r="A9" t="str">
            <v>Bandung , 20 Desember 2000</v>
          </cell>
        </row>
        <row r="11">
          <cell r="A11" t="str">
            <v>ISKAK EFFERIN</v>
          </cell>
        </row>
        <row r="12">
          <cell r="A12" t="str">
            <v>Direktur Utama</v>
          </cell>
        </row>
        <row r="16">
          <cell r="A16">
            <v>36880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Rekap"/>
      <sheetName val="Bill"/>
      <sheetName val="Material"/>
      <sheetName val="Upah"/>
      <sheetName val="Furniture"/>
      <sheetName val="Summery ME"/>
      <sheetName val="Bill Item Ac"/>
      <sheetName val="Lift"/>
      <sheetName val="Khusus"/>
      <sheetName val="Electrical"/>
      <sheetName val="Mekanikal"/>
      <sheetName val="Sheet1"/>
      <sheetName val="Analisa"/>
      <sheetName val="S.BAHAN"/>
      <sheetName val="S.UPAH"/>
      <sheetName val="Ch"/>
      <sheetName val="Harga Material"/>
      <sheetName val="BTL-Persiapan"/>
      <sheetName val="BTL-Bau"/>
      <sheetName val="BTL-alat"/>
      <sheetName val="BTL-Rupa"/>
      <sheetName val="dft-harga"/>
      <sheetName val="Tabels"/>
      <sheetName val="daf-3(OK)"/>
      <sheetName val="daf-7(OK)"/>
      <sheetName val="Harga Satuan"/>
      <sheetName val="Bahan "/>
      <sheetName val="Pekerjaan "/>
      <sheetName val="Analisa 2"/>
      <sheetName val="Ahs.2"/>
      <sheetName val="Ahs.1"/>
      <sheetName val="TE TS FA LAN MATV"/>
      <sheetName val="DATA"/>
      <sheetName val="BAHAN"/>
      <sheetName val="ANALISA PEK.UMUM"/>
      <sheetName val="Rp"/>
      <sheetName val="Cover"/>
      <sheetName val="Rekap HPS"/>
      <sheetName val="Rekap RAB"/>
      <sheetName val="HPS"/>
      <sheetName val="RAB"/>
      <sheetName val="Analia HPS"/>
      <sheetName val="Spesifikasi"/>
      <sheetName val="Riwayat HPS"/>
      <sheetName val="Rekap BOQ"/>
      <sheetName val="BOQ"/>
      <sheetName val="ANALISA HITUNGAN"/>
      <sheetName val="hspk apbd dki 2019"/>
      <sheetName val="Pembesian"/>
      <sheetName val="Tabel Bj"/>
      <sheetName val="AN PINTU"/>
      <sheetName val="HARGA 2018"/>
      <sheetName val="HSPK 2018"/>
      <sheetName val="UPAH TENAGA 2018"/>
      <sheetName val="analisa harga tambahan"/>
      <sheetName val="analisa tambahan 2"/>
      <sheetName val="Sheet2"/>
      <sheetName val="Sheet1 (2)"/>
      <sheetName val="Sheet3"/>
      <sheetName val="Sheet4"/>
      <sheetName val="Sheet5"/>
      <sheetName val="Sheet6"/>
      <sheetName val="hrg-dsr"/>
      <sheetName val="Summery_ME"/>
      <sheetName val="Bill_Item_Ac"/>
      <sheetName val="bahan-upah"/>
      <sheetName val="ANALISA HARGA SATUAN"/>
      <sheetName val="harsat"/>
      <sheetName val="REKAP_VOLUME"/>
      <sheetName val="DAFTAR_8"/>
      <sheetName val="TOTAL"/>
      <sheetName val="DAFTAR 7"/>
      <sheetName val="H.Satuan"/>
      <sheetName val="Divisi1"/>
      <sheetName val="SUM"/>
      <sheetName val="Bill of Qty"/>
      <sheetName val="FINISHING"/>
      <sheetName val="SJRH KENAIKAN"/>
      <sheetName val="BQ"/>
      <sheetName val="ANAL"/>
      <sheetName val="HRG BHN"/>
      <sheetName val="Ans Kom Precast"/>
      <sheetName val="UPAH &amp; BHN"/>
      <sheetName val="D6"/>
      <sheetName val="D7"/>
      <sheetName val="Management"/>
      <sheetName val="DU-5"/>
      <sheetName val="Analisa &amp; Upah"/>
      <sheetName val="harsat_"/>
      <sheetName val="Koef"/>
      <sheetName val="LO"/>
      <sheetName val="Rekap Direct Cost"/>
      <sheetName val="3-DIV5"/>
      <sheetName val="RAB ME"/>
      <sheetName val="RAP"/>
      <sheetName val="HS"/>
      <sheetName val="UPAH BAHAN "/>
      <sheetName val="Back Up Pagar "/>
      <sheetName val="analis"/>
      <sheetName val="Harga S Dasar UNTUK IDISI"/>
      <sheetName val="srtberkas"/>
      <sheetName val="Daf.Harga-Upah"/>
      <sheetName val="PAD-F"/>
      <sheetName val="BOQ KSN"/>
      <sheetName val="B - Norelec"/>
      <sheetName val="formminat"/>
      <sheetName val="Embong-Malang"/>
      <sheetName val="A"/>
      <sheetName val="Basic"/>
      <sheetName val="C-OFF"/>
      <sheetName val="Rekapitulasi"/>
      <sheetName val="An.Ars"/>
      <sheetName val="REKAP.VOLUME"/>
      <sheetName val="B_-_Norelec"/>
      <sheetName val="H_Satuan"/>
      <sheetName val="Harsat BHN AR,M"/>
      <sheetName val="Koefisien"/>
      <sheetName val="Memb Schd"/>
      <sheetName val="BM"/>
      <sheetName val="Harga Bahan"/>
      <sheetName val="LISTRIK"/>
      <sheetName val="alt 2 TAMPIL RAKOR"/>
      <sheetName val="PRY.02 (LAPRN- WK)"/>
      <sheetName val="Harga Bahan &amp; Upah"/>
      <sheetName val="BREAKDOWN"/>
      <sheetName val="metode"/>
      <sheetName val="div3"/>
      <sheetName val="Upah&amp;Bahan"/>
      <sheetName val="ONSIDE MTRL"/>
      <sheetName val="UPAH DAN BAHAN"/>
      <sheetName val="Tie Beam GN"/>
      <sheetName val="PileCap"/>
      <sheetName val="Harsat Upah"/>
      <sheetName val="B"/>
      <sheetName val="Isolasi Luar Dalam"/>
      <sheetName val="Isolasi Luar"/>
      <sheetName val="DAF-1"/>
      <sheetName val="HB"/>
      <sheetName val="AN-ME"/>
      <sheetName val="UPAHBAHAN"/>
      <sheetName val="Analisa rata"/>
      <sheetName val="Upah_borong"/>
      <sheetName val="Daftar Harga"/>
      <sheetName val="Daftar Upah"/>
      <sheetName val="SITE-UTL"/>
      <sheetName val="HSP swk"/>
      <sheetName val="UPAH_BAHAN"/>
      <sheetName val="HSP"/>
      <sheetName val="REKAP_ARSITEKTUR."/>
      <sheetName val="SKN"/>
      <sheetName val="ALOKASI"/>
      <sheetName val="Analisa Alat"/>
      <sheetName val="326BQSTC"/>
      <sheetName val="DAF-7"/>
      <sheetName val="SUM_Steel-Strc"/>
      <sheetName val="DAF_7"/>
      <sheetName val="SAT-BHN"/>
      <sheetName val="SEX"/>
      <sheetName val="UPAH PEKERJA"/>
      <sheetName val="PLESTERAN"/>
      <sheetName val="BQ-E20-02(Rp)"/>
      <sheetName val="Master Edit"/>
      <sheetName val="UR-TEKNIS"/>
      <sheetName val="DIV.1"/>
      <sheetName val="EST"/>
      <sheetName val="anaUTama"/>
      <sheetName val="KURVA_100%"/>
      <sheetName val="SUMMARY"/>
      <sheetName val="analisa struktur"/>
      <sheetName val="REKAP 2008"/>
      <sheetName val="5-ALAT(1)"/>
      <sheetName val="Kuantitas &amp; Harga"/>
      <sheetName val="induk1"/>
      <sheetName val="KOEFISIEN TEKNIS"/>
      <sheetName val="mg7"/>
      <sheetName val="HARIAN OKTOBER"/>
      <sheetName val="4-Basic Price"/>
      <sheetName val="Harsat Pekerjaan"/>
      <sheetName val="DASH"/>
      <sheetName val="MUKAMC"/>
      <sheetName val="HARGA"/>
      <sheetName val="Harga Bahan &amp; Upah "/>
      <sheetName val="Harga Sat Dasar"/>
      <sheetName val="Daf-Bahan"/>
      <sheetName val="urain teknis"/>
      <sheetName val="DATA BASE"/>
      <sheetName val="PERHIT VOLUME"/>
      <sheetName val="UPAH BAHAN"/>
      <sheetName val="RKP RAB"/>
      <sheetName val="HB "/>
      <sheetName val="MPEL"/>
      <sheetName val="Summery_ME1"/>
      <sheetName val="Bill_Item_Ac1"/>
      <sheetName val="Harga_S_Dasar_UNTUK_IDISI"/>
      <sheetName val="Bill_of_Qty"/>
      <sheetName val="H_Satuan1"/>
      <sheetName val="RAB_ME"/>
      <sheetName val="DAFTAR_7"/>
      <sheetName val="SJRH_KENAIKAN"/>
      <sheetName val="HRG_BHN"/>
      <sheetName val="Ans_Kom_Precast"/>
      <sheetName val="UPAH_&amp;_BHN"/>
      <sheetName val="Analisa_&amp;_Upah"/>
      <sheetName val="ANALISA_HARGA_SATUAN"/>
      <sheetName val="Rekap_Direct_Cost"/>
      <sheetName val="Back_Up_Pagar_"/>
      <sheetName val="UPAH_BAHAN_"/>
      <sheetName val="HSP_swk"/>
      <sheetName val="B_-_Norelec1"/>
      <sheetName val="Analisa_rata"/>
      <sheetName val="REKAP_ARSITEKTUR_"/>
      <sheetName val="alt_2_TAMPIL_RAKOR"/>
      <sheetName val="Daf_Harga-Upah"/>
      <sheetName val="PRY_02_(LAPRN-_WK)"/>
      <sheetName val="Harsat_BHN_AR,M"/>
      <sheetName val="Harga_Bahan_&amp;_Upah"/>
      <sheetName val="Harga_Satuan"/>
      <sheetName val="Bahan_"/>
      <sheetName val="Pekerjaan_"/>
      <sheetName val="Analisa_2"/>
      <sheetName val="Ahs_2"/>
      <sheetName val="Ahs_1"/>
      <sheetName val="ANALISA_PEK_UMUM"/>
      <sheetName val="TE_TS_FA_LAN_MATV"/>
      <sheetName val="BOQ_KSN"/>
      <sheetName val="HARGA_MATERIAL"/>
      <sheetName val="KOEFISIEN_TEKNIS"/>
      <sheetName val="HARIAN_OKTOBER"/>
      <sheetName val="Harga_Bahan_&amp;_Upah_"/>
      <sheetName val="Summery_ME2"/>
      <sheetName val="Bill_Item_Ac2"/>
      <sheetName val="Harga_S_Dasar_UNTUK_IDISI1"/>
      <sheetName val="Bill_of_Qty1"/>
      <sheetName val="H_Satuan2"/>
      <sheetName val="RAB_ME1"/>
      <sheetName val="DAFTAR_71"/>
      <sheetName val="SJRH_KENAIKAN1"/>
      <sheetName val="HRG_BHN1"/>
      <sheetName val="Ans_Kom_Precast1"/>
      <sheetName val="UPAH_&amp;_BHN1"/>
      <sheetName val="Analisa_&amp;_Upah1"/>
      <sheetName val="ANALISA_HARGA_SATUAN1"/>
      <sheetName val="Rekap_Direct_Cost1"/>
      <sheetName val="Back_Up_Pagar_1"/>
      <sheetName val="UPAH_BAHAN_1"/>
      <sheetName val="HSP_swk1"/>
      <sheetName val="B_-_Norelec2"/>
      <sheetName val="Analisa_rata1"/>
      <sheetName val="REKAP_ARSITEKTUR_1"/>
      <sheetName val="alt_2_TAMPIL_RAKOR1"/>
      <sheetName val="Daf_Harga-Upah1"/>
      <sheetName val="PRY_02_(LAPRN-_WK)1"/>
      <sheetName val="Harsat_BHN_AR,M1"/>
      <sheetName val="Harga_Bahan_&amp;_Upah1"/>
      <sheetName val="Harga_Satuan1"/>
      <sheetName val="Bahan_1"/>
      <sheetName val="Pekerjaan_1"/>
      <sheetName val="Analisa_21"/>
      <sheetName val="Ahs_21"/>
      <sheetName val="Ahs_11"/>
      <sheetName val="ANALISA_PEK_UMUM1"/>
      <sheetName val="TE_TS_FA_LAN_MATV1"/>
      <sheetName val="BOQ_KSN1"/>
      <sheetName val="HARGA_MATERIAL1"/>
      <sheetName val="KOEFISIEN_TEKNIS1"/>
      <sheetName val="HARIAN_OKTOBER1"/>
      <sheetName val="Harga_Bahan_&amp;_Upah_1"/>
      <sheetName val="Permohonan"/>
      <sheetName val="MON_OH"/>
      <sheetName val="3-DIV2"/>
      <sheetName val="dasar"/>
      <sheetName val="2"/>
      <sheetName val="Ana-ALAT"/>
      <sheetName val="4"/>
      <sheetName val="5-Peralatan"/>
      <sheetName val="Daf-Har-Pening"/>
      <sheetName val="Basic Price"/>
      <sheetName val="18+900 - 19+075 (R)"/>
      <sheetName val="Por"/>
      <sheetName val="Master 1.0"/>
      <sheetName val="Rupiah"/>
      <sheetName val="GE-1-2"/>
      <sheetName val="TSS"/>
      <sheetName val="BREAKER"/>
      <sheetName val="MT_an"/>
      <sheetName val="Sch"/>
      <sheetName val="HSTANAH.XLS"/>
      <sheetName val="ganda"/>
      <sheetName val="Estimate"/>
      <sheetName val="U&amp;B"/>
      <sheetName val="Hrg"/>
      <sheetName val="3-DIV3"/>
      <sheetName val="D4"/>
      <sheetName val="D8"/>
      <sheetName val="Upah&amp;Bhn "/>
      <sheetName val="DAF-9"/>
      <sheetName val="DPRD"/>
      <sheetName val="Anl_Kosen"/>
      <sheetName val="Bhn_Analisa"/>
      <sheetName val="予算票"/>
      <sheetName val="Hrg_Sat"/>
      <sheetName val="AC"/>
      <sheetName val="Bill No 6 Koord &amp; Attendance"/>
      <sheetName val="Analisa Harga"/>
      <sheetName val="Analisa Upah &amp; Bahan Plum"/>
      <sheetName val="ME(LB)"/>
      <sheetName val="B _ Norelec"/>
      <sheetName val="Plint_List"/>
      <sheetName val="Luar"/>
      <sheetName val="Pintu Jendela"/>
      <sheetName val="ANA-TOOLS-KKA (2)"/>
      <sheetName val="MAP"/>
      <sheetName val="div71"/>
      <sheetName val="div7"/>
      <sheetName val="div2"/>
      <sheetName val="div31"/>
      <sheetName val="hargaSatuan"/>
      <sheetName val="TS (A3)"/>
      <sheetName val="Rekap Analisa"/>
      <sheetName val="Upah dan Bahan "/>
      <sheetName val="divII"/>
      <sheetName val="beton"/>
      <sheetName val="Abk (ok!)"/>
      <sheetName val="Analisa.Hourly"/>
      <sheetName val="Rek.Analisa"/>
      <sheetName val="Ur.Agregat"/>
      <sheetName val="Anl-Mobil(14)"/>
      <sheetName val="Anl.Ls(15)"/>
      <sheetName val="Anl-II"/>
      <sheetName val="Anl(7a)"/>
      <sheetName val="Umum"/>
      <sheetName val="HSD (8)"/>
      <sheetName val="Hargamat"/>
      <sheetName val="ahs"/>
      <sheetName val="Mat"/>
      <sheetName val="Master_Edit"/>
      <sheetName val="DIV_1"/>
      <sheetName val="Master_Edit1"/>
      <sheetName val="DIV_11"/>
      <sheetName val="Rate"/>
      <sheetName val="Pricing"/>
      <sheetName val="Pipe"/>
      <sheetName val="Perm. Test"/>
      <sheetName val="Galian 1"/>
      <sheetName val="UPH,BHN,ALT"/>
      <sheetName val="Analis harga"/>
      <sheetName val="RBP-3.1-2"/>
      <sheetName val="Analisa HSP"/>
      <sheetName val="H Satuan Dasar"/>
      <sheetName val="ANALISA-HST"/>
      <sheetName val="PRICE"/>
      <sheetName val="SD (1)"/>
      <sheetName val="kontribusi"/>
      <sheetName val="Manajerial"/>
      <sheetName val="revenue"/>
      <sheetName val="rework"/>
      <sheetName val="MB"/>
      <sheetName val="Volume"/>
      <sheetName val="alat"/>
      <sheetName val="DATA PROYEK"/>
      <sheetName val="BAB_5_13_Anal"/>
      <sheetName val="BAB_5_2_BiaLang"/>
      <sheetName val="An.3"/>
      <sheetName val="An.1"/>
      <sheetName val="An.2"/>
      <sheetName val="UNIT PRICE"/>
      <sheetName val="Cover-3"/>
      <sheetName val="3"/>
      <sheetName val="AnBayarUtama"/>
      <sheetName val="Upah Bahan Alat"/>
      <sheetName val="Jenis Kontrak"/>
      <sheetName val="Output"/>
      <sheetName val="Provinsi"/>
      <sheetName val="Tematik"/>
      <sheetName val="DAFTAR HARGA BAHAN DAN UPAH"/>
      <sheetName val="Bill Of Quantity"/>
      <sheetName val="BasicPrice"/>
      <sheetName val="NP (4)"/>
      <sheetName val="DIV7-BM"/>
      <sheetName val="KBL"/>
      <sheetName val="upah dki"/>
      <sheetName val="Break Down Alat"/>
      <sheetName val="REK.ITEM PUTRA"/>
      <sheetName val="REK.ITEM KELAS"/>
      <sheetName val="RAB ARS,STR PUTRA"/>
      <sheetName val="RAB ARS,STR TRIBUN"/>
      <sheetName val="RAB ME KELAS "/>
      <sheetName val="RAB ME TRIBUN"/>
      <sheetName val="VOL ARST"/>
      <sheetName val="Harsat Pekerjaan Permen"/>
      <sheetName val="AHS-EL3"/>
      <sheetName val="B&amp;U"/>
      <sheetName val="RAB.SEKRETARIAT (1)"/>
      <sheetName val="dayvol WEDI"/>
      <sheetName val="dayvol adibarat"/>
      <sheetName val="ERET"/>
      <sheetName val="HARGA (2)"/>
      <sheetName val="hrg sat1"/>
      <sheetName val="Kolom"/>
      <sheetName val="Tie Beam"/>
      <sheetName val="K 013"/>
      <sheetName val="K 016"/>
      <sheetName val="K 017"/>
      <sheetName val="K 018"/>
      <sheetName val="K 020"/>
      <sheetName val="K 026"/>
      <sheetName val="K 030"/>
      <sheetName val="K 035"/>
      <sheetName val="K 040"/>
      <sheetName val="K 110"/>
      <sheetName val="K 116"/>
      <sheetName val="K 117"/>
      <sheetName val="K 121"/>
      <sheetName val="K 123"/>
      <sheetName val="K 124"/>
      <sheetName val="K 220"/>
      <sheetName val="K 224"/>
      <sheetName val="K 225"/>
      <sheetName val="K 231"/>
      <sheetName val="K 310"/>
      <sheetName val="K 320"/>
      <sheetName val="K 321"/>
      <sheetName val="K 322"/>
      <sheetName val="K 325"/>
      <sheetName val="K 341"/>
      <sheetName val="K 410"/>
      <sheetName val="K 422"/>
      <sheetName val="K 424"/>
      <sheetName val="K 511"/>
      <sheetName val="K 513"/>
      <sheetName val="K 515"/>
      <sheetName val="K 516"/>
      <sheetName val="K 521"/>
      <sheetName val="K 523"/>
      <sheetName val="K 528"/>
      <sheetName val="K 530"/>
      <sheetName val="K 612"/>
      <sheetName val="K 615"/>
      <sheetName val="K 616"/>
      <sheetName val="K 617"/>
      <sheetName val="K 618"/>
      <sheetName val="K 621"/>
      <sheetName val="K 631"/>
      <sheetName val="K 636"/>
      <sheetName val="K 637"/>
      <sheetName val="K 638"/>
      <sheetName val="K 641"/>
      <sheetName val="K 710"/>
      <sheetName val="K 715"/>
      <sheetName val="K 720"/>
      <sheetName val="K 721"/>
      <sheetName val="K 725"/>
      <sheetName val="K 730"/>
      <sheetName val="K 810"/>
      <sheetName val="K 815"/>
      <sheetName val="K 880"/>
      <sheetName val="Har-mat"/>
      <sheetName val="villa"/>
      <sheetName val="PAD_F"/>
      <sheetName val="Vol Admin&amp;Canteen"/>
      <sheetName val="Summery_ME3"/>
      <sheetName val="Bill_Item_Ac3"/>
      <sheetName val="An_Ars"/>
      <sheetName val="bahu-argawastu"/>
      <sheetName val="Daftar Upah n Bahan"/>
      <sheetName val="Cek list"/>
      <sheetName val="Rumus"/>
      <sheetName val="DUB"/>
      <sheetName val="prelim"/>
      <sheetName val="hasat"/>
      <sheetName val="input"/>
      <sheetName val="BID9697"/>
      <sheetName val="Load"/>
      <sheetName val="DATAJUNI"/>
      <sheetName val="기둥(원형)"/>
      <sheetName val="Rutin"/>
      <sheetName val="DATE"/>
      <sheetName val="MOTOR"/>
      <sheetName val="일반공사"/>
      <sheetName val="단가"/>
      <sheetName val="시설물일위"/>
      <sheetName val="Pay Items"/>
      <sheetName val="내역서"/>
      <sheetName val="기구표"/>
      <sheetName val="rekapan"/>
      <sheetName val="정부노임단가"/>
      <sheetName val="SIMPRO(AGST)"/>
      <sheetName val="M+MC"/>
      <sheetName val="C &amp; G RHS"/>
      <sheetName val="D3"/>
      <sheetName val="10.1 (1)"/>
      <sheetName val="10.1 (2)"/>
      <sheetName val="10.1 (3)"/>
      <sheetName val="10.1 (4)"/>
      <sheetName val="10.1 (5)"/>
      <sheetName val="LMW-PEG"/>
      <sheetName val="XL4Poppy"/>
      <sheetName val="SAT.DASAR"/>
      <sheetName val="HS BHN&amp;UPAH"/>
      <sheetName val="2.1"/>
      <sheetName val="TATA UDARA"/>
      <sheetName val="ELEKTRIKAL"/>
      <sheetName val="HSD"/>
      <sheetName val="RAB-SPL2"/>
      <sheetName val="Prioritas"/>
      <sheetName val="Anls Hrg"/>
      <sheetName val="AGG"/>
      <sheetName val="B_6"/>
      <sheetName val="B_7"/>
      <sheetName val="B_8"/>
      <sheetName val="B_9"/>
      <sheetName val="B_10 (4)"/>
      <sheetName val="MT"/>
      <sheetName val="Rigid"/>
      <sheetName val="Peralatan"/>
      <sheetName val="Drainase"/>
      <sheetName val="Div6a"/>
      <sheetName val="L2MO(1)"/>
      <sheetName val="Isian Biodata"/>
      <sheetName val="M1"/>
      <sheetName val="SatDas"/>
      <sheetName val="SAT-DAS"/>
      <sheetName val="NP"/>
      <sheetName val="Harsat Bahan"/>
      <sheetName val="Informasi"/>
      <sheetName val="CekList"/>
      <sheetName val="Sch Tender"/>
      <sheetName val="Quarry-rangas"/>
      <sheetName val="SUMBER"/>
      <sheetName val="Info"/>
      <sheetName val="HrgMat"/>
      <sheetName val="Rkp"/>
      <sheetName val="Analisa-Harga"/>
      <sheetName val="NP7"/>
      <sheetName val="L_10"/>
      <sheetName val="L_11"/>
      <sheetName val="L_13"/>
      <sheetName val="plant"/>
      <sheetName val="LAMP-7"/>
      <sheetName val="LAMP-5"/>
      <sheetName val="L_9"/>
      <sheetName val="RUCIKA&amp;WAVIN"/>
      <sheetName val="isian"/>
      <sheetName val="Analisa K"/>
      <sheetName val="Harga S Dasar"/>
      <sheetName val="UMUR ALAT"/>
      <sheetName val="FAKTOR MODAL CRF"/>
      <sheetName val="1"/>
      <sheetName val="Meto"/>
      <sheetName val="Satuan"/>
      <sheetName val="HSBU ANA"/>
      <sheetName val="D5"/>
      <sheetName val="LISA"/>
      <sheetName val="DATA1"/>
      <sheetName val="ANALISA SOFT"/>
      <sheetName val="REK"/>
      <sheetName val="DRUP (ASLI)"/>
      <sheetName val="Analisa Teknik"/>
      <sheetName val="FORMA2A2"/>
      <sheetName val="FORMB2"/>
      <sheetName val="UPAH PRINT"/>
      <sheetName val="D-1"/>
      <sheetName val="REF.ONLY"/>
      <sheetName val="Balok_1"/>
      <sheetName val="KONFIG"/>
      <sheetName val="GRAND REKAP"/>
      <sheetName val="gvl"/>
      <sheetName val="BQ-Tenis"/>
      <sheetName val="Arsitektur"/>
      <sheetName val="BOQ_Aula"/>
      <sheetName val="REKAP PER BUILDING"/>
      <sheetName val="3-DIV4"/>
      <sheetName val="RAB 2"/>
      <sheetName val="DB"/>
      <sheetName val="Rekap "/>
      <sheetName val="Daf-harga"/>
      <sheetName val="Material-mr"/>
      <sheetName val="uk. - bhn."/>
      <sheetName val="Abutment"/>
      <sheetName val="Har-sat"/>
      <sheetName val="Factor"/>
      <sheetName val="Currency Rate"/>
      <sheetName val="urut"/>
      <sheetName val="master scd(sd.2004)"/>
      <sheetName val="scd material"/>
      <sheetName val="scd personil"/>
      <sheetName val="harian juni"/>
      <sheetName val="m schedule"/>
      <sheetName val="baladewa"/>
      <sheetName val="ANL"/>
      <sheetName val="MINAT"/>
      <sheetName val="PENGU (2)"/>
      <sheetName val="Bahan Upah"/>
      <sheetName val="lamp. 12"/>
      <sheetName val="TIME"/>
      <sheetName val="HARGA SAT"/>
      <sheetName val="U P A H"/>
      <sheetName val="41_9_36_3"/>
      <sheetName val="Analisa BOW 08 NP"/>
      <sheetName val="MU"/>
      <sheetName val="Uph&amp;bhn"/>
      <sheetName val="Anal Alat BID"/>
      <sheetName val="An-Alat"/>
      <sheetName val="MUA"/>
      <sheetName val="TABEL LABOR"/>
      <sheetName val="Construction"/>
      <sheetName val="BILL DPRD RIAU"/>
      <sheetName val="Du_lieu"/>
      <sheetName val="ESCON"/>
      <sheetName val="Paint Type B"/>
      <sheetName val="ELEMENT SUM"/>
      <sheetName val="UBA RAB"/>
      <sheetName val="Harga Satuan Upah &amp; Bahan"/>
      <sheetName val="Daf 1"/>
      <sheetName val="STRUKTUR-1"/>
      <sheetName val="ANALISA-1"/>
      <sheetName val="Harga HSPK"/>
      <sheetName val="hrg-jadi"/>
      <sheetName val="HSPK"/>
      <sheetName val="pek-pipa"/>
      <sheetName val="HARGA OK"/>
      <sheetName val="Harga Upah &amp; Bahan"/>
      <sheetName val="PERSON"/>
      <sheetName val="DivVII"/>
      <sheetName val="DivIV"/>
      <sheetName val="DivV"/>
      <sheetName val="DivVIII"/>
      <sheetName val="DivIII"/>
      <sheetName val="mobilisation"/>
      <sheetName val="rekI"/>
      <sheetName val="pivotscd"/>
      <sheetName val="bhn"/>
      <sheetName val="HARGADASAR"/>
      <sheetName val="Boq-civil(B)"/>
      <sheetName val="dc"/>
      <sheetName val="calculation"/>
      <sheetName val="1. BQ"/>
      <sheetName val="SHEET PIE &amp; MINI PILE"/>
      <sheetName val="Surat2"/>
      <sheetName val="Surat"/>
      <sheetName val="Eval. Arus Kas"/>
      <sheetName val="harsat ars str"/>
      <sheetName val="dasboard"/>
      <sheetName val="DIV.2"/>
      <sheetName val="MATERIAL ANALISA"/>
      <sheetName val="41,9&amp;36,3"/>
      <sheetName val="likuiditas"/>
      <sheetName val="name"/>
      <sheetName val="GKP"/>
      <sheetName val="bau"/>
      <sheetName val="meth hsl nego"/>
      <sheetName val="GAJI"/>
      <sheetName val="Vibro_Roller"/>
      <sheetName val="Data basic price jgan diprint"/>
      <sheetName val="5-ALAT"/>
      <sheetName val="Kar"/>
      <sheetName val="chitimc"/>
      <sheetName val="dongia (2)"/>
      <sheetName val="LKVL-CK-HT-GD1"/>
      <sheetName val="giathanh1"/>
      <sheetName val="Quarry"/>
      <sheetName val="Urai _Resap pengikat"/>
      <sheetName val="STAF"/>
      <sheetName val="UpBahAlat"/>
      <sheetName val="Sat_Bahu"/>
      <sheetName val="Anls"/>
      <sheetName val="data-pendukung"/>
      <sheetName val="ADIYA"/>
      <sheetName val="Rkp B. UP"/>
      <sheetName val="rab-SAPHIR"/>
      <sheetName val="PO-2"/>
      <sheetName val="metode "/>
      <sheetName val="RAB BCS 2"/>
      <sheetName val=" hrg bhn"/>
      <sheetName val="Fill this out first___"/>
      <sheetName val="ana_str"/>
      <sheetName val="harga dasar"/>
      <sheetName val="bill 3.9"/>
      <sheetName val="dataa"/>
      <sheetName val="TENAGA"/>
      <sheetName val="Harga Satuan Bahan"/>
      <sheetName val="Bhn&amp;upah"/>
      <sheetName val="Daft 2.1"/>
      <sheetName val="B.2. Outdoor"/>
      <sheetName val="IPL_SCHEDULE"/>
      <sheetName val="FORM X COST"/>
      <sheetName val="struktur"/>
      <sheetName val="Bill rekap"/>
      <sheetName val="Bill of Qty MEP"/>
      <sheetName val="Analisa STR"/>
      <sheetName val="Unit Rate"/>
      <sheetName val="Penjumlahan"/>
      <sheetName val="Valuation"/>
      <sheetName val="4  PEK. LUAR"/>
      <sheetName val="Door &amp; Window Podium"/>
      <sheetName val="San PD"/>
      <sheetName val="Hardas"/>
      <sheetName val="L2MO"/>
      <sheetName val="Hgsat06"/>
      <sheetName val="UPAH &amp; BAHAN"/>
      <sheetName val="MC0"/>
      <sheetName val="div-7"/>
      <sheetName val="div-3"/>
      <sheetName val="div-5"/>
      <sheetName val="div-2"/>
      <sheetName val="div-8"/>
      <sheetName val="ANALISA-SNI"/>
      <sheetName val="Bill_of_Qty2"/>
      <sheetName val="DAFTAR_72"/>
      <sheetName val="SJRH_KENAIKAN2"/>
      <sheetName val="HRG_BHN2"/>
      <sheetName val="Ans_Kom_Precast2"/>
      <sheetName val="UPAH_&amp;_BHN2"/>
      <sheetName val="RAB_ME2"/>
      <sheetName val="Analisa_&amp;_Upah2"/>
      <sheetName val="ANALISA_HARGA_SATUAN2"/>
      <sheetName val="Rekap_Direct_Cost2"/>
      <sheetName val="Daf_Harga-Upah2"/>
      <sheetName val="HARGA_MATERIAL2"/>
      <sheetName val="BOQ_KSN2"/>
      <sheetName val="Memb_Schd"/>
      <sheetName val="Harga_Bahan"/>
      <sheetName val="alt_2_TAMPIL_RAKOR2"/>
      <sheetName val="PRY_02_(LAPRN-_WK)2"/>
      <sheetName val="Harsat_BHN_AR,M2"/>
      <sheetName val="Harga_Bahan_&amp;_Upah2"/>
      <sheetName val="Harga_Satuan2"/>
      <sheetName val="Bahan_2"/>
      <sheetName val="Pekerjaan_2"/>
      <sheetName val="Analisa_22"/>
      <sheetName val="Ahs_22"/>
      <sheetName val="Ahs_12"/>
      <sheetName val="ANALISA_PEK_UMUM2"/>
      <sheetName val="TE_TS_FA_LAN_MATV2"/>
      <sheetName val="HSTANAH_XLS"/>
      <sheetName val="Upah&amp;Bhn_"/>
      <sheetName val="Galian_1"/>
      <sheetName val="Perm__Test"/>
      <sheetName val="Master_Edit2"/>
      <sheetName val="DIV_12"/>
      <sheetName val="Analis_harga"/>
      <sheetName val="RBP-3_1-2"/>
      <sheetName val="Analisa_HSP"/>
      <sheetName val="H_Satuan_Dasar"/>
      <sheetName val="SD_(1)"/>
      <sheetName val="Basic_Price"/>
      <sheetName val="ONSIDE_MTRL"/>
      <sheetName val="UPAH_DAN_BAHAN"/>
      <sheetName val="Tie_Beam_GN"/>
      <sheetName val="Harsat_Pekerjaan"/>
      <sheetName val="Isolasi_Luar_Dalam"/>
      <sheetName val="Isolasi_Luar"/>
      <sheetName val="Master_1_0"/>
      <sheetName val="DATA_PROYEK"/>
      <sheetName val="An_3"/>
      <sheetName val="An_1"/>
      <sheetName val="An_2"/>
      <sheetName val="UNIT_PRICE"/>
      <sheetName val="4-Basic_Price"/>
      <sheetName val="UPAH_PEKERJA"/>
      <sheetName val="Harsat_Upah"/>
      <sheetName val="Abk_(ok!)"/>
      <sheetName val="REKAP_VOLUME1"/>
      <sheetName val="urain_teknis"/>
      <sheetName val="HB_"/>
      <sheetName val="Kuantitas_&amp;_Harga"/>
      <sheetName val="Upah_Bahan_Alat"/>
      <sheetName val="ANA-TOOLS-KKA_(2)"/>
      <sheetName val="Jenis_Kontrak"/>
      <sheetName val="Rekap_Analisa"/>
      <sheetName val="Upah_dan_Bahan_"/>
      <sheetName val="Bill_No_6_Koord_&amp;_Attendance"/>
      <sheetName val="TATA_UDARA"/>
      <sheetName val="SAT_DASAR"/>
      <sheetName val="HS_BHN&amp;UPAH"/>
      <sheetName val="2_1"/>
      <sheetName val="Anls_Hrg"/>
      <sheetName val="B_10_(4)"/>
      <sheetName val="Isian_Biodata"/>
      <sheetName val="Harsat_Bahan"/>
      <sheetName val="Sch_Tender"/>
      <sheetName val="Pay_Items"/>
      <sheetName val="C_&amp;_G_RHS"/>
      <sheetName val="10_1_(1)"/>
      <sheetName val="10_1_(2)"/>
      <sheetName val="10_1_(3)"/>
      <sheetName val="10_1_(4)"/>
      <sheetName val="10_1_(5)"/>
      <sheetName val="DATA_BASE"/>
      <sheetName val="PERHIT_VOLUME"/>
      <sheetName val="RKP_RAB"/>
      <sheetName val="Analisa_Alat"/>
      <sheetName val="Analisa_Upah_&amp;_Bahan_Plum"/>
      <sheetName val="Analisa_Harga"/>
      <sheetName val="Vol_Admin&amp;Canteen"/>
      <sheetName val="REK_ITEM_PUTRA"/>
      <sheetName val="REK_ITEM_KELAS"/>
      <sheetName val="RAB_ARS,STR_PUTRA"/>
      <sheetName val="RAB_ARS,STR_TRIBUN"/>
      <sheetName val="RAB_ME_KELAS_"/>
      <sheetName val="RAB_ME_TRIBUN"/>
      <sheetName val="VOL_ARST"/>
      <sheetName val="Harsat_Pekerjaan_Permen"/>
      <sheetName val="MATERIAL (2)"/>
      <sheetName val="WP"/>
      <sheetName val="도급양식"/>
      <sheetName val="KPP"/>
      <sheetName val="AMP"/>
      <sheetName val="ANTEK-AGGA"/>
      <sheetName val="BURDA"/>
      <sheetName val="ANTEK-GAL"/>
      <sheetName val="HRS-ATB"/>
      <sheetName val="ANTEK-PRIME"/>
      <sheetName val="ANTEK-TIMB"/>
      <sheetName val="BD-LS"/>
      <sheetName val="BIA-LUMPSUM"/>
      <sheetName val="CRUSER"/>
      <sheetName val="FINAL"/>
      <sheetName val="KEBALAT"/>
      <sheetName val="PRICE (2)"/>
    </sheetNames>
    <sheetDataSet>
      <sheetData sheetId="0" refreshError="1"/>
      <sheetData sheetId="1" refreshError="1"/>
      <sheetData sheetId="2" refreshError="1"/>
      <sheetData sheetId="3" refreshError="1">
        <row r="9">
          <cell r="F9">
            <v>35000</v>
          </cell>
        </row>
        <row r="16">
          <cell r="F16">
            <v>85000</v>
          </cell>
        </row>
        <row r="24">
          <cell r="F24">
            <v>3150</v>
          </cell>
        </row>
        <row r="25">
          <cell r="F25">
            <v>5500</v>
          </cell>
        </row>
        <row r="26">
          <cell r="F26">
            <v>30000</v>
          </cell>
        </row>
        <row r="27">
          <cell r="F27">
            <v>29000</v>
          </cell>
        </row>
        <row r="30">
          <cell r="F30">
            <v>4000</v>
          </cell>
        </row>
        <row r="45">
          <cell r="F45">
            <v>14800</v>
          </cell>
        </row>
        <row r="46">
          <cell r="F46">
            <v>15900</v>
          </cell>
        </row>
        <row r="48">
          <cell r="F48">
            <v>27750</v>
          </cell>
        </row>
        <row r="53">
          <cell r="F53">
            <v>5000</v>
          </cell>
        </row>
        <row r="54">
          <cell r="F54">
            <v>34570</v>
          </cell>
        </row>
        <row r="57">
          <cell r="F57">
            <v>1500</v>
          </cell>
        </row>
        <row r="58">
          <cell r="F58">
            <v>5000</v>
          </cell>
        </row>
        <row r="59">
          <cell r="F59">
            <v>5000</v>
          </cell>
        </row>
      </sheetData>
      <sheetData sheetId="4" refreshError="1">
        <row r="9">
          <cell r="F9">
            <v>35000</v>
          </cell>
        </row>
        <row r="17">
          <cell r="F17">
            <v>30000</v>
          </cell>
        </row>
        <row r="21">
          <cell r="F21">
            <v>27500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refreshError="1"/>
      <sheetData sheetId="38"/>
      <sheetData sheetId="39"/>
      <sheetData sheetId="40">
        <row r="47">
          <cell r="F47">
            <v>0</v>
          </cell>
        </row>
      </sheetData>
      <sheetData sheetId="41" refreshError="1"/>
      <sheetData sheetId="42"/>
      <sheetData sheetId="43"/>
      <sheetData sheetId="44"/>
      <sheetData sheetId="45"/>
      <sheetData sheetId="46">
        <row r="47">
          <cell r="F47">
            <v>0</v>
          </cell>
        </row>
      </sheetData>
      <sheetData sheetId="47">
        <row r="47">
          <cell r="F47">
            <v>0</v>
          </cell>
        </row>
      </sheetData>
      <sheetData sheetId="48">
        <row r="47">
          <cell r="F47">
            <v>0</v>
          </cell>
        </row>
      </sheetData>
      <sheetData sheetId="49"/>
      <sheetData sheetId="50">
        <row r="47">
          <cell r="F47">
            <v>0</v>
          </cell>
        </row>
      </sheetData>
      <sheetData sheetId="51"/>
      <sheetData sheetId="52"/>
      <sheetData sheetId="53"/>
      <sheetData sheetId="54"/>
      <sheetData sheetId="55"/>
      <sheetData sheetId="56"/>
      <sheetData sheetId="57">
        <row r="47">
          <cell r="F47">
            <v>0</v>
          </cell>
        </row>
      </sheetData>
      <sheetData sheetId="58"/>
      <sheetData sheetId="59">
        <row r="47">
          <cell r="F47">
            <v>0</v>
          </cell>
        </row>
      </sheetData>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sheetData sheetId="196" refreshError="1"/>
      <sheetData sheetId="197"/>
      <sheetData sheetId="198"/>
      <sheetData sheetId="199"/>
      <sheetData sheetId="200"/>
      <sheetData sheetId="201"/>
      <sheetData sheetId="202"/>
      <sheetData sheetId="203"/>
      <sheetData sheetId="204"/>
      <sheetData sheetId="205"/>
      <sheetData sheetId="206" refreshError="1"/>
      <sheetData sheetId="207" refreshError="1"/>
      <sheetData sheetId="208" refreshError="1"/>
      <sheetData sheetId="209" refreshError="1"/>
      <sheetData sheetId="210" refreshError="1"/>
      <sheetData sheetId="211"/>
      <sheetData sheetId="212"/>
      <sheetData sheetId="213"/>
      <sheetData sheetId="214">
        <row r="47">
          <cell r="F47">
            <v>0</v>
          </cell>
        </row>
      </sheetData>
      <sheetData sheetId="215"/>
      <sheetData sheetId="216">
        <row r="47">
          <cell r="F47">
            <v>0</v>
          </cell>
        </row>
      </sheetData>
      <sheetData sheetId="217"/>
      <sheetData sheetId="218">
        <row r="47">
          <cell r="F47">
            <v>0</v>
          </cell>
        </row>
      </sheetData>
      <sheetData sheetId="219"/>
      <sheetData sheetId="220">
        <row r="47">
          <cell r="F47">
            <v>0</v>
          </cell>
        </row>
      </sheetData>
      <sheetData sheetId="221"/>
      <sheetData sheetId="222"/>
      <sheetData sheetId="223"/>
      <sheetData sheetId="224"/>
      <sheetData sheetId="225"/>
      <sheetData sheetId="226"/>
      <sheetData sheetId="227"/>
      <sheetData sheetId="228"/>
      <sheetData sheetId="229"/>
      <sheetData sheetId="230"/>
      <sheetData sheetId="231" refreshError="1"/>
      <sheetData sheetId="232"/>
      <sheetData sheetId="233" refreshError="1"/>
      <sheetData sheetId="234"/>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sheetData sheetId="245"/>
      <sheetData sheetId="246"/>
      <sheetData sheetId="247">
        <row r="47">
          <cell r="F47">
            <v>0</v>
          </cell>
        </row>
      </sheetData>
      <sheetData sheetId="248"/>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sheetData sheetId="336">
        <row r="47">
          <cell r="F47">
            <v>0</v>
          </cell>
        </row>
      </sheetData>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ow r="47">
          <cell r="F47">
            <v>0</v>
          </cell>
        </row>
      </sheetData>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ow r="47">
          <cell r="F47">
            <v>0</v>
          </cell>
        </row>
      </sheetData>
      <sheetData sheetId="462"/>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 - COMMON"/>
      <sheetName val="MAT. MS &amp; SW"/>
      <sheetName val="MAT PRIME &amp; RS"/>
      <sheetName val="SM"/>
      <sheetName val="MS"/>
      <sheetName val="common"/>
      <sheetName val="embankment"/>
      <sheetName val="AGG. A-9"/>
      <sheetName val="PRIME"/>
      <sheetName val="TACK"/>
      <sheetName val="SMA-A9"/>
      <sheetName val="AC-BINDER-9"/>
      <sheetName val="k-225 E"/>
      <sheetName val="k-225 F"/>
      <sheetName val="STEEL"/>
      <sheetName val="MAT.  A &amp; B"/>
      <sheetName val="ATB "/>
      <sheetName val="ATB patching"/>
      <sheetName val="BASIC"/>
      <sheetName val="Unit Price"/>
      <sheetName val="sld"/>
      <sheetName val="kerb"/>
      <sheetName val="BOQ"/>
      <sheetName val="UP MINOR"/>
      <sheetName val="4a-Mob"/>
      <sheetName val="4b-Mob "/>
      <sheetName val="6a-Crushing Plant"/>
      <sheetName val="6b-AMP"/>
      <sheetName val="7-MAJOR"/>
      <sheetName val="8-data"/>
      <sheetName val="9-CONS PLANT"/>
      <sheetName val="10-KEY"/>
      <sheetName val="11-SUB"/>
      <sheetName val="12a-FOREIGN"/>
      <sheetName val="12b-FOREIGN "/>
      <sheetName val="13-FOREIGN  "/>
      <sheetName val="1-List of Document"/>
      <sheetName val="pav-block"/>
      <sheetName val="demol-mas"/>
      <sheetName val="demol-buil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22">
          <cell r="C22">
            <v>155250</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
      <sheetName val="Rekap"/>
      <sheetName val="bq"/>
      <sheetName val="Upah, Bahan dan Alat "/>
      <sheetName val="Schdl"/>
      <sheetName val="AHS Lapon Klas A"/>
      <sheetName val="Urai_LPA"/>
      <sheetName val="AHS HRS-WC"/>
      <sheetName val="Urai_Lataston (HRS-WC)"/>
      <sheetName val="AHS HRS-BASE"/>
      <sheetName val="Urai_(HRS-BASE) "/>
      <sheetName val="AHS Ps Batu"/>
      <sheetName val="Urai Pas Batu"/>
      <sheetName val="On Site_Semen"/>
      <sheetName val="On Site_aspal"/>
      <sheetName val="On Site_Batu pecah"/>
      <sheetName val="On Site_Pasir"/>
      <sheetName val="On Site_Agregat B"/>
      <sheetName val="On Site_Besi"/>
      <sheetName val="STAF"/>
      <sheetName val="ALAT"/>
      <sheetName val="SUB KON"/>
      <sheetName val="Komponen"/>
      <sheetName val="Ahs LPB"/>
      <sheetName val="Urai_LPB)"/>
      <sheetName val="Ahs Resap Pengikat"/>
      <sheetName val="Urai _Resap pengikat"/>
      <sheetName val="Ahs Resap Perekat "/>
      <sheetName val="Urai _Lapis Perekat"/>
      <sheetName val="tifico"/>
      <sheetName val="escon"/>
      <sheetName val="boq"/>
      <sheetName val="Sheet9"/>
      <sheetName val="CH"/>
      <sheetName val="Perm. Test"/>
      <sheetName val="EE-PROP"/>
      <sheetName val="Perhit.Alat"/>
      <sheetName val="BasicPrice"/>
      <sheetName val="AnConW"/>
      <sheetName val="AnEarthW"/>
      <sheetName val="AnStoneW"/>
      <sheetName val="Input Data"/>
      <sheetName val="PNT"/>
      <sheetName val="UPAH BAHAN"/>
      <sheetName val="A"/>
      <sheetName val="srt"/>
      <sheetName val="PROTECTION "/>
      <sheetName val="Cash2"/>
      <sheetName val="대비표"/>
      <sheetName val="DAF.HRG"/>
      <sheetName val="INPUT"/>
      <sheetName val="Harga Bahan &amp; Upah"/>
      <sheetName val="Upah&amp;bahan"/>
      <sheetName val="Analisa"/>
      <sheetName val="NP"/>
      <sheetName val="r.tank"/>
      <sheetName val="prelim"/>
      <sheetName val="Koordinat"/>
      <sheetName val="H.Satuan"/>
      <sheetName val="SEX"/>
      <sheetName val="Master 1.0"/>
      <sheetName val="WT-LIST"/>
      <sheetName val="Upah,Bahan,Alat"/>
      <sheetName val="AnPipa&amp;acc"/>
      <sheetName val="anl"/>
      <sheetName val="subkon"/>
      <sheetName val="ANSAT"/>
      <sheetName val="Bahan"/>
      <sheetName val="HRG BHN"/>
      <sheetName val="Z"/>
      <sheetName val="Basic Price"/>
      <sheetName val="Galian 1"/>
      <sheetName val="Cash Flow bulanan"/>
      <sheetName val="Upah "/>
      <sheetName val="hs-str"/>
      <sheetName val="Material"/>
      <sheetName val="upah"/>
      <sheetName val="plumbing"/>
      <sheetName val="Ana. PU"/>
      <sheetName val="koef"/>
      <sheetName val="bahan "/>
      <sheetName val="harga dasar"/>
      <sheetName val="Kuantitas &amp; Harga"/>
      <sheetName val="F1.4"/>
      <sheetName val="B"/>
      <sheetName val="Traffic(2a)"/>
      <sheetName val="Hitung"/>
      <sheetName val="galian saluran"/>
      <sheetName val="Analisa Lump sum"/>
      <sheetName val="Analisa-Harga"/>
      <sheetName val="KS-P"/>
      <sheetName val="Sat~Bahu"/>
      <sheetName val="Agregat Halus &amp; Kasar"/>
      <sheetName val="SCHEDULE"/>
      <sheetName val="PERALATAN"/>
      <sheetName val="BANK"/>
      <sheetName val="basic"/>
      <sheetName val="BAU"/>
      <sheetName val="PERS PENY"/>
      <sheetName val="RAB DC"/>
      <sheetName val="rab"/>
      <sheetName val="rincian"/>
      <sheetName val="Rekapitulasi"/>
      <sheetName val="dasar"/>
      <sheetName val="Agg Halus &amp; Kasar"/>
      <sheetName val="BQ OE"/>
      <sheetName val="Mobilisasi"/>
      <sheetName val="Sheet1"/>
      <sheetName val="MT_an"/>
      <sheetName val="Estimate"/>
      <sheetName val="351BQMCN"/>
      <sheetName val="Konfirm"/>
      <sheetName val="Breakdown"/>
      <sheetName val="schalt"/>
      <sheetName val="schtng"/>
      <sheetName val="schbhn"/>
      <sheetName val="AnalisaSIPIL RIIL"/>
      <sheetName val="4-Basic Price"/>
      <sheetName val="Rek.An"/>
      <sheetName val="anal rinci"/>
      <sheetName val="RAB-2006-Total"/>
      <sheetName val="villa"/>
      <sheetName val="HARSAT"/>
      <sheetName val="EVAL-ANAL"/>
      <sheetName val="MAP"/>
      <sheetName val="div-6"/>
      <sheetName val="RKP"/>
      <sheetName val="div-2"/>
      <sheetName val="MAPP"/>
      <sheetName val="Print"/>
      <sheetName val="Har Sat"/>
      <sheetName val="Div2"/>
      <sheetName val="AC"/>
      <sheetName val="OwnEq"/>
      <sheetName val="LOADDAT"/>
      <sheetName val="NET?"/>
      <sheetName val="BQ?"/>
      <sheetName val="HRG BAHAN &amp; UPAH okk"/>
      <sheetName val="HRG BAHAN _ UPAH okk"/>
      <sheetName val="Analis Kusen okk"/>
      <sheetName val="Master Edit"/>
      <sheetName val="5-Peralatan"/>
      <sheetName val="Rekap Addendum"/>
      <sheetName val="TOWN"/>
      <sheetName val="PRGRM PRGRS"/>
      <sheetName val="Memb Schd"/>
      <sheetName val="Umum"/>
      <sheetName val="Quary"/>
      <sheetName val="Harga Sat Dasar"/>
      <sheetName val="Vibro_Roller"/>
      <sheetName val="AHS"/>
      <sheetName val="SAT-DAS"/>
      <sheetName val="Mob-Demob-Hotmix"/>
      <sheetName val="SAP"/>
      <sheetName val="GRAND REKAP"/>
      <sheetName val="Currency Rate"/>
      <sheetName val="Markup"/>
      <sheetName val="Isolasi Luar"/>
      <sheetName val="DAF-7"/>
      <sheetName val="I-KAMAR"/>
      <sheetName val="Bill rekap"/>
      <sheetName val="rumus"/>
      <sheetName val="rap rinci"/>
      <sheetName val="DIV.1"/>
      <sheetName val="Analisa 2"/>
      <sheetName val="analis standar(8m)"/>
      <sheetName val="TB"/>
      <sheetName val="Spec ME"/>
      <sheetName val="21"/>
      <sheetName val="rab_analisa"/>
      <sheetName val="BHN.DSR"/>
      <sheetName val="PERALATAN PROYEK GOL III A"/>
      <sheetName val="CH-RANC"/>
      <sheetName val="Pricing"/>
      <sheetName val="brd2"/>
      <sheetName val="pivot"/>
      <sheetName val="Rate"/>
      <sheetName val="Bill.1.VAC-Supply-A"/>
      <sheetName val="概総括1"/>
      <sheetName val="TPI"/>
      <sheetName val="Jadwal"/>
      <sheetName val="Volume"/>
      <sheetName val="ALS-TANAH &amp;URG"/>
      <sheetName val="Kolom"/>
      <sheetName val="NET_"/>
      <sheetName val="BQ_"/>
      <sheetName val="HB "/>
      <sheetName val="HSBU ANA"/>
      <sheetName val="HIT VOL BAJA"/>
      <sheetName val="TIE-INS"/>
      <sheetName val="HARGA MATERIAL"/>
      <sheetName val="anal"/>
      <sheetName val="analisa_ars"/>
      <sheetName val="PRICE"/>
      <sheetName val="Perhitungan RAB"/>
      <sheetName val="TE TS FA LAN MATV"/>
      <sheetName val="Mon Bahan"/>
      <sheetName val="SPH Tarikolot rev"/>
      <sheetName val="I_KAMAR"/>
      <sheetName val="SITE-E"/>
      <sheetName val="ALAT1"/>
      <sheetName val="daf harga (reil)"/>
      <sheetName val="ANALISA-HST"/>
      <sheetName val="divII"/>
      <sheetName val="upah-prod"/>
      <sheetName val="61006"/>
      <sheetName val="61007"/>
      <sheetName val="61008"/>
      <sheetName val="UPH,BHN,ALT"/>
      <sheetName val="BAG-III"/>
      <sheetName val="HS"/>
      <sheetName val="04"/>
      <sheetName val="07"/>
      <sheetName val="08"/>
      <sheetName val="HSD"/>
      <sheetName val="05"/>
      <sheetName val="06"/>
      <sheetName val="Bekisting"/>
      <sheetName val="Data"/>
      <sheetName val="UP_an"/>
      <sheetName val="Pintu Air"/>
      <sheetName val="BARU-3"/>
      <sheetName val="Anal-1"/>
      <sheetName val="DATA-ALAT"/>
      <sheetName val="Resources"/>
      <sheetName val="Connections"/>
      <sheetName val="DWTables"/>
      <sheetName val="name"/>
      <sheetName val="gvl"/>
      <sheetName val="COST-SUM"/>
      <sheetName val="LISTRIK"/>
      <sheetName val="F1c DATA ADM6"/>
      <sheetName val="Rencana Anggaran Biaya"/>
      <sheetName val="Harga Satuan"/>
      <sheetName val="Analysis"/>
      <sheetName val="PASOK"/>
      <sheetName val="BIALANG"/>
      <sheetName val="jadual material"/>
      <sheetName val="HARDAS-MAT"/>
      <sheetName val="Rekap Biaya"/>
      <sheetName val="harga dasar T-M-A"/>
      <sheetName val="JAD-PEL"/>
      <sheetName val="K.TambahAC"/>
      <sheetName val="FH"/>
      <sheetName val="K.TambahFH"/>
      <sheetName val="Pipe"/>
      <sheetName val="valve"/>
      <sheetName val="valve 16k"/>
      <sheetName val="ASS-PL"/>
      <sheetName val="Fitting"/>
      <sheetName val="Ana duct"/>
      <sheetName val="Hsd Duct"/>
      <sheetName val="Grille"/>
      <sheetName val="DM"/>
      <sheetName val="uraian analisa"/>
      <sheetName val="Kegiatan"/>
      <sheetName val="HARGA BAHAN"/>
      <sheetName val="BACK"/>
      <sheetName val="sheet3"/>
      <sheetName val="Huruf"/>
      <sheetName val="PT."/>
      <sheetName val="HARDAS"/>
      <sheetName val="HSP"/>
      <sheetName val="Analisa Upah &amp; Bahan Plum"/>
      <sheetName val="HARGA PIPA"/>
      <sheetName val="Elektrikal"/>
      <sheetName val="Analisa Harga Satuan"/>
      <sheetName val="kalibrasi-Tank"/>
    </sheetNames>
    <sheetDataSet>
      <sheetData sheetId="0">
        <row r="12">
          <cell r="G12" t="str">
            <v>L</v>
          </cell>
        </row>
      </sheetData>
      <sheetData sheetId="1">
        <row r="12">
          <cell r="G12" t="str">
            <v>L</v>
          </cell>
        </row>
      </sheetData>
      <sheetData sheetId="2">
        <row r="12">
          <cell r="G12" t="str">
            <v>L</v>
          </cell>
        </row>
      </sheetData>
      <sheetData sheetId="3">
        <row r="12">
          <cell r="G12" t="str">
            <v>L</v>
          </cell>
        </row>
      </sheetData>
      <sheetData sheetId="4">
        <row r="12">
          <cell r="G12" t="str">
            <v>L</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12">
          <cell r="G12" t="str">
            <v>L</v>
          </cell>
        </row>
      </sheetData>
      <sheetData sheetId="23">
        <row r="12">
          <cell r="G12" t="str">
            <v>L</v>
          </cell>
        </row>
      </sheetData>
      <sheetData sheetId="24">
        <row r="12">
          <cell r="G12" t="str">
            <v>L</v>
          </cell>
        </row>
      </sheetData>
      <sheetData sheetId="25">
        <row r="12">
          <cell r="G12" t="str">
            <v>L</v>
          </cell>
        </row>
      </sheetData>
      <sheetData sheetId="26" refreshError="1">
        <row r="12">
          <cell r="G12" t="str">
            <v>L</v>
          </cell>
        </row>
        <row r="13">
          <cell r="G13" t="str">
            <v>Tk</v>
          </cell>
        </row>
        <row r="14">
          <cell r="G14" t="str">
            <v>Fh</v>
          </cell>
        </row>
        <row r="15">
          <cell r="G15" t="str">
            <v>Fh</v>
          </cell>
        </row>
        <row r="16">
          <cell r="G16" t="str">
            <v>As</v>
          </cell>
        </row>
        <row r="17">
          <cell r="G17" t="str">
            <v>K</v>
          </cell>
        </row>
        <row r="18">
          <cell r="G18" t="str">
            <v>K</v>
          </cell>
        </row>
        <row r="19">
          <cell r="G19" t="str">
            <v>D1</v>
          </cell>
        </row>
        <row r="20">
          <cell r="G20" t="str">
            <v>D2</v>
          </cell>
        </row>
      </sheetData>
      <sheetData sheetId="27">
        <row r="12">
          <cell r="G12" t="str">
            <v>L</v>
          </cell>
        </row>
      </sheetData>
      <sheetData sheetId="28">
        <row r="12">
          <cell r="G12" t="str">
            <v>L</v>
          </cell>
        </row>
      </sheetData>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KAMAR"/>
      <sheetName val="Coll-KAMAR"/>
      <sheetName val="II.MAIN-LOB"/>
      <sheetName val="III.FASADE"/>
      <sheetName val="IV. POOL DECK"/>
      <sheetName val="V.BALLROOM"/>
      <sheetName val="VI.CANOPY"/>
      <sheetName val="VII.CAR &amp; LIFT"/>
      <sheetName val="IX.ATRIUM"/>
      <sheetName val="X.LANDSCAPE"/>
      <sheetName val="Cover"/>
      <sheetName val="Summary "/>
      <sheetName val="Cover-OP"/>
      <sheetName val="Summary-op"/>
      <sheetName val="Rb"/>
      <sheetName val="I_KAMAR"/>
      <sheetName val="BOQ"/>
      <sheetName val="CH"/>
      <sheetName val="HSD"/>
      <sheetName val="Kar"/>
      <sheetName val="REK"/>
      <sheetName val="SEX"/>
      <sheetName val="escon"/>
      <sheetName val="BQ Gdg 7&amp;8"/>
      <sheetName val="BQ Gdg 5&amp;6"/>
      <sheetName val="Penjumlahan"/>
      <sheetName val="인원계획"/>
      <sheetName val="Analisa"/>
      <sheetName val="Cash Flow bulanan"/>
      <sheetName val="Listrik"/>
      <sheetName val="D7(1)"/>
      <sheetName val="5-ALAT(1)"/>
      <sheetName val="4-Basic Price"/>
      <sheetName val="Rekap"/>
      <sheetName val="Bill rekap"/>
      <sheetName val="STR _A_"/>
      <sheetName val="r.tank"/>
      <sheetName val="prelim"/>
      <sheetName val="II_MAIN-LOB"/>
      <sheetName val="III_FASADE"/>
      <sheetName val="IV__POOL_DECK"/>
      <sheetName val="V_BALLROOM"/>
      <sheetName val="VI_CANOPY"/>
      <sheetName val="VII_CAR_&amp;_LIFT"/>
      <sheetName val="IX_ATRIUM"/>
      <sheetName val="X_LANDSCAPE"/>
      <sheetName val="Summary_"/>
      <sheetName val="PLB-Basement 2.8.2-R1"/>
      <sheetName val="Resume"/>
      <sheetName val="anal"/>
      <sheetName val="Kuantitas &amp; Harga"/>
      <sheetName val="Cover Daf-2"/>
      <sheetName val="Kode Bahan"/>
      <sheetName val="Basic Price"/>
      <sheetName val="D_6"/>
      <sheetName val="D_7"/>
      <sheetName val="PROTECTION "/>
      <sheetName val="HARGA DASAR"/>
      <sheetName val="ALAT"/>
      <sheetName val="DIV.8"/>
      <sheetName val="DIV.9"/>
      <sheetName val="LBK"/>
      <sheetName val="EST-1CV"/>
      <sheetName val="3.a LBK"/>
      <sheetName val="Sheet1"/>
      <sheetName val="Bill.1.VAC-Supply-A"/>
      <sheetName val="BAG_2"/>
      <sheetName val="struktur tdk dipakai"/>
      <sheetName val="Harga Satuan"/>
      <sheetName val="ARS "/>
      <sheetName val="BOQ-Indonesia"/>
      <sheetName val="TOTAL"/>
      <sheetName val="3"/>
      <sheetName val="ubah"/>
      <sheetName val="harsat"/>
      <sheetName val="RAB Pintu Gerbang&amp;Ticket"/>
      <sheetName val="Bahan "/>
      <sheetName val="Upah"/>
      <sheetName val="Pekerjaan "/>
      <sheetName val="PLB-Basement_2_8_2-R1"/>
      <sheetName val="Kuantitas_&amp;_Harga"/>
      <sheetName val="HARGA_DASAR"/>
      <sheetName val="DIV_8"/>
      <sheetName val="DIV_9"/>
      <sheetName val="AHS"/>
      <sheetName val="Concrete"/>
      <sheetName val="BANGUNAN PENUNJANG"/>
      <sheetName val="daffin"/>
      <sheetName val="STR"/>
      <sheetName val="Bill of Qty"/>
      <sheetName val="luar"/>
      <sheetName val="RINC hotel"/>
      <sheetName val="RINC FIN T4 "/>
      <sheetName val="RINC FIN T4  _3_"/>
      <sheetName val="RINC FIN T4  _2_"/>
      <sheetName val="Material"/>
      <sheetName val="304_06"/>
      <sheetName val="D3.1"/>
      <sheetName val="GTS I PS"/>
      <sheetName val="PPC"/>
      <sheetName val="chitimc"/>
      <sheetName val="THPDMoi  (2)"/>
      <sheetName val="dongia (2)"/>
      <sheetName val="gtrinh"/>
      <sheetName val="phuluc1"/>
      <sheetName val="TONG HOP VL-NC"/>
      <sheetName val="lam-moi"/>
      <sheetName val="chitiet"/>
      <sheetName val="TONGKE3p "/>
      <sheetName val="giathanh1"/>
      <sheetName val="TH VL, NC, DDHT Thanhphuoc"/>
      <sheetName val="#REF"/>
      <sheetName val="DONGIA"/>
      <sheetName val="thao-go"/>
      <sheetName val="DON GIA"/>
      <sheetName val="TONGKE-HT"/>
      <sheetName val="DG"/>
      <sheetName val="dtxl"/>
      <sheetName val="LKVL-CK-HT-GD1"/>
      <sheetName val="t-h HA THE"/>
      <sheetName val="CHITIET VL-NC-TT -1p"/>
      <sheetName val="TONG HOP VL-NC TT"/>
      <sheetName val="TNHCHINH"/>
      <sheetName val="TH XL"/>
      <sheetName val="CHITIET VL-NC"/>
      <sheetName val="VC"/>
      <sheetName val="Tiepdia"/>
      <sheetName val="CHITIET VL-NC-TT-3p"/>
      <sheetName val="TDTKP"/>
      <sheetName val="TDTKP1"/>
      <sheetName val="KPVC-BD "/>
      <sheetName val="VCV-BE-TONG"/>
      <sheetName val="Summary"/>
      <sheetName val="3.1"/>
      <sheetName val="3.2"/>
      <sheetName val="3.3"/>
      <sheetName val="3.4"/>
      <sheetName val="Sum"/>
      <sheetName val="B4-TC "/>
      <sheetName val="FinSum"/>
      <sheetName val="Instalasi"/>
      <sheetName val="Instalasi EAP"/>
      <sheetName val="Round Duct IMP"/>
      <sheetName val="Air Reg"/>
      <sheetName val="Cable power"/>
      <sheetName val="Pasang AC Split "/>
      <sheetName val="Panel Intimuara 22 Sept 10"/>
      <sheetName val="Plat"/>
      <sheetName val="SUM 200"/>
      <sheetName val="SUB ME"/>
      <sheetName val="mechanical asrama"/>
      <sheetName val="electrical asrama"/>
      <sheetName val="ME. Kelas"/>
      <sheetName val="umum"/>
      <sheetName val="analisa alat"/>
      <sheetName val="bahan"/>
      <sheetName val="SUB LAIN2"/>
      <sheetName val="SUB KUSEN"/>
      <sheetName val="analisa pekerjaan"/>
      <sheetName val="ars asrama "/>
      <sheetName val="str asrama"/>
      <sheetName val="ars kelas"/>
      <sheetName val="str kelas"/>
      <sheetName val="REKAP MERAH"/>
      <sheetName val="D3_1"/>
      <sheetName val="GTS_I_PS"/>
      <sheetName val="CBD"/>
      <sheetName val="fas"/>
      <sheetName val="typ 10_25"/>
      <sheetName val="ph26"/>
      <sheetName val="ph27"/>
      <sheetName val="kor_un"/>
      <sheetName val="kor"/>
      <sheetName val="I. Prelim"/>
      <sheetName val="daftar harsat"/>
      <sheetName val="G_SUMMARY"/>
      <sheetName val="VAC-1"/>
      <sheetName val="Statprod gab"/>
      <sheetName val="daily (12)"/>
      <sheetName val="THPDMoi__(2)"/>
      <sheetName val="dongia_(2)"/>
      <sheetName val="TONG_HOP_VL-NC"/>
      <sheetName val="TONGKE3p_"/>
      <sheetName val="TH_VL,_NC,_DDHT_Thanhphuoc"/>
      <sheetName val="DON_GIA"/>
      <sheetName val="t-h_HA_THE"/>
      <sheetName val="CHITIET_VL-NC-TT_-1p"/>
      <sheetName val="TONG_HOP_VL-NC_TT"/>
      <sheetName val="TH_XL"/>
      <sheetName val="CHITIET_VL-NC"/>
      <sheetName val="CHITIET_VL-NC-TT-3p"/>
      <sheetName val="KPVC-BD_"/>
      <sheetName val="Bill_1_VAC-Supply-A"/>
      <sheetName val="3_1"/>
      <sheetName val="3_2"/>
      <sheetName val="3_3"/>
      <sheetName val="3_4"/>
      <sheetName val="B4-TC_"/>
      <sheetName val="Instalasi_EAP"/>
      <sheetName val="Round_Duct_IMP"/>
      <sheetName val="Air_Reg"/>
      <sheetName val="Cable_power"/>
      <sheetName val="Pasang_AC_Split_"/>
      <sheetName val="Panel_Intimuara_22_Sept_10"/>
      <sheetName val="SUM_200"/>
      <sheetName val="jobhist"/>
      <sheetName val="Hrg.Sat"/>
      <sheetName val="main summary"/>
      <sheetName val="Pek.Luar"/>
      <sheetName val="Urai _Resap pengikat"/>
      <sheetName val="Jad"/>
      <sheetName val="TE TS FA LAN MATV"/>
      <sheetName val="telp"/>
      <sheetName val="AHAS1"/>
      <sheetName val="DAF-1"/>
      <sheetName val="Pipe"/>
      <sheetName val="Schedule"/>
      <sheetName val="수입"/>
      <sheetName val="Bill_1_VAC_Supply_A"/>
      <sheetName val="PROGRESS"/>
      <sheetName val="HSP"/>
      <sheetName val="HB "/>
      <sheetName val="Bag_9"/>
      <sheetName val="Evaluasi"/>
      <sheetName val="5.1-5.4(1)-5.4(2)"/>
      <sheetName val="BAG-2"/>
      <sheetName val="A"/>
      <sheetName val="4"/>
      <sheetName val="iTEM hARSAT"/>
      <sheetName val="Elektrikal"/>
      <sheetName val="DETAIL LT11-13"/>
      <sheetName val="Coll_KAMAR"/>
      <sheetName val="bill 3.9"/>
      <sheetName val="Harga ME "/>
      <sheetName val="REKAP TOTAL (1)"/>
      <sheetName val="harga"/>
      <sheetName val="PL"/>
      <sheetName val="PK"/>
      <sheetName val="BQ ARS"/>
      <sheetName val="Fill this out first___"/>
      <sheetName val="Fire Fighting"/>
      <sheetName val="Plumbing"/>
      <sheetName val="DAF-4"/>
      <sheetName val="harga bahan"/>
      <sheetName val="ahs_utama"/>
      <sheetName val="FISIK"/>
      <sheetName val="Kolom UT"/>
      <sheetName val="RAB-NEGO"/>
      <sheetName val="DAF_2"/>
      <sheetName val="Pembongkaran"/>
      <sheetName val="OHD"/>
      <sheetName val="Vibro_Roller"/>
      <sheetName val="schtng"/>
      <sheetName val="schbhn"/>
      <sheetName val="schalt"/>
      <sheetName val="概総括1"/>
      <sheetName val="cargo"/>
      <sheetName val="ALL"/>
      <sheetName val="II_MAIN-LOB1"/>
      <sheetName val="III_FASADE1"/>
      <sheetName val="IV__POOL_DECK1"/>
      <sheetName val="V_BALLROOM1"/>
      <sheetName val="VI_CANOPY1"/>
      <sheetName val="VII_CAR_&amp;_LIFT1"/>
      <sheetName val="IX_ATRIUM1"/>
      <sheetName val="X_LANDSCAPE1"/>
      <sheetName val="Summary_1"/>
      <sheetName val="GTS_I_PS1"/>
      <sheetName val="D3_11"/>
      <sheetName val="typ_10_25"/>
      <sheetName val="I__Prelim"/>
      <sheetName val="UPAH BAHAN"/>
      <sheetName val="harga "/>
      <sheetName val="bahan-mos"/>
      <sheetName val="Har-mat"/>
      <sheetName val="Analisa &amp; Upah"/>
      <sheetName val="Analisa _ Upah"/>
      <sheetName val="Analisa Harga"/>
      <sheetName val="hst  LAMP_1 _2_"/>
      <sheetName val="Daf 1"/>
      <sheetName val="NET?"/>
      <sheetName val="BQ?"/>
      <sheetName val="Analisa ARS"/>
      <sheetName val="ASPAL"/>
      <sheetName val="STRUKTUR"/>
      <sheetName val="HARGA ALAT"/>
      <sheetName val="BASIC"/>
      <sheetName val="SPK"/>
      <sheetName val="TU"/>
      <sheetName val="GRAFIK "/>
      <sheetName val="JATWAL TENAGA"/>
      <sheetName val="RAB"/>
      <sheetName val="Asrama Lt.1"/>
      <sheetName val="Har_mat"/>
      <sheetName val="RAB 1"/>
      <sheetName val="WT-LIST"/>
      <sheetName val="H.Satuan"/>
      <sheetName val="SITE-E"/>
      <sheetName val="LOADDAT"/>
      <sheetName val="PANEL"/>
      <sheetName val="KURVA S"/>
      <sheetName val="SNI FIX"/>
      <sheetName val="Analisa Harga Satuan"/>
      <sheetName val="Basic P"/>
      <sheetName val="AC"/>
      <sheetName val="Rekapitulasi"/>
      <sheetName val="hs-st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1"/>
      <sheetName val="2.2"/>
      <sheetName val="2.3"/>
      <sheetName val="2.4"/>
    </sheetNames>
    <sheetDataSet>
      <sheetData sheetId="0"/>
      <sheetData sheetId="1"/>
      <sheetData sheetId="2"/>
      <sheetData sheetId="3"/>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1"/>
      <sheetName val="2.2"/>
      <sheetName val="2.3"/>
      <sheetName val="2.4"/>
    </sheetNames>
    <sheetDataSet>
      <sheetData sheetId="0"/>
      <sheetData sheetId="1"/>
      <sheetData sheetId="2"/>
      <sheetData sheetId="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hboard"/>
      <sheetName val="R.Tamb"/>
      <sheetName val="R.Tot"/>
      <sheetName val="prelim"/>
      <sheetName val="R.office"/>
      <sheetName val="Add office"/>
      <sheetName val="office"/>
      <sheetName val="R.refi"/>
      <sheetName val="refinery"/>
      <sheetName val="R.utility"/>
      <sheetName val="utility"/>
      <sheetName val="R.bleching"/>
      <sheetName val="Add bleching"/>
      <sheetName val="bleching"/>
      <sheetName val="R.Canteen"/>
      <sheetName val="Add Canteen"/>
      <sheetName val="Canteen"/>
      <sheetName val="R.truck"/>
      <sheetName val="truck"/>
      <sheetName val="R.oil"/>
      <sheetName val="oil"/>
      <sheetName val="R.toilet"/>
      <sheetName val="Add Toilet"/>
      <sheetName val="toilet"/>
      <sheetName val="R.mesjid"/>
      <sheetName val="Add Mesjid"/>
      <sheetName val="mesjid"/>
      <sheetName val="R.custom"/>
      <sheetName val="Add Custom"/>
      <sheetName val="custom"/>
      <sheetName val="R.guard"/>
      <sheetName val="Add Guard"/>
      <sheetName val="guard"/>
      <sheetName val="R.bridge"/>
      <sheetName val="Add bridge"/>
      <sheetName val="bridge"/>
      <sheetName val="r.tank"/>
      <sheetName val="tank"/>
      <sheetName val="r.cool"/>
      <sheetName val="cool"/>
      <sheetName val="r.pipe"/>
      <sheetName val="pipe"/>
      <sheetName val="R.Drive"/>
      <sheetName val="Drive"/>
      <sheetName val="Analisa"/>
      <sheetName val="Hargamat"/>
      <sheetName val="Unit Rate"/>
      <sheetName val="Ana Sanitair"/>
      <sheetName val="r_tank"/>
      <sheetName val="I-KAMAR"/>
      <sheetName val="I_KAMAR"/>
      <sheetName val="escon"/>
      <sheetName val="SAP"/>
      <sheetName val="SITE-E"/>
      <sheetName val="Harga ME "/>
      <sheetName val="BAG_III"/>
      <sheetName val="D &amp; W sizes"/>
      <sheetName val="rab"/>
      <sheetName val="Urai _Resap pengikat"/>
      <sheetName val="COVER"/>
      <sheetName val="Ch"/>
      <sheetName val="boq"/>
      <sheetName val="AHS"/>
      <sheetName val="habis"/>
      <sheetName val="a.2"/>
      <sheetName val="BAG-III"/>
      <sheetName val="Harga Material"/>
      <sheetName val="meth hsl nego"/>
      <sheetName val="HRG BHN"/>
      <sheetName val="Sat Bah &amp; U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CLAIMER"/>
      <sheetName val="MAJOR"/>
      <sheetName val="%"/>
      <sheetName val="Rekap"/>
      <sheetName val="Informasi"/>
      <sheetName val="Peta Quarry"/>
      <sheetName val="Mobilisasi"/>
      <sheetName val="Perhitungan Mobilisasi Alat"/>
      <sheetName val="Lalu Lintas"/>
      <sheetName val="Jembatan Sementara"/>
      <sheetName val="BOQ"/>
      <sheetName val="D2"/>
      <sheetName val="D3"/>
      <sheetName val="D4"/>
      <sheetName val="D5"/>
      <sheetName val="D6"/>
      <sheetName val="D6 ASBT"/>
      <sheetName val="D7(1)"/>
      <sheetName val="D7(2)"/>
      <sheetName val="D7(3)"/>
      <sheetName val="D8(1)"/>
      <sheetName val="D8(2)"/>
      <sheetName val="D9"/>
      <sheetName val="D10 LS-Rutin"/>
      <sheetName val="D10 Kuantitas"/>
      <sheetName val="D10 Analisa HSP"/>
      <sheetName val="4-Basic Price"/>
      <sheetName val="4-Analisa Quarry"/>
      <sheetName val="4-formulir harga bahan"/>
      <sheetName val="5-ALAT(1)"/>
      <sheetName val="5-ALAT (2)"/>
      <sheetName val="Agg Halus &amp; Kasar"/>
      <sheetName val="Agg A"/>
      <sheetName val="Agg B"/>
      <sheetName val="Agg 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m"/>
      <sheetName val="Du_lieu"/>
      <sheetName val="KH-Q1,Q2,01"/>
      <sheetName val="TONGKE3p "/>
      <sheetName val="TDTKP"/>
      <sheetName val="DON GIA"/>
      <sheetName val="TONG HOP VL-NC"/>
      <sheetName val="TNHCHINH"/>
      <sheetName val="CHITIET VL-NC-TT -1p"/>
      <sheetName val="TDTKP1"/>
      <sheetName val="phuluc1"/>
      <sheetName val="TONG HOP VL-NC TT"/>
      <sheetName val="KPVC-BD "/>
      <sheetName val="#REF"/>
      <sheetName val="gvl"/>
      <sheetName val="Tiepdia"/>
      <sheetName val="CHITIET VL-NC-TT-3p"/>
      <sheetName val="VCV-BE-TONG"/>
      <sheetName val="chitiet"/>
      <sheetName val="VC"/>
      <sheetName val="CHITIET VL-NC"/>
      <sheetName val="THPDMoi  (2)"/>
      <sheetName val="t-h HA THE"/>
      <sheetName val="giathanh1"/>
      <sheetName val="TONGKE-HT"/>
      <sheetName val="LKVL-CK-HT-GD1"/>
      <sheetName val="TH VL, NC, DDHT Thanhphuoc"/>
      <sheetName val="dongia (2)"/>
      <sheetName val="DG"/>
      <sheetName val="DONGIA"/>
      <sheetName val="chitimc"/>
      <sheetName val="dtxl"/>
      <sheetName val="gtrinh"/>
      <sheetName val="lam-moi"/>
      <sheetName val="TH XL"/>
      <sheetName val="thao-go"/>
      <sheetName val="BAOGIATHANG"/>
      <sheetName val="vanchuyen TC"/>
      <sheetName val="DAODAT"/>
      <sheetName val="dongiaXD"/>
      <sheetName val="TONG HOP VL_NC"/>
      <sheetName val="CHITIET VL_NC_TT _1p"/>
      <sheetName val="TONG HOP VL_NC TT"/>
      <sheetName val="KPVC_BD "/>
      <sheetName val="_REF"/>
      <sheetName val="CHITIET VL_NC_TT_3p"/>
      <sheetName val="VCV_BE_TONG"/>
      <sheetName val="CHITIET VL_NC"/>
      <sheetName val="THPDMoi  _2_"/>
      <sheetName val="t_h HA THE"/>
      <sheetName val="TONGKE_HT"/>
      <sheetName val="LKVL_CK_HT_GD1"/>
      <sheetName val="TH VL_ NC_ DDHT Thanhphuoc"/>
      <sheetName val="dongia _2_"/>
      <sheetName val="lam_moi"/>
      <sheetName val="thao_go"/>
      <sheetName val="analisa Str"/>
      <sheetName val="Urai _Resap pengikat"/>
      <sheetName val="STAF"/>
      <sheetName val="Harga Satuan Bahan"/>
      <sheetName val="Daftar Harga Pekerjaan"/>
      <sheetName val="Upah Tenaga Kerja"/>
      <sheetName val="Analisa"/>
      <sheetName val="Asrama L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E"/>
      <sheetName val="ANALISA"/>
      <sheetName val="HS"/>
      <sheetName val="uraianaspal"/>
      <sheetName val="uraianII_VIII"/>
      <sheetName val="uraianIX"/>
      <sheetName val="UraianX"/>
      <sheetName val="Upah"/>
      <sheetName val="bahan"/>
      <sheetName val="alat"/>
      <sheetName val="kaputama"/>
      <sheetName val="PRODBAHAN"/>
      <sheetName val="quarry"/>
      <sheetName val="satbahan"/>
      <sheetName val="Sheet2"/>
      <sheetName val="satalat"/>
      <sheetName val="pldt"/>
    </sheetNames>
    <sheetDataSet>
      <sheetData sheetId="0"/>
      <sheetData sheetId="1"/>
      <sheetData sheetId="2"/>
      <sheetData sheetId="3"/>
      <sheetData sheetId="4"/>
      <sheetData sheetId="5"/>
      <sheetData sheetId="6"/>
      <sheetData sheetId="7" refreshError="1"/>
      <sheetData sheetId="8"/>
      <sheetData sheetId="9" refreshError="1">
        <row r="16">
          <cell r="J16">
            <v>45000</v>
          </cell>
        </row>
        <row r="17">
          <cell r="J17">
            <v>71600</v>
          </cell>
        </row>
        <row r="18">
          <cell r="J18">
            <v>125800</v>
          </cell>
        </row>
        <row r="23">
          <cell r="J23">
            <v>76800</v>
          </cell>
        </row>
      </sheetData>
      <sheetData sheetId="10"/>
      <sheetData sheetId="11"/>
      <sheetData sheetId="12"/>
      <sheetData sheetId="13"/>
      <sheetData sheetId="14"/>
      <sheetData sheetId="15"/>
      <sheetData sheetId="16"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dwal (2)"/>
      <sheetName val="alat (2)"/>
      <sheetName val="upah (2)"/>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umum"/>
      <sheetName val="mobilisation"/>
      <sheetName val="meto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50">
          <cell r="G50">
            <v>303732.16499999998</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ga Satuan Bahan"/>
      <sheetName val="Upah Tenaga Kerja"/>
      <sheetName val="Harga Satuan Bahan (2)"/>
      <sheetName val="Upah Tenaga Kerja (2)"/>
      <sheetName val="Analisa Harga"/>
      <sheetName val="Daftar Harga Pekerjaan"/>
      <sheetName val="RAB"/>
      <sheetName val="Rekapitulasi Harga"/>
    </sheetNames>
    <sheetDataSet>
      <sheetData sheetId="0" refreshError="1">
        <row r="11">
          <cell r="E11">
            <v>70000</v>
          </cell>
        </row>
        <row r="15">
          <cell r="E15">
            <v>95000</v>
          </cell>
        </row>
        <row r="25">
          <cell r="E25">
            <v>8000</v>
          </cell>
        </row>
        <row r="29">
          <cell r="E29">
            <v>3600</v>
          </cell>
        </row>
        <row r="37">
          <cell r="E37">
            <v>2240</v>
          </cell>
        </row>
        <row r="47">
          <cell r="E47">
            <v>1750000</v>
          </cell>
        </row>
        <row r="48">
          <cell r="E48">
            <v>1800000</v>
          </cell>
        </row>
        <row r="50">
          <cell r="E50">
            <v>1850000</v>
          </cell>
        </row>
        <row r="56">
          <cell r="E56">
            <v>2500</v>
          </cell>
        </row>
        <row r="60">
          <cell r="E60">
            <v>8500</v>
          </cell>
        </row>
        <row r="62">
          <cell r="E62">
            <v>1900000</v>
          </cell>
        </row>
        <row r="64">
          <cell r="E64">
            <v>1650000</v>
          </cell>
        </row>
        <row r="70">
          <cell r="E70">
            <v>11800</v>
          </cell>
        </row>
        <row r="110">
          <cell r="E110">
            <v>13000</v>
          </cell>
        </row>
        <row r="120">
          <cell r="E120">
            <v>7400</v>
          </cell>
        </row>
        <row r="121">
          <cell r="E121">
            <v>7000</v>
          </cell>
        </row>
        <row r="122">
          <cell r="E122">
            <v>7000</v>
          </cell>
        </row>
        <row r="130">
          <cell r="E130">
            <v>40000</v>
          </cell>
        </row>
        <row r="132">
          <cell r="E132">
            <v>132000</v>
          </cell>
        </row>
        <row r="142">
          <cell r="E142">
            <v>493600</v>
          </cell>
        </row>
        <row r="143">
          <cell r="E143">
            <v>781200</v>
          </cell>
        </row>
        <row r="144">
          <cell r="E144">
            <v>156500</v>
          </cell>
        </row>
        <row r="148">
          <cell r="E148">
            <v>576000</v>
          </cell>
        </row>
        <row r="150">
          <cell r="E150">
            <v>4000000</v>
          </cell>
        </row>
        <row r="154">
          <cell r="E154">
            <v>56500</v>
          </cell>
        </row>
        <row r="155">
          <cell r="E155">
            <v>1000</v>
          </cell>
        </row>
        <row r="160">
          <cell r="E160">
            <v>15700</v>
          </cell>
        </row>
        <row r="161">
          <cell r="E161">
            <v>4300</v>
          </cell>
        </row>
        <row r="165">
          <cell r="E165">
            <v>24800</v>
          </cell>
        </row>
        <row r="175">
          <cell r="E175">
            <v>7500</v>
          </cell>
        </row>
      </sheetData>
      <sheetData sheetId="1" refreshError="1">
        <row r="12">
          <cell r="E12">
            <v>35000</v>
          </cell>
        </row>
        <row r="17">
          <cell r="E17">
            <v>30000</v>
          </cell>
        </row>
        <row r="18">
          <cell r="E18">
            <v>25000</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an"/>
      <sheetName val="Kwantitas Harga Satuan"/>
      <sheetName val="Pompa"/>
      <sheetName val="Rekapitulasi Analisa"/>
      <sheetName val="Analisa Harga Sat. Pek."/>
      <sheetName val="Analisa Harga"/>
      <sheetName val="Daftar Harga Satuan"/>
      <sheetName val="Analisa"/>
      <sheetName val="Daftar Harga Upah dan Bahan"/>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4">
          <cell r="F14">
            <v>10500</v>
          </cell>
        </row>
        <row r="15">
          <cell r="F15">
            <v>24500</v>
          </cell>
        </row>
        <row r="16">
          <cell r="F16">
            <v>33750</v>
          </cell>
        </row>
        <row r="17">
          <cell r="F17">
            <v>24000</v>
          </cell>
        </row>
        <row r="18">
          <cell r="F18">
            <v>24000</v>
          </cell>
        </row>
        <row r="19">
          <cell r="F19">
            <v>24000</v>
          </cell>
        </row>
        <row r="20">
          <cell r="F20">
            <v>24000</v>
          </cell>
        </row>
        <row r="21">
          <cell r="F21">
            <v>24000</v>
          </cell>
        </row>
        <row r="22">
          <cell r="F22">
            <v>32000</v>
          </cell>
        </row>
        <row r="24">
          <cell r="F24">
            <v>32400.000000000004</v>
          </cell>
        </row>
        <row r="31">
          <cell r="F31">
            <v>81000</v>
          </cell>
        </row>
        <row r="35">
          <cell r="F35">
            <v>8100.0000000000009</v>
          </cell>
        </row>
        <row r="44">
          <cell r="F44">
            <v>47250</v>
          </cell>
        </row>
        <row r="49">
          <cell r="F49">
            <v>124200.00000000001</v>
          </cell>
        </row>
        <row r="55">
          <cell r="F55">
            <v>607.5</v>
          </cell>
        </row>
        <row r="57">
          <cell r="F57">
            <v>27000</v>
          </cell>
        </row>
        <row r="60">
          <cell r="F60">
            <v>39487.5</v>
          </cell>
        </row>
        <row r="62">
          <cell r="F62">
            <v>675000</v>
          </cell>
        </row>
        <row r="64">
          <cell r="F64">
            <v>675000</v>
          </cell>
        </row>
        <row r="65">
          <cell r="F65">
            <v>1147500</v>
          </cell>
        </row>
        <row r="66">
          <cell r="F66">
            <v>1147500</v>
          </cell>
        </row>
        <row r="67">
          <cell r="F67">
            <v>945000.00000000012</v>
          </cell>
        </row>
        <row r="68">
          <cell r="F68">
            <v>68850</v>
          </cell>
        </row>
        <row r="85">
          <cell r="F85">
            <v>97200</v>
          </cell>
        </row>
        <row r="88">
          <cell r="F88">
            <v>3375</v>
          </cell>
        </row>
        <row r="89">
          <cell r="F89">
            <v>16875</v>
          </cell>
        </row>
        <row r="90">
          <cell r="F90">
            <v>3712.5000000000005</v>
          </cell>
        </row>
        <row r="91">
          <cell r="F91">
            <v>4725</v>
          </cell>
        </row>
        <row r="92">
          <cell r="F92">
            <v>8100.0000000000009</v>
          </cell>
        </row>
        <row r="93">
          <cell r="F93">
            <v>1012.5000000000001</v>
          </cell>
        </row>
        <row r="95">
          <cell r="F95">
            <v>8100.0000000000009</v>
          </cell>
        </row>
        <row r="96">
          <cell r="F96">
            <v>10125</v>
          </cell>
        </row>
        <row r="97">
          <cell r="F97">
            <v>4387.5</v>
          </cell>
        </row>
        <row r="99">
          <cell r="F99">
            <v>8775</v>
          </cell>
        </row>
        <row r="109">
          <cell r="F109">
            <v>43875</v>
          </cell>
        </row>
        <row r="111">
          <cell r="F111">
            <v>492750.00000000006</v>
          </cell>
        </row>
        <row r="117">
          <cell r="F117">
            <v>10800</v>
          </cell>
        </row>
        <row r="118">
          <cell r="F118">
            <v>6075</v>
          </cell>
        </row>
        <row r="124">
          <cell r="F124">
            <v>37125</v>
          </cell>
        </row>
        <row r="165">
          <cell r="F165">
            <v>19575</v>
          </cell>
        </row>
        <row r="166">
          <cell r="F166">
            <v>24975</v>
          </cell>
        </row>
        <row r="167">
          <cell r="F167">
            <v>16875</v>
          </cell>
        </row>
        <row r="168">
          <cell r="F168">
            <v>121500.00000000001</v>
          </cell>
        </row>
        <row r="190">
          <cell r="F190">
            <v>552015</v>
          </cell>
        </row>
        <row r="192">
          <cell r="F192">
            <v>795150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nga"/>
      <sheetName val="dasboard"/>
      <sheetName val="Sheet1"/>
      <sheetName val="Rekap 2"/>
      <sheetName val="Rekap"/>
      <sheetName val="Prel"/>
      <sheetName val="P.Tanah"/>
      <sheetName val="R.Struktur"/>
      <sheetName val="P.Struktur"/>
      <sheetName val="R.Arsitektur"/>
      <sheetName val="R.lantai"/>
      <sheetName val="lantai"/>
      <sheetName val="R.Plafond"/>
      <sheetName val="Plafond"/>
      <sheetName val="R.Dinding"/>
      <sheetName val="Dinding"/>
      <sheetName val="R.Pintu"/>
      <sheetName val="Pintu"/>
      <sheetName val="R.Sanitair"/>
      <sheetName val="Sanitair"/>
      <sheetName val="R.Railing"/>
      <sheetName val="Railing"/>
      <sheetName val="R Guest"/>
      <sheetName val="R.Standard"/>
      <sheetName val="Standard room"/>
      <sheetName val="R.Handicapped"/>
      <sheetName val="Handicapped"/>
      <sheetName val="R.Yunior A"/>
      <sheetName val="Yunior A"/>
      <sheetName val="R.Yunior B"/>
      <sheetName val="Yunior B"/>
      <sheetName val="R.GMS"/>
      <sheetName val="GMS"/>
      <sheetName val="R.Executive"/>
      <sheetName val="Executive"/>
      <sheetName val="R.Tower"/>
      <sheetName val="tower"/>
      <sheetName val="R.President"/>
      <sheetName val="President"/>
      <sheetName val="R.Royal"/>
      <sheetName val="Royal"/>
      <sheetName val="P.Luar"/>
      <sheetName val="ana-sani"/>
      <sheetName val="ana-str"/>
      <sheetName val="ana-ars"/>
      <sheetName val="hs-str"/>
      <sheetName val="hs-ars"/>
      <sheetName val="ana-pre"/>
      <sheetName val="Alat"/>
      <sheetName val="hs_str"/>
      <sheetName val="Hargamat"/>
      <sheetName val="r.tank"/>
      <sheetName val="prelim"/>
      <sheetName val="Material"/>
      <sheetName val="Upah"/>
      <sheetName val="chitimc"/>
      <sheetName val="dongia (2)"/>
      <sheetName val="LKVL-CK-HT-GD1"/>
      <sheetName val="giathanh1"/>
      <sheetName val="Harga Satuan Bahan"/>
      <sheetName val="Plumbing"/>
      <sheetName val="Analisa STR"/>
      <sheetName val="Manpower"/>
      <sheetName val="Equipt,Tools&amp;Cons"/>
      <sheetName val="THPDMoi  (2)"/>
      <sheetName val="gtrinh"/>
      <sheetName val="phuluc1"/>
      <sheetName val="TONG HOP VL-NC"/>
      <sheetName val="lam-moi"/>
      <sheetName val="chitiet"/>
      <sheetName val="TONGKE3p "/>
      <sheetName val="TH VL, NC, DDHT Thanhphuoc"/>
      <sheetName val="#REF"/>
      <sheetName val="DONGIA"/>
      <sheetName val="thao-go"/>
      <sheetName val="DON GIA"/>
      <sheetName val="TONGKE-HT"/>
      <sheetName val="DG"/>
      <sheetName val="dtxl"/>
      <sheetName val="t-h HA THE"/>
      <sheetName val="CHITIET VL-NC-TT -1p"/>
      <sheetName val="TONG HOP VL-NC TT"/>
      <sheetName val="TNHCHINH"/>
      <sheetName val="TH XL"/>
      <sheetName val="CHITIET VL-NC"/>
      <sheetName val="VC"/>
      <sheetName val="Tiepdia"/>
      <sheetName val="CHITIET VL-NC-TT-3p"/>
      <sheetName val="TDTKP"/>
      <sheetName val="TDTKP1"/>
      <sheetName val="KPVC-BD "/>
      <sheetName val="VCV-BE-TONG"/>
      <sheetName val="Bahan"/>
      <sheetName val="FORM X COST"/>
      <sheetName val="harsat"/>
      <sheetName val="H.Satuan"/>
      <sheetName val="H-BHN"/>
      <sheetName val="Daf 1"/>
      <sheetName val="Kolom UT"/>
      <sheetName val="Analisa"/>
      <sheetName val="BQ Sheraton"/>
      <sheetName val="Rekap_2"/>
      <sheetName val="P_Tanah"/>
      <sheetName val="R_Struktur"/>
      <sheetName val="P_Struktur"/>
      <sheetName val="R_Arsitektur"/>
      <sheetName val="R_lantai"/>
      <sheetName val="R_Plafond"/>
      <sheetName val="R_Dinding"/>
      <sheetName val="R_Pintu"/>
      <sheetName val="R_Sanitair"/>
      <sheetName val="R_Railing"/>
      <sheetName val="R_Guest"/>
      <sheetName val="R_Standard"/>
      <sheetName val="Standard_room"/>
      <sheetName val="R_Handicapped"/>
      <sheetName val="R_Yunior_A"/>
      <sheetName val="Yunior_A"/>
      <sheetName val="R_Yunior_B"/>
      <sheetName val="Yunior_B"/>
      <sheetName val="R_GMS"/>
      <sheetName val="R_Executive"/>
      <sheetName val="R_Tower"/>
      <sheetName val="R_President"/>
      <sheetName val="R_Royal"/>
      <sheetName val="P_Luar"/>
      <sheetName val="dongia_(2)"/>
      <sheetName val="TONG_HOP_VL-NC"/>
      <sheetName val="TONGKE3p_"/>
      <sheetName val="TH_VL,_NC,_DDHT_Thanhphuoc"/>
      <sheetName val="DON_GIA"/>
      <sheetName val="CHITIET_VL-NC"/>
      <sheetName val="Rekapitulasi"/>
      <sheetName val="Analysis"/>
      <sheetName val="I-KAMAR"/>
      <sheetName val="RAB"/>
      <sheetName val="RAB AR&amp;STR"/>
      <sheetName val="Mgg-an"/>
      <sheetName val="analpek-3"/>
      <sheetName val="s-curve baru"/>
      <sheetName val="dongia _2_"/>
      <sheetName val="LKVL_CK_HT_GD1"/>
      <sheetName val="THPDMoi  _2_"/>
      <sheetName val="TONG HOP VL_NC"/>
      <sheetName val="lam_moi"/>
      <sheetName val="TH VL_ NC_ DDHT Thanhphuoc"/>
      <sheetName val="_REF"/>
      <sheetName val="thao_go"/>
      <sheetName val="TONGKE_HT"/>
      <sheetName val="t_h HA THE"/>
      <sheetName val="CHITIET VL_NC_TT _1p"/>
      <sheetName val="TONG HOP VL_NC TT"/>
      <sheetName val="CHITIET VL_NC"/>
      <sheetName val="CHITIET VL_NC_TT_3p"/>
      <sheetName val="KPVC_BD "/>
      <sheetName val="VCV_BE_TONG"/>
      <sheetName val="BELAGIO"/>
      <sheetName val="ARTAGDING"/>
      <sheetName val="MANHATTAN"/>
      <sheetName val="SENTUL"/>
      <sheetName val="T.ABANG"/>
      <sheetName val="SEMANAN"/>
      <sheetName val="BKPM"/>
      <sheetName val="Rab "/>
      <sheetName val="Harg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board"/>
      <sheetName val="CUVER"/>
      <sheetName val="Rekap Total"/>
      <sheetName val="Prelim"/>
      <sheetName val="REKAP"/>
      <sheetName val="STRUK"/>
      <sheetName val="DAF-2 Add"/>
      <sheetName val="DAF-3Add"/>
      <sheetName val="DAF-4Add"/>
      <sheetName val="DAF-5 Add"/>
      <sheetName val="TOTAL"/>
      <sheetName val="DAF-2"/>
      <sheetName val="DAF-3"/>
      <sheetName val="DAF-4"/>
      <sheetName val="DAF-6 Add"/>
      <sheetName val="DAF-7Add"/>
      <sheetName val="DAF-8Add"/>
      <sheetName val="DAF-5"/>
      <sheetName val="DAF-6"/>
      <sheetName val="DAF-7"/>
      <sheetName val="DAF-9Add "/>
      <sheetName val="DAF-10Add"/>
      <sheetName val="DAF-8"/>
      <sheetName val="DAF-11Add"/>
      <sheetName val="DAF-9"/>
      <sheetName val="DAF-12Add"/>
      <sheetName val="DAF-10"/>
      <sheetName val="DAF-11"/>
      <sheetName val="Analisa"/>
      <sheetName val="Analisa Struktur"/>
      <sheetName val="harsat"/>
      <sheetName val="BELAGIO"/>
      <sheetName val="ARTAGDING"/>
      <sheetName val="MANHATTAN"/>
      <sheetName val="SENTUL"/>
      <sheetName val="T.ABANG"/>
      <sheetName val="SEMANAN"/>
      <sheetName val="BKPM"/>
      <sheetName val="I-KAMAR"/>
      <sheetName val="HARGA SATUAN"/>
      <sheetName val="01A- RAB"/>
      <sheetName val="BQ"/>
      <sheetName val="harga"/>
      <sheetName val="Rekap Biaya"/>
      <sheetName val="Sat Bah &amp; Up"/>
      <sheetName val="chitimc"/>
      <sheetName val="dongia (2)"/>
      <sheetName val="giathanh1"/>
      <sheetName val="escon"/>
      <sheetName val="Bahan "/>
      <sheetName val="Upah"/>
      <sheetName val="Pekerjaan "/>
      <sheetName val="analisa St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hboard"/>
      <sheetName val="1A RKAB TTL"/>
      <sheetName val="01A- RAB"/>
      <sheetName val="add"/>
      <sheetName val="Material"/>
      <sheetName val="Upah"/>
      <sheetName val="Sheet2"/>
      <sheetName val="analisa Str"/>
      <sheetName val="An.Ars"/>
      <sheetName val="ana_san"/>
      <sheetName val="Satpek"/>
      <sheetName val="01A_ RAB"/>
      <sheetName val="hs-str"/>
      <sheetName val="BQ"/>
      <sheetName val="D &amp; W sizes"/>
      <sheetName val="Rekap"/>
      <sheetName val="Analisa"/>
      <sheetName val="r.tank"/>
      <sheetName val="prelim"/>
      <sheetName val="HARGA SATUAN"/>
      <sheetName val="Harga Material"/>
      <sheetName val="meth hsl neg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tpek"/>
      <sheetName val="Material"/>
      <sheetName val="Upah"/>
      <sheetName val="analisa Str"/>
      <sheetName val="An.Ars"/>
      <sheetName val="Ana Beton"/>
      <sheetName val="Ana Sanitair"/>
      <sheetName val="Analisa"/>
      <sheetName val="r.tank"/>
      <sheetName val="prelim"/>
      <sheetName val="harsat"/>
      <sheetName val="RAB"/>
      <sheetName val="2"/>
      <sheetName val="Ana-ALAT"/>
      <sheetName val="NAMES"/>
      <sheetName val="BELAGIO"/>
      <sheetName val="ARTAGDING"/>
      <sheetName val="MANHATTAN"/>
      <sheetName val="SENTUL"/>
      <sheetName val="T.ABANG"/>
      <sheetName val="SEMANAN"/>
      <sheetName val="BKPM"/>
      <sheetName val="Urai _Resap pengikat"/>
      <sheetName val="koef"/>
      <sheetName val="ANALISA MEKANIKAL"/>
      <sheetName val="POMPA"/>
      <sheetName val="PANEL"/>
      <sheetName val="LAMPU"/>
      <sheetName val="AN LISTRIK"/>
      <sheetName val="KABEL "/>
      <sheetName val="01A- RA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Rekapi"/>
      <sheetName val="AHS"/>
      <sheetName val="Bul"/>
      <sheetName val="Alat"/>
      <sheetName val="Subkont"/>
      <sheetName val="Bahan"/>
      <sheetName val="Upah1"/>
      <sheetName val="Rekap"/>
      <sheetName val="Bang A"/>
      <sheetName val="Bang B"/>
      <sheetName val="Sarana"/>
      <sheetName val="Asrama"/>
      <sheetName val="Utility"/>
      <sheetName val="Kamar"/>
      <sheetName val="Material"/>
      <sheetName val="Upah"/>
      <sheetName val="Analisa"/>
      <sheetName val="BQ PLAMBING - SEMANAN"/>
      <sheetName val="BQ-RSUD1"/>
      <sheetName val="Bahan "/>
      <sheetName val="Pekerjaan "/>
      <sheetName val="DivVII"/>
      <sheetName val="analisa Str"/>
      <sheetName val="Harga Satuan"/>
      <sheetName val="Sat Bah &amp; Up"/>
      <sheetName val="Sat Bah _ Up"/>
      <sheetName val="Bill rekap"/>
      <sheetName val="Bill of Qty"/>
      <sheetName val="SAT"/>
      <sheetName val="Anal"/>
      <sheetName val="REK"/>
      <sheetName val="DAFTAR HARGA"/>
      <sheetName val="Harsat"/>
      <sheetName val="Metode"/>
      <sheetName val="Analisa DMPU"/>
      <sheetName val="dasboard"/>
      <sheetName val="HARGA ALAT"/>
      <sheetName val="Peralatan"/>
      <sheetName val="Bangunan Utama"/>
      <sheetName val="rumus"/>
      <sheetName val="ESCON"/>
      <sheetName val="Cover"/>
      <sheetName val="H-BHN"/>
      <sheetName val="chitimc"/>
      <sheetName val="dongia (2)"/>
      <sheetName val="giathanh1"/>
      <sheetName val="THPDMoi  (2)"/>
      <sheetName val="gtrinh"/>
      <sheetName val="phuluc1"/>
      <sheetName val="TONG HOP VL-NC"/>
      <sheetName val="lam-moi"/>
      <sheetName val="#REF"/>
      <sheetName val="DONGIA"/>
      <sheetName val="chitiet"/>
      <sheetName val="thao-go"/>
      <sheetName val="DON GIA"/>
      <sheetName val="TONGKE-HT"/>
      <sheetName val="DG"/>
      <sheetName val="dtxl"/>
      <sheetName val="t-h HA THE"/>
      <sheetName val="CHITIET VL-NC-TT -1p"/>
      <sheetName val="TONG HOP VL-NC TT"/>
      <sheetName val="TH XL"/>
      <sheetName val="TONGKE3p "/>
      <sheetName val="VC"/>
      <sheetName val="CHITIET VL-NC-TT-3p"/>
      <sheetName val="TDTKP1"/>
      <sheetName val="KPVC-BD "/>
      <sheetName val="VCV-BE-TONG"/>
      <sheetName val="CHITIET VL-NC"/>
      <sheetName val="RAB-NEGO"/>
      <sheetName val="BQ_E20_02_Rp_"/>
      <sheetName val="plumbing"/>
      <sheetName val="Rab "/>
      <sheetName val="Harga"/>
      <sheetName val="Bldg"/>
      <sheetName val="_bhn_uph"/>
      <sheetName val="I-KAMAR"/>
      <sheetName val="Bang_A"/>
      <sheetName val="Bang_B"/>
      <sheetName val="BQ_PLAMBING_-_SEMANAN"/>
      <sheetName val="HRG BHN"/>
      <sheetName val="H.Satuan"/>
      <sheetName val="QTO-11P"/>
      <sheetName val="304_06"/>
      <sheetName val="Elektronik"/>
      <sheetName val="Electrikal"/>
      <sheetName val="AC"/>
      <sheetName val="Fire Fighting"/>
      <sheetName val="Item Kompensasi"/>
      <sheetName val="Analisa Gabungan"/>
      <sheetName val="Sub"/>
      <sheetName val="Daftar Upah"/>
      <sheetName val="STR"/>
      <sheetName val="BQ-E20-02(Rp)"/>
      <sheetName val="REKAP STR T"/>
      <sheetName val="8LT 12"/>
      <sheetName val="D2.8"/>
      <sheetName val="01A- RAB"/>
      <sheetName val="Koef"/>
      <sheetName val="I_KAMAR"/>
      <sheetName val="Basic Price"/>
      <sheetName val="NAME"/>
      <sheetName val="Pipe"/>
      <sheetName val="Surat"/>
      <sheetName val="Input"/>
      <sheetName val="A LIS"/>
      <sheetName val="A REKAP"/>
      <sheetName val="TSS"/>
      <sheetName val="Harsat BHN AR,M"/>
      <sheetName val="struktur tdk dipakai"/>
      <sheetName val="BO alat"/>
      <sheetName val="bq"/>
      <sheetName val="Sheet1"/>
      <sheetName val="DivX"/>
      <sheetName val="ANAL KOEF"/>
      <sheetName val="DivVI"/>
      <sheetName val="Bahan_"/>
      <sheetName val="Pekerjaan_"/>
      <sheetName val="Penjumlahan"/>
      <sheetName val="Bill_rekap"/>
      <sheetName val="Bill_of_Qty"/>
      <sheetName val="Harga_Satuan"/>
      <sheetName val="Analisa 2"/>
      <sheetName val="Cash Flow bulanan"/>
      <sheetName val="VAC-1"/>
      <sheetName val="WS Pabrikasi"/>
      <sheetName val="WS SSE"/>
      <sheetName val="DAF-1"/>
      <sheetName val="Analisa Harga Satuan"/>
      <sheetName val="DAF_9"/>
      <sheetName val="index"/>
      <sheetName val="HARSAT_BAH"/>
      <sheetName val="Agregat Halus &amp; Kasar"/>
      <sheetName val="Harga Satuan Bahan"/>
      <sheetName val="SAP"/>
      <sheetName val="Analisa Baku STR ARS"/>
      <sheetName val="Bill-19"/>
      <sheetName val="sum-bill22"/>
      <sheetName val="An Arsitektur"/>
      <sheetName val="An Struktur"/>
      <sheetName val="Analisa -Baku"/>
      <sheetName val="Rekap Direct Cost"/>
      <sheetName val="Up &amp; bhn"/>
      <sheetName val="K"/>
      <sheetName val="Man Power"/>
      <sheetName val="Upah Tenaga Kerja"/>
      <sheetName val="RAB"/>
      <sheetName val="Harga Dasar"/>
      <sheetName val="BOQ"/>
      <sheetName val="D7(1)"/>
      <sheetName val="4-Basic Price"/>
      <sheetName val="LKVL-CK-HT-GD1"/>
      <sheetName val="TH VL, NC, DDHT Thanhphuoc"/>
      <sheetName val="TNHCHINH"/>
      <sheetName val="Tiepdia"/>
      <sheetName val="TDTKP"/>
      <sheetName val="UMUM"/>
      <sheetName val="Analisa HSP"/>
      <sheetName val="KUANT &amp; HRG"/>
      <sheetName val="DIV-3"/>
      <sheetName val="DIV-7"/>
      <sheetName val="DIV-8"/>
      <sheetName val="REKAPITULASI"/>
      <sheetName val="Kuantitas"/>
      <sheetName val="SCH"/>
      <sheetName val="Bhn"/>
      <sheetName val="UP_an"/>
      <sheetName val="ELEC STIS"/>
      <sheetName val="BoQ C4"/>
      <sheetName val="ANALISA (2)"/>
      <sheetName val="GTS I PS"/>
      <sheetName val="BQ-1A"/>
      <sheetName val="LS-Rutin"/>
      <sheetName val="UPH,BHN,ALT"/>
      <sheetName val="Analis harga"/>
      <sheetName val="Vibro_Roller"/>
      <sheetName val="TE TS FA LAN MATV"/>
      <sheetName val="Ch"/>
      <sheetName val="SDY"/>
      <sheetName val="Perhitungan RAB"/>
      <sheetName val="Lamp.2,3&amp;4"/>
      <sheetName val="daf-3(OK)"/>
      <sheetName val="daf-7(OK)"/>
      <sheetName val="daf_3_OK_"/>
      <sheetName val="daf_7_OK_"/>
      <sheetName val="Mall"/>
      <sheetName val="Analisa-S"/>
      <sheetName val="MATERIAL-UPAH"/>
      <sheetName val="LAL - PASAR PAGI "/>
      <sheetName val="BAG_2"/>
      <sheetName val="Dashboard"/>
      <sheetName val="DAF-7"/>
      <sheetName val="Ag Hls &amp; Ksr"/>
      <sheetName val="BDA-01"/>
      <sheetName val="ARP-1 Rekap"/>
      <sheetName val="ES-aLL"/>
      <sheetName val="Analisa Quarry"/>
      <sheetName val="Informasi"/>
      <sheetName val="SAT-BHN"/>
      <sheetName val="Hrg Bhn &amp; Upah"/>
      <sheetName val="arab"/>
      <sheetName val="AMP"/>
      <sheetName val="ANTEK-AGGA"/>
      <sheetName val="BURDA"/>
      <sheetName val="ANTEK-GAL"/>
      <sheetName val="HRS-ATB"/>
      <sheetName val="ANTEK-PRIME"/>
      <sheetName val="ANTEK-TIMB"/>
      <sheetName val="BD-LS"/>
      <sheetName val="BIA-LUMPSUM"/>
      <sheetName val="CRUSER"/>
      <sheetName val="FINAL"/>
      <sheetName val="KEBALAT"/>
      <sheetName val="Master Edit"/>
      <sheetName val="List Plant"/>
      <sheetName val="Lap Mingguan"/>
      <sheetName val="bahn"/>
      <sheetName val="M.18"/>
      <sheetName val="Scedule"/>
      <sheetName val="Currency Rate"/>
      <sheetName val="gvl"/>
      <sheetName val="Volume"/>
      <sheetName val="HSD"/>
      <sheetName val="BD Div-2"/>
      <sheetName val="BD Div-4"/>
      <sheetName val="BD Div-5"/>
      <sheetName val="BD Div-6"/>
      <sheetName val="BD Div-7"/>
      <sheetName val="BD Div-8"/>
      <sheetName val="SEX"/>
      <sheetName val="REF.ONLY"/>
      <sheetName val="Bill of Qty MEP"/>
      <sheetName val="MAIN BQ"/>
      <sheetName val="Daf-harga"/>
      <sheetName val="Prelim"/>
      <sheetName val="DATA"/>
      <sheetName val="S.UPAH"/>
      <sheetName val="rab me (by owner) "/>
      <sheetName val="BQ (by owner)"/>
      <sheetName val="rab me (fisik)"/>
      <sheetName val="ganda"/>
      <sheetName val="5-ALAT(1)"/>
      <sheetName val="upbh-1c"/>
      <sheetName val="FINISHING"/>
      <sheetName val="PAD-F"/>
      <sheetName val="Panel,feeder,elek"/>
      <sheetName val="SPEC"/>
      <sheetName val="3-DIV10"/>
      <sheetName val="3-DIV7"/>
      <sheetName val="pemel-rutin"/>
      <sheetName val="3-DIV6"/>
      <sheetName val="3-DIV3"/>
      <sheetName val="DB"/>
      <sheetName val="DAFT_ALAT,UPAH &amp; MAT"/>
      <sheetName val="DIV.1"/>
      <sheetName val="B.Dsr"/>
      <sheetName val="uraian bul"/>
      <sheetName val="Beton"/>
      <sheetName val="Aspal (2)"/>
      <sheetName val="Relok-PJU"/>
      <sheetName val="Spanduk"/>
      <sheetName val="Rekap Daftar Kuantitas"/>
      <sheetName val="SELEBARAN"/>
      <sheetName val="DAFTAR 7"/>
      <sheetName val="DAF_1"/>
      <sheetName val="DAFTAR_8"/>
      <sheetName val="Daf.Harga-Upah"/>
      <sheetName val="Kuantitas &amp; Harga"/>
      <sheetName val="TOWN"/>
      <sheetName val="Material-mr"/>
      <sheetName val="bhn "/>
      <sheetName val="Agregat A"/>
      <sheetName val="Mat.Mek"/>
      <sheetName val="Mat.Elk"/>
      <sheetName val="RKP PLUMBING"/>
      <sheetName val="UPAH &amp; BHN ARS"/>
      <sheetName val="AHS ARS"/>
      <sheetName val="villa"/>
      <sheetName val="REKAP BQ"/>
      <sheetName val="Koefisien"/>
      <sheetName val="HB "/>
      <sheetName val="STAF"/>
      <sheetName val="MT"/>
      <sheetName val="D-1"/>
      <sheetName val="Isolasi Luar Dalam"/>
      <sheetName val="Isolasi Luar"/>
      <sheetName val="Schdule"/>
      <sheetName val="BAG-2"/>
      <sheetName val="DATA1"/>
      <sheetName val="daftar harga satuan"/>
      <sheetName val="SAT EL"/>
      <sheetName val="DAF-2"/>
      <sheetName val="Bill sipil"/>
      <sheetName val="DAF-9"/>
      <sheetName val="COST-SUM"/>
      <sheetName val="FLAF&amp;PARTSI"/>
      <sheetName val="EE-PROP"/>
      <sheetName val="Kolom UT"/>
      <sheetName val="DAF_7"/>
      <sheetName val="UPAH _ ALAT"/>
      <sheetName val="D3.1"/>
      <sheetName val="Hrg.Sat"/>
      <sheetName val="DAFTAR HARGA SATUAN MATERIAL"/>
      <sheetName val="ANALISA SOFT"/>
      <sheetName val="SUM_Steel-Strc"/>
      <sheetName val="SAA"/>
      <sheetName val="Str BT"/>
      <sheetName val="Analisa ME"/>
      <sheetName val="ANLS_ BETON R. KELAS"/>
      <sheetName val="HRG_BHN"/>
      <sheetName val="mat&amp;upah"/>
      <sheetName val="Coef"/>
      <sheetName val="STAFF"/>
      <sheetName val="D2.2"/>
      <sheetName val="TABEL-DETASIR"/>
      <sheetName val="RPP01 6"/>
      <sheetName val="ANA"/>
      <sheetName val="DATA-PPC"/>
      <sheetName val="LIST"/>
      <sheetName val="EK"/>
      <sheetName val="Evaluasi div  (4)"/>
      <sheetName val="seijin"/>
      <sheetName val="AYU REZKI"/>
      <sheetName val="KET"/>
      <sheetName val="BASIC"/>
      <sheetName val="SATUAN"/>
      <sheetName val="Busang1"/>
      <sheetName val="Busang2"/>
      <sheetName val="Busang3"/>
      <sheetName val="Jonggon2"/>
      <sheetName val="Jonggon3"/>
      <sheetName val="Remarks"/>
      <sheetName val="Coal"/>
      <sheetName val="Block"/>
      <sheetName val="CondDaily"/>
      <sheetName val="epei "/>
      <sheetName val="Input2"/>
      <sheetName val="Safety"/>
      <sheetName val="CondMonthly"/>
      <sheetName val="Weather"/>
      <sheetName val="Nama"/>
      <sheetName val="L2"/>
      <sheetName val="Daftar Harga Pekerjaan"/>
      <sheetName val="DIRECT"/>
      <sheetName val="hs-str"/>
      <sheetName val="atap"/>
      <sheetName val="Up _ bhn"/>
      <sheetName val="Harga Bahan"/>
      <sheetName val="Analisa Upah &amp; Bahan Plum"/>
      <sheetName val="Valuation"/>
      <sheetName val="A-ars"/>
      <sheetName val="A-11 Steel Str (2)"/>
      <sheetName val="KODEREKG"/>
      <sheetName val="As"/>
      <sheetName val="KM12"/>
      <sheetName val="Jual Mtr 12"/>
      <sheetName val="RESIDU-3"/>
      <sheetName val="upah &amp; bhn"/>
      <sheetName val="a-hardsc"/>
      <sheetName val="Elektrikal"/>
      <sheetName val="REQDELTA"/>
      <sheetName val="GRAND REKAP"/>
      <sheetName val="BAG-III"/>
      <sheetName val="Anls"/>
      <sheetName val="Analisa Upah _ Bahan Plum"/>
      <sheetName val="Report detil kondisi"/>
      <sheetName val="detil kondisi"/>
      <sheetName val="Rekap A"/>
      <sheetName val="Hargamat"/>
      <sheetName val="TRE TABLE"/>
      <sheetName val="S.BAHAN"/>
      <sheetName val="met bab3"/>
      <sheetName val="anal bab8"/>
      <sheetName val="bronjong"/>
      <sheetName val="Anal uph"/>
      <sheetName val="Lamberser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itulasi"/>
      <sheetName val="sheet1"/>
      <sheetName val="Sheet2"/>
      <sheetName val="Real Cost"/>
      <sheetName val="rincian biaya"/>
      <sheetName val="harga sat"/>
      <sheetName val="upah"/>
      <sheetName val="Bahan "/>
      <sheetName val="Analisa"/>
      <sheetName val="ES-aLL"/>
      <sheetName val="ana_str"/>
      <sheetName val="analisa Str"/>
      <sheetName val="01A- RAB"/>
      <sheetName val="BELAGIO"/>
      <sheetName val="ARTAGDING"/>
      <sheetName val="MANHATTAN"/>
      <sheetName val="SENTUL"/>
      <sheetName val="T.ABANG"/>
      <sheetName val="SEMANAN"/>
      <sheetName val="BKPM"/>
      <sheetName val="rumus"/>
      <sheetName val="Bill_2"/>
      <sheetName val="dasboard"/>
      <sheetName val="atap"/>
      <sheetName val="Sat Bah &amp; Up"/>
      <sheetName val="Ahs.2"/>
      <sheetName val="Ahs.1"/>
      <sheetName val="Material"/>
      <sheetName val="A"/>
      <sheetName val="Daftar Harga Material"/>
      <sheetName val="anal"/>
      <sheetName val="DAF-2"/>
      <sheetName val="RAB"/>
      <sheetName val="DAF_2"/>
      <sheetName val="Real_Cost"/>
      <sheetName val="rincian_biaya"/>
      <sheetName val="harga_sat"/>
      <sheetName val="Bahan_"/>
      <sheetName val="hs-str"/>
      <sheetName val="Bill-2"/>
      <sheetName val="hs_str"/>
      <sheetName val="ana-str"/>
      <sheetName val="harsat"/>
      <sheetName val="SEX"/>
      <sheetName val="BQBI3"/>
      <sheetName val="Analisa HSP"/>
      <sheetName val="Sat Bah _ Up"/>
      <sheetName val="BAG-III"/>
      <sheetName val="Cash Flow bulanan"/>
      <sheetName val="HSD"/>
      <sheetName val="RAB-SPL2"/>
      <sheetName val="Sat_Bah_&amp;_Up"/>
      <sheetName val="BQ-1A prelim"/>
      <sheetName val="bahan"/>
      <sheetName val="analis azaa"/>
      <sheetName val="Indirect"/>
      <sheetName val="Fill this out first___"/>
      <sheetName val="TOWN"/>
      <sheetName val="AC"/>
      <sheetName val="U&amp;B"/>
      <sheetName val="struktur tdk dipakai"/>
      <sheetName val="Real_Cost2"/>
      <sheetName val="rincian_biaya2"/>
      <sheetName val="harga_sat2"/>
      <sheetName val="Bahan_2"/>
      <sheetName val="Daftar_Harga_Material1"/>
      <sheetName val="Sat_Bah_&amp;_Up2"/>
      <sheetName val="BQ-1A_prelim1"/>
      <sheetName val="analisa_Str1"/>
      <sheetName val="analis_azaa1"/>
      <sheetName val="Fill_this_out_first___1"/>
      <sheetName val="struktur_tdk_dipakai1"/>
      <sheetName val="Cash_Flow_bulanan1"/>
      <sheetName val="Real_Cost1"/>
      <sheetName val="rincian_biaya1"/>
      <sheetName val="harga_sat1"/>
      <sheetName val="Bahan_1"/>
      <sheetName val="Daftar_Harga_Material"/>
      <sheetName val="Sat_Bah_&amp;_Up1"/>
      <sheetName val="BQ-1A_prelim"/>
      <sheetName val="analisa_Str"/>
      <sheetName val="analis_azaa"/>
      <sheetName val="Fill_this_out_first___"/>
      <sheetName val="struktur_tdk_dipakai"/>
      <sheetName val="Cash_Flow_bulanan"/>
      <sheetName val="FINISHING"/>
      <sheetName val="I-KAMAR"/>
      <sheetName val="DAF-4"/>
      <sheetName val="plumbing"/>
      <sheetName val="ALAT1"/>
      <sheetName val="BASIC"/>
      <sheetName val="SAT-BHN"/>
      <sheetName val="Cover"/>
      <sheetName val="UIC-71-ENV1991-3"/>
      <sheetName val="US-SI"/>
      <sheetName val="Real_Cost3"/>
      <sheetName val="rincian_biaya3"/>
      <sheetName val="harga_sat3"/>
      <sheetName val="Bahan_3"/>
      <sheetName val="Daftar_Harga_Material2"/>
      <sheetName val="Sat_Bah_&amp;_Up3"/>
      <sheetName val="BQ-1A_prelim2"/>
      <sheetName val="analisa_Str2"/>
      <sheetName val="analis_azaa2"/>
      <sheetName val="Fill_this_out_first___2"/>
      <sheetName val="struktur_tdk_dipakai2"/>
      <sheetName val="Cash_Flow_bulanan2"/>
      <sheetName val="Real_Cost4"/>
      <sheetName val="rincian_biaya4"/>
      <sheetName val="harga_sat4"/>
      <sheetName val="Bahan_4"/>
      <sheetName val="Daftar_Harga_Material3"/>
      <sheetName val="Sat_Bah_&amp;_Up4"/>
      <sheetName val="BQ-1A_prelim3"/>
      <sheetName val="analisa_Str3"/>
      <sheetName val="analis_azaa3"/>
      <sheetName val="Fill_this_out_first___3"/>
      <sheetName val="struktur_tdk_dipakai3"/>
      <sheetName val="Cash_Flow_bulanan3"/>
      <sheetName val="Rate"/>
      <sheetName val="SAP"/>
      <sheetName val="tifico"/>
      <sheetName val="kurva S (detail)"/>
      <sheetName val="chitimc"/>
      <sheetName val="dongia (2)"/>
      <sheetName val="LKVL-CK-HT-GD1"/>
      <sheetName val="giathanh1"/>
      <sheetName val="H_Satuan"/>
      <sheetName val="8"/>
      <sheetName val="INPUT"/>
      <sheetName val="ISIAN"/>
      <sheetName val="S.UPAH"/>
      <sheetName val="S.BAHAN"/>
      <sheetName val="VAC-1"/>
      <sheetName val="Bldg"/>
      <sheetName val="ESCON"/>
      <sheetName val="SP1"/>
      <sheetName val="RAB 1"/>
      <sheetName val="RAB 2"/>
      <sheetName val="RAB 3"/>
      <sheetName val="analisa_harga"/>
      <sheetName val="HARGA ALAT"/>
      <sheetName val="hs pipa"/>
      <sheetName val="TE TS FA LAN MATV"/>
      <sheetName val="DivVII"/>
      <sheetName val="Harga Satuan"/>
      <sheetName val="BAG_III"/>
      <sheetName val="Harga Mat "/>
      <sheetName val="Alat"/>
      <sheetName val="Harsat Bahan"/>
      <sheetName val="Harsat Upah"/>
      <sheetName val="Kolom UT"/>
      <sheetName val="Traf&amp;Genst"/>
      <sheetName val="BQ"/>
      <sheetName val="Hgsat07"/>
      <sheetName val="34"/>
      <sheetName val="35"/>
      <sheetName val="27"/>
      <sheetName val="46"/>
      <sheetName val="4"/>
      <sheetName val="33"/>
      <sheetName val="9"/>
      <sheetName val="26"/>
      <sheetName val="42"/>
      <sheetName val="32"/>
      <sheetName val="41"/>
      <sheetName val="31"/>
      <sheetName val="64.6"/>
      <sheetName val="37"/>
      <sheetName val="62"/>
      <sheetName val="7"/>
      <sheetName val="61"/>
      <sheetName val="24"/>
      <sheetName val="43"/>
      <sheetName val="53 "/>
      <sheetName val="54"/>
      <sheetName val="MH CIVIL"/>
      <sheetName val="30"/>
      <sheetName val="64.14"/>
      <sheetName val="64.1"/>
      <sheetName val="64.2"/>
      <sheetName val="64.3"/>
      <sheetName val="64.4"/>
      <sheetName val="64.5"/>
      <sheetName val="17"/>
      <sheetName val="51"/>
      <sheetName val="38"/>
      <sheetName val="52"/>
      <sheetName val="23"/>
      <sheetName val="22"/>
      <sheetName val="20"/>
      <sheetName val="49"/>
      <sheetName val="28"/>
      <sheetName val="29"/>
      <sheetName val="36.3"/>
      <sheetName val="36.4"/>
      <sheetName val="36.2"/>
      <sheetName val="36.1"/>
      <sheetName val="44"/>
      <sheetName val="45"/>
      <sheetName val="63"/>
      <sheetName val="Upah_Bahan"/>
      <sheetName val="Anls_BKL"/>
      <sheetName val="ANAL2"/>
      <sheetName val="ANAL1"/>
      <sheetName val="RESUME FINANSIAL"/>
      <sheetName val="ASUMSI"/>
      <sheetName val="Office Tower 1-Sewa"/>
      <sheetName val="SCHEDULE"/>
      <sheetName val="TOWER 1"/>
      <sheetName val="KOMERSIAL OFFICE"/>
      <sheetName val="TOWER 3"/>
      <sheetName val="OFFICE"/>
      <sheetName val="TOWER 4"/>
      <sheetName val="TOWER 5"/>
      <sheetName val="TOWER 6"/>
      <sheetName val="TOWER 7"/>
      <sheetName val="DAF-5"/>
      <sheetName val="Mob"/>
      <sheetName val="Hs_Bhn"/>
      <sheetName val="Compare"/>
      <sheetName val="Rincian"/>
      <sheetName val="ELEC STIS"/>
      <sheetName val="Cashflow"/>
      <sheetName val="Sat-Tan"/>
      <sheetName val="Infrastruktur"/>
      <sheetName val="ME UMY"/>
      <sheetName val="Pipe"/>
      <sheetName val="main summary"/>
      <sheetName val="HARGA MATERIAL"/>
      <sheetName val="Kuantitas &amp; Harga"/>
      <sheetName val="Analisa Upah &amp; Bahan Plum"/>
      <sheetName val="Daf-4.5_Final"/>
      <sheetName val="BQ-E20-02(Rp)"/>
      <sheetName val="I_KAMAR"/>
      <sheetName val="Analisa Alat Berat"/>
      <sheetName val="Du_lieu"/>
      <sheetName val="data"/>
      <sheetName val="code"/>
      <sheetName val="anal alat"/>
      <sheetName val="Real_Cost5"/>
      <sheetName val="rincian_biaya5"/>
      <sheetName val="harga_sat5"/>
      <sheetName val="Bahan_5"/>
      <sheetName val="Daftar_Harga_Material4"/>
      <sheetName val="Sat_Bah_&amp;_Up5"/>
      <sheetName val="BQ-1A_prelim4"/>
      <sheetName val="analis_azaa4"/>
      <sheetName val="Fill_this_out_first___4"/>
      <sheetName val="analisa_Str4"/>
      <sheetName val="struktur_tdk_dipakai4"/>
      <sheetName val="Ahs_2"/>
      <sheetName val="Ahs_1"/>
      <sheetName val="dongia_(2)"/>
      <sheetName val="Cash_Flow_bulanan4"/>
      <sheetName val="Sat_Bah___Up"/>
      <sheetName val="Kolom_UT"/>
      <sheetName val="Harsat_Bahan"/>
      <sheetName val="Harsat_Upah"/>
      <sheetName val="T_ABANG"/>
      <sheetName val="01A-_RAB"/>
      <sheetName val="64_6"/>
      <sheetName val="53_"/>
      <sheetName val="MH_CIVIL"/>
      <sheetName val="64_14"/>
      <sheetName val="64_1"/>
      <sheetName val="64_2"/>
      <sheetName val="64_3"/>
      <sheetName val="64_4"/>
      <sheetName val="64_5"/>
      <sheetName val="36_3"/>
      <sheetName val="36_4"/>
      <sheetName val="36_2"/>
      <sheetName val="36_1"/>
      <sheetName val="kurva_S_(detail)"/>
      <sheetName val="RESUME_FINANSIAL"/>
      <sheetName val="Harga_Satuan"/>
      <sheetName val="Office_Tower_1-Sewa"/>
      <sheetName val="TOWER_1"/>
      <sheetName val="KOMERSIAL_OFFICE"/>
      <sheetName val="TOWER_3"/>
      <sheetName val="TOWER_4"/>
      <sheetName val="TOWER_5"/>
      <sheetName val="TOWER_6"/>
      <sheetName val="TOWER_7"/>
      <sheetName val="Daf-4_5_Final"/>
      <sheetName val="TONG HOP VL-NC"/>
      <sheetName val="CHITIET VL-NC"/>
      <sheetName val="TOEVOER"/>
      <sheetName val="SAT PL"/>
      <sheetName val="HARGA"/>
      <sheetName val="HDasar"/>
      <sheetName val="Analisa Harga Satuan"/>
      <sheetName val="Lamp. Bahan"/>
      <sheetName val="BOQ-Indonesia"/>
      <sheetName val="LOADDAT"/>
      <sheetName val="GRAND REKAP"/>
      <sheetName val="ANALIS"/>
      <sheetName val="satuan_pek_ars"/>
      <sheetName val="R.A.B."/>
      <sheetName val="URAIAN "/>
      <sheetName val="LS-Rutin"/>
      <sheetName val="Agregat Halus &amp; Kasar"/>
      <sheetName val="5-ALAT(1)"/>
      <sheetName val="BOQ"/>
      <sheetName val="Hrg"/>
      <sheetName val="FORM"/>
      <sheetName val="ANALISA TOOL"/>
      <sheetName val="dongia _2_"/>
      <sheetName val="LKVL_CK_HT_GD1"/>
      <sheetName val="THPDMoi  _2_"/>
      <sheetName val="gtrinh"/>
      <sheetName val="phuluc1"/>
      <sheetName val="TONG HOP VL_NC"/>
      <sheetName val="lam_moi"/>
      <sheetName val="chitiet"/>
      <sheetName val="TONGKE3p "/>
      <sheetName val="TH VL_ NC_ DDHT Thanhphuoc"/>
      <sheetName val="_REF"/>
      <sheetName val="DONGIA"/>
      <sheetName val="thao_go"/>
      <sheetName val="DON GIA"/>
      <sheetName val="TONGKE_HT"/>
      <sheetName val="DG"/>
      <sheetName val="dtxl"/>
      <sheetName val="t_h HA THE"/>
      <sheetName val="CHITIET VL_NC_TT _1p"/>
      <sheetName val="TONG HOP VL_NC TT"/>
      <sheetName val="TNHCHINH"/>
      <sheetName val="TH XL"/>
      <sheetName val="CHITIET VL_NC"/>
      <sheetName val="VC"/>
      <sheetName val="Tiepdia"/>
      <sheetName val="CHITIET VL_NC_TT_3p"/>
      <sheetName val="TDTKP"/>
      <sheetName val="TDTKP1"/>
      <sheetName val="KPVC_BD "/>
      <sheetName val="VCV_BE_TONG"/>
      <sheetName val="ALAT-1"/>
      <sheetName val="Bangunan Utama"/>
      <sheetName val="H.Satuan"/>
      <sheetName val="AnalisaSIPIL RIIL"/>
      <sheetName val="Basic Price"/>
      <sheetName val="4-Basic Price"/>
      <sheetName val="Currency Rate"/>
      <sheetName val="SITE-E"/>
      <sheetName val="Hrg.Sat"/>
      <sheetName val="J"/>
      <sheetName val="Ven"/>
      <sheetName val="Df-Kuan"/>
      <sheetName val="Div2"/>
      <sheetName val="4-MVAC"/>
      <sheetName val="4_MVAC"/>
      <sheetName val="Harga Bahan"/>
      <sheetName val="sheet12"/>
      <sheetName val="tuong"/>
      <sheetName val="VL"/>
      <sheetName val="TN"/>
      <sheetName val="ND"/>
      <sheetName val="03 Detailed"/>
      <sheetName val="01 Bid Price summary"/>
      <sheetName val="TH VL, NC, DDHT Thanhphuoc"/>
      <sheetName val="#REF"/>
      <sheetName val="VCV-BE-TONG"/>
      <sheetName val="gvl"/>
      <sheetName val="Duong"/>
      <sheetName val="Fin-Bengkel"/>
      <sheetName val="Fin-Showroom"/>
      <sheetName val="Hal_Pagar"/>
      <sheetName val="Str-Bengkel"/>
      <sheetName val="Str-Showroom"/>
      <sheetName val="Fill this out first..."/>
      <sheetName val="tra-vat-lieu"/>
      <sheetName val="GiaVL"/>
      <sheetName val="R&amp;P"/>
      <sheetName val="BOQ-1"/>
      <sheetName val="共機J"/>
      <sheetName val="dghn"/>
      <sheetName val="Other"/>
      <sheetName val="DI-ESTI"/>
      <sheetName val="Unit"/>
      <sheetName val="Chiet tinh"/>
      <sheetName val="Rekap"/>
      <sheetName val="Sheet3"/>
      <sheetName val="H-BHN"/>
      <sheetName val="A-BANTU"/>
      <sheetName val="Names"/>
      <sheetName val="ct"/>
      <sheetName val="STR"/>
      <sheetName val="bahan+upah"/>
      <sheetName val="MEK"/>
      <sheetName val="Alat (2)"/>
      <sheetName val="hit-pasif-311202-rsij"/>
      <sheetName val="LIST ANHARSAT"/>
      <sheetName val="Harga satuan sintel"/>
      <sheetName val="rap"/>
      <sheetName val="대비표"/>
      <sheetName val="Unit-P"/>
      <sheetName val="Own"/>
      <sheetName val="DAFTAR HARGA SATUAN MATERIAL"/>
      <sheetName val="Isolasi Luar Dalam"/>
      <sheetName val="Isolasi Luar"/>
      <sheetName val="MT_an"/>
      <sheetName val="MAP"/>
      <sheetName val="Daf.Biaya sewa alat"/>
      <sheetName val="H Sat Jembatan"/>
      <sheetName val="TJ1Q47"/>
      <sheetName val="upah_borong"/>
      <sheetName val="satuan_pek"/>
      <sheetName val="lh"/>
      <sheetName val="REF.ONLY"/>
      <sheetName val="ME_External"/>
      <sheetName val="Mall_ME"/>
      <sheetName val="Ijin"/>
      <sheetName val="351BQMCN"/>
      <sheetName val="Real_Cost6"/>
      <sheetName val="rincian_biaya6"/>
      <sheetName val="harga_sat6"/>
      <sheetName val="Bahan_6"/>
      <sheetName val="Daftar_Harga_Material5"/>
      <sheetName val="Sat_Bah_&amp;_Up6"/>
      <sheetName val="BQ-1A_prelim5"/>
      <sheetName val="analis_azaa5"/>
      <sheetName val="Fill_this_out_first___5"/>
      <sheetName val="analisa_Str5"/>
      <sheetName val="struktur_tdk_dipakai5"/>
      <sheetName val="Ahs_21"/>
      <sheetName val="Ahs_11"/>
      <sheetName val="dongia_(2)1"/>
      <sheetName val="Cash_Flow_bulanan5"/>
      <sheetName val="Sat_Bah___Up1"/>
      <sheetName val="Kolom_UT1"/>
      <sheetName val="Harsat_Bahan1"/>
      <sheetName val="Harsat_Upah1"/>
      <sheetName val="T_ABANG1"/>
      <sheetName val="01A-_RAB1"/>
      <sheetName val="64_61"/>
      <sheetName val="53_1"/>
      <sheetName val="MH_CIVIL1"/>
      <sheetName val="64_141"/>
      <sheetName val="64_11"/>
      <sheetName val="64_21"/>
      <sheetName val="64_31"/>
      <sheetName val="64_41"/>
      <sheetName val="64_51"/>
      <sheetName val="36_31"/>
      <sheetName val="36_41"/>
      <sheetName val="36_21"/>
      <sheetName val="36_11"/>
      <sheetName val="kurva_S_(detail)1"/>
      <sheetName val="RESUME_FINANSIAL1"/>
      <sheetName val="Harga_Satuan1"/>
      <sheetName val="Office_Tower_1-Sewa1"/>
      <sheetName val="TOWER_11"/>
      <sheetName val="KOMERSIAL_OFFICE1"/>
      <sheetName val="TOWER_31"/>
      <sheetName val="TOWER_41"/>
      <sheetName val="TOWER_51"/>
      <sheetName val="TOWER_61"/>
      <sheetName val="TOWER_71"/>
      <sheetName val="Daf-4_5_Final1"/>
      <sheetName val="ANL STR"/>
      <sheetName val="metode "/>
      <sheetName val="ANALISA-1"/>
      <sheetName val="ANALISA-2"/>
      <sheetName val="BQ1"/>
      <sheetName val="RAB STRUKTUR"/>
      <sheetName val="Assumption"/>
      <sheetName val="Peralatan"/>
      <sheetName val="Real_Cost7"/>
      <sheetName val="rincian_biaya7"/>
      <sheetName val="harga_sat7"/>
      <sheetName val="Bahan_7"/>
      <sheetName val="Daftar_Harga_Material6"/>
      <sheetName val="Sat_Bah_&amp;_Up7"/>
      <sheetName val="analisa_Str6"/>
      <sheetName val="BQ-1A_prelim6"/>
      <sheetName val="analis_azaa6"/>
      <sheetName val="Fill_this_out_first___6"/>
      <sheetName val="struktur_tdk_dipakai6"/>
      <sheetName val="Ahs_22"/>
      <sheetName val="Ahs_12"/>
      <sheetName val="Cash_Flow_bulanan6"/>
      <sheetName val="dongia_(2)2"/>
      <sheetName val="Harsat_Bahan2"/>
      <sheetName val="Harsat_Upah2"/>
      <sheetName val="kurva_S_(detail)2"/>
      <sheetName val="Kolom_UT2"/>
      <sheetName val="Sat_Bah___Up2"/>
      <sheetName val="T_ABANG2"/>
      <sheetName val="01A-_RAB2"/>
      <sheetName val="64_62"/>
      <sheetName val="53_2"/>
      <sheetName val="MH_CIVIL2"/>
      <sheetName val="64_142"/>
      <sheetName val="64_12"/>
      <sheetName val="64_22"/>
      <sheetName val="64_32"/>
      <sheetName val="64_42"/>
      <sheetName val="64_52"/>
      <sheetName val="36_32"/>
      <sheetName val="36_42"/>
      <sheetName val="36_22"/>
      <sheetName val="36_12"/>
      <sheetName val="RESUME_FINANSIAL2"/>
      <sheetName val="Office_Tower_1-Sewa2"/>
      <sheetName val="TOWER_12"/>
      <sheetName val="KOMERSIAL_OFFICE2"/>
      <sheetName val="TOWER_32"/>
      <sheetName val="TOWER_42"/>
      <sheetName val="TOWER_52"/>
      <sheetName val="TOWER_62"/>
      <sheetName val="TOWER_72"/>
      <sheetName val="Harga_Satuan2"/>
      <sheetName val="Analisa_HSP"/>
      <sheetName val="Harga_Mat_"/>
      <sheetName val="ELEC_STIS"/>
      <sheetName val="main_summary"/>
      <sheetName val="HARGA_MATERIAL"/>
      <sheetName val="Kuantitas_&amp;_Harga"/>
      <sheetName val="Analisa_Upah_&amp;_Bahan_Plum"/>
      <sheetName val="Daf-4_5_Final2"/>
      <sheetName val="ME_UMY"/>
      <sheetName val="Analisa_Alat_Berat"/>
      <sheetName val="TONG_HOP_VL-NC"/>
      <sheetName val="CHITIET_VL-NC"/>
      <sheetName val="anal_alat"/>
      <sheetName val="ANL_STR"/>
      <sheetName val="metode_"/>
      <sheetName val="RAB_STRUKTUR"/>
      <sheetName val="H_Satuan1"/>
      <sheetName val="Pek. Persiapan"/>
      <sheetName val="Upah "/>
      <sheetName val="Urai _Resap pengikat"/>
      <sheetName val="DAF_1"/>
      <sheetName val="RAB THP1"/>
      <sheetName val="schtot"/>
      <sheetName val="RAB TOTAL"/>
      <sheetName val="Daf-Har-Pening"/>
      <sheetName val="DHSD"/>
      <sheetName val="Perm. Test"/>
      <sheetName val="AI"/>
      <sheetName val="sai"/>
      <sheetName val="LS"/>
      <sheetName val="AH"/>
      <sheetName val="AH3"/>
      <sheetName val="AH2"/>
      <sheetName val="DAFTAR UPAH DAN BAHAN"/>
      <sheetName val="Elekt"/>
      <sheetName val="HS-2"/>
      <sheetName val="MAP-Prog"/>
      <sheetName val="galian saluran"/>
      <sheetName val="AnEarthW"/>
      <sheetName val="BasicPrice"/>
      <sheetName val="AnLandW"/>
      <sheetName val="AnStoneW"/>
      <sheetName val="HRG BH"/>
      <sheetName val="Data basic price jgan diprint"/>
      <sheetName val="RAB2"/>
      <sheetName val="HRG BHN"/>
      <sheetName val="DAF.HRG"/>
      <sheetName val="BAHAN  lap"/>
      <sheetName val="8LT 12"/>
      <sheetName val="Harga Satuan Bahan"/>
      <sheetName val="Upah Tenaga Kerja"/>
      <sheetName val="AHSbj"/>
      <sheetName val="Sal"/>
      <sheetName val="arab"/>
      <sheetName val="ANAL.BOW"/>
      <sheetName val="PNT"/>
      <sheetName val="daf-3(OK)"/>
      <sheetName val="THPDMoi  (2)"/>
      <sheetName val="lam-moi"/>
      <sheetName val="thao-go"/>
      <sheetName val="TONGKE-HT"/>
      <sheetName val="t-h HA THE"/>
      <sheetName val="CHITIET VL-NC-TT -1p"/>
      <sheetName val="TONG HOP VL-NC TT"/>
      <sheetName val="CHITIET VL-NC-TT-3p"/>
      <sheetName val="KPVC-BD "/>
      <sheetName val="Up &amp; bhn"/>
      <sheetName val="3-DIV2"/>
      <sheetName val="BAG-2"/>
      <sheetName val="Koordinat"/>
      <sheetName val="Peralatan (2)"/>
      <sheetName val="D.78"/>
      <sheetName val="D.79"/>
      <sheetName val="D.80"/>
      <sheetName val="D.81"/>
      <sheetName val="D.82"/>
      <sheetName val="D.83"/>
      <sheetName val="D.84"/>
      <sheetName val="D.85"/>
      <sheetName val="D.86"/>
      <sheetName val="D.87"/>
      <sheetName val="D.88"/>
      <sheetName val="D.89"/>
      <sheetName val="D.91"/>
      <sheetName val="D.92"/>
      <sheetName val="D.93"/>
      <sheetName val="D.94"/>
      <sheetName val="D.95"/>
      <sheetName val="D.96"/>
      <sheetName val="Bahan&amp; upah"/>
      <sheetName val="A+Supl."/>
      <sheetName val="UNIT PRICE"/>
      <sheetName val="AGG, C"/>
      <sheetName val="UMUM"/>
      <sheetName val="RAB KapukII"/>
      <sheetName val="BAU"/>
      <sheetName val="Bahan.B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CAT-HRG"/>
      <sheetName val="bag-1"/>
      <sheetName val="bag-2"/>
      <sheetName val="BAG-III"/>
      <sheetName val="BAG-IV"/>
      <sheetName val="BAG_III"/>
      <sheetName val="upah"/>
      <sheetName val="Analisa"/>
      <sheetName val="CONSUMABLE"/>
      <sheetName val="harsat"/>
      <sheetName val="ANALISA PEK.UMUM"/>
      <sheetName val="Elektrikal"/>
      <sheetName val="Currency Rate"/>
      <sheetName val="Material"/>
      <sheetName val="Sat Bah &amp; Up"/>
      <sheetName val="ARSITEKTUR"/>
      <sheetName val="STRUKTUR"/>
      <sheetName val="LKVL-CK-HT-GD1"/>
      <sheetName val="TONG HOP VL-NC"/>
      <sheetName val="TONGKE3p "/>
      <sheetName val="#REF"/>
      <sheetName val="chitiet"/>
      <sheetName val="DONGIA"/>
      <sheetName val="DON GIA"/>
      <sheetName val="DG"/>
      <sheetName val="CHITIET VL-NC"/>
      <sheetName val="VCV-BE-TONG"/>
    </sheetNames>
    <sheetDataSet>
      <sheetData sheetId="0" refreshError="1"/>
      <sheetData sheetId="1" refreshError="1"/>
      <sheetData sheetId="2" refreshError="1"/>
      <sheetData sheetId="3" refreshError="1"/>
      <sheetData sheetId="4" refreshError="1">
        <row r="281">
          <cell r="J281">
            <v>527700</v>
          </cell>
        </row>
        <row r="284">
          <cell r="J284">
            <v>180000</v>
          </cell>
        </row>
        <row r="289">
          <cell r="J289">
            <v>44000</v>
          </cell>
        </row>
        <row r="290">
          <cell r="J290">
            <v>33100</v>
          </cell>
        </row>
        <row r="291">
          <cell r="J291">
            <v>27000</v>
          </cell>
        </row>
        <row r="292">
          <cell r="J292">
            <v>22000</v>
          </cell>
        </row>
        <row r="293">
          <cell r="J293">
            <v>13800</v>
          </cell>
        </row>
        <row r="294">
          <cell r="J294">
            <v>10000</v>
          </cell>
        </row>
        <row r="302">
          <cell r="J302">
            <v>112800</v>
          </cell>
        </row>
        <row r="303">
          <cell r="J303">
            <v>99000</v>
          </cell>
        </row>
        <row r="309">
          <cell r="J309">
            <v>37800</v>
          </cell>
        </row>
        <row r="310">
          <cell r="J310">
            <v>18600</v>
          </cell>
        </row>
        <row r="311">
          <cell r="J311">
            <v>13500</v>
          </cell>
        </row>
        <row r="312">
          <cell r="J312">
            <v>11100</v>
          </cell>
        </row>
        <row r="313">
          <cell r="J313">
            <v>6400</v>
          </cell>
        </row>
        <row r="316">
          <cell r="J316">
            <v>13000</v>
          </cell>
        </row>
        <row r="317">
          <cell r="J317">
            <v>7000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BAHAN"/>
      <sheetName val="ANLS-struktur&amp;ars"/>
      <sheetName val="ANALISA-RAB"/>
      <sheetName val="S.UPAH"/>
      <sheetName val="S_BAHAN"/>
      <sheetName val="S_UPAH"/>
      <sheetName val="BAG-III"/>
      <sheetName val="analisa Str"/>
      <sheetName val="01A- RAB"/>
      <sheetName val="bau"/>
      <sheetName val="GAJI"/>
      <sheetName val="REKAP"/>
      <sheetName val="BAG_III"/>
      <sheetName val="Currency Rate"/>
      <sheetName val="Elektrikal"/>
      <sheetName val="BAHAN"/>
      <sheetName val="harsat"/>
      <sheetName val="FORM X COST"/>
      <sheetName val="Analisa"/>
      <sheetName val="SAP"/>
      <sheetName val="Harga satuan"/>
    </sheetNames>
    <sheetDataSet>
      <sheetData sheetId="0" refreshError="1">
        <row r="21">
          <cell r="K21">
            <v>113750</v>
          </cell>
        </row>
        <row r="26">
          <cell r="K26">
            <v>21000</v>
          </cell>
        </row>
      </sheetData>
      <sheetData sheetId="1" refreshError="1"/>
      <sheetData sheetId="2" refreshError="1"/>
      <sheetData sheetId="3" refreshError="1">
        <row r="8">
          <cell r="O8">
            <v>1</v>
          </cell>
        </row>
        <row r="24">
          <cell r="J24">
            <v>15000</v>
          </cell>
        </row>
        <row r="25">
          <cell r="J25">
            <v>7500</v>
          </cell>
        </row>
        <row r="26">
          <cell r="J26">
            <v>112500</v>
          </cell>
        </row>
        <row r="30">
          <cell r="J30">
            <v>3000</v>
          </cell>
        </row>
        <row r="31">
          <cell r="J31">
            <v>825</v>
          </cell>
        </row>
        <row r="33">
          <cell r="J33">
            <v>14250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PNDA1"/>
      <sheetName val="DISPNDA2"/>
      <sheetName val="KUJANG"/>
      <sheetName val="ALAT"/>
      <sheetName val="PERTMINA"/>
      <sheetName val="arsRSUPKU"/>
      <sheetName val="REKAP"/>
      <sheetName val="POMALA"/>
      <sheetName val="BKPM"/>
      <sheetName val="LAPIAZ"/>
      <sheetName val="ARST.ABANG"/>
      <sheetName val="MANHATTAN"/>
      <sheetName val="T.ABANG"/>
      <sheetName val="ARTAGDING"/>
      <sheetName val="PAKUBWONO"/>
      <sheetName val="BELAGIO"/>
      <sheetName val="BIJAMBI"/>
      <sheetName val="SENTUL"/>
      <sheetName val="SEMANAN"/>
      <sheetName val="PEKERJAAN"/>
      <sheetName val="UPAH"/>
      <sheetName val="BAHAN"/>
      <sheetName val="ALAT+BANTU"/>
      <sheetName val="BEKASI"/>
      <sheetName val="GTCMAKASAR"/>
      <sheetName val="MANGGA2"/>
      <sheetName val="MALARTA.GD"/>
      <sheetName val="TARAKAN"/>
      <sheetName val="SUN"/>
      <sheetName val="PGC"/>
      <sheetName val="T_ABANG"/>
      <sheetName val="Sat Bah &amp; Up"/>
      <sheetName val="Urai _Resap pengikat"/>
      <sheetName val="harsat"/>
      <sheetName val="Analisa Harga"/>
      <sheetName val="Summary"/>
      <sheetName val="Analisa STR"/>
      <sheetName val="S.UPAH"/>
      <sheetName val="S.BAHAN"/>
      <sheetName val="DAF-3"/>
      <sheetName val="hs-str"/>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208">
          <cell r="I208">
            <v>15900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265">
          <cell r="I265">
            <v>18500</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gos"/>
      <sheetName val=".."/>
      <sheetName val="Ketentuan"/>
      <sheetName val="Disclaimer-"/>
      <sheetName val="Informasi"/>
      <sheetName val="4-Basic Price"/>
      <sheetName val="Rekap"/>
      <sheetName val="BOQ"/>
      <sheetName val="D2"/>
      <sheetName val="D3"/>
      <sheetName val="D5"/>
      <sheetName val="D6"/>
      <sheetName val="D6 ASBT"/>
      <sheetName val="D7(1)"/>
      <sheetName val="D7(2)"/>
      <sheetName val="D7(3)"/>
      <sheetName val="D8(1)"/>
      <sheetName val="D8(2)"/>
      <sheetName val="MOBILISASI"/>
      <sheetName val="4-Analisa Quarry"/>
      <sheetName val="Peta Quarry (X)"/>
      <sheetName val="Lalu Lintas (X)"/>
      <sheetName val="D4"/>
      <sheetName val="5-ALAT(1)"/>
      <sheetName val="5-ALAT (2)"/>
      <sheetName val="Agg Halus &amp; Kasar"/>
      <sheetName val="Agg A"/>
      <sheetName val="Sheet1"/>
      <sheetName val="Agg B-S"/>
      <sheetName val="Agg C"/>
      <sheetName val="CTRB"/>
      <sheetName val="U-Dith"/>
      <sheetName val="Sheet2"/>
      <sheetName val="Sheet3"/>
    </sheetNames>
    <sheetDataSet>
      <sheetData sheetId="0" refreshError="1"/>
      <sheetData sheetId="1" refreshError="1"/>
      <sheetData sheetId="2" refreshError="1"/>
      <sheetData sheetId="3" refreshError="1"/>
      <sheetData sheetId="4" refreshError="1"/>
      <sheetData sheetId="5">
        <row r="41">
          <cell r="I41">
            <v>166700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ow r="25">
          <cell r="AW25">
            <v>192036.53075100604</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_Dasar"/>
      <sheetName val="daf_H_sat"/>
      <sheetName val="Analisa pemkot"/>
      <sheetName val="biaya sewa alat"/>
      <sheetName val="AN_Alat"/>
      <sheetName val="analisa buangan"/>
      <sheetName val="analisa BM"/>
      <sheetName val="Sheet3"/>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sat"/>
      <sheetName val="ana"/>
      <sheetName val="1"/>
      <sheetName val="2"/>
      <sheetName val="3"/>
      <sheetName val="4"/>
      <sheetName val="5"/>
      <sheetName val="6"/>
      <sheetName val="7"/>
      <sheetName val="BILL NO.1"/>
      <sheetName val="BILL NO. 2"/>
      <sheetName val="BILL NO. 3"/>
      <sheetName val="BILL NO. 4"/>
      <sheetName val="BILL NO. 5"/>
      <sheetName val="BILL NO. 6"/>
      <sheetName val="BILL NO. 7"/>
      <sheetName val="Kerja tambah"/>
      <sheetName val="BILL NO. 8"/>
      <sheetName val="REKAP"/>
      <sheetName val="S.UPAH"/>
      <sheetName val="S.BAHAN"/>
      <sheetName val="Material"/>
      <sheetName val="Analisa Gabungan"/>
      <sheetName val="Sub"/>
      <sheetName val="HRG BAHAN &amp; UPAH okk"/>
      <sheetName val="Analis Kusen okk"/>
      <sheetName val="upah"/>
      <sheetName val="Ahs.2"/>
      <sheetName val="Ahs.1"/>
      <sheetName val="rumus"/>
      <sheetName val="anal Lamp 4a"/>
      <sheetName val="analisa Str"/>
      <sheetName val="Kuantitas &amp; Harga"/>
      <sheetName val="SAP"/>
      <sheetName val="STR"/>
      <sheetName val="Rate"/>
    </sheetNames>
    <sheetDataSet>
      <sheetData sheetId="0" refreshError="1">
        <row r="16">
          <cell r="H16">
            <v>25700</v>
          </cell>
        </row>
        <row r="17">
          <cell r="H17">
            <v>25700</v>
          </cell>
        </row>
        <row r="18">
          <cell r="H18">
            <v>26060</v>
          </cell>
        </row>
        <row r="19">
          <cell r="H19">
            <v>26060</v>
          </cell>
        </row>
        <row r="20">
          <cell r="H20">
            <v>1660</v>
          </cell>
        </row>
        <row r="21">
          <cell r="H21">
            <v>20000</v>
          </cell>
        </row>
        <row r="22">
          <cell r="H22">
            <v>20000</v>
          </cell>
        </row>
        <row r="27">
          <cell r="H27">
            <v>131830</v>
          </cell>
        </row>
        <row r="29">
          <cell r="H29">
            <v>17750</v>
          </cell>
        </row>
        <row r="38">
          <cell r="H38">
            <v>1298240</v>
          </cell>
        </row>
        <row r="45">
          <cell r="H45">
            <v>1029500</v>
          </cell>
        </row>
        <row r="123">
          <cell r="H123">
            <v>7500</v>
          </cell>
        </row>
        <row r="125">
          <cell r="H125">
            <v>7500</v>
          </cell>
        </row>
        <row r="126">
          <cell r="H126">
            <v>14000</v>
          </cell>
        </row>
        <row r="133">
          <cell r="H133">
            <v>43000</v>
          </cell>
        </row>
        <row r="134">
          <cell r="H134">
            <v>45000</v>
          </cell>
        </row>
        <row r="135">
          <cell r="H135">
            <v>45000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ga Satuan Bahan"/>
      <sheetName val="Upah Tenaga Kerja"/>
      <sheetName val="Analisa Harga"/>
      <sheetName val="Daftar Harga Pekerjaan"/>
      <sheetName val="RAB"/>
      <sheetName val="Rekapitulasi Harga"/>
    </sheetNames>
    <sheetDataSet>
      <sheetData sheetId="0">
        <row r="13">
          <cell r="E13">
            <v>130000</v>
          </cell>
        </row>
        <row r="17">
          <cell r="E17">
            <v>500</v>
          </cell>
        </row>
        <row r="41">
          <cell r="E41">
            <v>12500</v>
          </cell>
        </row>
        <row r="43">
          <cell r="E43">
            <v>3850</v>
          </cell>
        </row>
        <row r="51">
          <cell r="E51">
            <v>925000</v>
          </cell>
        </row>
        <row r="61">
          <cell r="E61">
            <v>1600000</v>
          </cell>
        </row>
        <row r="82">
          <cell r="E82">
            <v>32400</v>
          </cell>
        </row>
        <row r="83">
          <cell r="E83">
            <v>33600</v>
          </cell>
        </row>
        <row r="85">
          <cell r="E85">
            <v>35000</v>
          </cell>
        </row>
        <row r="86">
          <cell r="E86">
            <v>55800</v>
          </cell>
        </row>
        <row r="87">
          <cell r="E87">
            <v>47000</v>
          </cell>
        </row>
        <row r="88">
          <cell r="E88">
            <v>58000</v>
          </cell>
        </row>
        <row r="89">
          <cell r="E89">
            <v>60000</v>
          </cell>
        </row>
        <row r="90">
          <cell r="E90">
            <v>74800</v>
          </cell>
        </row>
        <row r="93">
          <cell r="E93">
            <v>27500</v>
          </cell>
        </row>
        <row r="115">
          <cell r="E115">
            <v>5400</v>
          </cell>
        </row>
        <row r="125">
          <cell r="E125">
            <v>43600</v>
          </cell>
        </row>
        <row r="126">
          <cell r="E126">
            <v>64400</v>
          </cell>
        </row>
        <row r="156">
          <cell r="E156">
            <v>2000</v>
          </cell>
        </row>
        <row r="162">
          <cell r="E162">
            <v>4300</v>
          </cell>
        </row>
        <row r="168">
          <cell r="E168">
            <v>83000</v>
          </cell>
        </row>
        <row r="169">
          <cell r="E169">
            <v>3500</v>
          </cell>
        </row>
        <row r="171">
          <cell r="E171">
            <v>8200</v>
          </cell>
        </row>
        <row r="172">
          <cell r="E172">
            <v>11800</v>
          </cell>
        </row>
      </sheetData>
      <sheetData sheetId="1" refreshError="1"/>
      <sheetData sheetId="2" refreshError="1"/>
      <sheetData sheetId="3" refreshError="1"/>
      <sheetData sheetId="4" refreshError="1"/>
      <sheetData sheetId="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IBUSI"/>
      <sheetName val="REKAP"/>
      <sheetName val="PERSIAPAN"/>
      <sheetName val="STR"/>
      <sheetName val="ARS"/>
      <sheetName val="cover"/>
      <sheetName val="STR (TAMBAHAN)"/>
      <sheetName val="ARS (TAMBAHAN)"/>
      <sheetName val="DOWN GRADE"/>
      <sheetName val="PILING"/>
      <sheetName val="Pre-summary"/>
      <sheetName val="Pre-personnel"/>
      <sheetName val="Pre-equipment"/>
      <sheetName val="ANA"/>
      <sheetName val="ANA (submit)"/>
      <sheetName val="Sheet1"/>
    </sheetNames>
    <sheetDataSet>
      <sheetData sheetId="0"/>
      <sheetData sheetId="1"/>
      <sheetData sheetId="2" refreshError="1"/>
      <sheetData sheetId="3"/>
      <sheetData sheetId="4"/>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Uraian Analisa Alat"/>
      <sheetName val="Uraian Analisa BM Split"/>
      <sheetName val="Biaya Sewa Alat"/>
      <sheetName val="Form Harga"/>
      <sheetName val="Analisa Quary"/>
      <sheetName val="Form Survey"/>
      <sheetName val="Harga Alat"/>
      <sheetName val="D7(1)"/>
      <sheetName val="chitimc"/>
      <sheetName val="dongia (2)"/>
      <sheetName val="giathanh1"/>
      <sheetName val="LKVL-CK-HT-GD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XXX"/>
      <sheetName val="XXXXXXXX0"/>
      <sheetName val="XXXXXXXX1"/>
      <sheetName val="XXXXXXXX2"/>
      <sheetName val="XXXXXXXX3"/>
      <sheetName val="XXXXXXXX4"/>
      <sheetName val="XXXXXXXX5"/>
      <sheetName val="XXXXXXXX6"/>
      <sheetName val="XXXXXXXX7"/>
      <sheetName val="XXXXXXXX8"/>
      <sheetName val="XXXXXXXX9"/>
      <sheetName val="XXXXXXXXA"/>
      <sheetName val="XXXXXXXXB"/>
      <sheetName val="XXXXXXXXC"/>
      <sheetName val="XXXXXXXXD"/>
      <sheetName val="XXXXXXXXE"/>
      <sheetName val="dasboard"/>
      <sheetName val="Kurva - S"/>
      <sheetName val="rekap"/>
      <sheetName val="utama"/>
      <sheetName val="Fasos"/>
      <sheetName val="Utilitas"/>
      <sheetName val="pek-tnh-luar"/>
      <sheetName val="harsat&amp;upah"/>
      <sheetName val="AHS-Ars"/>
      <sheetName val="AHS_Kusen"/>
      <sheetName val="AHS_Partisi"/>
      <sheetName val="AHS-Pek.Luar"/>
      <sheetName val="AHS_Saluran"/>
      <sheetName val="AHS_Sipil"/>
      <sheetName val="Lansekap"/>
      <sheetName val="harsat_upah"/>
      <sheetName val="#REF"/>
      <sheetName val="harsat"/>
      <sheetName val="satuan_pek_ars"/>
      <sheetName val="STR"/>
      <sheetName val="ARSITEKTUR"/>
      <sheetName val="STRUKTUR"/>
      <sheetName val="BQ-Tenis"/>
      <sheetName val="Material"/>
      <sheetName val="BOQ_Aula"/>
      <sheetName val="Prelim"/>
      <sheetName val="TOTAL"/>
      <sheetName val="S.UPAH"/>
      <sheetName val="S.BAHAN"/>
      <sheetName val="Analisa"/>
      <sheetName val="H-BHN"/>
      <sheetName val="Basic Pri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NEL"/>
      <sheetName val="AHASS (3)"/>
      <sheetName val="Ahass (2)"/>
      <sheetName val="Rekap"/>
      <sheetName val="Preliminaries"/>
      <sheetName val="Electrikal"/>
      <sheetName val="Elektronik"/>
      <sheetName val="Plumbing"/>
      <sheetName val="Fire Fighting"/>
      <sheetName val="AC"/>
      <sheetName val="Item Kompensasi"/>
      <sheetName val="Spek"/>
      <sheetName val="H.Satuan"/>
      <sheetName val="HARSAT_BAH"/>
      <sheetName val="BQ-E20-02(Rp)"/>
      <sheetName val="#REF"/>
      <sheetName val="Cover (x)"/>
      <sheetName val="Cor Apt"/>
      <sheetName val="FINISHING"/>
      <sheetName val="Plumbing &amp; Fire"/>
      <sheetName val="STRUKTUR"/>
      <sheetName val="ARSITEKTUR"/>
      <sheetName val="STR"/>
      <sheetName val="Bangunan Utama"/>
      <sheetName val="input"/>
      <sheetName val="H-BHN"/>
      <sheetName val="Analisa"/>
      <sheetName val="Hrg.Sat"/>
      <sheetName val="dasboard"/>
      <sheetName val="Daf-Harga"/>
      <sheetName val="ana-alat"/>
      <sheetName val="Vol."/>
      <sheetName val="Harga satuan"/>
      <sheetName val="AHS_Kusen"/>
      <sheetName val="harsat&amp;upah"/>
      <sheetName val="Bill of Qty MEP"/>
      <sheetName val="struktur tdk dipakai"/>
      <sheetName val="harsat"/>
      <sheetName val="satuan_pek_ars"/>
      <sheetName val="Cover"/>
      <sheetName val="PPC"/>
      <sheetName val="BQ_E20_02_Rp_"/>
      <sheetName val="Hargamat"/>
      <sheetName val="Material"/>
      <sheetName val="HARGA MATERIAL"/>
      <sheetName val="Mall"/>
      <sheetName val="Mat.Mek"/>
      <sheetName val="Mat.Elk"/>
      <sheetName val="MAPP"/>
      <sheetName val="rek det 1-3"/>
      <sheetName val="HARGA ALAT"/>
      <sheetName val="HB"/>
      <sheetName val="upah_borong"/>
      <sheetName val="satuan_pek"/>
      <sheetName val="Ana"/>
      <sheetName val="Elektrikal"/>
      <sheetName val="ESCON"/>
      <sheetName val="RAB"/>
      <sheetName val="Harga "/>
      <sheetName val="SAT-UP"/>
      <sheetName val="harga"/>
      <sheetName val="Upah"/>
      <sheetName val="BAHAN"/>
      <sheetName val="Bill-19"/>
      <sheetName val="sum-bill22"/>
      <sheetName val="An Arsitektur"/>
      <sheetName val="An Struktur"/>
      <sheetName val="2"/>
      <sheetName val="Analisa STR"/>
      <sheetName val="Mek-FW"/>
      <sheetName val="BELAGIO"/>
      <sheetName val="ARTAGDING"/>
      <sheetName val="MANHATTAN"/>
      <sheetName val="SENTUL"/>
      <sheetName val="hs-str"/>
      <sheetName val="RUKO TYPE 1"/>
      <sheetName val="GL"/>
      <sheetName val="MASTER_INPUT"/>
      <sheetName val="대비표"/>
      <sheetName val="Daftarharga"/>
      <sheetName val="Har-mat"/>
      <sheetName val="JAD-PEL"/>
      <sheetName val="Perm. Te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hboard"/>
      <sheetName val="S Kurve"/>
      <sheetName val="DB"/>
      <sheetName val="REKAP"/>
      <sheetName val="PERSIAPAN"/>
      <sheetName val="STRUKTUR"/>
      <sheetName val="ARS BM2"/>
      <sheetName val="Analisa"/>
      <sheetName val="Anal"/>
      <sheetName val="Sheet1"/>
      <sheetName val="Sheet2"/>
      <sheetName val="Har-mat"/>
      <sheetName val="Har_mat"/>
      <sheetName val="harsat"/>
      <sheetName val="dasboard"/>
      <sheetName val="harsat&amp;upah"/>
      <sheetName val="Electrikal"/>
      <sheetName val="Elektronik"/>
      <sheetName val="Plumbing"/>
      <sheetName val="AC"/>
      <sheetName val="Fire Fighting"/>
      <sheetName val="Item Kompensasi"/>
      <sheetName val="Hrg.Sat"/>
      <sheetName val="Analisa &amp; Upah"/>
      <sheetName val="Hrg_Sat"/>
      <sheetName val="satuan_pek_ars"/>
      <sheetName val=""/>
      <sheetName val="Hargamat"/>
      <sheetName val="K725"/>
      <sheetName val="L4"/>
      <sheetName val="K33H"/>
      <sheetName val="K621"/>
      <sheetName val="K819"/>
      <sheetName val="K331"/>
      <sheetName val="BQ"/>
      <sheetName val="hsp-STR-ARS"/>
      <sheetName val="H-BHN"/>
      <sheetName val="HARSAT BAHAN"/>
      <sheetName val="an. struktur"/>
      <sheetName val="STR"/>
      <sheetName val="RAP Poltekkes"/>
      <sheetName val="S_Kurve"/>
      <sheetName val="ARS_BM2"/>
      <sheetName val="Analisa H.Sat.Pek."/>
      <sheetName val="H.Material, Upah &amp; Alat"/>
      <sheetName val="_x0000_"/>
      <sheetName val="Harga "/>
      <sheetName val="Material"/>
      <sheetName val="ANALISA SM"/>
      <sheetName val="Upah+Bahan"/>
      <sheetName val="IGD - nstdr (A)"/>
      <sheetName val="Monitor"/>
      <sheetName val="B.T"/>
      <sheetName val="RAB"/>
      <sheetName val="Analisa STR"/>
      <sheetName val="SAT-BH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KARYAWAN"/>
      <sheetName val="Tab Kolom UT"/>
      <sheetName val="PileCap UT"/>
      <sheetName val="Tie Beam UT"/>
      <sheetName val="Tangga UT"/>
      <sheetName val="Kolom UT"/>
      <sheetName val="Plat UT"/>
      <sheetName val="Kabel Trennch UT "/>
      <sheetName val="Balok L.2 UT"/>
      <sheetName val="Balok L.Atap UT "/>
      <sheetName val="Waterproofing TU"/>
      <sheetName val="Pondasi Mesin UT "/>
      <sheetName val="Pond Bt Kali UT"/>
      <sheetName val="Urugan tanah UT"/>
      <sheetName val="Dinding UT"/>
      <sheetName val="Finsh. Lantai TU"/>
      <sheetName val="Finsh. Plafonf TU "/>
      <sheetName val="Sheet2"/>
      <sheetName val="Sheet5"/>
      <sheetName val="Sheet4"/>
      <sheetName val="Sheet3"/>
      <sheetName val="Sheet1"/>
      <sheetName val="Rekap Direct Cost"/>
      <sheetName val="Analisa -Baku"/>
      <sheetName val="PAD-F"/>
      <sheetName val="Har-mat"/>
      <sheetName val="Hrg.Sat"/>
      <sheetName val="anal"/>
      <sheetName val="Daftar Harga Bahan"/>
      <sheetName val="D3.1"/>
      <sheetName val="upah"/>
      <sheetName val="struktur tdk dipakai"/>
      <sheetName val="SAP"/>
      <sheetName val="Hargamaterial"/>
      <sheetName val="harsat"/>
      <sheetName val="Hargamat"/>
      <sheetName val="Analisa"/>
      <sheetName val="struktur"/>
      <sheetName val="Lt 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
      <sheetName val="Cover"/>
      <sheetName val="RAB"/>
      <sheetName val="Sub Rekap"/>
      <sheetName val="Sheet2"/>
      <sheetName val="Sheet3"/>
      <sheetName val="Kolom UT"/>
      <sheetName val="Basic Price"/>
      <sheetName val="Analisa"/>
      <sheetName val="ANALISA PEK.UMUM"/>
      <sheetName val="AnalisisHSPekerjaan"/>
      <sheetName val="02May06"/>
      <sheetName val="harsat"/>
      <sheetName val="SNI-17-3-09"/>
      <sheetName val="RKP.ANL"/>
      <sheetName val="UPAH"/>
      <sheetName val="BoQ"/>
      <sheetName val="daftarbhn"/>
      <sheetName val="Lt 1"/>
      <sheetName val="rab me (by owner) "/>
      <sheetName val="BQ (by owner)"/>
      <sheetName val="rab me (fisik)"/>
      <sheetName val="hsat-SD"/>
      <sheetName val="an-satuan"/>
      <sheetName val="Rekap-SD"/>
      <sheetName val="CORAT"/>
      <sheetName val="har-sat"/>
      <sheetName val="ana-alat"/>
      <sheetName val="Rekap"/>
      <sheetName val="DAFTAR  BESI IWF"/>
      <sheetName val="Harsat Upah"/>
      <sheetName val="DAFTAR BESI KANAL C SIKU"/>
      <sheetName val="BAHAN"/>
      <sheetName val="B_7"/>
      <sheetName val="B_6"/>
      <sheetName val="H.Satuan"/>
      <sheetName val="Df-Kuan"/>
      <sheetName val="NP"/>
      <sheetName val="Data Base"/>
      <sheetName val="4-Basic Price"/>
      <sheetName val="chitimc"/>
      <sheetName val="dongia (2)"/>
      <sheetName val="giathanh1"/>
      <sheetName val="LKVL-CK-HT-GD1"/>
      <sheetName val="lam-moi"/>
      <sheetName val="THPDMoi  (2)"/>
      <sheetName val="gtrinh"/>
      <sheetName val="phuluc1"/>
      <sheetName val="TONG HOP VL-NC"/>
      <sheetName val="chitiet"/>
      <sheetName val="TH VL, NC, DDHT Thanhphuoc"/>
      <sheetName val="DONGIA"/>
      <sheetName val="thao-go"/>
      <sheetName val="TONGKE-HT"/>
      <sheetName val="#REF"/>
      <sheetName val="dtxl"/>
      <sheetName val="t-h HA THE"/>
      <sheetName val="CHITIET VL-NC-TT -1p"/>
      <sheetName val="TONG HOP VL-NC TT"/>
      <sheetName val="TNHCHINH"/>
      <sheetName val="TH XL"/>
      <sheetName val="TONGKE3p "/>
      <sheetName val="CHITIET VL-NC"/>
      <sheetName val="VC"/>
      <sheetName val="Tiepdia"/>
      <sheetName val="CHITIET VL-NC-TT-3p"/>
      <sheetName val="TDTKP"/>
      <sheetName val="TDTKP1"/>
      <sheetName val="KPVC-BD "/>
      <sheetName val="VCV-BE-TONG"/>
      <sheetName val="SIT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SD"/>
      <sheetName val="URAIAN"/>
      <sheetName val="ANALISA"/>
      <sheetName val="B Q"/>
      <sheetName val="REKAP"/>
      <sheetName val="NEGOSIASI"/>
      <sheetName val="MPU"/>
      <sheetName val="Sheet1"/>
      <sheetName val="SCHEDULE"/>
      <sheetName val="00000000"/>
      <sheetName val="10000000"/>
      <sheetName val="TKDN"/>
      <sheetName val="Summary"/>
      <sheetName val="Estimate"/>
      <sheetName val="mobilisasi"/>
      <sheetName val="AHS"/>
      <sheetName val="D2"/>
      <sheetName val="D3"/>
      <sheetName val="D5"/>
      <sheetName val="D6"/>
      <sheetName val="D7(1)"/>
      <sheetName val="D7(2)"/>
      <sheetName val="D8"/>
      <sheetName val="skedul"/>
      <sheetName val="PQ-Personil"/>
      <sheetName val="PQ-Alat"/>
      <sheetName val="subkon"/>
      <sheetName val="Conferdam"/>
      <sheetName val="BOQ Rut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b-Ambon-ars"/>
      <sheetName val="rkp"/>
      <sheetName val="ME"/>
      <sheetName val="rekap"/>
      <sheetName val="struktur"/>
      <sheetName val="arsitektur"/>
      <sheetName val="bhn-upah"/>
      <sheetName val="analisa"/>
      <sheetName val="bhn_upah"/>
      <sheetName val="villa"/>
      <sheetName val="FINISHING"/>
      <sheetName val="Grand summary"/>
      <sheetName val="Bahan"/>
      <sheetName val="HRG BHN"/>
      <sheetName val="daf-3(OK)"/>
      <sheetName val="daf-7(OK)"/>
      <sheetName val="Bill-2"/>
      <sheetName val="Surat Penawaran"/>
      <sheetName val="BIIL ASLI"/>
      <sheetName val="Kolom UT"/>
      <sheetName val="Mgg-an"/>
      <sheetName val="Analisa Struktur Beton"/>
      <sheetName val="MAPP"/>
      <sheetName val="harga Satua Dasar"/>
      <sheetName val="Hargamat"/>
    </sheetNames>
    <sheetDataSet>
      <sheetData sheetId="0" refreshError="1"/>
      <sheetData sheetId="1" refreshError="1"/>
      <sheetData sheetId="2" refreshError="1"/>
      <sheetData sheetId="3" refreshError="1"/>
      <sheetData sheetId="4" refreshError="1"/>
      <sheetData sheetId="5" refreshError="1"/>
      <sheetData sheetId="6" refreshError="1">
        <row r="25">
          <cell r="H25">
            <v>2900</v>
          </cell>
        </row>
        <row r="52">
          <cell r="H52">
            <v>121800</v>
          </cell>
        </row>
        <row r="69">
          <cell r="H69">
            <v>83520</v>
          </cell>
        </row>
        <row r="73">
          <cell r="H73">
            <v>6960</v>
          </cell>
        </row>
        <row r="78">
          <cell r="H78">
            <v>2780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rekap"/>
      <sheetName val="Anggaran"/>
      <sheetName val="Sat~Pek"/>
      <sheetName val="Analys"/>
      <sheetName val="Sat~Bahu"/>
      <sheetName val="Analis alat"/>
      <sheetName val="ANALIS TAMBAHAN"/>
      <sheetName val="Sat_Bahu"/>
      <sheetName val="Sheet1"/>
      <sheetName val="Sheet2"/>
      <sheetName val="Sheet3"/>
      <sheetName val="Recovered_Sheet1"/>
      <sheetName val="000000"/>
      <sheetName val="Perhitungan Besi"/>
      <sheetName val="DAFTAR BESI KANAL C SIKU"/>
      <sheetName val="DAFTAR  BESI IWF"/>
      <sheetName val="Analisa tak terpakai"/>
      <sheetName val="Harsat Upah"/>
      <sheetName val="schedule"/>
      <sheetName val="Analisa Teknis"/>
      <sheetName val="Analisa"/>
      <sheetName val="mos"/>
      <sheetName val="Harsat Pekerjaan"/>
      <sheetName val="JLN(TRT (3)"/>
    </sheetNames>
    <sheetDataSet>
      <sheetData sheetId="0"/>
      <sheetData sheetId="1" refreshError="1"/>
      <sheetData sheetId="2" refreshError="1"/>
      <sheetData sheetId="3"/>
      <sheetData sheetId="4"/>
      <sheetData sheetId="5" refreshError="1">
        <row r="6">
          <cell r="C6" t="str">
            <v>Mandor Lapangan</v>
          </cell>
          <cell r="G6" t="str">
            <v>L.061</v>
          </cell>
          <cell r="H6">
            <v>40000</v>
          </cell>
        </row>
        <row r="9">
          <cell r="H9">
            <v>40000</v>
          </cell>
        </row>
        <row r="10">
          <cell r="G10" t="str">
            <v>L.079</v>
          </cell>
          <cell r="H10">
            <v>35000</v>
          </cell>
        </row>
        <row r="11">
          <cell r="G11" t="str">
            <v>L.081</v>
          </cell>
          <cell r="H11">
            <v>50000</v>
          </cell>
        </row>
        <row r="12">
          <cell r="C12" t="str">
            <v>Operator kurang terlatih  *)</v>
          </cell>
          <cell r="H12">
            <v>42500</v>
          </cell>
        </row>
        <row r="13">
          <cell r="C13" t="str">
            <v>Pembantu operator</v>
          </cell>
          <cell r="H13">
            <v>35000</v>
          </cell>
        </row>
        <row r="14">
          <cell r="H14">
            <v>42500</v>
          </cell>
        </row>
        <row r="17">
          <cell r="C17" t="str">
            <v>Buruh lapangan tak terlatih</v>
          </cell>
          <cell r="G17" t="str">
            <v>L.101</v>
          </cell>
          <cell r="H17">
            <v>25000</v>
          </cell>
        </row>
        <row r="18">
          <cell r="C18" t="str">
            <v>Buruh lapangan kurang terlatih</v>
          </cell>
          <cell r="G18" t="str">
            <v>L.103</v>
          </cell>
          <cell r="H18">
            <v>27500</v>
          </cell>
        </row>
        <row r="19">
          <cell r="C19" t="str">
            <v>Buruh lapangan terlatih</v>
          </cell>
          <cell r="G19" t="str">
            <v>L.106</v>
          </cell>
          <cell r="H19">
            <v>30000</v>
          </cell>
        </row>
        <row r="28">
          <cell r="F28" t="str">
            <v>M010</v>
          </cell>
          <cell r="G28" t="str">
            <v>M3</v>
          </cell>
          <cell r="H28">
            <v>70000</v>
          </cell>
        </row>
        <row r="29">
          <cell r="C29" t="str">
            <v>Kerikil dari galian bukit</v>
          </cell>
          <cell r="F29" t="str">
            <v>M011</v>
          </cell>
          <cell r="G29" t="str">
            <v>M3</v>
          </cell>
          <cell r="H29">
            <v>60000</v>
          </cell>
        </row>
        <row r="30">
          <cell r="C30" t="str">
            <v>Kerikil sungai (dengan pasir)</v>
          </cell>
          <cell r="F30" t="str">
            <v>M012</v>
          </cell>
          <cell r="G30" t="str">
            <v>M3</v>
          </cell>
          <cell r="H30">
            <v>65000</v>
          </cell>
        </row>
        <row r="31">
          <cell r="C31" t="str">
            <v>Sirtu tersaring pecah bergradasi</v>
          </cell>
          <cell r="F31" t="str">
            <v>M012*</v>
          </cell>
          <cell r="G31" t="str">
            <v>M3</v>
          </cell>
          <cell r="H31">
            <v>81000</v>
          </cell>
        </row>
        <row r="32">
          <cell r="C32" t="str">
            <v>Batu tersaring pecah bergradasi</v>
          </cell>
          <cell r="F32" t="str">
            <v>M012**</v>
          </cell>
          <cell r="H32">
            <v>95000</v>
          </cell>
        </row>
        <row r="35">
          <cell r="C35" t="str">
            <v>Batu belah  10 - 15 cm</v>
          </cell>
          <cell r="F35" t="str">
            <v>M020</v>
          </cell>
          <cell r="G35" t="str">
            <v>M3</v>
          </cell>
          <cell r="H35">
            <v>90000</v>
          </cell>
        </row>
        <row r="37">
          <cell r="C37" t="str">
            <v>Batu belah    5 -   7 cm</v>
          </cell>
          <cell r="F37" t="str">
            <v>M022</v>
          </cell>
          <cell r="G37" t="str">
            <v>M3</v>
          </cell>
          <cell r="H37">
            <v>110000</v>
          </cell>
        </row>
        <row r="38">
          <cell r="C38" t="str">
            <v>Batu belah     3 -  5 cm</v>
          </cell>
          <cell r="F38" t="str">
            <v>M023</v>
          </cell>
          <cell r="G38" t="str">
            <v>M3</v>
          </cell>
          <cell r="H38">
            <v>125000</v>
          </cell>
        </row>
        <row r="39">
          <cell r="C39" t="str">
            <v>Batu belah     2 -   3 cm</v>
          </cell>
          <cell r="F39" t="str">
            <v>M024</v>
          </cell>
          <cell r="G39" t="str">
            <v>M3</v>
          </cell>
          <cell r="H39">
            <v>140000</v>
          </cell>
        </row>
        <row r="40">
          <cell r="C40" t="str">
            <v>Batu belah     1 -   2 cm</v>
          </cell>
          <cell r="F40" t="str">
            <v>M025</v>
          </cell>
          <cell r="G40" t="str">
            <v>M3</v>
          </cell>
          <cell r="H40">
            <v>155000</v>
          </cell>
        </row>
        <row r="41">
          <cell r="C41" t="str">
            <v>Batu belah  0,5 -  1 cm (screen)</v>
          </cell>
          <cell r="F41" t="str">
            <v>M026</v>
          </cell>
          <cell r="G41" t="str">
            <v>M3</v>
          </cell>
          <cell r="H41">
            <v>120000</v>
          </cell>
        </row>
        <row r="45">
          <cell r="C45" t="str">
            <v>Pasir urug / timbun</v>
          </cell>
          <cell r="F45" t="str">
            <v>M040</v>
          </cell>
          <cell r="G45" t="str">
            <v>M3</v>
          </cell>
          <cell r="H45">
            <v>50000</v>
          </cell>
        </row>
        <row r="46">
          <cell r="C46" t="str">
            <v>Pasir ayak untuk beton / kasar</v>
          </cell>
          <cell r="F46" t="str">
            <v>M041</v>
          </cell>
          <cell r="G46" t="str">
            <v>M3</v>
          </cell>
          <cell r="H46">
            <v>75000</v>
          </cell>
        </row>
        <row r="47">
          <cell r="C47" t="str">
            <v>Pasir pasang</v>
          </cell>
          <cell r="F47" t="str">
            <v>M042</v>
          </cell>
          <cell r="G47" t="str">
            <v>M3</v>
          </cell>
          <cell r="H47">
            <v>60000</v>
          </cell>
        </row>
        <row r="48">
          <cell r="C48" t="str">
            <v>Bahan timbunan pilihan</v>
          </cell>
          <cell r="F48" t="str">
            <v>M050</v>
          </cell>
          <cell r="G48" t="str">
            <v>M3</v>
          </cell>
          <cell r="H48">
            <v>52000</v>
          </cell>
        </row>
        <row r="49">
          <cell r="G49" t="str">
            <v>KG</v>
          </cell>
          <cell r="H49">
            <v>4875</v>
          </cell>
        </row>
        <row r="53">
          <cell r="F53" t="str">
            <v>M065</v>
          </cell>
          <cell r="G53" t="str">
            <v>LT</v>
          </cell>
          <cell r="H53">
            <v>2500</v>
          </cell>
        </row>
        <row r="55">
          <cell r="F55" t="str">
            <v>M080</v>
          </cell>
          <cell r="G55" t="str">
            <v>50 KG</v>
          </cell>
          <cell r="H55">
            <v>43000</v>
          </cell>
        </row>
        <row r="58">
          <cell r="C58" t="str">
            <v>Kapur bakar</v>
          </cell>
          <cell r="F58" t="str">
            <v>M081</v>
          </cell>
          <cell r="G58" t="str">
            <v>M3</v>
          </cell>
          <cell r="H58">
            <v>105000</v>
          </cell>
        </row>
        <row r="62">
          <cell r="F62" t="str">
            <v>M162</v>
          </cell>
          <cell r="G62" t="str">
            <v>KG</v>
          </cell>
          <cell r="H62">
            <v>7500</v>
          </cell>
        </row>
        <row r="66">
          <cell r="F66" t="str">
            <v>M166</v>
          </cell>
          <cell r="G66" t="str">
            <v>KG</v>
          </cell>
          <cell r="H66">
            <v>9000</v>
          </cell>
        </row>
        <row r="67">
          <cell r="C67" t="str">
            <v>Baja tulangan beton U32</v>
          </cell>
          <cell r="F67" t="str">
            <v>M167</v>
          </cell>
          <cell r="G67" t="str">
            <v>KG</v>
          </cell>
          <cell r="H67">
            <v>8100</v>
          </cell>
        </row>
        <row r="76">
          <cell r="C76" t="str">
            <v>Alat-alat bantu *)</v>
          </cell>
          <cell r="F76" t="str">
            <v>M170</v>
          </cell>
          <cell r="G76" t="str">
            <v>SET</v>
          </cell>
          <cell r="H76">
            <v>80000</v>
          </cell>
        </row>
        <row r="77">
          <cell r="C77" t="str">
            <v>Kayu untuk perancah</v>
          </cell>
          <cell r="F77" t="str">
            <v>M180</v>
          </cell>
          <cell r="G77" t="str">
            <v>M3</v>
          </cell>
          <cell r="H77">
            <v>850000</v>
          </cell>
        </row>
        <row r="82">
          <cell r="G82" t="str">
            <v>BH</v>
          </cell>
          <cell r="H82">
            <v>780</v>
          </cell>
        </row>
        <row r="86">
          <cell r="G86" t="str">
            <v>TONNE</v>
          </cell>
          <cell r="H86">
            <v>635000</v>
          </cell>
        </row>
        <row r="87">
          <cell r="G87" t="str">
            <v>TONNE</v>
          </cell>
          <cell r="H87">
            <v>650000</v>
          </cell>
        </row>
        <row r="88">
          <cell r="G88" t="str">
            <v>M3</v>
          </cell>
          <cell r="H88">
            <v>17500</v>
          </cell>
        </row>
        <row r="91">
          <cell r="G91" t="str">
            <v>E.001</v>
          </cell>
          <cell r="H91">
            <v>196200</v>
          </cell>
        </row>
        <row r="92">
          <cell r="G92" t="str">
            <v>E.010</v>
          </cell>
          <cell r="H92">
            <v>143300</v>
          </cell>
        </row>
        <row r="93">
          <cell r="C93" t="str">
            <v>Pemecah batu 200 HP</v>
          </cell>
          <cell r="G93" t="str">
            <v>E.031</v>
          </cell>
          <cell r="H93">
            <v>238800</v>
          </cell>
        </row>
        <row r="94">
          <cell r="C94" t="str">
            <v>Wheel loader 80 HP</v>
          </cell>
          <cell r="G94" t="str">
            <v>E.052</v>
          </cell>
          <cell r="H94">
            <v>102600</v>
          </cell>
        </row>
        <row r="95">
          <cell r="C95" t="str">
            <v>Wheel tractor 60 HP</v>
          </cell>
          <cell r="G95" t="str">
            <v>E.053</v>
          </cell>
          <cell r="H95">
            <v>102600</v>
          </cell>
        </row>
        <row r="96">
          <cell r="C96" t="str">
            <v>Mesin gilas 3 roda  8 -10 ton</v>
          </cell>
          <cell r="G96" t="str">
            <v>E.080</v>
          </cell>
          <cell r="H96">
            <v>71350</v>
          </cell>
        </row>
        <row r="97">
          <cell r="C97" t="str">
            <v>Mesin gilas tandem 6 - 10 ton</v>
          </cell>
          <cell r="G97" t="str">
            <v>E.081</v>
          </cell>
          <cell r="H97">
            <v>62550</v>
          </cell>
        </row>
        <row r="98">
          <cell r="C98" t="str">
            <v>Mesin gilas bergetar  1 ton</v>
          </cell>
          <cell r="G98" t="str">
            <v>E.082</v>
          </cell>
          <cell r="H98">
            <v>16700</v>
          </cell>
        </row>
        <row r="99">
          <cell r="C99" t="str">
            <v>Mesin gilas roda karet 8 - 10 ton</v>
          </cell>
          <cell r="G99" t="str">
            <v>E.084</v>
          </cell>
          <cell r="H99">
            <v>62700</v>
          </cell>
        </row>
        <row r="100">
          <cell r="C100" t="str">
            <v>Stamper 4 HP</v>
          </cell>
          <cell r="G100" t="str">
            <v>E.088</v>
          </cell>
          <cell r="H100">
            <v>9800</v>
          </cell>
        </row>
        <row r="101">
          <cell r="G101" t="str">
            <v>E.089</v>
          </cell>
          <cell r="H101">
            <v>16300</v>
          </cell>
        </row>
        <row r="102">
          <cell r="C102" t="str">
            <v>Asphalt sprayer 1000 ltr</v>
          </cell>
          <cell r="G102" t="str">
            <v>E.153</v>
          </cell>
          <cell r="H102">
            <v>53950</v>
          </cell>
        </row>
        <row r="103">
          <cell r="C103" t="str">
            <v>Asphalt sprayer 200  ltr</v>
          </cell>
          <cell r="G103" t="str">
            <v>E.154</v>
          </cell>
          <cell r="H103">
            <v>34125</v>
          </cell>
        </row>
        <row r="104">
          <cell r="C104" t="str">
            <v>Mesin penghampar  1,82 m</v>
          </cell>
          <cell r="G104" t="str">
            <v>E.157</v>
          </cell>
          <cell r="H104">
            <v>91200</v>
          </cell>
        </row>
        <row r="105">
          <cell r="G105" t="str">
            <v>E.182</v>
          </cell>
          <cell r="H105">
            <v>39500</v>
          </cell>
        </row>
        <row r="106">
          <cell r="C106" t="str">
            <v>Trailer gandengan  1 ton</v>
          </cell>
          <cell r="G106" t="str">
            <v>E.191</v>
          </cell>
          <cell r="H106">
            <v>105000</v>
          </cell>
        </row>
        <row r="107">
          <cell r="C107" t="str">
            <v>Dump truck (5 T) / 68 HP</v>
          </cell>
          <cell r="G107" t="str">
            <v>E.212</v>
          </cell>
          <cell r="H107">
            <v>102375</v>
          </cell>
        </row>
        <row r="108">
          <cell r="C108" t="str">
            <v>Dump truck (3,5 T) / 44 HP</v>
          </cell>
          <cell r="G108" t="str">
            <v>E.221</v>
          </cell>
          <cell r="H108">
            <v>85300</v>
          </cell>
        </row>
        <row r="109">
          <cell r="C109" t="str">
            <v>Pencampur beton 125 ltr</v>
          </cell>
          <cell r="G109" t="str">
            <v>E.251</v>
          </cell>
          <cell r="H109">
            <v>16350</v>
          </cell>
        </row>
        <row r="110">
          <cell r="C110" t="str">
            <v>Pencampur beton 500 ltr</v>
          </cell>
          <cell r="G110" t="str">
            <v>E.253</v>
          </cell>
        </row>
        <row r="111">
          <cell r="G111" t="str">
            <v>E.253</v>
          </cell>
          <cell r="H111">
            <v>10900</v>
          </cell>
        </row>
        <row r="112">
          <cell r="C112" t="str">
            <v>Water Pomp D. 5 cm</v>
          </cell>
          <cell r="G112" t="str">
            <v>E.341</v>
          </cell>
          <cell r="H112">
            <v>9300</v>
          </cell>
        </row>
        <row r="113">
          <cell r="C113" t="str">
            <v>Blower</v>
          </cell>
          <cell r="G113" t="str">
            <v>E.</v>
          </cell>
          <cell r="H113">
            <v>3500</v>
          </cell>
        </row>
        <row r="114">
          <cell r="C114" t="str">
            <v>Peralatan tractor dll.</v>
          </cell>
          <cell r="G114" t="str">
            <v>E.401</v>
          </cell>
          <cell r="H114">
            <v>58500</v>
          </cell>
        </row>
      </sheetData>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ata Suara"/>
      <sheetName val="Titik kabel"/>
      <sheetName val="Tata Suara (2)"/>
      <sheetName val="Tata Suara (3)"/>
      <sheetName val="Tata Suara (4)"/>
      <sheetName val="Ahs.2"/>
      <sheetName val="Ahs.1"/>
      <sheetName val="harsat"/>
      <sheetName val="analisa"/>
      <sheetName val="HRG- UPAH"/>
      <sheetName val="bhn-upah"/>
      <sheetName val="Lt I"/>
      <sheetName val="chitimc"/>
      <sheetName val="dongia (2)"/>
      <sheetName val="LKVL-CK-HT-GD1"/>
      <sheetName val="giathanh1"/>
      <sheetName val="THPDMoi  (2)"/>
      <sheetName val="gtrinh"/>
      <sheetName val="phuluc1"/>
      <sheetName val="TONG HOP VL-NC"/>
      <sheetName val="lam-moi"/>
      <sheetName val="chitiet"/>
      <sheetName val="TONGKE3p "/>
      <sheetName val="TH VL, NC, DDHT Thanhphuoc"/>
      <sheetName val="#REF"/>
      <sheetName val="DONGIA"/>
      <sheetName val="thao-go"/>
      <sheetName val="DON GIA"/>
      <sheetName val="TONGKE-HT"/>
      <sheetName val="DG"/>
      <sheetName val="dtxl"/>
      <sheetName val="t-h HA THE"/>
      <sheetName val="CHITIET VL-NC-TT -1p"/>
      <sheetName val="TONG HOP VL-NC TT"/>
      <sheetName val="TNHCHINH"/>
      <sheetName val="TH XL"/>
      <sheetName val="CHITIET VL-NC"/>
      <sheetName val="KPVC-BD "/>
      <sheetName val="VCV-BE-TONG"/>
      <sheetName val="ES_PARK"/>
      <sheetName val="ES-PARK"/>
      <sheetName val="TOTAL"/>
      <sheetName val="PREM"/>
      <sheetName val="ESCON"/>
      <sheetName val="DAFTAR HARGA"/>
      <sheetName val="SATUAN JADI "/>
      <sheetName val="BAG_2"/>
      <sheetName val="bhn_upah"/>
      <sheetName val="daf-3(OK)"/>
      <sheetName val="daf-7(OK)"/>
      <sheetName val="Plumbing"/>
      <sheetName val="Fire Fighting"/>
      <sheetName val="Grand summary"/>
      <sheetName val="RAB-Bupati"/>
      <sheetName val="THPDMoi  _2_"/>
      <sheetName val="dongia _2_"/>
      <sheetName val="TONG HOP VL_NC"/>
      <sheetName val="lam_moi"/>
      <sheetName val="TH VL_ NC_ DDHT Thanhphuoc"/>
      <sheetName val="_REF"/>
      <sheetName val="thao_go"/>
      <sheetName val="TONGKE_HT"/>
      <sheetName val="LKVL_CK_HT_GD1"/>
      <sheetName val="t_h HA THE"/>
      <sheetName val="CHITIET VL_NC_TT _1p"/>
      <sheetName val="TONG HOP VL_NC TT"/>
      <sheetName val="CHITIET VL_NC"/>
      <sheetName val="VC"/>
      <sheetName val="Tiepdia"/>
      <sheetName val="CHITIET VL_NC_TT_3p"/>
      <sheetName val="TDTKP"/>
      <sheetName val="TDTKP1"/>
      <sheetName val="KPVC_BD "/>
      <sheetName val="VCV_BE_TONG"/>
      <sheetName val="villa"/>
      <sheetName val="HRG BHN"/>
      <sheetName val="CHITIET VL-NC-TT-3p"/>
      <sheetName val="Bahan"/>
      <sheetName val="Material"/>
      <sheetName val="bau"/>
      <sheetName val="MAPP"/>
      <sheetName val="rek det 1-3"/>
      <sheetName val="Harsat Upah"/>
      <sheetName val="daf_3_OK_"/>
      <sheetName val="daf_7_OK_"/>
      <sheetName val="AC-C"/>
      <sheetName val="Bill.2. PL - SUPPLY A"/>
      <sheetName val="rumus"/>
      <sheetName val="Daf No.3 Tsuara"/>
      <sheetName val="Surat Penawaran"/>
      <sheetName val="BIIL ASLI"/>
      <sheetName val="GRAND REKAP"/>
      <sheetName val="rekap.c"/>
      <sheetName val="Pek. Utama"/>
      <sheetName val="2.1"/>
      <sheetName val="2.2"/>
      <sheetName val="2_1"/>
      <sheetName val="Analisa Harga"/>
      <sheetName val="2_2"/>
      <sheetName val="Summary"/>
      <sheetName val="PMK"/>
      <sheetName val="FINISHING"/>
      <sheetName val="rab lt 2 bo"/>
      <sheetName val="Hargamat"/>
      <sheetName val="Sheet1"/>
      <sheetName val="DAF-5"/>
      <sheetName val="Harsat Bahan"/>
      <sheetName val="LAL - PASAR PAGI "/>
      <sheetName val="A H S P"/>
      <sheetName val="BP"/>
      <sheetName val="Isolasi Luar Dalam"/>
      <sheetName val="Isolasi Luar"/>
      <sheetName val="I_KAMAR"/>
      <sheetName val="Analisa STR"/>
      <sheetName val="ANALISA SOFT"/>
      <sheetName val="RPP01 6"/>
      <sheetName val="RPP01 3"/>
      <sheetName val="Rekap 1"/>
      <sheetName val="H.Satuan"/>
      <sheetName val="Sat~Bahu"/>
      <sheetName val="#REF!"/>
      <sheetName val="tng bhn lstrk"/>
      <sheetName val="vol baja"/>
      <sheetName val="ana kusen"/>
      <sheetName val="vol struk"/>
      <sheetName val="Anal. Pancang"/>
      <sheetName val="UPAH &amp; BHN ARS"/>
      <sheetName val="AHS ARS"/>
      <sheetName val="RENPEN"/>
      <sheetName val="Alat"/>
      <sheetName val="Upah"/>
      <sheetName val="RAB Arsitektur B.Penunjang"/>
      <sheetName val="Pekerjaan Utama"/>
      <sheetName val="Kuantitas &amp; Harga"/>
      <sheetName val="Rekap Biaya"/>
      <sheetName val="TOWN"/>
      <sheetName val="hsd"/>
      <sheetName val="sai"/>
      <sheetName val="Bangunan Utama"/>
      <sheetName val="Mall"/>
      <sheetName val="AMP"/>
      <sheetName val="ANTEK-AGGA"/>
      <sheetName val="BURDA"/>
      <sheetName val="ANTEK-GAL"/>
      <sheetName val="HRS-ATB"/>
      <sheetName val="ANTEK-PRIME"/>
      <sheetName val="ANTEK-TIMB"/>
      <sheetName val="BD-LS"/>
      <sheetName val="BIA-LUMPSUM"/>
      <sheetName val="CRUSER"/>
      <sheetName val="FINAL"/>
      <sheetName val="KEBALAT"/>
      <sheetName val="Curves"/>
      <sheetName val="Tables"/>
      <sheetName val="Bill_2_ PL _ SUPPLY A"/>
      <sheetName val="Tata_Suara"/>
      <sheetName val="Titik_kabel"/>
      <sheetName val="Tata_Suara_(2)"/>
      <sheetName val="Tata_Suara_(3)"/>
      <sheetName val="Tata_Suara_(4)"/>
      <sheetName val="HRG-_UPAH"/>
      <sheetName val="Ahs_2"/>
      <sheetName val="Ahs_1"/>
      <sheetName val="dongia_(2)"/>
      <sheetName val="THPDMoi__(2)"/>
      <sheetName val="TONG_HOP_VL-NC"/>
      <sheetName val="TONGKE3p_"/>
      <sheetName val="TH_VL,_NC,_DDHT_Thanhphuoc"/>
      <sheetName val="DON_GIA"/>
      <sheetName val="t-h_HA_THE"/>
      <sheetName val="CHITIET_VL-NC-TT_-1p"/>
      <sheetName val="TONG_HOP_VL-NC_TT"/>
      <sheetName val="TH_XL"/>
      <sheetName val="CHITIET_VL-NC"/>
      <sheetName val="KPVC-BD_"/>
      <sheetName val="HRG_BHN"/>
      <sheetName val="rek_det_1-3"/>
      <sheetName val="Bill_2__PL___SUPPLY_A"/>
      <sheetName val="CHITIET_VL-NC-TT-3p"/>
      <sheetName val="Sat Pekerjaan"/>
      <sheetName val="abcdef"/>
      <sheetName val="Plat"/>
      <sheetName val="RAB"/>
      <sheetName val="DAF_7"/>
      <sheetName val="304_06"/>
      <sheetName val="Sat Bah _ Up"/>
      <sheetName val="NP"/>
      <sheetName val="_bhn_uph"/>
      <sheetName val="LPP-201"/>
      <sheetName val="iTEM hARSAT"/>
      <sheetName val="DUCTING "/>
      <sheetName val="I-KAMAR"/>
      <sheetName val="hrg-sat.pek"/>
      <sheetName val="HOK-K210"/>
      <sheetName val="rek det 1_3"/>
      <sheetName val="blok 7"/>
      <sheetName val="bahan, upah,alat"/>
      <sheetName val="DATA"/>
      <sheetName val="GTS I PS"/>
      <sheetName val="PL1"/>
      <sheetName val="PL2"/>
      <sheetName val="PL3"/>
      <sheetName val="PL4"/>
      <sheetName val="PRELI_CAP"/>
      <sheetName val="anal"/>
      <sheetName val="D6-1b"/>
      <sheetName val="Kuantitas _ Harga"/>
      <sheetName val="Calcu 02"/>
      <sheetName val="O&amp;O-Alat"/>
      <sheetName val="Material-mr"/>
      <sheetName val="Upah_Bahan"/>
      <sheetName val="HARGA ALAT"/>
      <sheetName val="ANLIS "/>
      <sheetName val="ana_str"/>
      <sheetName val="Anls"/>
      <sheetName val="ANL"/>
      <sheetName val="RAPI"/>
      <sheetName val="Progres Rasio LR"/>
      <sheetName val="Harsat Alat"/>
      <sheetName val="RAP Change"/>
      <sheetName val="DATA PROYEK"/>
      <sheetName val="Analisa Harsat"/>
      <sheetName val="Renc Camp"/>
      <sheetName val="Rekap RAP"/>
      <sheetName val="BUL"/>
      <sheetName val="Bantu"/>
      <sheetName val="K5"/>
      <sheetName val="Volume Intern"/>
      <sheetName val="Volume Ekstern"/>
      <sheetName val="RAP"/>
      <sheetName val="Schedule"/>
      <sheetName val="Progress Ekstern"/>
      <sheetName val="Harsat SubKon"/>
      <sheetName val="BA Pemeriksaan"/>
      <sheetName val="Schedule Bahan"/>
      <sheetName val="Rekap K5"/>
      <sheetName val="Koefisien"/>
      <sheetName val="BA Evaluasi"/>
      <sheetName val="Biaya LONSTAD"/>
      <sheetName val="Laporan Mingguan"/>
      <sheetName val="BAP"/>
      <sheetName val="BA Fisik"/>
      <sheetName val="Penilaian Hasil FHO"/>
      <sheetName val="Penilaian Hasil PHO"/>
      <sheetName val="Penyampaian Evaluasi"/>
      <sheetName val="Permhnan FHO"/>
      <sheetName val="Permhnan PHO"/>
      <sheetName val="Proposal"/>
      <sheetName val="Pemakaian Bahan"/>
      <sheetName val="Pengadaan Bahan"/>
      <sheetName val="Volume Mingguan"/>
      <sheetName val="Laporan Bulanan"/>
      <sheetName val="M E N U"/>
      <sheetName val="Schedule I"/>
      <sheetName val="S D"/>
      <sheetName val="Rekap MC"/>
      <sheetName val="Rekap Sisa Bahan"/>
      <sheetName val="RAP Sisa"/>
      <sheetName val="EARNED VALUE"/>
      <sheetName val="Und. RptFHO"/>
      <sheetName val="Und. RptPHO"/>
      <sheetName val="Har_mat"/>
      <sheetName val="Memb Schd"/>
      <sheetName val="IPL_SCHEDULE"/>
      <sheetName val="Cash Flow"/>
      <sheetName val="1195 B1"/>
      <sheetName val="Satuan Upah &amp; Bahan"/>
      <sheetName val="Analysis"/>
      <sheetName val="REF.ONLY"/>
      <sheetName val="2_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sheetData sheetId="248"/>
      <sheetData sheetId="249"/>
      <sheetData sheetId="250"/>
      <sheetData sheetId="251"/>
      <sheetData sheetId="252"/>
      <sheetData sheetId="253"/>
      <sheetData sheetId="254"/>
      <sheetData sheetId="255"/>
      <sheetData sheetId="256"/>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at"/>
      <sheetName val="upah"/>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rek3"/>
      <sheetName val="bq3"/>
      <sheetName val="rek4"/>
      <sheetName val="bq4"/>
      <sheetName val="umum"/>
      <sheetName val="divI"/>
      <sheetName val="metoda"/>
      <sheetName val="Jadw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52">
          <cell r="G52">
            <v>10675000</v>
          </cell>
        </row>
      </sheetData>
      <sheetData sheetId="23" refreshError="1"/>
      <sheetData sheetId="2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GA SATUAN"/>
      <sheetName val="ANA LT.BSM"/>
      <sheetName val="Kolom"/>
      <sheetName val="Balok"/>
      <sheetName val="Pelat"/>
      <sheetName val="Lain"/>
      <sheetName val="ANALISA"/>
      <sheetName val="Cover"/>
      <sheetName val="Bahan"/>
      <sheetName val="MAPP"/>
      <sheetName val="rek det 1-3"/>
      <sheetName val="Anls"/>
      <sheetName val="harga lama"/>
      <sheetName val="Harga Material"/>
      <sheetName val="S.BAHAN"/>
      <sheetName val="S.UPAH"/>
      <sheetName val="A-ars"/>
      <sheetName val="Daftar Harga"/>
      <sheetName val="Daftar Upah"/>
      <sheetName val="an. struktur"/>
      <sheetName val="Harsat"/>
      <sheetName val="Dashboard"/>
      <sheetName val="HRG BHN"/>
      <sheetName val="FINISHING"/>
      <sheetName val="bhn-upah"/>
      <sheetName val="villa"/>
    </sheetNames>
    <sheetDataSet>
      <sheetData sheetId="0" refreshError="1">
        <row r="9">
          <cell r="G9">
            <v>327000</v>
          </cell>
        </row>
        <row r="13">
          <cell r="G13">
            <v>50000</v>
          </cell>
        </row>
        <row r="18">
          <cell r="G18">
            <v>155000</v>
          </cell>
        </row>
        <row r="24">
          <cell r="G24">
            <v>475000</v>
          </cell>
        </row>
        <row r="25">
          <cell r="G25">
            <v>1250000</v>
          </cell>
        </row>
        <row r="28">
          <cell r="G28">
            <v>110000</v>
          </cell>
        </row>
        <row r="97">
          <cell r="G97">
            <v>6000</v>
          </cell>
        </row>
        <row r="98">
          <cell r="G98">
            <v>6500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Lamp-1 (Lamp-Penaw)"/>
      <sheetName val="Lamp-3a-Mobilisasi"/>
      <sheetName val="Lamp-3c(On Site)"/>
      <sheetName val="Lamp-4 Analisa"/>
      <sheetName val="Lamp-4 Sat-Das"/>
      <sheetName val="Lamp-4 BQ"/>
      <sheetName val="Lamp-4 REKAP"/>
      <sheetName val="Anl-Alt"/>
      <sheetName val="Ur-Anl"/>
      <sheetName val="Anl-Bhn"/>
      <sheetName val="Lamp-5 Schedule"/>
      <sheetName val="Lamp-6  Sub-kont"/>
      <sheetName val="Lamp-8 Staf Inti"/>
      <sheetName val="Lamp-9 (Df-Alat)"/>
      <sheetName val="Lamp-13-Pengg Alat"/>
      <sheetName val="Lamp-4 (Pemel. Rutin)"/>
      <sheetName val="Lamp-6 (Plant)"/>
      <sheetName val="Lamp-7 (Df-Utm) ok"/>
      <sheetName val="Lamp-8 (Kont Seleksi)"/>
      <sheetName val="Lamp-14 -Hit-Alt"/>
    </sheetNames>
    <sheetDataSet>
      <sheetData sheetId="0"/>
      <sheetData sheetId="1"/>
      <sheetData sheetId="2"/>
      <sheetData sheetId="3"/>
      <sheetData sheetId="4"/>
      <sheetData sheetId="5"/>
      <sheetData sheetId="6">
        <row r="14">
          <cell r="J14">
            <v>2857.14</v>
          </cell>
        </row>
        <row r="20">
          <cell r="J20">
            <v>39300</v>
          </cell>
        </row>
        <row r="21">
          <cell r="J21">
            <v>79500</v>
          </cell>
        </row>
        <row r="22">
          <cell r="J22">
            <v>104700</v>
          </cell>
        </row>
        <row r="23">
          <cell r="J23">
            <v>91900</v>
          </cell>
        </row>
        <row r="28">
          <cell r="J28">
            <v>5300</v>
          </cell>
        </row>
        <row r="33">
          <cell r="J33">
            <v>900</v>
          </cell>
        </row>
        <row r="34">
          <cell r="J34">
            <v>5350</v>
          </cell>
        </row>
        <row r="39">
          <cell r="J39">
            <v>6000</v>
          </cell>
        </row>
        <row r="52">
          <cell r="J52">
            <v>290408.14</v>
          </cell>
        </row>
        <row r="55">
          <cell r="J55">
            <v>37296.550000000003</v>
          </cell>
        </row>
        <row r="56">
          <cell r="J56">
            <v>93814</v>
          </cell>
        </row>
        <row r="57">
          <cell r="J57">
            <v>121230</v>
          </cell>
        </row>
        <row r="58">
          <cell r="J58">
            <v>233730</v>
          </cell>
        </row>
        <row r="61">
          <cell r="J61">
            <v>105194.35</v>
          </cell>
        </row>
        <row r="62">
          <cell r="J62">
            <v>59972.82</v>
          </cell>
        </row>
        <row r="71">
          <cell r="J71">
            <v>199383.23</v>
          </cell>
        </row>
        <row r="73">
          <cell r="J73">
            <v>88088.28</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Anl-Alt"/>
      <sheetName val="Ls-Mobilisasi (OK)"/>
      <sheetName val="REKAP(copy) ok"/>
      <sheetName val="Ur-Anl"/>
      <sheetName val="BQ(copy) ok"/>
      <sheetName val="Analisa (ok)"/>
      <sheetName val="SAT-DAS"/>
      <sheetName val="Anl-Bhn (ok)"/>
      <sheetName val="Lamp-14 -Hit-Alt"/>
      <sheetName val="Lamp-13-Pengg Alat"/>
      <sheetName val="Lamp-1 (Schedule ok"/>
      <sheetName val="Lamp-4 (Pemel. Rutin)"/>
      <sheetName val="Lamp-5 (On Site)"/>
      <sheetName val="Lamp-6 (Plant)"/>
      <sheetName val="Lamp-7 (Df-Utm) ok"/>
      <sheetName val="Lamp-8 (Kont Seleksi)"/>
      <sheetName val="Lamp-9 (Df-Alat)"/>
      <sheetName val="Lamp-10"/>
      <sheetName val="Lamp-11 (Sub-kont) ok"/>
      <sheetName val="Lamp-14 (Lamp-Penaw) O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4">
          <cell r="J14">
            <v>3571.4285714285716</v>
          </cell>
        </row>
        <row r="15">
          <cell r="J15">
            <v>5714.2857142857147</v>
          </cell>
        </row>
        <row r="17">
          <cell r="J17">
            <v>7142.8571428571431</v>
          </cell>
        </row>
        <row r="20">
          <cell r="J20">
            <v>83800</v>
          </cell>
        </row>
        <row r="21">
          <cell r="J21">
            <v>100100</v>
          </cell>
        </row>
        <row r="22">
          <cell r="J22">
            <v>127400</v>
          </cell>
        </row>
        <row r="23">
          <cell r="J23">
            <v>121200</v>
          </cell>
        </row>
        <row r="24">
          <cell r="J24">
            <v>101920</v>
          </cell>
        </row>
        <row r="25">
          <cell r="J25">
            <v>96960</v>
          </cell>
        </row>
        <row r="26">
          <cell r="J26">
            <v>1500</v>
          </cell>
        </row>
        <row r="27">
          <cell r="J27">
            <v>100200</v>
          </cell>
        </row>
        <row r="28">
          <cell r="J28">
            <v>15700</v>
          </cell>
        </row>
        <row r="29">
          <cell r="J29">
            <v>22100</v>
          </cell>
        </row>
        <row r="30">
          <cell r="J30">
            <v>3550</v>
          </cell>
        </row>
        <row r="32">
          <cell r="J32">
            <v>1900</v>
          </cell>
        </row>
        <row r="33">
          <cell r="J33">
            <v>1040</v>
          </cell>
        </row>
        <row r="34">
          <cell r="J34">
            <v>5350</v>
          </cell>
        </row>
        <row r="35">
          <cell r="J35">
            <v>5000</v>
          </cell>
        </row>
        <row r="37">
          <cell r="J37">
            <v>93800</v>
          </cell>
        </row>
        <row r="38">
          <cell r="J38">
            <v>30000</v>
          </cell>
        </row>
        <row r="39">
          <cell r="J39">
            <v>5400</v>
          </cell>
        </row>
        <row r="40">
          <cell r="J40">
            <v>700000</v>
          </cell>
        </row>
        <row r="44">
          <cell r="J44">
            <v>15000</v>
          </cell>
        </row>
        <row r="45">
          <cell r="J45">
            <v>50000</v>
          </cell>
        </row>
        <row r="50">
          <cell r="J50">
            <v>1266431.57</v>
          </cell>
        </row>
        <row r="51">
          <cell r="J51">
            <v>144685.17000000001</v>
          </cell>
        </row>
        <row r="54">
          <cell r="J54">
            <v>55607.34</v>
          </cell>
        </row>
        <row r="55">
          <cell r="J55">
            <v>20879.03</v>
          </cell>
        </row>
        <row r="57">
          <cell r="J57">
            <v>121878.81</v>
          </cell>
        </row>
        <row r="58">
          <cell r="J58">
            <v>208308.16</v>
          </cell>
        </row>
        <row r="60">
          <cell r="J60">
            <v>121875.84</v>
          </cell>
        </row>
        <row r="61">
          <cell r="J61">
            <v>249884.74</v>
          </cell>
        </row>
        <row r="62">
          <cell r="J62">
            <v>209179.67</v>
          </cell>
        </row>
        <row r="64">
          <cell r="J64">
            <v>105250.78</v>
          </cell>
        </row>
        <row r="65">
          <cell r="J65">
            <v>106108.34</v>
          </cell>
        </row>
        <row r="67">
          <cell r="J67">
            <v>32479.48</v>
          </cell>
        </row>
        <row r="70">
          <cell r="J70">
            <v>87258.96</v>
          </cell>
        </row>
        <row r="74">
          <cell r="J74">
            <v>53027.68</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Analisa-Harsat"/>
      <sheetName val="DHSD"/>
    </sheetNames>
    <sheetDataSet>
      <sheetData sheetId="0" refreshError="1"/>
      <sheetData sheetId="1" refreshError="1"/>
      <sheetData sheetId="2" refreshError="1">
        <row r="11">
          <cell r="G11">
            <v>2700</v>
          </cell>
        </row>
        <row r="12">
          <cell r="G12">
            <v>4250</v>
          </cell>
        </row>
        <row r="13">
          <cell r="G13">
            <v>5000</v>
          </cell>
        </row>
        <row r="16">
          <cell r="G16">
            <v>62500</v>
          </cell>
        </row>
        <row r="17">
          <cell r="G17">
            <v>96800</v>
          </cell>
        </row>
        <row r="18">
          <cell r="G18">
            <v>104115.69</v>
          </cell>
        </row>
        <row r="19">
          <cell r="G19">
            <v>123200</v>
          </cell>
        </row>
        <row r="20">
          <cell r="G20">
            <v>103025.76</v>
          </cell>
        </row>
        <row r="22">
          <cell r="G22">
            <v>10300</v>
          </cell>
        </row>
        <row r="23">
          <cell r="G23">
            <v>3350</v>
          </cell>
        </row>
        <row r="24">
          <cell r="G24">
            <v>990</v>
          </cell>
        </row>
        <row r="25">
          <cell r="G25">
            <v>645</v>
          </cell>
        </row>
        <row r="26">
          <cell r="G26">
            <v>7100</v>
          </cell>
        </row>
        <row r="27">
          <cell r="G27">
            <v>7100</v>
          </cell>
        </row>
        <row r="29">
          <cell r="G29">
            <v>900000</v>
          </cell>
        </row>
        <row r="33">
          <cell r="G33">
            <v>20030</v>
          </cell>
        </row>
        <row r="34">
          <cell r="G34">
            <v>69170</v>
          </cell>
        </row>
        <row r="35">
          <cell r="G35">
            <v>48150</v>
          </cell>
        </row>
        <row r="36">
          <cell r="G36">
            <v>21420</v>
          </cell>
        </row>
        <row r="37">
          <cell r="G37">
            <v>58920</v>
          </cell>
        </row>
        <row r="38">
          <cell r="G38">
            <v>82020</v>
          </cell>
        </row>
        <row r="39">
          <cell r="G39">
            <v>80970</v>
          </cell>
        </row>
        <row r="40">
          <cell r="G40">
            <v>106900</v>
          </cell>
        </row>
        <row r="43">
          <cell r="G43">
            <v>49390</v>
          </cell>
        </row>
        <row r="44">
          <cell r="G44">
            <v>64870</v>
          </cell>
        </row>
        <row r="45">
          <cell r="G45">
            <v>73230</v>
          </cell>
        </row>
        <row r="46">
          <cell r="G46">
            <v>13690</v>
          </cell>
        </row>
        <row r="47">
          <cell r="G47">
            <v>58620</v>
          </cell>
        </row>
      </sheetData>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Analisa-Harsat"/>
      <sheetName val="DHSD"/>
    </sheetNames>
    <sheetDataSet>
      <sheetData sheetId="0" refreshError="1"/>
      <sheetData sheetId="1" refreshError="1"/>
      <sheetData sheetId="2" refreshError="1">
        <row r="11">
          <cell r="G11">
            <v>2700</v>
          </cell>
        </row>
        <row r="12">
          <cell r="G12">
            <v>4250</v>
          </cell>
        </row>
        <row r="13">
          <cell r="G13">
            <v>5000</v>
          </cell>
        </row>
        <row r="17">
          <cell r="G17">
            <v>96800</v>
          </cell>
        </row>
        <row r="18">
          <cell r="G18">
            <v>104115.69</v>
          </cell>
        </row>
        <row r="19">
          <cell r="G19">
            <v>123200</v>
          </cell>
        </row>
        <row r="20">
          <cell r="G20">
            <v>103025.76</v>
          </cell>
        </row>
        <row r="22">
          <cell r="G22">
            <v>10300</v>
          </cell>
        </row>
        <row r="23">
          <cell r="G23">
            <v>3350</v>
          </cell>
        </row>
        <row r="24">
          <cell r="G24">
            <v>990</v>
          </cell>
        </row>
        <row r="25">
          <cell r="G25">
            <v>645</v>
          </cell>
        </row>
        <row r="26">
          <cell r="G26">
            <v>7100</v>
          </cell>
        </row>
        <row r="27">
          <cell r="G27">
            <v>7100</v>
          </cell>
        </row>
        <row r="28">
          <cell r="G28">
            <v>4500</v>
          </cell>
        </row>
        <row r="29">
          <cell r="G29">
            <v>900000</v>
          </cell>
        </row>
        <row r="33">
          <cell r="G33">
            <v>20030</v>
          </cell>
        </row>
        <row r="34">
          <cell r="G34">
            <v>69170</v>
          </cell>
        </row>
        <row r="35">
          <cell r="G35">
            <v>48150</v>
          </cell>
        </row>
        <row r="36">
          <cell r="G36">
            <v>21420</v>
          </cell>
        </row>
        <row r="37">
          <cell r="G37">
            <v>58920</v>
          </cell>
        </row>
        <row r="38">
          <cell r="G38">
            <v>82020</v>
          </cell>
        </row>
        <row r="40">
          <cell r="G40">
            <v>106900</v>
          </cell>
        </row>
        <row r="43">
          <cell r="G43">
            <v>49390</v>
          </cell>
        </row>
        <row r="44">
          <cell r="G44">
            <v>64870</v>
          </cell>
        </row>
        <row r="45">
          <cell r="G45">
            <v>73230</v>
          </cell>
        </row>
        <row r="46">
          <cell r="G46">
            <v>13690</v>
          </cell>
        </row>
        <row r="47">
          <cell r="G47">
            <v>58620</v>
          </cell>
        </row>
        <row r="48">
          <cell r="G48">
            <v>93080</v>
          </cell>
        </row>
      </sheetData>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dwal (2)"/>
      <sheetName val="alat (2)"/>
      <sheetName val="upah (2)"/>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rek3"/>
      <sheetName val="bq3"/>
      <sheetName val="rek4"/>
      <sheetName val="bq4"/>
      <sheetName val="umum"/>
      <sheetName val="mobilisation"/>
      <sheetName val="mayor01"/>
      <sheetName val="minor"/>
      <sheetName val="rutin1"/>
      <sheetName val="metoda"/>
      <sheetName val="upah"/>
      <sheetName val="jadwal"/>
      <sheetName val="DivI"/>
    </sheetNames>
    <sheetDataSet>
      <sheetData sheetId="0" refreshError="1"/>
      <sheetData sheetId="1" refreshError="1"/>
      <sheetData sheetId="2" refreshError="1"/>
      <sheetData sheetId="3" refreshError="1">
        <row r="15">
          <cell r="G15">
            <v>60000</v>
          </cell>
        </row>
        <row r="16">
          <cell r="G16">
            <v>62000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Anl-Alt"/>
      <sheetName val="Ls-Mobilisasi (OK)"/>
      <sheetName val="REKAP(copy) ok"/>
      <sheetName val="Ur-Anl"/>
      <sheetName val="BQ(copy) ok"/>
      <sheetName val="Analisa (ok)"/>
      <sheetName val="SAT-DAS"/>
      <sheetName val="Anl-Bhn (ok)"/>
      <sheetName val="Lamp-14 -Hit-Alt"/>
      <sheetName val="Lamp-13-Pengg Alat"/>
      <sheetName val="Lamp-1 (Schedule ok"/>
      <sheetName val="Lamp-4 (Pemel. Rutin)"/>
      <sheetName val="Lamp-5 (On Site)"/>
      <sheetName val="Lamp-6 (Plant)"/>
      <sheetName val="Lamp-7 (Df-Utm) ok"/>
      <sheetName val="Lamp-8 (Kont Seleksi)"/>
      <sheetName val="Lamp-9 (Df-Alat)"/>
      <sheetName val="Lamp-10"/>
      <sheetName val="Lamp-11 (Sub-kont) ok"/>
      <sheetName val="Lamp-14 (Lamp-Penaw) OK"/>
    </sheetNames>
    <sheetDataSet>
      <sheetData sheetId="0"/>
      <sheetData sheetId="1"/>
      <sheetData sheetId="2"/>
      <sheetData sheetId="3"/>
      <sheetData sheetId="4"/>
      <sheetData sheetId="5"/>
      <sheetData sheetId="6"/>
      <sheetData sheetId="7"/>
      <sheetData sheetId="8">
        <row r="14">
          <cell r="J14">
            <v>3650</v>
          </cell>
        </row>
        <row r="17">
          <cell r="J17">
            <v>5700</v>
          </cell>
        </row>
        <row r="20">
          <cell r="J20">
            <v>83800</v>
          </cell>
        </row>
        <row r="21">
          <cell r="J21">
            <v>100100</v>
          </cell>
        </row>
        <row r="30">
          <cell r="J30">
            <v>3550</v>
          </cell>
        </row>
        <row r="32">
          <cell r="J32">
            <v>1900</v>
          </cell>
        </row>
        <row r="33">
          <cell r="J33">
            <v>1040</v>
          </cell>
        </row>
        <row r="52">
          <cell r="J52">
            <v>55607.34</v>
          </cell>
        </row>
        <row r="55">
          <cell r="J55">
            <v>121878.81</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rbilang"/>
      <sheetName val="RANGK"/>
      <sheetName val="HSD"/>
      <sheetName val="REK"/>
      <sheetName val="RAB"/>
      <sheetName val="MET-bm"/>
      <sheetName val="MAJ"/>
      <sheetName val="MOB"/>
      <sheetName val="DLAT"/>
      <sheetName val="MPU"/>
      <sheetName val="SCHED"/>
      <sheetName val="SUB"/>
      <sheetName val="DLAMP"/>
      <sheetName val="STAF"/>
      <sheetName val="MET"/>
      <sheetName val="MET-RUT"/>
      <sheetName val="RUT"/>
      <sheetName val="URAI"/>
      <sheetName val="PLANT"/>
      <sheetName val="BATU"/>
    </sheetNames>
    <sheetDataSet>
      <sheetData sheetId="0">
        <row r="6">
          <cell r="B6">
            <v>1</v>
          </cell>
        </row>
      </sheetData>
      <sheetData sheetId="1"/>
      <sheetData sheetId="2" refreshError="1">
        <row r="15">
          <cell r="H15">
            <v>2500</v>
          </cell>
        </row>
        <row r="29">
          <cell r="H29">
            <v>70000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436">
          <cell r="L436">
            <v>129847.82</v>
          </cell>
        </row>
        <row r="565">
          <cell r="L565">
            <v>72227.679999999993</v>
          </cell>
        </row>
        <row r="693">
          <cell r="L693">
            <v>59415.91</v>
          </cell>
        </row>
        <row r="885">
          <cell r="L885">
            <v>68636.820000000007</v>
          </cell>
        </row>
        <row r="1013">
          <cell r="L1013">
            <v>42217.68</v>
          </cell>
        </row>
        <row r="1269">
          <cell r="L1269">
            <v>11234.56</v>
          </cell>
        </row>
        <row r="1525">
          <cell r="L1525">
            <v>14548.77</v>
          </cell>
        </row>
        <row r="1653">
          <cell r="L1653">
            <v>8871.68</v>
          </cell>
        </row>
      </sheetData>
      <sheetData sheetId="18"/>
      <sheetData sheetId="19"/>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Total"/>
      <sheetName val="Preliminaries"/>
      <sheetName val="Bill-2"/>
      <sheetName val="Bill-3"/>
      <sheetName val="Bill-4"/>
      <sheetName val="Bill_2"/>
      <sheetName val="HARSAT_BAH"/>
      <sheetName val="BQ-E20-02(Rp)"/>
      <sheetName val="HARGA ALAT"/>
      <sheetName val="BAHAN"/>
      <sheetName val="ANALISA PEK.UMUM"/>
      <sheetName val="UPAH"/>
      <sheetName val="DATA1"/>
      <sheetName val="BHN-UPH-ALT"/>
      <sheetName val="REKAP."/>
      <sheetName val="Harga Satuan Bahan"/>
      <sheetName val="Harga Satuan"/>
      <sheetName val="Bangunan Utama"/>
      <sheetName val="Daftar Harga Pekerjaan"/>
      <sheetName val="Upah Tenaga Kerja"/>
      <sheetName val="bhn-upah"/>
      <sheetName val="Sat Bah &amp; Up"/>
      <sheetName val="S_DAYA"/>
      <sheetName val="HB "/>
      <sheetName val="Daf-Harga"/>
      <sheetName val="Analisa HSP"/>
      <sheetName val="bhn,upah,alat"/>
      <sheetName val="Ans Kom Preca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dwal"/>
      <sheetName val="alat"/>
      <sheetName val="upah"/>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rek3"/>
      <sheetName val="bq3"/>
      <sheetName val="rek4"/>
      <sheetName val="bq4"/>
      <sheetName val="umum"/>
      <sheetName val="DivI"/>
      <sheetName val="metoda"/>
      <sheetName val="Sheet1"/>
      <sheetName val="alat (2)"/>
      <sheetName val="upah (2)"/>
      <sheetName val="PAKET4"/>
    </sheetNames>
    <sheetDataSet>
      <sheetData sheetId="0" refreshError="1"/>
      <sheetData sheetId="1"/>
      <sheetData sheetId="2"/>
      <sheetData sheetId="3" refreshError="1">
        <row r="18">
          <cell r="G18">
            <v>1950</v>
          </cell>
        </row>
        <row r="57">
          <cell r="G57">
            <v>1800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REKAP"/>
      <sheetName val="BQ"/>
      <sheetName val="Schedule"/>
      <sheetName val="an-tanah"/>
      <sheetName val="an-struktur"/>
      <sheetName val="an-bron-lain"/>
      <sheetName val="an-koef"/>
      <sheetName val="upah"/>
      <sheetName val="material"/>
      <sheetName val="alat"/>
      <sheetName val="satalat"/>
      <sheetName val="quarry"/>
      <sheetName val="ANALISA"/>
      <sheetName val="satbahan"/>
      <sheetName val="kaputama"/>
      <sheetName val="an-persiapan"/>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row r="44">
          <cell r="L44">
            <v>1173441.4000000001</v>
          </cell>
        </row>
        <row r="98">
          <cell r="L98">
            <v>115769.29000000001</v>
          </cell>
        </row>
      </sheetData>
      <sheetData sheetId="14"/>
      <sheetData sheetId="15"/>
      <sheetData sheetId="16"/>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SRT"/>
      <sheetName val="SCH"/>
      <sheetName val="REK"/>
      <sheetName val="BOQ"/>
      <sheetName val="MJR"/>
      <sheetName val="HSD"/>
      <sheetName val="ANA"/>
      <sheetName val="MET"/>
      <sheetName val="MOS"/>
      <sheetName val="RTN"/>
      <sheetName val="ALT"/>
      <sheetName val="STF"/>
      <sheetName val="SUB"/>
      <sheetName val="DLM"/>
      <sheetName val="ana alat"/>
      <sheetName val="LMP.1"/>
      <sheetName val="LMP.2"/>
      <sheetName val="IND"/>
      <sheetName val="TM"/>
      <sheetName val="kon"/>
      <sheetName val="HARGA ALAT"/>
      <sheetName val="rumus"/>
      <sheetName val="Analisa HSP"/>
      <sheetName val="huruf"/>
      <sheetName val="HARGA SATUAN"/>
      <sheetName val="BQ"/>
      <sheetName val="Bill-2"/>
      <sheetName val="RAB"/>
      <sheetName val="Material"/>
      <sheetName val="rab me (by owner) "/>
      <sheetName val="BQ (by owner)"/>
      <sheetName val="rab me (fisik)"/>
      <sheetName val="Resume"/>
      <sheetName val="S_DAYA"/>
      <sheetName val="DPU"/>
      <sheetName val="INPUT"/>
      <sheetName val="ANALISA"/>
      <sheetName val="HARGA BAHAN"/>
      <sheetName val="ANL TOREN"/>
      <sheetName val="PENYUSUTAN ALAT"/>
      <sheetName val="Basic Price"/>
      <sheetName val="DIV.1"/>
      <sheetName val="cover"/>
      <sheetName val="Anls Bahan"/>
      <sheetName val="Catatan"/>
      <sheetName val="DivVII"/>
      <sheetName val="meth hsl nego"/>
      <sheetName val="databest"/>
      <sheetName val="Vol Sipil &amp; Ars"/>
      <sheetName val="Cash Flow bulanan"/>
      <sheetName val="Sheet1"/>
      <sheetName val="4-Basic Price"/>
      <sheetName val="Harga Satuan Dasar"/>
      <sheetName val="HARGA RATA"/>
      <sheetName val="BAG-2"/>
    </sheetNames>
    <sheetDataSet>
      <sheetData sheetId="0" refreshError="1">
        <row r="29">
          <cell r="C29" t="str">
            <v>PT. SENECA INDONESIA</v>
          </cell>
        </row>
        <row r="31">
          <cell r="C31" t="str">
            <v>I S K A K   E F F E R I N</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dwal (2)"/>
      <sheetName val="alat (2)"/>
      <sheetName val="upah (2)"/>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umum"/>
      <sheetName val="mobilisation"/>
      <sheetName val="meto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50">
          <cell r="G50">
            <v>303732.16499999998</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Q"/>
      <sheetName val="COMPARATION"/>
      <sheetName val="DBP-0100"/>
      <sheetName val="MAKER"/>
      <sheetName val="SCOPE"/>
      <sheetName val="SRT"/>
      <sheetName val="ESCON"/>
      <sheetName val="PROFIT"/>
      <sheetName val="DBP-0200"/>
      <sheetName val="SUM-PRO"/>
      <sheetName val="SEX"/>
      <sheetName val="rutan"/>
      <sheetName val="Sheet9"/>
      <sheetName val="RAB"/>
      <sheetName val="Submission Form"/>
      <sheetName val="HB "/>
      <sheetName val="FDK-R2"/>
      <sheetName val="Sheet1"/>
      <sheetName val="Urai _ Guide Post"/>
      <sheetName val="Urai_Galian Tanah"/>
      <sheetName val="COVER"/>
      <sheetName val="BOQ"/>
      <sheetName val="DATA BASE"/>
      <sheetName val="I-KAMAR"/>
      <sheetName val="概総括1"/>
      <sheetName val="TS-Pelak"/>
      <sheetName val="BAG-2"/>
    </sheetNames>
    <sheetDataSet>
      <sheetData sheetId="0"/>
      <sheetData sheetId="1" refreshError="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dwal"/>
      <sheetName val="alat"/>
      <sheetName val="upah"/>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rek3"/>
      <sheetName val="bq3"/>
      <sheetName val="rek4"/>
      <sheetName val="bq4"/>
      <sheetName val="umum"/>
      <sheetName val="DivI"/>
      <sheetName val="metoda"/>
      <sheetName val="Sheet1"/>
      <sheetName val="alat (2)"/>
      <sheetName val="upah (2)"/>
    </sheetNames>
    <sheetDataSet>
      <sheetData sheetId="0" refreshError="1"/>
      <sheetData sheetId="1"/>
      <sheetData sheetId="2"/>
      <sheetData sheetId="3" refreshError="1">
        <row r="18">
          <cell r="G18">
            <v>1950</v>
          </cell>
        </row>
        <row r="57">
          <cell r="G57">
            <v>1800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Analisa-Harsat"/>
      <sheetName val="DHSD"/>
    </sheetNames>
    <sheetDataSet>
      <sheetData sheetId="0" refreshError="1"/>
      <sheetData sheetId="1"/>
      <sheetData sheetId="2">
        <row r="16">
          <cell r="G16">
            <v>62500</v>
          </cell>
        </row>
      </sheetData>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b bahasa"/>
      <sheetName val="Analisa HSP"/>
      <sheetName val="BAG-2"/>
      <sheetName val="RAB"/>
      <sheetName val="CH"/>
      <sheetName val="Resume"/>
      <sheetName val="BQ"/>
      <sheetName val="ANALISA "/>
      <sheetName val="HG-UPAH"/>
      <sheetName val="HG_JADI"/>
      <sheetName val="HB "/>
      <sheetName val="AnalisaSIPIL RIIL"/>
      <sheetName val="Bill-2"/>
      <sheetName val="Analisa"/>
      <sheetName val="Hsatbahan"/>
      <sheetName val="Harga Satuan Bahan"/>
      <sheetName val="Daftar Harga Pekerjaan"/>
      <sheetName val="Upah Tenaga Kerja"/>
      <sheetName val="boq"/>
      <sheetName val="Material"/>
      <sheetName val="Daftar Harga Material"/>
      <sheetName val="harga dasar"/>
      <sheetName val="BAG_2"/>
      <sheetName val="HARSAT_BAH"/>
      <sheetName val="hsd"/>
      <sheetName val="anal_hs"/>
      <sheetName val="HDasar"/>
      <sheetName val="Ktitas_Hg"/>
      <sheetName val="Rkap Bya"/>
      <sheetName val="H.Satuan"/>
      <sheetName val="SATUAN_JADI"/>
      <sheetName val="PT."/>
      <sheetName val="Input"/>
      <sheetName val="Harsat Upah"/>
      <sheetName val="Perhitungan Besi"/>
      <sheetName val="Hrg"/>
      <sheetName val="Lt 1"/>
    </sheetNames>
    <sheetDataSet>
      <sheetData sheetId="0">
        <row r="1">
          <cell r="A1" t="str">
            <v>RENCANA ANGGARAN BIAYA</v>
          </cell>
        </row>
        <row r="5">
          <cell r="A5" t="str">
            <v xml:space="preserve">PEKERJAAN </v>
          </cell>
          <cell r="D5" t="str">
            <v>:  PEMBANGUNAN  SMEA NEGERI  SEKURA</v>
          </cell>
        </row>
        <row r="6">
          <cell r="A6" t="str">
            <v>PROYEK</v>
          </cell>
          <cell r="D6" t="str">
            <v>:  PENINGKATAN SEKOLAH MENENGAH KEJURUAN KALIMANTAN BARAT</v>
          </cell>
        </row>
        <row r="7">
          <cell r="A7" t="str">
            <v>LOKASI</v>
          </cell>
          <cell r="D7" t="str">
            <v>:  KECAMATAN SEKURA KABUPATEN SAMBAS</v>
          </cell>
        </row>
        <row r="8">
          <cell r="A8" t="str">
            <v>TAHUN ANGGARAN</v>
          </cell>
          <cell r="D8" t="str">
            <v>:  1998 / 1999</v>
          </cell>
        </row>
        <row r="10">
          <cell r="A10" t="str">
            <v xml:space="preserve">SUB PEKERJAAN          </v>
          </cell>
          <cell r="D10" t="str">
            <v>:  BANGUNAN RUANG LABORATORIUM BAHASA &amp; 1 (satu) RUANG INSTRUKTUR</v>
          </cell>
        </row>
        <row r="13">
          <cell r="A13" t="str">
            <v>_x001E_2oNO.</v>
          </cell>
          <cell r="C13" t="str">
            <v>_x001E_2oURAIAN PEKERJAAN</v>
          </cell>
          <cell r="F13" t="str">
            <v>NO.</v>
          </cell>
          <cell r="G13" t="str">
            <v>_x001E_2oSAT</v>
          </cell>
          <cell r="H13" t="str">
            <v>VOLUME</v>
          </cell>
          <cell r="I13" t="str">
            <v>_x001E_2oHARGA</v>
          </cell>
          <cell r="J13" t="str">
            <v>_x001E_2oJUMLAH</v>
          </cell>
        </row>
        <row r="14">
          <cell r="F14" t="str">
            <v>ANALISA</v>
          </cell>
          <cell r="G14" t="str">
            <v>_x001E_2oPEK.</v>
          </cell>
          <cell r="I14" t="str">
            <v>_x001E_2oSATUAN</v>
          </cell>
          <cell r="J14" t="str">
            <v>_x001E_2oHARGA</v>
          </cell>
        </row>
        <row r="15">
          <cell r="I15" t="str">
            <v>_x001E_t(Rp.)</v>
          </cell>
          <cell r="J15" t="str">
            <v>_x001E_t(Rp.)</v>
          </cell>
        </row>
        <row r="17">
          <cell r="A17" t="str">
            <v>1</v>
          </cell>
          <cell r="B17" t="str">
            <v>2</v>
          </cell>
          <cell r="F17" t="str">
            <v>3</v>
          </cell>
          <cell r="G17" t="str">
            <v>4</v>
          </cell>
          <cell r="H17" t="str">
            <v>5</v>
          </cell>
          <cell r="I17" t="str">
            <v>6</v>
          </cell>
          <cell r="J17" t="str">
            <v>7</v>
          </cell>
        </row>
        <row r="19">
          <cell r="A19" t="str">
            <v>I</v>
          </cell>
          <cell r="C19" t="str">
            <v>PERSIAPAN</v>
          </cell>
        </row>
        <row r="20">
          <cell r="A20">
            <v>1</v>
          </cell>
          <cell r="C20" t="str">
            <v>Pembersihan Lokasi</v>
          </cell>
          <cell r="F20" t="str">
            <v>no.urut 1</v>
          </cell>
          <cell r="G20" t="str">
            <v>m²</v>
          </cell>
          <cell r="H20">
            <v>168</v>
          </cell>
          <cell r="I20">
            <v>100</v>
          </cell>
          <cell r="J20">
            <v>16800</v>
          </cell>
        </row>
        <row r="21">
          <cell r="A21">
            <v>2</v>
          </cell>
          <cell r="C21" t="str">
            <v>Pengukuran / Pemasangan bouwplank</v>
          </cell>
          <cell r="F21" t="str">
            <v>no.urut 2</v>
          </cell>
          <cell r="G21" t="str">
            <v>m'</v>
          </cell>
          <cell r="H21">
            <v>52</v>
          </cell>
          <cell r="I21">
            <v>5110</v>
          </cell>
          <cell r="J21">
            <v>265720</v>
          </cell>
        </row>
        <row r="23">
          <cell r="J23">
            <v>282520</v>
          </cell>
        </row>
        <row r="25">
          <cell r="A25" t="str">
            <v>II</v>
          </cell>
          <cell r="C25" t="str">
            <v>PONDASI</v>
          </cell>
        </row>
        <row r="26">
          <cell r="A26">
            <v>1</v>
          </cell>
          <cell r="C26" t="str">
            <v>Galian Tanah Pondasi</v>
          </cell>
          <cell r="F26" t="str">
            <v>A.1 / M³</v>
          </cell>
          <cell r="G26" t="str">
            <v>m³</v>
          </cell>
          <cell r="H26">
            <v>38</v>
          </cell>
          <cell r="I26">
            <v>7100</v>
          </cell>
          <cell r="J26">
            <v>269800</v>
          </cell>
        </row>
        <row r="27">
          <cell r="A27">
            <v>2</v>
          </cell>
          <cell r="C27" t="str">
            <v>Tiang Tongkat Belian 9/9</v>
          </cell>
          <cell r="F27" t="str">
            <v>E.1+E.4+Supl.</v>
          </cell>
          <cell r="G27" t="str">
            <v>ttk</v>
          </cell>
          <cell r="H27">
            <v>38</v>
          </cell>
          <cell r="I27">
            <v>42470</v>
          </cell>
          <cell r="J27">
            <v>1613860</v>
          </cell>
        </row>
        <row r="28">
          <cell r="A28">
            <v>3</v>
          </cell>
          <cell r="C28" t="str">
            <v>Laci Belian 2 x 5/10, p = 80 cm</v>
          </cell>
          <cell r="F28" t="str">
            <v>-</v>
          </cell>
          <cell r="G28" t="str">
            <v>m³</v>
          </cell>
          <cell r="H28">
            <v>0.30400000000000005</v>
          </cell>
          <cell r="I28">
            <v>2230000</v>
          </cell>
          <cell r="J28">
            <v>677920.00000000012</v>
          </cell>
        </row>
        <row r="29">
          <cell r="A29">
            <v>4</v>
          </cell>
          <cell r="C29" t="str">
            <v>Alas kayu Pelaik p = 80 cm</v>
          </cell>
          <cell r="F29" t="str">
            <v>-</v>
          </cell>
          <cell r="G29" t="str">
            <v>ps</v>
          </cell>
          <cell r="H29">
            <v>38</v>
          </cell>
          <cell r="I29">
            <v>4000</v>
          </cell>
          <cell r="J29">
            <v>152000</v>
          </cell>
        </row>
        <row r="30">
          <cell r="A30">
            <v>5</v>
          </cell>
          <cell r="C30" t="str">
            <v>Mengurug kembali tanah galian dan dipadatkan</v>
          </cell>
          <cell r="F30" t="str">
            <v>Upah A.18.Sub</v>
          </cell>
          <cell r="G30" t="str">
            <v>m³</v>
          </cell>
          <cell r="H30">
            <v>34.925800000000002</v>
          </cell>
          <cell r="I30">
            <v>2840</v>
          </cell>
          <cell r="J30">
            <v>99189.272000000012</v>
          </cell>
        </row>
        <row r="31">
          <cell r="A31">
            <v>6</v>
          </cell>
          <cell r="C31" t="str">
            <v>Keep Belian 9/9</v>
          </cell>
          <cell r="F31" t="str">
            <v>F.3 / M³</v>
          </cell>
          <cell r="G31" t="str">
            <v>m³</v>
          </cell>
          <cell r="H31">
            <v>0.51192000000000004</v>
          </cell>
          <cell r="I31">
            <v>2876260</v>
          </cell>
          <cell r="J31">
            <v>1472415.0192000002</v>
          </cell>
        </row>
        <row r="32">
          <cell r="A32">
            <v>7</v>
          </cell>
          <cell r="C32" t="str">
            <v>Baut ø 5/8" -25cm</v>
          </cell>
          <cell r="F32" t="str">
            <v>-</v>
          </cell>
          <cell r="G32" t="str">
            <v>bh</v>
          </cell>
          <cell r="H32">
            <v>38</v>
          </cell>
          <cell r="I32">
            <v>2550</v>
          </cell>
          <cell r="J32">
            <v>96900</v>
          </cell>
        </row>
        <row r="34">
          <cell r="J34">
            <v>4382084.2911999999</v>
          </cell>
        </row>
        <row r="36">
          <cell r="A36" t="str">
            <v>III</v>
          </cell>
          <cell r="C36" t="str">
            <v>DINDING DAN RANGKA BADAN</v>
          </cell>
        </row>
        <row r="37">
          <cell r="A37">
            <v>1</v>
          </cell>
          <cell r="C37" t="str">
            <v>Rangka Badan dan balok penutup Kayu kls.I 8/8</v>
          </cell>
          <cell r="F37" t="str">
            <v>F.27. Sub / M³</v>
          </cell>
          <cell r="G37" t="str">
            <v>m³</v>
          </cell>
          <cell r="H37">
            <v>2.157</v>
          </cell>
          <cell r="I37">
            <v>2001470</v>
          </cell>
          <cell r="J37">
            <v>4317170.79</v>
          </cell>
        </row>
        <row r="38">
          <cell r="A38">
            <v>2</v>
          </cell>
          <cell r="C38" t="str">
            <v xml:space="preserve">Rangka Badan dan balok penutup Kayu belian 8/8 </v>
          </cell>
          <cell r="F38" t="str">
            <v>F.27 / M³</v>
          </cell>
          <cell r="G38" t="str">
            <v>m³</v>
          </cell>
          <cell r="H38">
            <v>0.38400000000000001</v>
          </cell>
          <cell r="I38">
            <v>3342150</v>
          </cell>
          <cell r="J38">
            <v>1283385.6000000001</v>
          </cell>
        </row>
        <row r="39">
          <cell r="A39">
            <v>3</v>
          </cell>
          <cell r="C39" t="str">
            <v>Dinding Plesteran kawat ayak t = 3 cm camp. 1:3</v>
          </cell>
          <cell r="F39" t="str">
            <v>F.51.i / M²</v>
          </cell>
          <cell r="G39" t="str">
            <v>m²</v>
          </cell>
          <cell r="H39">
            <v>166.85</v>
          </cell>
          <cell r="I39">
            <v>38210</v>
          </cell>
          <cell r="J39">
            <v>6375338.5</v>
          </cell>
        </row>
        <row r="40">
          <cell r="A40">
            <v>4</v>
          </cell>
          <cell r="C40" t="str">
            <v>Cor tutup kolong t= 7 cm</v>
          </cell>
          <cell r="F40" t="str">
            <v>G.Sub / M³</v>
          </cell>
          <cell r="G40" t="str">
            <v>m³</v>
          </cell>
          <cell r="H40">
            <v>1.54</v>
          </cell>
          <cell r="I40">
            <v>800972</v>
          </cell>
          <cell r="J40">
            <v>1233496.8800000001</v>
          </cell>
        </row>
        <row r="41">
          <cell r="A41">
            <v>5</v>
          </cell>
          <cell r="C41" t="str">
            <v>Plesteran tutup kolong t = 1.5 cm</v>
          </cell>
          <cell r="F41" t="str">
            <v>G.50h / M²</v>
          </cell>
          <cell r="G41" t="str">
            <v>m²</v>
          </cell>
          <cell r="H41">
            <v>22</v>
          </cell>
          <cell r="I41">
            <v>12340</v>
          </cell>
          <cell r="J41">
            <v>271480</v>
          </cell>
        </row>
        <row r="43">
          <cell r="J43">
            <v>13480871.770000001</v>
          </cell>
        </row>
        <row r="45">
          <cell r="A45" t="str">
            <v>IV</v>
          </cell>
          <cell r="C45" t="str">
            <v>LANTAI</v>
          </cell>
        </row>
        <row r="46">
          <cell r="A46">
            <v>1</v>
          </cell>
          <cell r="C46" t="str">
            <v>Urug pasir lantai t = 20 cm</v>
          </cell>
          <cell r="F46" t="str">
            <v>A.18 / M³</v>
          </cell>
          <cell r="G46" t="str">
            <v>m³</v>
          </cell>
          <cell r="H46">
            <v>24</v>
          </cell>
          <cell r="I46">
            <v>35840</v>
          </cell>
          <cell r="J46">
            <v>860160</v>
          </cell>
        </row>
        <row r="47">
          <cell r="A47">
            <v>2</v>
          </cell>
          <cell r="C47" t="str">
            <v>Urug tanah lantai t = 21 cm</v>
          </cell>
          <cell r="F47" t="str">
            <v>A.18.a/ M³</v>
          </cell>
          <cell r="G47" t="str">
            <v>m³</v>
          </cell>
          <cell r="H47">
            <v>25.2</v>
          </cell>
          <cell r="I47">
            <v>32540</v>
          </cell>
          <cell r="J47">
            <v>820008</v>
          </cell>
        </row>
        <row r="48">
          <cell r="A48">
            <v>3</v>
          </cell>
          <cell r="C48" t="str">
            <v>Cor lantai</v>
          </cell>
          <cell r="F48" t="str">
            <v>G.Sub / M³</v>
          </cell>
          <cell r="G48" t="str">
            <v>m³</v>
          </cell>
          <cell r="H48">
            <v>8.4</v>
          </cell>
          <cell r="I48">
            <v>546272</v>
          </cell>
          <cell r="J48">
            <v>4588684.8</v>
          </cell>
        </row>
        <row r="49">
          <cell r="A49">
            <v>4</v>
          </cell>
          <cell r="C49" t="str">
            <v>Finishing lantai t = 1,5  cm</v>
          </cell>
          <cell r="F49" t="str">
            <v>G.50h / M²</v>
          </cell>
          <cell r="G49" t="str">
            <v>m²</v>
          </cell>
          <cell r="H49">
            <v>120</v>
          </cell>
          <cell r="I49">
            <v>12340</v>
          </cell>
          <cell r="J49">
            <v>1480800</v>
          </cell>
        </row>
        <row r="51">
          <cell r="J51">
            <v>7749652.7999999998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DASHBOARD"/>
      <sheetName val="Rekap Total"/>
      <sheetName val="Persiapan"/>
      <sheetName val="Sub Structure"/>
      <sheetName val="REKAP-STR"/>
      <sheetName val="RAB-STR"/>
      <sheetName val="ana_str"/>
      <sheetName val="harsat"/>
      <sheetName val="satuan_pek_str"/>
      <sheetName val="HDasar"/>
      <sheetName val="BAG-2"/>
      <sheetName val="Hargamat"/>
      <sheetName val="HSATUAN"/>
      <sheetName val="BAG_2"/>
      <sheetName val="Traf&amp;Genst"/>
      <sheetName val="Cover"/>
      <sheetName val="Cover Daf-2"/>
      <sheetName val="lab bahasa"/>
      <sheetName val="PT."/>
      <sheetName val="Input"/>
      <sheetName val="RAB"/>
      <sheetName val="Bill-2"/>
      <sheetName val="Analisa"/>
      <sheetName val="Hsatbahan"/>
      <sheetName val="HSBU ANA"/>
      <sheetName val="ANALISA BAHAN"/>
      <sheetName val="HB "/>
      <sheetName val="Daf 1"/>
      <sheetName val="Harsat Bahan"/>
      <sheetName val="Harsat Upah"/>
      <sheetName val="Harg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9">
          <cell r="I9">
            <v>320000</v>
          </cell>
        </row>
        <row r="16">
          <cell r="I16">
            <v>113333</v>
          </cell>
        </row>
        <row r="18">
          <cell r="I18">
            <v>154000</v>
          </cell>
        </row>
        <row r="20">
          <cell r="I20">
            <v>1150000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atan"/>
      <sheetName val="Daftar - Isi"/>
      <sheetName val="Hit Vol Str "/>
      <sheetName val="Hit Vol_PSU"/>
      <sheetName val="Ris_Vol"/>
      <sheetName val="Analisa Harga Satuan"/>
      <sheetName val="Harga Satuan"/>
      <sheetName val="Sheet1"/>
      <sheetName val="R A B"/>
      <sheetName val="Rekapitulasi"/>
      <sheetName val="&quot;S&quot; Kurve"/>
    </sheetNames>
    <sheetDataSet>
      <sheetData sheetId="0" refreshError="1"/>
      <sheetData sheetId="1" refreshError="1"/>
      <sheetData sheetId="2" refreshError="1"/>
      <sheetData sheetId="3" refreshError="1"/>
      <sheetData sheetId="4" refreshError="1"/>
      <sheetData sheetId="5" refreshError="1">
        <row r="25">
          <cell r="G25">
            <v>159155.20000000001</v>
          </cell>
        </row>
        <row r="509">
          <cell r="G509">
            <v>2313628.0301277344</v>
          </cell>
        </row>
        <row r="687">
          <cell r="G687">
            <v>1609434.2901486675</v>
          </cell>
        </row>
        <row r="699">
          <cell r="G699">
            <v>2930407.264981478</v>
          </cell>
        </row>
        <row r="982">
          <cell r="G982">
            <v>2172345.0647072545</v>
          </cell>
        </row>
        <row r="991">
          <cell r="G991">
            <v>2405442.4553964459</v>
          </cell>
        </row>
        <row r="1000">
          <cell r="G1000">
            <v>3430467.9823758453</v>
          </cell>
        </row>
        <row r="1009">
          <cell r="G1009">
            <v>2475304.8560165865</v>
          </cell>
        </row>
        <row r="1823">
          <cell r="G1823">
            <v>12730380</v>
          </cell>
        </row>
        <row r="1845">
          <cell r="G1845">
            <v>72482650</v>
          </cell>
        </row>
        <row r="2047">
          <cell r="G2047">
            <v>243293.56545833335</v>
          </cell>
        </row>
        <row r="2060">
          <cell r="G2060">
            <v>304336.67118421051</v>
          </cell>
        </row>
        <row r="2073">
          <cell r="G2073">
            <v>845582.75</v>
          </cell>
        </row>
        <row r="2085">
          <cell r="G2085">
            <v>516703.24</v>
          </cell>
        </row>
        <row r="2165">
          <cell r="G2165">
            <v>91680.550199999998</v>
          </cell>
        </row>
        <row r="2175">
          <cell r="G2175">
            <v>7703714.7000000002</v>
          </cell>
        </row>
        <row r="2187">
          <cell r="G2187">
            <v>923752.32000000007</v>
          </cell>
        </row>
        <row r="2540">
          <cell r="G2540">
            <v>84907</v>
          </cell>
        </row>
        <row r="2989">
          <cell r="G2989">
            <v>41000.400000000001</v>
          </cell>
        </row>
        <row r="3000">
          <cell r="G3000">
            <v>22730.400000000001</v>
          </cell>
        </row>
        <row r="3165">
          <cell r="G3165">
            <v>52626.21</v>
          </cell>
        </row>
      </sheetData>
      <sheetData sheetId="6" refreshError="1"/>
      <sheetData sheetId="7" refreshError="1"/>
      <sheetData sheetId="8" refreshError="1"/>
      <sheetData sheetId="9" refreshError="1"/>
      <sheetData sheetId="1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atan"/>
      <sheetName val="Daftar - Isi"/>
      <sheetName val="Hit Vol Str Jambi"/>
      <sheetName val="Hit Vol_PSU"/>
      <sheetName val="Analisa Harga Satuan"/>
      <sheetName val="Harga Satuan"/>
      <sheetName val="Ris_Vol"/>
      <sheetName val="R A B"/>
      <sheetName val="&quot;S&quot; Curve"/>
      <sheetName val="Rekapitulasi"/>
    </sheetNames>
    <sheetDataSet>
      <sheetData sheetId="0"/>
      <sheetData sheetId="1"/>
      <sheetData sheetId="2"/>
      <sheetData sheetId="3"/>
      <sheetData sheetId="4">
        <row r="495">
          <cell r="G495">
            <v>2678146.8564010416</v>
          </cell>
        </row>
        <row r="526">
          <cell r="G526">
            <v>2827547.1809088909</v>
          </cell>
        </row>
        <row r="780">
          <cell r="G780">
            <v>2703715.3955671052</v>
          </cell>
        </row>
      </sheetData>
      <sheetData sheetId="5"/>
      <sheetData sheetId="6"/>
      <sheetData sheetId="7"/>
      <sheetData sheetId="8"/>
      <sheetData sheetId="9"/>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7"/>
      <sheetName val="COVER (4)"/>
      <sheetName val="Daf-6"/>
      <sheetName val="COVER (3)"/>
      <sheetName val="D5"/>
      <sheetName val="D4"/>
      <sheetName val="D3"/>
      <sheetName val="D2"/>
      <sheetName val="Cover(2)"/>
      <sheetName val="DAF-1"/>
      <sheetName val="Cover(1)"/>
      <sheetName val="ANALISA "/>
      <sheetName val="HSATUAN"/>
      <sheetName val="KURVAS"/>
      <sheetName val="SUM"/>
      <sheetName val="Analisa Harga Satuan"/>
      <sheetName val="HDasar"/>
      <sheetName val="harsat"/>
      <sheetName val="satuan_pek_str"/>
      <sheetName val="rumus"/>
      <sheetName val="ANALISA"/>
      <sheetName val="Cover"/>
      <sheetName val="Harga"/>
      <sheetName val="lab bahasa"/>
      <sheetName val="CH"/>
      <sheetName val="ANALISA BAHA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6">
          <cell r="H16">
            <v>2980</v>
          </cell>
        </row>
        <row r="23">
          <cell r="H23">
            <v>310000</v>
          </cell>
        </row>
        <row r="46">
          <cell r="H46">
            <v>100000</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Persiapan"/>
      <sheetName val="STR"/>
      <sheetName val="ARS"/>
      <sheetName val="harsat"/>
      <sheetName val="analisa"/>
      <sheetName val="FURNITURE"/>
      <sheetName val="dash"/>
      <sheetName val="Cover"/>
      <sheetName val="HSATUAN"/>
      <sheetName val="Rekap Biaya"/>
      <sheetName val="satuan_pek_str"/>
      <sheetName val="ana_str"/>
      <sheetName val="Hargamat"/>
      <sheetName val="DAF-1"/>
      <sheetName val="GRAND REKAPITULASI"/>
      <sheetName val="RAB_R. GENSET &amp; PANEL_(10) "/>
      <sheetName val="RAB_R. DNS. PENGLL T.54_(11.B.)"/>
      <sheetName val="RAB_R. DNS. PENGLL T.54 (11.C.)"/>
      <sheetName val="RAB_R. DNS. PENGLL T.70_(12.A.)"/>
      <sheetName val="RAB_R. DNS. PENGLL T.70_(12.B.)"/>
      <sheetName val="RAB_R. DNS. PENGLL T.70_(12.C.)"/>
      <sheetName val="RAB_SPORT CLUB_(14)"/>
      <sheetName val="RAB_MASJID &amp; T.WUDLU_(15)"/>
      <sheetName val="RAB_LOUNDRY &amp; WORKSHOP_(16)"/>
      <sheetName val="RAB_MINIMARKET &amp; KANTIN_(17.)"/>
      <sheetName val="RAB_RMH. PENJAGA_(18)"/>
      <sheetName val="RAB_POS JAGA_(19. A.)"/>
      <sheetName val="RAB_POS JAGA_(19. B.)"/>
      <sheetName val="RAB_R. POMPA_(20)"/>
      <sheetName val="RAB_GARASI_(21)"/>
      <sheetName val="RAB_POLIKLINIK_(22)"/>
      <sheetName val="RAB_R. KELAS_(2.A)"/>
      <sheetName val="RAB_R. KELAS_(2.B)"/>
      <sheetName val="RAB_AULA UTAMA_(5)"/>
      <sheetName val="RAB_AULA SEDANG_(6)"/>
      <sheetName val="RAB_ASRAMA_(7. B.)"/>
      <sheetName val="RAB_ASRAMA_(7. C.)"/>
      <sheetName val="RAB_ASRAMA_(7. D.)"/>
      <sheetName val="RAB_R. MAKAN_(8)"/>
      <sheetName val="RAB_GUEST HOUSE_(9. A.)"/>
      <sheetName val="RAB_GUEST HOUSE_(9. B.)"/>
      <sheetName val="COST-PERSON-J.O."/>
      <sheetName val="RENTAL1"/>
      <sheetName val="anal"/>
      <sheetName val="Form 4 &amp; 4-A"/>
      <sheetName val="Master 1.0"/>
      <sheetName val="hargaSatuan"/>
      <sheetName val="Bill of Qty MEP"/>
      <sheetName val="HB "/>
      <sheetName val="SEX"/>
      <sheetName val="HDasar"/>
      <sheetName val="H.Satuan"/>
      <sheetName val="Daf 1"/>
      <sheetName val="Harsat Bahan"/>
      <sheetName val="Harsat Upah"/>
      <sheetName val="ANALISA-A"/>
      <sheetName val="Analisa Harga Satuan"/>
      <sheetName val="Hit Vol Str Jambi"/>
    </sheetNames>
    <sheetDataSet>
      <sheetData sheetId="0" refreshError="1"/>
      <sheetData sheetId="1" refreshError="1"/>
      <sheetData sheetId="2" refreshError="1"/>
      <sheetData sheetId="3" refreshError="1"/>
      <sheetData sheetId="4" refreshError="1">
        <row r="16">
          <cell r="H16">
            <v>9340</v>
          </cell>
        </row>
        <row r="36">
          <cell r="H36">
            <v>3200</v>
          </cell>
        </row>
        <row r="39">
          <cell r="H39">
            <v>65000</v>
          </cell>
        </row>
        <row r="47">
          <cell r="H47">
            <v>230000</v>
          </cell>
        </row>
        <row r="48">
          <cell r="H48">
            <v>240000</v>
          </cell>
        </row>
        <row r="49">
          <cell r="H49">
            <v>260000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dwal (2)"/>
      <sheetName val="alat (2)"/>
      <sheetName val="upah (2)"/>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rek3"/>
      <sheetName val="bq3"/>
      <sheetName val="rek4"/>
      <sheetName val="bq4"/>
      <sheetName val="umum"/>
      <sheetName val="mobilisation"/>
      <sheetName val="mayor01"/>
      <sheetName val="minor"/>
      <sheetName val="rutin1"/>
      <sheetName val="metoda"/>
      <sheetName val="upah"/>
      <sheetName val="jadwal"/>
      <sheetName val="DivI"/>
    </sheetNames>
    <sheetDataSet>
      <sheetData sheetId="0" refreshError="1"/>
      <sheetData sheetId="1" refreshError="1"/>
      <sheetData sheetId="2" refreshError="1"/>
      <sheetData sheetId="3" refreshError="1">
        <row r="15">
          <cell r="G15">
            <v>60000</v>
          </cell>
        </row>
        <row r="16">
          <cell r="G16">
            <v>62000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uktur(BQ)"/>
      <sheetName val="Arsitektur ( BQ )"/>
      <sheetName val="Tambah"/>
      <sheetName val="harsat"/>
      <sheetName val="anal"/>
      <sheetName val="BAU"/>
      <sheetName val="RekapBTL"/>
      <sheetName val="Gaji"/>
      <sheetName val="Persiapan"/>
      <sheetName val="Alat"/>
      <sheetName val="Bank"/>
      <sheetName val="Rupa"/>
      <sheetName val="DaftSub"/>
      <sheetName val="Daftmat"/>
      <sheetName val="rekap"/>
      <sheetName val="dash"/>
      <sheetName val="PileCap"/>
      <sheetName val="Analisa Harga Satuan"/>
      <sheetName val="Hit Vol Str Jambi"/>
      <sheetName val="UBA"/>
      <sheetName val="Analisa"/>
      <sheetName val="Indirect"/>
      <sheetName val="Harsat Bahan"/>
      <sheetName val="Harsat Upah"/>
      <sheetName val="Daftar Harga"/>
      <sheetName val="Daftar Upah"/>
      <sheetName val="A"/>
      <sheetName val="BAHAN"/>
      <sheetName val="UPAH"/>
      <sheetName val="DATA1"/>
      <sheetName val="h.satuan"/>
      <sheetName val="HSATUAN"/>
      <sheetName val="Analisa Struktur Beton"/>
      <sheetName val="FLAF&amp;PARTSI"/>
      <sheetName val="ANALISA PEK.UMU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BILL OF QU-ARS"/>
      <sheetName val="BILL OF QU-STR"/>
      <sheetName val="RAP-STR"/>
      <sheetName val="RAP-ARS"/>
      <sheetName val="Analisa"/>
      <sheetName val="Daftar Harga"/>
      <sheetName val="krifikasi gambar &amp; bq"/>
      <sheetName val="Daftar Upah"/>
    </sheetNames>
    <sheetDataSet>
      <sheetData sheetId="0" refreshError="1"/>
      <sheetData sheetId="1" refreshError="1"/>
      <sheetData sheetId="2" refreshError="1"/>
      <sheetData sheetId="3" refreshError="1"/>
      <sheetData sheetId="4" refreshError="1"/>
      <sheetData sheetId="5" refreshError="1"/>
      <sheetData sheetId="6" refreshError="1">
        <row r="14">
          <cell r="G14">
            <v>100000</v>
          </cell>
        </row>
        <row r="30">
          <cell r="G30">
            <v>35000</v>
          </cell>
        </row>
        <row r="45">
          <cell r="G45">
            <v>30000</v>
          </cell>
        </row>
        <row r="86">
          <cell r="G86">
            <v>7500</v>
          </cell>
        </row>
        <row r="87">
          <cell r="G87">
            <v>110000</v>
          </cell>
        </row>
        <row r="100">
          <cell r="G100">
            <v>1800000</v>
          </cell>
        </row>
        <row r="101">
          <cell r="G101">
            <v>950000</v>
          </cell>
        </row>
        <row r="108">
          <cell r="G108">
            <v>34000</v>
          </cell>
        </row>
        <row r="185">
          <cell r="G185">
            <v>45000</v>
          </cell>
        </row>
        <row r="209">
          <cell r="G209">
            <v>6250</v>
          </cell>
        </row>
        <row r="216">
          <cell r="G216">
            <v>32500</v>
          </cell>
        </row>
      </sheetData>
      <sheetData sheetId="7" refreshError="1"/>
      <sheetData sheetId="8" refreshError="1">
        <row r="18">
          <cell r="D18">
            <v>35000</v>
          </cell>
        </row>
        <row r="32">
          <cell r="D32">
            <v>50000</v>
          </cell>
        </row>
      </sheetData>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BAHAN"/>
      <sheetName val="ANLS-struktur&amp;ars"/>
      <sheetName val="backup data"/>
      <sheetName val="Evaluasi"/>
      <sheetName val="S.UPAH"/>
      <sheetName val="S_BAHAN"/>
      <sheetName val="S_UPAH"/>
      <sheetName val="bau"/>
      <sheetName val="GAJI"/>
      <sheetName val="REKAP"/>
      <sheetName val="harsat"/>
      <sheetName val="HARGA"/>
      <sheetName val="BAHAN"/>
      <sheetName val="UPAH"/>
      <sheetName val="Daf 1"/>
      <sheetName val="ARTAGDING"/>
      <sheetName val="MANHATTAN"/>
      <sheetName val="SENTUL"/>
      <sheetName val="BKPM"/>
      <sheetName val="BELAGIO"/>
      <sheetName val="T.ABANG"/>
      <sheetName val="SEMANAN"/>
      <sheetName val="DATA1"/>
      <sheetName val="dBase"/>
      <sheetName val="REF.ONLY"/>
      <sheetName val="Mgg-an"/>
      <sheetName val="Daftar Harga"/>
      <sheetName val="Daftar Upah"/>
      <sheetName val="HSATUAN"/>
      <sheetName val="ANALISA PEK.UMUM"/>
      <sheetName val="ARSITEKTUR"/>
      <sheetName val="STRUKTUR"/>
      <sheetName val="PileCap"/>
    </sheetNames>
    <sheetDataSet>
      <sheetData sheetId="0" refreshError="1">
        <row r="24">
          <cell r="J24">
            <v>1750000</v>
          </cell>
        </row>
        <row r="46">
          <cell r="J46">
            <v>4200</v>
          </cell>
        </row>
      </sheetData>
      <sheetData sheetId="1" refreshError="1"/>
      <sheetData sheetId="2" refreshError="1"/>
      <sheetData sheetId="3" refreshError="1"/>
      <sheetData sheetId="4" refreshError="1">
        <row r="35">
          <cell r="I35">
            <v>125000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BQ"/>
      <sheetName val="BQ"/>
      <sheetName val="Analisa Mob-Demob"/>
      <sheetName val="Analisa"/>
      <sheetName val="Harga Satuan"/>
      <sheetName val="Equipment"/>
      <sheetName val="Schedule"/>
      <sheetName val="Pemecah Batu"/>
      <sheetName val="Kapasitas AMP"/>
      <sheetName val="Pembayaran Utama"/>
      <sheetName val="Disubkontrakan"/>
      <sheetName val="Lamp 10"/>
    </sheetNames>
    <sheetDataSet>
      <sheetData sheetId="0" refreshError="1"/>
      <sheetData sheetId="1" refreshError="1"/>
      <sheetData sheetId="2" refreshError="1"/>
      <sheetData sheetId="3" refreshError="1"/>
      <sheetData sheetId="4" refreshError="1">
        <row r="9">
          <cell r="G9">
            <v>6250</v>
          </cell>
        </row>
        <row r="38">
          <cell r="G38">
            <v>90000</v>
          </cell>
        </row>
        <row r="41">
          <cell r="G41">
            <v>72000</v>
          </cell>
        </row>
        <row r="42">
          <cell r="G42">
            <v>72000</v>
          </cell>
        </row>
        <row r="45">
          <cell r="G45">
            <v>43334.859437751002</v>
          </cell>
        </row>
        <row r="46">
          <cell r="G46">
            <v>39500</v>
          </cell>
        </row>
        <row r="59">
          <cell r="G59">
            <v>24600</v>
          </cell>
        </row>
        <row r="60">
          <cell r="G60">
            <v>85750</v>
          </cell>
        </row>
        <row r="68">
          <cell r="G68">
            <v>51750</v>
          </cell>
        </row>
        <row r="69">
          <cell r="G69">
            <v>91500</v>
          </cell>
        </row>
      </sheetData>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A"/>
      <sheetName val="BQ"/>
      <sheetName val="REKAP"/>
      <sheetName val="HARSAT"/>
      <sheetName val="bau"/>
      <sheetName val="dc"/>
      <sheetName val="alat"/>
      <sheetName val="GAJI"/>
      <sheetName val="1.2_2"/>
      <sheetName val="DFTR PRSH"/>
      <sheetName val="METODE"/>
      <sheetName val="DFTALAT"/>
      <sheetName val="JADWAL"/>
      <sheetName val="PERSONIL"/>
      <sheetName val="SURAT"/>
      <sheetName val="PileCap"/>
      <sheetName val="BELAGIO"/>
      <sheetName val="ARTAGDING"/>
      <sheetName val="MANHATTAN"/>
      <sheetName val="SENTUL"/>
      <sheetName val="T.ABANG"/>
      <sheetName val="SEMANAN"/>
      <sheetName val="BKPM"/>
      <sheetName val="Daftar Harga"/>
      <sheetName val="Daftar Upah"/>
      <sheetName val="ANALISA PEK.UMUM"/>
      <sheetName val="FORM X COST"/>
      <sheetName val="Daf 1"/>
      <sheetName val="sub"/>
      <sheetName val="Urai _ Guide Post"/>
      <sheetName val="Urai_Galian Tanah"/>
      <sheetName val="K"/>
      <sheetName val="dongia (2)"/>
      <sheetName val="lam-moi"/>
      <sheetName val="#REF"/>
      <sheetName val="TH XL"/>
      <sheetName val="gtrinh"/>
      <sheetName val="Tiepdia"/>
      <sheetName val="TDTKP1"/>
      <sheetName val="BAHAN"/>
      <sheetName val="Harsat Bahan"/>
      <sheetName val="Harsat Upah"/>
      <sheetName val="h.satuan"/>
      <sheetName val="Analisa Harga Satuan"/>
      <sheetName val="Hit Vol Str Jambi"/>
      <sheetName val="boq"/>
      <sheetName val="D.1.7"/>
      <sheetName val="D.1.5"/>
      <sheetName val="D.2.3"/>
      <sheetName val="D.2.2"/>
      <sheetName val="SAP"/>
      <sheetName val="hrg-sat.pek"/>
      <sheetName val="UPAH"/>
      <sheetName val="DATA1"/>
    </sheetNames>
    <sheetDataSet>
      <sheetData sheetId="0" refreshError="1"/>
      <sheetData sheetId="1" refreshError="1"/>
      <sheetData sheetId="2" refreshError="1">
        <row r="35">
          <cell r="G35">
            <v>8503028414.1233339</v>
          </cell>
        </row>
        <row r="38">
          <cell r="G38">
            <v>9353331000</v>
          </cell>
        </row>
      </sheetData>
      <sheetData sheetId="3" refreshError="1"/>
      <sheetData sheetId="4" refreshError="1">
        <row r="9">
          <cell r="J9">
            <v>261400289.5</v>
          </cell>
        </row>
        <row r="44">
          <cell r="J44">
            <v>1508379090.9090905</v>
          </cell>
        </row>
      </sheetData>
      <sheetData sheetId="5" refreshError="1"/>
      <sheetData sheetId="6" refreshError="1"/>
      <sheetData sheetId="7" refreshError="1">
        <row r="45">
          <cell r="Y45">
            <v>150864000</v>
          </cell>
          <cell r="AA45">
            <v>33900000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
      <sheetName val="Dashboard"/>
      <sheetName val="Prelim"/>
      <sheetName val="Ratio"/>
      <sheetName val="BQ"/>
      <sheetName val="Add"/>
      <sheetName val="Hargamat"/>
      <sheetName val="Harsat"/>
      <sheetName val="Analisa"/>
      <sheetName val="Ana Sanitair"/>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sheetData sheetId="9"/>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E"/>
      <sheetName val="ANALISA"/>
      <sheetName val="HS"/>
      <sheetName val="uraianaspal"/>
      <sheetName val="uraianII_VIII"/>
      <sheetName val="uraianIX"/>
      <sheetName val="UraianX"/>
      <sheetName val="Upah"/>
      <sheetName val="bahan"/>
      <sheetName val="alat"/>
      <sheetName val="kaputama"/>
      <sheetName val="PRODBAHAN"/>
      <sheetName val="quarry"/>
      <sheetName val="satbahan"/>
      <sheetName val="Sheet2"/>
      <sheetName val="satalat"/>
    </sheetNames>
    <sheetDataSet>
      <sheetData sheetId="0"/>
      <sheetData sheetId="1"/>
      <sheetData sheetId="2"/>
      <sheetData sheetId="3"/>
      <sheetData sheetId="4"/>
      <sheetData sheetId="5"/>
      <sheetData sheetId="6"/>
      <sheetData sheetId="7" refreshError="1">
        <row r="13">
          <cell r="G13">
            <v>3000</v>
          </cell>
        </row>
        <row r="14">
          <cell r="G14">
            <v>2000</v>
          </cell>
        </row>
        <row r="15">
          <cell r="G15">
            <v>2500</v>
          </cell>
        </row>
      </sheetData>
      <sheetData sheetId="8" refreshError="1">
        <row r="32">
          <cell r="G32">
            <v>1150</v>
          </cell>
        </row>
        <row r="33">
          <cell r="G33">
            <v>600</v>
          </cell>
        </row>
        <row r="34">
          <cell r="G34">
            <v>8500</v>
          </cell>
        </row>
      </sheetData>
      <sheetData sheetId="9"/>
      <sheetData sheetId="10"/>
      <sheetData sheetId="11"/>
      <sheetData sheetId="12"/>
      <sheetData sheetId="13"/>
      <sheetData sheetId="14"/>
      <sheetData sheetId="15"/>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ga Jasa dan Material"/>
    </sheetNames>
    <sheetDataSet>
      <sheetData sheetId="0"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CHECK"/>
      <sheetName val="SCHE"/>
      <sheetName val="SRT"/>
      <sheetName val="Rek"/>
      <sheetName val="BQ"/>
      <sheetName val="MJR"/>
      <sheetName val="Ana"/>
      <sheetName val="Met"/>
      <sheetName val="hsd"/>
      <sheetName val="Mob"/>
      <sheetName val="AN-E"/>
      <sheetName val="MOS"/>
      <sheetName val="ALAT"/>
      <sheetName val="GEL"/>
      <sheetName val="Form"/>
      <sheetName val="Lamp Mob"/>
      <sheetName val="STAF"/>
      <sheetName val="PENG."/>
      <sheetName val="Ana (2)"/>
      <sheetName val="Met Col"/>
      <sheetName val="Ana.Non "/>
      <sheetName val="Meth.Non"/>
      <sheetName val="PENG.2"/>
      <sheetName val="PENG.3"/>
      <sheetName val="ORG2"/>
      <sheetName val="CUR"/>
      <sheetName val="Minat"/>
      <sheetName val="Sheet1"/>
      <sheetName val="IND"/>
      <sheetName val="BOQ"/>
      <sheetName val="STF (2)"/>
      <sheetName val="alt-cimangkok"/>
      <sheetName val="SCH"/>
      <sheetName val="SUB"/>
      <sheetName val="DLM"/>
      <sheetName val="BALT"/>
      <sheetName val="LMP.1"/>
      <sheetName val="LMP.2"/>
      <sheetName val="RTN"/>
      <sheetName val="ANA (BAK)"/>
      <sheetName val="MET (BAK)"/>
      <sheetName val="CMK"/>
      <sheetName val="TM"/>
      <sheetName val="Analisa Harga Satuan"/>
      <sheetName val="Analisa Struktur Beton"/>
      <sheetName val="ANALISA"/>
      <sheetName val="Material"/>
      <sheetName val="Analisa STR"/>
      <sheetName val="Harga Satuan"/>
      <sheetName val="harsat"/>
      <sheetName val="Hargamat"/>
      <sheetName val="Meth"/>
      <sheetName val="Metod TWR"/>
      <sheetName val="H.Satuan"/>
      <sheetName val="BHN"/>
      <sheetName val="Bank"/>
      <sheetName val="O&amp;O-Alat"/>
      <sheetName val="REKTOR"/>
      <sheetName val="DEKAN"/>
      <sheetName val="Daftar Harga"/>
      <sheetName val="Sheet2"/>
      <sheetName val="Sheet3"/>
      <sheetName val="DU&amp;B"/>
      <sheetName val="bahan"/>
      <sheetName val="Informasi"/>
      <sheetName val="INPUT"/>
      <sheetName val="DAB"/>
      <sheetName val="Daftar Harga Satuan"/>
      <sheetName val="Div3"/>
      <sheetName val="BYALAT"/>
      <sheetName val="HSDALAT"/>
      <sheetName val="HSDMAT"/>
      <sheetName val="H_Dasar"/>
      <sheetName val="HARSAT-lain"/>
      <sheetName val="HARSAT-tanah"/>
      <sheetName val="Data"/>
      <sheetName val="PRICE"/>
      <sheetName val="hrgsat"/>
      <sheetName val="Analisa 2"/>
    </sheetNames>
    <sheetDataSet>
      <sheetData sheetId="0" refreshError="1">
        <row r="1">
          <cell r="A1" t="str">
            <v>Bandung, 1 Agustus 2002</v>
          </cell>
        </row>
      </sheetData>
      <sheetData sheetId="1" refreshError="1"/>
      <sheetData sheetId="2" refreshError="1"/>
      <sheetData sheetId="3" refreshError="1"/>
      <sheetData sheetId="4" refreshError="1"/>
      <sheetData sheetId="5"/>
      <sheetData sheetId="6" refreshError="1"/>
      <sheetData sheetId="7"/>
      <sheetData sheetId="8" refreshError="1"/>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Analisa-Harsat"/>
      <sheetName val="DHSD"/>
    </sheetNames>
    <sheetDataSet>
      <sheetData sheetId="0" refreshError="1"/>
      <sheetData sheetId="1" refreshError="1"/>
      <sheetData sheetId="2" refreshError="1">
        <row r="11">
          <cell r="G11">
            <v>2700</v>
          </cell>
        </row>
        <row r="12">
          <cell r="G12">
            <v>4250</v>
          </cell>
        </row>
        <row r="13">
          <cell r="G13">
            <v>5000</v>
          </cell>
        </row>
        <row r="17">
          <cell r="G17">
            <v>96800</v>
          </cell>
        </row>
        <row r="18">
          <cell r="G18">
            <v>104115.69</v>
          </cell>
        </row>
        <row r="19">
          <cell r="G19">
            <v>123200</v>
          </cell>
        </row>
        <row r="20">
          <cell r="G20">
            <v>103025.76</v>
          </cell>
        </row>
        <row r="22">
          <cell r="G22">
            <v>10300</v>
          </cell>
        </row>
        <row r="23">
          <cell r="G23">
            <v>3350</v>
          </cell>
        </row>
        <row r="24">
          <cell r="G24">
            <v>990</v>
          </cell>
        </row>
        <row r="26">
          <cell r="G26">
            <v>7100</v>
          </cell>
        </row>
        <row r="27">
          <cell r="G27">
            <v>7100</v>
          </cell>
        </row>
        <row r="28">
          <cell r="G28">
            <v>4500</v>
          </cell>
        </row>
        <row r="29">
          <cell r="G29">
            <v>900000</v>
          </cell>
        </row>
        <row r="33">
          <cell r="G33">
            <v>20030</v>
          </cell>
        </row>
        <row r="34">
          <cell r="G34">
            <v>69170</v>
          </cell>
        </row>
        <row r="35">
          <cell r="G35">
            <v>48150</v>
          </cell>
        </row>
        <row r="36">
          <cell r="G36">
            <v>21420</v>
          </cell>
        </row>
        <row r="37">
          <cell r="G37">
            <v>58920</v>
          </cell>
        </row>
        <row r="38">
          <cell r="G38">
            <v>82020</v>
          </cell>
        </row>
        <row r="40">
          <cell r="G40">
            <v>106900</v>
          </cell>
        </row>
        <row r="43">
          <cell r="G43">
            <v>49390</v>
          </cell>
        </row>
        <row r="45">
          <cell r="G45">
            <v>73230</v>
          </cell>
        </row>
        <row r="46">
          <cell r="G46">
            <v>13690</v>
          </cell>
        </row>
        <row r="48">
          <cell r="G48">
            <v>93080</v>
          </cell>
        </row>
      </sheetData>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rek"/>
      <sheetName val="BILL"/>
      <sheetName val="urutan"/>
      <sheetName val="met (2)"/>
      <sheetName val="met"/>
      <sheetName val="dafmpu"/>
      <sheetName val="anal"/>
      <sheetName val="hsd"/>
      <sheetName val="jad"/>
      <sheetName val="jad ala"/>
      <sheetName val="jad bah"/>
      <sheetName val="alat"/>
      <sheetName val="staf arteri"/>
      <sheetName val="staf planjan"/>
      <sheetName val="staf tlogowarak"/>
      <sheetName val="staf jbt seling"/>
      <sheetName val="staf jbt tambalan"/>
      <sheetName val="sub"/>
      <sheetName val="Mob"/>
      <sheetName val="stonecrusher"/>
      <sheetName val="amp"/>
      <sheetName val="lam"/>
      <sheetName val="dat kon"/>
      <sheetName val="Bilang"/>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15">
          <cell r="H15">
            <v>5625</v>
          </cell>
        </row>
        <row r="54">
          <cell r="H54">
            <v>2600000</v>
          </cell>
        </row>
        <row r="84">
          <cell r="H84">
            <v>119250</v>
          </cell>
        </row>
        <row r="86">
          <cell r="H86">
            <v>180000</v>
          </cell>
        </row>
        <row r="108">
          <cell r="H108">
            <v>7500</v>
          </cell>
        </row>
      </sheetData>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BU-DATA1"/>
      <sheetName val="BU-DATA"/>
      <sheetName val="MGGUAN"/>
      <sheetName val="HARIAN"/>
      <sheetName val="M-C (2)"/>
      <sheetName val="mc (2)"/>
      <sheetName val="M-C (1)"/>
      <sheetName val="mc (1)"/>
      <sheetName val="M-C0"/>
      <sheetName val="mc0"/>
      <sheetName val="JAD.PELAKSANAAN"/>
      <sheetName val="rekap"/>
      <sheetName val="Sat~Pek"/>
      <sheetName val="Anggaran"/>
      <sheetName val="Analys"/>
      <sheetName val="Sat~Bahu"/>
      <sheetName val="Analis ala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TOTAL"/>
      <sheetName val="analisa"/>
      <sheetName val="CAT-HAR"/>
      <sheetName val="DAF-1"/>
      <sheetName val="DAF-2"/>
      <sheetName val="DAF-3"/>
      <sheetName val="Daf-4.1"/>
      <sheetName val="Daf-4.2"/>
      <sheetName val="Daf-4.3"/>
      <sheetName val="DAF-5"/>
      <sheetName val="Daf - 6"/>
      <sheetName val="Daf-7"/>
      <sheetName val="DAF_5"/>
      <sheetName val="SAT-BHN"/>
      <sheetName val="Kolom UT"/>
      <sheetName val="FLAF&amp;PARTSI"/>
      <sheetName val="PASIR GNG SLT 01"/>
      <sheetName val="FINISHING"/>
      <sheetName val="8LT 12"/>
      <sheetName val="Asrama Lt.1"/>
      <sheetName val="H-BHN"/>
      <sheetName val="4-Basic Price"/>
      <sheetName val="ANALISA PEK.UMUM"/>
      <sheetName val="BAHAN"/>
      <sheetName val="rab me (by owner) "/>
      <sheetName val="BQ (by owner)"/>
      <sheetName val="rab me (fisik)"/>
      <sheetName val="ANALISA KONST BTN"/>
      <sheetName val="Basic Pri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2"/>
    </sheetNames>
    <sheetDataSet>
      <sheetData sheetId="0"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kp Prelim"/>
      <sheetName val="Persiapan"/>
      <sheetName val="Rkp Strk"/>
      <sheetName val="Pondasi"/>
      <sheetName val="Bsm 3"/>
      <sheetName val="Bsm_2"/>
      <sheetName val="Bsm_1"/>
      <sheetName val="lt_1"/>
      <sheetName val="lt_2"/>
      <sheetName val="lt_3"/>
      <sheetName val="lt_4"/>
      <sheetName val="lt_5"/>
      <sheetName val="lt_6"/>
      <sheetName val="lt_7"/>
      <sheetName val="lt_8"/>
      <sheetName val="lt_9"/>
      <sheetName val="lt_10"/>
      <sheetName val="lt_11"/>
      <sheetName val="lt_12"/>
      <sheetName val="lt_13"/>
      <sheetName val="lt_14"/>
      <sheetName val="lt_15"/>
      <sheetName val="lt_16"/>
      <sheetName val="lt r.mesin"/>
      <sheetName val="lt_atap"/>
      <sheetName val="Mark Up"/>
      <sheetName val="Analisa"/>
      <sheetName val="Sat Upah"/>
      <sheetName val="Sat Bahan"/>
      <sheetName val="Sat Alat"/>
      <sheetName val="FLAF&amp;PARTSI"/>
      <sheetName val="Als Struk"/>
      <sheetName val="Daftar Harga"/>
      <sheetName val="Form 1"/>
      <sheetName val="An.Ars"/>
      <sheetName val="Rekap Direct Cost"/>
      <sheetName val="BQ"/>
      <sheetName val="hsp-STR-ARS"/>
      <sheetName val="S.BAHAN"/>
      <sheetName val="S.UPAH"/>
      <sheetName val="Analisa1"/>
      <sheetName val="Luas Kusen"/>
      <sheetName val="Analisa STR"/>
      <sheetName va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9">
          <cell r="I9">
            <v>34760</v>
          </cell>
        </row>
        <row r="15">
          <cell r="I15">
            <v>47140</v>
          </cell>
        </row>
        <row r="20">
          <cell r="I20">
            <v>53330</v>
          </cell>
        </row>
      </sheetData>
      <sheetData sheetId="28" refreshError="1">
        <row r="21">
          <cell r="H21">
            <v>40000</v>
          </cell>
        </row>
        <row r="40">
          <cell r="H40">
            <v>2800</v>
          </cell>
        </row>
      </sheetData>
      <sheetData sheetId="29" refreshError="1">
        <row r="13">
          <cell r="I13">
            <v>290000</v>
          </cell>
        </row>
        <row r="14">
          <cell r="I14">
            <v>185000</v>
          </cell>
        </row>
      </sheetData>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P"/>
      <sheetName val="BIAYA 2"/>
      <sheetName val="metode kerja"/>
      <sheetName val="HSD"/>
      <sheetName val="Alat Berat"/>
      <sheetName val="breakdwn girder"/>
      <sheetName val="SEWA ALAT"/>
    </sheetNames>
    <sheetDataSet>
      <sheetData sheetId="0"/>
      <sheetData sheetId="1"/>
      <sheetData sheetId="2"/>
      <sheetData sheetId="3">
        <row r="8">
          <cell r="H8">
            <v>21000</v>
          </cell>
        </row>
        <row r="30">
          <cell r="H30">
            <v>277800</v>
          </cell>
        </row>
        <row r="44">
          <cell r="H44">
            <v>38700</v>
          </cell>
        </row>
      </sheetData>
      <sheetData sheetId="4"/>
      <sheetData sheetId="5"/>
      <sheetData sheetId="6"/>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_HRG"/>
      <sheetName val="DAF-1"/>
      <sheetName val="DAF-2"/>
      <sheetName val="DAF-3"/>
      <sheetName val="DAF-4"/>
      <sheetName val="DAF-5"/>
      <sheetName val="TOTAL"/>
      <sheetName val="DASH"/>
      <sheetName val="DAF-BAHAN"/>
      <sheetName val="DAF-UPAH"/>
      <sheetName val="ANALISA"/>
      <sheetName val="Preliminary"/>
      <sheetName val="Sheet1"/>
      <sheetName val="DAF_BAHAN"/>
      <sheetName val="DAF_UPAH"/>
      <sheetName val="a_balokanak_k.275"/>
      <sheetName val="BQ"/>
      <sheetName val="hsp-STR-ARS"/>
      <sheetName val="Upah"/>
      <sheetName val="Sat Bahan"/>
      <sheetName val="Sat Alat"/>
      <sheetName val="Sat Upah"/>
      <sheetName val="Data"/>
      <sheetName val="HSATUAN"/>
      <sheetName val="FLAF&amp;PARTSI"/>
      <sheetName val="harsat"/>
      <sheetName val="BAHAN"/>
      <sheetName val="DATA1"/>
      <sheetName val="Harga"/>
      <sheetName val="hsp_STR_ARS"/>
      <sheetName val="Hit Vol Str Jambi"/>
      <sheetName val="Analisa Harga Satuan"/>
      <sheetName val="Upah+Bahan"/>
      <sheetName val="Harga Satuan"/>
      <sheetName val="Grading Tahap 1"/>
      <sheetName val="Analisa HSP "/>
      <sheetName val="(HSP)"/>
      <sheetName val="Rekapitulasi"/>
      <sheetName val="TAHAP 1"/>
      <sheetName val="Persiapan"/>
      <sheetName val="Pengerukan Tahap I"/>
      <sheetName val="Turap"/>
      <sheetName val="Lantai Dermaga (Tahap I)"/>
      <sheetName val="TPI 240"/>
      <sheetName val="MENARA AIR"/>
      <sheetName val="Airbersih"/>
      <sheetName val="JALAN(Tahap I)"/>
      <sheetName val="Drainase(TAHAP I)"/>
      <sheetName val="Alternatif 2"/>
      <sheetName val="Rekapitulasi (2)"/>
      <sheetName val="Pengerukan Tahap I alt2"/>
      <sheetName val="Dermaga Kayu Sementara"/>
      <sheetName val="JALAN"/>
      <sheetName val="Jetty Sepotong"/>
      <sheetName val="SISA TAHAP 1"/>
      <sheetName val="TPI"/>
      <sheetName val="Kantor Administrasi"/>
      <sheetName val="IPAL"/>
      <sheetName val="TPS"/>
      <sheetName val="Kiosbbm(1)"/>
      <sheetName val="Pasar Ikan"/>
      <sheetName val="Jetty (1)"/>
      <sheetName val="toilet"/>
      <sheetName val="Genset"/>
      <sheetName val="PAGAR TAHAP I "/>
      <sheetName val="TAHAP II"/>
      <sheetName val="Grading Tahap II"/>
      <sheetName val="Pengerukan Tahap II"/>
      <sheetName val="Dermaga (Tahap II)"/>
      <sheetName val="JALAN(Tahap II)"/>
      <sheetName val="PAGAR TAHAP II"/>
      <sheetName val="Jetty Tahap II"/>
      <sheetName val="Bengkel"/>
      <sheetName val="GUDANG"/>
      <sheetName val="POS JAGA"/>
      <sheetName val="RUMAH DINAS"/>
      <sheetName val="BALAI NELAYAN"/>
      <sheetName val="RUMAH KEPALA"/>
      <sheetName val="GUDANG ES"/>
      <sheetName val="Drainase(TAHAP II)"/>
      <sheetName val="Drainase(TAHAP III)"/>
      <sheetName val="Analisa HSP"/>
      <sheetName val="SUMBER DAYA"/>
      <sheetName val="Data BaseSumber DY"/>
      <sheetName val="Data Base Tahap Pek"/>
      <sheetName val="Data Base Tahap H. Sat"/>
      <sheetName val="rincian rab"/>
      <sheetName val="bq kontrak"/>
      <sheetName val="Rekap"/>
      <sheetName val="asumsi"/>
      <sheetName val="Resume"/>
      <sheetName val="Kebutuhan SBDY"/>
      <sheetName val="anc&amp;peluang"/>
      <sheetName val="HARSAT BAHAN"/>
      <sheetName val="unit_rate"/>
      <sheetName val="Analisa &amp; Upah"/>
      <sheetName val="RAB"/>
      <sheetName val="rincian"/>
      <sheetName val="peartahap"/>
      <sheetName val="per sb dy"/>
      <sheetName val="Bill sintalkon"/>
      <sheetName val="Rekap sintalkon"/>
      <sheetName val="rincaian biaya"/>
      <sheetName val="Rekap mbersama"/>
      <sheetName val="LT.1"/>
      <sheetName val="LT.2+DAK&amp;ATAP"/>
      <sheetName val="MES"/>
      <sheetName val="L.SCAPE"/>
      <sheetName val="KURVA_S"/>
      <sheetName val="BQ-ME"/>
      <sheetName val="LIST-MAT"/>
      <sheetName val="REKAP-ME"/>
      <sheetName val="DESIGN"/>
      <sheetName val="Sheet2"/>
      <sheetName val="Sheet3"/>
      <sheetName val="Hargamaterial"/>
      <sheetName val="PAD-F"/>
      <sheetName val="HARGA ALAT"/>
      <sheetName val="ANALISA PEK.UMUM"/>
      <sheetName val="Alat"/>
      <sheetName val="gajiPersiap"/>
      <sheetName val="Peralatan"/>
      <sheetName val="Sub"/>
      <sheetName val="Analisa Gabungan"/>
      <sheetName val="Analisa Harsat"/>
      <sheetName val="mu"/>
      <sheetName val="mu (owner)"/>
      <sheetName val="cashflow"/>
      <sheetName val="mu (struktur)"/>
      <sheetName val="anallisa"/>
      <sheetName val="Analisa Gab"/>
      <sheetName val="RABT"/>
      <sheetName val="rumus"/>
      <sheetName val="BQ-E20-02(Rp)"/>
      <sheetName val="atap"/>
      <sheetName val="FLAF_PARTSI"/>
      <sheetName val="BQ_E20_02_Rp_"/>
      <sheetName val="INFO"/>
      <sheetName val="Data-Kont"/>
      <sheetName val="M-ITEM"/>
      <sheetName val="UPAH&amp;BHN"/>
      <sheetName val="BOP"/>
      <sheetName val="Surat-Pen"/>
      <sheetName val="SCHEDULE"/>
      <sheetName val="METHOD"/>
      <sheetName val="ON-SITE"/>
      <sheetName val="SUB-KONTR"/>
      <sheetName val="T-TERIMA"/>
      <sheetName val="LIST"/>
      <sheetName val="s-inti"/>
      <sheetName val="SPernyataan"/>
      <sheetName val="d-alat"/>
      <sheetName val="I-KAMAR"/>
      <sheetName val="UPAH_BHN"/>
      <sheetName val="AHS"/>
      <sheetName val="Rekap Anggaran"/>
      <sheetName val="Sheet9"/>
      <sheetName val="RAB_ARSITEKTUR"/>
      <sheetName val="REKAP_ARSITEKTUR"/>
      <sheetName val="Normalisasi"/>
      <sheetName val="escon"/>
      <sheetName val="HRG BHN"/>
      <sheetName val="Ch"/>
      <sheetName val="SCHE."/>
      <sheetName val="SRT"/>
      <sheetName val="Rek"/>
      <sheetName val="BOQ"/>
      <sheetName val="ANA"/>
      <sheetName val="METH"/>
      <sheetName val="SDY"/>
      <sheetName val="SDY-rev"/>
      <sheetName val="MOS"/>
      <sheetName val="Mob."/>
      <sheetName val="u_Alat"/>
      <sheetName val="LAMP_3"/>
      <sheetName val="Sipil"/>
      <sheetName val="Inti"/>
      <sheetName val="Major"/>
      <sheetName val="Subkon"/>
      <sheetName val="Conf."/>
      <sheetName val="ROUTINE"/>
      <sheetName val="Hitung"/>
      <sheetName val="HSD"/>
      <sheetName val="STF (2)"/>
      <sheetName val="alt-cimangkok"/>
      <sheetName val="SCH"/>
      <sheetName val="MET"/>
      <sheetName val="DLM"/>
      <sheetName val="MJR"/>
      <sheetName val="BALT"/>
      <sheetName val="LMP.1"/>
      <sheetName val="LMP.2"/>
      <sheetName val="RTN"/>
      <sheetName val="ANA (BAK)"/>
      <sheetName val="MET (BAK)"/>
      <sheetName val="IND"/>
      <sheetName val="CMK"/>
      <sheetName val="TM"/>
      <sheetName val="Perhitungan RAB"/>
      <sheetName val="Mobilisasi"/>
      <sheetName val="Galian drainase.sal."/>
      <sheetName val="Pas.Batu Mortar"/>
      <sheetName val="Galian Biasa"/>
      <sheetName val="Penyiapa Badan Jln"/>
      <sheetName val="LPA Klas B Bahu.Jln"/>
      <sheetName val="LPA Klas B."/>
      <sheetName val="LPA Klas A "/>
      <sheetName val="Lap.Resap Ikat"/>
      <sheetName val="Lapis Perekat"/>
      <sheetName val="Laston ACWC"/>
      <sheetName val="Laston AC-BC"/>
      <sheetName val="Ac Bc Levelling"/>
      <sheetName val="gambar"/>
      <sheetName val="ALT"/>
      <sheetName val="STF"/>
      <sheetName val="MET-bab2"/>
      <sheetName val="Met-bab2.3(2)"/>
      <sheetName val="MET-bab3"/>
      <sheetName val="MET-bab4"/>
      <sheetName val="MET-bab5"/>
      <sheetName val="MET-bab6"/>
      <sheetName val="MET-bab7"/>
      <sheetName val="MET-bab8"/>
      <sheetName val="LMP.12"/>
      <sheetName val="surat "/>
      <sheetName val="ANA LS"/>
      <sheetName val="Met Rtn"/>
      <sheetName val="LMP.6"/>
      <sheetName val="LMP 7"/>
      <sheetName val="staf"/>
      <sheetName val="Kar"/>
      <sheetName val="MET-BAB-04"/>
      <sheetName val="MET-BAB-06"/>
      <sheetName val="MET-BAB-06b"/>
      <sheetName val="MET-bab-08"/>
      <sheetName val="Sheet2 (2)"/>
      <sheetName val="Sheet1 (2)"/>
      <sheetName val="Surat"/>
      <sheetName val="CH Met Bab"/>
      <sheetName val="Jadwal"/>
      <sheetName val="Ana MPU"/>
      <sheetName val="DPU"/>
      <sheetName val="HSD Upah+Alat"/>
      <sheetName val="HSD Bahan"/>
      <sheetName val="Met Bab 02"/>
      <sheetName val="Met Bab 05 (a)"/>
      <sheetName val="Met Bab 05 (b)"/>
      <sheetName val="Met Bab 06 (a)"/>
      <sheetName val="Met Bab 06 (b)"/>
      <sheetName val="Met Bab 04"/>
      <sheetName val="Met Bab 07"/>
      <sheetName val="Met Bab 08"/>
      <sheetName val="Konfirm"/>
      <sheetName val="Sub Kont"/>
      <sheetName val="BOQ INDUK (2)"/>
      <sheetName val="REK INDUK"/>
      <sheetName val="BOQ INDUK"/>
      <sheetName val="ANA mob"/>
      <sheetName val="BAB 3"/>
      <sheetName val="ANA BAB 3"/>
      <sheetName val="BAB 4"/>
      <sheetName val="ANA BAB 4"/>
      <sheetName val="BAB 6"/>
      <sheetName val="ANA BAB 6"/>
      <sheetName val="BAB 7"/>
      <sheetName val="ANA BAB 7"/>
      <sheetName val="BAB 8"/>
      <sheetName val="ANA BAB 8"/>
      <sheetName val="ANA mob (2)"/>
      <sheetName val="LS-Rutin"/>
      <sheetName val="SCH pekerjaan (2)"/>
      <sheetName val="DAFT PERALATAN"/>
      <sheetName val="SCH MOB (2)"/>
      <sheetName val="SCH bahan (2)"/>
      <sheetName val="REK ANAK"/>
      <sheetName val="BOQ ANAK"/>
      <sheetName val="ANA rutin"/>
      <sheetName val="KONF"/>
      <sheetName val="STAFF"/>
      <sheetName val="HSD UPAH"/>
      <sheetName val="HSD ALAT"/>
      <sheetName val="AMP"/>
      <sheetName val="FINISHER"/>
      <sheetName val="SPRAYER"/>
      <sheetName val="BULLDOZER"/>
      <sheetName val="COMPRESSOR"/>
      <sheetName val="CONCRETE MIXER"/>
      <sheetName val="CRANE"/>
      <sheetName val="DUMP TRUCK 3-4"/>
      <sheetName val="DUMP TRUCK "/>
      <sheetName val="DUMP TRUCK  TRONTON"/>
      <sheetName val="EXCAVATOR"/>
      <sheetName val="FLAT BED TRUCK"/>
      <sheetName val="MOTOR GRADER"/>
      <sheetName val="TRACK LOADER"/>
      <sheetName val="WHEEL LOADER"/>
      <sheetName val="THREE WHEEL ROLLER"/>
      <sheetName val="TANDEM ROLLER"/>
      <sheetName val="TIRE ROLLER"/>
      <sheetName val="VIBRATORY ROLLER2T"/>
      <sheetName val="VIBRATORY ROLLER 8t"/>
      <sheetName val="CONCRETE VIBRATOR"/>
      <sheetName val="STONE CRUSHER"/>
      <sheetName val="WATER PUMP"/>
      <sheetName val="WATER TANKER"/>
      <sheetName val="PEDESTRIAN ROLLER"/>
      <sheetName val="TAMPER"/>
      <sheetName val="JACK HAMMER"/>
      <sheetName val="FULVI MIXER"/>
      <sheetName val="CONC PAVER"/>
      <sheetName val="TRUCK MIXER"/>
      <sheetName val="BATCHING PLANT"/>
      <sheetName val="PNSPOLRI"/>
      <sheetName val="JAMSOSTEK"/>
      <sheetName val="ASURANSI"/>
      <sheetName val="RETRIBUSI"/>
      <sheetName val="judul"/>
      <sheetName val="jadwal alat"/>
      <sheetName val="SCH pekerjaan"/>
      <sheetName val="Compatibility Report"/>
      <sheetName val="Kuantitas"/>
      <sheetName val="HSD BAHAN (2)"/>
      <sheetName val="HSD ALAT (2)"/>
      <sheetName val="daf hs"/>
      <sheetName val="dft alat utam"/>
      <sheetName val="met bab 2.2"/>
      <sheetName val="met 3.1 (1)"/>
      <sheetName val="Met 3.2(2)"/>
      <sheetName val="met 5.1(1)"/>
      <sheetName val="met 5.1(2)"/>
      <sheetName val="met 6.3 (5)"/>
      <sheetName val="met 6.3.(6)"/>
      <sheetName val="met 6.3 (7)"/>
      <sheetName val="simak"/>
      <sheetName val="BOQ (2)"/>
      <sheetName val="DAFTAR KUANTITAS"/>
      <sheetName val="MPU"/>
      <sheetName val="ANALISA DIV-7"/>
      <sheetName val="HSD (2)"/>
      <sheetName val="S-CURVE"/>
      <sheetName val="sc-peralatan"/>
      <sheetName val="sc-bahan"/>
      <sheetName val="Kebutuhan bahan"/>
      <sheetName val="staf (2)"/>
      <sheetName val="peralatan utama"/>
      <sheetName val="konfirmasi"/>
      <sheetName val="luar negeri"/>
      <sheetName val="non pns"/>
      <sheetName val="surat kuasa"/>
      <sheetName val="MP-Div 2"/>
      <sheetName val="ANALISA DIV-2"/>
      <sheetName val="MP-3"/>
      <sheetName val="ANALISA-Div 3"/>
      <sheetName val="MP-5"/>
      <sheetName val="ANALISA DIV-5"/>
      <sheetName val="MP-7"/>
      <sheetName val="MP-8"/>
      <sheetName val="ANALISA DIV-8"/>
      <sheetName val="ANALISA DIV-6"/>
      <sheetName val="MP-6"/>
      <sheetName val="MET BAB-07"/>
      <sheetName val="BAB 7 (2)"/>
      <sheetName val="Myr"/>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8">
          <cell r="F18">
            <v>90000</v>
          </cell>
        </row>
        <row r="30">
          <cell r="F30">
            <v>199800</v>
          </cell>
        </row>
        <row r="33">
          <cell r="F33">
            <v>260850</v>
          </cell>
        </row>
        <row r="34">
          <cell r="F34">
            <v>275650</v>
          </cell>
        </row>
        <row r="35">
          <cell r="F35">
            <v>291380</v>
          </cell>
        </row>
        <row r="36">
          <cell r="F36">
            <v>311730</v>
          </cell>
        </row>
        <row r="38">
          <cell r="F38">
            <v>272880</v>
          </cell>
        </row>
        <row r="67">
          <cell r="F67">
            <v>101100</v>
          </cell>
        </row>
      </sheetData>
      <sheetData sheetId="9" refreshError="1">
        <row r="11">
          <cell r="E11">
            <v>10000</v>
          </cell>
        </row>
        <row r="12">
          <cell r="E12">
            <v>10000</v>
          </cell>
        </row>
        <row r="14">
          <cell r="E14">
            <v>20000</v>
          </cell>
        </row>
        <row r="15">
          <cell r="E15">
            <v>10000</v>
          </cell>
        </row>
        <row r="16">
          <cell r="E16">
            <v>15000</v>
          </cell>
        </row>
        <row r="23">
          <cell r="E23">
            <v>5000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ow r="5">
          <cell r="C5" t="str">
            <v>A00A00</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refreshError="1"/>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refreshError="1"/>
      <sheetData sheetId="138"/>
      <sheetData sheetId="139"/>
      <sheetData sheetId="140"/>
      <sheetData sheetId="141"/>
      <sheetData sheetId="142"/>
      <sheetData sheetId="143"/>
      <sheetData sheetId="144"/>
      <sheetData sheetId="145"/>
      <sheetData sheetId="146"/>
      <sheetData sheetId="147"/>
      <sheetData sheetId="148"/>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OK"/>
      <sheetName val="KOLOM"/>
      <sheetName val="PELAT"/>
      <sheetName val="P. TELAPAK"/>
      <sheetName val="POER"/>
      <sheetName val="BOREPILE"/>
      <sheetName val="TANGGA"/>
      <sheetName val="SLOOF"/>
      <sheetName val="LISPLANK"/>
      <sheetName val="DINDING"/>
      <sheetName val="BAHAN &amp; UPAH"/>
      <sheetName val="ANALISA"/>
      <sheetName val="REKAP"/>
      <sheetName val="Sheet14"/>
      <sheetName val="Sheet15"/>
      <sheetName val="Sheet16"/>
      <sheetName val="FLAF&amp;PARTSI"/>
      <sheetName val="CH"/>
      <sheetName val="BQ"/>
      <sheetName val="hsp-STR-ARS"/>
      <sheetName val="Sat Bahan"/>
      <sheetName val="Sat Alat"/>
      <sheetName val="Sat Upah"/>
      <sheetName val="satuan_pek"/>
      <sheetName val="DAF-BAHAN"/>
      <sheetName val="DAF-UPAH"/>
      <sheetName val="bhn,upah,alat"/>
      <sheetName val="Ans Kom Precast"/>
      <sheetName val="harsat"/>
      <sheetName val="harga-satuan"/>
      <sheetName val="Material"/>
      <sheetName val="BETON BERTULANG "/>
      <sheetName val="an. struktur"/>
      <sheetName val="Dashboard"/>
      <sheetName val="Als Struk"/>
      <sheetName val="Analisa Struktur Beton"/>
      <sheetName val="hs-str"/>
      <sheetName val="RAB"/>
      <sheetName val="1.Neo_pbersih-lap"/>
      <sheetName val="RAP"/>
      <sheetName val="SatDas"/>
      <sheetName val="Bab 7.1k300"/>
      <sheetName val="Daftar Harga"/>
      <sheetName val="Daftar Upah"/>
      <sheetName val="Mgg-an"/>
      <sheetName val="P__TELAPAK"/>
      <sheetName val="BAHAN_&amp;_UPAH"/>
      <sheetName val="Sat_Bahan"/>
      <sheetName val="Sat_Alat"/>
      <sheetName val="Sat_Upah"/>
      <sheetName val="Als_Struk"/>
      <sheetName val="Ans_Kom_Precast"/>
      <sheetName val="Analisa_Struktur_Beton"/>
      <sheetName val="Sheet1"/>
      <sheetName val="H.Satuan"/>
      <sheetName val="PRELI-CAP"/>
      <sheetName val="Analisa &amp; Upah"/>
      <sheetName val="K-2007"/>
      <sheetName val="2.1"/>
      <sheetName val="6.3(6)tkt"/>
      <sheetName val="SoCF (contract)"/>
      <sheetName val="SoCF"/>
      <sheetName val="db"/>
      <sheetName val="MC_Q"/>
      <sheetName val="TS_Q"/>
      <sheetName val="Total(A4-FLX)"/>
      <sheetName val="STA"/>
      <sheetName val="PCG"/>
      <sheetName val="DSN"/>
      <sheetName val="TPT"/>
      <sheetName val="dasar"/>
      <sheetName val="Listrik"/>
      <sheetName val="gabungan (2)"/>
      <sheetName val="boq"/>
      <sheetName val="MASTER Alat"/>
      <sheetName val="Kuantitas &amp; Harga"/>
      <sheetName val="Tambahan Biaro"/>
      <sheetName val="I_KAMAR"/>
      <sheetName val="HSD"/>
      <sheetName val="HARGA SATUAN"/>
      <sheetName val="Form 1"/>
      <sheetName val="Daf 1"/>
      <sheetName val="Upah,Bahan,Alat"/>
      <sheetName val="Rekap Analisa1"/>
      <sheetName val="Rab ACC"/>
      <sheetName val="bahan"/>
      <sheetName val="Analisa STR"/>
      <sheetName val="DATA"/>
      <sheetName val="UPAH"/>
      <sheetName val="ANALISA PEK.UMUM"/>
      <sheetName val="Div2"/>
      <sheetName val="HG SATUAN"/>
      <sheetName val="HSBU ANA"/>
      <sheetName val="rab 4"/>
      <sheetName val="MAPP"/>
      <sheetName val="rek det 1-3"/>
      <sheetName val="ANL"/>
      <sheetName val="Analisa Harga Satuan"/>
      <sheetName val="Bangunan Utama"/>
      <sheetName val="tul"/>
      <sheetName val="BERAT TUL."/>
      <sheetName val="Harga"/>
      <sheetName val="Time Schedule"/>
      <sheetName val="HRG BAHAN &amp; UPAH okk"/>
      <sheetName val="Analis Kusen okk"/>
      <sheetName val="har-sat"/>
      <sheetName val="Sec I ML"/>
      <sheetName val="ETAB 1"/>
      <sheetName val="Rkp"/>
    </sheetNames>
    <sheetDataSet>
      <sheetData sheetId="0">
        <row r="208">
          <cell r="J208">
            <v>3690</v>
          </cell>
        </row>
      </sheetData>
      <sheetData sheetId="1">
        <row r="208">
          <cell r="J208">
            <v>3690</v>
          </cell>
        </row>
      </sheetData>
      <sheetData sheetId="2">
        <row r="208">
          <cell r="J208">
            <v>3690</v>
          </cell>
        </row>
      </sheetData>
      <sheetData sheetId="3">
        <row r="208">
          <cell r="J208">
            <v>3690</v>
          </cell>
        </row>
      </sheetData>
      <sheetData sheetId="4">
        <row r="208">
          <cell r="J208">
            <v>3690</v>
          </cell>
        </row>
      </sheetData>
      <sheetData sheetId="5"/>
      <sheetData sheetId="6"/>
      <sheetData sheetId="7"/>
      <sheetData sheetId="8"/>
      <sheetData sheetId="9"/>
      <sheetData sheetId="10"/>
      <sheetData sheetId="11" refreshError="1">
        <row r="208">
          <cell r="J208">
            <v>3690</v>
          </cell>
        </row>
        <row r="227">
          <cell r="J227">
            <v>27740</v>
          </cell>
        </row>
        <row r="280">
          <cell r="J280">
            <v>16240</v>
          </cell>
        </row>
        <row r="291">
          <cell r="J291">
            <v>12195</v>
          </cell>
        </row>
        <row r="302">
          <cell r="J302">
            <v>39760</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IBUSI"/>
      <sheetName val="REKAP"/>
      <sheetName val="PERSIAPAN"/>
      <sheetName val="STR"/>
      <sheetName val="ARS"/>
      <sheetName val="cover"/>
      <sheetName val="STR (TAMBAHAN)"/>
      <sheetName val="ARS (TAMBAHAN)"/>
      <sheetName val="DOWN GRADE"/>
      <sheetName val="PILING"/>
      <sheetName val="Pre-summary"/>
      <sheetName val="Pre-personnel"/>
      <sheetName val="Pre-equipment"/>
      <sheetName val="ANA"/>
      <sheetName val="ANA (submit)"/>
      <sheetName val="Sheet1"/>
      <sheetName val="satuan_pek"/>
      <sheetName val="STRUKTUR"/>
      <sheetName val="I-KAMAR"/>
      <sheetName val="black_out"/>
      <sheetName val="harsat"/>
      <sheetName val="Elektrikal"/>
      <sheetName val="Har-mat"/>
      <sheetName val="an. struktur"/>
      <sheetName val="Dashboard"/>
      <sheetName val="Bank"/>
      <sheetName val="Bunga"/>
      <sheetName val="BAHAN"/>
      <sheetName val="Mark-up"/>
      <sheetName val="HARSAT BAHAN"/>
      <sheetName val="Sat Bah &amp; Up"/>
      <sheetName val="ANALISA STR _ ARS"/>
      <sheetName val="ANALISA PEK.UMUM"/>
      <sheetName val="DAF-BAHAN"/>
      <sheetName val="DAF-UPAH"/>
      <sheetName val="ANALISA"/>
      <sheetName val="ALAT"/>
      <sheetName val="Plumbing"/>
      <sheetName val="AHS ARS"/>
      <sheetName val="A"/>
      <sheetName val="ANALISA SM"/>
      <sheetName val="FLAF&amp;PARTSI"/>
      <sheetName val="H.Satuan"/>
      <sheetName val="Analisa STR"/>
      <sheetName val="ARSITEKTUR"/>
      <sheetName val="an_ struktur"/>
      <sheetName val="Analisa &amp; Upah"/>
      <sheetName val="Hargamat"/>
      <sheetName val="Daf 1"/>
      <sheetName val="Tanggapan"/>
      <sheetName val="ELKP"/>
      <sheetName val="BQ ARS"/>
      <sheetName val="Sipil"/>
      <sheetName val="Rekap Direct Cost"/>
      <sheetName val="000000"/>
      <sheetName val="Tataudara"/>
      <sheetName val="Cover Daf-2"/>
      <sheetName val="TE TS FA LAN MATV"/>
      <sheetName val="Bag_1"/>
      <sheetName val="DAFTAR 7"/>
      <sheetName val="DAF_1"/>
      <sheetName val="DAFTAR_8"/>
      <sheetName val="Currency Rate"/>
      <sheetName val="LAMPIRAN"/>
      <sheetName val="anal Lamp 4a"/>
      <sheetName val="hs-ars"/>
      <sheetName val="an_price"/>
      <sheetName val="BQ"/>
      <sheetName val="hsp-STR-ARS"/>
      <sheetName val="Anals.1"/>
      <sheetName val="O&amp;O-Alat"/>
      <sheetName val="basic"/>
      <sheetName val="Upah"/>
      <sheetName val="ANalat"/>
      <sheetName val="HSATUAN"/>
      <sheetName val="HS"/>
      <sheetName val="Analisa Harga Satuan"/>
      <sheetName val="Hit Vol Str Jambi"/>
      <sheetName val="Pek. Tanah"/>
      <sheetName val="Pek. Pondasi"/>
      <sheetName val="Pek. Dinding"/>
      <sheetName val="Pek. Plesteran"/>
      <sheetName val="Pek. Kayu"/>
      <sheetName val="Pek. Beton"/>
      <sheetName val="Pek. Penutup Atap"/>
      <sheetName val="Pek. Langit-langit"/>
      <sheetName val="Pek. Sanitasi"/>
      <sheetName val="Pek. Besi &amp; Alumunium"/>
      <sheetName val="Pek. Kunci &amp; Kaca"/>
      <sheetName val="Pek. Penutup Lantai &amp; dinding"/>
      <sheetName val="Pek. Pengecatan"/>
      <sheetName val="ch"/>
      <sheetName val="Material"/>
      <sheetName val="BIALANG"/>
      <sheetName val="HaSatUp"/>
      <sheetName val="Rab"/>
      <sheetName val="DAF-5"/>
      <sheetName val="BOQ"/>
      <sheetName val="PO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UMMARY"/>
      <sheetName val="BQ DWG"/>
      <sheetName val="GENERAL"/>
      <sheetName val="DRAINAGE"/>
      <sheetName val="EARTH WORK"/>
      <sheetName val="SUBGRADE"/>
      <sheetName val="SHOULDER"/>
      <sheetName val="SUB BASE"/>
      <sheetName val="SURFACING"/>
      <sheetName val="STRUCTURE"/>
      <sheetName val="MISCELLANEOUS"/>
      <sheetName val="O-O COST"/>
      <sheetName val="BASIC"/>
      <sheetName val="Sheet2"/>
      <sheetName val="Sheet3"/>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28">
          <cell r="D28">
            <v>72000</v>
          </cell>
        </row>
        <row r="29">
          <cell r="D29">
            <v>62000</v>
          </cell>
        </row>
        <row r="30">
          <cell r="D30">
            <v>33000</v>
          </cell>
        </row>
        <row r="101">
          <cell r="D101">
            <v>55727.719821162449</v>
          </cell>
        </row>
      </sheetData>
      <sheetData sheetId="14" refreshError="1"/>
      <sheetData sheetId="15"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TOTAL"/>
      <sheetName val="REKAP RAB (All)"/>
      <sheetName val="RAB Pekerjaan Tambah"/>
      <sheetName val="Analisa Harga Baru"/>
      <sheetName val="Backup Volume GP VG "/>
      <sheetName val="Analisis Harga Gapura"/>
      <sheetName val="Backup Volume Gapura"/>
      <sheetName val="Backup Volume"/>
      <sheetName val="Analisa"/>
      <sheetName val="Sheet1"/>
      <sheetName val="Harga Satuan"/>
      <sheetName val="RAB"/>
      <sheetName val="RAB Pek. Tambahan"/>
      <sheetName val="Backup Volume RW 13"/>
      <sheetName val="Backup Volume JAKPUS"/>
      <sheetName val="Analisa Harga"/>
      <sheetName val="BAHAN"/>
      <sheetName val="UPAH"/>
      <sheetName val="SATUAN"/>
      <sheetName val="RAB MCK"/>
      <sheetName val="REKAP"/>
      <sheetName val="JADWAL"/>
      <sheetName val="Rencana Anggaran"/>
      <sheetName val="Backup Volume RW 01"/>
      <sheetName val="Backup Volume RW 08"/>
      <sheetName val="Backup Volume RW 11 RT 05"/>
      <sheetName val="Backup Volume RW 11 RT 02 "/>
      <sheetName val="Backup Volume RW 11 RT 04"/>
    </sheetNames>
    <sheetDataSet>
      <sheetData sheetId="0" refreshError="1"/>
      <sheetData sheetId="1" refreshError="1"/>
      <sheetData sheetId="2">
        <row r="10">
          <cell r="G10" t="str">
            <v>Kayu Kaso</v>
          </cell>
        </row>
      </sheetData>
      <sheetData sheetId="3">
        <row r="10">
          <cell r="G10" t="str">
            <v>Kayu Rimba Campuran Basah</v>
          </cell>
        </row>
      </sheetData>
      <sheetData sheetId="4"/>
      <sheetData sheetId="5" refreshError="1"/>
      <sheetData sheetId="6" refreshError="1"/>
      <sheetData sheetId="7" refreshError="1"/>
      <sheetData sheetId="8">
        <row r="10">
          <cell r="G10" t="str">
            <v>Kayu Kaso</v>
          </cell>
        </row>
      </sheetData>
      <sheetData sheetId="9" refreshError="1"/>
      <sheetData sheetId="10" refreshError="1"/>
      <sheetData sheetId="11" refreshError="1"/>
      <sheetData sheetId="12" refreshError="1"/>
      <sheetData sheetId="13" refreshError="1"/>
      <sheetData sheetId="14" refreshError="1"/>
      <sheetData sheetId="15" refreshError="1"/>
      <sheetData sheetId="16">
        <row r="12">
          <cell r="G12">
            <v>200000</v>
          </cell>
        </row>
        <row r="18">
          <cell r="G18">
            <v>1250</v>
          </cell>
        </row>
      </sheetData>
      <sheetData sheetId="17">
        <row r="10">
          <cell r="G10">
            <v>150000</v>
          </cell>
        </row>
      </sheetData>
      <sheetData sheetId="18"/>
      <sheetData sheetId="19"/>
      <sheetData sheetId="20"/>
      <sheetData sheetId="21">
        <row r="10">
          <cell r="G10" t="str">
            <v>Kayu Rimba Campuran Basah</v>
          </cell>
        </row>
      </sheetData>
      <sheetData sheetId="22" refreshError="1"/>
      <sheetData sheetId="23"/>
      <sheetData sheetId="24"/>
      <sheetData sheetId="25"/>
      <sheetData sheetId="26"/>
      <sheetData sheetId="27"/>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kat"/>
      <sheetName val="Cover Back Up"/>
      <sheetName val="Cover"/>
      <sheetName val="Bab VIII"/>
      <sheetName val="Bab VII"/>
      <sheetName val="Bab VI"/>
      <sheetName val="Bab V"/>
      <sheetName val="Bab IV"/>
      <sheetName val="Bab III"/>
      <sheetName val="Uang"/>
      <sheetName val="Bab II"/>
      <sheetName val="Bab I"/>
      <sheetName val="Monthly Certificate"/>
      <sheetName val="Rahasia"/>
      <sheetName val="Rab"/>
      <sheetName val="STATUS"/>
      <sheetName val="Bulana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3">
          <cell r="B3" t="str">
            <v>PERINCIAN PERHITUNGAN PROGRESS</v>
          </cell>
        </row>
        <row r="5">
          <cell r="B5" t="str">
            <v>Pekerjaan</v>
          </cell>
          <cell r="D5" t="str">
            <v>: PEMBANGUNAN JALAN SEJORONG - TETAR - LUNYUK</v>
          </cell>
          <cell r="O5" t="str">
            <v>SERTIFIKAT</v>
          </cell>
          <cell r="P5">
            <v>39654</v>
          </cell>
        </row>
        <row r="6">
          <cell r="B6" t="str">
            <v>Lokasi</v>
          </cell>
          <cell r="D6" t="str">
            <v>:  SUMBAWA BARAT</v>
          </cell>
          <cell r="O6" t="str">
            <v>TANGGAL</v>
          </cell>
          <cell r="P6">
            <v>39654</v>
          </cell>
        </row>
        <row r="7">
          <cell r="B7" t="str">
            <v>Tahun Anggaran</v>
          </cell>
          <cell r="D7" t="str">
            <v>:  2008</v>
          </cell>
        </row>
        <row r="8">
          <cell r="B8" t="str">
            <v>Nomor Kontrak</v>
          </cell>
          <cell r="D8" t="str">
            <v>:  108/PPK/PJJ-SBW/2008</v>
          </cell>
          <cell r="O8">
            <v>0.23987450725023238</v>
          </cell>
          <cell r="R8">
            <v>0.61774480536378329</v>
          </cell>
        </row>
        <row r="9">
          <cell r="B9" t="str">
            <v>Tanggal Kontrak</v>
          </cell>
          <cell r="D9" t="str">
            <v>:  29 Januari 2008</v>
          </cell>
          <cell r="R9">
            <v>0.46164108733063064</v>
          </cell>
          <cell r="U9">
            <v>7</v>
          </cell>
          <cell r="AK9">
            <v>7</v>
          </cell>
          <cell r="BH9">
            <v>4</v>
          </cell>
        </row>
        <row r="10">
          <cell r="B10" t="str">
            <v>Nomor Amandemen I</v>
          </cell>
          <cell r="AA10">
            <v>0</v>
          </cell>
        </row>
        <row r="11">
          <cell r="B11" t="str">
            <v>Tanggal Amandemen I</v>
          </cell>
          <cell r="R11">
            <v>0.4</v>
          </cell>
          <cell r="U11">
            <v>7</v>
          </cell>
          <cell r="AK11">
            <v>7</v>
          </cell>
          <cell r="BH11">
            <v>4</v>
          </cell>
        </row>
        <row r="12">
          <cell r="B12" t="str">
            <v>Sumber Dana</v>
          </cell>
          <cell r="D12" t="str">
            <v>:  APBN</v>
          </cell>
          <cell r="U12">
            <v>27</v>
          </cell>
          <cell r="AK12">
            <v>50</v>
          </cell>
          <cell r="BH12">
            <v>70</v>
          </cell>
        </row>
        <row r="13">
          <cell r="AK13" t="str">
            <v>AK</v>
          </cell>
          <cell r="BH13" t="str">
            <v>ML</v>
          </cell>
        </row>
        <row r="14">
          <cell r="B14" t="str">
            <v>NO</v>
          </cell>
          <cell r="C14" t="str">
            <v>JENIS PEKERJAAN</v>
          </cell>
          <cell r="F14" t="str">
            <v>SAT.</v>
          </cell>
          <cell r="G14" t="str">
            <v>VOLUME</v>
          </cell>
          <cell r="I14" t="str">
            <v>HARGA SATUAN</v>
          </cell>
          <cell r="J14" t="str">
            <v>JUMLAH HARGA</v>
          </cell>
          <cell r="K14" t="str">
            <v>BOBOT</v>
          </cell>
          <cell r="M14" t="str">
            <v>VOLUME BULANAN</v>
          </cell>
          <cell r="P14" t="str">
            <v>JUMLAH RUPIAH BULANAN</v>
          </cell>
          <cell r="S14" t="str">
            <v>KET.</v>
          </cell>
          <cell r="U14">
            <v>1</v>
          </cell>
          <cell r="V14">
            <v>2</v>
          </cell>
          <cell r="W14">
            <v>3</v>
          </cell>
          <cell r="X14">
            <v>4</v>
          </cell>
          <cell r="Y14">
            <v>5</v>
          </cell>
          <cell r="Z14">
            <v>6</v>
          </cell>
          <cell r="AA14">
            <v>7</v>
          </cell>
          <cell r="AB14">
            <v>8</v>
          </cell>
          <cell r="AC14">
            <v>9</v>
          </cell>
          <cell r="AD14">
            <v>10</v>
          </cell>
          <cell r="AE14">
            <v>11</v>
          </cell>
          <cell r="AF14">
            <v>12</v>
          </cell>
          <cell r="AG14">
            <v>13</v>
          </cell>
          <cell r="AH14">
            <v>14</v>
          </cell>
          <cell r="AI14">
            <v>15</v>
          </cell>
          <cell r="AK14" t="str">
            <v>VOLUME BULANAN</v>
          </cell>
          <cell r="AN14" t="str">
            <v>JUMLAH RUPIAH BULANAN</v>
          </cell>
          <cell r="AQ14" t="str">
            <v>KET.</v>
          </cell>
          <cell r="AR14" t="str">
            <v>AK</v>
          </cell>
          <cell r="BH14" t="str">
            <v>VOLUME BULANAN</v>
          </cell>
          <cell r="BK14" t="str">
            <v>JUMLAH RUPIAH BULANAN</v>
          </cell>
          <cell r="BN14" t="str">
            <v>KET.</v>
          </cell>
          <cell r="BO14" t="str">
            <v>ML</v>
          </cell>
        </row>
        <row r="15">
          <cell r="G15" t="str">
            <v>KONTRAK</v>
          </cell>
          <cell r="H15" t="str">
            <v>CCO-1</v>
          </cell>
          <cell r="M15" t="str">
            <v>s/d BLN LALU</v>
          </cell>
          <cell r="N15" t="str">
            <v>BULAN INI</v>
          </cell>
          <cell r="O15" t="str">
            <v>s/d BLN INI</v>
          </cell>
          <cell r="P15" t="str">
            <v>s/d BLN LALU</v>
          </cell>
          <cell r="Q15" t="str">
            <v>BULAN INI</v>
          </cell>
          <cell r="R15" t="str">
            <v>s/d BLN INI</v>
          </cell>
          <cell r="AK15" t="str">
            <v>s/d BLN LALU</v>
          </cell>
          <cell r="AL15" t="str">
            <v>BULAN INI</v>
          </cell>
          <cell r="AM15" t="str">
            <v>s/d BLN INI</v>
          </cell>
          <cell r="AN15" t="str">
            <v>s/d BLN LALU</v>
          </cell>
          <cell r="AO15" t="str">
            <v>BULAN INI</v>
          </cell>
          <cell r="AP15" t="str">
            <v>s/d BLN INI</v>
          </cell>
          <cell r="AR15">
            <v>1</v>
          </cell>
          <cell r="AS15">
            <v>2</v>
          </cell>
          <cell r="AT15">
            <v>3</v>
          </cell>
          <cell r="AU15">
            <v>4</v>
          </cell>
          <cell r="AV15">
            <v>5</v>
          </cell>
          <cell r="AW15">
            <v>6</v>
          </cell>
          <cell r="AX15">
            <v>7</v>
          </cell>
          <cell r="AY15">
            <v>8</v>
          </cell>
          <cell r="AZ15">
            <v>9</v>
          </cell>
          <cell r="BA15">
            <v>10</v>
          </cell>
          <cell r="BB15">
            <v>11</v>
          </cell>
          <cell r="BC15">
            <v>12</v>
          </cell>
          <cell r="BD15">
            <v>13</v>
          </cell>
          <cell r="BE15">
            <v>14</v>
          </cell>
          <cell r="BF15">
            <v>15</v>
          </cell>
          <cell r="BH15" t="str">
            <v>s/d BLN LALU</v>
          </cell>
          <cell r="BI15" t="str">
            <v>BULAN INI</v>
          </cell>
          <cell r="BJ15" t="str">
            <v>s/d BLN INI</v>
          </cell>
          <cell r="BK15" t="str">
            <v>s/d BLN LALU</v>
          </cell>
          <cell r="BL15" t="str">
            <v>BULAN INI</v>
          </cell>
          <cell r="BM15" t="str">
            <v>s/d BLN INI</v>
          </cell>
          <cell r="BO15">
            <v>1</v>
          </cell>
          <cell r="BP15">
            <v>2</v>
          </cell>
          <cell r="BQ15">
            <v>3</v>
          </cell>
          <cell r="BR15">
            <v>4</v>
          </cell>
          <cell r="BS15">
            <v>5</v>
          </cell>
          <cell r="BT15">
            <v>6</v>
          </cell>
          <cell r="BU15">
            <v>7</v>
          </cell>
          <cell r="BV15">
            <v>8</v>
          </cell>
          <cell r="BW15">
            <v>9</v>
          </cell>
          <cell r="BX15">
            <v>10</v>
          </cell>
          <cell r="BY15">
            <v>11</v>
          </cell>
          <cell r="BZ15">
            <v>12</v>
          </cell>
          <cell r="CA15">
            <v>13</v>
          </cell>
          <cell r="CB15">
            <v>14</v>
          </cell>
          <cell r="CC15">
            <v>15</v>
          </cell>
        </row>
        <row r="16">
          <cell r="K16" t="str">
            <v xml:space="preserve"> ( % )</v>
          </cell>
          <cell r="U16">
            <v>39472</v>
          </cell>
          <cell r="V16">
            <v>39503</v>
          </cell>
          <cell r="W16">
            <v>39532</v>
          </cell>
          <cell r="X16">
            <v>39563</v>
          </cell>
          <cell r="Y16">
            <v>39593</v>
          </cell>
          <cell r="Z16">
            <v>39624</v>
          </cell>
          <cell r="AA16">
            <v>39654</v>
          </cell>
          <cell r="AB16">
            <v>39685</v>
          </cell>
          <cell r="AC16">
            <v>39716</v>
          </cell>
          <cell r="AD16">
            <v>39746</v>
          </cell>
          <cell r="AE16">
            <v>39777</v>
          </cell>
          <cell r="AF16">
            <v>39503</v>
          </cell>
          <cell r="AG16">
            <v>39807</v>
          </cell>
          <cell r="AH16">
            <v>39838</v>
          </cell>
          <cell r="AI16">
            <v>39869</v>
          </cell>
        </row>
        <row r="17">
          <cell r="C17">
            <v>0</v>
          </cell>
          <cell r="I17">
            <v>0</v>
          </cell>
        </row>
        <row r="18">
          <cell r="A18">
            <v>1</v>
          </cell>
          <cell r="B18" t="str">
            <v>I</v>
          </cell>
          <cell r="C18" t="str">
            <v>UMUM</v>
          </cell>
          <cell r="F18">
            <v>0</v>
          </cell>
          <cell r="G18">
            <v>0</v>
          </cell>
          <cell r="I18">
            <v>0</v>
          </cell>
          <cell r="K18">
            <v>0</v>
          </cell>
          <cell r="M18">
            <v>0</v>
          </cell>
          <cell r="N18">
            <v>0</v>
          </cell>
          <cell r="O18">
            <v>0</v>
          </cell>
          <cell r="P18">
            <v>0</v>
          </cell>
          <cell r="Q18">
            <v>0</v>
          </cell>
          <cell r="R18">
            <v>0</v>
          </cell>
        </row>
        <row r="19">
          <cell r="A19">
            <v>2</v>
          </cell>
          <cell r="B19" t="str">
            <v>1.1</v>
          </cell>
          <cell r="C19" t="str">
            <v>Mobilisasi</v>
          </cell>
          <cell r="F19" t="str">
            <v>Ls</v>
          </cell>
          <cell r="G19">
            <v>1</v>
          </cell>
          <cell r="H19">
            <v>0</v>
          </cell>
          <cell r="I19">
            <v>436535000</v>
          </cell>
          <cell r="J19">
            <v>0</v>
          </cell>
          <cell r="K19">
            <v>0</v>
          </cell>
          <cell r="M19">
            <v>0.54</v>
          </cell>
          <cell r="N19">
            <v>-0.54</v>
          </cell>
          <cell r="O19">
            <v>0</v>
          </cell>
          <cell r="P19">
            <v>235728900.00000003</v>
          </cell>
          <cell r="Q19">
            <v>-235728900.00000003</v>
          </cell>
          <cell r="R19">
            <v>0</v>
          </cell>
          <cell r="V19">
            <v>0.09</v>
          </cell>
          <cell r="W19">
            <v>0.09</v>
          </cell>
          <cell r="X19">
            <v>0.09</v>
          </cell>
          <cell r="Y19">
            <v>0.09</v>
          </cell>
          <cell r="Z19">
            <v>0.18</v>
          </cell>
          <cell r="AA19">
            <v>-0.54</v>
          </cell>
          <cell r="AC19">
            <v>0</v>
          </cell>
          <cell r="AD19">
            <v>0</v>
          </cell>
          <cell r="AE19">
            <v>0</v>
          </cell>
          <cell r="AF19">
            <v>0</v>
          </cell>
          <cell r="AG19">
            <v>0</v>
          </cell>
          <cell r="AH19">
            <v>0</v>
          </cell>
          <cell r="AI19">
            <v>0</v>
          </cell>
          <cell r="AK19">
            <v>0.27899999999999997</v>
          </cell>
          <cell r="AL19">
            <v>0</v>
          </cell>
          <cell r="AM19">
            <v>0.27899999999999997</v>
          </cell>
          <cell r="AN19">
            <v>121793264.99999999</v>
          </cell>
          <cell r="AO19">
            <v>0</v>
          </cell>
          <cell r="AP19">
            <v>121793264.99999999</v>
          </cell>
          <cell r="AS19">
            <v>0.09</v>
          </cell>
          <cell r="AT19">
            <v>0.09</v>
          </cell>
          <cell r="AU19">
            <v>4.4999999999999998E-2</v>
          </cell>
          <cell r="AV19">
            <v>5.3999999999999999E-2</v>
          </cell>
          <cell r="BG19">
            <v>0.09</v>
          </cell>
          <cell r="BH19">
            <v>0</v>
          </cell>
          <cell r="BI19">
            <v>4.4999999999999998E-2</v>
          </cell>
          <cell r="BJ19">
            <v>4.4999999999999998E-2</v>
          </cell>
          <cell r="BK19">
            <v>0</v>
          </cell>
          <cell r="BL19">
            <v>19644075</v>
          </cell>
          <cell r="BM19">
            <v>19644075</v>
          </cell>
          <cell r="BR19">
            <v>4.4999999999999998E-2</v>
          </cell>
          <cell r="BS19">
            <v>3.5999999999999997E-2</v>
          </cell>
        </row>
        <row r="20">
          <cell r="A20">
            <v>3</v>
          </cell>
          <cell r="B20" t="str">
            <v>1.1a</v>
          </cell>
          <cell r="C20" t="str">
            <v>Mobilisasi</v>
          </cell>
          <cell r="F20" t="str">
            <v>Ls</v>
          </cell>
          <cell r="G20">
            <v>0</v>
          </cell>
          <cell r="H20">
            <v>1</v>
          </cell>
          <cell r="I20">
            <v>244090000</v>
          </cell>
          <cell r="J20">
            <v>244090000</v>
          </cell>
          <cell r="K20">
            <v>1.0862925816792315E-2</v>
          </cell>
          <cell r="M20">
            <v>0</v>
          </cell>
          <cell r="N20">
            <v>0.96574583145561077</v>
          </cell>
          <cell r="O20">
            <v>0.96574583145561077</v>
          </cell>
          <cell r="P20">
            <v>0</v>
          </cell>
          <cell r="Q20">
            <v>235728900.00000003</v>
          </cell>
          <cell r="R20">
            <v>235728900.00000003</v>
          </cell>
          <cell r="AA20">
            <v>0.96574583145561077</v>
          </cell>
          <cell r="AC20">
            <v>0</v>
          </cell>
          <cell r="AD20">
            <v>0</v>
          </cell>
          <cell r="AE20">
            <v>0</v>
          </cell>
          <cell r="AF20">
            <v>0</v>
          </cell>
          <cell r="AG20">
            <v>0</v>
          </cell>
          <cell r="AH20">
            <v>0</v>
          </cell>
          <cell r="AI20">
            <v>0</v>
          </cell>
          <cell r="AK20">
            <v>0</v>
          </cell>
          <cell r="AL20">
            <v>0</v>
          </cell>
          <cell r="AM20">
            <v>0</v>
          </cell>
          <cell r="AN20">
            <v>0</v>
          </cell>
          <cell r="AO20">
            <v>0</v>
          </cell>
          <cell r="AP20">
            <v>0</v>
          </cell>
          <cell r="AU20">
            <v>0</v>
          </cell>
          <cell r="AV20">
            <v>0</v>
          </cell>
          <cell r="BG20">
            <v>0</v>
          </cell>
          <cell r="BH20">
            <v>0</v>
          </cell>
          <cell r="BI20">
            <v>0</v>
          </cell>
          <cell r="BJ20">
            <v>0</v>
          </cell>
          <cell r="BK20">
            <v>0</v>
          </cell>
          <cell r="BL20">
            <v>0</v>
          </cell>
          <cell r="BM20">
            <v>0</v>
          </cell>
          <cell r="BS20">
            <v>0</v>
          </cell>
        </row>
        <row r="21">
          <cell r="A21">
            <v>4</v>
          </cell>
          <cell r="B21">
            <v>0</v>
          </cell>
          <cell r="C21">
            <v>0</v>
          </cell>
          <cell r="F21">
            <v>0</v>
          </cell>
          <cell r="G21">
            <v>0</v>
          </cell>
          <cell r="H21">
            <v>0</v>
          </cell>
          <cell r="I21">
            <v>0</v>
          </cell>
          <cell r="J21">
            <v>0</v>
          </cell>
          <cell r="K21">
            <v>0</v>
          </cell>
          <cell r="M21">
            <v>0</v>
          </cell>
          <cell r="N21">
            <v>0</v>
          </cell>
          <cell r="O21">
            <v>0</v>
          </cell>
          <cell r="P21">
            <v>0</v>
          </cell>
          <cell r="Q21">
            <v>0</v>
          </cell>
          <cell r="R21">
            <v>0</v>
          </cell>
          <cell r="AC21">
            <v>0</v>
          </cell>
          <cell r="AD21">
            <v>0</v>
          </cell>
          <cell r="AE21">
            <v>0</v>
          </cell>
          <cell r="AF21">
            <v>0</v>
          </cell>
          <cell r="AG21">
            <v>0</v>
          </cell>
          <cell r="AH21">
            <v>0</v>
          </cell>
          <cell r="AI21">
            <v>0</v>
          </cell>
          <cell r="AK21">
            <v>0</v>
          </cell>
          <cell r="AL21">
            <v>0</v>
          </cell>
          <cell r="AM21">
            <v>0</v>
          </cell>
          <cell r="AN21">
            <v>0</v>
          </cell>
          <cell r="AO21">
            <v>0</v>
          </cell>
          <cell r="AP21">
            <v>0</v>
          </cell>
          <cell r="AU21">
            <v>0</v>
          </cell>
          <cell r="AV21">
            <v>0</v>
          </cell>
          <cell r="BG21">
            <v>0</v>
          </cell>
          <cell r="BH21">
            <v>0</v>
          </cell>
          <cell r="BI21">
            <v>0</v>
          </cell>
          <cell r="BJ21">
            <v>0</v>
          </cell>
          <cell r="BK21">
            <v>0</v>
          </cell>
          <cell r="BL21">
            <v>0</v>
          </cell>
          <cell r="BM21">
            <v>0</v>
          </cell>
          <cell r="BS21">
            <v>0</v>
          </cell>
        </row>
        <row r="22">
          <cell r="A22">
            <v>5</v>
          </cell>
          <cell r="B22" t="str">
            <v>II</v>
          </cell>
          <cell r="C22" t="str">
            <v>DRAINASE</v>
          </cell>
          <cell r="F22">
            <v>0</v>
          </cell>
          <cell r="G22">
            <v>0</v>
          </cell>
          <cell r="H22">
            <v>0</v>
          </cell>
          <cell r="I22">
            <v>0</v>
          </cell>
          <cell r="J22">
            <v>0</v>
          </cell>
          <cell r="K22">
            <v>0</v>
          </cell>
          <cell r="M22">
            <v>0</v>
          </cell>
          <cell r="N22">
            <v>0</v>
          </cell>
          <cell r="O22">
            <v>0</v>
          </cell>
          <cell r="P22">
            <v>0</v>
          </cell>
          <cell r="Q22">
            <v>0</v>
          </cell>
          <cell r="R22">
            <v>0</v>
          </cell>
          <cell r="AC22">
            <v>0</v>
          </cell>
          <cell r="AD22">
            <v>0</v>
          </cell>
          <cell r="AE22">
            <v>0</v>
          </cell>
          <cell r="AF22">
            <v>0</v>
          </cell>
          <cell r="AG22">
            <v>0</v>
          </cell>
          <cell r="AH22">
            <v>0</v>
          </cell>
          <cell r="AI22">
            <v>0</v>
          </cell>
          <cell r="AK22">
            <v>8025.6</v>
          </cell>
          <cell r="AL22">
            <v>0</v>
          </cell>
          <cell r="AM22">
            <v>8025.6</v>
          </cell>
          <cell r="AN22">
            <v>0</v>
          </cell>
          <cell r="AO22">
            <v>0</v>
          </cell>
          <cell r="AP22">
            <v>0</v>
          </cell>
          <cell r="AS22">
            <v>864.5</v>
          </cell>
          <cell r="AT22">
            <v>1305.06</v>
          </cell>
          <cell r="AU22">
            <v>5582.4400000000005</v>
          </cell>
          <cell r="AV22">
            <v>273.59999999999997</v>
          </cell>
          <cell r="BG22">
            <v>5918.44</v>
          </cell>
          <cell r="BH22">
            <v>0</v>
          </cell>
          <cell r="BI22">
            <v>3792</v>
          </cell>
          <cell r="BJ22">
            <v>3792</v>
          </cell>
          <cell r="BK22">
            <v>0</v>
          </cell>
          <cell r="BL22">
            <v>0</v>
          </cell>
          <cell r="BM22">
            <v>0</v>
          </cell>
          <cell r="BR22">
            <v>3792</v>
          </cell>
          <cell r="BS22">
            <v>182.40000000000003</v>
          </cell>
        </row>
        <row r="23">
          <cell r="A23">
            <v>6</v>
          </cell>
          <cell r="B23">
            <v>2.1</v>
          </cell>
          <cell r="C23" t="str">
            <v xml:space="preserve">Pekerjaan Galian untuk Selokan Drainase &amp; Saluran Air </v>
          </cell>
          <cell r="F23" t="str">
            <v>m³</v>
          </cell>
          <cell r="G23">
            <v>12000</v>
          </cell>
          <cell r="H23">
            <v>12051.38</v>
          </cell>
          <cell r="I23">
            <v>38712.15</v>
          </cell>
          <cell r="J23">
            <v>466534830.26699996</v>
          </cell>
          <cell r="K23">
            <v>2.0762559925192405E-2</v>
          </cell>
          <cell r="M23">
            <v>12000</v>
          </cell>
          <cell r="N23">
            <v>51.3799999999992</v>
          </cell>
          <cell r="O23">
            <v>12051.38</v>
          </cell>
          <cell r="P23">
            <v>464545800</v>
          </cell>
          <cell r="Q23">
            <v>1989030.266999969</v>
          </cell>
          <cell r="R23">
            <v>466534830.26699996</v>
          </cell>
          <cell r="V23">
            <v>864.5</v>
          </cell>
          <cell r="W23">
            <v>1305.06</v>
          </cell>
          <cell r="X23">
            <v>9374.44</v>
          </cell>
          <cell r="Y23">
            <v>456</v>
          </cell>
          <cell r="Z23">
            <v>0</v>
          </cell>
          <cell r="AA23">
            <v>51.3799999999992</v>
          </cell>
          <cell r="AC23">
            <v>0</v>
          </cell>
          <cell r="AD23">
            <v>0</v>
          </cell>
          <cell r="AE23">
            <v>0</v>
          </cell>
          <cell r="AF23">
            <v>0</v>
          </cell>
          <cell r="AG23">
            <v>0</v>
          </cell>
          <cell r="AH23">
            <v>0</v>
          </cell>
          <cell r="AI23">
            <v>0</v>
          </cell>
          <cell r="AK23">
            <v>0</v>
          </cell>
          <cell r="AL23">
            <v>0</v>
          </cell>
          <cell r="AM23">
            <v>0</v>
          </cell>
          <cell r="AN23">
            <v>0</v>
          </cell>
          <cell r="AO23">
            <v>0</v>
          </cell>
          <cell r="AP23">
            <v>0</v>
          </cell>
          <cell r="AU23">
            <v>0</v>
          </cell>
          <cell r="AV23">
            <v>0</v>
          </cell>
          <cell r="BG23">
            <v>0</v>
          </cell>
          <cell r="BH23">
            <v>0</v>
          </cell>
          <cell r="BI23">
            <v>0</v>
          </cell>
          <cell r="BJ23">
            <v>0</v>
          </cell>
          <cell r="BK23">
            <v>0</v>
          </cell>
          <cell r="BL23">
            <v>0</v>
          </cell>
          <cell r="BM23">
            <v>0</v>
          </cell>
          <cell r="BS23">
            <v>0</v>
          </cell>
        </row>
        <row r="24">
          <cell r="A24">
            <v>7</v>
          </cell>
          <cell r="B24">
            <v>2.2000000000000002</v>
          </cell>
          <cell r="C24" t="str">
            <v>Pekerjaan Pasangan Batu Dengan Mortar</v>
          </cell>
          <cell r="F24" t="str">
            <v>m³</v>
          </cell>
          <cell r="G24">
            <v>2000</v>
          </cell>
          <cell r="H24">
            <v>1099.78600000292</v>
          </cell>
          <cell r="I24">
            <v>496728.92</v>
          </cell>
          <cell r="J24">
            <v>546295512.01257038</v>
          </cell>
          <cell r="K24">
            <v>2.4312211155881547E-2</v>
          </cell>
          <cell r="M24">
            <v>1099.78600000292</v>
          </cell>
          <cell r="N24">
            <v>0</v>
          </cell>
          <cell r="O24">
            <v>1099.78600000292</v>
          </cell>
          <cell r="P24">
            <v>546295512.01257038</v>
          </cell>
          <cell r="Q24">
            <v>0</v>
          </cell>
          <cell r="R24">
            <v>546295512.01257038</v>
          </cell>
          <cell r="V24">
            <v>0</v>
          </cell>
          <cell r="W24">
            <v>0</v>
          </cell>
          <cell r="X24">
            <v>0</v>
          </cell>
          <cell r="Y24">
            <v>536.36</v>
          </cell>
          <cell r="Z24">
            <v>563.42600000291998</v>
          </cell>
          <cell r="AC24">
            <v>0</v>
          </cell>
          <cell r="AD24">
            <v>0</v>
          </cell>
          <cell r="AE24">
            <v>0</v>
          </cell>
          <cell r="AF24">
            <v>0</v>
          </cell>
          <cell r="AG24">
            <v>0</v>
          </cell>
          <cell r="AH24">
            <v>0</v>
          </cell>
          <cell r="AI24">
            <v>0</v>
          </cell>
          <cell r="AK24">
            <v>0</v>
          </cell>
          <cell r="AL24">
            <v>0</v>
          </cell>
          <cell r="AM24">
            <v>0</v>
          </cell>
          <cell r="AN24">
            <v>0</v>
          </cell>
          <cell r="AO24">
            <v>0</v>
          </cell>
          <cell r="AP24">
            <v>0</v>
          </cell>
          <cell r="AU24">
            <v>0</v>
          </cell>
          <cell r="AV24">
            <v>0</v>
          </cell>
          <cell r="BG24">
            <v>0</v>
          </cell>
          <cell r="BH24">
            <v>0</v>
          </cell>
          <cell r="BI24">
            <v>0</v>
          </cell>
          <cell r="BJ24">
            <v>0</v>
          </cell>
          <cell r="BK24">
            <v>0</v>
          </cell>
          <cell r="BL24">
            <v>0</v>
          </cell>
          <cell r="BM24">
            <v>0</v>
          </cell>
          <cell r="BS24">
            <v>0</v>
          </cell>
        </row>
        <row r="25">
          <cell r="A25">
            <v>8</v>
          </cell>
          <cell r="B25">
            <v>0</v>
          </cell>
          <cell r="C25">
            <v>0</v>
          </cell>
          <cell r="F25">
            <v>0</v>
          </cell>
          <cell r="G25">
            <v>0</v>
          </cell>
          <cell r="H25">
            <v>0</v>
          </cell>
          <cell r="I25">
            <v>0</v>
          </cell>
          <cell r="J25">
            <v>0</v>
          </cell>
          <cell r="K25">
            <v>0</v>
          </cell>
          <cell r="M25">
            <v>0</v>
          </cell>
          <cell r="N25">
            <v>0</v>
          </cell>
          <cell r="O25">
            <v>0</v>
          </cell>
          <cell r="P25">
            <v>0</v>
          </cell>
          <cell r="Q25">
            <v>0</v>
          </cell>
          <cell r="R25">
            <v>0</v>
          </cell>
          <cell r="AC25">
            <v>0</v>
          </cell>
          <cell r="AD25">
            <v>0</v>
          </cell>
          <cell r="AE25">
            <v>0</v>
          </cell>
          <cell r="AF25">
            <v>0</v>
          </cell>
          <cell r="AG25">
            <v>0</v>
          </cell>
          <cell r="AH25">
            <v>0</v>
          </cell>
          <cell r="AI25">
            <v>0</v>
          </cell>
          <cell r="AK25">
            <v>0</v>
          </cell>
          <cell r="AL25">
            <v>0</v>
          </cell>
          <cell r="AM25">
            <v>0</v>
          </cell>
          <cell r="AN25">
            <v>0</v>
          </cell>
          <cell r="AO25">
            <v>0</v>
          </cell>
          <cell r="AP25">
            <v>0</v>
          </cell>
          <cell r="AU25">
            <v>0</v>
          </cell>
          <cell r="AV25">
            <v>0</v>
          </cell>
          <cell r="BG25">
            <v>0</v>
          </cell>
          <cell r="BH25">
            <v>0</v>
          </cell>
          <cell r="BI25">
            <v>0</v>
          </cell>
          <cell r="BJ25">
            <v>0</v>
          </cell>
          <cell r="BK25">
            <v>0</v>
          </cell>
          <cell r="BL25">
            <v>0</v>
          </cell>
          <cell r="BM25">
            <v>0</v>
          </cell>
          <cell r="BS25">
            <v>0</v>
          </cell>
        </row>
        <row r="26">
          <cell r="A26">
            <v>9</v>
          </cell>
          <cell r="B26" t="str">
            <v>III</v>
          </cell>
          <cell r="C26" t="str">
            <v>PEKERJAAN TANAH</v>
          </cell>
          <cell r="F26">
            <v>0</v>
          </cell>
          <cell r="G26">
            <v>0</v>
          </cell>
          <cell r="H26">
            <v>0</v>
          </cell>
          <cell r="I26">
            <v>0</v>
          </cell>
          <cell r="J26">
            <v>0</v>
          </cell>
          <cell r="K26">
            <v>0</v>
          </cell>
          <cell r="M26">
            <v>0</v>
          </cell>
          <cell r="N26">
            <v>0</v>
          </cell>
          <cell r="O26">
            <v>0</v>
          </cell>
          <cell r="P26">
            <v>0</v>
          </cell>
          <cell r="Q26">
            <v>0</v>
          </cell>
          <cell r="R26">
            <v>0</v>
          </cell>
          <cell r="AC26">
            <v>0</v>
          </cell>
          <cell r="AD26">
            <v>0</v>
          </cell>
          <cell r="AE26">
            <v>0</v>
          </cell>
          <cell r="AF26">
            <v>0</v>
          </cell>
          <cell r="AG26">
            <v>0</v>
          </cell>
          <cell r="AH26">
            <v>0</v>
          </cell>
          <cell r="AI26">
            <v>0</v>
          </cell>
          <cell r="AK26">
            <v>77516.431160000007</v>
          </cell>
          <cell r="AL26">
            <v>0</v>
          </cell>
          <cell r="AM26">
            <v>77516.431160000007</v>
          </cell>
          <cell r="AN26">
            <v>0</v>
          </cell>
          <cell r="AO26">
            <v>0</v>
          </cell>
          <cell r="AP26">
            <v>0</v>
          </cell>
          <cell r="AS26">
            <v>14541.64</v>
          </cell>
          <cell r="AT26">
            <v>24957.1</v>
          </cell>
          <cell r="AU26">
            <v>32668.041000000001</v>
          </cell>
          <cell r="AV26">
            <v>5349.6501600000011</v>
          </cell>
          <cell r="BG26">
            <v>25916.63</v>
          </cell>
          <cell r="BH26">
            <v>0</v>
          </cell>
          <cell r="BI26">
            <v>21471.88</v>
          </cell>
          <cell r="BJ26">
            <v>21471.88</v>
          </cell>
          <cell r="BK26">
            <v>0</v>
          </cell>
          <cell r="BL26">
            <v>0</v>
          </cell>
          <cell r="BM26">
            <v>0</v>
          </cell>
          <cell r="BR26">
            <v>21471.88</v>
          </cell>
          <cell r="BS26">
            <v>3566.4334400000007</v>
          </cell>
        </row>
        <row r="27">
          <cell r="A27">
            <v>10</v>
          </cell>
          <cell r="B27">
            <v>3.1</v>
          </cell>
          <cell r="C27" t="str">
            <v>Galian Biasa</v>
          </cell>
          <cell r="F27" t="str">
            <v>m³</v>
          </cell>
          <cell r="G27">
            <v>104250</v>
          </cell>
          <cell r="H27">
            <v>114675</v>
          </cell>
          <cell r="I27">
            <v>39072.33</v>
          </cell>
          <cell r="J27">
            <v>4480619442.75</v>
          </cell>
          <cell r="K27">
            <v>0.1994044681054962</v>
          </cell>
          <cell r="M27">
            <v>104250</v>
          </cell>
          <cell r="N27">
            <v>10425</v>
          </cell>
          <cell r="O27">
            <v>114675</v>
          </cell>
          <cell r="P27">
            <v>4073290402.5</v>
          </cell>
          <cell r="Q27">
            <v>407329040.25</v>
          </cell>
          <cell r="R27">
            <v>4480619442.75</v>
          </cell>
          <cell r="V27">
            <v>14541.64</v>
          </cell>
          <cell r="W27">
            <v>24957.1</v>
          </cell>
          <cell r="X27">
            <v>60936.154000000002</v>
          </cell>
          <cell r="Y27">
            <v>2815.1060000000002</v>
          </cell>
          <cell r="Z27">
            <v>1000</v>
          </cell>
          <cell r="AA27">
            <v>10425</v>
          </cell>
          <cell r="AC27">
            <v>0</v>
          </cell>
          <cell r="AD27">
            <v>0</v>
          </cell>
          <cell r="AE27">
            <v>0</v>
          </cell>
          <cell r="AF27">
            <v>0</v>
          </cell>
          <cell r="AG27">
            <v>0</v>
          </cell>
          <cell r="AH27">
            <v>0</v>
          </cell>
          <cell r="AI27">
            <v>0</v>
          </cell>
          <cell r="AK27">
            <v>12790.321900000001</v>
          </cell>
          <cell r="AL27">
            <v>0</v>
          </cell>
          <cell r="AM27">
            <v>12790.321900000001</v>
          </cell>
          <cell r="AN27">
            <v>499747678.08302706</v>
          </cell>
          <cell r="AO27">
            <v>0</v>
          </cell>
          <cell r="AP27">
            <v>499747678.08302706</v>
          </cell>
          <cell r="AS27">
            <v>625.9</v>
          </cell>
          <cell r="AT27">
            <v>719.76</v>
          </cell>
          <cell r="AU27">
            <v>7991.844000000001</v>
          </cell>
          <cell r="AV27">
            <v>3452.8178999999996</v>
          </cell>
          <cell r="BG27">
            <v>7856.47</v>
          </cell>
          <cell r="BH27">
            <v>0</v>
          </cell>
          <cell r="BI27">
            <v>5238.8829999999998</v>
          </cell>
          <cell r="BJ27">
            <v>5238.8829999999998</v>
          </cell>
          <cell r="BK27">
            <v>0</v>
          </cell>
          <cell r="BL27">
            <v>204695365.40739</v>
          </cell>
          <cell r="BM27">
            <v>204695365.40739</v>
          </cell>
          <cell r="BR27">
            <v>5238.8829999999998</v>
          </cell>
          <cell r="BS27">
            <v>2301.8785999999996</v>
          </cell>
        </row>
        <row r="28">
          <cell r="A28">
            <v>11</v>
          </cell>
          <cell r="B28" t="str">
            <v>3.1a</v>
          </cell>
          <cell r="C28" t="str">
            <v>Galian Biasa</v>
          </cell>
          <cell r="F28" t="str">
            <v>m³</v>
          </cell>
          <cell r="G28">
            <v>0</v>
          </cell>
          <cell r="H28">
            <v>44488.018485128203</v>
          </cell>
          <cell r="I28">
            <v>39000</v>
          </cell>
          <cell r="J28">
            <v>1735032720.9199998</v>
          </cell>
          <cell r="K28">
            <v>7.7215501401373593E-2</v>
          </cell>
          <cell r="M28">
            <v>0</v>
          </cell>
          <cell r="N28">
            <v>17275</v>
          </cell>
          <cell r="O28">
            <v>17275</v>
          </cell>
          <cell r="P28">
            <v>0</v>
          </cell>
          <cell r="Q28">
            <v>673725000</v>
          </cell>
          <cell r="R28">
            <v>673725000</v>
          </cell>
          <cell r="AA28">
            <v>22244.009242564101</v>
          </cell>
          <cell r="AC28">
            <v>0</v>
          </cell>
          <cell r="AD28">
            <v>0</v>
          </cell>
          <cell r="AE28">
            <v>0</v>
          </cell>
          <cell r="AF28">
            <v>0</v>
          </cell>
          <cell r="AG28">
            <v>0</v>
          </cell>
          <cell r="AH28">
            <v>0</v>
          </cell>
          <cell r="AI28">
            <v>0</v>
          </cell>
          <cell r="AK28">
            <v>4614.4437500000004</v>
          </cell>
          <cell r="AL28">
            <v>0</v>
          </cell>
          <cell r="AM28">
            <v>4614.4437500000004</v>
          </cell>
          <cell r="AN28">
            <v>179963306.25</v>
          </cell>
          <cell r="AO28">
            <v>0</v>
          </cell>
          <cell r="AP28">
            <v>179963306.25</v>
          </cell>
          <cell r="AS28">
            <v>829</v>
          </cell>
          <cell r="AT28">
            <v>2637</v>
          </cell>
          <cell r="AU28">
            <v>865</v>
          </cell>
          <cell r="AV28">
            <v>283.44374999999997</v>
          </cell>
          <cell r="BG28">
            <v>1888.43</v>
          </cell>
          <cell r="BH28">
            <v>0</v>
          </cell>
          <cell r="BI28">
            <v>0</v>
          </cell>
          <cell r="BJ28">
            <v>0</v>
          </cell>
          <cell r="BK28">
            <v>0</v>
          </cell>
          <cell r="BL28">
            <v>0</v>
          </cell>
          <cell r="BM28">
            <v>0</v>
          </cell>
          <cell r="BR28">
            <v>0</v>
          </cell>
          <cell r="BS28">
            <v>188.96250000000003</v>
          </cell>
        </row>
        <row r="29">
          <cell r="A29">
            <v>12</v>
          </cell>
          <cell r="B29">
            <v>3.2</v>
          </cell>
          <cell r="C29" t="str">
            <v>Galian Batu</v>
          </cell>
          <cell r="F29" t="str">
            <v>m³</v>
          </cell>
          <cell r="G29">
            <v>20850</v>
          </cell>
          <cell r="H29">
            <v>22935</v>
          </cell>
          <cell r="I29">
            <v>127351.33</v>
          </cell>
          <cell r="J29">
            <v>2920802753.5500002</v>
          </cell>
          <cell r="K29">
            <v>0.12998674110900232</v>
          </cell>
          <cell r="M29">
            <v>20850</v>
          </cell>
          <cell r="N29">
            <v>2085</v>
          </cell>
          <cell r="O29">
            <v>22935</v>
          </cell>
          <cell r="P29">
            <v>2655275230.5</v>
          </cell>
          <cell r="Q29">
            <v>265527523.05000001</v>
          </cell>
          <cell r="R29">
            <v>2920802753.5500002</v>
          </cell>
          <cell r="V29">
            <v>625.9</v>
          </cell>
          <cell r="W29">
            <v>719.76</v>
          </cell>
          <cell r="X29">
            <v>13230.73126562053</v>
          </cell>
          <cell r="Y29">
            <v>5050.9822796022027</v>
          </cell>
          <cell r="Z29">
            <v>1222.6264547772662</v>
          </cell>
          <cell r="AA29">
            <v>2085</v>
          </cell>
          <cell r="AC29">
            <v>0</v>
          </cell>
          <cell r="AD29">
            <v>0</v>
          </cell>
          <cell r="AE29">
            <v>0</v>
          </cell>
          <cell r="AF29">
            <v>0</v>
          </cell>
          <cell r="AG29">
            <v>0</v>
          </cell>
          <cell r="AH29">
            <v>0</v>
          </cell>
          <cell r="AI29">
            <v>0</v>
          </cell>
          <cell r="AK29">
            <v>5990</v>
          </cell>
          <cell r="AL29">
            <v>0</v>
          </cell>
          <cell r="AM29">
            <v>5990</v>
          </cell>
          <cell r="AN29">
            <v>762834466.70000005</v>
          </cell>
          <cell r="AO29">
            <v>0</v>
          </cell>
          <cell r="AP29">
            <v>762834466.70000005</v>
          </cell>
          <cell r="AS29">
            <v>309</v>
          </cell>
          <cell r="AT29">
            <v>1916</v>
          </cell>
          <cell r="AU29">
            <v>3765</v>
          </cell>
          <cell r="AV29">
            <v>0</v>
          </cell>
          <cell r="BG29">
            <v>465</v>
          </cell>
          <cell r="BH29">
            <v>0</v>
          </cell>
          <cell r="BI29">
            <v>2510</v>
          </cell>
          <cell r="BJ29">
            <v>2510</v>
          </cell>
          <cell r="BK29">
            <v>0</v>
          </cell>
          <cell r="BL29">
            <v>319651838.30000001</v>
          </cell>
          <cell r="BM29">
            <v>319651838.30000001</v>
          </cell>
          <cell r="BR29">
            <v>2510</v>
          </cell>
          <cell r="BS29">
            <v>0</v>
          </cell>
        </row>
        <row r="30">
          <cell r="A30">
            <v>13</v>
          </cell>
          <cell r="B30" t="str">
            <v>3.2a</v>
          </cell>
          <cell r="C30" t="str">
            <v>Galian Batu</v>
          </cell>
          <cell r="F30" t="str">
            <v>m³</v>
          </cell>
          <cell r="G30">
            <v>0</v>
          </cell>
          <cell r="H30">
            <v>23450.128338835464</v>
          </cell>
          <cell r="I30">
            <v>110242.18</v>
          </cell>
          <cell r="J30">
            <v>2585193269.3530002</v>
          </cell>
          <cell r="K30">
            <v>0.11505085299296339</v>
          </cell>
          <cell r="M30">
            <v>0</v>
          </cell>
          <cell r="N30">
            <v>0</v>
          </cell>
          <cell r="O30">
            <v>0</v>
          </cell>
          <cell r="P30">
            <v>0</v>
          </cell>
          <cell r="Q30">
            <v>0</v>
          </cell>
          <cell r="R30">
            <v>0</v>
          </cell>
          <cell r="AC30">
            <v>0</v>
          </cell>
          <cell r="AD30">
            <v>0</v>
          </cell>
          <cell r="AE30">
            <v>0</v>
          </cell>
          <cell r="AF30">
            <v>0</v>
          </cell>
          <cell r="AG30">
            <v>0</v>
          </cell>
          <cell r="AH30">
            <v>0</v>
          </cell>
          <cell r="AI30">
            <v>0</v>
          </cell>
          <cell r="AK30">
            <v>122776</v>
          </cell>
          <cell r="AL30">
            <v>0</v>
          </cell>
          <cell r="AM30">
            <v>122776</v>
          </cell>
          <cell r="AN30">
            <v>13535093891.679998</v>
          </cell>
          <cell r="AO30">
            <v>0</v>
          </cell>
          <cell r="AP30">
            <v>13535093891.679998</v>
          </cell>
          <cell r="AS30">
            <v>24446</v>
          </cell>
          <cell r="AT30">
            <v>27554</v>
          </cell>
          <cell r="AU30">
            <v>70656</v>
          </cell>
          <cell r="AV30">
            <v>120</v>
          </cell>
          <cell r="BG30">
            <v>69600</v>
          </cell>
          <cell r="BH30">
            <v>0</v>
          </cell>
          <cell r="BI30">
            <v>47144</v>
          </cell>
          <cell r="BJ30">
            <v>47144</v>
          </cell>
          <cell r="BK30">
            <v>0</v>
          </cell>
          <cell r="BL30">
            <v>5197257333.9200001</v>
          </cell>
          <cell r="BM30">
            <v>5197257333.9200001</v>
          </cell>
          <cell r="BR30">
            <v>47144</v>
          </cell>
          <cell r="BS30">
            <v>80</v>
          </cell>
        </row>
        <row r="31">
          <cell r="A31">
            <v>14</v>
          </cell>
          <cell r="B31">
            <v>3.3</v>
          </cell>
          <cell r="C31" t="str">
            <v>Timbunan Biasa dari selain sumber bahan</v>
          </cell>
          <cell r="F31" t="str">
            <v>m³</v>
          </cell>
          <cell r="G31">
            <v>13600</v>
          </cell>
          <cell r="H31">
            <v>14960</v>
          </cell>
          <cell r="I31">
            <v>74846.81</v>
          </cell>
          <cell r="J31">
            <v>1119708277.5999999</v>
          </cell>
          <cell r="K31">
            <v>4.9831242394268893E-2</v>
          </cell>
          <cell r="M31">
            <v>13600</v>
          </cell>
          <cell r="N31">
            <v>1360</v>
          </cell>
          <cell r="O31">
            <v>14960</v>
          </cell>
          <cell r="P31">
            <v>1017916616</v>
          </cell>
          <cell r="Q31">
            <v>101791661.59999999</v>
          </cell>
          <cell r="R31">
            <v>1119708277.5999999</v>
          </cell>
          <cell r="V31">
            <v>829</v>
          </cell>
          <cell r="W31">
            <v>2637</v>
          </cell>
          <cell r="X31">
            <v>4412.8440000000001</v>
          </cell>
          <cell r="Y31">
            <v>3404.616</v>
          </cell>
          <cell r="Z31">
            <v>2316.54</v>
          </cell>
          <cell r="AA31">
            <v>1360</v>
          </cell>
          <cell r="AC31">
            <v>0</v>
          </cell>
          <cell r="AD31">
            <v>0</v>
          </cell>
          <cell r="AE31">
            <v>0</v>
          </cell>
          <cell r="AF31">
            <v>0</v>
          </cell>
          <cell r="AG31">
            <v>0</v>
          </cell>
          <cell r="AH31">
            <v>0</v>
          </cell>
          <cell r="AI31">
            <v>0</v>
          </cell>
          <cell r="AK31">
            <v>0</v>
          </cell>
          <cell r="AL31">
            <v>0</v>
          </cell>
          <cell r="AM31">
            <v>0</v>
          </cell>
          <cell r="AN31">
            <v>0</v>
          </cell>
          <cell r="AO31">
            <v>0</v>
          </cell>
          <cell r="AP31">
            <v>0</v>
          </cell>
          <cell r="AU31">
            <v>0</v>
          </cell>
          <cell r="AV31">
            <v>0</v>
          </cell>
          <cell r="BG31">
            <v>0</v>
          </cell>
          <cell r="BH31">
            <v>0</v>
          </cell>
          <cell r="BI31">
            <v>0</v>
          </cell>
          <cell r="BJ31">
            <v>0</v>
          </cell>
          <cell r="BK31">
            <v>0</v>
          </cell>
          <cell r="BL31">
            <v>0</v>
          </cell>
          <cell r="BM31">
            <v>0</v>
          </cell>
          <cell r="BS31">
            <v>0</v>
          </cell>
        </row>
        <row r="32">
          <cell r="A32">
            <v>15</v>
          </cell>
          <cell r="B32" t="str">
            <v>3.3a</v>
          </cell>
          <cell r="C32" t="str">
            <v>Timbunan Biasa dari selain sumber bahan</v>
          </cell>
          <cell r="F32" t="str">
            <v>m³</v>
          </cell>
          <cell r="G32">
            <v>0</v>
          </cell>
          <cell r="H32">
            <v>762.15</v>
          </cell>
          <cell r="I32">
            <v>72087.820000000007</v>
          </cell>
          <cell r="J32">
            <v>54941732.013000004</v>
          </cell>
          <cell r="K32">
            <v>2.4451143393965443E-3</v>
          </cell>
          <cell r="M32">
            <v>0</v>
          </cell>
          <cell r="N32">
            <v>0</v>
          </cell>
          <cell r="O32">
            <v>0</v>
          </cell>
          <cell r="P32">
            <v>0</v>
          </cell>
          <cell r="Q32">
            <v>0</v>
          </cell>
          <cell r="R32">
            <v>0</v>
          </cell>
          <cell r="AC32">
            <v>0</v>
          </cell>
          <cell r="AD32">
            <v>0</v>
          </cell>
          <cell r="AE32">
            <v>0</v>
          </cell>
          <cell r="AF32">
            <v>0</v>
          </cell>
          <cell r="AG32">
            <v>0</v>
          </cell>
          <cell r="AH32">
            <v>0</v>
          </cell>
          <cell r="AI32">
            <v>0</v>
          </cell>
          <cell r="AK32">
            <v>0</v>
          </cell>
          <cell r="AL32">
            <v>0</v>
          </cell>
          <cell r="AM32">
            <v>0</v>
          </cell>
          <cell r="AN32">
            <v>0</v>
          </cell>
          <cell r="AO32">
            <v>0</v>
          </cell>
          <cell r="AP32">
            <v>0</v>
          </cell>
          <cell r="AU32">
            <v>0</v>
          </cell>
          <cell r="AV32">
            <v>0</v>
          </cell>
          <cell r="BG32">
            <v>0</v>
          </cell>
          <cell r="BH32">
            <v>0</v>
          </cell>
          <cell r="BI32">
            <v>0</v>
          </cell>
          <cell r="BJ32">
            <v>0</v>
          </cell>
          <cell r="BK32">
            <v>0</v>
          </cell>
          <cell r="BL32">
            <v>0</v>
          </cell>
          <cell r="BM32">
            <v>0</v>
          </cell>
          <cell r="BS32">
            <v>0</v>
          </cell>
        </row>
        <row r="33">
          <cell r="A33">
            <v>16</v>
          </cell>
          <cell r="B33">
            <v>3.4</v>
          </cell>
          <cell r="C33" t="str">
            <v>Timbunan Pilihan</v>
          </cell>
          <cell r="F33" t="str">
            <v>m³</v>
          </cell>
          <cell r="G33">
            <v>12750</v>
          </cell>
          <cell r="H33">
            <v>6260</v>
          </cell>
          <cell r="I33">
            <v>116131.5888747893</v>
          </cell>
          <cell r="J33">
            <v>726983746.35618103</v>
          </cell>
          <cell r="K33">
            <v>3.2353519221110877E-2</v>
          </cell>
          <cell r="M33">
            <v>6260</v>
          </cell>
          <cell r="N33">
            <v>0</v>
          </cell>
          <cell r="O33">
            <v>6260</v>
          </cell>
          <cell r="P33">
            <v>726983746.35618103</v>
          </cell>
          <cell r="Q33">
            <v>0</v>
          </cell>
          <cell r="R33">
            <v>726983746.35618103</v>
          </cell>
          <cell r="V33">
            <v>309</v>
          </cell>
          <cell r="W33">
            <v>1916</v>
          </cell>
          <cell r="X33">
            <v>4035</v>
          </cell>
          <cell r="Z33">
            <v>0</v>
          </cell>
          <cell r="AC33">
            <v>0</v>
          </cell>
          <cell r="AD33">
            <v>0</v>
          </cell>
          <cell r="AE33">
            <v>0</v>
          </cell>
          <cell r="AF33">
            <v>0</v>
          </cell>
          <cell r="AG33">
            <v>0</v>
          </cell>
          <cell r="AH33">
            <v>0</v>
          </cell>
          <cell r="AI33">
            <v>0</v>
          </cell>
          <cell r="AK33">
            <v>0</v>
          </cell>
          <cell r="AL33">
            <v>0</v>
          </cell>
          <cell r="AM33">
            <v>0</v>
          </cell>
          <cell r="AN33">
            <v>0</v>
          </cell>
          <cell r="AO33">
            <v>0</v>
          </cell>
          <cell r="AP33">
            <v>0</v>
          </cell>
          <cell r="AU33">
            <v>0</v>
          </cell>
          <cell r="AV33">
            <v>0</v>
          </cell>
          <cell r="BG33">
            <v>0</v>
          </cell>
          <cell r="BH33">
            <v>0</v>
          </cell>
          <cell r="BI33">
            <v>0</v>
          </cell>
          <cell r="BJ33">
            <v>0</v>
          </cell>
          <cell r="BK33">
            <v>0</v>
          </cell>
          <cell r="BL33">
            <v>0</v>
          </cell>
          <cell r="BM33">
            <v>0</v>
          </cell>
          <cell r="BS33">
            <v>0</v>
          </cell>
        </row>
        <row r="34">
          <cell r="A34">
            <v>17</v>
          </cell>
          <cell r="B34">
            <v>3.5</v>
          </cell>
          <cell r="C34" t="str">
            <v>Penyiapan Badan jalan</v>
          </cell>
          <cell r="F34" t="str">
            <v>m²</v>
          </cell>
          <cell r="G34">
            <v>170000</v>
          </cell>
          <cell r="H34">
            <v>82729.600000000006</v>
          </cell>
          <cell r="I34">
            <v>3111.91</v>
          </cell>
          <cell r="J34">
            <v>257447069.53600001</v>
          </cell>
          <cell r="K34">
            <v>1.1457365799992384E-2</v>
          </cell>
          <cell r="M34">
            <v>82729.600000000006</v>
          </cell>
          <cell r="N34">
            <v>0</v>
          </cell>
          <cell r="O34">
            <v>82729.600000000006</v>
          </cell>
          <cell r="P34">
            <v>257447069.53600001</v>
          </cell>
          <cell r="Q34">
            <v>0</v>
          </cell>
          <cell r="R34">
            <v>257447069.53600001</v>
          </cell>
          <cell r="V34">
            <v>24446</v>
          </cell>
          <cell r="W34">
            <v>27554</v>
          </cell>
          <cell r="X34">
            <v>30729.599999999999</v>
          </cell>
          <cell r="Z34">
            <v>0</v>
          </cell>
          <cell r="AC34">
            <v>0</v>
          </cell>
          <cell r="AD34">
            <v>0</v>
          </cell>
          <cell r="AE34">
            <v>0</v>
          </cell>
          <cell r="AF34">
            <v>0</v>
          </cell>
          <cell r="AG34">
            <v>0</v>
          </cell>
          <cell r="AH34">
            <v>0</v>
          </cell>
          <cell r="AI34">
            <v>0</v>
          </cell>
          <cell r="AK34">
            <v>0</v>
          </cell>
          <cell r="AL34">
            <v>0</v>
          </cell>
          <cell r="AM34">
            <v>0</v>
          </cell>
          <cell r="AN34">
            <v>0</v>
          </cell>
          <cell r="AO34">
            <v>0</v>
          </cell>
          <cell r="AP34">
            <v>0</v>
          </cell>
          <cell r="AU34">
            <v>0</v>
          </cell>
          <cell r="AV34">
            <v>0</v>
          </cell>
          <cell r="BG34">
            <v>0</v>
          </cell>
          <cell r="BH34">
            <v>0</v>
          </cell>
          <cell r="BI34">
            <v>0</v>
          </cell>
          <cell r="BJ34">
            <v>0</v>
          </cell>
          <cell r="BK34">
            <v>0</v>
          </cell>
          <cell r="BL34">
            <v>0</v>
          </cell>
          <cell r="BM34">
            <v>0</v>
          </cell>
          <cell r="BS34">
            <v>0</v>
          </cell>
        </row>
        <row r="35">
          <cell r="A35">
            <v>18</v>
          </cell>
          <cell r="B35">
            <v>0</v>
          </cell>
          <cell r="C35">
            <v>0</v>
          </cell>
          <cell r="F35">
            <v>0</v>
          </cell>
          <cell r="G35">
            <v>0</v>
          </cell>
          <cell r="H35">
            <v>0</v>
          </cell>
          <cell r="I35">
            <v>0</v>
          </cell>
          <cell r="J35">
            <v>0</v>
          </cell>
          <cell r="K35">
            <v>0</v>
          </cell>
          <cell r="M35">
            <v>0</v>
          </cell>
          <cell r="N35">
            <v>0</v>
          </cell>
          <cell r="O35">
            <v>0</v>
          </cell>
          <cell r="P35">
            <v>0</v>
          </cell>
          <cell r="Q35">
            <v>0</v>
          </cell>
          <cell r="R35">
            <v>0</v>
          </cell>
          <cell r="AC35">
            <v>0</v>
          </cell>
          <cell r="AD35">
            <v>0</v>
          </cell>
          <cell r="AE35">
            <v>0</v>
          </cell>
          <cell r="AF35">
            <v>0</v>
          </cell>
          <cell r="AG35">
            <v>0</v>
          </cell>
          <cell r="AH35">
            <v>0</v>
          </cell>
          <cell r="AI35">
            <v>0</v>
          </cell>
          <cell r="AK35">
            <v>0</v>
          </cell>
          <cell r="AL35">
            <v>0</v>
          </cell>
          <cell r="AM35">
            <v>0</v>
          </cell>
          <cell r="AN35">
            <v>0</v>
          </cell>
          <cell r="AO35">
            <v>0</v>
          </cell>
          <cell r="AP35">
            <v>0</v>
          </cell>
          <cell r="AU35">
            <v>0</v>
          </cell>
          <cell r="AV35">
            <v>0</v>
          </cell>
          <cell r="BG35">
            <v>0</v>
          </cell>
          <cell r="BH35">
            <v>0</v>
          </cell>
          <cell r="BI35">
            <v>0</v>
          </cell>
          <cell r="BJ35">
            <v>0</v>
          </cell>
          <cell r="BK35">
            <v>0</v>
          </cell>
          <cell r="BL35">
            <v>0</v>
          </cell>
          <cell r="BM35">
            <v>0</v>
          </cell>
          <cell r="BS35">
            <v>0</v>
          </cell>
        </row>
        <row r="36">
          <cell r="A36">
            <v>19</v>
          </cell>
          <cell r="B36" t="str">
            <v>IV</v>
          </cell>
          <cell r="C36" t="str">
            <v>PELEBARAN PERKERASAN DAN BAHU JALAN</v>
          </cell>
          <cell r="F36">
            <v>0</v>
          </cell>
          <cell r="G36">
            <v>0</v>
          </cell>
          <cell r="H36">
            <v>0</v>
          </cell>
          <cell r="I36">
            <v>0</v>
          </cell>
          <cell r="J36">
            <v>0</v>
          </cell>
          <cell r="K36">
            <v>0</v>
          </cell>
          <cell r="M36">
            <v>0</v>
          </cell>
          <cell r="N36">
            <v>0</v>
          </cell>
          <cell r="O36">
            <v>0</v>
          </cell>
          <cell r="P36">
            <v>0</v>
          </cell>
          <cell r="Q36">
            <v>0</v>
          </cell>
          <cell r="R36">
            <v>0</v>
          </cell>
          <cell r="AC36">
            <v>0</v>
          </cell>
          <cell r="AD36">
            <v>0</v>
          </cell>
          <cell r="AE36">
            <v>0</v>
          </cell>
          <cell r="AF36">
            <v>0</v>
          </cell>
          <cell r="AG36">
            <v>0</v>
          </cell>
          <cell r="AH36">
            <v>0</v>
          </cell>
          <cell r="AI36">
            <v>0</v>
          </cell>
          <cell r="AK36">
            <v>0</v>
          </cell>
          <cell r="AL36">
            <v>0</v>
          </cell>
          <cell r="AM36">
            <v>0</v>
          </cell>
          <cell r="AN36">
            <v>0</v>
          </cell>
          <cell r="AO36">
            <v>0</v>
          </cell>
          <cell r="AP36">
            <v>0</v>
          </cell>
          <cell r="AU36">
            <v>0</v>
          </cell>
          <cell r="AV36">
            <v>0</v>
          </cell>
          <cell r="BG36">
            <v>0</v>
          </cell>
          <cell r="BH36">
            <v>0</v>
          </cell>
          <cell r="BI36">
            <v>0</v>
          </cell>
          <cell r="BJ36">
            <v>0</v>
          </cell>
          <cell r="BK36">
            <v>0</v>
          </cell>
          <cell r="BL36">
            <v>0</v>
          </cell>
          <cell r="BM36">
            <v>0</v>
          </cell>
          <cell r="BS36">
            <v>0</v>
          </cell>
        </row>
        <row r="37">
          <cell r="A37">
            <v>20</v>
          </cell>
          <cell r="B37">
            <v>4.0999999999999996</v>
          </cell>
          <cell r="C37" t="str">
            <v>Lapis Pondasi Agregat Kelas B</v>
          </cell>
          <cell r="F37" t="str">
            <v>m³</v>
          </cell>
          <cell r="G37">
            <v>6800</v>
          </cell>
          <cell r="H37">
            <v>0</v>
          </cell>
          <cell r="I37">
            <v>255323.43277843742</v>
          </cell>
          <cell r="J37">
            <v>0</v>
          </cell>
          <cell r="K37">
            <v>0</v>
          </cell>
          <cell r="M37">
            <v>0</v>
          </cell>
          <cell r="N37">
            <v>0</v>
          </cell>
          <cell r="O37">
            <v>0</v>
          </cell>
          <cell r="P37">
            <v>0</v>
          </cell>
          <cell r="Q37">
            <v>0</v>
          </cell>
          <cell r="R37">
            <v>0</v>
          </cell>
          <cell r="AC37">
            <v>0</v>
          </cell>
          <cell r="AD37">
            <v>0</v>
          </cell>
          <cell r="AE37">
            <v>0</v>
          </cell>
          <cell r="AF37">
            <v>0</v>
          </cell>
          <cell r="AG37">
            <v>0</v>
          </cell>
          <cell r="AH37">
            <v>0</v>
          </cell>
          <cell r="AI37">
            <v>0</v>
          </cell>
          <cell r="AK37">
            <v>0</v>
          </cell>
          <cell r="AL37">
            <v>0</v>
          </cell>
          <cell r="AM37">
            <v>0</v>
          </cell>
          <cell r="AN37">
            <v>0</v>
          </cell>
          <cell r="AO37">
            <v>0</v>
          </cell>
          <cell r="AP37">
            <v>0</v>
          </cell>
          <cell r="AU37">
            <v>0</v>
          </cell>
          <cell r="AV37">
            <v>0</v>
          </cell>
          <cell r="BG37">
            <v>0</v>
          </cell>
          <cell r="BH37">
            <v>0</v>
          </cell>
          <cell r="BI37">
            <v>0</v>
          </cell>
          <cell r="BJ37">
            <v>0</v>
          </cell>
          <cell r="BK37">
            <v>0</v>
          </cell>
          <cell r="BL37">
            <v>0</v>
          </cell>
          <cell r="BM37">
            <v>0</v>
          </cell>
          <cell r="BS37">
            <v>0</v>
          </cell>
        </row>
        <row r="38">
          <cell r="A38">
            <v>21</v>
          </cell>
          <cell r="B38">
            <v>0</v>
          </cell>
          <cell r="C38">
            <v>0</v>
          </cell>
          <cell r="F38">
            <v>0</v>
          </cell>
          <cell r="G38">
            <v>0</v>
          </cell>
          <cell r="H38">
            <v>0</v>
          </cell>
          <cell r="I38">
            <v>0</v>
          </cell>
          <cell r="J38">
            <v>0</v>
          </cell>
          <cell r="K38">
            <v>0</v>
          </cell>
          <cell r="M38">
            <v>0</v>
          </cell>
          <cell r="N38">
            <v>0</v>
          </cell>
          <cell r="O38">
            <v>0</v>
          </cell>
          <cell r="P38">
            <v>0</v>
          </cell>
          <cell r="Q38">
            <v>0</v>
          </cell>
          <cell r="R38">
            <v>0</v>
          </cell>
          <cell r="AC38">
            <v>0</v>
          </cell>
          <cell r="AD38">
            <v>0</v>
          </cell>
          <cell r="AE38">
            <v>0</v>
          </cell>
          <cell r="AF38">
            <v>0</v>
          </cell>
          <cell r="AG38">
            <v>0</v>
          </cell>
          <cell r="AH38">
            <v>0</v>
          </cell>
          <cell r="AI38">
            <v>0</v>
          </cell>
          <cell r="AK38">
            <v>0</v>
          </cell>
          <cell r="AL38">
            <v>0</v>
          </cell>
          <cell r="AM38">
            <v>0</v>
          </cell>
          <cell r="AN38">
            <v>0</v>
          </cell>
          <cell r="AO38">
            <v>0</v>
          </cell>
          <cell r="AP38">
            <v>0</v>
          </cell>
          <cell r="AV38">
            <v>1620</v>
          </cell>
          <cell r="BG38">
            <v>2160</v>
          </cell>
          <cell r="BH38">
            <v>0</v>
          </cell>
          <cell r="BI38">
            <v>0</v>
          </cell>
          <cell r="BJ38">
            <v>0</v>
          </cell>
          <cell r="BK38">
            <v>0</v>
          </cell>
          <cell r="BL38">
            <v>0</v>
          </cell>
          <cell r="BM38">
            <v>0</v>
          </cell>
          <cell r="BS38">
            <v>1080</v>
          </cell>
        </row>
        <row r="39">
          <cell r="A39">
            <v>22</v>
          </cell>
          <cell r="B39" t="str">
            <v>V</v>
          </cell>
          <cell r="C39" t="str">
            <v>PERKERASAN BERBUTIR</v>
          </cell>
          <cell r="F39">
            <v>0</v>
          </cell>
          <cell r="G39">
            <v>0</v>
          </cell>
          <cell r="H39">
            <v>0</v>
          </cell>
          <cell r="I39">
            <v>0</v>
          </cell>
          <cell r="J39">
            <v>0</v>
          </cell>
          <cell r="K39">
            <v>0</v>
          </cell>
          <cell r="M39">
            <v>0</v>
          </cell>
          <cell r="N39">
            <v>0</v>
          </cell>
          <cell r="O39">
            <v>0</v>
          </cell>
          <cell r="P39">
            <v>0</v>
          </cell>
          <cell r="Q39">
            <v>0</v>
          </cell>
          <cell r="R39">
            <v>0</v>
          </cell>
          <cell r="AC39">
            <v>0</v>
          </cell>
          <cell r="AD39">
            <v>0</v>
          </cell>
          <cell r="AE39">
            <v>0</v>
          </cell>
          <cell r="AF39">
            <v>0</v>
          </cell>
          <cell r="AG39">
            <v>0</v>
          </cell>
          <cell r="AH39">
            <v>0</v>
          </cell>
          <cell r="AI39">
            <v>0</v>
          </cell>
          <cell r="AK39">
            <v>0</v>
          </cell>
          <cell r="AL39">
            <v>0</v>
          </cell>
          <cell r="AM39">
            <v>0</v>
          </cell>
          <cell r="AN39">
            <v>0</v>
          </cell>
          <cell r="AO39">
            <v>0</v>
          </cell>
          <cell r="AP39">
            <v>0</v>
          </cell>
          <cell r="AV39">
            <v>0</v>
          </cell>
          <cell r="BH39">
            <v>0</v>
          </cell>
          <cell r="BI39">
            <v>0</v>
          </cell>
          <cell r="BJ39">
            <v>0</v>
          </cell>
          <cell r="BK39">
            <v>0</v>
          </cell>
          <cell r="BL39">
            <v>0</v>
          </cell>
          <cell r="BM39">
            <v>0</v>
          </cell>
          <cell r="BR39">
            <v>0</v>
          </cell>
          <cell r="BS39">
            <v>0</v>
          </cell>
        </row>
        <row r="40">
          <cell r="A40">
            <v>23</v>
          </cell>
          <cell r="B40">
            <v>5.0999999999999996</v>
          </cell>
          <cell r="C40" t="str">
            <v>Lapis Pondasi Agregat Kelas A</v>
          </cell>
          <cell r="F40" t="str">
            <v>m³</v>
          </cell>
          <cell r="G40">
            <v>1800</v>
          </cell>
          <cell r="H40">
            <v>1980</v>
          </cell>
          <cell r="I40">
            <v>283225.96999999997</v>
          </cell>
          <cell r="J40">
            <v>560787420.5999999</v>
          </cell>
          <cell r="K40">
            <v>2.4957155757991352E-2</v>
          </cell>
          <cell r="M40">
            <v>1800</v>
          </cell>
          <cell r="N40">
            <v>0</v>
          </cell>
          <cell r="O40">
            <v>1800</v>
          </cell>
          <cell r="P40">
            <v>509806745.99999994</v>
          </cell>
          <cell r="Q40">
            <v>0</v>
          </cell>
          <cell r="R40">
            <v>509806745.99999994</v>
          </cell>
          <cell r="V40">
            <v>0</v>
          </cell>
          <cell r="W40">
            <v>0</v>
          </cell>
          <cell r="X40">
            <v>0</v>
          </cell>
          <cell r="Y40">
            <v>0</v>
          </cell>
          <cell r="Z40">
            <v>1800</v>
          </cell>
          <cell r="AC40">
            <v>0</v>
          </cell>
          <cell r="AD40">
            <v>0</v>
          </cell>
          <cell r="AE40">
            <v>0</v>
          </cell>
          <cell r="AF40">
            <v>0</v>
          </cell>
          <cell r="AG40">
            <v>0</v>
          </cell>
          <cell r="AH40">
            <v>0</v>
          </cell>
          <cell r="AI40">
            <v>0</v>
          </cell>
          <cell r="AK40">
            <v>0</v>
          </cell>
          <cell r="AL40">
            <v>0</v>
          </cell>
          <cell r="AM40">
            <v>0</v>
          </cell>
          <cell r="AN40">
            <v>0</v>
          </cell>
          <cell r="AO40">
            <v>0</v>
          </cell>
          <cell r="AP40">
            <v>0</v>
          </cell>
          <cell r="AV40">
            <v>0</v>
          </cell>
          <cell r="BH40">
            <v>0</v>
          </cell>
          <cell r="BI40">
            <v>0</v>
          </cell>
          <cell r="BJ40">
            <v>0</v>
          </cell>
          <cell r="BK40">
            <v>0</v>
          </cell>
          <cell r="BL40">
            <v>0</v>
          </cell>
          <cell r="BM40">
            <v>0</v>
          </cell>
          <cell r="BR40">
            <v>0</v>
          </cell>
          <cell r="BS40">
            <v>0</v>
          </cell>
        </row>
        <row r="41">
          <cell r="A41">
            <v>24</v>
          </cell>
          <cell r="B41" t="str">
            <v>5.1a</v>
          </cell>
          <cell r="C41" t="str">
            <v>Lapis Pondasi Agregat Kelas A</v>
          </cell>
          <cell r="F41" t="str">
            <v>m³</v>
          </cell>
          <cell r="G41">
            <v>0</v>
          </cell>
          <cell r="H41">
            <v>882.3</v>
          </cell>
          <cell r="I41">
            <v>283200</v>
          </cell>
          <cell r="J41">
            <v>249867360</v>
          </cell>
          <cell r="K41">
            <v>1.1120040131581545E-2</v>
          </cell>
          <cell r="M41">
            <v>0</v>
          </cell>
          <cell r="N41">
            <v>0</v>
          </cell>
          <cell r="O41">
            <v>0</v>
          </cell>
          <cell r="P41">
            <v>0</v>
          </cell>
          <cell r="Q41">
            <v>0</v>
          </cell>
          <cell r="R41">
            <v>0</v>
          </cell>
          <cell r="AC41">
            <v>0</v>
          </cell>
          <cell r="AD41">
            <v>0</v>
          </cell>
          <cell r="AE41">
            <v>0</v>
          </cell>
          <cell r="AF41">
            <v>0</v>
          </cell>
          <cell r="AG41">
            <v>0</v>
          </cell>
          <cell r="AH41">
            <v>0</v>
          </cell>
          <cell r="AI41">
            <v>0</v>
          </cell>
          <cell r="AK41">
            <v>0</v>
          </cell>
          <cell r="AL41">
            <v>0</v>
          </cell>
          <cell r="AM41">
            <v>0</v>
          </cell>
          <cell r="AN41">
            <v>0</v>
          </cell>
          <cell r="AO41">
            <v>0</v>
          </cell>
          <cell r="AP41">
            <v>0</v>
          </cell>
          <cell r="AV41">
            <v>0</v>
          </cell>
          <cell r="BH41">
            <v>0</v>
          </cell>
          <cell r="BI41">
            <v>0</v>
          </cell>
          <cell r="BJ41">
            <v>0</v>
          </cell>
          <cell r="BK41">
            <v>0</v>
          </cell>
          <cell r="BL41">
            <v>0</v>
          </cell>
          <cell r="BM41">
            <v>0</v>
          </cell>
          <cell r="BR41">
            <v>0</v>
          </cell>
          <cell r="BS41">
            <v>0</v>
          </cell>
        </row>
        <row r="42">
          <cell r="A42">
            <v>25</v>
          </cell>
          <cell r="B42">
            <v>5.2</v>
          </cell>
          <cell r="C42" t="str">
            <v>Lapis Pondasi Agregat Kelas B</v>
          </cell>
          <cell r="F42" t="str">
            <v>m³</v>
          </cell>
          <cell r="G42">
            <v>8720.57</v>
          </cell>
          <cell r="H42">
            <v>0</v>
          </cell>
          <cell r="I42">
            <v>275094.11</v>
          </cell>
          <cell r="J42">
            <v>0</v>
          </cell>
          <cell r="K42">
            <v>0</v>
          </cell>
          <cell r="M42">
            <v>0</v>
          </cell>
          <cell r="N42">
            <v>0</v>
          </cell>
          <cell r="O42">
            <v>0</v>
          </cell>
          <cell r="P42">
            <v>0</v>
          </cell>
          <cell r="Q42">
            <v>0</v>
          </cell>
          <cell r="R42">
            <v>0</v>
          </cell>
          <cell r="AC42">
            <v>0</v>
          </cell>
          <cell r="AD42">
            <v>0</v>
          </cell>
          <cell r="AE42">
            <v>0</v>
          </cell>
          <cell r="AF42">
            <v>0</v>
          </cell>
          <cell r="AG42">
            <v>0</v>
          </cell>
          <cell r="AH42">
            <v>0</v>
          </cell>
          <cell r="AI42">
            <v>0</v>
          </cell>
          <cell r="AK42">
            <v>0</v>
          </cell>
          <cell r="AL42">
            <v>0</v>
          </cell>
          <cell r="AM42">
            <v>0</v>
          </cell>
          <cell r="AN42">
            <v>0</v>
          </cell>
          <cell r="AO42">
            <v>0</v>
          </cell>
          <cell r="AP42">
            <v>0</v>
          </cell>
          <cell r="AV42">
            <v>0</v>
          </cell>
          <cell r="BH42">
            <v>0</v>
          </cell>
          <cell r="BI42">
            <v>0</v>
          </cell>
          <cell r="BJ42">
            <v>0</v>
          </cell>
          <cell r="BK42">
            <v>0</v>
          </cell>
          <cell r="BL42">
            <v>0</v>
          </cell>
          <cell r="BM42">
            <v>0</v>
          </cell>
          <cell r="BR42">
            <v>0</v>
          </cell>
          <cell r="BS42">
            <v>0</v>
          </cell>
        </row>
        <row r="43">
          <cell r="A43">
            <v>26</v>
          </cell>
          <cell r="B43">
            <v>5.3</v>
          </cell>
          <cell r="C43" t="str">
            <v>Lapis Pondasi Agregat Kelas C</v>
          </cell>
          <cell r="F43" t="str">
            <v>m³</v>
          </cell>
          <cell r="G43">
            <v>6300</v>
          </cell>
          <cell r="H43">
            <v>6930</v>
          </cell>
          <cell r="I43">
            <v>209803.00108063305</v>
          </cell>
          <cell r="J43">
            <v>1453934797.4887872</v>
          </cell>
          <cell r="K43">
            <v>6.4705583381431647E-2</v>
          </cell>
          <cell r="M43">
            <v>6300</v>
          </cell>
          <cell r="N43">
            <v>630</v>
          </cell>
          <cell r="O43">
            <v>6930</v>
          </cell>
          <cell r="P43">
            <v>1321758906.8079882</v>
          </cell>
          <cell r="Q43">
            <v>132175890.68079883</v>
          </cell>
          <cell r="R43">
            <v>1453934797.4887872</v>
          </cell>
          <cell r="V43">
            <v>0</v>
          </cell>
          <cell r="W43">
            <v>0</v>
          </cell>
          <cell r="X43">
            <v>0</v>
          </cell>
          <cell r="Y43">
            <v>6000</v>
          </cell>
          <cell r="Z43">
            <v>300</v>
          </cell>
          <cell r="AA43">
            <v>630</v>
          </cell>
          <cell r="AC43">
            <v>0</v>
          </cell>
          <cell r="AD43">
            <v>0</v>
          </cell>
          <cell r="AE43">
            <v>0</v>
          </cell>
          <cell r="AF43">
            <v>0</v>
          </cell>
          <cell r="AG43">
            <v>0</v>
          </cell>
          <cell r="AH43">
            <v>0</v>
          </cell>
          <cell r="AI43">
            <v>0</v>
          </cell>
          <cell r="AK43">
            <v>0</v>
          </cell>
          <cell r="AL43">
            <v>0</v>
          </cell>
          <cell r="AM43">
            <v>0</v>
          </cell>
          <cell r="AN43">
            <v>0</v>
          </cell>
          <cell r="AO43">
            <v>0</v>
          </cell>
          <cell r="AP43">
            <v>0</v>
          </cell>
          <cell r="AV43">
            <v>0</v>
          </cell>
          <cell r="BH43">
            <v>0</v>
          </cell>
          <cell r="BI43">
            <v>0</v>
          </cell>
          <cell r="BJ43">
            <v>0</v>
          </cell>
          <cell r="BK43">
            <v>0</v>
          </cell>
          <cell r="BL43">
            <v>0</v>
          </cell>
          <cell r="BM43">
            <v>0</v>
          </cell>
          <cell r="BR43">
            <v>0</v>
          </cell>
          <cell r="BS43">
            <v>0</v>
          </cell>
        </row>
        <row r="44">
          <cell r="A44">
            <v>27</v>
          </cell>
          <cell r="B44" t="str">
            <v>5.3a</v>
          </cell>
          <cell r="C44" t="str">
            <v>Lapis Pondasi Agregat Kelas C</v>
          </cell>
          <cell r="F44" t="str">
            <v>m³</v>
          </cell>
          <cell r="G44">
            <v>0</v>
          </cell>
          <cell r="H44">
            <v>10432.799999999999</v>
          </cell>
          <cell r="I44">
            <v>209750</v>
          </cell>
          <cell r="J44">
            <v>2188279800</v>
          </cell>
          <cell r="K44">
            <v>9.7386706271396298E-2</v>
          </cell>
          <cell r="M44">
            <v>0</v>
          </cell>
          <cell r="N44">
            <v>7302.9599999999991</v>
          </cell>
          <cell r="O44">
            <v>7302.9599999999991</v>
          </cell>
          <cell r="P44">
            <v>0</v>
          </cell>
          <cell r="Q44">
            <v>1531795859.9999998</v>
          </cell>
          <cell r="R44">
            <v>1531795859.9999998</v>
          </cell>
          <cell r="AA44">
            <v>7302.9599999999991</v>
          </cell>
          <cell r="AC44">
            <v>0</v>
          </cell>
          <cell r="AD44">
            <v>0</v>
          </cell>
          <cell r="AE44">
            <v>0</v>
          </cell>
          <cell r="AF44">
            <v>0</v>
          </cell>
          <cell r="AG44">
            <v>0</v>
          </cell>
          <cell r="AH44">
            <v>0</v>
          </cell>
          <cell r="AI44">
            <v>0</v>
          </cell>
          <cell r="AK44">
            <v>0</v>
          </cell>
          <cell r="AL44">
            <v>0</v>
          </cell>
          <cell r="AM44">
            <v>0</v>
          </cell>
          <cell r="AN44">
            <v>0</v>
          </cell>
          <cell r="AO44">
            <v>0</v>
          </cell>
          <cell r="AP44">
            <v>0</v>
          </cell>
          <cell r="AV44">
            <v>0</v>
          </cell>
          <cell r="BH44">
            <v>0</v>
          </cell>
          <cell r="BI44">
            <v>0</v>
          </cell>
          <cell r="BJ44">
            <v>0</v>
          </cell>
          <cell r="BK44">
            <v>0</v>
          </cell>
          <cell r="BL44">
            <v>0</v>
          </cell>
          <cell r="BM44">
            <v>0</v>
          </cell>
          <cell r="BR44">
            <v>0</v>
          </cell>
          <cell r="BS44">
            <v>0</v>
          </cell>
        </row>
        <row r="45">
          <cell r="A45">
            <v>28</v>
          </cell>
          <cell r="B45">
            <v>0</v>
          </cell>
          <cell r="C45">
            <v>0</v>
          </cell>
          <cell r="F45">
            <v>0</v>
          </cell>
          <cell r="G45">
            <v>0</v>
          </cell>
          <cell r="H45">
            <v>0</v>
          </cell>
          <cell r="I45">
            <v>0</v>
          </cell>
          <cell r="J45">
            <v>0</v>
          </cell>
          <cell r="K45">
            <v>0</v>
          </cell>
          <cell r="M45">
            <v>0</v>
          </cell>
          <cell r="N45">
            <v>0</v>
          </cell>
          <cell r="O45">
            <v>0</v>
          </cell>
          <cell r="P45">
            <v>0</v>
          </cell>
          <cell r="Q45">
            <v>0</v>
          </cell>
          <cell r="R45">
            <v>0</v>
          </cell>
          <cell r="AC45">
            <v>0</v>
          </cell>
          <cell r="AD45">
            <v>0</v>
          </cell>
          <cell r="AE45">
            <v>0</v>
          </cell>
          <cell r="AF45">
            <v>0</v>
          </cell>
          <cell r="AG45">
            <v>0</v>
          </cell>
          <cell r="AH45">
            <v>0</v>
          </cell>
          <cell r="AI45">
            <v>0</v>
          </cell>
          <cell r="AK45">
            <v>0</v>
          </cell>
          <cell r="AL45">
            <v>0</v>
          </cell>
          <cell r="AM45">
            <v>0</v>
          </cell>
          <cell r="AN45">
            <v>0</v>
          </cell>
          <cell r="AO45">
            <v>0</v>
          </cell>
          <cell r="AP45">
            <v>0</v>
          </cell>
          <cell r="AV45">
            <v>0</v>
          </cell>
          <cell r="BH45">
            <v>0</v>
          </cell>
          <cell r="BI45">
            <v>0</v>
          </cell>
          <cell r="BJ45">
            <v>0</v>
          </cell>
          <cell r="BK45">
            <v>0</v>
          </cell>
          <cell r="BL45">
            <v>0</v>
          </cell>
          <cell r="BM45">
            <v>0</v>
          </cell>
          <cell r="BS45">
            <v>0</v>
          </cell>
        </row>
        <row r="46">
          <cell r="A46">
            <v>29</v>
          </cell>
          <cell r="B46" t="str">
            <v>VI</v>
          </cell>
          <cell r="C46" t="str">
            <v>PERKERASAN ASPAL</v>
          </cell>
          <cell r="F46">
            <v>0</v>
          </cell>
          <cell r="G46">
            <v>0</v>
          </cell>
          <cell r="H46">
            <v>0</v>
          </cell>
          <cell r="I46">
            <v>0</v>
          </cell>
          <cell r="J46">
            <v>0</v>
          </cell>
          <cell r="K46">
            <v>0</v>
          </cell>
          <cell r="M46">
            <v>0</v>
          </cell>
          <cell r="N46">
            <v>0</v>
          </cell>
          <cell r="O46">
            <v>0</v>
          </cell>
          <cell r="P46">
            <v>0</v>
          </cell>
          <cell r="Q46">
            <v>0</v>
          </cell>
          <cell r="R46">
            <v>0</v>
          </cell>
          <cell r="AC46">
            <v>0</v>
          </cell>
          <cell r="AD46">
            <v>0</v>
          </cell>
          <cell r="AE46">
            <v>0</v>
          </cell>
          <cell r="AF46">
            <v>0</v>
          </cell>
          <cell r="AG46">
            <v>0</v>
          </cell>
          <cell r="AH46">
            <v>0</v>
          </cell>
          <cell r="AI46">
            <v>0</v>
          </cell>
          <cell r="AK46">
            <v>5.8319999999999999</v>
          </cell>
          <cell r="AL46">
            <v>0</v>
          </cell>
          <cell r="AM46">
            <v>5.8319999999999999</v>
          </cell>
          <cell r="AN46">
            <v>0</v>
          </cell>
          <cell r="AO46">
            <v>0</v>
          </cell>
          <cell r="AP46">
            <v>0</v>
          </cell>
          <cell r="AV46">
            <v>5.8319999999999999</v>
          </cell>
          <cell r="BH46">
            <v>0</v>
          </cell>
          <cell r="BI46">
            <v>0</v>
          </cell>
          <cell r="BJ46">
            <v>0</v>
          </cell>
          <cell r="BK46">
            <v>0</v>
          </cell>
          <cell r="BL46">
            <v>0</v>
          </cell>
          <cell r="BM46">
            <v>0</v>
          </cell>
          <cell r="BS46">
            <v>3.8880000000000008</v>
          </cell>
        </row>
        <row r="47">
          <cell r="A47">
            <v>30</v>
          </cell>
          <cell r="B47">
            <v>6.1</v>
          </cell>
          <cell r="C47" t="str">
            <v>Lapis Resap Pengikat (prime coat)</v>
          </cell>
          <cell r="F47" t="str">
            <v>Ltr</v>
          </cell>
          <cell r="G47">
            <v>7200</v>
          </cell>
          <cell r="H47">
            <v>0</v>
          </cell>
          <cell r="I47">
            <v>10528.39</v>
          </cell>
          <cell r="J47">
            <v>0</v>
          </cell>
          <cell r="K47">
            <v>0</v>
          </cell>
          <cell r="M47">
            <v>0</v>
          </cell>
          <cell r="N47">
            <v>0</v>
          </cell>
          <cell r="O47">
            <v>0</v>
          </cell>
          <cell r="P47">
            <v>0</v>
          </cell>
          <cell r="Q47">
            <v>0</v>
          </cell>
          <cell r="R47">
            <v>0</v>
          </cell>
          <cell r="AC47">
            <v>0</v>
          </cell>
          <cell r="AD47">
            <v>0</v>
          </cell>
          <cell r="AE47">
            <v>0</v>
          </cell>
          <cell r="AF47">
            <v>0</v>
          </cell>
          <cell r="AG47">
            <v>0</v>
          </cell>
          <cell r="AH47">
            <v>0</v>
          </cell>
          <cell r="AI47">
            <v>0</v>
          </cell>
          <cell r="AK47">
            <v>762.57540000000006</v>
          </cell>
          <cell r="AL47">
            <v>0</v>
          </cell>
          <cell r="AM47">
            <v>762.57540000000006</v>
          </cell>
          <cell r="AN47">
            <v>8028691.2156060003</v>
          </cell>
          <cell r="AO47">
            <v>0</v>
          </cell>
          <cell r="AP47">
            <v>8028691.2156060003</v>
          </cell>
          <cell r="AV47">
            <v>762.57540000000006</v>
          </cell>
          <cell r="BH47">
            <v>0</v>
          </cell>
          <cell r="BI47">
            <v>0</v>
          </cell>
          <cell r="BJ47">
            <v>0</v>
          </cell>
          <cell r="BK47">
            <v>0</v>
          </cell>
          <cell r="BL47">
            <v>0</v>
          </cell>
          <cell r="BM47">
            <v>0</v>
          </cell>
          <cell r="BS47">
            <v>508.3836</v>
          </cell>
        </row>
        <row r="48">
          <cell r="A48">
            <v>31</v>
          </cell>
          <cell r="B48">
            <v>6.2</v>
          </cell>
          <cell r="C48" t="str">
            <v>Lataston - Lapis Pondasi (HRS - Base)</v>
          </cell>
          <cell r="F48" t="str">
            <v>m³</v>
          </cell>
          <cell r="G48">
            <v>450</v>
          </cell>
          <cell r="H48">
            <v>0</v>
          </cell>
          <cell r="I48">
            <v>1830134.25</v>
          </cell>
          <cell r="J48">
            <v>0</v>
          </cell>
          <cell r="K48">
            <v>0</v>
          </cell>
          <cell r="M48">
            <v>0</v>
          </cell>
          <cell r="N48">
            <v>0</v>
          </cell>
          <cell r="O48">
            <v>0</v>
          </cell>
          <cell r="P48">
            <v>0</v>
          </cell>
          <cell r="Q48">
            <v>0</v>
          </cell>
          <cell r="R48">
            <v>0</v>
          </cell>
          <cell r="AC48">
            <v>0</v>
          </cell>
          <cell r="AD48">
            <v>0</v>
          </cell>
          <cell r="AE48">
            <v>0</v>
          </cell>
          <cell r="AF48">
            <v>0</v>
          </cell>
          <cell r="AG48">
            <v>0</v>
          </cell>
          <cell r="AH48">
            <v>0</v>
          </cell>
          <cell r="AI48">
            <v>0</v>
          </cell>
          <cell r="AK48">
            <v>69.102000000000004</v>
          </cell>
          <cell r="AL48">
            <v>0</v>
          </cell>
          <cell r="AM48">
            <v>69.102000000000004</v>
          </cell>
          <cell r="AN48">
            <v>126465936.94350001</v>
          </cell>
          <cell r="AO48">
            <v>0</v>
          </cell>
          <cell r="AP48">
            <v>126465936.94350001</v>
          </cell>
          <cell r="AV48">
            <v>69.102000000000004</v>
          </cell>
          <cell r="BH48">
            <v>0</v>
          </cell>
          <cell r="BI48">
            <v>0</v>
          </cell>
          <cell r="BJ48">
            <v>0</v>
          </cell>
          <cell r="BK48">
            <v>0</v>
          </cell>
          <cell r="BL48">
            <v>0</v>
          </cell>
          <cell r="BM48">
            <v>0</v>
          </cell>
          <cell r="BS48">
            <v>46.067999999999998</v>
          </cell>
        </row>
        <row r="49">
          <cell r="A49">
            <v>32</v>
          </cell>
          <cell r="B49">
            <v>6.3</v>
          </cell>
          <cell r="C49" t="str">
            <v>Lapis Penetrasi Macadam</v>
          </cell>
          <cell r="F49" t="str">
            <v>m³</v>
          </cell>
          <cell r="G49">
            <v>2520</v>
          </cell>
          <cell r="H49">
            <v>846</v>
          </cell>
          <cell r="I49">
            <v>755367.84821887256</v>
          </cell>
          <cell r="J49">
            <v>639041199.59316623</v>
          </cell>
          <cell r="K49">
            <v>2.8439744131486484E-2</v>
          </cell>
          <cell r="M49">
            <v>0</v>
          </cell>
          <cell r="N49">
            <v>0</v>
          </cell>
          <cell r="O49">
            <v>0</v>
          </cell>
          <cell r="P49">
            <v>0</v>
          </cell>
          <cell r="Q49">
            <v>0</v>
          </cell>
          <cell r="R49">
            <v>0</v>
          </cell>
          <cell r="AC49">
            <v>0</v>
          </cell>
          <cell r="AD49">
            <v>0</v>
          </cell>
          <cell r="AE49">
            <v>0</v>
          </cell>
          <cell r="AF49">
            <v>0</v>
          </cell>
          <cell r="AG49">
            <v>0</v>
          </cell>
          <cell r="AH49">
            <v>0</v>
          </cell>
          <cell r="AI49">
            <v>0</v>
          </cell>
          <cell r="AK49">
            <v>0</v>
          </cell>
          <cell r="AL49">
            <v>0</v>
          </cell>
          <cell r="AM49">
            <v>0</v>
          </cell>
          <cell r="AN49">
            <v>0</v>
          </cell>
          <cell r="AO49">
            <v>0</v>
          </cell>
          <cell r="AP49">
            <v>0</v>
          </cell>
          <cell r="AV49">
            <v>0</v>
          </cell>
          <cell r="BH49">
            <v>0</v>
          </cell>
          <cell r="BI49">
            <v>0</v>
          </cell>
          <cell r="BJ49">
            <v>0</v>
          </cell>
          <cell r="BK49">
            <v>0</v>
          </cell>
          <cell r="BL49">
            <v>0</v>
          </cell>
          <cell r="BM49">
            <v>0</v>
          </cell>
          <cell r="BS49">
            <v>0</v>
          </cell>
        </row>
        <row r="50">
          <cell r="A50">
            <v>33</v>
          </cell>
          <cell r="B50">
            <v>0</v>
          </cell>
          <cell r="C50">
            <v>0</v>
          </cell>
          <cell r="F50">
            <v>0</v>
          </cell>
          <cell r="G50">
            <v>0</v>
          </cell>
          <cell r="H50">
            <v>0</v>
          </cell>
          <cell r="I50">
            <v>0</v>
          </cell>
          <cell r="J50">
            <v>0</v>
          </cell>
          <cell r="K50">
            <v>0</v>
          </cell>
          <cell r="M50">
            <v>0</v>
          </cell>
          <cell r="N50">
            <v>0</v>
          </cell>
          <cell r="O50">
            <v>0</v>
          </cell>
          <cell r="P50">
            <v>0</v>
          </cell>
          <cell r="Q50">
            <v>0</v>
          </cell>
          <cell r="R50">
            <v>0</v>
          </cell>
          <cell r="AC50">
            <v>0</v>
          </cell>
          <cell r="AD50">
            <v>0</v>
          </cell>
          <cell r="AE50">
            <v>0</v>
          </cell>
          <cell r="AF50">
            <v>0</v>
          </cell>
          <cell r="AG50">
            <v>0</v>
          </cell>
          <cell r="AH50">
            <v>0</v>
          </cell>
          <cell r="AI50">
            <v>0</v>
          </cell>
          <cell r="AK50">
            <v>0</v>
          </cell>
          <cell r="AL50">
            <v>0</v>
          </cell>
          <cell r="AM50">
            <v>0</v>
          </cell>
          <cell r="AN50">
            <v>0</v>
          </cell>
          <cell r="AO50">
            <v>0</v>
          </cell>
          <cell r="AP50">
            <v>0</v>
          </cell>
          <cell r="AV50">
            <v>0</v>
          </cell>
          <cell r="BH50">
            <v>0</v>
          </cell>
          <cell r="BI50">
            <v>0</v>
          </cell>
          <cell r="BJ50">
            <v>0</v>
          </cell>
          <cell r="BK50">
            <v>0</v>
          </cell>
          <cell r="BL50">
            <v>0</v>
          </cell>
          <cell r="BM50">
            <v>0</v>
          </cell>
          <cell r="BS50">
            <v>0</v>
          </cell>
        </row>
        <row r="51">
          <cell r="A51">
            <v>34</v>
          </cell>
          <cell r="B51" t="str">
            <v>VII</v>
          </cell>
          <cell r="C51" t="str">
            <v>STRUKTUR</v>
          </cell>
          <cell r="F51">
            <v>0</v>
          </cell>
          <cell r="G51">
            <v>0</v>
          </cell>
          <cell r="H51">
            <v>0</v>
          </cell>
          <cell r="I51">
            <v>0</v>
          </cell>
          <cell r="J51">
            <v>0</v>
          </cell>
          <cell r="K51">
            <v>0</v>
          </cell>
          <cell r="M51">
            <v>0</v>
          </cell>
          <cell r="N51">
            <v>0</v>
          </cell>
          <cell r="O51">
            <v>0</v>
          </cell>
          <cell r="P51">
            <v>0</v>
          </cell>
          <cell r="Q51">
            <v>0</v>
          </cell>
          <cell r="R51">
            <v>0</v>
          </cell>
          <cell r="AC51">
            <v>0</v>
          </cell>
          <cell r="AD51">
            <v>0</v>
          </cell>
          <cell r="AE51">
            <v>0</v>
          </cell>
          <cell r="AF51">
            <v>0</v>
          </cell>
          <cell r="AG51">
            <v>0</v>
          </cell>
          <cell r="AH51">
            <v>0</v>
          </cell>
          <cell r="AI51">
            <v>0</v>
          </cell>
          <cell r="AK51">
            <v>0</v>
          </cell>
          <cell r="AL51">
            <v>0</v>
          </cell>
          <cell r="AM51">
            <v>0</v>
          </cell>
          <cell r="AN51">
            <v>0</v>
          </cell>
          <cell r="AO51">
            <v>0</v>
          </cell>
          <cell r="AP51">
            <v>0</v>
          </cell>
          <cell r="AV51">
            <v>0</v>
          </cell>
          <cell r="BH51">
            <v>0</v>
          </cell>
          <cell r="BI51">
            <v>0</v>
          </cell>
          <cell r="BJ51">
            <v>0</v>
          </cell>
          <cell r="BK51">
            <v>0</v>
          </cell>
          <cell r="BL51">
            <v>0</v>
          </cell>
          <cell r="BM51">
            <v>0</v>
          </cell>
          <cell r="BS51">
            <v>0</v>
          </cell>
        </row>
        <row r="52">
          <cell r="A52">
            <v>35</v>
          </cell>
          <cell r="B52">
            <v>7.1</v>
          </cell>
          <cell r="C52" t="str">
            <v xml:space="preserve">Beton K 250 </v>
          </cell>
          <cell r="F52" t="str">
            <v>m³</v>
          </cell>
          <cell r="G52">
            <v>114.24</v>
          </cell>
          <cell r="H52">
            <v>125.66399999999999</v>
          </cell>
          <cell r="I52">
            <v>771104.55</v>
          </cell>
          <cell r="J52">
            <v>96900082.171199992</v>
          </cell>
          <cell r="K52">
            <v>4.312419207123705E-3</v>
          </cell>
          <cell r="M52">
            <v>114.24000000000001</v>
          </cell>
          <cell r="N52">
            <v>11.423999999999978</v>
          </cell>
          <cell r="O52">
            <v>125.66399999999999</v>
          </cell>
          <cell r="P52">
            <v>88090983.792000011</v>
          </cell>
          <cell r="Q52">
            <v>8809098.3791999836</v>
          </cell>
          <cell r="R52">
            <v>96900082.171199992</v>
          </cell>
          <cell r="V52">
            <v>0</v>
          </cell>
          <cell r="W52">
            <v>0</v>
          </cell>
          <cell r="X52">
            <v>0</v>
          </cell>
          <cell r="Y52">
            <v>39.712499999999999</v>
          </cell>
          <cell r="Z52">
            <v>74.527500000000003</v>
          </cell>
          <cell r="AA52">
            <v>11.423999999999978</v>
          </cell>
          <cell r="AC52">
            <v>0</v>
          </cell>
          <cell r="AD52">
            <v>0</v>
          </cell>
          <cell r="AE52">
            <v>0</v>
          </cell>
          <cell r="AF52">
            <v>0</v>
          </cell>
          <cell r="AG52">
            <v>0</v>
          </cell>
          <cell r="AH52">
            <v>0</v>
          </cell>
          <cell r="AI52">
            <v>0</v>
          </cell>
          <cell r="AK52">
            <v>0</v>
          </cell>
          <cell r="AL52">
            <v>0</v>
          </cell>
          <cell r="AM52">
            <v>0</v>
          </cell>
          <cell r="AN52">
            <v>0</v>
          </cell>
          <cell r="AO52">
            <v>0</v>
          </cell>
          <cell r="AP52">
            <v>0</v>
          </cell>
          <cell r="AV52">
            <v>0</v>
          </cell>
          <cell r="BH52">
            <v>0</v>
          </cell>
          <cell r="BI52">
            <v>0</v>
          </cell>
          <cell r="BJ52">
            <v>0</v>
          </cell>
          <cell r="BK52">
            <v>0</v>
          </cell>
          <cell r="BL52">
            <v>0</v>
          </cell>
          <cell r="BM52">
            <v>0</v>
          </cell>
          <cell r="BS52">
            <v>0</v>
          </cell>
        </row>
        <row r="53">
          <cell r="A53">
            <v>36</v>
          </cell>
          <cell r="B53" t="str">
            <v>7.1a</v>
          </cell>
          <cell r="C53" t="str">
            <v xml:space="preserve">Beton K 250 </v>
          </cell>
          <cell r="F53" t="str">
            <v>m³</v>
          </cell>
          <cell r="G53">
            <v>0</v>
          </cell>
          <cell r="H53">
            <v>86.041600000000003</v>
          </cell>
          <cell r="I53">
            <v>771000</v>
          </cell>
          <cell r="J53">
            <v>66338073.600000001</v>
          </cell>
          <cell r="K53">
            <v>2.9522945321222038E-3</v>
          </cell>
          <cell r="M53">
            <v>0</v>
          </cell>
          <cell r="N53">
            <v>0</v>
          </cell>
          <cell r="O53">
            <v>0</v>
          </cell>
          <cell r="P53">
            <v>0</v>
          </cell>
          <cell r="Q53">
            <v>0</v>
          </cell>
          <cell r="R53">
            <v>0</v>
          </cell>
          <cell r="AC53">
            <v>0</v>
          </cell>
          <cell r="AD53">
            <v>0</v>
          </cell>
          <cell r="AE53">
            <v>0</v>
          </cell>
          <cell r="AF53">
            <v>0</v>
          </cell>
          <cell r="AG53">
            <v>0</v>
          </cell>
          <cell r="AH53">
            <v>0</v>
          </cell>
          <cell r="AI53">
            <v>0</v>
          </cell>
          <cell r="AK53">
            <v>0</v>
          </cell>
          <cell r="AL53">
            <v>0</v>
          </cell>
          <cell r="AM53">
            <v>0</v>
          </cell>
          <cell r="AN53">
            <v>0</v>
          </cell>
          <cell r="AO53">
            <v>0</v>
          </cell>
          <cell r="AP53">
            <v>0</v>
          </cell>
          <cell r="AV53">
            <v>0</v>
          </cell>
          <cell r="BH53">
            <v>0</v>
          </cell>
          <cell r="BI53">
            <v>0</v>
          </cell>
          <cell r="BJ53">
            <v>0</v>
          </cell>
          <cell r="BK53">
            <v>0</v>
          </cell>
          <cell r="BL53">
            <v>0</v>
          </cell>
          <cell r="BM53">
            <v>0</v>
          </cell>
          <cell r="BS53">
            <v>0</v>
          </cell>
        </row>
        <row r="54">
          <cell r="A54">
            <v>37</v>
          </cell>
          <cell r="B54">
            <v>7.2</v>
          </cell>
          <cell r="C54" t="str">
            <v>Baja Tulangan U -24 Polos</v>
          </cell>
          <cell r="F54" t="str">
            <v>Kg</v>
          </cell>
          <cell r="G54">
            <v>14280</v>
          </cell>
          <cell r="H54">
            <v>15708</v>
          </cell>
          <cell r="I54">
            <v>16613.71</v>
          </cell>
          <cell r="J54">
            <v>260968156.67999998</v>
          </cell>
          <cell r="K54">
            <v>1.1614067461017959E-2</v>
          </cell>
          <cell r="M54">
            <v>14280</v>
          </cell>
          <cell r="N54">
            <v>1428</v>
          </cell>
          <cell r="O54">
            <v>15708</v>
          </cell>
          <cell r="P54">
            <v>237243778.79999998</v>
          </cell>
          <cell r="Q54">
            <v>23724377.879999999</v>
          </cell>
          <cell r="R54">
            <v>260968156.67999998</v>
          </cell>
          <cell r="V54">
            <v>0</v>
          </cell>
          <cell r="W54">
            <v>0</v>
          </cell>
          <cell r="X54">
            <v>0</v>
          </cell>
          <cell r="Y54">
            <v>13212.966</v>
          </cell>
          <cell r="Z54">
            <v>1067.0339999999997</v>
          </cell>
          <cell r="AA54">
            <v>1428</v>
          </cell>
          <cell r="AC54">
            <v>0</v>
          </cell>
          <cell r="AD54">
            <v>0</v>
          </cell>
          <cell r="AE54">
            <v>0</v>
          </cell>
          <cell r="AF54">
            <v>0</v>
          </cell>
          <cell r="AG54">
            <v>0</v>
          </cell>
          <cell r="AH54">
            <v>0</v>
          </cell>
          <cell r="AI54">
            <v>0</v>
          </cell>
          <cell r="AK54">
            <v>0</v>
          </cell>
          <cell r="AL54">
            <v>0</v>
          </cell>
          <cell r="AM54">
            <v>0</v>
          </cell>
          <cell r="AN54">
            <v>0</v>
          </cell>
          <cell r="AO54">
            <v>0</v>
          </cell>
          <cell r="AP54">
            <v>0</v>
          </cell>
          <cell r="AV54">
            <v>0</v>
          </cell>
          <cell r="BH54">
            <v>0</v>
          </cell>
          <cell r="BI54">
            <v>0</v>
          </cell>
          <cell r="BJ54">
            <v>0</v>
          </cell>
          <cell r="BK54">
            <v>0</v>
          </cell>
          <cell r="BL54">
            <v>0</v>
          </cell>
          <cell r="BM54">
            <v>0</v>
          </cell>
          <cell r="BS54">
            <v>0</v>
          </cell>
        </row>
        <row r="55">
          <cell r="A55">
            <v>38</v>
          </cell>
          <cell r="B55" t="str">
            <v>7.2a</v>
          </cell>
          <cell r="C55" t="str">
            <v>Baja Tulangan U -24 Polos</v>
          </cell>
          <cell r="F55" t="str">
            <v>Kg</v>
          </cell>
          <cell r="G55">
            <v>0</v>
          </cell>
          <cell r="H55">
            <v>8404.8300003725162</v>
          </cell>
          <cell r="I55">
            <v>14174.71</v>
          </cell>
          <cell r="J55">
            <v>119136027.8545803</v>
          </cell>
          <cell r="K55">
            <v>5.3020026739793056E-3</v>
          </cell>
          <cell r="M55">
            <v>0</v>
          </cell>
          <cell r="N55">
            <v>0</v>
          </cell>
          <cell r="O55">
            <v>0</v>
          </cell>
          <cell r="P55">
            <v>0</v>
          </cell>
          <cell r="Q55">
            <v>0</v>
          </cell>
          <cell r="R55">
            <v>0</v>
          </cell>
          <cell r="AC55">
            <v>0</v>
          </cell>
          <cell r="AD55">
            <v>0</v>
          </cell>
          <cell r="AE55">
            <v>0</v>
          </cell>
          <cell r="AF55">
            <v>0</v>
          </cell>
          <cell r="AG55">
            <v>0</v>
          </cell>
          <cell r="AH55">
            <v>0</v>
          </cell>
          <cell r="AI55">
            <v>0</v>
          </cell>
          <cell r="AK55">
            <v>0</v>
          </cell>
          <cell r="AL55">
            <v>0</v>
          </cell>
          <cell r="AM55">
            <v>0</v>
          </cell>
          <cell r="AN55">
            <v>0</v>
          </cell>
          <cell r="AO55">
            <v>0</v>
          </cell>
          <cell r="AP55">
            <v>0</v>
          </cell>
          <cell r="AV55">
            <v>0</v>
          </cell>
          <cell r="BH55">
            <v>0</v>
          </cell>
          <cell r="BI55">
            <v>0</v>
          </cell>
          <cell r="BJ55">
            <v>0</v>
          </cell>
          <cell r="BK55">
            <v>0</v>
          </cell>
          <cell r="BL55">
            <v>0</v>
          </cell>
          <cell r="BM55">
            <v>0</v>
          </cell>
          <cell r="BS55">
            <v>0</v>
          </cell>
        </row>
        <row r="56">
          <cell r="A56">
            <v>39</v>
          </cell>
          <cell r="B56">
            <v>7.3</v>
          </cell>
          <cell r="C56" t="str">
            <v>Pasangan Batu</v>
          </cell>
          <cell r="F56" t="str">
            <v>m³</v>
          </cell>
          <cell r="G56">
            <v>2000</v>
          </cell>
          <cell r="H56">
            <v>2200</v>
          </cell>
          <cell r="I56">
            <v>498368.81</v>
          </cell>
          <cell r="J56">
            <v>1096411382</v>
          </cell>
          <cell r="K56">
            <v>4.8794442653745503E-2</v>
          </cell>
          <cell r="M56">
            <v>2000</v>
          </cell>
          <cell r="N56">
            <v>200</v>
          </cell>
          <cell r="O56">
            <v>2200</v>
          </cell>
          <cell r="P56">
            <v>996737620</v>
          </cell>
          <cell r="Q56">
            <v>99673762</v>
          </cell>
          <cell r="R56">
            <v>1096411382</v>
          </cell>
          <cell r="V56">
            <v>0</v>
          </cell>
          <cell r="W56">
            <v>0</v>
          </cell>
          <cell r="X56">
            <v>0</v>
          </cell>
          <cell r="Y56">
            <v>1227.0525</v>
          </cell>
          <cell r="Z56">
            <v>772.94749999999999</v>
          </cell>
          <cell r="AA56">
            <v>200</v>
          </cell>
        </row>
        <row r="57">
          <cell r="A57">
            <v>40</v>
          </cell>
          <cell r="B57" t="str">
            <v>7.3a</v>
          </cell>
          <cell r="C57" t="str">
            <v>Pasangan Batu</v>
          </cell>
          <cell r="F57" t="str">
            <v>m³</v>
          </cell>
          <cell r="G57">
            <v>0</v>
          </cell>
          <cell r="H57">
            <v>275.58999999999997</v>
          </cell>
          <cell r="I57">
            <v>414951</v>
          </cell>
          <cell r="J57">
            <v>114356346.08999999</v>
          </cell>
          <cell r="K57">
            <v>5.0892888043553514E-3</v>
          </cell>
          <cell r="M57">
            <v>0</v>
          </cell>
          <cell r="N57">
            <v>275.58999999999997</v>
          </cell>
          <cell r="O57">
            <v>275.58999999999997</v>
          </cell>
          <cell r="P57">
            <v>0</v>
          </cell>
          <cell r="Q57">
            <v>114356346.08999999</v>
          </cell>
          <cell r="R57">
            <v>114356346.08999999</v>
          </cell>
          <cell r="AA57">
            <v>275.58999999999997</v>
          </cell>
        </row>
        <row r="58">
          <cell r="A58">
            <v>41</v>
          </cell>
          <cell r="B58">
            <v>7.4</v>
          </cell>
          <cell r="C58" t="str">
            <v xml:space="preserve">Bronjong </v>
          </cell>
          <cell r="F58" t="str">
            <v>m³</v>
          </cell>
          <cell r="G58">
            <v>900</v>
          </cell>
          <cell r="H58">
            <v>600</v>
          </cell>
          <cell r="I58">
            <v>512924.60169680539</v>
          </cell>
          <cell r="J58">
            <v>307754761.01808321</v>
          </cell>
          <cell r="K58">
            <v>1.3696247854086956E-2</v>
          </cell>
          <cell r="M58">
            <v>600</v>
          </cell>
          <cell r="N58">
            <v>0</v>
          </cell>
          <cell r="O58">
            <v>600</v>
          </cell>
          <cell r="P58">
            <v>307754761.01808321</v>
          </cell>
          <cell r="Q58">
            <v>0</v>
          </cell>
          <cell r="R58">
            <v>307754761.01808321</v>
          </cell>
          <cell r="V58">
            <v>0</v>
          </cell>
          <cell r="W58">
            <v>0</v>
          </cell>
          <cell r="X58">
            <v>0</v>
          </cell>
          <cell r="Y58">
            <v>0</v>
          </cell>
          <cell r="Z58">
            <v>600</v>
          </cell>
        </row>
        <row r="59">
          <cell r="A59">
            <v>42</v>
          </cell>
          <cell r="B59">
            <v>0</v>
          </cell>
          <cell r="C59">
            <v>0</v>
          </cell>
          <cell r="F59">
            <v>0</v>
          </cell>
          <cell r="G59">
            <v>0</v>
          </cell>
          <cell r="H59">
            <v>0</v>
          </cell>
          <cell r="I59">
            <v>0</v>
          </cell>
          <cell r="J59">
            <v>0</v>
          </cell>
          <cell r="K59">
            <v>0</v>
          </cell>
          <cell r="M59">
            <v>0</v>
          </cell>
          <cell r="N59">
            <v>0</v>
          </cell>
          <cell r="O59">
            <v>0</v>
          </cell>
          <cell r="P59">
            <v>0</v>
          </cell>
          <cell r="Q59">
            <v>0</v>
          </cell>
          <cell r="R59">
            <v>0</v>
          </cell>
        </row>
        <row r="60">
          <cell r="A60">
            <v>43</v>
          </cell>
          <cell r="B60" t="str">
            <v>VIII</v>
          </cell>
          <cell r="C60" t="str">
            <v>PENGEMBALIAN KONDISI DAN PEKERJAAN MINOR</v>
          </cell>
          <cell r="F60">
            <v>0</v>
          </cell>
          <cell r="G60">
            <v>0</v>
          </cell>
          <cell r="H60">
            <v>0</v>
          </cell>
          <cell r="I60">
            <v>0</v>
          </cell>
          <cell r="J60">
            <v>0</v>
          </cell>
          <cell r="K60">
            <v>0</v>
          </cell>
          <cell r="M60">
            <v>0</v>
          </cell>
          <cell r="N60">
            <v>0</v>
          </cell>
          <cell r="O60">
            <v>0</v>
          </cell>
          <cell r="P60">
            <v>0</v>
          </cell>
          <cell r="Q60">
            <v>0</v>
          </cell>
          <cell r="R60">
            <v>0</v>
          </cell>
        </row>
        <row r="61">
          <cell r="A61">
            <v>44</v>
          </cell>
          <cell r="B61">
            <v>8.1</v>
          </cell>
          <cell r="C61" t="str">
            <v>Marka Jalan Thermoplastik</v>
          </cell>
          <cell r="F61" t="str">
            <v>m²</v>
          </cell>
          <cell r="G61">
            <v>0</v>
          </cell>
          <cell r="H61">
            <v>0</v>
          </cell>
          <cell r="I61">
            <v>0</v>
          </cell>
          <cell r="J61">
            <v>0</v>
          </cell>
          <cell r="K61">
            <v>0</v>
          </cell>
          <cell r="M61">
            <v>0</v>
          </cell>
          <cell r="N61">
            <v>0</v>
          </cell>
          <cell r="O61">
            <v>0</v>
          </cell>
          <cell r="P61">
            <v>0</v>
          </cell>
          <cell r="Q61">
            <v>0</v>
          </cell>
          <cell r="R61">
            <v>0</v>
          </cell>
        </row>
        <row r="62">
          <cell r="A62">
            <v>45</v>
          </cell>
          <cell r="B62">
            <v>8.1999999999999993</v>
          </cell>
          <cell r="C62" t="str">
            <v>Rambu Jalan tunggal Dengan Permukaan Pemantul Engineering Grade</v>
          </cell>
          <cell r="F62" t="str">
            <v>Buah</v>
          </cell>
          <cell r="G62">
            <v>0</v>
          </cell>
          <cell r="H62">
            <v>0</v>
          </cell>
          <cell r="I62">
            <v>0</v>
          </cell>
          <cell r="J62">
            <v>0</v>
          </cell>
          <cell r="K62">
            <v>0</v>
          </cell>
          <cell r="M62">
            <v>0</v>
          </cell>
          <cell r="N62">
            <v>0</v>
          </cell>
          <cell r="O62">
            <v>0</v>
          </cell>
          <cell r="P62">
            <v>0</v>
          </cell>
          <cell r="Q62">
            <v>0</v>
          </cell>
          <cell r="R62">
            <v>0</v>
          </cell>
        </row>
        <row r="63">
          <cell r="A63">
            <v>46</v>
          </cell>
          <cell r="B63">
            <v>8.3000000000000007</v>
          </cell>
          <cell r="C63" t="str">
            <v>Patok Pengarah</v>
          </cell>
          <cell r="F63" t="str">
            <v>Buah</v>
          </cell>
          <cell r="G63">
            <v>1700</v>
          </cell>
          <cell r="H63">
            <v>1172</v>
          </cell>
          <cell r="I63">
            <v>152372.42000000001</v>
          </cell>
          <cell r="J63">
            <v>178580476.24000001</v>
          </cell>
          <cell r="K63">
            <v>7.9475048782111628E-3</v>
          </cell>
          <cell r="M63">
            <v>1172</v>
          </cell>
          <cell r="N63">
            <v>0</v>
          </cell>
          <cell r="O63">
            <v>1172</v>
          </cell>
          <cell r="P63">
            <v>178580476.24000001</v>
          </cell>
          <cell r="Q63">
            <v>0</v>
          </cell>
          <cell r="R63">
            <v>178580476.24000001</v>
          </cell>
          <cell r="V63">
            <v>0</v>
          </cell>
          <cell r="W63">
            <v>0</v>
          </cell>
          <cell r="X63">
            <v>0</v>
          </cell>
          <cell r="Y63">
            <v>0</v>
          </cell>
          <cell r="Z63">
            <v>1172</v>
          </cell>
        </row>
        <row r="64">
          <cell r="A64">
            <v>47</v>
          </cell>
          <cell r="B64">
            <v>8.4</v>
          </cell>
          <cell r="C64" t="str">
            <v>Patok Kilometer</v>
          </cell>
          <cell r="F64" t="str">
            <v>Buah</v>
          </cell>
          <cell r="G64">
            <v>18</v>
          </cell>
          <cell r="H64">
            <v>0</v>
          </cell>
          <cell r="I64">
            <v>383889.770565846</v>
          </cell>
          <cell r="J64">
            <v>0</v>
          </cell>
          <cell r="K64">
            <v>0</v>
          </cell>
          <cell r="M64">
            <v>0</v>
          </cell>
          <cell r="N64">
            <v>0</v>
          </cell>
          <cell r="O64">
            <v>0</v>
          </cell>
          <cell r="P64">
            <v>0</v>
          </cell>
          <cell r="Q64">
            <v>0</v>
          </cell>
          <cell r="R64">
            <v>0</v>
          </cell>
        </row>
        <row r="65">
          <cell r="B65" t="str">
            <v/>
          </cell>
          <cell r="C65" t="str">
            <v/>
          </cell>
          <cell r="F65" t="str">
            <v/>
          </cell>
          <cell r="G65" t="str">
            <v/>
          </cell>
          <cell r="H65" t="str">
            <v/>
          </cell>
          <cell r="I65" t="str">
            <v/>
          </cell>
          <cell r="K65">
            <v>0</v>
          </cell>
          <cell r="M65">
            <v>0</v>
          </cell>
          <cell r="N65">
            <v>0</v>
          </cell>
          <cell r="O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K65">
            <v>0</v>
          </cell>
          <cell r="AL65">
            <v>0</v>
          </cell>
          <cell r="AM65">
            <v>0</v>
          </cell>
          <cell r="AN65" t="e">
            <v>#VALUE!</v>
          </cell>
          <cell r="AO65" t="e">
            <v>#VALUE!</v>
          </cell>
          <cell r="AP65" t="e">
            <v>#VALUE!</v>
          </cell>
          <cell r="AV65">
            <v>0</v>
          </cell>
          <cell r="BH65">
            <v>0</v>
          </cell>
          <cell r="BI65">
            <v>0</v>
          </cell>
          <cell r="BJ65">
            <v>0</v>
          </cell>
          <cell r="BK65" t="e">
            <v>#VALUE!</v>
          </cell>
          <cell r="BL65" t="e">
            <v>#VALUE!</v>
          </cell>
          <cell r="BM65" t="e">
            <v>#VALUE!</v>
          </cell>
          <cell r="BS65">
            <v>0</v>
          </cell>
        </row>
        <row r="66">
          <cell r="B66" t="str">
            <v>JUMLAH BIAYA</v>
          </cell>
          <cell r="J66">
            <v>22470005237.693569</v>
          </cell>
          <cell r="K66">
            <v>1</v>
          </cell>
          <cell r="P66">
            <v>13617456549.56282</v>
          </cell>
          <cell r="Q66">
            <v>3360897590.1969986</v>
          </cell>
          <cell r="R66">
            <v>16978354139.759821</v>
          </cell>
        </row>
        <row r="67">
          <cell r="B67" t="str">
            <v>PPN 10 %</v>
          </cell>
          <cell r="J67">
            <v>2247000523.7693572</v>
          </cell>
          <cell r="P67">
            <v>1361745654.9562821</v>
          </cell>
          <cell r="Q67">
            <v>336089759.01969987</v>
          </cell>
          <cell r="R67">
            <v>1697835413.9759822</v>
          </cell>
        </row>
        <row r="68">
          <cell r="B68" t="str">
            <v>TOTAL</v>
          </cell>
          <cell r="J68">
            <v>24717005761.462925</v>
          </cell>
          <cell r="P68">
            <v>14979202204.519102</v>
          </cell>
          <cell r="Q68">
            <v>3696987349.2166986</v>
          </cell>
          <cell r="R68">
            <v>18676189553.735802</v>
          </cell>
        </row>
        <row r="69">
          <cell r="B69" t="str">
            <v>DIBULATKAN</v>
          </cell>
          <cell r="J69">
            <v>24717006000</v>
          </cell>
          <cell r="K69">
            <v>0</v>
          </cell>
          <cell r="P69">
            <v>14979202000</v>
          </cell>
          <cell r="Q69">
            <v>3696987000</v>
          </cell>
          <cell r="R69">
            <v>18676190000</v>
          </cell>
        </row>
        <row r="72">
          <cell r="D72" t="str">
            <v>Disetujui Oleh :</v>
          </cell>
          <cell r="J72" t="str">
            <v>Diperiksa Oleh :</v>
          </cell>
          <cell r="Q72" t="str">
            <v>Diajukan Oleh :</v>
          </cell>
        </row>
        <row r="73">
          <cell r="D73" t="str">
            <v>KEPALA SNVT PEMBAGUNAN</v>
          </cell>
          <cell r="J73" t="str">
            <v>KONSULTAN SUPERVISI</v>
          </cell>
          <cell r="Q73" t="str">
            <v>KONTRAKTOR</v>
          </cell>
        </row>
        <row r="74">
          <cell r="D74" t="str">
            <v>JALAN DAN JEMBATAN SUMBAWA</v>
          </cell>
          <cell r="J74" t="str">
            <v>PT. DIANTAMA REKANUSA</v>
          </cell>
          <cell r="Q74" t="str">
            <v>ADHI - METRO JO.</v>
          </cell>
        </row>
        <row r="81">
          <cell r="D81" t="str">
            <v>Ir. MADE DARMAWAN</v>
          </cell>
          <cell r="J81" t="str">
            <v>MANUNGKU KARYADI</v>
          </cell>
          <cell r="Q81" t="str">
            <v>MOERDIYONO, ST</v>
          </cell>
        </row>
        <row r="82">
          <cell r="D82" t="str">
            <v>NIP. 610007294</v>
          </cell>
          <cell r="J82" t="str">
            <v>CHIEF INSPECTOR</v>
          </cell>
          <cell r="Q82" t="str">
            <v>PROJECT MANAGER</v>
          </cell>
        </row>
      </sheetData>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Elektrikal"/>
      <sheetName val="Elektronik"/>
      <sheetName val="Mekanikal"/>
      <sheetName val="ES-aLL"/>
      <sheetName val="Analisa"/>
      <sheetName val="Bill sipil"/>
      <sheetName val="Sheet1"/>
      <sheetName val="REF.ONLY"/>
      <sheetName val="SAT-BHN"/>
      <sheetName val="UPAH"/>
      <sheetName val="TOWN"/>
      <sheetName val="price"/>
      <sheetName val="DAF-2"/>
      <sheetName val="Up &amp; bhn"/>
      <sheetName val="Str"/>
      <sheetName val="Rekap Biaya"/>
      <sheetName val="huruf"/>
      <sheetName val="H-BHN"/>
      <sheetName val="ANALISA PEK.UMUM"/>
      <sheetName val="SITE-E"/>
      <sheetName val="Bahan"/>
      <sheetName val="Anls"/>
      <sheetName val="Factor"/>
      <sheetName val="Currency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sat"/>
      <sheetName val="Analisa"/>
      <sheetName val="upah_harian"/>
      <sheetName val="upah_borong"/>
      <sheetName val="satuan_alat"/>
      <sheetName val="sewa_alat"/>
      <sheetName val="satuan_pek"/>
      <sheetName val="proposal"/>
      <sheetName val="Analisa STR"/>
      <sheetName val="Hargamat"/>
      <sheetName val="CH"/>
      <sheetName val="Als Struk"/>
      <sheetName val="Analisa Harga"/>
      <sheetName val="hs-str"/>
      <sheetName val="Summary"/>
      <sheetName val="MANHATTAN"/>
      <sheetName val="T.ABANG"/>
      <sheetName val="SENTUL"/>
      <sheetName val="SEMANAN"/>
      <sheetName val="ARTAGDING"/>
      <sheetName val="BKPM"/>
      <sheetName val="STRUKTUR"/>
      <sheetName val="ARSITEKTUR"/>
      <sheetName val="BHN"/>
      <sheetName val="FLAF&amp;PARTSI"/>
      <sheetName val="Manpower"/>
      <sheetName val="Equipt,Tools&amp;Cons"/>
      <sheetName val="Analisa Struktur Beton"/>
      <sheetName val="Sat~Bahu"/>
      <sheetName val="Daftar Harga"/>
      <sheetName val="Daftar Upah"/>
      <sheetName val="Harga Material"/>
      <sheetName val="chitimc"/>
      <sheetName val="dongia (2)"/>
      <sheetName val="LKVL-CK-HT-GD1"/>
      <sheetName val="giathanh1"/>
      <sheetName val="THPDMoi  (2)"/>
      <sheetName val="gtrinh"/>
      <sheetName val="phuluc1"/>
      <sheetName val="TONG HOP VL-NC"/>
      <sheetName val="lam-moi"/>
      <sheetName val="chitiet"/>
      <sheetName val="TONGKE3p "/>
      <sheetName val="TH VL, NC, DDHT Thanhphuoc"/>
      <sheetName val="#REF"/>
      <sheetName val="DONGIA"/>
      <sheetName val="thao-go"/>
      <sheetName val="DON GIA"/>
      <sheetName val="TONGKE-HT"/>
      <sheetName val="DG"/>
      <sheetName val="dtxl"/>
      <sheetName val="t-h HA THE"/>
      <sheetName val="CHITIET VL-NC-TT -1p"/>
      <sheetName val="TONG HOP VL-NC TT"/>
      <sheetName val="TNHCHINH"/>
      <sheetName val="TH XL"/>
      <sheetName val="CHITIET VL-NC"/>
      <sheetName val="VC"/>
      <sheetName val="Tiepdia"/>
      <sheetName val="CHITIET VL-NC-TT-3p"/>
      <sheetName val="TDTKP"/>
      <sheetName val="TDTKP1"/>
      <sheetName val="KPVC-BD "/>
      <sheetName val="VCV-BE-TONG"/>
      <sheetName val="HRG BTN"/>
      <sheetName val="CV2"/>
      <sheetName val="Upah-Baha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sat"/>
      <sheetName val="ana_str"/>
      <sheetName val="ana_ars"/>
      <sheetName val="resume"/>
      <sheetName val="upah"/>
      <sheetName val="upah_borong"/>
      <sheetName val="satuan_alat"/>
      <sheetName val="satuan_pek_str"/>
      <sheetName val="satuan_pek_ars"/>
      <sheetName val="dewatering"/>
      <sheetName val="Harga satuan"/>
      <sheetName val="BAG-III"/>
      <sheetName val="Rekap"/>
      <sheetName val="price"/>
      <sheetName val="Bahan"/>
      <sheetName val="Harga Satuan Bahan"/>
      <sheetName val="Daftar Harga Pekerjaan"/>
      <sheetName val="Upah Tenaga Kerja"/>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Elektrikal"/>
      <sheetName val="Elektronik"/>
      <sheetName val="AC"/>
      <sheetName val="Plumbing"/>
      <sheetName val="spek"/>
      <sheetName val="rekap.evals"/>
      <sheetName val="elec.evals"/>
      <sheetName val="elka.evals"/>
      <sheetName val="AC.evals"/>
      <sheetName val="Plum.eval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IBUSI"/>
      <sheetName val="GRAND TOTAL"/>
      <sheetName val="COV-PERSIAPAN"/>
      <sheetName val="PRELIMINARIES"/>
      <sheetName val="COV-STR"/>
      <sheetName val="STRUKTUR"/>
      <sheetName val="STRUKTUR (2)"/>
      <sheetName val="ARSITEKTUR"/>
      <sheetName val="COV-ARS"/>
      <sheetName val="ARSITEKTUR (2)"/>
      <sheetName val="SARANA LUAR"/>
      <sheetName val="COV-MEP"/>
      <sheetName val="MEP"/>
      <sheetName val="analisa"/>
      <sheetName val="Spek"/>
      <sheetName val="Pre-summary"/>
      <sheetName val="Pre-personnel"/>
      <sheetName val="Pre-equipment"/>
      <sheetName val="Dft-Upah"/>
      <sheetName val="H.Satuan"/>
      <sheetName val="satuan_pek_ars"/>
      <sheetName val="Elektrikal"/>
      <sheetName val="ANA-HRG"/>
      <sheetName val="Harsat Bahan"/>
      <sheetName val="Harsat Upah"/>
      <sheetName val="Analisa Harga"/>
      <sheetName val="Summary"/>
      <sheetName val="FLAF&amp;PARTSI"/>
      <sheetName val="Analisa STR"/>
      <sheetName val="hs-str"/>
      <sheetName val="Analisa &amp; Upah"/>
      <sheetName val="BAHAN"/>
      <sheetName val="REKAP_Akap"/>
      <sheetName val="atap"/>
      <sheetName val="Dashboard"/>
      <sheetName val="Koef"/>
      <sheetName val="Analisa  (2)"/>
      <sheetName val="Rekap Direct Cost"/>
      <sheetName val="Rekap"/>
      <sheetName val="HRG BHN"/>
      <sheetName val="Panel,feeder,elek"/>
      <sheetName val="BAG-2"/>
      <sheetName val="Anls"/>
      <sheetName val="Factor"/>
      <sheetName val="Currency Rate"/>
      <sheetName val="Harsat_marina"/>
      <sheetName val="TONG HOP VL-NC"/>
      <sheetName val="TH VL, NC, DDHT Thanhphuoc"/>
      <sheetName val="#REF"/>
      <sheetName val="chitiet"/>
      <sheetName val="DONGIA"/>
      <sheetName val="DON GIA"/>
      <sheetName val="VCV-BE-TONG"/>
      <sheetName val="CHITIET VL-NC"/>
      <sheetName val="CATU DAYA LISTRIK PLB"/>
      <sheetName val="PERALATAN UTAMA PK"/>
      <sheetName val="CATU DAYA LISTRIK PK"/>
      <sheetName val="PERALATAN &amp; KATUP2 PK"/>
      <sheetName val="PERALATAN &amp; KATUP2 PLB"/>
      <sheetName val="PERALATAN UTAMA PLB"/>
      <sheetName val="PEMIPAAN PK"/>
      <sheetName val="PEMIPAAN PLB"/>
      <sheetName val="BQ-Tenis"/>
      <sheetName val="Material"/>
      <sheetName val="BOQ_Aula"/>
      <sheetName val="Prelim"/>
      <sheetName val="duct"/>
      <sheetName val="Daftmat"/>
      <sheetName val="INDEKS"/>
      <sheetName val="JABATAN"/>
      <sheetName val="DATA"/>
      <sheetName val="Bill sipil"/>
      <sheetName val="ES-aLL"/>
      <sheetName val="BAG_2"/>
      <sheetName val="DAFTAR HARGA SATUAN MATERIAL"/>
      <sheetName val="harsat"/>
      <sheetName val="ANALISA HARGA SATUAN"/>
      <sheetName val="UPAH"/>
      <sheetName val="Ans Kom Precast"/>
      <sheetName val="PJ"/>
      <sheetName val="UPAH &amp; BHN"/>
      <sheetName val="REF.ONLY"/>
      <sheetName val="DAFTAR HARGA"/>
      <sheetName val="BQ-1A prelim"/>
      <sheetName val="DAF-1"/>
      <sheetName val="Rincian"/>
      <sheetName val="Sub"/>
      <sheetName val="An.Ars"/>
      <sheetName val="main summary"/>
      <sheetName val="A+Supl."/>
      <sheetName val="7"/>
      <sheetName val="작성기준"/>
      <sheetName val="Markup"/>
      <sheetName val="REQDELTA"/>
      <sheetName val="Cover Daf-2"/>
      <sheetName val="anal"/>
      <sheetName val="Daftar Harga Material"/>
      <sheetName val="FINISHING"/>
      <sheetName val="Hargamat"/>
      <sheetName val="HITUNG"/>
      <sheetName val="Pag_hal"/>
      <sheetName val="Daf 1"/>
      <sheetName val="HB "/>
      <sheetName val="FAKTOR"/>
      <sheetName val="Sheet3"/>
      <sheetName val="BQ-E20-02(Rp)"/>
      <sheetName val="DAF-5"/>
      <sheetName val="Sheet1"/>
      <sheetName val="rab - persiapan &amp; lantai-1"/>
      <sheetName val="Sum"/>
      <sheetName val="Alat"/>
      <sheetName val="Analisa Gabungan"/>
      <sheetName val="A"/>
      <sheetName val="PAD-F"/>
      <sheetName val="HARGA AT"/>
      <sheetName val="Harga Bahan &amp; Upah "/>
      <sheetName val="Contract-Data"/>
      <sheetName val="HASAT DASAR"/>
      <sheetName val="Rekapitulasi"/>
      <sheetName val="Total Load List"/>
      <sheetName val="8LT 12"/>
      <sheetName val="ISIAN"/>
      <sheetName val="Rab"/>
      <sheetName val="i"/>
      <sheetName val="Analisa ME "/>
      <sheetName val="TOWN"/>
      <sheetName val="PT."/>
      <sheetName val="Input"/>
      <sheetName val="Hsatbahan"/>
      <sheetName val="DAFTAR BESI KANAL C SIKU"/>
      <sheetName val="bhn"/>
      <sheetName val="BQ_E20_02_Rp_"/>
      <sheetName val="M.Pekerjaan"/>
      <sheetName val="PLUMBING"/>
      <sheetName val="Cover"/>
      <sheetName val="rumus"/>
      <sheetName val="Analisa HSP"/>
      <sheetName val="LS-Rutin"/>
      <sheetName val="6-AGREGAT"/>
      <sheetName val="pri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REKAP"/>
      <sheetName val="S-CURVE"/>
      <sheetName val="PERSIAPAN"/>
      <sheetName val="FINISHING"/>
      <sheetName val="LISTRIK"/>
      <sheetName val="REKAP ELEKTRIKAL"/>
      <sheetName val="STRUKTUR"/>
      <sheetName val="TELPON"/>
      <sheetName val="SOUND"/>
      <sheetName val="F-ALARM"/>
      <sheetName val="GENSET"/>
      <sheetName val="REKAP MEKANIKAL"/>
      <sheetName val="AC"/>
      <sheetName val="PLUMBING"/>
      <sheetName val="HYDRANT"/>
      <sheetName val="SARANA LUAR"/>
      <sheetName val="ARSITEKTUR"/>
      <sheetName val="Factor"/>
      <sheetName val="Currency Rate"/>
      <sheetName val="DAF-2"/>
      <sheetName val="ANALISA PEK.UMUM"/>
      <sheetName val="Elektrikal"/>
      <sheetName val="Analisa"/>
      <sheetName val="ch"/>
      <sheetName val="HRG BHN"/>
      <sheetName val="Anls"/>
    </sheetNames>
    <sheetDataSet>
      <sheetData sheetId="0"/>
      <sheetData sheetId="1"/>
      <sheetData sheetId="2"/>
      <sheetData sheetId="3"/>
      <sheetData sheetId="4" refreshError="1">
        <row r="60">
          <cell r="I60">
            <v>78229.718420899371</v>
          </cell>
        </row>
        <row r="61">
          <cell r="I61">
            <v>72009.618485292696</v>
          </cell>
        </row>
      </sheetData>
      <sheetData sheetId="5"/>
      <sheetData sheetId="6"/>
      <sheetData sheetId="7" refreshError="1">
        <row r="48">
          <cell r="O48">
            <v>1</v>
          </cell>
        </row>
        <row r="49">
          <cell r="O49">
            <v>1.1961730645397457</v>
          </cell>
        </row>
      </sheetData>
      <sheetData sheetId="8"/>
      <sheetData sheetId="9"/>
      <sheetData sheetId="10"/>
      <sheetData sheetId="11"/>
      <sheetData sheetId="12"/>
      <sheetData sheetId="13"/>
      <sheetData sheetId="14" refreshError="1">
        <row r="15">
          <cell r="F15" t="str">
            <v>Rp.</v>
          </cell>
          <cell r="G15">
            <v>167738262.8138938</v>
          </cell>
        </row>
        <row r="16">
          <cell r="F16" t="str">
            <v>Rp.</v>
          </cell>
          <cell r="G16">
            <v>44957078.80305969</v>
          </cell>
        </row>
        <row r="17">
          <cell r="F17" t="str">
            <v>Rp.</v>
          </cell>
          <cell r="G17">
            <v>23367449.547983695</v>
          </cell>
        </row>
        <row r="18">
          <cell r="F18" t="str">
            <v>Rp.</v>
          </cell>
          <cell r="G18">
            <v>82547156.634690896</v>
          </cell>
        </row>
        <row r="20">
          <cell r="F20" t="str">
            <v>Rp.</v>
          </cell>
          <cell r="G20">
            <v>214862586.71795183</v>
          </cell>
        </row>
        <row r="21">
          <cell r="F21" t="str">
            <v>Rp.</v>
          </cell>
          <cell r="G21">
            <v>19075069.748150669</v>
          </cell>
        </row>
        <row r="22">
          <cell r="F22" t="str">
            <v>Rp.</v>
          </cell>
          <cell r="G22">
            <v>31067265.983622465</v>
          </cell>
        </row>
        <row r="25">
          <cell r="G25">
            <v>583614870.24935305</v>
          </cell>
        </row>
        <row r="35">
          <cell r="F35" t="str">
            <v>HARGA SATUAN Rp.</v>
          </cell>
          <cell r="G35" t="str">
            <v>JUMLAH HARGA         Rp.</v>
          </cell>
        </row>
        <row r="46">
          <cell r="G46">
            <v>0</v>
          </cell>
        </row>
        <row r="47">
          <cell r="G47">
            <v>0</v>
          </cell>
        </row>
        <row r="48">
          <cell r="G48">
            <v>0</v>
          </cell>
        </row>
        <row r="49">
          <cell r="F49">
            <v>80861.299162886804</v>
          </cell>
          <cell r="G49">
            <v>404306.49581443402</v>
          </cell>
        </row>
        <row r="50">
          <cell r="F50">
            <v>62431.860757522947</v>
          </cell>
          <cell r="G50">
            <v>187295.58227256883</v>
          </cell>
        </row>
        <row r="51">
          <cell r="F51">
            <v>55771.569134165642</v>
          </cell>
          <cell r="G51">
            <v>167314.70740249692</v>
          </cell>
        </row>
        <row r="52">
          <cell r="F52">
            <v>47753.621082555728</v>
          </cell>
          <cell r="G52">
            <v>2865217.2649533437</v>
          </cell>
        </row>
        <row r="53">
          <cell r="F53">
            <v>29772.747576394271</v>
          </cell>
          <cell r="G53">
            <v>714545.94183346257</v>
          </cell>
        </row>
        <row r="54">
          <cell r="F54">
            <v>25712.936195346374</v>
          </cell>
          <cell r="G54">
            <v>668536.34107900574</v>
          </cell>
        </row>
        <row r="55">
          <cell r="G55">
            <v>0</v>
          </cell>
        </row>
        <row r="56">
          <cell r="F56">
            <v>745600</v>
          </cell>
          <cell r="G56">
            <v>745600</v>
          </cell>
        </row>
        <row r="57">
          <cell r="F57">
            <v>0</v>
          </cell>
        </row>
        <row r="58">
          <cell r="F58">
            <v>0</v>
          </cell>
          <cell r="G58">
            <v>0</v>
          </cell>
        </row>
        <row r="59">
          <cell r="F59">
            <v>0</v>
          </cell>
          <cell r="G59">
            <v>0</v>
          </cell>
        </row>
        <row r="60">
          <cell r="F60">
            <v>816029.26462901453</v>
          </cell>
          <cell r="G60">
            <v>2448087.7938870434</v>
          </cell>
        </row>
        <row r="61">
          <cell r="F61">
            <v>447607.96075077285</v>
          </cell>
          <cell r="G61">
            <v>447607.96075077285</v>
          </cell>
        </row>
        <row r="62">
          <cell r="F62">
            <v>1250000</v>
          </cell>
          <cell r="G62">
            <v>1250000</v>
          </cell>
        </row>
        <row r="63">
          <cell r="F63" t="str">
            <v>A1</v>
          </cell>
          <cell r="G63">
            <v>9898512.0879931282</v>
          </cell>
        </row>
        <row r="69">
          <cell r="G69">
            <v>0</v>
          </cell>
        </row>
        <row r="70">
          <cell r="G70">
            <v>0</v>
          </cell>
        </row>
        <row r="71">
          <cell r="G71">
            <v>0</v>
          </cell>
        </row>
        <row r="72">
          <cell r="F72">
            <v>80861.299162886804</v>
          </cell>
          <cell r="G72">
            <v>404306.49581443402</v>
          </cell>
        </row>
        <row r="73">
          <cell r="F73">
            <v>62431.860757522947</v>
          </cell>
          <cell r="G73">
            <v>187295.58227256883</v>
          </cell>
        </row>
        <row r="74">
          <cell r="F74">
            <v>55771.569134165642</v>
          </cell>
          <cell r="G74">
            <v>167314.70740249692</v>
          </cell>
        </row>
        <row r="75">
          <cell r="F75">
            <v>47753.621082555728</v>
          </cell>
          <cell r="G75">
            <v>2865217.2649533437</v>
          </cell>
        </row>
        <row r="76">
          <cell r="F76">
            <v>29772.747576394271</v>
          </cell>
          <cell r="G76">
            <v>714545.94183346257</v>
          </cell>
        </row>
        <row r="77">
          <cell r="F77">
            <v>25712.936195346374</v>
          </cell>
          <cell r="G77">
            <v>668536.34107900574</v>
          </cell>
        </row>
        <row r="78">
          <cell r="G78">
            <v>0</v>
          </cell>
        </row>
        <row r="79">
          <cell r="F79">
            <v>745600</v>
          </cell>
          <cell r="G79">
            <v>745600</v>
          </cell>
        </row>
        <row r="81">
          <cell r="G81">
            <v>0</v>
          </cell>
        </row>
        <row r="82">
          <cell r="G82">
            <v>0</v>
          </cell>
        </row>
        <row r="83">
          <cell r="F83">
            <v>816029.26462901453</v>
          </cell>
          <cell r="G83">
            <v>2448087.7938870434</v>
          </cell>
        </row>
        <row r="84">
          <cell r="F84">
            <v>447607.96075077285</v>
          </cell>
          <cell r="G84">
            <v>447607.96075077285</v>
          </cell>
        </row>
        <row r="85">
          <cell r="F85">
            <v>1250000</v>
          </cell>
          <cell r="G85">
            <v>1250000</v>
          </cell>
        </row>
        <row r="86">
          <cell r="F86" t="str">
            <v>A2</v>
          </cell>
          <cell r="G86">
            <v>9898512.0879931282</v>
          </cell>
        </row>
        <row r="95">
          <cell r="G95">
            <v>0</v>
          </cell>
        </row>
        <row r="96">
          <cell r="G96">
            <v>0</v>
          </cell>
        </row>
        <row r="97">
          <cell r="G97">
            <v>0</v>
          </cell>
        </row>
        <row r="98">
          <cell r="F98">
            <v>80861.299162886804</v>
          </cell>
          <cell r="G98">
            <v>161722.59832577361</v>
          </cell>
        </row>
        <row r="99">
          <cell r="F99">
            <v>62431.860757522947</v>
          </cell>
          <cell r="G99">
            <v>499454.88606018358</v>
          </cell>
        </row>
        <row r="100">
          <cell r="F100">
            <v>55771.569134165642</v>
          </cell>
          <cell r="G100">
            <v>1784690.2122933005</v>
          </cell>
        </row>
        <row r="101">
          <cell r="F101">
            <v>47753.621082555728</v>
          </cell>
          <cell r="G101">
            <v>191014.48433022291</v>
          </cell>
        </row>
        <row r="102">
          <cell r="F102">
            <v>29772.747576394271</v>
          </cell>
          <cell r="G102">
            <v>535909.45637509692</v>
          </cell>
        </row>
        <row r="103">
          <cell r="G103">
            <v>0</v>
          </cell>
        </row>
        <row r="104">
          <cell r="G104">
            <v>0</v>
          </cell>
        </row>
        <row r="105">
          <cell r="F105">
            <v>475918.74560768664</v>
          </cell>
          <cell r="G105">
            <v>475918.74560768664</v>
          </cell>
        </row>
        <row r="106">
          <cell r="G106">
            <v>0</v>
          </cell>
        </row>
        <row r="107">
          <cell r="G107">
            <v>0</v>
          </cell>
        </row>
        <row r="108">
          <cell r="F108">
            <v>816029.26462901453</v>
          </cell>
          <cell r="G108">
            <v>816029.26462901453</v>
          </cell>
        </row>
        <row r="109">
          <cell r="F109">
            <v>150000</v>
          </cell>
          <cell r="G109">
            <v>300000</v>
          </cell>
        </row>
        <row r="110">
          <cell r="F110">
            <v>447607.96075077285</v>
          </cell>
          <cell r="G110">
            <v>447607.96075077285</v>
          </cell>
        </row>
        <row r="111">
          <cell r="F111">
            <v>1250000</v>
          </cell>
          <cell r="G111">
            <v>2500000</v>
          </cell>
        </row>
        <row r="112">
          <cell r="F112" t="str">
            <v>A3</v>
          </cell>
          <cell r="G112">
            <v>7712347.6083720513</v>
          </cell>
        </row>
        <row r="116">
          <cell r="G116">
            <v>0</v>
          </cell>
        </row>
        <row r="117">
          <cell r="G117">
            <v>0</v>
          </cell>
        </row>
        <row r="118">
          <cell r="G118">
            <v>0</v>
          </cell>
        </row>
        <row r="119">
          <cell r="F119">
            <v>62431.860757522947</v>
          </cell>
          <cell r="G119">
            <v>2622138.1518159639</v>
          </cell>
        </row>
        <row r="120">
          <cell r="F120">
            <v>55771.569134165642</v>
          </cell>
          <cell r="G120">
            <v>9815796.1676131524</v>
          </cell>
        </row>
        <row r="121">
          <cell r="G121">
            <v>0</v>
          </cell>
        </row>
        <row r="122">
          <cell r="G122">
            <v>0</v>
          </cell>
        </row>
        <row r="123">
          <cell r="F123">
            <v>1865690.1479143675</v>
          </cell>
          <cell r="G123">
            <v>1865690.1479143675</v>
          </cell>
        </row>
        <row r="124">
          <cell r="G124">
            <v>0</v>
          </cell>
        </row>
        <row r="125">
          <cell r="G125">
            <v>0</v>
          </cell>
        </row>
        <row r="126">
          <cell r="F126">
            <v>816029.26462901453</v>
          </cell>
          <cell r="G126">
            <v>816029.26462901453</v>
          </cell>
        </row>
        <row r="127">
          <cell r="F127">
            <v>1250000</v>
          </cell>
          <cell r="G127">
            <v>2500000</v>
          </cell>
        </row>
        <row r="128">
          <cell r="F128" t="str">
            <v>A4</v>
          </cell>
          <cell r="G128">
            <v>17619653.731972497</v>
          </cell>
        </row>
        <row r="138">
          <cell r="G138">
            <v>0</v>
          </cell>
        </row>
        <row r="139">
          <cell r="G139">
            <v>0</v>
          </cell>
        </row>
        <row r="140">
          <cell r="G140">
            <v>0</v>
          </cell>
        </row>
        <row r="141">
          <cell r="F141">
            <v>241780.06918928973</v>
          </cell>
          <cell r="G141">
            <v>725340.20756786922</v>
          </cell>
        </row>
        <row r="142">
          <cell r="F142">
            <v>160915.18150720929</v>
          </cell>
          <cell r="G142">
            <v>321830.36301441857</v>
          </cell>
        </row>
        <row r="143">
          <cell r="F143">
            <v>115470.17443921528</v>
          </cell>
          <cell r="G143">
            <v>6235389.4197176248</v>
          </cell>
        </row>
        <row r="144">
          <cell r="F144">
            <v>90099.343740327269</v>
          </cell>
          <cell r="G144">
            <v>5946556.6868615998</v>
          </cell>
        </row>
        <row r="145">
          <cell r="F145">
            <v>62431.860757522947</v>
          </cell>
          <cell r="G145">
            <v>499454.88606018358</v>
          </cell>
        </row>
        <row r="149">
          <cell r="F149">
            <v>2059285.7344832541</v>
          </cell>
          <cell r="G149">
            <v>2059285.7344832541</v>
          </cell>
        </row>
        <row r="157">
          <cell r="F157">
            <v>2628141.7444268889</v>
          </cell>
          <cell r="G157">
            <v>5256283.4888537778</v>
          </cell>
        </row>
        <row r="158">
          <cell r="F158">
            <v>1752094.4962845924</v>
          </cell>
          <cell r="G158">
            <v>5256283.4888537768</v>
          </cell>
        </row>
        <row r="159">
          <cell r="F159">
            <v>1168062.9975230617</v>
          </cell>
          <cell r="G159">
            <v>2336125.9950461234</v>
          </cell>
        </row>
        <row r="160">
          <cell r="F160">
            <v>318690.40872000175</v>
          </cell>
          <cell r="G160">
            <v>318690.40872000175</v>
          </cell>
        </row>
        <row r="161">
          <cell r="F161">
            <v>318690.40872000175</v>
          </cell>
          <cell r="G161">
            <v>637380.81744000351</v>
          </cell>
        </row>
        <row r="162">
          <cell r="F162">
            <v>1271962.589908984</v>
          </cell>
          <cell r="G162">
            <v>2543925.179817968</v>
          </cell>
        </row>
        <row r="163">
          <cell r="F163">
            <v>117843.11804038858</v>
          </cell>
          <cell r="G163">
            <v>117843.11804038858</v>
          </cell>
        </row>
        <row r="164">
          <cell r="F164">
            <v>0</v>
          </cell>
          <cell r="G164">
            <v>0</v>
          </cell>
        </row>
        <row r="165">
          <cell r="F165">
            <v>999341.59059666598</v>
          </cell>
          <cell r="G165">
            <v>1998683.181193332</v>
          </cell>
        </row>
        <row r="166">
          <cell r="G166">
            <v>0</v>
          </cell>
        </row>
        <row r="167">
          <cell r="G167">
            <v>0</v>
          </cell>
        </row>
        <row r="168">
          <cell r="F168">
            <v>7775124.9195083473</v>
          </cell>
          <cell r="G168">
            <v>7775124.9195083473</v>
          </cell>
        </row>
        <row r="169">
          <cell r="G169">
            <v>0</v>
          </cell>
        </row>
        <row r="170">
          <cell r="G170">
            <v>0</v>
          </cell>
        </row>
        <row r="171">
          <cell r="G171">
            <v>0</v>
          </cell>
        </row>
        <row r="172">
          <cell r="G172">
            <v>0</v>
          </cell>
        </row>
        <row r="173">
          <cell r="G173">
            <v>0</v>
          </cell>
        </row>
        <row r="174">
          <cell r="G174">
            <v>0</v>
          </cell>
        </row>
        <row r="175">
          <cell r="G175">
            <v>0</v>
          </cell>
        </row>
        <row r="176">
          <cell r="G176">
            <v>0</v>
          </cell>
        </row>
        <row r="177">
          <cell r="F177">
            <v>71609741.418336242</v>
          </cell>
          <cell r="G177">
            <v>71609741.418336242</v>
          </cell>
        </row>
        <row r="178">
          <cell r="G178">
            <v>0</v>
          </cell>
        </row>
        <row r="179">
          <cell r="G179">
            <v>0</v>
          </cell>
        </row>
        <row r="180">
          <cell r="G180">
            <v>0</v>
          </cell>
        </row>
        <row r="181">
          <cell r="G181">
            <v>0</v>
          </cell>
        </row>
        <row r="182">
          <cell r="G182">
            <v>0</v>
          </cell>
        </row>
        <row r="183">
          <cell r="G183">
            <v>0</v>
          </cell>
        </row>
        <row r="184">
          <cell r="G184">
            <v>0</v>
          </cell>
        </row>
        <row r="185">
          <cell r="G185">
            <v>0</v>
          </cell>
        </row>
        <row r="186">
          <cell r="G186">
            <v>0</v>
          </cell>
        </row>
        <row r="187">
          <cell r="G187">
            <v>0</v>
          </cell>
        </row>
        <row r="188">
          <cell r="G188">
            <v>0</v>
          </cell>
        </row>
        <row r="189">
          <cell r="G189">
            <v>0</v>
          </cell>
        </row>
        <row r="190">
          <cell r="G190">
            <v>0</v>
          </cell>
        </row>
        <row r="191">
          <cell r="G191">
            <v>0</v>
          </cell>
        </row>
        <row r="192">
          <cell r="G192">
            <v>0</v>
          </cell>
        </row>
        <row r="193">
          <cell r="G193">
            <v>0</v>
          </cell>
        </row>
        <row r="194">
          <cell r="G194">
            <v>0</v>
          </cell>
        </row>
        <row r="195">
          <cell r="G195">
            <v>0</v>
          </cell>
        </row>
        <row r="196">
          <cell r="F196">
            <v>2990432.6613493641</v>
          </cell>
          <cell r="G196">
            <v>2990432.6613493641</v>
          </cell>
        </row>
        <row r="197">
          <cell r="F197" t="str">
            <v>A4</v>
          </cell>
          <cell r="G197">
            <v>116628371.97486429</v>
          </cell>
        </row>
        <row r="202">
          <cell r="F202">
            <v>5980865.3226987282</v>
          </cell>
          <cell r="G202">
            <v>5980865.3226987282</v>
          </cell>
        </row>
        <row r="203">
          <cell r="F203" t="str">
            <v>A5</v>
          </cell>
          <cell r="G203">
            <v>5980865.3226987282</v>
          </cell>
        </row>
        <row r="205">
          <cell r="F205" t="str">
            <v>A</v>
          </cell>
          <cell r="G205">
            <v>167738262.8138938</v>
          </cell>
        </row>
        <row r="216">
          <cell r="G216">
            <v>0</v>
          </cell>
        </row>
        <row r="217">
          <cell r="G217">
            <v>0</v>
          </cell>
        </row>
        <row r="218">
          <cell r="G218">
            <v>0</v>
          </cell>
        </row>
        <row r="219">
          <cell r="F219">
            <v>106236.91455403298</v>
          </cell>
          <cell r="G219">
            <v>1062369.1455403299</v>
          </cell>
        </row>
        <row r="220">
          <cell r="F220">
            <v>58706.977834546182</v>
          </cell>
          <cell r="G220">
            <v>3522418.6700727707</v>
          </cell>
        </row>
        <row r="221">
          <cell r="F221">
            <v>44010.79556361086</v>
          </cell>
          <cell r="G221">
            <v>1584388.6402899909</v>
          </cell>
        </row>
        <row r="222">
          <cell r="F222">
            <v>31583.753596107446</v>
          </cell>
          <cell r="G222">
            <v>1263350.1438442979</v>
          </cell>
        </row>
        <row r="223">
          <cell r="F223">
            <v>22279.919500117303</v>
          </cell>
          <cell r="G223">
            <v>1158555.8140060997</v>
          </cell>
        </row>
        <row r="224">
          <cell r="F224">
            <v>21278.722645097536</v>
          </cell>
          <cell r="G224">
            <v>425574.45290195069</v>
          </cell>
        </row>
        <row r="225">
          <cell r="G225">
            <v>0</v>
          </cell>
        </row>
        <row r="226">
          <cell r="G226">
            <v>0</v>
          </cell>
        </row>
        <row r="227">
          <cell r="F227">
            <v>2254164.2166638598</v>
          </cell>
          <cell r="G227">
            <v>2254164.2166638598</v>
          </cell>
        </row>
        <row r="228">
          <cell r="G228">
            <v>0</v>
          </cell>
        </row>
        <row r="229">
          <cell r="G229">
            <v>0</v>
          </cell>
        </row>
        <row r="230">
          <cell r="G230">
            <v>0</v>
          </cell>
        </row>
        <row r="231">
          <cell r="F231">
            <v>33492.845807112877</v>
          </cell>
          <cell r="G231">
            <v>368421.30387824163</v>
          </cell>
        </row>
        <row r="232">
          <cell r="F232">
            <v>53827.787904288554</v>
          </cell>
          <cell r="G232">
            <v>107655.57580857711</v>
          </cell>
        </row>
        <row r="233">
          <cell r="F233">
            <v>43062.230323430842</v>
          </cell>
          <cell r="G233">
            <v>86124.460646861684</v>
          </cell>
        </row>
        <row r="234">
          <cell r="G234">
            <v>0</v>
          </cell>
        </row>
        <row r="235">
          <cell r="G235">
            <v>0</v>
          </cell>
        </row>
        <row r="236">
          <cell r="F236">
            <v>145068.04151357384</v>
          </cell>
          <cell r="G236">
            <v>1740816.4981628861</v>
          </cell>
        </row>
        <row r="237">
          <cell r="F237">
            <v>96549.108904325563</v>
          </cell>
          <cell r="G237">
            <v>1448236.6335648834</v>
          </cell>
        </row>
        <row r="238">
          <cell r="F238">
            <v>69282.104663529157</v>
          </cell>
          <cell r="G238">
            <v>346410.52331764577</v>
          </cell>
        </row>
        <row r="239">
          <cell r="F239" t="str">
            <v>B1</v>
          </cell>
          <cell r="G239">
            <v>15368486.078698397</v>
          </cell>
        </row>
        <row r="245">
          <cell r="G245">
            <v>0</v>
          </cell>
        </row>
        <row r="246">
          <cell r="G246">
            <v>0</v>
          </cell>
        </row>
        <row r="247">
          <cell r="G247">
            <v>0</v>
          </cell>
        </row>
        <row r="248">
          <cell r="F248">
            <v>106236.91455403298</v>
          </cell>
          <cell r="G248">
            <v>637421.48732419789</v>
          </cell>
        </row>
        <row r="249">
          <cell r="F249">
            <v>58706.977834546182</v>
          </cell>
          <cell r="G249">
            <v>1291553.5123600159</v>
          </cell>
        </row>
        <row r="250">
          <cell r="F250">
            <v>44010.79556361086</v>
          </cell>
          <cell r="G250">
            <v>704172.72901777376</v>
          </cell>
        </row>
        <row r="251">
          <cell r="F251">
            <v>37900.504315328937</v>
          </cell>
          <cell r="G251">
            <v>151602.01726131575</v>
          </cell>
        </row>
        <row r="252">
          <cell r="F252">
            <v>31583.753596107446</v>
          </cell>
          <cell r="G252">
            <v>1831857.7085742319</v>
          </cell>
        </row>
        <row r="253">
          <cell r="F253">
            <v>22279.919500117303</v>
          </cell>
          <cell r="G253">
            <v>1158555.8140060997</v>
          </cell>
        </row>
        <row r="254">
          <cell r="F254">
            <v>21278.722645097536</v>
          </cell>
          <cell r="G254">
            <v>212787.22645097534</v>
          </cell>
        </row>
        <row r="255">
          <cell r="G255">
            <v>0</v>
          </cell>
        </row>
        <row r="256">
          <cell r="G256">
            <v>0</v>
          </cell>
        </row>
        <row r="257">
          <cell r="F257">
            <v>1337632.251917603</v>
          </cell>
          <cell r="G257">
            <v>1337632.251917603</v>
          </cell>
        </row>
        <row r="258">
          <cell r="G258">
            <v>0</v>
          </cell>
        </row>
        <row r="259">
          <cell r="G259">
            <v>0</v>
          </cell>
        </row>
        <row r="260">
          <cell r="G260">
            <v>0</v>
          </cell>
        </row>
        <row r="261">
          <cell r="F261">
            <v>33492.845807112877</v>
          </cell>
          <cell r="G261">
            <v>368421.30387824163</v>
          </cell>
        </row>
        <row r="262">
          <cell r="F262">
            <v>81339.768388702709</v>
          </cell>
          <cell r="G262">
            <v>81339.768388702709</v>
          </cell>
        </row>
        <row r="263">
          <cell r="F263">
            <v>43062.230323430842</v>
          </cell>
          <cell r="G263">
            <v>86124.460646861684</v>
          </cell>
        </row>
        <row r="264">
          <cell r="G264">
            <v>0</v>
          </cell>
        </row>
        <row r="265">
          <cell r="G265">
            <v>0</v>
          </cell>
        </row>
        <row r="266">
          <cell r="F266">
            <v>145068.04151357384</v>
          </cell>
          <cell r="G266">
            <v>1595748.4566493123</v>
          </cell>
        </row>
        <row r="267">
          <cell r="F267">
            <v>96549.108904325563</v>
          </cell>
          <cell r="G267">
            <v>1448236.6335648834</v>
          </cell>
        </row>
        <row r="268">
          <cell r="F268">
            <v>69282.104663529157</v>
          </cell>
          <cell r="G268">
            <v>415692.62798117497</v>
          </cell>
        </row>
        <row r="269">
          <cell r="F269" t="str">
            <v>B2</v>
          </cell>
          <cell r="G269">
            <v>11321145.998021388</v>
          </cell>
        </row>
        <row r="273">
          <cell r="G273">
            <v>0</v>
          </cell>
        </row>
        <row r="274">
          <cell r="G274">
            <v>0</v>
          </cell>
        </row>
        <row r="276">
          <cell r="F276">
            <v>58706.977834546182</v>
          </cell>
          <cell r="G276">
            <v>3874660.5370800481</v>
          </cell>
        </row>
        <row r="277">
          <cell r="F277">
            <v>44010.79556361086</v>
          </cell>
          <cell r="G277">
            <v>704172.72901777376</v>
          </cell>
        </row>
        <row r="278">
          <cell r="F278">
            <v>31583.753596107446</v>
          </cell>
          <cell r="G278">
            <v>505340.05753771914</v>
          </cell>
        </row>
        <row r="279">
          <cell r="F279">
            <v>22279.919500117303</v>
          </cell>
          <cell r="G279">
            <v>178239.35600093842</v>
          </cell>
        </row>
        <row r="280">
          <cell r="G280">
            <v>0</v>
          </cell>
        </row>
        <row r="281">
          <cell r="G281">
            <v>0</v>
          </cell>
        </row>
        <row r="282">
          <cell r="F282">
            <v>1315603.1699091198</v>
          </cell>
          <cell r="G282">
            <v>1315603.1699091198</v>
          </cell>
        </row>
        <row r="286">
          <cell r="F286">
            <v>33492.845807112877</v>
          </cell>
          <cell r="G286">
            <v>334928.45807112876</v>
          </cell>
        </row>
        <row r="287">
          <cell r="F287">
            <v>53827.787904288554</v>
          </cell>
          <cell r="G287">
            <v>53827.787904288554</v>
          </cell>
        </row>
        <row r="288">
          <cell r="F288">
            <v>43062.230323430842</v>
          </cell>
          <cell r="G288">
            <v>43062.230323430842</v>
          </cell>
        </row>
        <row r="289">
          <cell r="F289">
            <v>38000</v>
          </cell>
          <cell r="G289">
            <v>38000</v>
          </cell>
        </row>
        <row r="290">
          <cell r="F290">
            <v>52000</v>
          </cell>
          <cell r="G290">
            <v>52000</v>
          </cell>
        </row>
        <row r="291">
          <cell r="G291">
            <v>0</v>
          </cell>
        </row>
        <row r="292">
          <cell r="G292">
            <v>0</v>
          </cell>
        </row>
        <row r="293">
          <cell r="F293">
            <v>145068.04151357384</v>
          </cell>
          <cell r="G293">
            <v>725340.20756786922</v>
          </cell>
        </row>
        <row r="294">
          <cell r="F294">
            <v>96549.108904325563</v>
          </cell>
          <cell r="G294">
            <v>965491.08904325566</v>
          </cell>
        </row>
        <row r="295">
          <cell r="F295">
            <v>69282.104663529157</v>
          </cell>
          <cell r="G295">
            <v>138564.20932705831</v>
          </cell>
        </row>
        <row r="296">
          <cell r="F296" t="str">
            <v>B3</v>
          </cell>
          <cell r="G296">
            <v>8929229.8317826316</v>
          </cell>
        </row>
        <row r="300">
          <cell r="G300">
            <v>0</v>
          </cell>
        </row>
        <row r="301">
          <cell r="G301">
            <v>0</v>
          </cell>
        </row>
        <row r="303">
          <cell r="F303">
            <v>106236.91455403298</v>
          </cell>
          <cell r="G303">
            <v>2124738.2910806597</v>
          </cell>
        </row>
        <row r="304">
          <cell r="F304">
            <v>58706.977834546182</v>
          </cell>
          <cell r="G304">
            <v>704483.73401455418</v>
          </cell>
        </row>
        <row r="305">
          <cell r="F305">
            <v>44010.79556361086</v>
          </cell>
          <cell r="G305">
            <v>528129.54676333035</v>
          </cell>
        </row>
        <row r="306">
          <cell r="G306">
            <v>0</v>
          </cell>
        </row>
        <row r="307">
          <cell r="G307">
            <v>0</v>
          </cell>
        </row>
        <row r="308">
          <cell r="G308">
            <v>0</v>
          </cell>
        </row>
        <row r="309">
          <cell r="F309" t="str">
            <v>B4</v>
          </cell>
          <cell r="G309">
            <v>3357351.5718585444</v>
          </cell>
        </row>
        <row r="314">
          <cell r="F314">
            <v>5980865.3226987282</v>
          </cell>
          <cell r="G314">
            <v>5980865.3226987282</v>
          </cell>
        </row>
        <row r="315">
          <cell r="F315" t="str">
            <v>B5</v>
          </cell>
          <cell r="G315">
            <v>5980865.3226987282</v>
          </cell>
        </row>
        <row r="317">
          <cell r="F317" t="str">
            <v>B</v>
          </cell>
          <cell r="G317">
            <v>44957078.80305969</v>
          </cell>
        </row>
        <row r="329">
          <cell r="F329">
            <v>115470.17443921528</v>
          </cell>
          <cell r="G329">
            <v>12701719.18831368</v>
          </cell>
        </row>
        <row r="330">
          <cell r="G330">
            <v>0</v>
          </cell>
        </row>
        <row r="331">
          <cell r="F331">
            <v>1905257.878247052</v>
          </cell>
          <cell r="G331">
            <v>1905257.878247052</v>
          </cell>
        </row>
        <row r="332">
          <cell r="G332">
            <v>0</v>
          </cell>
        </row>
        <row r="333">
          <cell r="G333">
            <v>0</v>
          </cell>
        </row>
        <row r="334">
          <cell r="F334">
            <v>1752094.4962845924</v>
          </cell>
          <cell r="G334">
            <v>5256283.4888537768</v>
          </cell>
        </row>
        <row r="335">
          <cell r="F335">
            <v>1752094.4962845924</v>
          </cell>
          <cell r="G335">
            <v>3504188.9925691849</v>
          </cell>
        </row>
        <row r="336">
          <cell r="G336">
            <v>0</v>
          </cell>
        </row>
        <row r="337">
          <cell r="G337">
            <v>0</v>
          </cell>
        </row>
        <row r="339">
          <cell r="G339">
            <v>0</v>
          </cell>
        </row>
        <row r="340">
          <cell r="F340" t="str">
            <v>C</v>
          </cell>
          <cell r="G340">
            <v>23367449.547983695</v>
          </cell>
        </row>
        <row r="351">
          <cell r="F351">
            <v>190915.18150720929</v>
          </cell>
          <cell r="G351">
            <v>2863727.7226081393</v>
          </cell>
        </row>
        <row r="352">
          <cell r="F352">
            <v>145470.17443921528</v>
          </cell>
          <cell r="G352">
            <v>145470.17443921528</v>
          </cell>
        </row>
        <row r="353">
          <cell r="G353">
            <v>0</v>
          </cell>
        </row>
        <row r="354">
          <cell r="F354">
            <v>451379.68455710314</v>
          </cell>
          <cell r="G354">
            <v>451379.68455710314</v>
          </cell>
        </row>
        <row r="355">
          <cell r="G355">
            <v>0</v>
          </cell>
        </row>
        <row r="356">
          <cell r="G356">
            <v>0</v>
          </cell>
        </row>
        <row r="357">
          <cell r="G357">
            <v>0</v>
          </cell>
        </row>
        <row r="358">
          <cell r="F358">
            <v>2628141.7444268889</v>
          </cell>
          <cell r="G358">
            <v>5256283.4888537778</v>
          </cell>
        </row>
        <row r="359">
          <cell r="F359">
            <v>1752094.4962845924</v>
          </cell>
          <cell r="G359">
            <v>5256283.4888537768</v>
          </cell>
        </row>
        <row r="360">
          <cell r="F360">
            <v>950841.55752183753</v>
          </cell>
          <cell r="G360">
            <v>1901683.1150436751</v>
          </cell>
        </row>
        <row r="361">
          <cell r="G361">
            <v>0</v>
          </cell>
        </row>
        <row r="362">
          <cell r="G362">
            <v>0</v>
          </cell>
        </row>
        <row r="363">
          <cell r="F363">
            <v>497954.88503725076</v>
          </cell>
          <cell r="G363">
            <v>995909.77007450152</v>
          </cell>
        </row>
        <row r="364">
          <cell r="F364">
            <v>348567.22335301095</v>
          </cell>
          <cell r="G364">
            <v>697134.4467060219</v>
          </cell>
        </row>
        <row r="365">
          <cell r="F365">
            <v>0</v>
          </cell>
          <cell r="G365">
            <v>0</v>
          </cell>
        </row>
        <row r="366">
          <cell r="F366">
            <v>2081533.7161625484</v>
          </cell>
          <cell r="G366">
            <v>4163067.4323250968</v>
          </cell>
        </row>
        <row r="367">
          <cell r="F367">
            <v>999341.59059666598</v>
          </cell>
          <cell r="G367">
            <v>1998683.181193332</v>
          </cell>
        </row>
        <row r="368">
          <cell r="F368">
            <v>598086.53226987284</v>
          </cell>
          <cell r="G368">
            <v>1196173.0645397457</v>
          </cell>
        </row>
        <row r="369">
          <cell r="F369">
            <v>538277.87904288562</v>
          </cell>
          <cell r="G369">
            <v>1076555.7580857712</v>
          </cell>
        </row>
        <row r="370">
          <cell r="G370">
            <v>0</v>
          </cell>
        </row>
        <row r="371">
          <cell r="F371">
            <v>40430.649581443402</v>
          </cell>
          <cell r="G371">
            <v>40430.649581443402</v>
          </cell>
        </row>
        <row r="372">
          <cell r="G372">
            <v>0</v>
          </cell>
        </row>
        <row r="373">
          <cell r="G373">
            <v>0</v>
          </cell>
        </row>
        <row r="374">
          <cell r="G374">
            <v>0</v>
          </cell>
        </row>
        <row r="376">
          <cell r="G376">
            <v>0</v>
          </cell>
        </row>
        <row r="377">
          <cell r="F377">
            <v>21208148.43428969</v>
          </cell>
          <cell r="G377">
            <v>42416296.86857938</v>
          </cell>
        </row>
        <row r="378">
          <cell r="G378">
            <v>0</v>
          </cell>
        </row>
        <row r="379">
          <cell r="G379">
            <v>0</v>
          </cell>
        </row>
        <row r="380">
          <cell r="G380">
            <v>0</v>
          </cell>
        </row>
        <row r="381">
          <cell r="G381">
            <v>0</v>
          </cell>
        </row>
        <row r="382">
          <cell r="F382">
            <v>318690.40872000175</v>
          </cell>
          <cell r="G382">
            <v>318690.40872000175</v>
          </cell>
        </row>
        <row r="383">
          <cell r="G383">
            <v>0</v>
          </cell>
        </row>
        <row r="384">
          <cell r="G384">
            <v>0</v>
          </cell>
        </row>
        <row r="385">
          <cell r="F385">
            <v>1102871.5655056455</v>
          </cell>
          <cell r="G385">
            <v>1102871.5655056455</v>
          </cell>
        </row>
        <row r="387">
          <cell r="F387">
            <v>352392.58481340908</v>
          </cell>
          <cell r="G387">
            <v>704785.16962681815</v>
          </cell>
        </row>
        <row r="390">
          <cell r="G390">
            <v>0</v>
          </cell>
        </row>
        <row r="391">
          <cell r="F391">
            <v>2990432.6613493641</v>
          </cell>
          <cell r="G391">
            <v>5980865.3226987282</v>
          </cell>
        </row>
        <row r="392">
          <cell r="F392">
            <v>5980865.3226987282</v>
          </cell>
          <cell r="G392">
            <v>5980865.3226987282</v>
          </cell>
        </row>
        <row r="393">
          <cell r="F393" t="str">
            <v>D</v>
          </cell>
          <cell r="G393">
            <v>82547156.634690896</v>
          </cell>
        </row>
        <row r="398">
          <cell r="F398">
            <v>214862586.71795183</v>
          </cell>
          <cell r="G398">
            <v>214862586.71795183</v>
          </cell>
        </row>
        <row r="446">
          <cell r="F446" t="str">
            <v>E</v>
          </cell>
          <cell r="G446">
            <v>214862586.71795183</v>
          </cell>
        </row>
        <row r="451">
          <cell r="F451">
            <v>14575069.748150667</v>
          </cell>
          <cell r="G451">
            <v>14575069.748150667</v>
          </cell>
        </row>
        <row r="452">
          <cell r="F452">
            <v>4500000</v>
          </cell>
          <cell r="G452">
            <v>4500000</v>
          </cell>
        </row>
        <row r="453">
          <cell r="F453" t="str">
            <v>F</v>
          </cell>
          <cell r="G453">
            <v>19075069.748150669</v>
          </cell>
        </row>
        <row r="461">
          <cell r="F461">
            <v>47753.621082555728</v>
          </cell>
          <cell r="G461">
            <v>5014130.2136683511</v>
          </cell>
        </row>
        <row r="462">
          <cell r="F462">
            <v>29772.747576394271</v>
          </cell>
          <cell r="G462">
            <v>4644548.6219175067</v>
          </cell>
        </row>
        <row r="463">
          <cell r="G463">
            <v>0</v>
          </cell>
        </row>
        <row r="464">
          <cell r="F464">
            <v>1448801.8253378787</v>
          </cell>
          <cell r="G464">
            <v>1448801.8253378787</v>
          </cell>
        </row>
        <row r="465">
          <cell r="G465">
            <v>0</v>
          </cell>
        </row>
        <row r="467">
          <cell r="G467">
            <v>0</v>
          </cell>
        </row>
        <row r="468">
          <cell r="F468">
            <v>75000</v>
          </cell>
          <cell r="G468">
            <v>600000</v>
          </cell>
        </row>
        <row r="469">
          <cell r="F469">
            <v>89140</v>
          </cell>
          <cell r="G469">
            <v>713120</v>
          </cell>
        </row>
        <row r="470">
          <cell r="G470">
            <v>0</v>
          </cell>
        </row>
        <row r="471">
          <cell r="F471">
            <v>350000</v>
          </cell>
          <cell r="G471">
            <v>2800000</v>
          </cell>
        </row>
        <row r="472">
          <cell r="G472">
            <v>0</v>
          </cell>
        </row>
        <row r="473">
          <cell r="F473">
            <v>37800</v>
          </cell>
          <cell r="G473">
            <v>9865800</v>
          </cell>
        </row>
        <row r="474">
          <cell r="F474">
            <v>5980865.3226987282</v>
          </cell>
          <cell r="G474">
            <v>5980865.3226987282</v>
          </cell>
        </row>
        <row r="475">
          <cell r="F475" t="str">
            <v>G</v>
          </cell>
          <cell r="G475">
            <v>31067265.983622465</v>
          </cell>
        </row>
      </sheetData>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surat"/>
      <sheetName val="rekap"/>
      <sheetName val="BOQ"/>
      <sheetName val="harsat"/>
      <sheetName val="sorter"/>
      <sheetName val="analisa-mob"/>
      <sheetName val="ANALISA"/>
      <sheetName val="METODE-PEN"/>
      <sheetName val="metod-pel"/>
      <sheetName val="jadwal"/>
      <sheetName val="STF"/>
      <sheetName val="alat"/>
      <sheetName val="KONF"/>
      <sheetName val="MOS"/>
      <sheetName val="utama"/>
      <sheetName val="ipl"/>
      <sheetName val="SUB"/>
      <sheetName val="LAMP10 (2)"/>
      <sheetName val="PEGAWAI"/>
      <sheetName val="jadwal alt"/>
      <sheetName val="jadwal BHN"/>
      <sheetName val="BALT"/>
      <sheetName val="IND (2)"/>
      <sheetName val="ANA(2a)"/>
      <sheetName val="BOQ (2)"/>
      <sheetName val="metod"/>
      <sheetName val="ES-aLL"/>
      <sheetName val="FINISHING"/>
      <sheetName val="PLUMBING"/>
      <sheetName val="STRUKTUR"/>
      <sheetName val="ARSITEKTUR"/>
      <sheetName val="Anls"/>
      <sheetName val="Harsat_marina"/>
      <sheetName val="Fill this out first..."/>
      <sheetName val="BQ-ME"/>
      <sheetName val="ACWC"/>
      <sheetName val="REF.ONLY"/>
      <sheetName val="DAF-2"/>
      <sheetName val="Harga Bahan Fabrikasi"/>
      <sheetName val="Div2"/>
      <sheetName val="Harga Satuan"/>
      <sheetName val="Elektrikal"/>
    </sheetNames>
    <sheetDataSet>
      <sheetData sheetId="0" refreshError="1">
        <row r="2">
          <cell r="E2" t="str">
            <v>Pembangunan Jembatan Suramadu Sisi Madura</v>
          </cell>
        </row>
        <row r="3">
          <cell r="E3" t="str">
            <v>Pembangunan Jalan Akses Jembatan Suramadu Sisi Madura</v>
          </cell>
        </row>
        <row r="19">
          <cell r="E19">
            <v>35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RAB"/>
      <sheetName val="harsat"/>
      <sheetName val="anal-bahan"/>
      <sheetName val="harga-alat"/>
      <sheetName val="anal-beton"/>
      <sheetName val="mob-demob"/>
      <sheetName val="anal-base"/>
      <sheetName val="anal-tanah"/>
      <sheetName val="dc"/>
      <sheetName val="bau"/>
      <sheetName val="gaji"/>
      <sheetName val="alat"/>
      <sheetName val="jadwal"/>
      <sheetName val="anal-aspal"/>
      <sheetName val="ARSITEKTUR"/>
      <sheetName val="STRUKTUR"/>
      <sheetName val="ch"/>
      <sheetName val="Currency Rate"/>
      <sheetName val="Elektrikal"/>
      <sheetName val="satuan_pek_ars"/>
      <sheetName val="CATU DAYA LISTRIK PLB"/>
      <sheetName val="PERALATAN UTAMA PK"/>
      <sheetName val="CATU DAYA LISTRIK PK"/>
      <sheetName val="PERALATAN &amp; KATUP2 PK"/>
      <sheetName val="PERALATAN &amp; KATUP2 PLB"/>
      <sheetName val="PERALATAN UTAMA PLB"/>
      <sheetName val="PEMIPAAN PK"/>
      <sheetName val="PEMIPAAN PLB"/>
      <sheetName val="TOWER-B"/>
      <sheetName val="FINISHING"/>
      <sheetName val="PLUMBING"/>
      <sheetName val="analisa"/>
      <sheetName val="DAF-2"/>
      <sheetName val="Bill sipil"/>
    </sheetNames>
    <sheetDataSet>
      <sheetData sheetId="0" refreshError="1"/>
      <sheetData sheetId="1" refreshError="1"/>
      <sheetData sheetId="2" refreshError="1">
        <row r="63">
          <cell r="G63">
            <v>15000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ndahuluan"/>
      <sheetName val="Rekap"/>
      <sheetName val="Sub Rekap"/>
      <sheetName val="Kantor"/>
      <sheetName val="Perawatan VIP"/>
      <sheetName val="Perawatan "/>
      <sheetName val="Service"/>
      <sheetName val="Musholla"/>
      <sheetName val="Rumah Dinas"/>
      <sheetName val="Pagar &amp; Halaman"/>
      <sheetName val="Listrik "/>
      <sheetName val="Elektrikal"/>
      <sheetName val="rab"/>
      <sheetName val="harsat"/>
      <sheetName val="SITE-E"/>
      <sheetName val="REF.ONLY"/>
      <sheetName val="lap-bulan"/>
      <sheetName val="Lap-Minggu"/>
      <sheetName val="ANALISA PEK.UMUM"/>
      <sheetName val="ES-aLL"/>
      <sheetName val="ch"/>
      <sheetName val="FINISHING"/>
      <sheetName val="PLUMBING"/>
      <sheetName val="STRUKTUR"/>
      <sheetName val="huruf"/>
      <sheetName val="18. MOB (2)"/>
      <sheetName val="upah dki"/>
      <sheetName val="Analisa"/>
    </sheetNames>
    <sheetDataSet>
      <sheetData sheetId="0" refreshError="1">
        <row r="1">
          <cell r="B1" t="str">
            <v>ENGINERING ESTIMATE COST (EEC)</v>
          </cell>
        </row>
        <row r="3">
          <cell r="B3" t="str">
            <v>UNIT SATUAN KERJA</v>
          </cell>
          <cell r="F3" t="str">
            <v>:</v>
          </cell>
          <cell r="G3" t="str">
            <v>DINAS SOSIAL PROPINSI DKI JAKARTA</v>
          </cell>
        </row>
        <row r="4">
          <cell r="B4" t="str">
            <v>NAMA PROYEK</v>
          </cell>
          <cell r="F4" t="str">
            <v>:</v>
          </cell>
          <cell r="G4" t="str">
            <v>PANTI SOSIAL TRESNA WERDHA BHAKTI MULYA 06 CIRACAS</v>
          </cell>
        </row>
        <row r="5">
          <cell r="B5" t="str">
            <v>NOMOR PROYEK</v>
          </cell>
          <cell r="F5" t="str">
            <v>:</v>
          </cell>
          <cell r="G5" t="str">
            <v>2P. 0. 13. 2. 01. 005</v>
          </cell>
        </row>
        <row r="6">
          <cell r="B6" t="str">
            <v>TAHUN ANGGARAN</v>
          </cell>
          <cell r="F6" t="str">
            <v>:</v>
          </cell>
          <cell r="G6" t="str">
            <v>2000</v>
          </cell>
        </row>
        <row r="7">
          <cell r="B7" t="str">
            <v>L O K A S I</v>
          </cell>
          <cell r="F7" t="str">
            <v>:</v>
          </cell>
          <cell r="G7" t="str">
            <v>JLN. RAYA CIRACAS</v>
          </cell>
        </row>
        <row r="8">
          <cell r="B8" t="str">
            <v>W I L A Y A H</v>
          </cell>
          <cell r="F8" t="str">
            <v>:</v>
          </cell>
          <cell r="G8" t="str">
            <v>KOTAMADYA JAKARTA TIMUR</v>
          </cell>
        </row>
        <row r="10">
          <cell r="B10" t="str">
            <v>NO</v>
          </cell>
          <cell r="C10" t="str">
            <v>JENIS PEKERJAAN</v>
          </cell>
          <cell r="J10" t="str">
            <v>VOLUME</v>
          </cell>
          <cell r="L10" t="str">
            <v>HARGA</v>
          </cell>
          <cell r="M10" t="str">
            <v xml:space="preserve">JUMLAH </v>
          </cell>
          <cell r="N10" t="str">
            <v xml:space="preserve">JUMLAH </v>
          </cell>
        </row>
        <row r="11">
          <cell r="L11" t="str">
            <v>SATUAN</v>
          </cell>
          <cell r="M11" t="str">
            <v>HARGA</v>
          </cell>
          <cell r="N11" t="str">
            <v>BAGIAN</v>
          </cell>
        </row>
        <row r="12">
          <cell r="J12" t="str">
            <v>SATUAN</v>
          </cell>
        </row>
        <row r="13">
          <cell r="L13" t="str">
            <v>( Rp.)</v>
          </cell>
          <cell r="M13" t="str">
            <v>( Rp.)</v>
          </cell>
          <cell r="N13" t="str">
            <v>( Rp.)</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a"/>
      <sheetName val="Harga MAt"/>
      <sheetName val="Foundation"/>
      <sheetName val="SITE-E"/>
      <sheetName val="H.Satuan"/>
      <sheetName val="DAF-2"/>
      <sheetName val="Fill this out first___"/>
      <sheetName val="BAG-III"/>
      <sheetName val="SAP"/>
      <sheetName val="ALEK"/>
      <sheetName val="DAFTAR HARGA"/>
      <sheetName val="Bangunan Utama"/>
      <sheetName val="BAHAN"/>
      <sheetName val="HRG BHN"/>
      <sheetName val="Analisa ME"/>
      <sheetName val="REF.ONLY"/>
      <sheetName val="Elektrikal"/>
      <sheetName val="Fill this out first..."/>
      <sheetName val="TONG HOP VL-NC"/>
      <sheetName val="#REF"/>
      <sheetName val="chitiet"/>
      <sheetName val="DONGIA"/>
      <sheetName val="DON GIA"/>
      <sheetName val="DG"/>
      <sheetName val="TONGKE3p "/>
      <sheetName val="VCV-BE-TONG"/>
      <sheetName val="CHITIET VL-NC"/>
      <sheetName val="Currency Rate"/>
      <sheetName val="HB"/>
      <sheetName val="Harga_MAt"/>
      <sheetName val="Anls"/>
      <sheetName val="BAG_III"/>
      <sheetName val="TE TS FA LAN MATV"/>
      <sheetName val="Fill_this_out_first___"/>
      <sheetName val="FINISHING"/>
      <sheetName val="PLUMBING"/>
      <sheetName val="STRUKTUR"/>
      <sheetName val="valve"/>
      <sheetName val="ppr12"/>
      <sheetName val="Summary_BQ"/>
      <sheetName val="Analisa Baku ME"/>
      <sheetName val="Rekap Direct Cost"/>
      <sheetName val="CONSUMABLE"/>
      <sheetName val="harsat_str"/>
      <sheetName val="Koef"/>
      <sheetName val="ANALISA PEK.UMUM"/>
      <sheetName val="Harsat"/>
      <sheetName val="Harga Satuan"/>
      <sheetName val="Analisa -Baku"/>
      <sheetName val="BQNSC"/>
      <sheetName val="ES-aLL"/>
      <sheetName val="TNHCHINH"/>
      <sheetName val="TDTKP"/>
      <sheetName val="BQ ME"/>
      <sheetName val="DAF_2"/>
      <sheetName val="Mtd_Pelak"/>
      <sheetName val="Material"/>
      <sheetName val="TH VL, NC, DDHT Thanhphuoc"/>
      <sheetName val="Tiepdia"/>
      <sheetName val="anal"/>
      <sheetName val="UP PL"/>
      <sheetName val="Analisa Bupati"/>
      <sheetName val="Scd_RAB"/>
      <sheetName val="Penwrn"/>
      <sheetName val="Code 02"/>
      <sheetName val="Code 03"/>
      <sheetName val="Code 04"/>
      <sheetName val="Code 05"/>
      <sheetName val="Code 06"/>
      <sheetName val="Code 07"/>
      <sheetName val="Code 09"/>
      <sheetName val="BQ"/>
      <sheetName val="harga"/>
      <sheetName val="div7"/>
      <sheetName val="ch"/>
      <sheetName val="Bhn"/>
      <sheetName val="OFFICE 2 LT"/>
      <sheetName val="SECURITY"/>
      <sheetName val="Telephone"/>
      <sheetName val="S System"/>
      <sheetName val="Upah_Bahan"/>
      <sheetName val="ARSITEKTUR"/>
      <sheetName val="Schedule"/>
      <sheetName val="DAFTAR HARGA SATUAN MATERIAL"/>
      <sheetName val="Cover"/>
      <sheetName val="Kontrak awal"/>
      <sheetName val="Check List LBP"/>
      <sheetName val="3.g. Ikht.Biaya"/>
      <sheetName val="UPAH-BAHAN."/>
      <sheetName val="escon"/>
      <sheetName val="CATU DAYA LISTRIK PLB"/>
      <sheetName val="PERALATAN UTAMA PK"/>
      <sheetName val="CATU DAYA LISTRIK PK"/>
      <sheetName val="PERALATAN &amp; KATUP2 PK"/>
      <sheetName val="PERALATAN UTAMA PLB"/>
      <sheetName val="PERALATAN &amp; KATUP2 PLB"/>
      <sheetName val="PEMIPAAN PK"/>
      <sheetName val="PEMIPAAN PLB"/>
      <sheetName val="div"/>
      <sheetName val="BOQ"/>
      <sheetName val="Hrg.Sat"/>
      <sheetName val="TOWN"/>
      <sheetName val="csdim"/>
      <sheetName val="cdsload"/>
      <sheetName val="chsload"/>
      <sheetName val="CLAMP"/>
      <sheetName val="cvsload"/>
      <sheetName val="pipe"/>
      <sheetName val="Coord"/>
      <sheetName val="Isolasi Luar Dalam"/>
      <sheetName val="Isolasi Luar"/>
      <sheetName val="Cash in"/>
      <sheetName val="작성기준"/>
      <sheetName val=" R A B"/>
      <sheetName val="an. struktur"/>
      <sheetName val="Dashboard"/>
      <sheetName val="ES_aLL"/>
      <sheetName val="Rekap dpb 11"/>
      <sheetName val="LB 01"/>
      <sheetName val="RAB"/>
      <sheetName val="price"/>
      <sheetName val="CashFlow"/>
      <sheetName val="부하(성남)"/>
      <sheetName val="Sheet1"/>
      <sheetName val="Bill rekap"/>
      <sheetName val="material "/>
      <sheetName val="lap-bulan"/>
      <sheetName val="Lap-Minggu"/>
      <sheetName val="A_2"/>
      <sheetName val="LABTOTAL"/>
      <sheetName val="hbaup"/>
      <sheetName val="Rekap"/>
      <sheetName val="Rekapitulasi"/>
      <sheetName val="COA-17"/>
      <sheetName val="CERT"/>
      <sheetName val="Smry Wk (P I)"/>
      <sheetName val="Upah"/>
      <sheetName val="Bill sipil"/>
      <sheetName val="Material&amp;Alat"/>
      <sheetName val="DB"/>
      <sheetName val="Unit Rate"/>
      <sheetName val="BQ-ME"/>
      <sheetName val="Bunga"/>
      <sheetName val="REF_ONLY"/>
      <sheetName val="BQ-Str"/>
      <sheetName val="UBAH"/>
      <sheetName val="dft-harga"/>
      <sheetName val="Tabels"/>
      <sheetName val="I-KAMAR"/>
      <sheetName val="BasicPrice"/>
      <sheetName val="MTO REV.0"/>
      <sheetName val="Harga ME "/>
      <sheetName val="FORM X COST"/>
      <sheetName val="BAG_2"/>
      <sheetName val="Soil factor"/>
      <sheetName val="Pricing-2"/>
      <sheetName val="Cessie"/>
      <sheetName val="Lab, Mat &amp; Plant Splits"/>
      <sheetName val="District Loading"/>
      <sheetName val="ref"/>
      <sheetName val="villa"/>
      <sheetName val="Eval TW I 2014"/>
      <sheetName val="Prognosa 2014"/>
      <sheetName val="3"/>
      <sheetName val="surfacing &amp; point..."/>
      <sheetName val="stone mas ARE"/>
      <sheetName val="REKAP ARSITEKTUR"/>
      <sheetName val="ANALISA - PGRKAN"/>
      <sheetName val="REKAP AHS Lansekap"/>
      <sheetName val="daftar timbngn percoba marshal"/>
      <sheetName val="C"/>
      <sheetName val="gabungan (2)"/>
      <sheetName val="clg fin"/>
      <sheetName val="flr fin"/>
      <sheetName val="Col"/>
      <sheetName val="Rif_Col"/>
      <sheetName val="timber frame"/>
      <sheetName val="Wall Qty"/>
      <sheetName val="roof fin"/>
      <sheetName val="Flr, Rf Bm"/>
      <sheetName val="Rif_PCap"/>
      <sheetName val="Flr Slb, stair"/>
      <sheetName val="Gd Bm"/>
      <sheetName val="PC, G.Slab"/>
      <sheetName val="wall fin"/>
      <sheetName val="info"/>
      <sheetName val="Pendahuluan"/>
      <sheetName val="Factor"/>
      <sheetName val="ARS ADM"/>
      <sheetName val="tarip"/>
      <sheetName val="tunj."/>
      <sheetName val="A"/>
      <sheetName val="trf-d-w"/>
      <sheetName val="trf d-i"/>
      <sheetName val="tarif"/>
      <sheetName val="trf"/>
      <sheetName val="610 6"/>
      <sheetName val="rpp 1-5"/>
      <sheetName val="rpp 1-6"/>
      <sheetName val="DHS"/>
      <sheetName val="an-aspal"/>
      <sheetName val="AHS"/>
      <sheetName val="Hrg-elemen"/>
      <sheetName val="I_Jan"/>
      <sheetName val="Peralatan"/>
      <sheetName val="daf-3(OK)"/>
      <sheetName val="daf-7(OK)"/>
      <sheetName val="isian"/>
      <sheetName val="Harga S Dasar UNTUK IDISI"/>
      <sheetName val="Mat.Elk"/>
      <sheetName val="P.LS"/>
      <sheetName val="Single line AC"/>
      <sheetName val="Lampu"/>
      <sheetName val="P.AC"/>
      <sheetName val="elekt"/>
      <sheetName val="rekap panel"/>
      <sheetName val="rumus"/>
      <sheetName val="4-Basic Price"/>
      <sheetName val="D7(1)"/>
      <sheetName val="Labour"/>
      <sheetName val="INDEX"/>
      <sheetName val="div4"/>
      <sheetName val="div2"/>
      <sheetName val="div71"/>
      <sheetName val="div31"/>
      <sheetName val="div3"/>
      <sheetName val="Estimate"/>
      <sheetName val="harga.bahan"/>
      <sheetName val="upah bahan "/>
      <sheetName val="DATA"/>
      <sheetName val="bank"/>
      <sheetName val="Sheet3"/>
      <sheetName val="A+Supl."/>
      <sheetName val="7"/>
      <sheetName val="DASAR"/>
      <sheetName val="H_Satuan"/>
      <sheetName val="Bangunan_Utama"/>
      <sheetName val="PO-2"/>
      <sheetName val="9"/>
      <sheetName val="UBA RAB"/>
      <sheetName val="ANALISA 2010"/>
      <sheetName val="ALAT"/>
      <sheetName val="ﾃｨｰﾁﾝｸﾞ"/>
      <sheetName val="LOK_A"/>
      <sheetName val="CODE"/>
      <sheetName val="C-18"/>
      <sheetName val="UNIT 01,02,03,04"/>
      <sheetName val="custom check"/>
      <sheetName val="EE-PROP"/>
      <sheetName val="TOWER-B"/>
      <sheetName val="MUA"/>
      <sheetName val="struktur tdk dipakai"/>
      <sheetName val="ANALISA ALAT"/>
      <sheetName val="bahan 2004"/>
      <sheetName val="PT."/>
      <sheetName val="Input"/>
      <sheetName val="Huruf"/>
      <sheetName val="RAP"/>
      <sheetName val="Sub"/>
      <sheetName val="FORM"/>
      <sheetName val="Hardasar-PSJJ"/>
      <sheetName val="UPAH "/>
      <sheetName val="I_KAMAR"/>
      <sheetName val="????"/>
      <sheetName val="??(??)"/>
      <sheetName val="Formula"/>
      <sheetName val="lookup"/>
      <sheetName val="ES STG"/>
      <sheetName val="is"/>
      <sheetName val="workingcap"/>
      <sheetName val="trans_sum"/>
      <sheetName val="inputs"/>
      <sheetName val="Asumsi"/>
      <sheetName val="LISTRIK"/>
      <sheetName val="RINCIAN HK DIVISI"/>
      <sheetName val="nc-m"/>
      <sheetName val="Harga_MAt2"/>
      <sheetName val="TONG_HOP_VL-NC1"/>
      <sheetName val="DON_GIA1"/>
      <sheetName val="TONGKE3p_1"/>
      <sheetName val="CHITIET_VL-NC1"/>
      <sheetName val="H_Satuan1"/>
      <sheetName val="Fill_this_out_first___3"/>
      <sheetName val="Bangunan_Utama1"/>
      <sheetName val="TE_TS_FA_LAN_MATV1"/>
      <sheetName val="Analisa_ME1"/>
      <sheetName val="REF_ONLY2"/>
      <sheetName val="DAFTAR_HARGA1"/>
      <sheetName val="Fill_this_out_first___4"/>
      <sheetName val="HRG_BHN1"/>
      <sheetName val="Analisa_-Baku1"/>
      <sheetName val="Rekap_Direct_Cost1"/>
      <sheetName val="Analisa_Baku_ME1"/>
      <sheetName val="ANALISA_PEK_UMUM1"/>
      <sheetName val="Harga_Satuan1"/>
      <sheetName val="Currency_Rate1"/>
      <sheetName val="Code_021"/>
      <sheetName val="Code_031"/>
      <sheetName val="Code_041"/>
      <sheetName val="Code_051"/>
      <sheetName val="Code_061"/>
      <sheetName val="Code_071"/>
      <sheetName val="Code_091"/>
      <sheetName val="Hrg_Sat1"/>
      <sheetName val="TH_VL,_NC,_DDHT_Thanhphuoc1"/>
      <sheetName val="Eval_TW_I_20141"/>
      <sheetName val="Prognosa_20141"/>
      <sheetName val="UP_PL1"/>
      <sheetName val="Analisa_Bupati1"/>
      <sheetName val="Soil_factor1"/>
      <sheetName val="Smry_Wk_(P_I)1"/>
      <sheetName val="an__struktur1"/>
      <sheetName val="surfacing_&amp;_point___1"/>
      <sheetName val="stone_mas_ARE1"/>
      <sheetName val="REKAP_ARSITEKTUR1"/>
      <sheetName val="ANALISA_-_PGRKAN1"/>
      <sheetName val="REKAP_AHS_Lansekap1"/>
      <sheetName val="OFFICE_2_LT1"/>
      <sheetName val="S_System1"/>
      <sheetName val="DAFTAR_HARGA_SATUAN_MATERIAL1"/>
      <sheetName val="Kontrak_awal1"/>
      <sheetName val="Check_List_LBP1"/>
      <sheetName val="3_g__Ikht_Biaya1"/>
      <sheetName val="Bill_rekap1"/>
      <sheetName val="Bill_sipil1"/>
      <sheetName val="UPAH-BAHAN_1"/>
      <sheetName val="Unit_Rate1"/>
      <sheetName val="daftar_timbngn_percoba_marshal1"/>
      <sheetName val="gabungan_(2)1"/>
      <sheetName val="clg_fin1"/>
      <sheetName val="flr_fin1"/>
      <sheetName val="timber_frame1"/>
      <sheetName val="Wall_Qty1"/>
      <sheetName val="roof_fin1"/>
      <sheetName val="Flr,_Rf_Bm1"/>
      <sheetName val="Flr_Slb,_stair1"/>
      <sheetName val="Gd_Bm1"/>
      <sheetName val="PC,_G_Slab1"/>
      <sheetName val="wall_fin1"/>
      <sheetName val="BQ_ME1"/>
      <sheetName val="Isolasi_Luar_Dalam1"/>
      <sheetName val="Isolasi_Luar1"/>
      <sheetName val="FORM_X_COST1"/>
      <sheetName val="UNIT_01,02,03,041"/>
      <sheetName val="Lab,_Mat_&amp;_Plant_Splits1"/>
      <sheetName val="District_Loading1"/>
      <sheetName val="CATU_DAYA_LISTRIK_PLB1"/>
      <sheetName val="PERALATAN_UTAMA_PK1"/>
      <sheetName val="CATU_DAYA_LISTRIK_PK1"/>
      <sheetName val="PERALATAN_&amp;_KATUP2_PK1"/>
      <sheetName val="PERALATAN_UTAMA_PLB1"/>
      <sheetName val="PERALATAN_&amp;_KATUP2_PLB1"/>
      <sheetName val="PEMIPAAN_PK1"/>
      <sheetName val="PEMIPAAN_PLB1"/>
      <sheetName val="Cash_in1"/>
      <sheetName val="_R_A_B1"/>
      <sheetName val="Rekap_dpb_111"/>
      <sheetName val="LB_011"/>
      <sheetName val="material_1"/>
      <sheetName val="Mat_Elk1"/>
      <sheetName val="P_LS1"/>
      <sheetName val="Single_line_AC1"/>
      <sheetName val="P_AC1"/>
      <sheetName val="rekap_panel1"/>
      <sheetName val="MTO_REV_01"/>
      <sheetName val="RINCIAN_HK_DIVISI1"/>
      <sheetName val="Harga_MAt1"/>
      <sheetName val="TONG_HOP_VL-NC"/>
      <sheetName val="DON_GIA"/>
      <sheetName val="TONGKE3p_"/>
      <sheetName val="CHITIET_VL-NC"/>
      <sheetName val="Fill_this_out_first___1"/>
      <sheetName val="TE_TS_FA_LAN_MATV"/>
      <sheetName val="Analisa_ME"/>
      <sheetName val="REF_ONLY1"/>
      <sheetName val="DAFTAR_HARGA"/>
      <sheetName val="Fill_this_out_first___2"/>
      <sheetName val="HRG_BHN"/>
      <sheetName val="Analisa_-Baku"/>
      <sheetName val="Rekap_Direct_Cost"/>
      <sheetName val="Analisa_Baku_ME"/>
      <sheetName val="ANALISA_PEK_UMUM"/>
      <sheetName val="Harga_Satuan"/>
      <sheetName val="Currency_Rate"/>
      <sheetName val="Code_02"/>
      <sheetName val="Code_03"/>
      <sheetName val="Code_04"/>
      <sheetName val="Code_05"/>
      <sheetName val="Code_06"/>
      <sheetName val="Code_07"/>
      <sheetName val="Code_09"/>
      <sheetName val="Hrg_Sat"/>
      <sheetName val="TH_VL,_NC,_DDHT_Thanhphuoc"/>
      <sheetName val="Eval_TW_I_2014"/>
      <sheetName val="Prognosa_2014"/>
      <sheetName val="UP_PL"/>
      <sheetName val="Analisa_Bupati"/>
      <sheetName val="Soil_factor"/>
      <sheetName val="Smry_Wk_(P_I)"/>
      <sheetName val="an__struktur"/>
      <sheetName val="surfacing_&amp;_point___"/>
      <sheetName val="stone_mas_ARE"/>
      <sheetName val="REKAP_ARSITEKTUR"/>
      <sheetName val="ANALISA_-_PGRKAN"/>
      <sheetName val="REKAP_AHS_Lansekap"/>
      <sheetName val="OFFICE_2_LT"/>
      <sheetName val="S_System"/>
      <sheetName val="DAFTAR_HARGA_SATUAN_MATERIAL"/>
      <sheetName val="Kontrak_awal"/>
      <sheetName val="Check_List_LBP"/>
      <sheetName val="3_g__Ikht_Biaya"/>
      <sheetName val="Bill_rekap"/>
      <sheetName val="Bill_sipil"/>
      <sheetName val="UPAH-BAHAN_"/>
      <sheetName val="Unit_Rate"/>
      <sheetName val="daftar_timbngn_percoba_marshal"/>
      <sheetName val="gabungan_(2)"/>
      <sheetName val="clg_fin"/>
      <sheetName val="flr_fin"/>
      <sheetName val="timber_frame"/>
      <sheetName val="Wall_Qty"/>
      <sheetName val="roof_fin"/>
      <sheetName val="Flr,_Rf_Bm"/>
      <sheetName val="Flr_Slb,_stair"/>
      <sheetName val="Gd_Bm"/>
      <sheetName val="PC,_G_Slab"/>
      <sheetName val="wall_fin"/>
      <sheetName val="BQ_ME"/>
      <sheetName val="Isolasi_Luar_Dalam"/>
      <sheetName val="FORM_X_COST"/>
      <sheetName val="UNIT_01,02,03,04"/>
      <sheetName val="Lab,_Mat_&amp;_Plant_Splits"/>
      <sheetName val="District_Loading"/>
      <sheetName val="CATU_DAYA_LISTRIK_PLB"/>
      <sheetName val="PERALATAN_UTAMA_PK"/>
      <sheetName val="CATU_DAYA_LISTRIK_PK"/>
      <sheetName val="PERALATAN_&amp;_KATUP2_PK"/>
      <sheetName val="PERALATAN_UTAMA_PLB"/>
      <sheetName val="PERALATAN_&amp;_KATUP2_PLB"/>
      <sheetName val="PEMIPAAN_PK"/>
      <sheetName val="PEMIPAAN_PLB"/>
      <sheetName val="Isolasi_Luar"/>
      <sheetName val="Cash_in"/>
      <sheetName val="_R_A_B"/>
      <sheetName val="Rekap_dpb_11"/>
      <sheetName val="LB_01"/>
      <sheetName val="material_"/>
      <sheetName val="Mat_Elk"/>
      <sheetName val="P_LS"/>
      <sheetName val="Single_line_AC"/>
      <sheetName val="P_AC"/>
      <sheetName val="rekap_panel"/>
      <sheetName val="MTO_REV_0"/>
      <sheetName val="RINCIAN_HK_DIVISI"/>
      <sheetName val="custom_check"/>
      <sheetName val="A+Supl_"/>
      <sheetName val="custom_check1"/>
      <sheetName val="A+Supl_1"/>
      <sheetName val="Harga_MAt3"/>
      <sheetName val="TONG_HOP_VL-NC2"/>
      <sheetName val="DON_GIA2"/>
      <sheetName val="TONGKE3p_2"/>
      <sheetName val="CHITIET_VL-NC2"/>
      <sheetName val="H_Satuan2"/>
      <sheetName val="Fill_this_out_first___5"/>
      <sheetName val="Bangunan_Utama2"/>
      <sheetName val="TE_TS_FA_LAN_MATV2"/>
      <sheetName val="Analisa_ME2"/>
      <sheetName val="REF_ONLY3"/>
      <sheetName val="DAFTAR_HARGA2"/>
      <sheetName val="Fill_this_out_first___6"/>
      <sheetName val="HRG_BHN2"/>
      <sheetName val="Analisa_-Baku2"/>
      <sheetName val="Rekap_Direct_Cost2"/>
      <sheetName val="Analisa_Baku_ME2"/>
      <sheetName val="ANALISA_PEK_UMUM2"/>
      <sheetName val="Harga_Satuan2"/>
      <sheetName val="Currency_Rate2"/>
      <sheetName val="Code_022"/>
      <sheetName val="Code_032"/>
      <sheetName val="Code_042"/>
      <sheetName val="Code_052"/>
      <sheetName val="Code_062"/>
      <sheetName val="Code_072"/>
      <sheetName val="Code_092"/>
      <sheetName val="Hrg_Sat2"/>
      <sheetName val="TH_VL,_NC,_DDHT_Thanhphuoc2"/>
      <sheetName val="Eval_TW_I_20142"/>
      <sheetName val="Prognosa_20142"/>
      <sheetName val="UP_PL2"/>
      <sheetName val="Analisa_Bupati2"/>
      <sheetName val="Soil_factor2"/>
      <sheetName val="Smry_Wk_(P_I)2"/>
      <sheetName val="an__struktur2"/>
      <sheetName val="surfacing_&amp;_point___2"/>
      <sheetName val="stone_mas_ARE2"/>
      <sheetName val="REKAP_ARSITEKTUR2"/>
      <sheetName val="ANALISA_-_PGRKAN2"/>
      <sheetName val="REKAP_AHS_Lansekap2"/>
      <sheetName val="OFFICE_2_LT2"/>
      <sheetName val="S_System2"/>
      <sheetName val="DAFTAR_HARGA_SATUAN_MATERIAL2"/>
      <sheetName val="Kontrak_awal2"/>
      <sheetName val="Check_List_LBP2"/>
      <sheetName val="3_g__Ikht_Biaya2"/>
      <sheetName val="Bill_rekap2"/>
      <sheetName val="Bill_sipil2"/>
      <sheetName val="UPAH-BAHAN_2"/>
      <sheetName val="Unit_Rate2"/>
      <sheetName val="daftar_timbngn_percoba_marshal2"/>
      <sheetName val="gabungan_(2)2"/>
      <sheetName val="clg_fin2"/>
      <sheetName val="flr_fin2"/>
      <sheetName val="timber_frame2"/>
      <sheetName val="Wall_Qty2"/>
      <sheetName val="roof_fin2"/>
      <sheetName val="Flr,_Rf_Bm2"/>
      <sheetName val="Flr_Slb,_stair2"/>
      <sheetName val="Gd_Bm2"/>
      <sheetName val="PC,_G_Slab2"/>
      <sheetName val="wall_fin2"/>
      <sheetName val="BQ_ME2"/>
      <sheetName val="Isolasi_Luar_Dalam2"/>
      <sheetName val="Isolasi_Luar2"/>
      <sheetName val="FORM_X_COST2"/>
      <sheetName val="UNIT_01,02,03,042"/>
      <sheetName val="Lab,_Mat_&amp;_Plant_Splits2"/>
      <sheetName val="District_Loading2"/>
      <sheetName val="CATU_DAYA_LISTRIK_PLB2"/>
      <sheetName val="PERALATAN_UTAMA_PK2"/>
      <sheetName val="CATU_DAYA_LISTRIK_PK2"/>
      <sheetName val="PERALATAN_&amp;_KATUP2_PK2"/>
      <sheetName val="PERALATAN_UTAMA_PLB2"/>
      <sheetName val="PERALATAN_&amp;_KATUP2_PLB2"/>
      <sheetName val="PEMIPAAN_PK2"/>
      <sheetName val="PEMIPAAN_PLB2"/>
      <sheetName val="Cash_in2"/>
      <sheetName val="_R_A_B2"/>
      <sheetName val="Rekap_dpb_112"/>
      <sheetName val="LB_012"/>
      <sheetName val="material_2"/>
      <sheetName val="Mat_Elk2"/>
      <sheetName val="P_LS2"/>
      <sheetName val="Single_line_AC2"/>
      <sheetName val="P_AC2"/>
      <sheetName val="rekap_panel2"/>
      <sheetName val="MTO_REV_02"/>
      <sheetName val="RINCIAN_HK_DIVISI2"/>
      <sheetName val="custom_check2"/>
      <sheetName val="A+Supl_2"/>
      <sheetName val="Harga_MAt4"/>
      <sheetName val="TONG_HOP_VL-NC3"/>
      <sheetName val="DON_GIA3"/>
      <sheetName val="TONGKE3p_3"/>
      <sheetName val="CHITIET_VL-NC3"/>
      <sheetName val="H_Satuan3"/>
      <sheetName val="Fill_this_out_first___7"/>
      <sheetName val="Bangunan_Utama3"/>
      <sheetName val="TE_TS_FA_LAN_MATV3"/>
      <sheetName val="Analisa_ME3"/>
      <sheetName val="REF_ONLY4"/>
      <sheetName val="DAFTAR_HARGA3"/>
      <sheetName val="Fill_this_out_first___8"/>
      <sheetName val="HRG_BHN3"/>
      <sheetName val="Analisa_-Baku3"/>
      <sheetName val="Rekap_Direct_Cost3"/>
      <sheetName val="Analisa_Baku_ME3"/>
      <sheetName val="ANALISA_PEK_UMUM3"/>
      <sheetName val="Harga_Satuan3"/>
      <sheetName val="Currency_Rate3"/>
      <sheetName val="Code_023"/>
      <sheetName val="Code_033"/>
      <sheetName val="Code_043"/>
      <sheetName val="Code_053"/>
      <sheetName val="Code_063"/>
      <sheetName val="Code_073"/>
      <sheetName val="Code_093"/>
      <sheetName val="Hrg_Sat3"/>
      <sheetName val="TH_VL,_NC,_DDHT_Thanhphuoc3"/>
      <sheetName val="Eval_TW_I_20143"/>
      <sheetName val="Prognosa_20143"/>
      <sheetName val="UP_PL3"/>
      <sheetName val="Analisa_Bupati3"/>
      <sheetName val="Soil_factor3"/>
      <sheetName val="Smry_Wk_(P_I)3"/>
      <sheetName val="an__struktur3"/>
      <sheetName val="surfacing_&amp;_point___3"/>
      <sheetName val="stone_mas_ARE3"/>
      <sheetName val="REKAP_ARSITEKTUR3"/>
      <sheetName val="ANALISA_-_PGRKAN3"/>
      <sheetName val="REKAP_AHS_Lansekap3"/>
      <sheetName val="OFFICE_2_LT3"/>
      <sheetName val="S_System3"/>
      <sheetName val="DAFTAR_HARGA_SATUAN_MATERIAL3"/>
      <sheetName val="Kontrak_awal3"/>
      <sheetName val="Check_List_LBP3"/>
      <sheetName val="3_g__Ikht_Biaya3"/>
      <sheetName val="Bill_rekap3"/>
      <sheetName val="Bill_sipil3"/>
      <sheetName val="UPAH-BAHAN_3"/>
      <sheetName val="Unit_Rate3"/>
      <sheetName val="HARGA MATERIAL"/>
      <sheetName val="daftar_timbngn_percoba_marshal3"/>
      <sheetName val="gabungan_(2)3"/>
      <sheetName val="clg_fin3"/>
      <sheetName val="flr_fin3"/>
      <sheetName val="timber_frame3"/>
      <sheetName val="Wall_Qty3"/>
      <sheetName val="roof_fin3"/>
      <sheetName val="COSTCODE"/>
      <sheetName val="____"/>
      <sheetName val="__(__)"/>
      <sheetName val="DAF-5"/>
      <sheetName val="Daf_Anl"/>
      <sheetName val="KOEFISIEN TEKNIS"/>
      <sheetName val="(ANALISA-lain)"/>
      <sheetName val="corefwrate"/>
      <sheetName val="Harsat Elektrikal "/>
      <sheetName val="TRAFO"/>
      <sheetName val="Daf 1"/>
      <sheetName val="Rab-Plumbing"/>
      <sheetName val="Rekap-PL"/>
      <sheetName val="Flr,_Rf_Bm3"/>
      <sheetName val="Flr_Slb,_stair3"/>
      <sheetName val="Gd_Bm3"/>
      <sheetName val="PC,_G_Slab3"/>
      <sheetName val="wall_fin3"/>
      <sheetName val="BQ_ME3"/>
      <sheetName val="ANTISIPASI"/>
      <sheetName val="CASDIV"/>
      <sheetName val="CASLAP"/>
      <sheetName val="HUTDIV"/>
      <sheetName val="HUTLAP"/>
      <sheetName val="PBK-01"/>
      <sheetName val="BARCHART"/>
      <sheetName val="Kuantitas-Jbt"/>
      <sheetName val="Prelim"/>
      <sheetName val="Analisa ME "/>
      <sheetName val="Direct Cost"/>
      <sheetName val="CTSB"/>
      <sheetName val="anal_hs"/>
      <sheetName val="NP"/>
      <sheetName val="5-ALAT(1)"/>
      <sheetName val="bilangan"/>
      <sheetName val="MAPP"/>
      <sheetName val="beton"/>
      <sheetName val="BAU"/>
      <sheetName val="BONBIRU"/>
      <sheetName val="B.T"/>
      <sheetName val="DU&amp;B"/>
      <sheetName val="PROGBLN"/>
      <sheetName val="depan"/>
      <sheetName val="TENGAH"/>
      <sheetName val="Isolasi_Luar_Dalam3"/>
      <sheetName val="REKAP FS"/>
      <sheetName val="REKAP TOTAL"/>
      <sheetName val="REKAP FD"/>
      <sheetName val="FORM_X_COST3"/>
      <sheetName val="UNIT_01,02,03,043"/>
      <sheetName val="Lab,_Mat_&amp;_Plant_Splits3"/>
      <sheetName val="District_Loading3"/>
      <sheetName val="CATU_DAYA_LISTRIK_PLB3"/>
      <sheetName val="PERALATAN_UTAMA_PK3"/>
      <sheetName val="CATU_DAYA_LISTRIK_PK3"/>
      <sheetName val="PERALATAN_&amp;_KATUP2_PK3"/>
      <sheetName val="PERALATAN_UTAMA_PLB3"/>
      <sheetName val="PERALATAN_&amp;_KATUP2_PLB3"/>
      <sheetName val="PEMIPAAN_PK3"/>
      <sheetName val="PEMIPAAN_PLB3"/>
      <sheetName val="Isolasi_Luar3"/>
      <sheetName val="Cash_in3"/>
      <sheetName val="_R_A_B3"/>
      <sheetName val="Rekap_dpb_113"/>
      <sheetName val="LB_013"/>
      <sheetName val="material_3"/>
      <sheetName val="Mat_Elk3"/>
      <sheetName val="P_LS3"/>
      <sheetName val="Single_line_AC3"/>
      <sheetName val="P_AC3"/>
      <sheetName val="rekap_panel3"/>
      <sheetName val="MTO_REV_03"/>
      <sheetName val="RINCIAN_HK_DIVISI3"/>
      <sheetName val="custom_check3"/>
      <sheetName val="A+Supl_3"/>
      <sheetName val="tunj_"/>
      <sheetName val="trf_d-i"/>
      <sheetName val="610_6"/>
      <sheetName val="rpp_1-5"/>
      <sheetName val="rpp_1-6"/>
      <sheetName val="Analisa Upah _ Bahan Plum"/>
      <sheetName val="CF"/>
      <sheetName val="Materials"/>
      <sheetName val="Rekap "/>
      <sheetName val="Du_lieu"/>
      <sheetName val="DaftarHarga"/>
      <sheetName val="Analisa Hrg Sat "/>
      <sheetName val="di2"/>
      <sheetName val="koef-beton"/>
      <sheetName val="GASATAGG.XLS"/>
      <sheetName val="HSUMUM.XLS"/>
      <sheetName val="HSDRAIN.XLS"/>
      <sheetName val="HSTANAH"/>
      <sheetName val="HSBASE"/>
      <sheetName val="HSASPAL"/>
      <sheetName val="HSBETON"/>
      <sheetName val="HSSTRUK"/>
      <sheetName val="HSMISC.XLS"/>
      <sheetName val="nama PT."/>
      <sheetName val="Hsatbahan"/>
      <sheetName val="D &amp; W sizes"/>
      <sheetName val="Markup"/>
      <sheetName val="PEKERJAAN PERSIAPAN"/>
      <sheetName val="Ans Kom Precast"/>
      <sheetName val="PJ"/>
      <sheetName val="UPAH &amp; BHN"/>
      <sheetName val="3Div10a"/>
      <sheetName val="3Div10c"/>
      <sheetName val="3Div2"/>
      <sheetName val="3Div3"/>
      <sheetName val="3Div5"/>
      <sheetName val="3Div6"/>
      <sheetName val="3Div7"/>
      <sheetName val="3Div7a"/>
      <sheetName val="3Div8"/>
      <sheetName val="SUMMARY"/>
      <sheetName val="Harga_S_Dasar_UNTUK_IDISI"/>
      <sheetName val="Harga_S_Dasar_UNTUK_IDISI1"/>
      <sheetName val="Harga_S_Dasar_UNTUK_IDISI2"/>
      <sheetName val="Harga_S_Dasar_UNTUK_IDISI3"/>
      <sheetName val="Harga_MAt5"/>
      <sheetName val="TONG_HOP_VL-NC4"/>
      <sheetName val="DON_GIA4"/>
      <sheetName val="TONGKE3p_4"/>
      <sheetName val="CHITIET_VL-NC4"/>
      <sheetName val="Fill_this_out_first___9"/>
      <sheetName val="H_Satuan4"/>
      <sheetName val="Harga_Satuan4"/>
      <sheetName val="Fill_this_out_first___10"/>
      <sheetName val="HRG_BHN4"/>
      <sheetName val="Bangunan_Utama4"/>
      <sheetName val="Analisa_ME4"/>
      <sheetName val="Analisa_-Baku4"/>
      <sheetName val="Rekap_Direct_Cost4"/>
      <sheetName val="TE_TS_FA_LAN_MATV4"/>
      <sheetName val="ANALISA_PEK_UMUM4"/>
      <sheetName val="DAFTAR_HARGA4"/>
      <sheetName val="Currency_Rate4"/>
      <sheetName val="Analisa_Baku_ME4"/>
      <sheetName val="DAFTAR_HARGA_SATUAN_MATERIAL4"/>
      <sheetName val="Kontrak_awal4"/>
      <sheetName val="Check_List_LBP4"/>
      <sheetName val="3_g__Ikht_Biaya4"/>
      <sheetName val="UP_PL4"/>
      <sheetName val="Analisa_Bupati4"/>
      <sheetName val="Code_024"/>
      <sheetName val="Code_034"/>
      <sheetName val="Code_044"/>
      <sheetName val="Code_054"/>
      <sheetName val="Code_064"/>
      <sheetName val="Code_074"/>
      <sheetName val="Code_094"/>
      <sheetName val="Bill_rekap4"/>
      <sheetName val="gabungan_(2)4"/>
      <sheetName val="Unit_Rate4"/>
      <sheetName val="Bill_sipil4"/>
      <sheetName val="Hrg_Sat4"/>
      <sheetName val="TH_VL,_NC,_DDHT_Thanhphuoc4"/>
      <sheetName val="Soil_factor4"/>
      <sheetName val="Smry_Wk_(P_I)4"/>
      <sheetName val="Harga_S_Dasar_UNTUK_IDISI4"/>
      <sheetName val="UPAH-BAHAN_4"/>
      <sheetName val="Harga_MAt6"/>
      <sheetName val="TONG_HOP_VL-NC5"/>
      <sheetName val="DON_GIA5"/>
      <sheetName val="TONGKE3p_5"/>
      <sheetName val="CHITIET_VL-NC5"/>
      <sheetName val="Fill_this_out_first___11"/>
      <sheetName val="H_Satuan5"/>
      <sheetName val="Harga_Satuan5"/>
      <sheetName val="Fill_this_out_first___12"/>
      <sheetName val="HRG_BHN5"/>
      <sheetName val="Bangunan_Utama5"/>
      <sheetName val="Analisa_ME5"/>
      <sheetName val="REF_ONLY5"/>
      <sheetName val="Analisa_-Baku5"/>
      <sheetName val="Rekap_Direct_Cost5"/>
      <sheetName val="TE_TS_FA_LAN_MATV5"/>
      <sheetName val="ANALISA_PEK_UMUM5"/>
      <sheetName val="DAFTAR_HARGA5"/>
      <sheetName val="Currency_Rate5"/>
      <sheetName val="Analisa_Baku_ME5"/>
      <sheetName val="DAFTAR_HARGA_SATUAN_MATERIAL5"/>
      <sheetName val="Kontrak_awal5"/>
      <sheetName val="Check_List_LBP5"/>
      <sheetName val="3_g__Ikht_Biaya5"/>
      <sheetName val="UP_PL5"/>
      <sheetName val="Analisa_Bupati5"/>
      <sheetName val="Code_025"/>
      <sheetName val="Code_035"/>
      <sheetName val="Code_045"/>
      <sheetName val="Code_055"/>
      <sheetName val="Code_065"/>
      <sheetName val="Code_075"/>
      <sheetName val="Code_095"/>
      <sheetName val="Bill_rekap5"/>
      <sheetName val="gabungan_(2)5"/>
      <sheetName val="Unit_Rate5"/>
      <sheetName val="Bill_sipil5"/>
      <sheetName val="Hrg_Sat5"/>
      <sheetName val="TH_VL,_NC,_DDHT_Thanhphuoc5"/>
      <sheetName val="Soil_factor5"/>
      <sheetName val="Smry_Wk_(P_I)5"/>
      <sheetName val="Harga_S_Dasar_UNTUK_IDISI5"/>
      <sheetName val="UPAH-BAHAN_5"/>
      <sheetName val="RAB-ARS"/>
      <sheetName val="HSBU"/>
      <sheetName val="ARAB"/>
      <sheetName val="DAF.ALAT"/>
      <sheetName val="Harga S Dasar"/>
      <sheetName val="bahan dan upah"/>
      <sheetName val="Bab 6 -3(5)"/>
      <sheetName val="2.3(2) Gor"/>
      <sheetName val="8.4.2 Rambu"/>
      <sheetName val="K210"/>
      <sheetName val="Komponen"/>
      <sheetName val="cal borepile"/>
      <sheetName val="EQ"/>
      <sheetName val="per span 35"/>
      <sheetName val="Analisa Harga Satuan"/>
      <sheetName val="Basic Price"/>
      <sheetName val="TJ1Q47"/>
      <sheetName val="COA"/>
      <sheetName val="BQ-E20-02(Rp)"/>
      <sheetName val="DATAOKT"/>
      <sheetName val=" Harga Satuan"/>
      <sheetName val="D7"/>
      <sheetName val="Urut kabupaten"/>
      <sheetName val="5-Peralatan"/>
      <sheetName val="D3"/>
      <sheetName val="D6"/>
      <sheetName val="10.1 (1)"/>
      <sheetName val="10.1 (2)"/>
      <sheetName val="10.1 (3)"/>
      <sheetName val="10.1 (4)"/>
      <sheetName val="10.1 (5)"/>
      <sheetName val="Daftar Upah"/>
      <sheetName val="Satuan Upah &amp; Bahan"/>
      <sheetName val="reg"/>
      <sheetName val="TIMBUNAN"/>
      <sheetName val="tack coat 1 Kg"/>
      <sheetName val="PENGEC. MARKING"/>
      <sheetName val="GL_Account"/>
      <sheetName val="ANALISA STRIPING"/>
      <sheetName val="Infor Umum"/>
      <sheetName val="Bebandanjenis"/>
      <sheetName val="ppkp"/>
      <sheetName val="ruasdanjembatan"/>
      <sheetName val="TDP"/>
      <sheetName val="U&amp;B"/>
      <sheetName val="persiapan"/>
      <sheetName val="Analisa Upah &amp; Bahan Plum"/>
      <sheetName val="Progress"/>
      <sheetName val="3-DIV2"/>
      <sheetName val="LAP   (4)"/>
      <sheetName val="LAP   (11)"/>
      <sheetName val="Analisa 2"/>
      <sheetName val="upah bahan"/>
      <sheetName val="An.alat"/>
      <sheetName val="SEDULC"/>
      <sheetName val="AN-ALAT"/>
      <sheetName val="SATUAN DASAR"/>
      <sheetName val="HALO"/>
      <sheetName val="Scedule"/>
      <sheetName val="Harga Dasar"/>
      <sheetName val="ac"/>
      <sheetName val="Grand Rekap"/>
      <sheetName val="IT"/>
      <sheetName val="Pemadam"/>
      <sheetName val="Customize Your Invoice"/>
      <sheetName val="Invoice"/>
      <sheetName val="uba"/>
      <sheetName val="Kosong"/>
      <sheetName val="Rekap 2017"/>
      <sheetName val="BL"/>
      <sheetName val="Sheet15"/>
      <sheetName val="PO2"/>
      <sheetName val="Cash DP Lapangan"/>
      <sheetName val="Cash Wilayah"/>
      <sheetName val="Hutang Lap"/>
      <sheetName val="Hutang-Wil"/>
      <sheetName val="galiansal"/>
      <sheetName val="ANAL KOEF"/>
      <sheetName val="MAKER (E)"/>
      <sheetName val="Kuantitas &amp; Harga"/>
      <sheetName val="An-Pek-Arui"/>
      <sheetName val="Owning"/>
      <sheetName val="Bill of Qty"/>
      <sheetName val="Bahan Upah"/>
      <sheetName val="STR"/>
      <sheetName val="Analisa HSP"/>
      <sheetName val="DHSD"/>
      <sheetName val="TENAGA"/>
      <sheetName val="Alat R"/>
      <sheetName val="BQ-1A"/>
      <sheetName val="prime coal"/>
      <sheetName val="ah sanitary"/>
      <sheetName val="Anl"/>
      <sheetName val="ut1"/>
      <sheetName val="Jrnl_Kas"/>
      <sheetName val="BIAYA BAHAN"/>
      <sheetName val="BIAYA ALAT"/>
      <sheetName val="O&amp;O-Alat"/>
      <sheetName val="Ana"/>
      <sheetName val="GVL§CT"/>
      <sheetName val="bu alat"/>
      <sheetName val="bu mat"/>
      <sheetName val="bu tenaga"/>
      <sheetName val="an.el"/>
      <sheetName val="An.AC &amp; Plb"/>
      <sheetName val="daf-alat"/>
      <sheetName val="Daf. Upah &amp; Bah"/>
      <sheetName val="4-Quarry"/>
      <sheetName val="Koefisien"/>
      <sheetName val="TERBILANG"/>
      <sheetName val="Met1"/>
      <sheetName val="Met2"/>
      <sheetName val="besi"/>
      <sheetName val="basic"/>
      <sheetName val="HDM"/>
      <sheetName val="HDA"/>
      <sheetName val="MTD"/>
      <sheetName val="HDU"/>
      <sheetName val="DRUP (ASLI)"/>
      <sheetName val="perkerasan rigid"/>
      <sheetName val="an.dmpu"/>
      <sheetName val="Rencana vs Realisasi"/>
      <sheetName val="Kurs"/>
      <sheetName val="Upah &amp; Bahan"/>
      <sheetName val="BoQ(APBN)"/>
      <sheetName val="Divisi1"/>
      <sheetName val="metode.pu"/>
      <sheetName val="4"/>
      <sheetName val="Calcu 02"/>
      <sheetName val="SKD"/>
      <sheetName val="2.E"/>
      <sheetName val="AN.BIAYA MAKAN"/>
      <sheetName val="UPAH&amp;BHN"/>
      <sheetName val="Deep Well"/>
      <sheetName val="Pek Luar"/>
      <sheetName val="Mall"/>
      <sheetName val="Parkir"/>
      <sheetName val="HARGA SAT"/>
      <sheetName val="res200"/>
      <sheetName val="#REF!"/>
      <sheetName val="Breakdown Architecture"/>
      <sheetName val="Breakdown Structure"/>
      <sheetName val="harga bahan"/>
      <sheetName val="KELOMPOK CODE"/>
      <sheetName val="TENES"/>
      <sheetName val="AC-BC"/>
      <sheetName val="OwnEq"/>
      <sheetName val="Pekerjaan Utama"/>
      <sheetName val="Kuantitas _ Harga"/>
      <sheetName val="Rekap Biaya"/>
      <sheetName val="Rekap-KERJA"/>
      <sheetName val="methode-BAHAN"/>
      <sheetName val="Rekap Rutin"/>
      <sheetName val="Rekap Rutin Jembatan"/>
      <sheetName val="Resume"/>
      <sheetName val="bhn_tng"/>
      <sheetName val="Quarry-rangas"/>
      <sheetName val="anal pake"/>
      <sheetName val="dasboard"/>
      <sheetName val="Contract-Data"/>
      <sheetName val="2.7"/>
      <sheetName val="2.6"/>
      <sheetName val="2.4"/>
      <sheetName val="2.3"/>
      <sheetName val="2.2"/>
      <sheetName val="2.1"/>
      <sheetName val="rab - persiapan &amp; lantai-1"/>
      <sheetName val="Sat Bah &amp; Up"/>
      <sheetName val="HB me"/>
      <sheetName val="HS"/>
      <sheetName val="HS-2"/>
      <sheetName val="RABA"/>
      <sheetName val="Code03"/>
      <sheetName val="Rekap Anl"/>
      <sheetName val="gvl"/>
      <sheetName val="Ahs_1"/>
      <sheetName val="Ahs_2"/>
      <sheetName val="REKAP ELEKTRIKAL"/>
      <sheetName val="DIV7-BM"/>
      <sheetName val="Traf&amp;Genst"/>
      <sheetName val="Bill-2"/>
      <sheetName val="Daf-4"/>
      <sheetName val="REQDELTA"/>
      <sheetName val="RUMUS BEKISTING"/>
      <sheetName val="S.BAHAN"/>
      <sheetName val="KINERJA-OPERASI CAB VIII"/>
      <sheetName val="PEMASARAN 2012"/>
      <sheetName val="REK-BULANAN"/>
      <sheetName val="Bahan "/>
      <sheetName val="Pekerjaan "/>
      <sheetName val="Rincian"/>
      <sheetName val="DATA_feed"/>
      <sheetName val="BALANCE"/>
      <sheetName val="CH_FL_YEAR"/>
      <sheetName val="INC_FUN_FIN"/>
      <sheetName val="Bill 1 - 9"/>
      <sheetName val="Bill 12"/>
      <sheetName val="Bill 10"/>
      <sheetName val="HB "/>
      <sheetName val="Analisa RAP"/>
      <sheetName val="Telusur"/>
      <sheetName val="Analisa RAB"/>
      <sheetName val="Har_mat"/>
      <sheetName val="eqp-rek"/>
      <sheetName val="AN-KOEF"/>
      <sheetName val="page 6"/>
      <sheetName val="Man Power"/>
      <sheetName val="UPAH DAN BAHAN"/>
      <sheetName val="HSD"/>
      <sheetName val="MAPDC"/>
      <sheetName val="HOLDING-TB"/>
      <sheetName val="Hrg"/>
      <sheetName val="Dist_analys"/>
      <sheetName val="351BQMCN"/>
      <sheetName val="Har-mat"/>
      <sheetName val="RAB-kons"/>
      <sheetName val="Volume 1"/>
      <sheetName val="Stn_Upah"/>
      <sheetName val="AAG. KLAS B (R)"/>
      <sheetName val="Sloof"/>
      <sheetName val="XL4Test5"/>
      <sheetName val="SAT UPH BHN"/>
      <sheetName val="ANA 1"/>
      <sheetName val="SAT PIPA-ACC"/>
      <sheetName val="PRY01-1"/>
      <sheetName val="SATUAN JADI "/>
      <sheetName val="Upah Modifikasi"/>
      <sheetName val="AN Tdr"/>
      <sheetName val="DKH-1"/>
      <sheetName val="Analisa "/>
      <sheetName val="Tie Beam"/>
      <sheetName val="AN Beton"/>
      <sheetName val="AN Kusen"/>
      <sheetName val="BQ Ars"/>
      <sheetName val="Plat"/>
      <sheetName val="Project Cashflow data"/>
      <sheetName val="Jobsite"/>
      <sheetName val="NDEU"/>
      <sheetName val="Brisbane"/>
      <sheetName val="Newcastle"/>
      <sheetName val="Office 3"/>
      <sheetName val="Office 4"/>
      <sheetName val="Office 5"/>
      <sheetName val="Info_Rates"/>
      <sheetName val="Sat~Bahu"/>
      <sheetName val="Fak"/>
      <sheetName val="Rek-Tot"/>
      <sheetName val="BERAT BESI dan luasan cat"/>
      <sheetName val="Time"/>
      <sheetName val="Har.Sat."/>
      <sheetName val="Meto"/>
      <sheetName val="DIV.1"/>
      <sheetName val="chitimc"/>
      <sheetName val="dongia (2)"/>
      <sheetName val="giathanh1"/>
      <sheetName val="LKVL-CK-HT-GD1"/>
      <sheetName val="Bt.Kosong"/>
      <sheetName val="D7(2)"/>
      <sheetName val="Scedule CCO"/>
      <sheetName val="D8(2)"/>
      <sheetName val="Lalu Lintas"/>
      <sheetName val="Peralatan (2)"/>
      <sheetName val="E_TRIKAL"/>
      <sheetName val="E_TRONIK"/>
      <sheetName val="MEK"/>
      <sheetName val="ANAL_HPS"/>
      <sheetName val="Rekap1"/>
      <sheetName val="ARSITEK"/>
      <sheetName val="data_val"/>
      <sheetName val="CIVIL"/>
      <sheetName val="Entities"/>
      <sheetName val="PNT-QUOT-#3"/>
      <sheetName val="COAT&amp;WRAP-QIOT-#3"/>
      <sheetName val="ANalat"/>
      <sheetName val="Inclusions"/>
      <sheetName val="Overall Summary"/>
      <sheetName val="Rekap Prelim"/>
      <sheetName val="ANALIS ALAT"/>
      <sheetName val="UPAH&amp;BAHAN"/>
      <sheetName val="RAKAP-TTL"/>
      <sheetName val="Strategic Map"/>
      <sheetName val="ANALISA ALAT BERAT"/>
      <sheetName val="Eval_TW_I_20144"/>
      <sheetName val="Prognosa_20144"/>
      <sheetName val="an__struktur4"/>
      <sheetName val="surfacing_&amp;_point___4"/>
      <sheetName val="stone_mas_ARE4"/>
      <sheetName val="REKAP_ARSITEKTUR4"/>
      <sheetName val="OFFICE_2_LT4"/>
      <sheetName val="S_System4"/>
      <sheetName val="daftar_timbngn_percoba_marshal4"/>
      <sheetName val="ANALISA_-_PGRKAN4"/>
      <sheetName val="REKAP_AHS_Lansekap4"/>
      <sheetName val="clg_fin4"/>
      <sheetName val="flr_fin4"/>
      <sheetName val="timber_frame4"/>
      <sheetName val="Wall_Qty4"/>
      <sheetName val="roof_fin4"/>
      <sheetName val="Flr,_Rf_Bm4"/>
      <sheetName val="Flr_Slb,_stair4"/>
      <sheetName val="Gd_Bm4"/>
      <sheetName val="PC,_G_Slab4"/>
      <sheetName val="wall_fin4"/>
      <sheetName val="BQ_ME4"/>
      <sheetName val="Isolasi_Luar_Dalam4"/>
      <sheetName val="FORM_X_COST4"/>
      <sheetName val="UNIT_01,02,03,044"/>
      <sheetName val="Isolasi_Luar4"/>
      <sheetName val="Lab,_Mat_&amp;_Plant_Splits4"/>
      <sheetName val="District_Loading4"/>
      <sheetName val="CATU_DAYA_LISTRIK_PLB4"/>
      <sheetName val="PERALATAN_UTAMA_PK4"/>
      <sheetName val="CATU_DAYA_LISTRIK_PK4"/>
      <sheetName val="PERALATAN_&amp;_KATUP2_PK4"/>
      <sheetName val="PERALATAN_UTAMA_PLB4"/>
      <sheetName val="PERALATAN_&amp;_KATUP2_PLB4"/>
      <sheetName val="PEMIPAAN_PK4"/>
      <sheetName val="PEMIPAAN_PLB4"/>
      <sheetName val="Cash_in4"/>
      <sheetName val="_R_A_B4"/>
      <sheetName val="Rekap_dpb_114"/>
      <sheetName val="LB_014"/>
      <sheetName val="material_4"/>
      <sheetName val="Mat_Elk4"/>
      <sheetName val="P_LS4"/>
      <sheetName val="Single_line_AC4"/>
      <sheetName val="P_AC4"/>
      <sheetName val="rekap_panel4"/>
      <sheetName val="MTO_REV_04"/>
      <sheetName val="RINCIAN_HK_DIVISI4"/>
      <sheetName val="custom_check4"/>
      <sheetName val="A+Supl_4"/>
      <sheetName val="tunj_1"/>
      <sheetName val="trf_d-i1"/>
      <sheetName val="610_61"/>
      <sheetName val="rpp_1-51"/>
      <sheetName val="rpp_1-61"/>
      <sheetName val="UBA_RAB"/>
      <sheetName val="REKAP_FS"/>
      <sheetName val="REKAP_TOTAL"/>
      <sheetName val="REKAP_FD"/>
      <sheetName val="Analisa_Upah___Bahan_Plum"/>
      <sheetName val="Harga_ME_"/>
      <sheetName val="ARS_ADM"/>
      <sheetName val="struktur_tdk_dipakai"/>
      <sheetName val="ANALISA_2010"/>
      <sheetName val="Rekap_"/>
      <sheetName val="REF_ONLY6"/>
      <sheetName val="Eval_TW_I_20145"/>
      <sheetName val="Prognosa_20145"/>
      <sheetName val="an__struktur5"/>
      <sheetName val="surfacing_&amp;_point___5"/>
      <sheetName val="stone_mas_ARE5"/>
      <sheetName val="REKAP_ARSITEKTUR5"/>
      <sheetName val="OFFICE_2_LT5"/>
      <sheetName val="S_System5"/>
      <sheetName val="daftar_timbngn_percoba_marshal5"/>
      <sheetName val="ANALISA_-_PGRKAN5"/>
      <sheetName val="REKAP_AHS_Lansekap5"/>
      <sheetName val="clg_fin5"/>
      <sheetName val="flr_fin5"/>
      <sheetName val="timber_frame5"/>
      <sheetName val="Wall_Qty5"/>
      <sheetName val="roof_fin5"/>
      <sheetName val="Flr,_Rf_Bm5"/>
      <sheetName val="Flr_Slb,_stair5"/>
      <sheetName val="Gd_Bm5"/>
      <sheetName val="PC,_G_Slab5"/>
      <sheetName val="wall_fin5"/>
      <sheetName val="BQ_ME5"/>
      <sheetName val="Isolasi_Luar_Dalam5"/>
      <sheetName val="FORM_X_COST5"/>
      <sheetName val="UNIT_01,02,03,045"/>
      <sheetName val="Isolasi_Luar5"/>
      <sheetName val="Lab,_Mat_&amp;_Plant_Splits5"/>
      <sheetName val="District_Loading5"/>
      <sheetName val="CATU_DAYA_LISTRIK_PLB5"/>
      <sheetName val="PERALATAN_UTAMA_PK5"/>
      <sheetName val="CATU_DAYA_LISTRIK_PK5"/>
      <sheetName val="PERALATAN_&amp;_KATUP2_PK5"/>
      <sheetName val="PERALATAN_UTAMA_PLB5"/>
      <sheetName val="PERALATAN_&amp;_KATUP2_PLB5"/>
      <sheetName val="PEMIPAAN_PK5"/>
      <sheetName val="PEMIPAAN_PLB5"/>
      <sheetName val="Cash_in5"/>
      <sheetName val="_R_A_B5"/>
      <sheetName val="Rekap_dpb_115"/>
      <sheetName val="LB_015"/>
      <sheetName val="material_5"/>
      <sheetName val="Mat_Elk5"/>
      <sheetName val="P_LS5"/>
      <sheetName val="Single_line_AC5"/>
      <sheetName val="P_AC5"/>
      <sheetName val="rekap_panel5"/>
      <sheetName val="MTO_REV_05"/>
      <sheetName val="RINCIAN_HK_DIVISI5"/>
      <sheetName val="custom_check5"/>
      <sheetName val="A+Supl_5"/>
      <sheetName val="tunj_2"/>
      <sheetName val="trf_d-i2"/>
      <sheetName val="610_62"/>
      <sheetName val="rpp_1-52"/>
      <sheetName val="rpp_1-62"/>
      <sheetName val="UBA_RAB1"/>
      <sheetName val="REKAP_FS1"/>
      <sheetName val="REKAP_TOTAL1"/>
      <sheetName val="REKAP_FD1"/>
      <sheetName val="Analisa_Upah___Bahan_Plum1"/>
      <sheetName val="Harga_ME_1"/>
      <sheetName val="ARS_ADM1"/>
      <sheetName val="struktur_tdk_dipakai1"/>
      <sheetName val="ANALISA_20101"/>
      <sheetName val="Rekap_1"/>
      <sheetName val="SEX"/>
      <sheetName val="srtberkas"/>
      <sheetName val="Performance_Assumptions"/>
      <sheetName val="BAG-2"/>
      <sheetName val="Ten"/>
      <sheetName val="As"/>
      <sheetName val="Pk prod"/>
      <sheetName val="JADWAL"/>
      <sheetName val="ALT"/>
      <sheetName val="Assumption"/>
      <sheetName val="Chart"/>
      <sheetName val="analisa SNI"/>
      <sheetName val="co_data"/>
      <sheetName val="Daftar Harga Material"/>
      <sheetName val="BQ OE"/>
      <sheetName val="Analisa PDAM smd 2014"/>
      <sheetName val="UPH"/>
      <sheetName val="har-sat"/>
      <sheetName val="Sag1"/>
      <sheetName val="LK2004"/>
      <sheetName val="TOEC"/>
      <sheetName val="주관사업"/>
      <sheetName val="요약배부"/>
      <sheetName val="conc-mix"/>
      <sheetName val="BACK"/>
      <sheetName val="Page1"/>
      <sheetName val="Financial Statements"/>
      <sheetName val="HARGA_MATERIAL"/>
      <sheetName val="B_T"/>
      <sheetName val="Harsat_Elektrikal_"/>
      <sheetName val="DAF_ALAT"/>
      <sheetName val="Analisa_ME_"/>
      <sheetName val="Direct_Cost"/>
      <sheetName val="Analisa_Hrg_Sat_"/>
      <sheetName val="UPAH_"/>
      <sheetName val="HB_"/>
      <sheetName val="Analisa_RAP"/>
      <sheetName val="Analisa_RAB"/>
      <sheetName val="AN_BIAYA_MAKAN"/>
      <sheetName val="PT_"/>
      <sheetName val="Grand_Rekap"/>
      <sheetName val="Bill_1_-_9"/>
      <sheetName val="Bill_12"/>
      <sheetName val="Bill_10"/>
      <sheetName val="KOEFISIEN_TEKNIS"/>
      <sheetName val="Daf_1"/>
      <sheetName val="Rekap_Prelim"/>
      <sheetName val="an_el"/>
      <sheetName val="An_AC_&amp;_Plb"/>
      <sheetName val="analisa_SNI"/>
      <sheetName val="Daftar_Harga_Material"/>
      <sheetName val="2_7"/>
      <sheetName val="2_6"/>
      <sheetName val="2_4"/>
      <sheetName val="2_3"/>
      <sheetName val="2_2"/>
      <sheetName val="2_1"/>
      <sheetName val="rab_-_persiapan_&amp;_lantai-1"/>
      <sheetName val="BQ_OE"/>
      <sheetName val="Analisa_PDAM_smd_2014"/>
      <sheetName val="ANALIS_ALAT"/>
      <sheetName val="bahan_2004"/>
      <sheetName val="Harga_Dasar"/>
      <sheetName val="10_1_(1)"/>
      <sheetName val="10_1_(2)"/>
      <sheetName val="10_1_(3)"/>
      <sheetName val="10_1_(4)"/>
      <sheetName val="10_1_(5)"/>
      <sheetName val="Customize_Your_Invoice"/>
      <sheetName val="GASATAGG_XLS"/>
      <sheetName val="HSUMUM_XLS"/>
      <sheetName val="HSDRAIN_XLS"/>
      <sheetName val="HSMISC_XLS"/>
      <sheetName val="nama_PT_"/>
      <sheetName val="D_&amp;_W_sizes"/>
      <sheetName val="PEKERJAAN_PERSIAPAN"/>
      <sheetName val="Ans_Kom_Precast"/>
      <sheetName val="UPAH_&amp;_BHN"/>
      <sheetName val="ANALISA_ALAT"/>
      <sheetName val="ES_STG"/>
      <sheetName val="_Harga_Satuan"/>
      <sheetName val="Financial_Statements"/>
      <sheetName val="4-Basic_Price"/>
      <sheetName val="Sat_Bah_&amp;_Up"/>
      <sheetName val="hsp-STR-ARS"/>
      <sheetName val="LEGEND"/>
      <sheetName val="trf ns_04"/>
      <sheetName val="tarippasif_wanto"/>
      <sheetName val="Tunda56=1_dodo"/>
      <sheetName val="Agregat Halus &amp; Kasar"/>
      <sheetName val="Harga_MAt7"/>
      <sheetName val="Fill_this_out_first___13"/>
      <sheetName val="H_Satuan6"/>
      <sheetName val="REF_ONLY7"/>
      <sheetName val="Bangunan_Utama6"/>
      <sheetName val="DAFTAR_HARGA6"/>
      <sheetName val="TE_TS_FA_LAN_MATV6"/>
      <sheetName val="HRG_BHN6"/>
      <sheetName val="Analisa_ME6"/>
      <sheetName val="Fill_this_out_first___14"/>
      <sheetName val="TONG_HOP_VL-NC6"/>
      <sheetName val="DON_GIA6"/>
      <sheetName val="TONGKE3p_6"/>
      <sheetName val="CHITIET_VL-NC6"/>
      <sheetName val="UPAH-BAHAN_6"/>
      <sheetName val="Rekap_dpb_116"/>
      <sheetName val="LB_016"/>
      <sheetName val="CATU_DAYA_LISTRIK_PLB6"/>
      <sheetName val="CATU_DAYA_LISTRIK_PK6"/>
      <sheetName val="PERALATAN_&amp;_KATUP2_PK6"/>
      <sheetName val="PERALATAN_UTAMA_PK6"/>
      <sheetName val="PERALATAN_UTAMA_PLB6"/>
      <sheetName val="PERALATAN_&amp;_KATUP2_PLB6"/>
      <sheetName val="PEMIPAAN_PK6"/>
      <sheetName val="PEMIPAAN_PLB6"/>
      <sheetName val="Harga_Satuan6"/>
      <sheetName val="Currency_Rate6"/>
      <sheetName val="_R_A_B6"/>
      <sheetName val="ANALISA_PEK_UMUM6"/>
      <sheetName val="Analisa_Baku_ME6"/>
      <sheetName val="Rekap_Direct_Cost6"/>
      <sheetName val="Analisa_-Baku6"/>
      <sheetName val="UP_PL6"/>
      <sheetName val="Analisa_Bupati6"/>
      <sheetName val="an__struktur6"/>
      <sheetName val="Kontrak_awal6"/>
      <sheetName val="Check_List_LBP6"/>
      <sheetName val="3_g__Ikht_Biaya6"/>
      <sheetName val="Code_026"/>
      <sheetName val="Code_036"/>
      <sheetName val="Code_046"/>
      <sheetName val="Code_056"/>
      <sheetName val="Code_066"/>
      <sheetName val="Code_076"/>
      <sheetName val="Code_096"/>
      <sheetName val="DAFTAR_HARGA_SATUAN_MATERIAL6"/>
      <sheetName val="Hrg_Sat6"/>
      <sheetName val="OFFICE_2_LT6"/>
      <sheetName val="Bill_rekap6"/>
      <sheetName val="material_6"/>
      <sheetName val="S_System6"/>
      <sheetName val="TH_VL,_NC,_DDHT_Thanhphuoc6"/>
      <sheetName val="Smry_Wk_(P_I)6"/>
      <sheetName val="BQ_ME6"/>
      <sheetName val="Bill_sipil6"/>
      <sheetName val="Unit_Rate6"/>
      <sheetName val="Isolasi_Luar_Dalam6"/>
      <sheetName val="Isolasi_Luar6"/>
      <sheetName val="A+Supl_6"/>
      <sheetName val="UNIT_01,02,03,046"/>
      <sheetName val="Lab,_Mat_&amp;_Plant_Splits6"/>
      <sheetName val="District_Loading6"/>
      <sheetName val="Cash_in6"/>
      <sheetName val="custom_check6"/>
      <sheetName val="gabungan_(2)6"/>
      <sheetName val="Soil_factor6"/>
      <sheetName val="Eval_TW_I_20146"/>
      <sheetName val="Prognosa_20146"/>
      <sheetName val="surfacing_&amp;_point___6"/>
      <sheetName val="stone_mas_ARE6"/>
      <sheetName val="REKAP_ARSITEKTUR6"/>
      <sheetName val="ANALISA_-_PGRKAN6"/>
      <sheetName val="REKAP_AHS_Lansekap6"/>
      <sheetName val="daftar_timbngn_percoba_marshal6"/>
      <sheetName val="clg_fin6"/>
      <sheetName val="flr_fin6"/>
      <sheetName val="timber_frame6"/>
      <sheetName val="Wall_Qty6"/>
      <sheetName val="roof_fin6"/>
      <sheetName val="Flr,_Rf_Bm6"/>
      <sheetName val="Flr_Slb,_stair6"/>
      <sheetName val="Gd_Bm6"/>
      <sheetName val="PC,_G_Slab6"/>
      <sheetName val="wall_fin6"/>
      <sheetName val="Harga_ME_2"/>
      <sheetName val="MTO_REV_06"/>
      <sheetName val="FORM_X_COST6"/>
      <sheetName val="Mat_Elk6"/>
      <sheetName val="P_LS6"/>
      <sheetName val="Single_line_AC6"/>
      <sheetName val="P_AC6"/>
      <sheetName val="rekap_panel6"/>
      <sheetName val="Harga_S_Dasar_UNTUK_IDISI6"/>
      <sheetName val="610_63"/>
      <sheetName val="rpp_1-53"/>
      <sheetName val="rpp_1-63"/>
      <sheetName val="ARS_ADM2"/>
      <sheetName val="tunj_3"/>
      <sheetName val="trf_d-i3"/>
      <sheetName val="struktur_tdk_dipakai2"/>
      <sheetName val="ANALISA_20102"/>
      <sheetName val="RINCIAN_HK_DIVISI6"/>
      <sheetName val="UBA_RAB2"/>
      <sheetName val="REKAP_FS2"/>
      <sheetName val="REKAP_TOTAL2"/>
      <sheetName val="REKAP_FD2"/>
      <sheetName val="Analisa_Upah___Bahan_Plum2"/>
      <sheetName val="Rekap_2"/>
      <sheetName val="HARGA_MATERIAL1"/>
      <sheetName val="B_T1"/>
      <sheetName val="Harsat_Elektrikal_1"/>
      <sheetName val="DAF_ALAT1"/>
      <sheetName val="Analisa_ME_1"/>
      <sheetName val="Direct_Cost1"/>
      <sheetName val="Analisa_Hrg_Sat_1"/>
      <sheetName val="UPAH_1"/>
      <sheetName val="HB_1"/>
      <sheetName val="Analisa_RAP1"/>
      <sheetName val="Analisa_RAB1"/>
      <sheetName val="AN_BIAYA_MAKAN1"/>
      <sheetName val="PT_1"/>
      <sheetName val="Grand_Rekap1"/>
      <sheetName val="Bill_1_-_91"/>
      <sheetName val="Bill_121"/>
      <sheetName val="Bill_101"/>
      <sheetName val="KOEFISIEN_TEKNIS1"/>
      <sheetName val="Daf_11"/>
      <sheetName val="Rekap_Prelim1"/>
      <sheetName val="an_el1"/>
      <sheetName val="An_AC_&amp;_Plb1"/>
      <sheetName val="analisa_SNI1"/>
      <sheetName val="Daftar_Harga_Material1"/>
      <sheetName val="2_71"/>
      <sheetName val="2_61"/>
      <sheetName val="2_41"/>
      <sheetName val="2_31"/>
      <sheetName val="2_21"/>
      <sheetName val="2_11"/>
      <sheetName val="rab_-_persiapan_&amp;_lantai-11"/>
      <sheetName val="BQ_OE1"/>
      <sheetName val="Analisa_PDAM_smd_20141"/>
      <sheetName val="ANALIS_ALAT1"/>
      <sheetName val="bahan_20041"/>
      <sheetName val="Harga_Dasar1"/>
      <sheetName val="10_1_(1)1"/>
      <sheetName val="10_1_(2)1"/>
      <sheetName val="10_1_(3)1"/>
      <sheetName val="10_1_(4)1"/>
      <sheetName val="10_1_(5)1"/>
      <sheetName val="Customize_Your_Invoice1"/>
      <sheetName val="GASATAGG_XLS1"/>
      <sheetName val="HSUMUM_XLS1"/>
      <sheetName val="HSDRAIN_XLS1"/>
      <sheetName val="HSMISC_XLS1"/>
      <sheetName val="nama_PT_1"/>
      <sheetName val="D_&amp;_W_sizes1"/>
      <sheetName val="PEKERJAAN_PERSIAPAN1"/>
      <sheetName val="Ans_Kom_Precast1"/>
      <sheetName val="UPAH_&amp;_BHN1"/>
      <sheetName val="ANALISA_ALAT1"/>
      <sheetName val="ES_STG1"/>
      <sheetName val="_Harga_Satuan1"/>
      <sheetName val="Financial_Statements1"/>
      <sheetName val="4-Basic_Price1"/>
      <sheetName val="Sat_Bah_&amp;_Up1"/>
      <sheetName val="harga_bahan"/>
      <sheetName val="Overall_Summary"/>
      <sheetName val="Strategic_Map"/>
      <sheetName val="ANALISA_ALAT_BERAT"/>
      <sheetName val="Harga_MAt8"/>
      <sheetName val="Fill_this_out_first___15"/>
      <sheetName val="H_Satuan7"/>
      <sheetName val="REF_ONLY8"/>
      <sheetName val="Bangunan_Utama7"/>
      <sheetName val="DAFTAR_HARGA7"/>
      <sheetName val="TE_TS_FA_LAN_MATV7"/>
      <sheetName val="HRG_BHN7"/>
      <sheetName val="Analisa_ME7"/>
      <sheetName val="Fill_this_out_first___16"/>
      <sheetName val="TONG_HOP_VL-NC7"/>
      <sheetName val="DON_GIA7"/>
      <sheetName val="TONGKE3p_7"/>
      <sheetName val="CHITIET_VL-NC7"/>
      <sheetName val="UPAH-BAHAN_7"/>
      <sheetName val="Rekap_dpb_117"/>
      <sheetName val="LB_017"/>
      <sheetName val="CATU_DAYA_LISTRIK_PLB7"/>
      <sheetName val="CATU_DAYA_LISTRIK_PK7"/>
      <sheetName val="PERALATAN_&amp;_KATUP2_PK7"/>
      <sheetName val="PERALATAN_UTAMA_PK7"/>
      <sheetName val="PERALATAN_UTAMA_PLB7"/>
      <sheetName val="PERALATAN_&amp;_KATUP2_PLB7"/>
      <sheetName val="PEMIPAAN_PK7"/>
      <sheetName val="PEMIPAAN_PLB7"/>
      <sheetName val="Harga_Satuan7"/>
      <sheetName val="Currency_Rate7"/>
      <sheetName val="_R_A_B7"/>
      <sheetName val="ANALISA_PEK_UMUM7"/>
      <sheetName val="Analisa_Baku_ME7"/>
      <sheetName val="Rekap_Direct_Cost7"/>
      <sheetName val="Analisa_-Baku7"/>
      <sheetName val="UP_PL7"/>
      <sheetName val="Analisa_Bupati7"/>
      <sheetName val="an__struktur7"/>
      <sheetName val="Kontrak_awal7"/>
      <sheetName val="Check_List_LBP7"/>
      <sheetName val="3_g__Ikht_Biaya7"/>
      <sheetName val="Code_027"/>
      <sheetName val="Code_037"/>
      <sheetName val="Code_047"/>
      <sheetName val="Code_057"/>
      <sheetName val="Code_067"/>
      <sheetName val="Code_077"/>
      <sheetName val="Code_097"/>
      <sheetName val="DAFTAR_HARGA_SATUAN_MATERIAL7"/>
      <sheetName val="Hrg_Sat7"/>
      <sheetName val="OFFICE_2_LT7"/>
      <sheetName val="Bill_rekap7"/>
      <sheetName val="material_7"/>
      <sheetName val="S_System7"/>
      <sheetName val="TH_VL,_NC,_DDHT_Thanhphuoc7"/>
      <sheetName val="Smry_Wk_(P_I)7"/>
      <sheetName val="BQ_ME7"/>
      <sheetName val="Bill_sipil7"/>
      <sheetName val="Unit_Rate7"/>
      <sheetName val="Isolasi_Luar_Dalam7"/>
      <sheetName val="Isolasi_Luar7"/>
      <sheetName val="A+Supl_7"/>
      <sheetName val="UNIT_01,02,03,047"/>
      <sheetName val="Lab,_Mat_&amp;_Plant_Splits7"/>
      <sheetName val="District_Loading7"/>
      <sheetName val="Cash_in7"/>
      <sheetName val="custom_check7"/>
      <sheetName val="gabungan_(2)7"/>
      <sheetName val="Soil_factor7"/>
      <sheetName val="Eval_TW_I_20147"/>
      <sheetName val="Prognosa_20147"/>
      <sheetName val="surfacing_&amp;_point___7"/>
      <sheetName val="stone_mas_ARE7"/>
      <sheetName val="REKAP_ARSITEKTUR7"/>
      <sheetName val="ANALISA_-_PGRKAN7"/>
      <sheetName val="REKAP_AHS_Lansekap7"/>
      <sheetName val="daftar_timbngn_percoba_marshal7"/>
      <sheetName val="clg_fin7"/>
      <sheetName val="flr_fin7"/>
      <sheetName val="timber_frame7"/>
      <sheetName val="Wall_Qty7"/>
      <sheetName val="roof_fin7"/>
      <sheetName val="Flr,_Rf_Bm7"/>
      <sheetName val="Flr_Slb,_stair7"/>
      <sheetName val="Gd_Bm7"/>
      <sheetName val="PC,_G_Slab7"/>
      <sheetName val="wall_fin7"/>
      <sheetName val="Harga_ME_3"/>
      <sheetName val="MTO_REV_07"/>
      <sheetName val="FORM_X_COST7"/>
      <sheetName val="Mat_Elk7"/>
      <sheetName val="P_LS7"/>
      <sheetName val="Single_line_AC7"/>
      <sheetName val="P_AC7"/>
      <sheetName val="rekap_panel7"/>
      <sheetName val="Harga_S_Dasar_UNTUK_IDISI7"/>
      <sheetName val="610_64"/>
      <sheetName val="rpp_1-54"/>
      <sheetName val="rpp_1-64"/>
      <sheetName val="ARS_ADM3"/>
      <sheetName val="tunj_4"/>
      <sheetName val="trf_d-i4"/>
      <sheetName val="struktur_tdk_dipakai3"/>
      <sheetName val="ANALISA_20103"/>
      <sheetName val="RINCIAN_HK_DIVISI7"/>
      <sheetName val="UBA_RAB3"/>
      <sheetName val="REKAP_FS3"/>
      <sheetName val="REKAP_TOTAL3"/>
      <sheetName val="REKAP_FD3"/>
      <sheetName val="Analisa_Upah___Bahan_Plum3"/>
      <sheetName val="Rekap_3"/>
      <sheetName val="HARGA_MATERIAL2"/>
      <sheetName val="B_T2"/>
      <sheetName val="Harsat_Elektrikal_2"/>
      <sheetName val="DAF_ALAT2"/>
      <sheetName val="Analisa_ME_2"/>
      <sheetName val="Direct_Cost2"/>
      <sheetName val="Analisa_Hrg_Sat_2"/>
      <sheetName val="UPAH_2"/>
      <sheetName val="HB_2"/>
      <sheetName val="Analisa_RAP2"/>
      <sheetName val="Analisa_RAB2"/>
      <sheetName val="AN_BIAYA_MAKAN2"/>
      <sheetName val="PT_2"/>
      <sheetName val="Grand_Rekap2"/>
      <sheetName val="Bill_1_-_92"/>
      <sheetName val="Bill_122"/>
      <sheetName val="Bill_102"/>
      <sheetName val="KOEFISIEN_TEKNIS2"/>
      <sheetName val="Daf_12"/>
      <sheetName val="Rekap_Prelim2"/>
      <sheetName val="an_el2"/>
      <sheetName val="An_AC_&amp;_Plb2"/>
      <sheetName val="analisa_SNI2"/>
      <sheetName val="Daftar_Harga_Material2"/>
      <sheetName val="2_72"/>
      <sheetName val="2_62"/>
      <sheetName val="2_42"/>
      <sheetName val="2_32"/>
      <sheetName val="2_22"/>
      <sheetName val="2_12"/>
      <sheetName val="rab_-_persiapan_&amp;_lantai-12"/>
      <sheetName val="BQ_OE2"/>
      <sheetName val="Analisa_PDAM_smd_20142"/>
      <sheetName val="ANALIS_ALAT2"/>
      <sheetName val="bahan_20042"/>
      <sheetName val="Harga_Dasar2"/>
      <sheetName val="10_1_(1)2"/>
      <sheetName val="10_1_(2)2"/>
      <sheetName val="10_1_(3)2"/>
      <sheetName val="10_1_(4)2"/>
      <sheetName val="10_1_(5)2"/>
      <sheetName val="Customize_Your_Invoice2"/>
      <sheetName val="GASATAGG_XLS2"/>
      <sheetName val="HSUMUM_XLS2"/>
      <sheetName val="HSDRAIN_XLS2"/>
      <sheetName val="HSMISC_XLS2"/>
      <sheetName val="nama_PT_2"/>
      <sheetName val="D_&amp;_W_sizes2"/>
      <sheetName val="PEKERJAAN_PERSIAPAN2"/>
      <sheetName val="Ans_Kom_Precast2"/>
      <sheetName val="UPAH_&amp;_BHN2"/>
      <sheetName val="ANALISA_ALAT2"/>
      <sheetName val="ES_STG2"/>
      <sheetName val="_Harga_Satuan2"/>
      <sheetName val="Financial_Statements2"/>
      <sheetName val="4-Basic_Price2"/>
      <sheetName val="Sat_Bah_&amp;_Up2"/>
      <sheetName val="harga_bahan1"/>
      <sheetName val="Overall_Summary1"/>
      <sheetName val="Strategic_Map1"/>
      <sheetName val="ANALISA_ALAT_BERAT1"/>
      <sheetName val="Uraian Teknis"/>
      <sheetName val="pro ra op"/>
      <sheetName val="grafik"/>
      <sheetName val="FORM01"/>
      <sheetName val="NAME"/>
      <sheetName val="SCH"/>
      <sheetName val="Connections"/>
      <sheetName val="DWTables"/>
      <sheetName val="anlRD"/>
      <sheetName val="HSP"/>
      <sheetName val="HARGADASAR"/>
      <sheetName val="bhn-upah"/>
      <sheetName val="BALI"/>
      <sheetName val="CashIn"/>
      <sheetName val="Master Schedule"/>
      <sheetName val="LMKC 1"/>
      <sheetName val="LMKC 3"/>
      <sheetName val="Lmkc 4"/>
      <sheetName val="PEMASARAN 2014"/>
      <sheetName val="rkapk_cashflow_2014"/>
      <sheetName val="LMKC 6-wip"/>
      <sheetName val="Neraca"/>
      <sheetName val="Daft.Kuantitas"/>
      <sheetName val="REKAP  (3)"/>
      <sheetName val="HArga BAhan ME"/>
      <sheetName val="HARGA SATUAN BAHAN"/>
      <sheetName val="Met_Pas Batu"/>
      <sheetName val="Met_ Minor"/>
      <sheetName val="Balance sheet"/>
      <sheetName val="LAP 035HO"/>
      <sheetName val="H036HO"/>
      <sheetName val="HDS"/>
      <sheetName val="D3.4.3"/>
      <sheetName val="D3.4.4"/>
      <sheetName val="Marshal -1"/>
      <sheetName val="RAB AR&amp;STR"/>
      <sheetName val="Belmera"/>
      <sheetName val="Cawang Tomang Cengkareng"/>
      <sheetName val="Jakarta Cikampek"/>
      <sheetName val="Citarum"/>
      <sheetName val="Jagorawi"/>
      <sheetName val="Jakarta Merak"/>
      <sheetName val="Padalarang Cileunyi"/>
      <sheetName val="Palikanci"/>
      <sheetName val="Semarang"/>
      <sheetName val="Surabaya Gempol Mojokerto"/>
      <sheetName val="Lamp. Bahan"/>
      <sheetName val="BETON BERTULANG "/>
      <sheetName val="List H.Bahan&amp;Upah"/>
      <sheetName val="A.HARSAT ARS"/>
      <sheetName val="bg"/>
      <sheetName val="Profil"/>
      <sheetName val="Rkp"/>
      <sheetName val="DPP"/>
      <sheetName val="IP"/>
      <sheetName val="Pengantar"/>
      <sheetName val="BOQ RIGID "/>
      <sheetName val="LOKASI MARKA RIGID"/>
      <sheetName val="Rigid ML"/>
      <sheetName val="Rigid rsa"/>
      <sheetName val="CAB 2"/>
      <sheetName val="Sheet2"/>
      <sheetName val="owner-estimate"/>
      <sheetName val="category"/>
      <sheetName val="PENJUALAN PB 2013"/>
      <sheetName val="Sort RKAPK"/>
      <sheetName val="Sat_Bahu"/>
      <sheetName val="S_CURVE"/>
      <sheetName val="Form 1"/>
      <sheetName val="pivot-UPA"/>
      <sheetName val="Pricing"/>
      <sheetName val="data_DW"/>
      <sheetName val="VOLUME"/>
      <sheetName val="HARGA SATUAN  "/>
      <sheetName val="D.78"/>
      <sheetName val="D.79"/>
      <sheetName val="D.80"/>
      <sheetName val="D.81"/>
      <sheetName val="D.82"/>
      <sheetName val="D.83"/>
      <sheetName val="D.84"/>
      <sheetName val="D.85"/>
      <sheetName val="D.86"/>
      <sheetName val="D.87"/>
      <sheetName val="D.88"/>
      <sheetName val="D.89"/>
      <sheetName val="D.91"/>
      <sheetName val="D.92"/>
      <sheetName val="D.93"/>
      <sheetName val="D.94"/>
      <sheetName val="D.95"/>
      <sheetName val="D.96"/>
      <sheetName val="DAFALAT"/>
      <sheetName val="Harsat_Elektrikal_3"/>
      <sheetName val="HARGA_MATERIAL3"/>
      <sheetName val="B_T3"/>
      <sheetName val="DAF_ALAT3"/>
      <sheetName val="Analisa_ME_3"/>
      <sheetName val="Direct_Cost3"/>
      <sheetName val="Analisa_Hrg_Sat_3"/>
      <sheetName val="Analisa_RAP3"/>
      <sheetName val="Analisa_RAB3"/>
      <sheetName val="UPAH_3"/>
      <sheetName val="HB_3"/>
      <sheetName val="AN_BIAYA_MAKAN3"/>
      <sheetName val="PT_3"/>
      <sheetName val="Grand_Rekap3"/>
      <sheetName val="Bill_1_-_93"/>
      <sheetName val="Bill_123"/>
      <sheetName val="Bill_103"/>
      <sheetName val="KOEFISIEN_TEKNIS3"/>
      <sheetName val="Daf_13"/>
      <sheetName val="Rekap_Prelim3"/>
      <sheetName val="Harga_MAt9"/>
      <sheetName val="Fill_this_out_first___17"/>
      <sheetName val="H_Satuan8"/>
      <sheetName val="REF_ONLY9"/>
      <sheetName val="Bangunan_Utama8"/>
      <sheetName val="DAFTAR_HARGA8"/>
      <sheetName val="TE_TS_FA_LAN_MATV8"/>
      <sheetName val="HRG_BHN8"/>
      <sheetName val="Analisa_ME8"/>
      <sheetName val="Fill_this_out_first___18"/>
      <sheetName val="TONG_HOP_VL-NC8"/>
      <sheetName val="DON_GIA8"/>
      <sheetName val="TONGKE3p_8"/>
      <sheetName val="CHITIET_VL-NC8"/>
      <sheetName val="UPAH-BAHAN_8"/>
      <sheetName val="Rekap_dpb_118"/>
      <sheetName val="LB_018"/>
      <sheetName val="CATU_DAYA_LISTRIK_PLB8"/>
      <sheetName val="CATU_DAYA_LISTRIK_PK8"/>
      <sheetName val="PERALATAN_&amp;_KATUP2_PK8"/>
      <sheetName val="PERALATAN_UTAMA_PK8"/>
      <sheetName val="PERALATAN_UTAMA_PLB8"/>
      <sheetName val="PERALATAN_&amp;_KATUP2_PLB8"/>
      <sheetName val="PEMIPAAN_PK8"/>
      <sheetName val="PEMIPAAN_PLB8"/>
      <sheetName val="Harga_Satuan8"/>
      <sheetName val="Currency_Rate8"/>
      <sheetName val="_R_A_B8"/>
      <sheetName val="ANALISA_PEK_UMUM8"/>
      <sheetName val="Analisa_Baku_ME8"/>
      <sheetName val="Rekap_Direct_Cost8"/>
      <sheetName val="Analisa_-Baku8"/>
      <sheetName val="UP_PL8"/>
      <sheetName val="Analisa_Bupati8"/>
      <sheetName val="an__struktur8"/>
      <sheetName val="Kontrak_awal8"/>
      <sheetName val="Check_List_LBP8"/>
      <sheetName val="3_g__Ikht_Biaya8"/>
      <sheetName val="Code_028"/>
      <sheetName val="Code_038"/>
      <sheetName val="Code_048"/>
      <sheetName val="Code_058"/>
      <sheetName val="Code_068"/>
      <sheetName val="Code_078"/>
      <sheetName val="Code_098"/>
      <sheetName val="DAFTAR_HARGA_SATUAN_MATERIAL8"/>
      <sheetName val="Hrg_Sat8"/>
      <sheetName val="OFFICE_2_LT8"/>
      <sheetName val="Bill_rekap8"/>
      <sheetName val="material_8"/>
      <sheetName val="S_System8"/>
      <sheetName val="TH_VL,_NC,_DDHT_Thanhphuoc8"/>
      <sheetName val="Smry_Wk_(P_I)8"/>
      <sheetName val="BQ_ME8"/>
      <sheetName val="Bill_sipil8"/>
      <sheetName val="Unit_Rate8"/>
      <sheetName val="Isolasi_Luar_Dalam8"/>
      <sheetName val="Isolasi_Luar8"/>
      <sheetName val="A+Supl_8"/>
      <sheetName val="UNIT_01,02,03,048"/>
      <sheetName val="Lab,_Mat_&amp;_Plant_Splits8"/>
      <sheetName val="District_Loading8"/>
      <sheetName val="Cash_in8"/>
      <sheetName val="custom_check8"/>
      <sheetName val="gabungan_(2)8"/>
      <sheetName val="Soil_factor8"/>
      <sheetName val="Eval_TW_I_20148"/>
      <sheetName val="Prognosa_20148"/>
      <sheetName val="surfacing_&amp;_point___8"/>
      <sheetName val="stone_mas_ARE8"/>
      <sheetName val="REKAP_ARSITEKTUR8"/>
      <sheetName val="ANALISA_-_PGRKAN8"/>
      <sheetName val="REKAP_AHS_Lansekap8"/>
      <sheetName val="daftar_timbngn_percoba_marshal8"/>
      <sheetName val="clg_fin8"/>
      <sheetName val="flr_fin8"/>
      <sheetName val="timber_frame8"/>
      <sheetName val="Wall_Qty8"/>
      <sheetName val="roof_fin8"/>
      <sheetName val="Flr,_Rf_Bm8"/>
      <sheetName val="Flr_Slb,_stair8"/>
      <sheetName val="Gd_Bm8"/>
      <sheetName val="PC,_G_Slab8"/>
      <sheetName val="wall_fin8"/>
      <sheetName val="Harga_ME_4"/>
      <sheetName val="MTO_REV_08"/>
      <sheetName val="FORM_X_COST8"/>
      <sheetName val="Mat_Elk8"/>
      <sheetName val="P_LS8"/>
      <sheetName val="Single_line_AC8"/>
      <sheetName val="P_AC8"/>
      <sheetName val="rekap_panel8"/>
      <sheetName val="610_65"/>
      <sheetName val="rpp_1-55"/>
      <sheetName val="rpp_1-65"/>
      <sheetName val="ARS_ADM4"/>
      <sheetName val="tunj_5"/>
      <sheetName val="trf_d-i5"/>
      <sheetName val="struktur_tdk_dipakai4"/>
      <sheetName val="ANALISA_20104"/>
      <sheetName val="RINCIAN_HK_DIVISI8"/>
      <sheetName val="UBA_RAB4"/>
      <sheetName val="REKAP_FS4"/>
      <sheetName val="REKAP_TOTAL4"/>
      <sheetName val="REKAP_FD4"/>
      <sheetName val="Analisa_Upah___Bahan_Plum4"/>
      <sheetName val="Rekap_4"/>
      <sheetName val="HARGA_MATERIAL4"/>
      <sheetName val="B_T4"/>
      <sheetName val="DAF_ALAT4"/>
      <sheetName val="Harsat_Elektrikal_4"/>
      <sheetName val="Analisa_ME_4"/>
      <sheetName val="Direct_Cost4"/>
      <sheetName val="Analisa_Hrg_Sat_4"/>
      <sheetName val="UPAH_4"/>
      <sheetName val="Analisa_RAP4"/>
      <sheetName val="Analisa_RAB4"/>
      <sheetName val="HB_4"/>
      <sheetName val="AN_BIAYA_MAKAN4"/>
      <sheetName val="PT_4"/>
      <sheetName val="Grand_Rekap4"/>
      <sheetName val="Bill_1_-_94"/>
      <sheetName val="Bill_124"/>
      <sheetName val="Bill_104"/>
      <sheetName val="KOEFISIEN_TEKNIS4"/>
      <sheetName val="Daf_14"/>
      <sheetName val="Rekap_Prelim4"/>
      <sheetName val="Harga_MAt10"/>
      <sheetName val="Fill_this_out_first___19"/>
      <sheetName val="H_Satuan9"/>
      <sheetName val="REF_ONLY10"/>
      <sheetName val="Bangunan_Utama9"/>
      <sheetName val="DAFTAR_HARGA9"/>
      <sheetName val="TE_TS_FA_LAN_MATV9"/>
      <sheetName val="HRG_BHN9"/>
      <sheetName val="Analisa_ME9"/>
      <sheetName val="Fill_this_out_first___20"/>
      <sheetName val="TONG_HOP_VL-NC9"/>
      <sheetName val="DON_GIA9"/>
      <sheetName val="TONGKE3p_9"/>
      <sheetName val="CHITIET_VL-NC9"/>
      <sheetName val="UPAH-BAHAN_9"/>
      <sheetName val="Rekap_dpb_119"/>
      <sheetName val="LB_019"/>
      <sheetName val="CATU_DAYA_LISTRIK_PLB9"/>
      <sheetName val="CATU_DAYA_LISTRIK_PK9"/>
      <sheetName val="PERALATAN_&amp;_KATUP2_PK9"/>
      <sheetName val="PERALATAN_UTAMA_PK9"/>
      <sheetName val="PERALATAN_UTAMA_PLB9"/>
      <sheetName val="PERALATAN_&amp;_KATUP2_PLB9"/>
      <sheetName val="PEMIPAAN_PK9"/>
      <sheetName val="PEMIPAAN_PLB9"/>
      <sheetName val="Harga_Satuan9"/>
      <sheetName val="Currency_Rate9"/>
      <sheetName val="_R_A_B9"/>
      <sheetName val="ANALISA_PEK_UMUM9"/>
      <sheetName val="Analisa_Baku_ME9"/>
      <sheetName val="Rekap_Direct_Cost9"/>
      <sheetName val="Analisa_-Baku9"/>
      <sheetName val="UP_PL9"/>
      <sheetName val="Analisa_Bupati9"/>
      <sheetName val="an__struktur9"/>
      <sheetName val="Kontrak_awal9"/>
      <sheetName val="Check_List_LBP9"/>
      <sheetName val="3_g__Ikht_Biaya9"/>
      <sheetName val="Code_029"/>
      <sheetName val="Code_039"/>
      <sheetName val="Code_049"/>
      <sheetName val="Code_059"/>
      <sheetName val="Code_069"/>
      <sheetName val="Code_079"/>
      <sheetName val="Code_099"/>
      <sheetName val="DAFTAR_HARGA_SATUAN_MATERIAL9"/>
      <sheetName val="Hrg_Sat9"/>
      <sheetName val="OFFICE_2_LT9"/>
      <sheetName val="Bill_rekap9"/>
      <sheetName val="material_9"/>
      <sheetName val="S_System9"/>
      <sheetName val="TH_VL,_NC,_DDHT_Thanhphuoc9"/>
      <sheetName val="Smry_Wk_(P_I)9"/>
      <sheetName val="BQ_ME9"/>
      <sheetName val="Bill_sipil9"/>
      <sheetName val="Unit_Rate9"/>
      <sheetName val="Isolasi_Luar_Dalam9"/>
      <sheetName val="Isolasi_Luar9"/>
      <sheetName val="A+Supl_9"/>
      <sheetName val="UNIT_01,02,03,049"/>
      <sheetName val="Lab,_Mat_&amp;_Plant_Splits9"/>
      <sheetName val="District_Loading9"/>
      <sheetName val="Cash_in9"/>
      <sheetName val="custom_check9"/>
      <sheetName val="gabungan_(2)9"/>
      <sheetName val="Soil_factor9"/>
      <sheetName val="Eval_TW_I_20149"/>
      <sheetName val="Prognosa_20149"/>
      <sheetName val="surfacing_&amp;_point___9"/>
      <sheetName val="stone_mas_ARE9"/>
      <sheetName val="REKAP_ARSITEKTUR9"/>
      <sheetName val="ANALISA_-_PGRKAN9"/>
      <sheetName val="REKAP_AHS_Lansekap9"/>
      <sheetName val="daftar_timbngn_percoba_marshal9"/>
      <sheetName val="clg_fin9"/>
      <sheetName val="flr_fin9"/>
      <sheetName val="timber_frame9"/>
      <sheetName val="Wall_Qty9"/>
      <sheetName val="roof_fin9"/>
      <sheetName val="Flr,_Rf_Bm9"/>
      <sheetName val="Flr_Slb,_stair9"/>
      <sheetName val="Gd_Bm9"/>
      <sheetName val="PC,_G_Slab9"/>
      <sheetName val="wall_fin9"/>
      <sheetName val="Harga_ME_5"/>
      <sheetName val="MTO_REV_09"/>
      <sheetName val="FORM_X_COST9"/>
      <sheetName val="Mat_Elk9"/>
      <sheetName val="P_LS9"/>
      <sheetName val="Single_line_AC9"/>
      <sheetName val="P_AC9"/>
      <sheetName val="rekap_panel9"/>
      <sheetName val="610_66"/>
      <sheetName val="rpp_1-56"/>
      <sheetName val="rpp_1-66"/>
      <sheetName val="ARS_ADM5"/>
      <sheetName val="tunj_6"/>
      <sheetName val="trf_d-i6"/>
      <sheetName val="struktur_tdk_dipakai5"/>
      <sheetName val="ANALISA_20105"/>
      <sheetName val="RINCIAN_HK_DIVISI9"/>
      <sheetName val="UBA_RAB5"/>
      <sheetName val="REKAP_FS5"/>
      <sheetName val="REKAP_TOTAL5"/>
      <sheetName val="REKAP_FD5"/>
      <sheetName val="Analisa_Upah___Bahan_Plum5"/>
      <sheetName val="Rekap_5"/>
      <sheetName val="HARGA_MATERIAL5"/>
      <sheetName val="B_T5"/>
      <sheetName val="Harsat_Elektrikal_5"/>
      <sheetName val="DAF_ALAT5"/>
      <sheetName val="Analisa_ME_5"/>
      <sheetName val="Direct_Cost5"/>
      <sheetName val="Analisa_Hrg_Sat_5"/>
      <sheetName val="UPAH_5"/>
      <sheetName val="Analisa_RAP5"/>
      <sheetName val="Analisa_RAB5"/>
      <sheetName val="HB_5"/>
      <sheetName val="AN_BIAYA_MAKAN5"/>
      <sheetName val="PT_5"/>
      <sheetName val="Grand_Rekap5"/>
      <sheetName val="Bill_1_-_95"/>
      <sheetName val="Bill_125"/>
      <sheetName val="Bill_105"/>
      <sheetName val="KOEFISIEN_TEKNIS5"/>
      <sheetName val="Daf_15"/>
      <sheetName val="Rekap_Prelim5"/>
      <sheetName val="Harga_MAt11"/>
      <sheetName val="Fill_this_out_first___21"/>
      <sheetName val="H_Satuan10"/>
      <sheetName val="REF_ONLY11"/>
      <sheetName val="Bangunan_Utama10"/>
      <sheetName val="DAFTAR_HARGA10"/>
      <sheetName val="TE_TS_FA_LAN_MATV10"/>
      <sheetName val="HRG_BHN10"/>
      <sheetName val="Analisa_ME10"/>
      <sheetName val="Fill_this_out_first___22"/>
      <sheetName val="TONG_HOP_VL-NC10"/>
      <sheetName val="DON_GIA10"/>
      <sheetName val="TONGKE3p_10"/>
      <sheetName val="CHITIET_VL-NC10"/>
      <sheetName val="UPAH-BAHAN_10"/>
      <sheetName val="Rekap_dpb_1110"/>
      <sheetName val="LB_0110"/>
      <sheetName val="CATU_DAYA_LISTRIK_PLB10"/>
      <sheetName val="CATU_DAYA_LISTRIK_PK10"/>
      <sheetName val="PERALATAN_&amp;_KATUP2_PK10"/>
      <sheetName val="PERALATAN_UTAMA_PK10"/>
      <sheetName val="PERALATAN_UTAMA_PLB10"/>
      <sheetName val="PERALATAN_&amp;_KATUP2_PLB10"/>
      <sheetName val="PEMIPAAN_PK10"/>
      <sheetName val="PEMIPAAN_PLB10"/>
      <sheetName val="Harga_Satuan10"/>
      <sheetName val="Currency_Rate10"/>
      <sheetName val="_R_A_B10"/>
      <sheetName val="ANALISA_PEK_UMUM10"/>
      <sheetName val="Analisa_Baku_ME10"/>
      <sheetName val="Rekap_Direct_Cost10"/>
      <sheetName val="Analisa_-Baku10"/>
      <sheetName val="UP_PL10"/>
      <sheetName val="Analisa_Bupati10"/>
      <sheetName val="an__struktur10"/>
      <sheetName val="Kontrak_awal10"/>
      <sheetName val="Check_List_LBP10"/>
      <sheetName val="3_g__Ikht_Biaya10"/>
      <sheetName val="Code_0210"/>
      <sheetName val="Code_0310"/>
      <sheetName val="Code_0410"/>
      <sheetName val="Code_0510"/>
      <sheetName val="Code_0610"/>
      <sheetName val="Code_0710"/>
      <sheetName val="Code_0910"/>
      <sheetName val="DAFTAR_HARGA_SATUAN_MATERIAL10"/>
      <sheetName val="Hrg_Sat10"/>
      <sheetName val="OFFICE_2_LT10"/>
      <sheetName val="Bill_rekap10"/>
      <sheetName val="material_10"/>
      <sheetName val="S_System10"/>
      <sheetName val="TH_VL,_NC,_DDHT_Thanhphuoc10"/>
      <sheetName val="Smry_Wk_(P_I)10"/>
      <sheetName val="BQ_ME10"/>
      <sheetName val="Bill_sipil10"/>
      <sheetName val="Unit_Rate10"/>
      <sheetName val="Isolasi_Luar_Dalam10"/>
      <sheetName val="Isolasi_Luar10"/>
      <sheetName val="A+Supl_10"/>
      <sheetName val="UNIT_01,02,03,0410"/>
      <sheetName val="Lab,_Mat_&amp;_Plant_Splits10"/>
      <sheetName val="District_Loading10"/>
      <sheetName val="Cash_in10"/>
      <sheetName val="custom_check10"/>
      <sheetName val="gabungan_(2)10"/>
      <sheetName val="Soil_factor10"/>
      <sheetName val="Eval_TW_I_201410"/>
      <sheetName val="Prognosa_201410"/>
      <sheetName val="surfacing_&amp;_point___10"/>
      <sheetName val="stone_mas_ARE10"/>
      <sheetName val="REKAP_ARSITEKTUR10"/>
      <sheetName val="ANALISA_-_PGRKAN10"/>
      <sheetName val="REKAP_AHS_Lansekap10"/>
      <sheetName val="daftar_timbngn_percoba_marsha10"/>
      <sheetName val="clg_fin10"/>
      <sheetName val="flr_fin10"/>
      <sheetName val="timber_frame10"/>
      <sheetName val="Wall_Qty10"/>
      <sheetName val="roof_fin10"/>
      <sheetName val="Flr,_Rf_Bm10"/>
      <sheetName val="Flr_Slb,_stair10"/>
      <sheetName val="Gd_Bm10"/>
      <sheetName val="PC,_G_Slab10"/>
      <sheetName val="wall_fin10"/>
      <sheetName val="Harga_ME_6"/>
      <sheetName val="MTO_REV_010"/>
      <sheetName val="FORM_X_COST10"/>
      <sheetName val="Mat_Elk10"/>
      <sheetName val="P_LS10"/>
      <sheetName val="Single_line_AC10"/>
      <sheetName val="P_AC10"/>
      <sheetName val="rekap_panel10"/>
      <sheetName val="610_67"/>
      <sheetName val="rpp_1-57"/>
      <sheetName val="rpp_1-67"/>
      <sheetName val="ARS_ADM6"/>
      <sheetName val="tunj_7"/>
      <sheetName val="trf_d-i7"/>
      <sheetName val="struktur_tdk_dipakai6"/>
      <sheetName val="ANALISA_20106"/>
      <sheetName val="RINCIAN_HK_DIVISI10"/>
      <sheetName val="UBA_RAB6"/>
      <sheetName val="REKAP_FS6"/>
      <sheetName val="REKAP_TOTAL6"/>
      <sheetName val="REKAP_FD6"/>
      <sheetName val="Analisa_Upah___Bahan_Plum6"/>
      <sheetName val="Rekap_6"/>
      <sheetName val="HARGA_MATERIAL6"/>
      <sheetName val="B_T6"/>
      <sheetName val="Harsat_Elektrikal_6"/>
      <sheetName val="DAF_ALAT6"/>
      <sheetName val="Analisa_ME_6"/>
      <sheetName val="Direct_Cost6"/>
      <sheetName val="Analisa_Hrg_Sat_6"/>
      <sheetName val="UPAH_6"/>
      <sheetName val="Analisa_RAP6"/>
      <sheetName val="Analisa_RAB6"/>
      <sheetName val="HB_6"/>
      <sheetName val="AN_BIAYA_MAKAN6"/>
      <sheetName val="PT_6"/>
      <sheetName val="Grand_Rekap6"/>
      <sheetName val="Bill_1_-_96"/>
      <sheetName val="Bill_126"/>
      <sheetName val="Bill_106"/>
      <sheetName val="KOEFISIEN_TEKNIS6"/>
      <sheetName val="Daf_16"/>
      <sheetName val="Rekap_Prelim6"/>
      <sheetName val="CCTV"/>
      <sheetName val="Hydrant"/>
      <sheetName val="Lift"/>
      <sheetName val="Telp"/>
      <sheetName val="SS"/>
      <sheetName val="Curup"/>
      <sheetName val="Prabu"/>
      <sheetName val="G"/>
      <sheetName val="PESANTREN"/>
      <sheetName val="code_material"/>
      <sheetName val="2. RAB"/>
      <sheetName val="1. Rekap A"/>
      <sheetName val="13. Analisa Biaya Sewa Alat"/>
      <sheetName val="6.a. uraian"/>
      <sheetName val="7. pemel_rtn"/>
      <sheetName val="6. Analisa"/>
      <sheetName val="1. Rekap B"/>
      <sheetName val="rek det 1-3"/>
      <sheetName val="atap"/>
      <sheetName val=" BEP-1999"/>
      <sheetName val="RPP01 3"/>
      <sheetName val="Rekap 1"/>
      <sheetName val="ANALIS "/>
      <sheetName val="RAB (3)"/>
      <sheetName val="八幡"/>
      <sheetName val="ANALS ARS"/>
      <sheetName val="CAT-HRG "/>
      <sheetName val="TOTAL"/>
      <sheetName val="Ahs.2"/>
      <sheetName val="Ahs.1"/>
      <sheetName val="AHSP"/>
      <sheetName val="KMS-DIS5"/>
      <sheetName val="Rate"/>
      <sheetName val="analisa STRUKTUR"/>
      <sheetName val="DAF-1"/>
      <sheetName val="L3 An H Sat Mob"/>
      <sheetName val="SatDas"/>
      <sheetName val="HSBU ANA"/>
      <sheetName val="Brd Unit Rate"/>
      <sheetName val="HARDAS-ALAT"/>
      <sheetName val="Hrg Sat"/>
      <sheetName val="ANALISA-HST"/>
      <sheetName val="Ubas"/>
      <sheetName val="Marketing"/>
      <sheetName val="BOQ.1"/>
      <sheetName val="GENERAL"/>
      <sheetName val="Breakdown"/>
      <sheetName val="RAB TOTAL"/>
      <sheetName val="DAPUR"/>
      <sheetName val="INFR STR"/>
      <sheetName val="PAGAR KLLG"/>
      <sheetName val="Hargamaterial"/>
      <sheetName val="01A- RAB"/>
      <sheetName val="REKAP BQ "/>
      <sheetName val="NP (2)"/>
      <sheetName val="Lamp. 3.Analisa"/>
      <sheetName val="ah_sanitary"/>
      <sheetName val="REKAP_ELEKTRIKAL"/>
      <sheetName val="HB_me"/>
      <sheetName val="prime_coal"/>
      <sheetName val="BIAYA_BAHAN"/>
      <sheetName val="BIAYA_ALAT"/>
      <sheetName val="Analisa_Harga_Satuan"/>
      <sheetName val="Cash_DP_Lapangan"/>
      <sheetName val="Cash_Wilayah"/>
      <sheetName val="Hutang_Lap"/>
      <sheetName val="RUMUS_BEKISTING"/>
      <sheetName val="Harsat Upah"/>
      <sheetName val="VV-REV2"/>
      <sheetName val="2002"/>
      <sheetName val="EQ_an"/>
      <sheetName val="daftar material"/>
      <sheetName val="SD"/>
      <sheetName val="ANEX1"/>
      <sheetName val="Mark-up"/>
      <sheetName val="BQawal"/>
      <sheetName val="CF Alat"/>
      <sheetName val="RESUME (2)"/>
      <sheetName val="ADD 2 (1)"/>
      <sheetName val="Pek. Tanah"/>
      <sheetName val="Pek. Pondasi"/>
      <sheetName val="Pek. Dinding"/>
      <sheetName val="Pek. Plesteran"/>
      <sheetName val="Pek. Kayu"/>
      <sheetName val="Pek. Beton"/>
      <sheetName val="Pek. Penutup Atap"/>
      <sheetName val="Pek. Langit-langit"/>
      <sheetName val="Pek. Sanitasi"/>
      <sheetName val="Pek. Besi &amp; Alumunium"/>
      <sheetName val="Pek. Kunci &amp; Kaca"/>
      <sheetName val="Pek. Penutup Lantai &amp; dinding"/>
      <sheetName val="Pek. Pengecatan"/>
      <sheetName val="anls space frame"/>
      <sheetName val="-15.0"/>
      <sheetName val="03. E&amp;T"/>
      <sheetName val="01. Mat"/>
      <sheetName val="02. MP"/>
      <sheetName val="Owning cost Alat"/>
      <sheetName val="Hargamat"/>
      <sheetName val="Olah"/>
      <sheetName val="Gia"/>
      <sheetName val="Anal uph"/>
      <sheetName val="맨홀수량산출"/>
      <sheetName val="Tender Info"/>
      <sheetName val="Aggr"/>
      <sheetName val="VAC"/>
      <sheetName val="Eq. Mobilization"/>
      <sheetName val="Perm. Test"/>
      <sheetName val="Cash Flow bulanan"/>
      <sheetName val="Analisa SNI STANDART "/>
      <sheetName val="G_SUMMARY"/>
      <sheetName val="unit"/>
      <sheetName val="MT_an"/>
      <sheetName val="MTa"/>
      <sheetName val="Cover (sh 1)"/>
      <sheetName val="Units"/>
      <sheetName val="Instructions"/>
      <sheetName val="REMUNERASISTANDAR"/>
      <sheetName val="TABEL-DETASIR"/>
      <sheetName val="Référentiel"/>
      <sheetName val="DT PENDUKUNG"/>
      <sheetName val="pas wm"/>
      <sheetName val="H STN"/>
      <sheetName val="D_ANALISA"/>
      <sheetName val="Harsat Bahan"/>
      <sheetName val="H.BAHAN"/>
      <sheetName val="SAT"/>
      <sheetName val="Kuantitas_&amp;_Harga"/>
      <sheetName val="BQ-1A prelim"/>
      <sheetName val="Blk A"/>
      <sheetName val="D4"/>
      <sheetName val="D8"/>
      <sheetName val="RAB-Bupati"/>
      <sheetName val="List"/>
      <sheetName val="MAP"/>
      <sheetName val="an-satuan"/>
      <sheetName val="Peter Kelly"/>
      <sheetName val="ISIAN (2)"/>
      <sheetName val="TPI"/>
      <sheetName val="Harga_S_Dasar"/>
      <sheetName val="Harga Satuan (T.P.)"/>
      <sheetName val="Analisa HSP (T.P.)"/>
      <sheetName val="Material-mr"/>
      <sheetName val="Bill"/>
      <sheetName val="Rekap Bill"/>
      <sheetName val="MATERIAL ANALISA"/>
      <sheetName val="Analisa Harga"/>
      <sheetName val="Div7_aN"/>
      <sheetName val="Div4_aN"/>
      <sheetName val="earth"/>
      <sheetName val="concrete&amp;fw"/>
      <sheetName val="massonry"/>
      <sheetName val="841"/>
      <sheetName val="21"/>
      <sheetName val="311"/>
      <sheetName val="715"/>
      <sheetName val="811"/>
      <sheetName val="D1"/>
      <sheetName val="div-7"/>
      <sheetName val="div-3"/>
      <sheetName val="div-5"/>
      <sheetName val="div-8"/>
      <sheetName val="div-2"/>
      <sheetName val="Rutin"/>
      <sheetName val="bapp RMS"/>
      <sheetName val="KWITANSI RUMUS"/>
      <sheetName val="Kwitansi"/>
      <sheetName val="BAPP"/>
      <sheetName val="BAOP"/>
      <sheetName val="Uang Muka Haecang"/>
      <sheetName val="Add_trans"/>
      <sheetName val="keb-BHN"/>
      <sheetName val="WF "/>
      <sheetName val="trans"/>
      <sheetName val="BLOK-BJR"/>
      <sheetName val="Total Load List"/>
      <sheetName val="Mob"/>
      <sheetName val="Answer"/>
      <sheetName val="H-SAT"/>
      <sheetName val="daftar isi"/>
      <sheetName val="tabel pnganan mslh"/>
      <sheetName val="C.10"/>
      <sheetName val="C.12"/>
      <sheetName val="C.14"/>
      <sheetName val="C.16"/>
      <sheetName val="C.19"/>
      <sheetName val="C.21"/>
      <sheetName val="C.23"/>
      <sheetName val="C.25"/>
      <sheetName val="C.7"/>
      <sheetName val="C.9"/>
      <sheetName val="BOQ_Rangka"/>
      <sheetName val="NP_4"/>
      <sheetName val="koef_beton"/>
      <sheetName val="Informasi"/>
      <sheetName val="Harga_S_Dasar_UNTUK_IDISI8"/>
      <sheetName val="ES_STG3"/>
      <sheetName val="bahan_20043"/>
      <sheetName val="GASATAGG_XLS3"/>
      <sheetName val="HSUMUM_XLS3"/>
      <sheetName val="HSDRAIN_XLS3"/>
      <sheetName val="HSMISC_XLS3"/>
      <sheetName val="nama_PT_3"/>
      <sheetName val="D_&amp;_W_sizes3"/>
      <sheetName val="PEKERJAAN_PERSIAPAN3"/>
      <sheetName val="Ans_Kom_Precast3"/>
      <sheetName val="UPAH_&amp;_BHN3"/>
      <sheetName val="ANALISA_ALAT3"/>
      <sheetName val="harga_bahan2"/>
      <sheetName val="Sat_Bah_&amp;_Up3"/>
      <sheetName val="HB_me1"/>
      <sheetName val="Harga_Dasar3"/>
      <sheetName val="10_1_(1)3"/>
      <sheetName val="10_1_(2)3"/>
      <sheetName val="10_1_(3)3"/>
      <sheetName val="10_1_(4)3"/>
      <sheetName val="10_1_(5)3"/>
      <sheetName val="Breakdown_Architecture"/>
      <sheetName val="Breakdown_Structure"/>
      <sheetName val="ah_sanitary1"/>
      <sheetName val="S_BAHAN"/>
      <sheetName val="KINERJA-OPERASI_CAB_VIII"/>
      <sheetName val="PEMASARAN_2012"/>
      <sheetName val="2_73"/>
      <sheetName val="2_63"/>
      <sheetName val="2_43"/>
      <sheetName val="2_33"/>
      <sheetName val="2_23"/>
      <sheetName val="2_13"/>
      <sheetName val="rab_-_persiapan_&amp;_lantai-13"/>
      <sheetName val="Customize_Your_Invoice3"/>
      <sheetName val="Bahan_"/>
      <sheetName val="Pekerjaan_"/>
      <sheetName val="REKAP_ELEKTRIKAL1"/>
      <sheetName val="prime_coal1"/>
      <sheetName val="BIAYA_BAHAN1"/>
      <sheetName val="BIAYA_ALAT1"/>
      <sheetName val="Analisa_Harga_Satuan1"/>
      <sheetName val="Cash_DP_Lapangan1"/>
      <sheetName val="Cash_Wilayah1"/>
      <sheetName val="Hutang_Lap1"/>
      <sheetName val="RUMUS_BEKISTING1"/>
      <sheetName val="_Harga_Satuan3"/>
      <sheetName val="4-Basic_Price3"/>
      <sheetName val="upah_bahan_"/>
      <sheetName val="DRUP_(ASLI)"/>
      <sheetName val="perkerasan_rigid"/>
      <sheetName val="an_dmpu"/>
      <sheetName val="Rencana_vs_Realisasi"/>
      <sheetName val="Upah_&amp;_Bahan"/>
      <sheetName val="metode_pu"/>
      <sheetName val="Urut_kabupaten"/>
      <sheetName val="Analisa_Upah_&amp;_Bahan_Plum"/>
      <sheetName val="Daftar_Upah"/>
      <sheetName val="Satuan_Upah_&amp;_Bahan"/>
      <sheetName val="tack_coat_1_Kg"/>
      <sheetName val="PENGEC__MARKING"/>
      <sheetName val="ANALISA_STRIPING"/>
      <sheetName val="Infor_Umum"/>
      <sheetName val="LAP___(4)"/>
      <sheetName val="LAP___(11)"/>
      <sheetName val="Analisa_2"/>
      <sheetName val="An_alat"/>
      <sheetName val="SATUAN_DASAR"/>
      <sheetName val="Rekap_2017"/>
      <sheetName val="Rekap_Rutin"/>
      <sheetName val="Rekap_Rutin_Jembatan"/>
      <sheetName val="ANAL_KOEF"/>
      <sheetName val="MAKER_(E)"/>
      <sheetName val="Bill_of_Qty"/>
      <sheetName val="Analisa_HSP"/>
      <sheetName val="Calcu_02"/>
      <sheetName val="anal_pake"/>
      <sheetName val="an_el3"/>
      <sheetName val="An_AC_&amp;_Plb3"/>
      <sheetName val="analisa_SNI3"/>
      <sheetName val="Daftar_Harga_Material3"/>
      <sheetName val="BQ_OE3"/>
      <sheetName val="Analisa_PDAM_smd_20143"/>
      <sheetName val="ANALIS_ALAT3"/>
      <sheetName val="Financial_Statements3"/>
      <sheetName val="Overall_Summary2"/>
      <sheetName val="Strategic_Map2"/>
      <sheetName val="ANALISA_ALAT_BERAT2"/>
      <sheetName val="Pk_prod"/>
      <sheetName val="trf_ns_04"/>
      <sheetName val="Agregat_Halus_&amp;_Kasar"/>
      <sheetName val="Uraian_Teknis"/>
      <sheetName val="pro_ra_op"/>
      <sheetName val="Met_Pas_Batu"/>
      <sheetName val="Met__Minor"/>
      <sheetName val="01A-_RAB"/>
      <sheetName val="REKAP_BQ_"/>
      <sheetName val="NP_(2)"/>
      <sheetName val="Sort_RKAPK"/>
      <sheetName val="Lamp__3_Analisa"/>
      <sheetName val="Bahan_Upah"/>
      <sheetName val="Harga_S_Dasar_UNTUK_IDISI9"/>
      <sheetName val="an_el4"/>
      <sheetName val="An_AC_&amp;_Plb4"/>
      <sheetName val="2_74"/>
      <sheetName val="2_64"/>
      <sheetName val="2_44"/>
      <sheetName val="2_34"/>
      <sheetName val="2_24"/>
      <sheetName val="2_14"/>
      <sheetName val="rab_-_persiapan_&amp;_lantai-14"/>
      <sheetName val="analisa_SNI4"/>
      <sheetName val="Daftar_Harga_Material4"/>
      <sheetName val="BQ_OE4"/>
      <sheetName val="Analisa_PDAM_smd_20144"/>
      <sheetName val="ANALIS_ALAT4"/>
      <sheetName val="bahan_20044"/>
      <sheetName val="Harga_Dasar4"/>
      <sheetName val="10_1_(1)4"/>
      <sheetName val="10_1_(2)4"/>
      <sheetName val="10_1_(3)4"/>
      <sheetName val="10_1_(4)4"/>
      <sheetName val="10_1_(5)4"/>
      <sheetName val="Customize_Your_Invoice4"/>
      <sheetName val="GASATAGG_XLS4"/>
      <sheetName val="HSUMUM_XLS4"/>
      <sheetName val="HSDRAIN_XLS4"/>
      <sheetName val="HSMISC_XLS4"/>
      <sheetName val="nama_PT_4"/>
      <sheetName val="D_&amp;_W_sizes4"/>
      <sheetName val="PEKERJAAN_PERSIAPAN4"/>
      <sheetName val="Ans_Kom_Precast4"/>
      <sheetName val="UPAH_&amp;_BHN4"/>
      <sheetName val="ANALISA_ALAT4"/>
      <sheetName val="ES_STG4"/>
      <sheetName val="_Harga_Satuan4"/>
      <sheetName val="4-Basic_Price4"/>
      <sheetName val="Sat_Bah_&amp;_Up4"/>
      <sheetName val="Financial_Statements4"/>
      <sheetName val="trf_ns_041"/>
      <sheetName val="Agregat_Halus_&amp;_Kasar1"/>
      <sheetName val="harga_bahan3"/>
      <sheetName val="Overall_Summary3"/>
      <sheetName val="Strategic_Map3"/>
      <sheetName val="ANALISA_ALAT_BERAT3"/>
      <sheetName val="Pk_prod1"/>
      <sheetName val="Uraian_Teknis1"/>
      <sheetName val="pro_ra_op1"/>
      <sheetName val="Breakdown_Architecture1"/>
      <sheetName val="Breakdown_Structure1"/>
      <sheetName val="Analisa_Upah_&amp;_Bahan_Plum1"/>
      <sheetName val="Bahan_Upah1"/>
      <sheetName val="RAB_AR&amp;STR"/>
      <sheetName val="Div. 4"/>
      <sheetName val="25"/>
      <sheetName val="PEK-HARIAN"/>
      <sheetName val="BABY"/>
      <sheetName val="SD (1)"/>
      <sheetName val="B.Dsr"/>
      <sheetName val="U,B"/>
      <sheetName val="R.ALT"/>
      <sheetName val="BULAN"/>
      <sheetName val="FE-1770-I"/>
      <sheetName val="FE-1770.P1"/>
      <sheetName val="FE-1770-II"/>
      <sheetName val="Bill of Quantity"/>
      <sheetName val="AnProd"/>
      <sheetName val="Harga_MAt12"/>
      <sheetName val="Fill_this_out_first___23"/>
      <sheetName val="H_Satuan11"/>
      <sheetName val="Bangunan_Utama11"/>
      <sheetName val="DAFTAR_HARGA11"/>
      <sheetName val="TE_TS_FA_LAN_MATV11"/>
      <sheetName val="REF_ONLY12"/>
      <sheetName val="Analisa_ME11"/>
      <sheetName val="Harga_Satuan11"/>
      <sheetName val="Fill_this_out_first___24"/>
      <sheetName val="HRG_BHN11"/>
      <sheetName val="Analisa_-Baku11"/>
      <sheetName val="Rekap_Direct_Cost11"/>
      <sheetName val="TONG_HOP_VL-NC11"/>
      <sheetName val="DON_GIA11"/>
      <sheetName val="TONGKE3p_11"/>
      <sheetName val="CHITIET_VL-NC11"/>
      <sheetName val="Currency_Rate11"/>
      <sheetName val="Analisa_Baku_ME11"/>
      <sheetName val="ANALISA_PEK_UMUM11"/>
      <sheetName val="UP_PL11"/>
      <sheetName val="Analisa_Bupati11"/>
      <sheetName val="OFFICE_2_LT11"/>
      <sheetName val="Code_0211"/>
      <sheetName val="Code_0311"/>
      <sheetName val="Code_0411"/>
      <sheetName val="Code_0511"/>
      <sheetName val="Code_0611"/>
      <sheetName val="Code_0711"/>
      <sheetName val="Code_0911"/>
      <sheetName val="an__struktur11"/>
      <sheetName val="UPAH-BAHAN_11"/>
      <sheetName val="Rekap_dpb_1111"/>
      <sheetName val="LB_0111"/>
      <sheetName val="CATU_DAYA_LISTRIK_PLB11"/>
      <sheetName val="CATU_DAYA_LISTRIK_PK11"/>
      <sheetName val="PERALATAN_&amp;_KATUP2_PK11"/>
      <sheetName val="PERALATAN_UTAMA_PK11"/>
      <sheetName val="PERALATAN_UTAMA_PLB11"/>
      <sheetName val="PERALATAN_&amp;_KATUP2_PLB11"/>
      <sheetName val="PEMIPAAN_PK11"/>
      <sheetName val="PEMIPAAN_PLB11"/>
      <sheetName val="S_System11"/>
      <sheetName val="DAFTAR_HARGA_SATUAN_MATERIAL11"/>
      <sheetName val="Kontrak_awal11"/>
      <sheetName val="Check_List_LBP11"/>
      <sheetName val="3_g__Ikht_Biaya11"/>
      <sheetName val="Hrg_Sat11"/>
      <sheetName val="TH_VL,_NC,_DDHT_Thanhphuoc11"/>
      <sheetName val="Smry_Wk_(P_I)11"/>
      <sheetName val="BQ_ME11"/>
      <sheetName val="_R_A_B11"/>
      <sheetName val="UNIT_01,02,03,0411"/>
      <sheetName val="Lab,_Mat_&amp;_Plant_Splits11"/>
      <sheetName val="District_Loading11"/>
      <sheetName val="Bill_sipil11"/>
      <sheetName val="Bill_rekap11"/>
      <sheetName val="material_11"/>
      <sheetName val="Unit_Rate11"/>
      <sheetName val="Isolasi_Luar_Dalam11"/>
      <sheetName val="Isolasi_Luar11"/>
      <sheetName val="Cash_in11"/>
      <sheetName val="custom_check11"/>
      <sheetName val="A+Supl_11"/>
      <sheetName val="gabungan_(2)11"/>
      <sheetName val="Soil_factor11"/>
      <sheetName val="Eval_TW_I_201411"/>
      <sheetName val="Prognosa_201411"/>
      <sheetName val="surfacing_&amp;_point___11"/>
      <sheetName val="stone_mas_ARE11"/>
      <sheetName val="REKAP_ARSITEKTUR11"/>
      <sheetName val="ANALISA_-_PGRKAN11"/>
      <sheetName val="REKAP_AHS_Lansekap11"/>
      <sheetName val="daftar_timbngn_percoba_marsha11"/>
      <sheetName val="clg_fin11"/>
      <sheetName val="flr_fin11"/>
      <sheetName val="timber_frame11"/>
      <sheetName val="Wall_Qty11"/>
      <sheetName val="roof_fin11"/>
      <sheetName val="Flr,_Rf_Bm11"/>
      <sheetName val="Flr_Slb,_stair11"/>
      <sheetName val="Gd_Bm11"/>
      <sheetName val="PC,_G_Slab11"/>
      <sheetName val="wall_fin11"/>
      <sheetName val="Harga_ME_7"/>
      <sheetName val="MTO_REV_011"/>
      <sheetName val="FORM_X_COST11"/>
      <sheetName val="Mat_Elk11"/>
      <sheetName val="P_LS11"/>
      <sheetName val="Single_line_AC11"/>
      <sheetName val="P_AC11"/>
      <sheetName val="rekap_panel11"/>
      <sheetName val="Harga_S_Dasar_UNTUK_IDISI10"/>
      <sheetName val="610_68"/>
      <sheetName val="rpp_1-58"/>
      <sheetName val="rpp_1-68"/>
      <sheetName val="ARS_ADM7"/>
      <sheetName val="tunj_8"/>
      <sheetName val="trf_d-i8"/>
      <sheetName val="struktur_tdk_dipakai7"/>
      <sheetName val="ANALISA_20107"/>
      <sheetName val="B_T7"/>
      <sheetName val="RINCIAN_HK_DIVISI11"/>
      <sheetName val="Fac恌쬤恊"/>
      <sheetName val="csdim_x0000__x0000__x0019_[Analisa Bupati.xls]C_2"/>
      <sheetName val="schbhn"/>
      <sheetName val="RAB-D-22.4"/>
      <sheetName val="Analisa K"/>
      <sheetName val="금액내역서"/>
      <sheetName val="PL2"/>
      <sheetName val="PL3"/>
      <sheetName val="PL4"/>
      <sheetName val="PL1"/>
      <sheetName val="RAW MATERIALS "/>
      <sheetName val="COST-PERSON-J.O."/>
      <sheetName val="RENTAL1"/>
      <sheetName val="Super"/>
      <sheetName val="KUANTITAS"/>
      <sheetName val="Grading Tahap 1"/>
      <sheetName val="Kuantitas_&amp;_Harga1"/>
      <sheetName val="Harga_S_Dasar1"/>
      <sheetName val="Har-sat-dasr"/>
      <sheetName val="Kuantitas_&amp;_Harga2"/>
      <sheetName val="Harga_S_Dasar2"/>
      <sheetName val="Rekap_Biaya"/>
      <sheetName val="UPAH_DAN_BAHAN"/>
      <sheetName val="PNT"/>
      <sheetName val="PB(B)"/>
      <sheetName val="Pro-Base"/>
      <sheetName val="DAF-BAHAN"/>
      <sheetName val="DAF-UPAH"/>
      <sheetName val="BY_Upah-3"/>
      <sheetName val="CAT-14"/>
      <sheetName val="Daf_Harga"/>
      <sheetName val="A_Harga-13"/>
      <sheetName val="terbilang rp"/>
      <sheetName val="terendah"/>
      <sheetName val="HD Alat"/>
      <sheetName val="Analisa &amp; Upah"/>
      <sheetName val="HARSAT-lain"/>
      <sheetName val="HARSAT-tanah"/>
      <sheetName val="spesifikasi"/>
      <sheetName val="sudut"/>
      <sheetName val="GEN-ITEM"/>
      <sheetName val="galian 1"/>
      <sheetName val="Bill_Qua"/>
      <sheetName val="analisa Str"/>
      <sheetName val="BQ-Tenis"/>
      <sheetName val="BOQ_Aula"/>
      <sheetName val="sph gbr"/>
      <sheetName val="Basic P"/>
      <sheetName val="bhn_upah"/>
      <sheetName val="BAHAN &amp; ALAT "/>
      <sheetName val="Data UMP &amp; CPI"/>
      <sheetName val="MPEL"/>
      <sheetName val="Form-1a"/>
      <sheetName val="URAI"/>
      <sheetName val="DLAMP"/>
      <sheetName val="MPU"/>
      <sheetName val="sche Tenaga"/>
      <sheetName val="sche"/>
      <sheetName val="sche Biaya"/>
      <sheetName val="ADIYA"/>
      <sheetName val="FitOutConfCentre"/>
      <sheetName val="Rate Analysis"/>
      <sheetName val="D3_4_3"/>
      <sheetName val="D3_4_4"/>
      <sheetName val="Marshal_-1"/>
      <sheetName val="BIIL ASLI"/>
      <sheetName val="DAF-KUAN"/>
      <sheetName val="By"/>
      <sheetName val="Gaji"/>
      <sheetName val="Anal. Alat"/>
      <sheetName val="antek12a-13"/>
      <sheetName val="03__E&amp;T"/>
      <sheetName val="01__Mat"/>
      <sheetName val="02__MP"/>
      <sheetName val="03__E&amp;T1"/>
      <sheetName val="01__Mat1"/>
      <sheetName val="02__MP1"/>
      <sheetName val="03__E&amp;T2"/>
      <sheetName val="01__Mat2"/>
      <sheetName val="02__MP2"/>
      <sheetName val="03__E&amp;T3"/>
      <sheetName val="01__Mat3"/>
      <sheetName val="02__MP3"/>
      <sheetName val="Harga_MAt15"/>
      <sheetName val="TONG_HOP_VL-NC14"/>
      <sheetName val="DON_GIA14"/>
      <sheetName val="TONGKE3p_14"/>
      <sheetName val="CHITIET_VL-NC14"/>
      <sheetName val="Fill_this_out_first___29"/>
      <sheetName val="H_Satuan14"/>
      <sheetName val="Fill_this_out_first___30"/>
      <sheetName val="Currency_Rate14"/>
      <sheetName val="REF_ONLY15"/>
      <sheetName val="Bangunan_Utama14"/>
      <sheetName val="Analisa_ME14"/>
      <sheetName val="HRG_BHN14"/>
      <sheetName val="DAFTAR_HARGA14"/>
      <sheetName val="TE_TS_FA_LAN_MATV14"/>
      <sheetName val="Analisa_Baku_ME14"/>
      <sheetName val="Rekap_Direct_Cost14"/>
      <sheetName val="UP_PL14"/>
      <sheetName val="Analisa_Bupati14"/>
      <sheetName val="ANALISA_PEK_UMUM14"/>
      <sheetName val="Harga_Satuan14"/>
      <sheetName val="Analisa_-Baku14"/>
      <sheetName val="DAFTAR_HARGA_SATUAN_MATERIAL14"/>
      <sheetName val="Code_0214"/>
      <sheetName val="Code_0314"/>
      <sheetName val="Code_0414"/>
      <sheetName val="Code_0514"/>
      <sheetName val="Code_0614"/>
      <sheetName val="Code_0714"/>
      <sheetName val="Code_0914"/>
      <sheetName val="Kontrak_awal14"/>
      <sheetName val="Check_List_LBP14"/>
      <sheetName val="3_g__Ikht_Biaya14"/>
      <sheetName val="OFFICE_2_LT14"/>
      <sheetName val="Unit_Rate14"/>
      <sheetName val="MTO_REV_014"/>
      <sheetName val="Bill_rekap14"/>
      <sheetName val="UPAH-BAHAN_14"/>
      <sheetName val="Hrg_Sat14"/>
      <sheetName val="CATU_DAYA_LISTRIK_PLB14"/>
      <sheetName val="PERALATAN_UTAMA_PK14"/>
      <sheetName val="CATU_DAYA_LISTRIK_PK14"/>
      <sheetName val="PERALATAN_&amp;_KATUP2_PK14"/>
      <sheetName val="PERALATAN_UTAMA_PLB14"/>
      <sheetName val="PERALATAN_&amp;_KATUP2_PLB14"/>
      <sheetName val="PEMIPAAN_PK14"/>
      <sheetName val="PEMIPAAN_PLB14"/>
      <sheetName val="Isolasi_Luar_Dalam14"/>
      <sheetName val="Isolasi_Luar14"/>
      <sheetName val="Bill_sipil14"/>
      <sheetName val="Rekap_dpb_1114"/>
      <sheetName val="LB_0114"/>
      <sheetName val="TH_VL,_NC,_DDHT_Thanhphuoc14"/>
      <sheetName val="an__struktur14"/>
      <sheetName val="_R_A_B14"/>
      <sheetName val="BQ_ME14"/>
      <sheetName val="Smry_Wk_(P_I)14"/>
      <sheetName val="material_14"/>
      <sheetName val="S_System14"/>
      <sheetName val="Cash_in14"/>
      <sheetName val="Soil_factor14"/>
      <sheetName val="Mat_Elk14"/>
      <sheetName val="P_LS14"/>
      <sheetName val="Single_line_AC14"/>
      <sheetName val="P_AC14"/>
      <sheetName val="rekap_panel14"/>
      <sheetName val="Lab,_Mat_&amp;_Plant_Splits14"/>
      <sheetName val="District_Loading14"/>
      <sheetName val="gabungan_(2)14"/>
      <sheetName val="FORM_X_COST14"/>
      <sheetName val="Eval_TW_I_201414"/>
      <sheetName val="Prognosa_201414"/>
      <sheetName val="REKAP_ARSITEKTUR14"/>
      <sheetName val="surfacing_&amp;_point___14"/>
      <sheetName val="stone_mas_ARE14"/>
      <sheetName val="ANALISA_-_PGRKAN14"/>
      <sheetName val="REKAP_AHS_Lansekap14"/>
      <sheetName val="daftar_timbngn_percoba_marsha14"/>
      <sheetName val="clg_fin14"/>
      <sheetName val="flr_fin14"/>
      <sheetName val="timber_frame14"/>
      <sheetName val="Wall_Qty14"/>
      <sheetName val="roof_fin14"/>
      <sheetName val="Flr,_Rf_Bm14"/>
      <sheetName val="Flr_Slb,_stair14"/>
      <sheetName val="Gd_Bm14"/>
      <sheetName val="PC,_G_Slab14"/>
      <sheetName val="wall_fin14"/>
      <sheetName val="HARGA_MATERIAL10"/>
      <sheetName val="ARS_ADM10"/>
      <sheetName val="A+Supl_14"/>
      <sheetName val="UNIT_01,02,03,0414"/>
      <sheetName val="custom_check14"/>
      <sheetName val="Harga_ME_10"/>
      <sheetName val="610_611"/>
      <sheetName val="rpp_1-511"/>
      <sheetName val="rpp_1-611"/>
      <sheetName val="tunj_11"/>
      <sheetName val="trf_d-i11"/>
      <sheetName val="struktur_tdk_dipakai10"/>
      <sheetName val="ANALISA_201010"/>
      <sheetName val="DAF_ALAT10"/>
      <sheetName val="RINCIAN_HK_DIVISI14"/>
      <sheetName val="HARGA_MATERIAL7"/>
      <sheetName val="DAF_ALAT7"/>
      <sheetName val="03__E&amp;T4"/>
      <sheetName val="01__Mat4"/>
      <sheetName val="02__MP4"/>
      <sheetName val="Harga_MAt13"/>
      <sheetName val="TONG_HOP_VL-NC12"/>
      <sheetName val="DON_GIA12"/>
      <sheetName val="TONGKE3p_12"/>
      <sheetName val="CHITIET_VL-NC12"/>
      <sheetName val="Fill_this_out_first___25"/>
      <sheetName val="H_Satuan12"/>
      <sheetName val="Fill_this_out_first___26"/>
      <sheetName val="Currency_Rate12"/>
      <sheetName val="REF_ONLY13"/>
      <sheetName val="Bangunan_Utama12"/>
      <sheetName val="Analisa_ME12"/>
      <sheetName val="HRG_BHN12"/>
      <sheetName val="DAFTAR_HARGA12"/>
      <sheetName val="TE_TS_FA_LAN_MATV12"/>
      <sheetName val="Analisa_Baku_ME12"/>
      <sheetName val="Rekap_Direct_Cost12"/>
      <sheetName val="UP_PL12"/>
      <sheetName val="Analisa_Bupati12"/>
      <sheetName val="ANALISA_PEK_UMUM12"/>
      <sheetName val="Harga_Satuan12"/>
      <sheetName val="Analisa_-Baku12"/>
      <sheetName val="DAFTAR_HARGA_SATUAN_MATERIAL12"/>
      <sheetName val="Code_0212"/>
      <sheetName val="Code_0312"/>
      <sheetName val="Code_0412"/>
      <sheetName val="Code_0512"/>
      <sheetName val="Code_0612"/>
      <sheetName val="Code_0712"/>
      <sheetName val="Code_0912"/>
      <sheetName val="Kontrak_awal12"/>
      <sheetName val="Check_List_LBP12"/>
      <sheetName val="3_g__Ikht_Biaya12"/>
      <sheetName val="OFFICE_2_LT12"/>
      <sheetName val="Unit_Rate12"/>
      <sheetName val="MTO_REV_012"/>
      <sheetName val="Bill_rekap12"/>
      <sheetName val="UPAH-BAHAN_12"/>
      <sheetName val="Hrg_Sat12"/>
      <sheetName val="CATU_DAYA_LISTRIK_PLB12"/>
      <sheetName val="PERALATAN_UTAMA_PK12"/>
      <sheetName val="CATU_DAYA_LISTRIK_PK12"/>
      <sheetName val="PERALATAN_&amp;_KATUP2_PK12"/>
      <sheetName val="PERALATAN_UTAMA_PLB12"/>
      <sheetName val="PERALATAN_&amp;_KATUP2_PLB12"/>
      <sheetName val="PEMIPAAN_PK12"/>
      <sheetName val="PEMIPAAN_PLB12"/>
      <sheetName val="Isolasi_Luar_Dalam12"/>
      <sheetName val="Isolasi_Luar12"/>
      <sheetName val="Bill_sipil12"/>
      <sheetName val="Rekap_dpb_1112"/>
      <sheetName val="LB_0112"/>
      <sheetName val="TH_VL,_NC,_DDHT_Thanhphuoc12"/>
      <sheetName val="an__struktur12"/>
      <sheetName val="_R_A_B12"/>
      <sheetName val="BQ_ME12"/>
      <sheetName val="Smry_Wk_(P_I)12"/>
      <sheetName val="material_12"/>
      <sheetName val="S_System12"/>
      <sheetName val="Cash_in12"/>
      <sheetName val="Soil_factor12"/>
      <sheetName val="Mat_Elk12"/>
      <sheetName val="P_LS12"/>
      <sheetName val="Single_line_AC12"/>
      <sheetName val="P_AC12"/>
      <sheetName val="rekap_panel12"/>
      <sheetName val="Lab,_Mat_&amp;_Plant_Splits12"/>
      <sheetName val="District_Loading12"/>
      <sheetName val="gabungan_(2)12"/>
      <sheetName val="FORM_X_COST12"/>
      <sheetName val="Eval_TW_I_201412"/>
      <sheetName val="Prognosa_201412"/>
      <sheetName val="REKAP_ARSITEKTUR12"/>
      <sheetName val="surfacing_&amp;_point___12"/>
      <sheetName val="stone_mas_ARE12"/>
      <sheetName val="ANALISA_-_PGRKAN12"/>
      <sheetName val="REKAP_AHS_Lansekap12"/>
      <sheetName val="daftar_timbngn_percoba_marsha12"/>
      <sheetName val="clg_fin12"/>
      <sheetName val="flr_fin12"/>
      <sheetName val="timber_frame12"/>
      <sheetName val="Wall_Qty12"/>
      <sheetName val="roof_fin12"/>
      <sheetName val="Flr,_Rf_Bm12"/>
      <sheetName val="Flr_Slb,_stair12"/>
      <sheetName val="Gd_Bm12"/>
      <sheetName val="PC,_G_Slab12"/>
      <sheetName val="wall_fin12"/>
      <sheetName val="HARGA_MATERIAL8"/>
      <sheetName val="ARS_ADM8"/>
      <sheetName val="A+Supl_12"/>
      <sheetName val="UNIT_01,02,03,0412"/>
      <sheetName val="custom_check12"/>
      <sheetName val="Harga_ME_8"/>
      <sheetName val="610_69"/>
      <sheetName val="rpp_1-59"/>
      <sheetName val="rpp_1-69"/>
      <sheetName val="tunj_9"/>
      <sheetName val="trf_d-i9"/>
      <sheetName val="struktur_tdk_dipakai8"/>
      <sheetName val="ANALISA_20108"/>
      <sheetName val="DAF_ALAT8"/>
      <sheetName val="RINCIAN_HK_DIVISI12"/>
      <sheetName val="Harga_MAt14"/>
      <sheetName val="TONG_HOP_VL-NC13"/>
      <sheetName val="DON_GIA13"/>
      <sheetName val="TONGKE3p_13"/>
      <sheetName val="CHITIET_VL-NC13"/>
      <sheetName val="Fill_this_out_first___27"/>
      <sheetName val="H_Satuan13"/>
      <sheetName val="Fill_this_out_first___28"/>
      <sheetName val="Currency_Rate13"/>
      <sheetName val="REF_ONLY14"/>
      <sheetName val="Bangunan_Utama13"/>
      <sheetName val="Analisa_ME13"/>
      <sheetName val="HRG_BHN13"/>
      <sheetName val="DAFTAR_HARGA13"/>
      <sheetName val="TE_TS_FA_LAN_MATV13"/>
      <sheetName val="Analisa_Baku_ME13"/>
      <sheetName val="Rekap_Direct_Cost13"/>
      <sheetName val="UP_PL13"/>
      <sheetName val="Analisa_Bupati13"/>
      <sheetName val="ANALISA_PEK_UMUM13"/>
      <sheetName val="Harga_Satuan13"/>
      <sheetName val="Analisa_-Baku13"/>
      <sheetName val="DAFTAR_HARGA_SATUAN_MATERIAL13"/>
      <sheetName val="Code_0213"/>
      <sheetName val="Code_0313"/>
      <sheetName val="Code_0413"/>
      <sheetName val="Code_0513"/>
      <sheetName val="Code_0613"/>
      <sheetName val="Code_0713"/>
      <sheetName val="Code_0913"/>
      <sheetName val="Kontrak_awal13"/>
      <sheetName val="Check_List_LBP13"/>
      <sheetName val="3_g__Ikht_Biaya13"/>
      <sheetName val="OFFICE_2_LT13"/>
      <sheetName val="Unit_Rate13"/>
      <sheetName val="MTO_REV_013"/>
      <sheetName val="Bill_rekap13"/>
      <sheetName val="UPAH-BAHAN_13"/>
      <sheetName val="Hrg_Sat13"/>
      <sheetName val="CATU_DAYA_LISTRIK_PLB13"/>
      <sheetName val="PERALATAN_UTAMA_PK13"/>
      <sheetName val="CATU_DAYA_LISTRIK_PK13"/>
      <sheetName val="PERALATAN_&amp;_KATUP2_PK13"/>
      <sheetName val="PERALATAN_UTAMA_PLB13"/>
      <sheetName val="PERALATAN_&amp;_KATUP2_PLB13"/>
      <sheetName val="PEMIPAAN_PK13"/>
      <sheetName val="PEMIPAAN_PLB13"/>
      <sheetName val="Isolasi_Luar_Dalam13"/>
      <sheetName val="Isolasi_Luar13"/>
      <sheetName val="Bill_sipil13"/>
      <sheetName val="Rekap_dpb_1113"/>
      <sheetName val="LB_0113"/>
      <sheetName val="TH_VL,_NC,_DDHT_Thanhphuoc13"/>
      <sheetName val="an__struktur13"/>
      <sheetName val="_R_A_B13"/>
      <sheetName val="BQ_ME13"/>
      <sheetName val="Smry_Wk_(P_I)13"/>
      <sheetName val="material_13"/>
      <sheetName val="S_System13"/>
      <sheetName val="Cash_in13"/>
      <sheetName val="Soil_factor13"/>
      <sheetName val="Mat_Elk13"/>
      <sheetName val="P_LS13"/>
      <sheetName val="Single_line_AC13"/>
      <sheetName val="P_AC13"/>
      <sheetName val="rekap_panel13"/>
      <sheetName val="Lab,_Mat_&amp;_Plant_Splits13"/>
      <sheetName val="District_Loading13"/>
      <sheetName val="gabungan_(2)13"/>
      <sheetName val="FORM_X_COST13"/>
      <sheetName val="Eval_TW_I_201413"/>
      <sheetName val="Prognosa_201413"/>
      <sheetName val="REKAP_ARSITEKTUR13"/>
      <sheetName val="surfacing_&amp;_point___13"/>
      <sheetName val="stone_mas_ARE13"/>
      <sheetName val="ANALISA_-_PGRKAN13"/>
      <sheetName val="REKAP_AHS_Lansekap13"/>
      <sheetName val="daftar_timbngn_percoba_marsha13"/>
      <sheetName val="clg_fin13"/>
      <sheetName val="flr_fin13"/>
      <sheetName val="timber_frame13"/>
      <sheetName val="Wall_Qty13"/>
      <sheetName val="roof_fin13"/>
      <sheetName val="Flr,_Rf_Bm13"/>
      <sheetName val="Flr_Slb,_stair13"/>
      <sheetName val="Gd_Bm13"/>
      <sheetName val="PC,_G_Slab13"/>
      <sheetName val="wall_fin13"/>
      <sheetName val="HARGA_MATERIAL9"/>
      <sheetName val="ARS_ADM9"/>
      <sheetName val="A+Supl_13"/>
      <sheetName val="UNIT_01,02,03,0413"/>
      <sheetName val="custom_check13"/>
      <sheetName val="Harga_ME_9"/>
      <sheetName val="610_610"/>
      <sheetName val="rpp_1-510"/>
      <sheetName val="rpp_1-610"/>
      <sheetName val="tunj_10"/>
      <sheetName val="trf_d-i10"/>
      <sheetName val="struktur_tdk_dipakai9"/>
      <sheetName val="ANALISA_20109"/>
      <sheetName val="DAF_ALAT9"/>
      <sheetName val="RINCIAN_HK_DIVISI13"/>
      <sheetName val="Harga_MAt16"/>
      <sheetName val="TONG_HOP_VL-NC15"/>
      <sheetName val="DON_GIA15"/>
      <sheetName val="TONGKE3p_15"/>
      <sheetName val="CHITIET_VL-NC15"/>
      <sheetName val="Fill_this_out_first___31"/>
      <sheetName val="H_Satuan15"/>
      <sheetName val="Fill_this_out_first___32"/>
      <sheetName val="Currency_Rate15"/>
      <sheetName val="REF_ONLY16"/>
      <sheetName val="Bangunan_Utama15"/>
      <sheetName val="Analisa_ME15"/>
      <sheetName val="HRG_BHN15"/>
      <sheetName val="DAFTAR_HARGA15"/>
      <sheetName val="TE_TS_FA_LAN_MATV15"/>
      <sheetName val="Analisa_Baku_ME15"/>
      <sheetName val="Rekap_Direct_Cost15"/>
      <sheetName val="UP_PL15"/>
      <sheetName val="Analisa_Bupati15"/>
      <sheetName val="ANALISA_PEK_UMUM15"/>
      <sheetName val="Harga_Satuan15"/>
      <sheetName val="Analisa_-Baku15"/>
      <sheetName val="DAFTAR_HARGA_SATUAN_MATERIAL15"/>
      <sheetName val="Code_0215"/>
      <sheetName val="Code_0315"/>
      <sheetName val="Code_0415"/>
      <sheetName val="Code_0515"/>
      <sheetName val="Code_0615"/>
      <sheetName val="Code_0715"/>
      <sheetName val="Code_0915"/>
      <sheetName val="Kontrak_awal15"/>
      <sheetName val="Check_List_LBP15"/>
      <sheetName val="3_g__Ikht_Biaya15"/>
      <sheetName val="OFFICE_2_LT15"/>
      <sheetName val="Unit_Rate15"/>
      <sheetName val="MTO_REV_015"/>
      <sheetName val="Bill_rekap15"/>
      <sheetName val="UPAH-BAHAN_15"/>
      <sheetName val="Hrg_Sat15"/>
      <sheetName val="CATU_DAYA_LISTRIK_PLB15"/>
      <sheetName val="PERALATAN_UTAMA_PK15"/>
      <sheetName val="CATU_DAYA_LISTRIK_PK15"/>
      <sheetName val="PERALATAN_&amp;_KATUP2_PK15"/>
      <sheetName val="PERALATAN_UTAMA_PLB15"/>
      <sheetName val="PERALATAN_&amp;_KATUP2_PLB15"/>
      <sheetName val="PEMIPAAN_PK15"/>
      <sheetName val="PEMIPAAN_PLB15"/>
      <sheetName val="Isolasi_Luar_Dalam15"/>
      <sheetName val="Isolasi_Luar15"/>
      <sheetName val="Bill_sipil15"/>
      <sheetName val="Rekap_dpb_1115"/>
      <sheetName val="LB_0115"/>
      <sheetName val="TH_VL,_NC,_DDHT_Thanhphuoc15"/>
      <sheetName val="an__struktur15"/>
      <sheetName val="_R_A_B15"/>
      <sheetName val="BQ_ME15"/>
      <sheetName val="Smry_Wk_(P_I)15"/>
      <sheetName val="material_15"/>
      <sheetName val="S_System15"/>
      <sheetName val="Cash_in15"/>
      <sheetName val="Soil_factor15"/>
      <sheetName val="Mat_Elk15"/>
      <sheetName val="P_LS15"/>
      <sheetName val="Single_line_AC15"/>
      <sheetName val="P_AC15"/>
      <sheetName val="rekap_panel15"/>
      <sheetName val="Lab,_Mat_&amp;_Plant_Splits15"/>
      <sheetName val="District_Loading15"/>
      <sheetName val="gabungan_(2)15"/>
      <sheetName val="FORM_X_COST15"/>
      <sheetName val="Eval_TW_I_201415"/>
      <sheetName val="Prognosa_201415"/>
      <sheetName val="REKAP_ARSITEKTUR15"/>
      <sheetName val="surfacing_&amp;_point___15"/>
      <sheetName val="stone_mas_ARE15"/>
      <sheetName val="ANALISA_-_PGRKAN15"/>
      <sheetName val="REKAP_AHS_Lansekap15"/>
      <sheetName val="daftar_timbngn_percoba_marsha15"/>
      <sheetName val="Harga_S_Dasar_UNTUK_IDISI11"/>
      <sheetName val="clg_fin15"/>
      <sheetName val="flr_fin15"/>
      <sheetName val="timber_frame15"/>
      <sheetName val="Wall_Qty15"/>
      <sheetName val="roof_fin15"/>
      <sheetName val="Flr,_Rf_Bm15"/>
      <sheetName val="Flr_Slb,_stair15"/>
      <sheetName val="Gd_Bm15"/>
      <sheetName val="PC,_G_Slab15"/>
      <sheetName val="wall_fin15"/>
      <sheetName val="HARGA_MATERIAL11"/>
      <sheetName val="ARS_ADM11"/>
      <sheetName val="A+Supl_15"/>
      <sheetName val="UNIT_01,02,03,0415"/>
      <sheetName val="custom_check15"/>
      <sheetName val="Harga_ME_11"/>
      <sheetName val="610_612"/>
      <sheetName val="rpp_1-512"/>
      <sheetName val="rpp_1-612"/>
      <sheetName val="tunj_12"/>
      <sheetName val="trf_d-i12"/>
      <sheetName val="struktur_tdk_dipakai11"/>
      <sheetName val="ANALISA_201011"/>
      <sheetName val="DAF_ALAT11"/>
      <sheetName val="RINCIAN_HK_DIVISI15"/>
      <sheetName val="03__E&amp;T5"/>
      <sheetName val="01__Mat5"/>
      <sheetName val="02__MP5"/>
      <sheetName val="CF_Alat"/>
      <sheetName val="ADD_2_(1)"/>
      <sheetName val="RESUME_(2)"/>
      <sheetName val="Pek__Tanah"/>
      <sheetName val="Pek__Pondasi"/>
      <sheetName val="Pek__Dinding"/>
      <sheetName val="Pek__Plesteran"/>
      <sheetName val="Pek__Kayu"/>
      <sheetName val="Pek__Beton"/>
      <sheetName val="Pek__Penutup_Atap"/>
      <sheetName val="Pek__Langit-langit"/>
      <sheetName val="Pek__Sanitasi"/>
      <sheetName val="Pek__Besi_&amp;_Alumunium"/>
      <sheetName val="Pek__Kunci_&amp;_Kaca"/>
      <sheetName val="Pek__Penutup_Lantai_&amp;_dinding"/>
      <sheetName val="Pek__Pengecatan"/>
      <sheetName val="BQ_ARS"/>
      <sheetName val="Tender_Info"/>
      <sheetName val="anls_space_frame"/>
      <sheetName val="-15_0"/>
      <sheetName val="Owning_cost_Alat"/>
      <sheetName val="Anal_uph"/>
      <sheetName val="Eq__Mobilization"/>
      <sheetName val="Perm__Test"/>
      <sheetName val="Cash_Flow_bulanan"/>
      <sheetName val="Analisa_SNI_STANDART_"/>
      <sheetName val="Anal__Alat"/>
      <sheetName val="upah_borong"/>
      <sheetName val="satuan_pek"/>
      <sheetName val="1.1.Barrette pile"/>
      <sheetName val="Qty_pile"/>
      <sheetName val="Steel_slab"/>
      <sheetName val="Steel_tank"/>
      <sheetName val="Steel_wall"/>
      <sheetName val="Analisa_STR1"/>
      <sheetName val="jpr"/>
      <sheetName val="UPAH 1"/>
      <sheetName val="CASHdiv"/>
      <sheetName val="CASHlap"/>
      <sheetName val="HUTANG"/>
      <sheetName val="615E101AB(CASE85F)"/>
      <sheetName val="STEEL STRUCTURE"/>
      <sheetName val="REG TOTAL"/>
      <sheetName val="MKS"/>
      <sheetName val="Bab10"/>
      <sheetName val="availability"/>
      <sheetName val="OwningCost"/>
      <sheetName val="PAD-F"/>
      <sheetName val="Spec ME"/>
      <sheetName val="Grand 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sheetData sheetId="638"/>
      <sheetData sheetId="639"/>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sheetData sheetId="650"/>
      <sheetData sheetId="651"/>
      <sheetData sheetId="652"/>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sheetData sheetId="903"/>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sheetData sheetId="924" refreshError="1"/>
      <sheetData sheetId="925" refreshError="1"/>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refreshError="1"/>
      <sheetData sheetId="943" refreshError="1"/>
      <sheetData sheetId="944"/>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sheetData sheetId="975"/>
      <sheetData sheetId="976"/>
      <sheetData sheetId="977"/>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sheetData sheetId="1077"/>
      <sheetData sheetId="1078"/>
      <sheetData sheetId="1079"/>
      <sheetData sheetId="1080"/>
      <sheetData sheetId="108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sheetData sheetId="2180" refreshError="1"/>
      <sheetData sheetId="218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sheetData sheetId="2206"/>
      <sheetData sheetId="2207"/>
      <sheetData sheetId="2208"/>
      <sheetData sheetId="2209"/>
      <sheetData sheetId="2210"/>
      <sheetData sheetId="2211"/>
      <sheetData sheetId="2212"/>
      <sheetData sheetId="2213"/>
      <sheetData sheetId="2214"/>
      <sheetData sheetId="2215"/>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sheetData sheetId="2626"/>
      <sheetData sheetId="2627"/>
      <sheetData sheetId="2628" refreshError="1"/>
      <sheetData sheetId="2629" refreshError="1"/>
      <sheetData sheetId="2630" refreshError="1"/>
      <sheetData sheetId="2631"/>
      <sheetData sheetId="2632"/>
      <sheetData sheetId="2633" refreshError="1"/>
      <sheetData sheetId="2634"/>
      <sheetData sheetId="2635"/>
      <sheetData sheetId="2636"/>
      <sheetData sheetId="2637"/>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sheetData sheetId="2678"/>
      <sheetData sheetId="2679"/>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Q"/>
      <sheetName val="COMPARATION"/>
      <sheetName val="DBP-0100"/>
      <sheetName val="MAKER"/>
      <sheetName val="SCOPE"/>
      <sheetName val="ESCON"/>
      <sheetName val="SRT"/>
      <sheetName val="SUM-PRO"/>
      <sheetName val="PROFIT"/>
      <sheetName val="SEX"/>
      <sheetName val="DBP-0200"/>
      <sheetName val="ME"/>
      <sheetName val="data profit"/>
      <sheetName val="0504"/>
      <sheetName val="sumpro"/>
      <sheetName val="Currency Rate"/>
      <sheetName val="An Arsitektur"/>
      <sheetName val="Unit Rate (2)"/>
      <sheetName val="An Struktur"/>
      <sheetName val="FORM X COST"/>
      <sheetName val="SITE-E"/>
      <sheetName val="ELEMENT SUM"/>
      <sheetName val="STAFFSCHED "/>
      <sheetName val="prelim"/>
      <sheetName val="ANALISA HARGA SATUAN"/>
      <sheetName val="UPAH"/>
      <sheetName val="Analisa"/>
      <sheetName val="harsat"/>
      <sheetName val="alat"/>
      <sheetName val="anal_hs"/>
      <sheetName val="info"/>
      <sheetName val="bahan"/>
      <sheetName val="rekap"/>
      <sheetName val="A"/>
      <sheetName val="HSD"/>
      <sheetName val="Plumbing"/>
      <sheetName val="BAG-III"/>
      <sheetName val="Fill this out first___"/>
      <sheetName val="Bill 2.1 DW"/>
      <sheetName val="RAB ME"/>
      <sheetName val="DIVI6"/>
      <sheetName val="Umum"/>
      <sheetName val="Mall"/>
      <sheetName val="BQ_1A"/>
      <sheetName val="Rekap Direct Cost"/>
      <sheetName val="Rekap Prelim"/>
      <sheetName val="CNI"/>
      <sheetName val="r.tank"/>
      <sheetName val="meth hsl nego"/>
      <sheetName val="D &amp; W sizes"/>
      <sheetName val="Isolasi Luar"/>
      <sheetName val="Isolasi Luar Dalam"/>
      <sheetName val="Harga"/>
      <sheetName val="WF "/>
      <sheetName val="SAP"/>
      <sheetName val="Bahan "/>
      <sheetName val="Pekerjaan "/>
      <sheetName val="CKMPARATION"/>
      <sheetName val="DB_x0010_-0100"/>
      <sheetName val="SBOPE"/>
      <sheetName val="SBT"/>
      <sheetName val="SUM-@RO"/>
      <sheetName val="HRG BHN"/>
      <sheetName val="ARSITEKTUR"/>
      <sheetName val="STRUKTUR"/>
      <sheetName val="Elektrikal"/>
      <sheetName val="harsat_str"/>
      <sheetName val="Koef"/>
      <sheetName val="Du_lieu"/>
      <sheetName val="304_06"/>
      <sheetName val="Bill rekap"/>
      <sheetName val="BAG-2"/>
      <sheetName val="Plumbing &amp; Fire"/>
      <sheetName val="P.M(Monitoring Sche)"/>
      <sheetName val="Lab Sche (Summary)."/>
      <sheetName val="FDK-R2"/>
      <sheetName val="DB_x005f_x0010_-0100"/>
      <sheetName val="rab me (by owner) "/>
      <sheetName val="BQ (by owner)"/>
      <sheetName val="rab me (fisik)"/>
      <sheetName val="DB_x005f_x005f_x005f_x0010_-0100"/>
      <sheetName val="H.Satuan"/>
      <sheetName val="Pipe"/>
      <sheetName val="Piping"/>
      <sheetName val="Elec-ins"/>
      <sheetName val="data_profit"/>
      <sheetName val="Currency_Rate"/>
      <sheetName val="An_Arsitektur"/>
      <sheetName val="Unit_Rate_(2)"/>
      <sheetName val="An_Struktur"/>
      <sheetName val="FORM_X_COST"/>
      <sheetName val="ELEMENT_SUM"/>
      <sheetName val="STAFFSCHED_"/>
      <sheetName val="Fill_this_out_first___"/>
      <sheetName val="Bill_2_1_DW"/>
      <sheetName val="RAB_ME"/>
      <sheetName val="Rekap_Direct_Cost"/>
      <sheetName val="Price Biaya Cadangan"/>
      <sheetName val="BQ.Rekapitulasi  Akhir"/>
      <sheetName val="tifico"/>
      <sheetName val="data_profit1"/>
      <sheetName val="Currency_Rate1"/>
      <sheetName val="An_Arsitektur1"/>
      <sheetName val="Unit_Rate_(2)1"/>
      <sheetName val="An_Struktur1"/>
      <sheetName val="FORM_X_COST1"/>
      <sheetName val="ELEMENT_SUM1"/>
      <sheetName val="STAFFSCHED_1"/>
      <sheetName val="Fill_this_out_first___1"/>
      <sheetName val="Bill_2_1_DW1"/>
      <sheetName val="RAB_ME1"/>
      <sheetName val="Rekap_Direct_Cost1"/>
      <sheetName val="B - Norelec"/>
      <sheetName val="BQ ARS"/>
      <sheetName val="Sheet1"/>
      <sheetName val="Unit Price"/>
      <sheetName val="Material"/>
      <sheetName val="Panel,feeder,elek"/>
      <sheetName val="D _ W sizes"/>
      <sheetName val="I_KAMAR"/>
      <sheetName val="Door "/>
      <sheetName val="L-Mechanical"/>
      <sheetName val="概総括1"/>
      <sheetName val="AnalisaSIPIL RIIL"/>
      <sheetName val="NET表"/>
      <sheetName val="BQ表"/>
      <sheetName val="DB -0100"/>
      <sheetName val="BQ_IABK"/>
      <sheetName val="BQ-IABK"/>
      <sheetName val="valve"/>
      <sheetName val="Bill.1.VAC-Supply-A"/>
      <sheetName val="TOWN"/>
      <sheetName val="r_tank"/>
      <sheetName val="eqp-rek"/>
      <sheetName val="Site Expenses"/>
      <sheetName val="LO"/>
      <sheetName val="DAF-2"/>
      <sheetName val="DB-0100"/>
      <sheetName val="Bahan_"/>
      <sheetName val="Pekerjaan_"/>
      <sheetName val="Bill_rekap"/>
      <sheetName val="ADDENDUM"/>
      <sheetName val="Fill this out first..."/>
      <sheetName val="data_profit2"/>
      <sheetName val="Currency_Rate2"/>
      <sheetName val="An_Arsitektur2"/>
      <sheetName val="Unit_Rate_(2)2"/>
      <sheetName val="An_Struktur2"/>
      <sheetName val="FORM_X_COST2"/>
      <sheetName val="ELEMENT_SUM2"/>
      <sheetName val="STAFFSCHED_2"/>
      <sheetName val="Fill_this_out_first___2"/>
      <sheetName val="Bill_2_1_DW2"/>
      <sheetName val="RAB_ME2"/>
      <sheetName val="Rekap_Direct_Cost2"/>
      <sheetName val="P_M(Monitoring_Sche)"/>
      <sheetName val="Lab_Sche_(Summary)_"/>
      <sheetName val="HRG_BHN"/>
      <sheetName val="Price_Biaya_Cadangan"/>
      <sheetName val="BQ_Rekapitulasi__Akhir"/>
      <sheetName val="B_-_Norelec"/>
      <sheetName val="BQ_ARS"/>
      <sheetName val="Plumbing_&amp;_Fire"/>
      <sheetName val="H_Satuan"/>
      <sheetName val="Unit_Price"/>
      <sheetName val="rab_me_(by_owner)_"/>
      <sheetName val="BQ_(by_owner)"/>
      <sheetName val="rab_me_(fisik)"/>
      <sheetName val="Factor Sheet"/>
      <sheetName val="DB_x005f_x005f_x005f_x005f_x005f_x005f_x005f_x0010_-010"/>
      <sheetName val="당초"/>
      <sheetName val="DB_x005f_x005f_x005f_x005f_x005f_x005f_x005f_x005f_x005"/>
      <sheetName val="DAF-1"/>
      <sheetName val="Kuantitas &amp; Harga"/>
      <sheetName val="BQ AC- SEMANAN"/>
      <sheetName val="Analisa 2"/>
      <sheetName val="Cash Flow bulanan"/>
      <sheetName val="analisa alat"/>
      <sheetName val="SUB LAIN2"/>
      <sheetName val="SUB ME"/>
      <sheetName val="SUB KUSEN"/>
      <sheetName val="analisa pekerjaan"/>
      <sheetName val="ars asrama "/>
      <sheetName val="str asrama"/>
      <sheetName val="mechanical asrama"/>
      <sheetName val="electrical asrama"/>
      <sheetName val="ME. Kelas"/>
      <sheetName val="ars kelas"/>
      <sheetName val="str kelas"/>
      <sheetName val="REKAP MERAH"/>
      <sheetName val="G_SUMMARY"/>
      <sheetName val="INDEX"/>
      <sheetName val="Harsat_marina"/>
      <sheetName val="共機計算"/>
      <sheetName val="共機J"/>
      <sheetName val="DETAIL "/>
      <sheetName val="Rab "/>
      <sheetName val="I-KAMAR"/>
      <sheetName val="AKTRANSK"/>
      <sheetName val="Weight Bridge"/>
      <sheetName val="Rekap_D_X_x0000__x0000__x0000__x0000__x0000__x0001__x0000_"/>
      <sheetName val="ANALISA PEK.UMUM"/>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sheetData sheetId="76"/>
      <sheetData sheetId="77"/>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sheetData sheetId="162"/>
      <sheetData sheetId="163"/>
      <sheetData sheetId="164"/>
      <sheetData sheetId="165"/>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HAR"/>
      <sheetName val="DAF-1"/>
      <sheetName val="DAF-2"/>
      <sheetName val="DAF-3"/>
      <sheetName val="Daf-4.1"/>
      <sheetName val="Daf-4.2"/>
      <sheetName val="Daf-4.3"/>
      <sheetName val="DAF-5"/>
      <sheetName val="Daf - 6"/>
      <sheetName val="Daf-7"/>
      <sheetName val="KURVAS"/>
      <sheetName val="h.satuan"/>
      <sheetName val="analisa"/>
      <sheetName val="DASBORD"/>
      <sheetName val="TOTAL"/>
      <sheetName val="h_satuan"/>
      <sheetName val="Pendahuluan"/>
      <sheetName val="BQ"/>
      <sheetName val="BAHAN"/>
      <sheetName val="SITE-E"/>
      <sheetName val="BAG_III"/>
      <sheetName val="prelim"/>
      <sheetName val="Ijin"/>
      <sheetName val="eqp-rek"/>
      <sheetName val="ARSITEKTUR"/>
      <sheetName val="STRUKTUR"/>
      <sheetName val="Du_lieu"/>
      <sheetName val="alat"/>
      <sheetName val="anal_hs"/>
      <sheetName val="info"/>
      <sheetName val="rekap"/>
      <sheetName val="Elektrikal"/>
      <sheetName val="dt-tenaga"/>
      <sheetName val="gvl"/>
      <sheetName val="DAPUR"/>
      <sheetName val="INFR STR"/>
      <sheetName val="PAGAR KLLG"/>
      <sheetName val="WF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37">
          <cell r="H137">
            <v>8000</v>
          </cell>
        </row>
        <row r="139">
          <cell r="H139">
            <v>11000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Ls-Mobilisasi (OK)"/>
      <sheetName val="SAT-DAS"/>
      <sheetName val="Ur-Anl (ok punya)"/>
      <sheetName val="Analisa (ok punya)"/>
      <sheetName val="Kuan&amp;Harga(BQ)"/>
      <sheetName val="Rekap"/>
      <sheetName val="Anl-Alt"/>
      <sheetName val="Schedule"/>
      <sheetName val="Df-Alat"/>
      <sheetName val="Daf Personil"/>
      <sheetName val="Anl-Bhn (ok)"/>
      <sheetName val="Lamp-14 -Hit-Alt"/>
      <sheetName val="Lamp-13-Pengg Alat"/>
      <sheetName val="Lamp-4 (Pemel. Rutin)"/>
      <sheetName val="Lamp-5 (On Site)"/>
      <sheetName val="Lamp-6 (Plant)"/>
      <sheetName val="Lamp-7 (Df-Utm) ok"/>
      <sheetName val="Lamp-8 (Kont Seleksi)"/>
      <sheetName val="Lamp-11 (Sub-kont) ok"/>
      <sheetName val="Lamp-14 (Lamp-Penaw) OK"/>
    </sheetNames>
    <sheetDataSet>
      <sheetData sheetId="0"/>
      <sheetData sheetId="1"/>
      <sheetData sheetId="2"/>
      <sheetData sheetId="3">
        <row r="19">
          <cell r="J19">
            <v>39300</v>
          </cell>
        </row>
        <row r="22">
          <cell r="J22">
            <v>0</v>
          </cell>
        </row>
        <row r="24">
          <cell r="J24">
            <v>750</v>
          </cell>
        </row>
        <row r="25">
          <cell r="J25">
            <v>3800</v>
          </cell>
        </row>
        <row r="29">
          <cell r="J29">
            <v>6000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l this out first..."/>
      <sheetName val="Front"/>
      <sheetName val="Contents"/>
      <sheetName val="Basis"/>
      <sheetName val="Inclusions"/>
      <sheetName val="Exclusions"/>
      <sheetName val="Areas"/>
      <sheetName val="Overall Summary"/>
      <sheetName val="Basement"/>
      <sheetName val="Foundations Budget"/>
      <sheetName val="Parking"/>
      <sheetName val="Ground Floor Budget"/>
      <sheetName val="L1 &amp; 2"/>
      <sheetName val="2nd Floor Budget"/>
      <sheetName val="L3-4 Wards"/>
      <sheetName val="Parking 3-5 Budget"/>
      <sheetName val="L5-10 Strata Title"/>
      <sheetName val="Office Levels 6-13 Budget"/>
      <sheetName val="Level 11 - 14 Offices"/>
      <sheetName val="L15 Exec Offices"/>
      <sheetName val="Multipurpose Room Summary"/>
      <sheetName val="Multipurpose Room Budget1"/>
      <sheetName val="MP Summary"/>
      <sheetName val="MP Budget"/>
      <sheetName val="Siteworks Areas"/>
      <sheetName val="Siteworks Summary"/>
      <sheetName val="Siteworks Budget"/>
      <sheetName val="Section 5 Areas"/>
      <sheetName val="Alternates"/>
      <sheetName val="Comparison Summary"/>
      <sheetName val="Fill this out first___"/>
      <sheetName val="gvl"/>
      <sheetName val="h.satuan"/>
      <sheetName val="sort2"/>
      <sheetName val="ANAK-Smb"/>
      <sheetName val="REMUNERASISTANDAR"/>
      <sheetName val="TABEL-DETASIR"/>
      <sheetName val="Gudang non AC-AC Struktur"/>
      <sheetName val="Master Schedule"/>
      <sheetName val="Pipe"/>
      <sheetName val="Markup"/>
      <sheetName val="L3 An H Sat Mob"/>
      <sheetName val="4-Basic Price"/>
      <sheetName val="hsat-SD"/>
      <sheetName val="an-satuan"/>
      <sheetName val="Rekap-SD"/>
      <sheetName val="RAB"/>
      <sheetName val="ANALISA"/>
      <sheetName val="BQ"/>
      <sheetName val="TOWN"/>
      <sheetName val="SAPON"/>
      <sheetName val="REF.ONLY"/>
      <sheetName val="Traf&amp;Genst"/>
      <sheetName val="D3.4.3"/>
      <sheetName val="D3.4.4"/>
      <sheetName val="2-JTW"/>
      <sheetName val="SITE-E"/>
      <sheetName val="duct"/>
      <sheetName val="Daftmat"/>
      <sheetName val="SELISIH HARGA"/>
      <sheetName val="atap"/>
      <sheetName val="OFFICE 2 LT"/>
      <sheetName val="CAT_HRG"/>
      <sheetName val="mmc"/>
      <sheetName val="arsitektur"/>
      <sheetName val="Harga ME "/>
      <sheetName val="Harsat_marina"/>
      <sheetName val="SDM"/>
      <sheetName val="Harga bahan &amp; upah"/>
      <sheetName val="HARSAT"/>
      <sheetName val="Cover Daf-2"/>
      <sheetName val="A-ars"/>
      <sheetName val="Tataudara"/>
      <sheetName val="AC"/>
      <sheetName val="Du_lieu"/>
      <sheetName val="BAG-2"/>
      <sheetName val="SAP"/>
      <sheetName val="A"/>
      <sheetName val="DAF-2"/>
      <sheetName val="내역서"/>
      <sheetName val="NAMES"/>
      <sheetName val="alat"/>
      <sheetName val="anal_hs"/>
      <sheetName val="info"/>
      <sheetName val="bahan"/>
      <sheetName val="rekap"/>
      <sheetName val="upah"/>
      <sheetName val="struktur tdk dipakai"/>
      <sheetName val="WF "/>
      <sheetName val="Cover"/>
      <sheetName val="Elektrikal"/>
      <sheetName val="mu"/>
      <sheetName val="DAPUR"/>
      <sheetName val="INFR STR"/>
      <sheetName val="PAGAR KLLG"/>
      <sheetName val="LISTRIK"/>
      <sheetName val="FAK"/>
      <sheetName val="dasar"/>
      <sheetName val="FINISHING"/>
      <sheetName val="ADDENDUM"/>
      <sheetName val="name"/>
      <sheetName val="BQ-Tenis"/>
      <sheetName val="Material"/>
      <sheetName val="Preli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Biaya"/>
      <sheetName val="Kuantitas &amp; Harga"/>
      <sheetName val="Pekerjaan Utama"/>
      <sheetName val="%"/>
      <sheetName val="MetGbr"/>
      <sheetName val="Metode (2)"/>
      <sheetName val="Metode"/>
      <sheetName val="Schedulle P"/>
    </sheetNames>
    <sheetDataSet>
      <sheetData sheetId="0">
        <row r="3">
          <cell r="B3" t="str">
            <v>REKAPITULASI BIAYA PEKERJAAN</v>
          </cell>
        </row>
      </sheetData>
      <sheetData sheetId="1">
        <row r="33">
          <cell r="C33" t="str">
            <v>DIVISI  3.  PEKERJAAN  TANAH</v>
          </cell>
        </row>
        <row r="35">
          <cell r="A35" t="str">
            <v>3.1 (1)</v>
          </cell>
          <cell r="C35" t="str">
            <v>Galian Tanah Biasa</v>
          </cell>
          <cell r="D35" t="str">
            <v>M3</v>
          </cell>
          <cell r="E35">
            <v>714</v>
          </cell>
          <cell r="F35">
            <v>25920.87</v>
          </cell>
          <cell r="G35">
            <v>18507501.18</v>
          </cell>
        </row>
        <row r="36">
          <cell r="A36" t="str">
            <v>3.1 (8)</v>
          </cell>
          <cell r="C36" t="str">
            <v xml:space="preserve">Galian Perkerasan Beraspal Tanpa Cold Milling Machine </v>
          </cell>
          <cell r="D36" t="str">
            <v>M3</v>
          </cell>
          <cell r="E36">
            <v>238</v>
          </cell>
          <cell r="F36">
            <v>143649.61768229847</v>
          </cell>
          <cell r="G36">
            <v>34188609.008387037</v>
          </cell>
        </row>
        <row r="37">
          <cell r="A37" t="str">
            <v>3.3 (1)</v>
          </cell>
          <cell r="C37" t="str">
            <v>Penyiapan Badan Jln. pada Galian Biasa atau Perk. Lama Rusak</v>
          </cell>
          <cell r="D37" t="str">
            <v>M2</v>
          </cell>
          <cell r="E37">
            <v>2380</v>
          </cell>
          <cell r="F37">
            <v>977.44</v>
          </cell>
          <cell r="G37">
            <v>2326307.2000000002</v>
          </cell>
        </row>
        <row r="40">
          <cell r="B40" t="str">
            <v>Jumlah Harga Pekerjaan DIVISI 3  (masuk pada Rekapitulasi Perkiraan Harga Pekerjaan)</v>
          </cell>
          <cell r="G40">
            <v>55022417.388387039</v>
          </cell>
        </row>
        <row r="83">
          <cell r="C83" t="str">
            <v>DIVISI  9.  PEKERJAAN  HARIAN</v>
          </cell>
        </row>
        <row r="86">
          <cell r="B86" t="str">
            <v>Jumlah Harga Pekerjaan DIVISI 9  (masuk pada Rekapitulasi Perkiraan Harga Pekerjaan)</v>
          </cell>
          <cell r="G86">
            <v>0</v>
          </cell>
        </row>
        <row r="89">
          <cell r="C89" t="str">
            <v>DIVISI  10.  PEKERJAAN PEMELIHARAAN RUTIN</v>
          </cell>
        </row>
        <row r="92">
          <cell r="B92" t="str">
            <v>Jumlah Harga Pekerjaan DIVISI 10  (masuk pada Rekapitulasi Perkiraan Harga Pekerjaan)</v>
          </cell>
          <cell r="G92">
            <v>0</v>
          </cell>
        </row>
      </sheetData>
      <sheetData sheetId="2"/>
      <sheetData sheetId="3"/>
      <sheetData sheetId="4"/>
      <sheetData sheetId="5"/>
      <sheetData sheetId="6"/>
      <sheetData sheetId="7"/>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Ls-Mobilisasi (OK)"/>
      <sheetName val="SAT-DAS"/>
      <sheetName val="Ur-Anl (ok punya)"/>
      <sheetName val="Analisa (ok punya)"/>
      <sheetName val="Kuan&amp;Harga(BQ)"/>
      <sheetName val="Rekap"/>
      <sheetName val="Anl-Alt"/>
      <sheetName val="Lamp-1 (Schedule ok"/>
      <sheetName val="Anl-Bhn (ok)"/>
      <sheetName val="Lamp-14 -Hit-Alt"/>
      <sheetName val="Lamp-13-Pengg Alat"/>
      <sheetName val="Lamp-4 (Pemel. Rutin)"/>
      <sheetName val="Lamp-5 (On Site)"/>
      <sheetName val="Lamp-6 (Plant)"/>
      <sheetName val="Lamp-7 (Df-Utm) ok"/>
      <sheetName val="Lamp-8 (Kont Seleksi)"/>
      <sheetName val="Lamp-9 (Df-Alat)"/>
      <sheetName val="Lamp-10"/>
      <sheetName val="Lamp-11 (Sub-kont) ok"/>
      <sheetName val="Lamp-14 (Lamp-Penaw) OK"/>
    </sheetNames>
    <sheetDataSet>
      <sheetData sheetId="0"/>
      <sheetData sheetId="1"/>
      <sheetData sheetId="2"/>
      <sheetData sheetId="3">
        <row r="13">
          <cell r="J13">
            <v>2857.1428571428573</v>
          </cell>
        </row>
        <row r="16">
          <cell r="J16">
            <v>3428.5714285714284</v>
          </cell>
        </row>
        <row r="40">
          <cell r="J40">
            <v>121878.81</v>
          </cell>
        </row>
        <row r="52">
          <cell r="J52">
            <v>87258.96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l-Alt"/>
      <sheetName val="D"/>
      <sheetName val="C"/>
      <sheetName val="SAT-DAS"/>
      <sheetName val="Ls-Mob"/>
      <sheetName val="Ur-Anl"/>
      <sheetName val="ANL"/>
      <sheetName val="BQ"/>
      <sheetName val="REKAP"/>
      <sheetName val="SCH"/>
      <sheetName val="ONSITE"/>
      <sheetName val="PLANT"/>
      <sheetName val="LAMP"/>
      <sheetName val="DF-UTM"/>
      <sheetName val="DF-ALT"/>
      <sheetName val="STAF"/>
      <sheetName val="SUBKON"/>
      <sheetName val="In-Umum"/>
    </sheetNames>
    <sheetDataSet>
      <sheetData sheetId="0"/>
      <sheetData sheetId="1"/>
      <sheetData sheetId="2"/>
      <sheetData sheetId="3">
        <row r="27">
          <cell r="I27">
            <v>35200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 &amp; W sizes"/>
      <sheetName val="LG-Partition"/>
      <sheetName val="UG Partitions"/>
      <sheetName val="2F Partitions"/>
      <sheetName val="3F-5F Partitions"/>
      <sheetName val="PH Partitions"/>
      <sheetName val="Mach. rm. Partn."/>
      <sheetName val="Summary"/>
      <sheetName val="D _ W sizes"/>
      <sheetName val="Isolasi Luar Dalam"/>
      <sheetName val="Isolasi Luar"/>
      <sheetName val="sort2"/>
      <sheetName val="SEX"/>
      <sheetName val="Markup"/>
      <sheetName val="duct"/>
      <sheetName val="Daftmat"/>
      <sheetName val="BoQ C4"/>
      <sheetName val="Gudang non AC-AC Struktur"/>
      <sheetName val="STR"/>
      <sheetName val="SELISIH HARGA"/>
      <sheetName val="ANALISA TENDER"/>
      <sheetName val="BAHAN"/>
      <sheetName val="UPAH"/>
      <sheetName val="FORM X COST"/>
      <sheetName val="Analisa"/>
      <sheetName val="Bill of Quantity"/>
      <sheetName val="PileCap"/>
      <sheetName val="TB"/>
      <sheetName val="Fill this out first..."/>
      <sheetName val="Fill this out first___"/>
      <sheetName val="coef"/>
      <sheetName val="Harga Bahan &amp; Upah "/>
      <sheetName val="mat-me pipa"/>
      <sheetName val="INDEKS"/>
      <sheetName val="JABATAN"/>
      <sheetName val="DATA"/>
      <sheetName val="D_&amp;_W_sizes"/>
      <sheetName val="UG_Partitions"/>
      <sheetName val="2F_Partitions"/>
      <sheetName val="3F-5F_Partitions"/>
      <sheetName val="PH_Partitions"/>
      <sheetName val="Mach__rm__Partn_"/>
      <sheetName val="D___W_sizes"/>
      <sheetName val="Isolasi_Luar_Dalam"/>
      <sheetName val="Isolasi_Luar"/>
      <sheetName val="D_&amp;_W_sizes1"/>
      <sheetName val="UG_Partitions1"/>
      <sheetName val="2F_Partitions1"/>
      <sheetName val="3F-5F_Partitions1"/>
      <sheetName val="PH_Partitions1"/>
      <sheetName val="Mach__rm__Partn_1"/>
      <sheetName val="D___W_sizes1"/>
      <sheetName val="Isolasi_Luar_Dalam1"/>
      <sheetName val="Isolasi_Luar1"/>
      <sheetName val="DBシート"/>
      <sheetName val="Rekap Prelim"/>
      <sheetName val="Rekap Direct Cost"/>
      <sheetName val="Dash"/>
      <sheetName val="FAK"/>
      <sheetName val="Kuantitas &amp; Harga"/>
      <sheetName val="h.satuan"/>
      <sheetName val="Kolom"/>
      <sheetName val="Cover"/>
      <sheetName val="PEKERJAAN PERSIAPAN"/>
      <sheetName val="Ans Kom Precast"/>
      <sheetName val="PJ"/>
      <sheetName val="UPAH &amp; BHN"/>
      <sheetName val="RAB RPTRA RAWASARI"/>
      <sheetName val="RAB RPTRA SENEN"/>
      <sheetName val="RAB RPTRA PERCETAKAN NEGARA"/>
      <sheetName val="RAB RPTRA MURTADO"/>
      <sheetName val="Cov GAB"/>
      <sheetName val="Rekap Gabungan"/>
      <sheetName val="RAB RPTRA  PASEBAN"/>
      <sheetName val="RAB RPTRA MURTADO (Rev BRC)"/>
      <sheetName val="Rekap RW Sari"/>
      <sheetName val="Rekap Senen"/>
      <sheetName val="Rekap Paseban"/>
      <sheetName val="Rekap Percetakan Negara"/>
      <sheetName val="Rekap H.Murtado"/>
      <sheetName val="HARGA 2018"/>
      <sheetName val="ES&amp;MB"/>
      <sheetName val="Input"/>
      <sheetName val="Gudang_non_AC-AC_Struktur"/>
      <sheetName val="SELISIH_HARGA"/>
      <sheetName val="BoQ_C4"/>
      <sheetName val="D_&amp;_W_sizes2"/>
      <sheetName val="UG_Partitions2"/>
      <sheetName val="2F_Partitions2"/>
      <sheetName val="3F-5F_Partitions2"/>
      <sheetName val="PH_Partitions2"/>
      <sheetName val="Mach__rm__Partn_2"/>
      <sheetName val="D___W_sizes2"/>
      <sheetName val="Isolasi_Luar_Dalam2"/>
      <sheetName val="Isolasi_Luar2"/>
      <sheetName val="FORM_X_COST"/>
      <sheetName val="Bill_of_Quantity"/>
      <sheetName val="Fill_this_out_first___"/>
      <sheetName val="Fill_this_out_first___1"/>
      <sheetName val="Harga_Bahan_&amp;_Upah_"/>
      <sheetName val="mat-me_pipa"/>
      <sheetName val="ANALISA_TENDER"/>
      <sheetName val="TATA UDARA"/>
      <sheetName val="ELEKTRIKAL"/>
      <sheetName val="Analisa  (2)"/>
      <sheetName val="Prelim Thp 2"/>
      <sheetName val="Direct Cost Thp 2"/>
      <sheetName val="Price Biaya Cadangan"/>
      <sheetName val="BQ.Rekapitulasi  Akhir"/>
      <sheetName val="Anls"/>
      <sheetName val="Harsat_marina"/>
      <sheetName val="ana_struktur"/>
      <sheetName val="bq"/>
      <sheetName val="D_&amp;_W_sizes4"/>
      <sheetName val="UG_Partitions4"/>
      <sheetName val="2F_Partitions4"/>
      <sheetName val="3F-5F_Partitions4"/>
      <sheetName val="PH_Partitions4"/>
      <sheetName val="Mach__rm__Partn_4"/>
      <sheetName val="D___W_sizes4"/>
      <sheetName val="Isolasi_Luar_Dalam4"/>
      <sheetName val="Isolasi_Luar4"/>
      <sheetName val="Gudang_non_AC-AC_Struktur2"/>
      <sheetName val="SELISIH_HARGA2"/>
      <sheetName val="BoQ_C42"/>
      <sheetName val="Bill_of_Quantity2"/>
      <sheetName val="Fill_this_out_first___4"/>
      <sheetName val="Fill_this_out_first___5"/>
      <sheetName val="Harga_Bahan_&amp;_Upah_2"/>
      <sheetName val="mat-me_pipa2"/>
      <sheetName val="FORM_X_COST2"/>
      <sheetName val="ANALISA_TENDER2"/>
      <sheetName val="Price_Biaya_Cadangan1"/>
      <sheetName val="BQ_Rekapitulasi__Akhir1"/>
      <sheetName val="Prelim_Thp_21"/>
      <sheetName val="Direct_Cost_Thp_21"/>
      <sheetName val="D_&amp;_W_sizes3"/>
      <sheetName val="UG_Partitions3"/>
      <sheetName val="2F_Partitions3"/>
      <sheetName val="3F-5F_Partitions3"/>
      <sheetName val="PH_Partitions3"/>
      <sheetName val="Mach__rm__Partn_3"/>
      <sheetName val="D___W_sizes3"/>
      <sheetName val="Isolasi_Luar_Dalam3"/>
      <sheetName val="Isolasi_Luar3"/>
      <sheetName val="Gudang_non_AC-AC_Struktur1"/>
      <sheetName val="SELISIH_HARGA1"/>
      <sheetName val="BoQ_C41"/>
      <sheetName val="Bill_of_Quantity1"/>
      <sheetName val="Fill_this_out_first___2"/>
      <sheetName val="Fill_this_out_first___3"/>
      <sheetName val="Harga_Bahan_&amp;_Upah_1"/>
      <sheetName val="mat-me_pipa1"/>
      <sheetName val="FORM_X_COST1"/>
      <sheetName val="ANALISA_TENDER1"/>
      <sheetName val="Price_Biaya_Cadangan"/>
      <sheetName val="BQ_Rekapitulasi__Akhir"/>
      <sheetName val="Prelim_Thp_2"/>
      <sheetName val="Direct_Cost_Thp_2"/>
      <sheetName val="Gudang_non_AC-AC_Struktur3"/>
      <sheetName val="SELISIH_HARGA3"/>
      <sheetName val="D_&amp;_W_sizes5"/>
      <sheetName val="UG_Partitions5"/>
      <sheetName val="2F_Partitions5"/>
      <sheetName val="3F-5F_Partitions5"/>
      <sheetName val="PH_Partitions5"/>
      <sheetName val="Mach__rm__Partn_5"/>
      <sheetName val="D___W_sizes5"/>
      <sheetName val="Isolasi_Luar_Dalam5"/>
      <sheetName val="Isolasi_Luar5"/>
      <sheetName val="Gudang_non_AC-AC_Struktur4"/>
      <sheetName val="SELISIH_HARGA4"/>
      <sheetName val="Y-WORK"/>
      <sheetName val="#REF!"/>
      <sheetName val="BQ-Tenis"/>
      <sheetName val="Arsitektur"/>
      <sheetName val="Material"/>
      <sheetName val="BOQ_Aula"/>
      <sheetName val="Prelim"/>
      <sheetName val="BOQ"/>
      <sheetName val="Report detil kondisi"/>
      <sheetName val="detil kondisi"/>
      <sheetName val="Informasi"/>
      <sheetName val="Daf 1"/>
      <sheetName val="Rekap Biaya"/>
      <sheetName val="U&amp;B"/>
      <sheetName val="HRG BHN"/>
      <sheetName val="Unit Rates"/>
      <sheetName val="Fee - Materials"/>
      <sheetName val="listrik"/>
      <sheetName val="CONSUMABLE"/>
      <sheetName val="gvl"/>
      <sheetName val="Const"/>
      <sheetName val="dia_pipe"/>
      <sheetName val="Pipe"/>
      <sheetName val="P.M(Monitoring Sche)"/>
      <sheetName val="WF "/>
      <sheetName val="dt-tenaga"/>
      <sheetName val="L-Mechanical"/>
      <sheetName val="HB me"/>
      <sheetName val="Marshal"/>
      <sheetName val="REKAP Mas Masyur"/>
      <sheetName val="BACK UP VOL. RELOKASI"/>
      <sheetName val="har-sat"/>
      <sheetName val="4-BASIC"/>
      <sheetName val="5-ALAT"/>
      <sheetName val="Klm-Mnl"/>
      <sheetName val="1"/>
      <sheetName val="Koefisien"/>
      <sheetName val="k-300"/>
      <sheetName val="Ktitas_Hg"/>
      <sheetName val="BQ-IABK"/>
      <sheetName val="Masonry"/>
      <sheetName val="Sheet1"/>
      <sheetName val="DB???"/>
      <sheetName val="EXF"/>
      <sheetName val="393.N"/>
      <sheetName val="DB___"/>
      <sheetName val="MATERIAL-UPAH"/>
      <sheetName val="L3 An H Sat Mob"/>
      <sheetName val="HB "/>
      <sheetName val="ANA-HRG"/>
      <sheetName val="rab 4"/>
      <sheetName val="hsp-STR-ARS"/>
      <sheetName val="HSATUAN"/>
      <sheetName val="LPMING1"/>
      <sheetName val="FINISHING"/>
      <sheetName val="Analisa ME (2)"/>
      <sheetName val="analis standar(20m)"/>
      <sheetName val="ANAL BETON"/>
      <sheetName val="REKAP_MEKANIKAL"/>
      <sheetName val="Rekap-link"/>
      <sheetName val="G_SUMMARY"/>
      <sheetName val="Rab"/>
      <sheetName val="Analis Upah"/>
      <sheetName val="ALAT"/>
      <sheetName val="ANL"/>
      <sheetName val="CashFlow"/>
      <sheetName val="DAF-2"/>
      <sheetName val="HSAT(PR)"/>
      <sheetName val="REKAP."/>
      <sheetName val="Div2"/>
      <sheetName val=" Analisa HS"/>
      <sheetName val="HRG-SATUAN"/>
      <sheetName val="harga"/>
      <sheetName val="Perm. Test"/>
      <sheetName val="REMUNERASISTANDAR"/>
      <sheetName val="TABEL-DETASIR"/>
      <sheetName val="PriceList"/>
      <sheetName val="UBA"/>
      <sheetName val="LO"/>
      <sheetName val="PDMP"/>
      <sheetName val="PCE"/>
      <sheetName val="PRODUK"/>
      <sheetName val="TOOL-ME"/>
      <sheetName val="Prod-CS"/>
      <sheetName val="NAME"/>
      <sheetName val="7"/>
      <sheetName val="Pile"/>
      <sheetName val="REKAPITULASI"/>
      <sheetName val="alat,bahan,sub"/>
      <sheetName val="AHSP"/>
      <sheetName val="EQFRM2"/>
      <sheetName val="4-Basic Price"/>
      <sheetName val="for INTERNALLY"/>
      <sheetName val="escon"/>
      <sheetName val="ELEMENT SUM"/>
      <sheetName val="入力作成表"/>
      <sheetName val="RFP005"/>
      <sheetName val="Vat tu XD"/>
      <sheetName val="DWi"/>
      <sheetName val="REKAP"/>
      <sheetName val="EE-PROP"/>
      <sheetName val="Production"/>
      <sheetName val="POLICY"/>
      <sheetName val="B.T"/>
      <sheetName val="har.sat.S"/>
      <sheetName val="AN.SEDANG"/>
      <sheetName val="D.K H"/>
      <sheetName val="TOWN"/>
      <sheetName val="3-DIV3"/>
      <sheetName val="Kolom Praktis"/>
      <sheetName val="Pas. Bata Trasram"/>
      <sheetName val="Pas. Bata"/>
      <sheetName val="Plstern dan Acian Trasram"/>
      <sheetName val="Railing Tangga Depan"/>
      <sheetName val="Railing Void"/>
      <sheetName val="Tanggul Janitor + Wudlu"/>
      <sheetName val="Persiapan"/>
      <sheetName val="ARTAGDING"/>
      <sheetName val="harsat"/>
      <sheetName val="REF.ONLY"/>
      <sheetName val="DAF-BAHAN"/>
      <sheetName val="DAF-UPAH"/>
      <sheetName val="hal"/>
      <sheetName val="material "/>
      <sheetName val="dnc4"/>
      <sheetName val="Up &amp; bhn"/>
      <sheetName val="AHSbj"/>
      <sheetName val="Piping"/>
      <sheetName val="Harga Satuan"/>
      <sheetName val="Dashboard"/>
      <sheetName val="K3LM"/>
      <sheetName val="Peralatan"/>
      <sheetName val="BAU"/>
      <sheetName val="Har sat Sub"/>
      <sheetName val="Listrik "/>
      <sheetName val="Plumbing "/>
      <sheetName val="Pembatas."/>
      <sheetName val="Vendor"/>
      <sheetName val="Analisa Timpang"/>
      <sheetName val="Analisa Tambah"/>
      <sheetName val="Harga Bahan"/>
      <sheetName val="Rekap Analisa"/>
      <sheetName val="Analisa MEP Tambah"/>
      <sheetName val="Analisa Harga Mekanikal "/>
      <sheetName val="Analisa Harga Electrical "/>
      <sheetName val="Harsat Elektrikal "/>
      <sheetName val="Harsat Mekanikal "/>
      <sheetName val="MARGIN"/>
      <sheetName val="HARGA MATERIAL"/>
      <sheetName val="BQ (Case-A Rev-2)"/>
      <sheetName val="SUM (CASE-A Rev-2)"/>
      <sheetName val="Sheet3"/>
      <sheetName val="BQ (Case-A Rev-2) (2)"/>
      <sheetName val="NTM Usage"/>
      <sheetName val="Inhouse_Usage"/>
      <sheetName val="Assumptions"/>
      <sheetName val="STF-SDL"/>
      <sheetName val="GI"/>
      <sheetName val="salary"/>
      <sheetName val="Bond"/>
      <sheetName val="Exchange"/>
      <sheetName val="Master"/>
      <sheetName val="Purchase Order"/>
      <sheetName val="Customize Your Purchase Order"/>
      <sheetName val="전기"/>
      <sheetName val="Budget Code"/>
      <sheetName val="tra_vat_lieu"/>
      <sheetName val="FitOutConfCentre"/>
      <sheetName val="DG"/>
      <sheetName val="FACTOR"/>
      <sheetName val="bag-2"/>
      <sheetName val="Sheet5"/>
      <sheetName val="database"/>
      <sheetName val="for internal (ME)"/>
      <sheetName val="Sheet2"/>
      <sheetName val="FEN"/>
      <sheetName val="OUT"/>
      <sheetName val="RDPNL"/>
      <sheetName val="RRINN"/>
      <sheetName val="HEM"/>
      <sheetName val="金型重量算出"/>
      <sheetName val="FDPNL"/>
      <sheetName val="FDSKN"/>
      <sheetName val="FFLOOR"/>
      <sheetName val="HFRM"/>
      <sheetName val="HSKN"/>
      <sheetName val="RDSKN"/>
      <sheetName val="RFLOOR"/>
      <sheetName val="ROOF"/>
      <sheetName val="TLSKIN LWR"/>
      <sheetName val="TLFRM"/>
      <sheetName val="TLSKN"/>
      <sheetName val="Cover Daf-2"/>
      <sheetName val="钢管人工"/>
      <sheetName val="一発シート"/>
      <sheetName val="電気設備表"/>
      <sheetName val="外気負荷"/>
      <sheetName val="LB020A(月)"/>
      <sheetName val="D_&amp;_W_sizes6"/>
      <sheetName val="UG_Partitions6"/>
      <sheetName val="2F_Partitions6"/>
      <sheetName val="3F-5F_Partitions6"/>
      <sheetName val="PH_Partitions6"/>
      <sheetName val="Mach__rm__Partn_6"/>
      <sheetName val="D___W_sizes6"/>
      <sheetName val="Isolasi_Luar_Dalam6"/>
      <sheetName val="Isolasi_Luar6"/>
      <sheetName val="Gudang_non_AC-AC_Struktur5"/>
      <sheetName val="SELISIH_HARGA5"/>
      <sheetName val="BoQ_C43"/>
      <sheetName val="FORM_X_COST3"/>
      <sheetName val="Bill_of_Quantity3"/>
      <sheetName val="Fill_this_out_first___6"/>
      <sheetName val="Fill_this_out_first___7"/>
      <sheetName val="Harga_Bahan_&amp;_Upah_3"/>
      <sheetName val="mat-me_pipa3"/>
      <sheetName val="ANALISA_TENDER3"/>
      <sheetName val="Prelim_Thp_22"/>
      <sheetName val="Direct_Cost_Thp_22"/>
      <sheetName val="Price_Biaya_Cadangan2"/>
      <sheetName val="BQ_Rekapitulasi__Akhir2"/>
      <sheetName val="Rekap_Prelim"/>
      <sheetName val="Rekap_Direct_Cost"/>
      <sheetName val="P_M(Monitoring_Sche)"/>
      <sheetName val="TATA_UDARA"/>
      <sheetName val="Analisa__(2)"/>
      <sheetName val="for_INTERNALLY"/>
      <sheetName val="Report_detil_kondisi"/>
      <sheetName val="detil_kondisi"/>
      <sheetName val="H_Satuan"/>
      <sheetName val="393_N"/>
      <sheetName val="Vat_tu_XD"/>
      <sheetName val="4-Basic_Price"/>
      <sheetName val="Unit_Rates"/>
      <sheetName val="Fee_-_Materials"/>
      <sheetName val="BACK_UP_VOL__RELOKASI"/>
      <sheetName val="material_"/>
      <sheetName val="WF_"/>
      <sheetName val="Kuantitas_&amp;_Harga"/>
      <sheetName val="Purchase_Order"/>
      <sheetName val="Customize_Your_Purchase_Order"/>
      <sheetName val="Budget_Code"/>
      <sheetName val="ELEMENT_SUM"/>
      <sheetName val="HB_me"/>
      <sheetName val="BOW"/>
      <sheetName val="D_&amp;_W_sizes7"/>
      <sheetName val="UG_Partitions7"/>
      <sheetName val="2F_Partitions7"/>
      <sheetName val="3F-5F_Partitions7"/>
      <sheetName val="PH_Partitions7"/>
      <sheetName val="Mach__rm__Partn_7"/>
      <sheetName val="D___W_sizes7"/>
      <sheetName val="Isolasi_Luar_Dalam7"/>
      <sheetName val="Isolasi_Luar7"/>
      <sheetName val="Gudang_non_AC-AC_Struktur6"/>
      <sheetName val="SELISIH_HARGA6"/>
      <sheetName val="BoQ_C44"/>
      <sheetName val="FORM_X_COST4"/>
      <sheetName val="Bill_of_Quantity4"/>
      <sheetName val="Fill_this_out_first___8"/>
      <sheetName val="Fill_this_out_first___9"/>
      <sheetName val="Harga_Bahan_&amp;_Upah_4"/>
      <sheetName val="mat-me_pipa4"/>
      <sheetName val="ANALISA_TENDER4"/>
      <sheetName val="Prelim_Thp_23"/>
      <sheetName val="Direct_Cost_Thp_23"/>
      <sheetName val="Price_Biaya_Cadangan3"/>
      <sheetName val="BQ_Rekapitulasi__Akhir3"/>
      <sheetName val="Rekap_Prelim1"/>
      <sheetName val="Rekap_Direct_Cost1"/>
      <sheetName val="P_M(Monitoring_Sche)1"/>
      <sheetName val="UP"/>
      <sheetName val="SUM"/>
      <sheetName val="Net-Sell"/>
      <sheetName val="SOR"/>
      <sheetName val="Up_&amp;_bhn"/>
      <sheetName val="Harga_Satuan"/>
      <sheetName val="PEKERJAAN_PERSIAPAN"/>
      <sheetName val="Ans_Kom_Precast"/>
      <sheetName val="UPAH_&amp;_BHN"/>
      <sheetName val="Har_sat_Sub"/>
      <sheetName val="Listrik_"/>
      <sheetName val="Plumbing_"/>
      <sheetName val="Pembatas_"/>
      <sheetName val="Analisa_Timpang"/>
      <sheetName val="Analisa_Tambah"/>
      <sheetName val="Harga_Bahan"/>
      <sheetName val="Rekap_Analisa"/>
      <sheetName val="Analisa_MEP_Tambah"/>
      <sheetName val="Analisa_Harga_Mekanikal_"/>
      <sheetName val="Analisa_Harga_Electrical_"/>
      <sheetName val="Harsat_Elektrikal_"/>
      <sheetName val="Harsat_Mekanikal_"/>
      <sheetName val="HARGA_MATERIAL"/>
      <sheetName val="BQ_(Case-A_Rev-2)"/>
      <sheetName val="SUM_(CASE-A_Rev-2)"/>
      <sheetName val="BQ_(Case-A_Rev-2)_(2)"/>
      <sheetName val="NTM_Usage"/>
      <sheetName val="Daf_1"/>
      <sheetName val="TATA_UDARA1"/>
      <sheetName val="Analisa__(2)1"/>
      <sheetName val="Report_detil_kondisi1"/>
      <sheetName val="detil_kondisi1"/>
      <sheetName val="H_Satuan1"/>
      <sheetName val="4-Basic_Price1"/>
      <sheetName val="for_INTERNALLY1"/>
      <sheetName val="393_N1"/>
      <sheetName val="ELEMENT_SUM1"/>
      <sheetName val="Vat_tu_XD1"/>
      <sheetName val="material_1"/>
      <sheetName val="WF_1"/>
      <sheetName val="Kuantitas_&amp;_Harga1"/>
      <sheetName val="Up_&amp;_bhn1"/>
      <sheetName val="Harga_Satuan1"/>
      <sheetName val="Unit_Rates1"/>
      <sheetName val="Fee_-_Materials1"/>
      <sheetName val="BACK_UP_VOL__RELOKASI1"/>
      <sheetName val="PEKERJAAN_PERSIAPAN1"/>
      <sheetName val="Ans_Kom_Precast1"/>
      <sheetName val="UPAH_&amp;_BHN1"/>
      <sheetName val="Har_sat_Sub1"/>
      <sheetName val="Listrik_1"/>
      <sheetName val="Plumbing_1"/>
      <sheetName val="Pembatas_1"/>
      <sheetName val="Analisa_Timpang1"/>
      <sheetName val="Analisa_Tambah1"/>
      <sheetName val="Harga_Bahan1"/>
      <sheetName val="Rekap_Analisa1"/>
      <sheetName val="Analisa_MEP_Tambah1"/>
      <sheetName val="Analisa_Harga_Mekanikal_1"/>
      <sheetName val="Analisa_Harga_Electrical_1"/>
      <sheetName val="Harsat_Elektrikal_1"/>
      <sheetName val="Harsat_Mekanikal_1"/>
      <sheetName val="HARGA_MATERIAL1"/>
      <sheetName val="BQ_(Case-A_Rev-2)1"/>
      <sheetName val="SUM_(CASE-A_Rev-2)1"/>
      <sheetName val="BQ_(Case-A_Rev-2)_(2)1"/>
      <sheetName val="NTM_Usage1"/>
      <sheetName val="Purchase_Order1"/>
      <sheetName val="Customize_Your_Purchase_Order1"/>
      <sheetName val="Budget_Code1"/>
      <sheetName val="HB_me1"/>
      <sheetName val="Daf_11"/>
      <sheetName val="BMS"/>
      <sheetName val="ESTI."/>
      <sheetName val="DI-ESTI"/>
      <sheetName val="個案9411"/>
      <sheetName val="PS-Labour_M"/>
      <sheetName val="VL,NC,MTC"/>
      <sheetName val="경비2내역"/>
      <sheetName val="tuong"/>
      <sheetName val="CODE"/>
      <sheetName val="Data-Masukan"/>
      <sheetName val="anal-beton"/>
      <sheetName val="anal-mos"/>
      <sheetName val="Har-mat"/>
      <sheetName val="ANALISA SM"/>
      <sheetName val="I-KAMAR"/>
      <sheetName val="BLR 1"/>
      <sheetName val="GEN"/>
      <sheetName val="GAS"/>
      <sheetName val="DEAE"/>
      <sheetName val="BLR2"/>
      <sheetName val="BLR3"/>
      <sheetName val="BLR4"/>
      <sheetName val="BLR5"/>
      <sheetName val="DEM"/>
      <sheetName val="SAM"/>
      <sheetName val="CHEM"/>
      <sheetName val="COP"/>
      <sheetName val="RUMUS BEKISTING"/>
      <sheetName val="REKAP ELEKTRIKAL"/>
      <sheetName val="Model"/>
      <sheetName val="CONSTRUCTION COMPONENT"/>
      <sheetName val="Don gia"/>
      <sheetName val="計算条件"/>
      <sheetName val="諸経費"/>
      <sheetName val="清水計算営業税率関連"/>
      <sheetName val="BAOGIATHANG"/>
      <sheetName val="NC"/>
      <sheetName val="DAODAT"/>
      <sheetName val="vanchuyen TC"/>
      <sheetName val="完成工事"/>
      <sheetName val="未成工事"/>
      <sheetName val="Menu"/>
      <sheetName val="daf-7(OK)"/>
      <sheetName val="daf-3(OK)"/>
      <sheetName val="SK"/>
      <sheetName val="Tunduk Panitia"/>
      <sheetName val="4_MVAC"/>
      <sheetName val="BAG_2"/>
      <sheetName val="Ahs.2"/>
      <sheetName val="Ahs.1"/>
      <sheetName val="SITE-E"/>
      <sheetName val="rumus"/>
      <sheetName val="BASEMENT"/>
      <sheetName val=" "/>
      <sheetName val="Finishing Warehouse"/>
      <sheetName val="L_TIGA"/>
      <sheetName val="L-TIGA"/>
      <sheetName val="DIV1"/>
      <sheetName val="tra-vat-lieu"/>
      <sheetName val="갑지(추정)"/>
      <sheetName val="DGXDCB_DD"/>
      <sheetName val="係数"/>
      <sheetName val="BG"/>
      <sheetName val="차액보증"/>
      <sheetName val="Gia VLNCMTC"/>
      <sheetName val="MTO REV.2(ARMOR)"/>
      <sheetName val="NKC6"/>
      <sheetName val="Sheet4"/>
      <sheetName val="COST"/>
      <sheetName val="RA-markate"/>
      <sheetName val="Gia thanh"/>
      <sheetName val="RateAnalysis"/>
      <sheetName val="AUTOMATIC SELECT"/>
      <sheetName val="RAW MATERIALS "/>
      <sheetName val="Elemental Buildup"/>
      <sheetName val="Cash Flow bulanan"/>
      <sheetName val="REKAP_STRUKTUR"/>
      <sheetName val="E.Adm"/>
      <sheetName val="Bill rekap"/>
      <sheetName val="304-06"/>
      <sheetName val="DTCT"/>
      <sheetName val="Tra_bang"/>
      <sheetName val="BASE"/>
      <sheetName val="tifico"/>
      <sheetName val="Fitout"/>
      <sheetName val="Quantity"/>
      <sheetName val="plumbing"/>
      <sheetName val="SNI UPAH BAHAN"/>
      <sheetName val="SatDas"/>
      <sheetName val="Bhn+Uph"/>
      <sheetName val="BQ-E20-02(Rp)"/>
      <sheetName val="물량표S"/>
      <sheetName val="upah &amp; bahan"/>
      <sheetName val="Analisa STR"/>
      <sheetName val="upah_&amp;_bahan"/>
      <sheetName val="upah_&amp;_bahan1"/>
      <sheetName val="見積書Ａ４縦"/>
      <sheetName val="availability"/>
      <sheetName val="I-ME"/>
      <sheetName val="TAGIHAN "/>
      <sheetName val="GRANDSUM"/>
      <sheetName val="Daf-1 Pek. Persiapan"/>
      <sheetName val="2.1 (TOTAL POS)"/>
      <sheetName val="Daf-1 Pek. Tanah &amp; Pondasi"/>
      <sheetName val="Daf-2 Pek. Struktur"/>
      <sheetName val="Daf-3.1 Pek. Dinding"/>
      <sheetName val="Daf-3.2 Pek. Pintu Jendela"/>
      <sheetName val="Daf-3.3 Pek. Lantai"/>
      <sheetName val="Daf-3.4 Pek. Plafond"/>
      <sheetName val="2.2 (TOTAL MUSHOLA)"/>
      <sheetName val="Daf-1 Pek. Pondasi"/>
      <sheetName val="Daf-2.1 Pek. Beton"/>
      <sheetName val="Daf-2.3 Pek. Baja"/>
      <sheetName val="Daf-3.1 Pek. Dinding (2)"/>
      <sheetName val="Daf-3.2 Pek. Pintu Jendela (2)"/>
      <sheetName val="Daf-3.3 Pek. Lantai (2)"/>
      <sheetName val="Daf-3.4 Pek. Plafond (2)"/>
      <sheetName val="Daf-3.5 Pek. Sanitair"/>
      <sheetName val="2.3 (TOTAL PM &amp; MOBIL)"/>
      <sheetName val="Daf-1 Pek. Pondasi (2)"/>
      <sheetName val="Daf-2.1 Pek. Tanah"/>
      <sheetName val="Daf-2.2 Pek. Beton"/>
      <sheetName val="Daf-2.3 Pek. Baja (2)"/>
      <sheetName val="2.4 (TOTAL MESS)"/>
      <sheetName val="Daf-1 Pek. Pondasi (3)"/>
      <sheetName val="Daf-2.1 Pek. Tanah (2)"/>
      <sheetName val="Daf-2.2 Pek. Beton (2)"/>
      <sheetName val="Daf-3.1 Pek. Dinding (3)"/>
      <sheetName val="Daf-3.2 Pek. Pintu Jendela  (3)"/>
      <sheetName val="Daf-3.3 Pek. Lantai (3)"/>
      <sheetName val="Daf-3.4 Pek. Plafond (3)"/>
      <sheetName val="Daf-3.5 Pek. Sanitair (2)"/>
      <sheetName val="Daf-3.6 Pek. Tangga"/>
      <sheetName val="2.5 (TOTAL Office)"/>
      <sheetName val="Daf-1 Pek. Pondasi (4)"/>
      <sheetName val="Daf-2.1 Pek. Tanah (3)"/>
      <sheetName val="Daf-2.2 Pek. Beton (3)"/>
      <sheetName val="Daf-3.1 Pek. Dinding (4)"/>
      <sheetName val="Daf-3.2 Pek. Pintu Jendela  (4)"/>
      <sheetName val="Daf-3.3 Pek. Lantai (4)"/>
      <sheetName val="Daf-3.4 Pek. Plafond (4)"/>
      <sheetName val="Daf-3.5 Pek. Sanitair (3)"/>
      <sheetName val="Daf-3.6 Pek. Tangga (2)"/>
      <sheetName val="2.6 (TOTAL-RMW)"/>
      <sheetName val="Daf-1 Pek. Pondasi (5)"/>
      <sheetName val="Daf-3.1 Pek. Tanah"/>
      <sheetName val="Daf-3.2 Pek. Beton"/>
      <sheetName val="Daf-3.3 Pek. Baja"/>
      <sheetName val="Daf-3.1 Pek. Dinding (5)"/>
      <sheetName val="Daf-3.2 Pek. Pintu Jendela  (5)"/>
      <sheetName val="Daf-3.3 Pek. Lantai (5)"/>
      <sheetName val="Daf-3.4 Pek. Plafond (5)"/>
      <sheetName val="2.7 (TOTAL-LAB)"/>
      <sheetName val="Daf-1 Pek. Pondasi (6)"/>
      <sheetName val="Daf-2.1 Pek. Tanah (5)"/>
      <sheetName val="Daf-2.2 Pek. Beton (5)"/>
      <sheetName val="Daf-3.1 Pek. Dinding (9)"/>
      <sheetName val="Daf-3.2 Pek. Pintu Jendela  (9)"/>
      <sheetName val="Daf-3.3 Pek. Lantai (9)"/>
      <sheetName val="Daf-3.4 Pek. Plafond (9)"/>
      <sheetName val="Daf-3.5 Pek. Sanitair (6)"/>
      <sheetName val="Daf-3.6 Pek. Tangga (4)"/>
      <sheetName val="2.8 (TOTAL_M. Workshop)"/>
      <sheetName val="Daf-1 Pek. Pondasi (7)"/>
      <sheetName val="Daf-2.1 Pek. Tanah (4)"/>
      <sheetName val="Daf-2.2 Pek. Beton (4)"/>
      <sheetName val="Daf-2.3 Pek. Baja (3)"/>
      <sheetName val="Daf-3.1 Pek. Dinding (6)"/>
      <sheetName val="Daf-3.2 Pek. Pintu Jendela  (6)"/>
      <sheetName val="Daf-3.3 Pek. Lantai (6)"/>
      <sheetName val="Daf-3.4 Pek. Plafond (6)"/>
      <sheetName val="Daf-3.5 Pek. Sanitair (4)"/>
      <sheetName val="Daf-3.6 Pek. Tangga (3)"/>
      <sheetName val="2.9 (TOTAL-F. Warehouse)"/>
      <sheetName val="Daf-1 Pek. Pondasi (8)"/>
      <sheetName val="Daf-2.1 Pek. Tanah (6)"/>
      <sheetName val="Daf-2.2 Pek. Beton (6)"/>
      <sheetName val="Daf-2.3 Pek. Baja (5)"/>
      <sheetName val="Daf-3.1 Pek. Dinding (7)"/>
      <sheetName val="Daf-3.2 Pek. Pintu Jendela  (7)"/>
      <sheetName val="Daf-3.3 Pek. Lantai (7)"/>
      <sheetName val="Daf-3.4 Pek. Plafond (7)"/>
      <sheetName val="2.10 (TOTAL-G. Abu)"/>
      <sheetName val="Daf-2.1 Pek. Tanah (7)"/>
      <sheetName val="Daf-2.2 Pek. Beton (7)"/>
      <sheetName val="Daf-2.3 Pek. Baja (6)"/>
      <sheetName val="Daf-3.1 Pek. Dinding (8)"/>
      <sheetName val="Daf-3.2 Pek. Pintu Jendela  (8)"/>
      <sheetName val="Daf-3.3 Pek. Lantai (8)"/>
      <sheetName val="Daf-3.4 Pek. Plafond (8)"/>
      <sheetName val="Daf-3.6 Pek. Tangga (5)"/>
      <sheetName val="2.11 (TOTAL-toilet)"/>
      <sheetName val="Daf-1 Pek. Pondasi (10)"/>
      <sheetName val="Daf-2.1 Pek. Beton (2)"/>
      <sheetName val="Daf-3.1 Pek. Dinding (10)"/>
      <sheetName val="Daf-3.2 Pek. Pintu Jendela (10)"/>
      <sheetName val="Daf-3.3 Pek. Lantai (10)"/>
      <sheetName val="Daf-3.4 Pek. Plafond (10)"/>
      <sheetName val="Daf-3.5 Pek. Sanitair (7)"/>
      <sheetName val="2.12 (TOTAL-W.Tank)"/>
      <sheetName val="Daf-2.1 Pek. Tanah (8)"/>
      <sheetName val="Daf-2.2 Pek. Beton (8)"/>
      <sheetName val="Daf-3.1 Pek. Dinding (11)"/>
      <sheetName val="Daf-3.2 Pek. Pintu Jendela (11)"/>
      <sheetName val="Daf-3.3 Pek. Lantai (11)"/>
      <sheetName val="Daf-3.4 Pek. Plafond (11)"/>
      <sheetName val="Daf-3.5 Pek. Tangga"/>
      <sheetName val="2.14 (TOTAL-J. Timbang)"/>
      <sheetName val="Daf-1 Pek. Pondasi (11)"/>
      <sheetName val="Daf-2.1 Pek. Tanah (9)"/>
      <sheetName val="Daf-2.2 Pek. Beton (9)"/>
      <sheetName val="Daf-2.3 Pek. Baja (7)"/>
      <sheetName val="Pek. Luar"/>
      <sheetName val="Inputdata"/>
      <sheetName val="Mat Price"/>
      <sheetName val="REKAP BQ "/>
      <sheetName val="D_&amp;_W_sizes8"/>
      <sheetName val="UG_Partitions8"/>
      <sheetName val="2F_Partitions8"/>
      <sheetName val="3F-5F_Partitions8"/>
      <sheetName val="PH_Partitions8"/>
      <sheetName val="Mach__rm__Partn_8"/>
      <sheetName val="D___W_sizes8"/>
      <sheetName val="Isolasi_Luar_Dalam8"/>
      <sheetName val="Isolasi_Luar8"/>
      <sheetName val="Gudang_non_AC-AC_Struktur7"/>
      <sheetName val="SELISIH_HARGA7"/>
      <sheetName val="BoQ_C45"/>
      <sheetName val="FORM_X_COST5"/>
      <sheetName val="Bill_of_Quantity5"/>
      <sheetName val="Fill_this_out_first___10"/>
      <sheetName val="Fill_this_out_first___11"/>
      <sheetName val="Harga_Bahan_&amp;_Upah_5"/>
      <sheetName val="mat-me_pipa5"/>
      <sheetName val="ANALISA_TENDER5"/>
      <sheetName val="Prelim_Thp_24"/>
      <sheetName val="Direct_Cost_Thp_24"/>
      <sheetName val="Price_Biaya_Cadangan4"/>
      <sheetName val="BQ_Rekapitulasi__Akhir4"/>
      <sheetName val="Rekap_Prelim2"/>
      <sheetName val="Rekap_Direct_Cost2"/>
      <sheetName val="P_M(Monitoring_Sche)2"/>
      <sheetName val="for_internal_(ME)"/>
      <sheetName val="REKAP_Mas_Masyur"/>
      <sheetName val="ESTI_"/>
      <sheetName val="TLSKIN_LWR"/>
      <sheetName val="Cover_Daf-2"/>
      <sheetName val="TATA_UDARA2"/>
      <sheetName val="Analisa__(2)2"/>
      <sheetName val="Report_detil_kondisi2"/>
      <sheetName val="detil_kondisi2"/>
      <sheetName val="H_Satuan2"/>
      <sheetName val="4-Basic_Price2"/>
      <sheetName val="for_INTERNALLY2"/>
      <sheetName val="393_N2"/>
      <sheetName val="ELEMENT_SUM2"/>
      <sheetName val="Vat_tu_XD2"/>
      <sheetName val="material_2"/>
      <sheetName val="WF_2"/>
      <sheetName val="Kuantitas_&amp;_Harga2"/>
      <sheetName val="Unit_Rates2"/>
      <sheetName val="Fee_-_Materials2"/>
      <sheetName val="BACK_UP_VOL__RELOKASI2"/>
      <sheetName val="Purchase_Order2"/>
      <sheetName val="Customize_Your_Purchase_Order2"/>
      <sheetName val="Up_&amp;_bhn2"/>
      <sheetName val="Harga_Satuan2"/>
      <sheetName val="PEKERJAAN_PERSIAPAN2"/>
      <sheetName val="Ans_Kom_Precast2"/>
      <sheetName val="UPAH_&amp;_BHN2"/>
      <sheetName val="Har_sat_Sub2"/>
      <sheetName val="Listrik_2"/>
      <sheetName val="Plumbing_2"/>
      <sheetName val="Pembatas_2"/>
      <sheetName val="Analisa_Timpang2"/>
      <sheetName val="Analisa_Tambah2"/>
      <sheetName val="Harga_Bahan2"/>
      <sheetName val="Rekap_Analisa2"/>
      <sheetName val="Analisa_MEP_Tambah2"/>
      <sheetName val="Analisa_Harga_Mekanikal_2"/>
      <sheetName val="Analisa_Harga_Electrical_2"/>
      <sheetName val="Harsat_Elektrikal_2"/>
      <sheetName val="Harsat_Mekanikal_2"/>
      <sheetName val="HARGA_MATERIAL2"/>
      <sheetName val="BQ_(Case-A_Rev-2)2"/>
      <sheetName val="SUM_(CASE-A_Rev-2)2"/>
      <sheetName val="BQ_(Case-A_Rev-2)_(2)2"/>
      <sheetName val="NTM_Usage2"/>
      <sheetName val="Budget_Code2"/>
      <sheetName val="HB_me2"/>
      <sheetName val="Daf_12"/>
      <sheetName val="ANALISA_SM"/>
      <sheetName val="RUMUS_BEKISTING"/>
      <sheetName val="HRG_BHN"/>
      <sheetName val="REKAP_ELEKTRIKAL"/>
      <sheetName val="BLR_1"/>
      <sheetName val="CONSTRUCTION_COMPONENT"/>
      <sheetName val="Don_gia"/>
      <sheetName val="vanchuyen_TC"/>
      <sheetName val="Tunduk_Panitia"/>
      <sheetName val="Ahs_2"/>
      <sheetName val="Ahs_1"/>
      <sheetName val="_"/>
      <sheetName val="Finishing_Warehouse"/>
      <sheetName val="Gia_VLNCMTC"/>
      <sheetName val="MTO_REV_2(ARMOR)"/>
      <sheetName val="Elemental_Buildup"/>
      <sheetName val="Gia_thanh"/>
      <sheetName val="AUTOMATIC_SELECT"/>
      <sheetName val="RAW_MATERIALS_"/>
      <sheetName val="Cash_Flow_bulanan"/>
      <sheetName val="E_Adm"/>
      <sheetName val="TAGIHAN_"/>
      <sheetName val="Daf-1_Pek__Persiapan"/>
      <sheetName val="2_1_(TOTAL_POS)"/>
      <sheetName val="Daf-1_Pek__Tanah_&amp;_Pondasi"/>
      <sheetName val="Daf-2_Pek__Struktur"/>
      <sheetName val="Daf-3_1_Pek__Dinding"/>
      <sheetName val="Daf-3_2_Pek__Pintu_Jendela"/>
      <sheetName val="Daf-3_3_Pek__Lantai"/>
      <sheetName val="Daf-3_4_Pek__Plafond"/>
      <sheetName val="2_2_(TOTAL_MUSHOLA)"/>
      <sheetName val="Daf-1_Pek__Pondasi"/>
      <sheetName val="Daf-2_1_Pek__Beton"/>
      <sheetName val="Daf-2_3_Pek__Baja"/>
      <sheetName val="Daf-3_1_Pek__Dinding_(2)"/>
      <sheetName val="Daf-3_2_Pek__Pintu_Jendela_(2)"/>
      <sheetName val="Daf-3_3_Pek__Lantai_(2)"/>
      <sheetName val="Daf-3_4_Pek__Plafond_(2)"/>
      <sheetName val="Daf-3_5_Pek__Sanitair"/>
      <sheetName val="2_3_(TOTAL_PM_&amp;_MOBIL)"/>
      <sheetName val="Daf-1_Pek__Pondasi_(2)"/>
      <sheetName val="Daf-2_1_Pek__Tanah"/>
      <sheetName val="Daf-2_2_Pek__Beton"/>
      <sheetName val="Daf-2_3_Pek__Baja_(2)"/>
      <sheetName val="2_4_(TOTAL_MESS)"/>
      <sheetName val="Daf-1_Pek__Pondasi_(3)"/>
      <sheetName val="Daf-2_1_Pek__Tanah_(2)"/>
      <sheetName val="Daf-2_2_Pek__Beton_(2)"/>
      <sheetName val="Daf-3_1_Pek__Dinding_(3)"/>
      <sheetName val="Daf-3_2_Pek__Pintu_Jendela__(3)"/>
      <sheetName val="Daf-3_3_Pek__Lantai_(3)"/>
      <sheetName val="Daf-3_4_Pek__Plafond_(3)"/>
      <sheetName val="Daf-3_5_Pek__Sanitair_(2)"/>
      <sheetName val="Daf-3_6_Pek__Tangga"/>
      <sheetName val="2_5_(TOTAL_Office)"/>
      <sheetName val="Daf-1_Pek__Pondasi_(4)"/>
      <sheetName val="Daf-2_1_Pek__Tanah_(3)"/>
      <sheetName val="Daf-2_2_Pek__Beton_(3)"/>
      <sheetName val="Daf-3_1_Pek__Dinding_(4)"/>
      <sheetName val="Daf-3_2_Pek__Pintu_Jendela__(4)"/>
      <sheetName val="Daf-3_3_Pek__Lantai_(4)"/>
      <sheetName val="Daf-3_4_Pek__Plafond_(4)"/>
      <sheetName val="Daf-3_5_Pek__Sanitair_(3)"/>
      <sheetName val="Daf-3_6_Pek__Tangga_(2)"/>
      <sheetName val="2_6_(TOTAL-RMW)"/>
      <sheetName val="Daf-1_Pek__Pondasi_(5)"/>
      <sheetName val="Daf-3_1_Pek__Tanah"/>
      <sheetName val="Daf-3_2_Pek__Beton"/>
      <sheetName val="Daf-3_3_Pek__Baja"/>
      <sheetName val="Daf-3_1_Pek__Dinding_(5)"/>
      <sheetName val="Daf-3_2_Pek__Pintu_Jendela__(5)"/>
      <sheetName val="Daf-3_3_Pek__Lantai_(5)"/>
      <sheetName val="Daf-3_4_Pek__Plafond_(5)"/>
      <sheetName val="2_7_(TOTAL-LAB)"/>
      <sheetName val="Daf-1_Pek__Pondasi_(6)"/>
      <sheetName val="Daf-2_1_Pek__Tanah_(5)"/>
      <sheetName val="Daf-2_2_Pek__Beton_(5)"/>
      <sheetName val="Daf-3_1_Pek__Dinding_(9)"/>
      <sheetName val="Daf-3_2_Pek__Pintu_Jendela__(9)"/>
      <sheetName val="Daf-3_3_Pek__Lantai_(9)"/>
      <sheetName val="Daf-3_4_Pek__Plafond_(9)"/>
      <sheetName val="Daf-3_5_Pek__Sanitair_(6)"/>
      <sheetName val="Daf-3_6_Pek__Tangga_(4)"/>
      <sheetName val="2_8_(TOTAL_M__Workshop)"/>
      <sheetName val="Daf-1_Pek__Pondasi_(7)"/>
      <sheetName val="Daf-2_1_Pek__Tanah_(4)"/>
      <sheetName val="Daf-2_2_Pek__Beton_(4)"/>
      <sheetName val="Daf-2_3_Pek__Baja_(3)"/>
      <sheetName val="Daf-3_1_Pek__Dinding_(6)"/>
      <sheetName val="Daf-3_2_Pek__Pintu_Jendela__(6)"/>
      <sheetName val="Daf-3_3_Pek__Lantai_(6)"/>
      <sheetName val="Daf-3_4_Pek__Plafond_(6)"/>
      <sheetName val="Daf-3_5_Pek__Sanitair_(4)"/>
      <sheetName val="Daf-3_6_Pek__Tangga_(3)"/>
      <sheetName val="2_9_(TOTAL-F__Warehouse)"/>
      <sheetName val="Daf-1_Pek__Pondasi_(8)"/>
      <sheetName val="Daf-2_1_Pek__Tanah_(6)"/>
      <sheetName val="Daf-2_2_Pek__Beton_(6)"/>
      <sheetName val="Daf-2_3_Pek__Baja_(5)"/>
      <sheetName val="Daf-3_1_Pek__Dinding_(7)"/>
      <sheetName val="Daf-3_2_Pek__Pintu_Jendela__(7)"/>
      <sheetName val="Daf-3_3_Pek__Lantai_(7)"/>
      <sheetName val="Daf-3_4_Pek__Plafond_(7)"/>
      <sheetName val="2_10_(TOTAL-G__Abu)"/>
      <sheetName val="Daf-2_1_Pek__Tanah_(7)"/>
      <sheetName val="Daf-2_2_Pek__Beton_(7)"/>
      <sheetName val="Daf-2_3_Pek__Baja_(6)"/>
      <sheetName val="Daf-3_1_Pek__Dinding_(8)"/>
      <sheetName val="Daf-3_2_Pek__Pintu_Jendela__(8)"/>
      <sheetName val="Daf-3_3_Pek__Lantai_(8)"/>
      <sheetName val="Daf-3_4_Pek__Plafond_(8)"/>
      <sheetName val="Daf-3_6_Pek__Tangga_(5)"/>
      <sheetName val="2_11_(TOTAL-toilet)"/>
      <sheetName val="Daf-1_Pek__Pondasi_(10)"/>
      <sheetName val="Daf-2_1_Pek__Beton_(2)"/>
      <sheetName val="Daf-3_1_Pek__Dinding_(10)"/>
      <sheetName val="Daf-3_2_Pek__Pintu_Jendela_(10)"/>
      <sheetName val="Daf-3_3_Pek__Lantai_(10)"/>
      <sheetName val="Daf-3_4_Pek__Plafond_(10)"/>
      <sheetName val="Daf-3_5_Pek__Sanitair_(7)"/>
      <sheetName val="2_12_(TOTAL-W_Tank)"/>
      <sheetName val="Daf-2_1_Pek__Tanah_(8)"/>
      <sheetName val="Daf-2_2_Pek__Beton_(8)"/>
      <sheetName val="Daf-3_1_Pek__Dinding_(11)"/>
      <sheetName val="Daf-3_2_Pek__Pintu_Jendela_(11)"/>
      <sheetName val="Daf-3_3_Pek__Lantai_(11)"/>
      <sheetName val="Daf-3_4_Pek__Plafond_(11)"/>
      <sheetName val="Daf-3_5_Pek__Tangga"/>
      <sheetName val="2_14_(TOTAL-J__Timbang)"/>
      <sheetName val="Daf-1_Pek__Pondasi_(11)"/>
      <sheetName val="Daf-2_1_Pek__Tanah_(9)"/>
      <sheetName val="Daf-2_2_Pek__Beton_(9)"/>
      <sheetName val="Daf-2_3_Pek__Baja_(7)"/>
      <sheetName val="Pek__Luar"/>
      <sheetName val="Mat_Price"/>
      <sheetName val="REKAP_BQ_"/>
      <sheetName val="CO_DIV_DEPT_MASTER"/>
      <sheetName val="Setup Admin"/>
      <sheetName val="Bhan"/>
      <sheetName val="Harsat Upah"/>
      <sheetName val="조명시설"/>
      <sheetName val="AHS all"/>
      <sheetName val="eq_data"/>
      <sheetName val="八幡"/>
      <sheetName val="estm_mech"/>
      <sheetName val="Schedule 16 A"/>
      <sheetName val="KF"/>
      <sheetName val="General"/>
      <sheetName val="EOS Reconcilation"/>
      <sheetName val="Currency Rate"/>
      <sheetName val="an arsitektur"/>
      <sheetName val="an struktur"/>
      <sheetName val="income statement"/>
      <sheetName val="operating cycle"/>
      <sheetName val="sources _ uses"/>
      <sheetName val="D_&amp;_W_sizes9"/>
      <sheetName val="UG_Partitions9"/>
      <sheetName val="2F_Partitions9"/>
      <sheetName val="3F-5F_Partitions9"/>
      <sheetName val="PH_Partitions9"/>
      <sheetName val="Mach__rm__Partn_9"/>
      <sheetName val="D___W_sizes9"/>
      <sheetName val="Isolasi_Luar_Dalam9"/>
      <sheetName val="Isolasi_Luar9"/>
      <sheetName val="Gudang_non_AC-AC_Struktur8"/>
      <sheetName val="SELISIH_HARGA8"/>
      <sheetName val="BoQ_C46"/>
      <sheetName val="FORM_X_COST6"/>
      <sheetName val="Bill_of_Quantity6"/>
      <sheetName val="Fill_this_out_first___12"/>
      <sheetName val="Fill_this_out_first___13"/>
      <sheetName val="Harga_Bahan_&amp;_Upah_6"/>
      <sheetName val="mat-me_pipa6"/>
      <sheetName val="ANALISA_TENDER6"/>
      <sheetName val="Prelim_Thp_25"/>
      <sheetName val="Direct_Cost_Thp_25"/>
      <sheetName val="Price_Biaya_Cadangan5"/>
      <sheetName val="BQ_Rekapitulasi__Akhir5"/>
      <sheetName val="Rekap_Prelim3"/>
      <sheetName val="Rekap_Direct_Cost3"/>
      <sheetName val="P_M(Monitoring_Sche)3"/>
      <sheetName val="TATA_UDARA3"/>
      <sheetName val="Analisa__(2)3"/>
      <sheetName val="Vat_tu_XD3"/>
      <sheetName val="for_INTERNALLY3"/>
      <sheetName val="Report_detil_kondisi3"/>
      <sheetName val="detil_kondisi3"/>
      <sheetName val="H_Satuan3"/>
      <sheetName val="393_N3"/>
      <sheetName val="4-Basic_Price3"/>
      <sheetName val="Unit_Rates3"/>
      <sheetName val="Fee_-_Materials3"/>
      <sheetName val="BACK_UP_VOL__RELOKASI3"/>
      <sheetName val="material_3"/>
      <sheetName val="WF_3"/>
      <sheetName val="Kuantitas_&amp;_Harga3"/>
      <sheetName val="Budget_Code3"/>
      <sheetName val="ESTI_2"/>
      <sheetName val="ESTI_1"/>
      <sheetName val="D_&amp;_W_sizes11"/>
      <sheetName val="UG_Partitions11"/>
      <sheetName val="2F_Partitions11"/>
      <sheetName val="3F-5F_Partitions11"/>
      <sheetName val="PH_Partitions11"/>
      <sheetName val="Mach__rm__Partn_11"/>
      <sheetName val="D___W_sizes11"/>
      <sheetName val="Isolasi_Luar_Dalam11"/>
      <sheetName val="Isolasi_Luar11"/>
      <sheetName val="Gudang_non_AC-AC_Struktur10"/>
      <sheetName val="SELISIH_HARGA10"/>
      <sheetName val="BoQ_C48"/>
      <sheetName val="FORM_X_COST8"/>
      <sheetName val="Bill_of_Quantity8"/>
      <sheetName val="Fill_this_out_first___16"/>
      <sheetName val="Fill_this_out_first___17"/>
      <sheetName val="Harga_Bahan_&amp;_Upah_8"/>
      <sheetName val="mat-me_pipa8"/>
      <sheetName val="ANALISA_TENDER8"/>
      <sheetName val="Prelim_Thp_27"/>
      <sheetName val="Direct_Cost_Thp_27"/>
      <sheetName val="Price_Biaya_Cadangan7"/>
      <sheetName val="BQ_Rekapitulasi__Akhir7"/>
      <sheetName val="Rekap_Prelim5"/>
      <sheetName val="Rekap_Direct_Cost5"/>
      <sheetName val="P_M(Monitoring_Sche)5"/>
      <sheetName val="TATA_UDARA5"/>
      <sheetName val="Analisa__(2)5"/>
      <sheetName val="Vat_tu_XD5"/>
      <sheetName val="for_INTERNALLY5"/>
      <sheetName val="Report_detil_kondisi5"/>
      <sheetName val="detil_kondisi5"/>
      <sheetName val="H_Satuan5"/>
      <sheetName val="393_N5"/>
      <sheetName val="4-Basic_Price5"/>
      <sheetName val="Unit_Rates5"/>
      <sheetName val="Fee_-_Materials5"/>
      <sheetName val="BACK_UP_VOL__RELOKASI5"/>
      <sheetName val="material_5"/>
      <sheetName val="WF_5"/>
      <sheetName val="Kuantitas_&amp;_Harga5"/>
      <sheetName val="Budget_Code5"/>
      <sheetName val="Purchase_Order4"/>
      <sheetName val="Customize_Your_Purchase_Order4"/>
      <sheetName val="ELEMENT_SUM4"/>
      <sheetName val="HB_me4"/>
      <sheetName val="ESTI_3"/>
      <sheetName val="D_&amp;_W_sizes10"/>
      <sheetName val="UG_Partitions10"/>
      <sheetName val="2F_Partitions10"/>
      <sheetName val="3F-5F_Partitions10"/>
      <sheetName val="PH_Partitions10"/>
      <sheetName val="Mach__rm__Partn_10"/>
      <sheetName val="D___W_sizes10"/>
      <sheetName val="Isolasi_Luar_Dalam10"/>
      <sheetName val="Isolasi_Luar10"/>
      <sheetName val="Gudang_non_AC-AC_Struktur9"/>
      <sheetName val="SELISIH_HARGA9"/>
      <sheetName val="BoQ_C47"/>
      <sheetName val="FORM_X_COST7"/>
      <sheetName val="Bill_of_Quantity7"/>
      <sheetName val="Fill_this_out_first___14"/>
      <sheetName val="Fill_this_out_first___15"/>
      <sheetName val="Harga_Bahan_&amp;_Upah_7"/>
      <sheetName val="mat-me_pipa7"/>
      <sheetName val="ANALISA_TENDER7"/>
      <sheetName val="Prelim_Thp_26"/>
      <sheetName val="Direct_Cost_Thp_26"/>
      <sheetName val="Price_Biaya_Cadangan6"/>
      <sheetName val="BQ_Rekapitulasi__Akhir6"/>
      <sheetName val="Rekap_Prelim4"/>
      <sheetName val="Rekap_Direct_Cost4"/>
      <sheetName val="P_M(Monitoring_Sche)4"/>
      <sheetName val="TATA_UDARA4"/>
      <sheetName val="Analisa__(2)4"/>
      <sheetName val="Vat_tu_XD4"/>
      <sheetName val="for_INTERNALLY4"/>
      <sheetName val="Report_detil_kondisi4"/>
      <sheetName val="detil_kondisi4"/>
      <sheetName val="H_Satuan4"/>
      <sheetName val="393_N4"/>
      <sheetName val="4-Basic_Price4"/>
      <sheetName val="Unit_Rates4"/>
      <sheetName val="Fee_-_Materials4"/>
      <sheetName val="BACK_UP_VOL__RELOKASI4"/>
      <sheetName val="material_4"/>
      <sheetName val="WF_4"/>
      <sheetName val="Kuantitas_&amp;_Harga4"/>
      <sheetName val="Budget_Code4"/>
      <sheetName val="Purchase_Order3"/>
      <sheetName val="Customize_Your_Purchase_Order3"/>
      <sheetName val="ELEMENT_SUM3"/>
      <sheetName val="HB_me3"/>
      <sheetName val="D_&amp;_W_sizes12"/>
      <sheetName val="UG_Partitions12"/>
      <sheetName val="2F_Partitions12"/>
      <sheetName val="3F-5F_Partitions12"/>
      <sheetName val="PH_Partitions12"/>
      <sheetName val="Mach__rm__Partn_12"/>
      <sheetName val="D___W_sizes12"/>
      <sheetName val="Isolasi_Luar_Dalam12"/>
      <sheetName val="Isolasi_Luar12"/>
      <sheetName val="Gudang_non_AC-AC_Struktur11"/>
      <sheetName val="SELISIH_HARGA11"/>
      <sheetName val="BoQ_C49"/>
      <sheetName val="FORM_X_COST9"/>
      <sheetName val="Bill_of_Quantity9"/>
      <sheetName val="Fill_this_out_first___18"/>
      <sheetName val="Fill_this_out_first___19"/>
      <sheetName val="Harga_Bahan_&amp;_Upah_9"/>
      <sheetName val="mat-me_pipa9"/>
      <sheetName val="ANALISA_TENDER9"/>
      <sheetName val="Prelim_Thp_28"/>
      <sheetName val="Direct_Cost_Thp_28"/>
      <sheetName val="Price_Biaya_Cadangan8"/>
      <sheetName val="BQ_Rekapitulasi__Akhir8"/>
      <sheetName val="Rekap_Prelim6"/>
      <sheetName val="Rekap_Direct_Cost6"/>
      <sheetName val="P_M(Monitoring_Sche)6"/>
      <sheetName val="TATA_UDARA6"/>
      <sheetName val="Analisa__(2)6"/>
      <sheetName val="Vat_tu_XD6"/>
      <sheetName val="for_INTERNALLY6"/>
      <sheetName val="Report_detil_kondisi6"/>
      <sheetName val="detil_kondisi6"/>
      <sheetName val="H_Satuan6"/>
      <sheetName val="393_N6"/>
      <sheetName val="4-Basic_Price6"/>
      <sheetName val="STRUKTUR-1"/>
      <sheetName val="TERBILANG"/>
      <sheetName val="VOLUME"/>
      <sheetName val="HARGA BAHAN &amp; UPAH"/>
      <sheetName val="SAT-BHN"/>
      <sheetName val="TONGKE-HT"/>
      <sheetName val="Cover (x)"/>
      <sheetName val="Cor Apt"/>
      <sheetName val="D_&amp;_W_sizes13"/>
      <sheetName val="UG_Partitions13"/>
      <sheetName val="2F_Partitions13"/>
      <sheetName val="3F-5F_Partitions13"/>
      <sheetName val="PH_Partitions13"/>
      <sheetName val="Mach__rm__Partn_13"/>
      <sheetName val="D___W_sizes13"/>
      <sheetName val="Isolasi_Luar_Dalam13"/>
      <sheetName val="Isolasi_Luar13"/>
      <sheetName val="Gudang_non_AC-AC_Struktur12"/>
      <sheetName val="SELISIH_HARGA12"/>
      <sheetName val="BoQ_C410"/>
      <sheetName val="FORM_X_COST10"/>
      <sheetName val="Bill_of_Quantity10"/>
      <sheetName val="Fill_this_out_first___20"/>
      <sheetName val="Fill_this_out_first___21"/>
      <sheetName val="Harga_Bahan_&amp;_Upah_10"/>
      <sheetName val="mat-me_pipa10"/>
      <sheetName val="ANALISA_TENDER10"/>
      <sheetName val="Prelim_Thp_29"/>
      <sheetName val="Direct_Cost_Thp_29"/>
      <sheetName val="Price_Biaya_Cadangan9"/>
      <sheetName val="BQ_Rekapitulasi__Akhir9"/>
      <sheetName val="Rekap_Prelim7"/>
      <sheetName val="Rekap_Direct_Cost7"/>
      <sheetName val="P_M(Monitoring_Sche)7"/>
      <sheetName val="TATA_UDARA7"/>
      <sheetName val="Analisa__(2)7"/>
      <sheetName val="Vat_tu_XD7"/>
      <sheetName val="for_INTERNALLY7"/>
      <sheetName val="Report_detil_kondisi7"/>
      <sheetName val="detil_kondisi7"/>
      <sheetName val="H_Satuan7"/>
      <sheetName val="393_N7"/>
      <sheetName val="4-Basic_Price7"/>
      <sheetName val="Unit_Rates6"/>
      <sheetName val="Fee_-_Materials6"/>
      <sheetName val="BACK_UP_VOL__RELOKASI6"/>
      <sheetName val="material_6"/>
      <sheetName val="WF_6"/>
      <sheetName val="Kuantitas_&amp;_Harga6"/>
      <sheetName val="Budget_Code6"/>
      <sheetName val="Purchase_Order5"/>
      <sheetName val="Customize_Your_Purchase_Order5"/>
      <sheetName val="ELEMENT_SUM5"/>
      <sheetName val="HB_me5"/>
      <sheetName val="ESTI_4"/>
      <sheetName val="KLHT"/>
      <sheetName val="PAD-F"/>
      <sheetName val="Lead"/>
      <sheetName val="RAB_STR"/>
      <sheetName val="Hrg_Bahan"/>
      <sheetName val="Family"/>
      <sheetName val="bhn_upah"/>
      <sheetName val="A"/>
      <sheetName val="price"/>
      <sheetName val="HDasar"/>
      <sheetName val="GeneralInfo"/>
      <sheetName val="H-BESI"/>
      <sheetName val="H_BATU"/>
      <sheetName val="BASIC"/>
      <sheetName val="H ALAT"/>
      <sheetName val="SAT"/>
      <sheetName val="REK PEN"/>
      <sheetName val="Data Alat"/>
      <sheetName val="Brd Unit Rate"/>
      <sheetName val="Basic Price"/>
      <sheetName val="pricing"/>
      <sheetName val="dasar"/>
      <sheetName val="Appendix 2(SatDas)"/>
      <sheetName val="SAT-DAS"/>
      <sheetName val="rate"/>
      <sheetName val="dc"/>
      <sheetName val="HASIL USAHA 2011"/>
      <sheetName val="HU P BARU"/>
      <sheetName val="HU P LAMA"/>
      <sheetName val="UR-TEKNIS"/>
      <sheetName val="HARDAS-MAT"/>
      <sheetName val="SP17"/>
      <sheetName val="daftar material"/>
      <sheetName val="SD"/>
      <sheetName val="ANEX1"/>
      <sheetName val="huruf (2)"/>
      <sheetName val="PT."/>
      <sheetName val="huruf"/>
      <sheetName val="Hsatbahan"/>
      <sheetName val="anal_alat"/>
      <sheetName val="hsd"/>
      <sheetName val="RAB ME"/>
      <sheetName val="Anal"/>
      <sheetName val="HB"/>
      <sheetName val="PEMBESIAN BALOK INDUK!"/>
      <sheetName val="Besi &amp; Bekisting-CBD"/>
      <sheetName val="Backkomp-Java"/>
      <sheetName val="Sum AHS"/>
      <sheetName val="AHS BETON-print"/>
      <sheetName val="harsat kusen-print"/>
      <sheetName val="HARSAT MATERIAL-print"/>
      <sheetName val="HARSAT MATERIAL (2)"/>
      <sheetName val="Sum AHS-print"/>
      <sheetName val="K"/>
      <sheetName val="ALAT1"/>
      <sheetName val="Du_lieu"/>
      <sheetName val="DATA PROYEK"/>
      <sheetName val="ahsAC"/>
      <sheetName val="Data Konsultan"/>
      <sheetName val="VARIABL"/>
      <sheetName val="HRS-ATB"/>
      <sheetName val="ANTEK-PRIME"/>
      <sheetName val="ANTEK-TIMB"/>
      <sheetName val="BD-LS"/>
      <sheetName val="FINAL"/>
      <sheetName val="KEBALAT"/>
      <sheetName val="AnPipa&amp;acc"/>
      <sheetName val="Upah,Bahan,Alat"/>
      <sheetName val="rkp an_alat"/>
      <sheetName val="hrg_upah"/>
      <sheetName val="k12k321"/>
      <sheetName val="k341k612"/>
      <sheetName val="DEI.2"/>
      <sheetName val="DEV.iiii6"/>
      <sheetName val="DEV.5 "/>
      <sheetName val="Basic Price CV. NKP"/>
      <sheetName val="Tunduk_Panitia1"/>
      <sheetName val="Ahs_21"/>
      <sheetName val="Ahs_11"/>
      <sheetName val="An_1"/>
      <sheetName val="An_3"/>
      <sheetName val="An_2"/>
      <sheetName val="Weekly"/>
      <sheetName val="BSU"/>
      <sheetName val="GeoList"/>
      <sheetName val="upah_&amp;_bahan2"/>
      <sheetName val="REKAP PRELIM 2014"/>
      <sheetName val="DIRECT COST"/>
      <sheetName val="242-3 summaryOPC"/>
      <sheetName val="03"/>
      <sheetName val="dg tphcm"/>
      <sheetName val="BANGUNAN PENUNJANG"/>
      <sheetName val="Rates"/>
      <sheetName val="Esperance"/>
      <sheetName val="Cum Esp"/>
      <sheetName val="Quotation"/>
      <sheetName val="R1-Budget"/>
      <sheetName val="Schedule"/>
      <sheetName val="pengurangan canopy"/>
      <sheetName val="Icolasi_Luar6"/>
      <sheetName val="Analisa 2"/>
      <sheetName val="Harsat_Upah"/>
      <sheetName val="L3_An_H_Sat_Mob"/>
      <sheetName val="Bill_rekap"/>
      <sheetName val="NTM_Usage4"/>
      <sheetName val="Up_&amp;_bhn4"/>
      <sheetName val="Harga_Satuan4"/>
      <sheetName val="PEKERJAAN_PERSIAPAN4"/>
      <sheetName val="Ans_Kom_Precast4"/>
      <sheetName val="UPAH_&amp;_BHN4"/>
      <sheetName val="for_internal_(ME)2"/>
      <sheetName val="REKAP_Mas_Masyur2"/>
      <sheetName val="Har_sat_Sub4"/>
      <sheetName val="Listrik_4"/>
      <sheetName val="Plumbing_4"/>
      <sheetName val="Pembatas_4"/>
      <sheetName val="Analisa_Timpang4"/>
      <sheetName val="Analisa_Tambah4"/>
      <sheetName val="Harga_Bahan4"/>
      <sheetName val="Rekap_Analisa4"/>
      <sheetName val="Analisa_MEP_Tambah4"/>
      <sheetName val="Analisa_Harga_Mekanikal_4"/>
      <sheetName val="Analisa_Harga_Electrical_4"/>
      <sheetName val="Harsat_Elektrikal_4"/>
      <sheetName val="Harsat_Mekanikal_4"/>
      <sheetName val="HARGA_MATERIAL4"/>
      <sheetName val="Daf_14"/>
      <sheetName val="BQ_(Case-A_Rev-2)4"/>
      <sheetName val="SUM_(CASE-A_Rev-2)4"/>
      <sheetName val="BQ_(Case-A_Rev-2)_(2)4"/>
      <sheetName val="TLSKIN_LWR2"/>
      <sheetName val="Cover_Daf-22"/>
      <sheetName val="Tunduk_Panitia2"/>
      <sheetName val="Ahs_22"/>
      <sheetName val="Ahs_12"/>
      <sheetName val="_2"/>
      <sheetName val="Finishing_Warehouse2"/>
      <sheetName val="Harsat_Upah2"/>
      <sheetName val="ANALISA_SM2"/>
      <sheetName val="RUMUS_BEKISTING2"/>
      <sheetName val="HRG_BHN2"/>
      <sheetName val="REKAP_ELEKTRIKAL2"/>
      <sheetName val="BLR_12"/>
      <sheetName val="CONSTRUCTION_COMPONENT2"/>
      <sheetName val="Don_gia2"/>
      <sheetName val="vanchuyen_TC2"/>
      <sheetName val="Gia_VLNCMTC2"/>
      <sheetName val="MTO_REV_2(ARMOR)2"/>
      <sheetName val="Elemental_Buildup2"/>
      <sheetName val="Gia_thanh2"/>
      <sheetName val="AUTOMATIC_SELECT2"/>
      <sheetName val="RAW_MATERIALS_2"/>
      <sheetName val="Cash_Flow_bulanan2"/>
      <sheetName val="E_Adm2"/>
      <sheetName val="L3_An_H_Sat_Mob2"/>
      <sheetName val="Bill_rekap2"/>
      <sheetName val="upah_&amp;_bahan3"/>
      <sheetName val="Analisa_STR1"/>
      <sheetName val="TAGIHAN_2"/>
      <sheetName val="Daf-1_Pek__Persiapan2"/>
      <sheetName val="2_1_(TOTAL_POS)2"/>
      <sheetName val="Daf-1_Pek__Tanah_&amp;_Pondasi2"/>
      <sheetName val="Daf-2_Pek__Struktur2"/>
      <sheetName val="Daf-3_1_Pek__Dinding2"/>
      <sheetName val="Daf-3_2_Pek__Pintu_Jendela2"/>
      <sheetName val="Daf-3_3_Pek__Lantai2"/>
      <sheetName val="Daf-3_4_Pek__Plafond2"/>
      <sheetName val="2_2_(TOTAL_MUSHOLA)2"/>
      <sheetName val="Daf-1_Pek__Pondasi2"/>
      <sheetName val="Daf-2_1_Pek__Beton2"/>
      <sheetName val="Daf-2_3_Pek__Baja2"/>
      <sheetName val="Daf-3_1_Pek__Dinding_(2)2"/>
      <sheetName val="Daf-3_2_Pek__Pintu_Jendela_(2)2"/>
      <sheetName val="Daf-3_3_Pek__Lantai_(2)2"/>
      <sheetName val="Daf-3_4_Pek__Plafond_(2)2"/>
      <sheetName val="Daf-3_5_Pek__Sanitair2"/>
      <sheetName val="2_3_(TOTAL_PM_&amp;_MOBIL)2"/>
      <sheetName val="Daf-1_Pek__Pondasi_(2)2"/>
      <sheetName val="Daf-2_1_Pek__Tanah2"/>
      <sheetName val="Daf-2_2_Pek__Beton2"/>
      <sheetName val="Daf-2_3_Pek__Baja_(2)2"/>
      <sheetName val="2_4_(TOTAL_MESS)2"/>
      <sheetName val="Daf-1_Pek__Pondasi_(3)2"/>
      <sheetName val="Daf-2_1_Pek__Tanah_(2)2"/>
      <sheetName val="Daf-2_2_Pek__Beton_(2)2"/>
      <sheetName val="Daf-3_1_Pek__Dinding_(3)2"/>
      <sheetName val="Daf-3_2_Pek__Pintu_Jendela__(32"/>
      <sheetName val="Daf-3_3_Pek__Lantai_(3)2"/>
      <sheetName val="Daf-3_4_Pek__Plafond_(3)2"/>
      <sheetName val="Daf-3_5_Pek__Sanitair_(2)2"/>
      <sheetName val="Daf-3_6_Pek__Tangga2"/>
      <sheetName val="2_5_(TOTAL_Office)2"/>
      <sheetName val="Daf-1_Pek__Pondasi_(4)2"/>
      <sheetName val="Daf-2_1_Pek__Tanah_(3)2"/>
      <sheetName val="Daf-2_2_Pek__Beton_(3)2"/>
      <sheetName val="Daf-3_1_Pek__Dinding_(4)2"/>
      <sheetName val="Daf-3_2_Pek__Pintu_Jendela__(42"/>
      <sheetName val="Daf-3_3_Pek__Lantai_(4)2"/>
      <sheetName val="Daf-3_4_Pek__Plafond_(4)2"/>
      <sheetName val="Daf-3_5_Pek__Sanitair_(3)2"/>
      <sheetName val="Daf-3_6_Pek__Tangga_(2)2"/>
      <sheetName val="2_6_(TOTAL-RMW)2"/>
      <sheetName val="Daf-1_Pek__Pondasi_(5)2"/>
      <sheetName val="Daf-3_1_Pek__Tanah2"/>
      <sheetName val="Daf-3_2_Pek__Beton2"/>
      <sheetName val="Daf-3_3_Pek__Baja2"/>
      <sheetName val="Daf-3_1_Pek__Dinding_(5)2"/>
      <sheetName val="Daf-3_2_Pek__Pintu_Jendela__(52"/>
      <sheetName val="Daf-3_3_Pek__Lantai_(5)2"/>
      <sheetName val="Daf-3_4_Pek__Plafond_(5)2"/>
      <sheetName val="2_7_(TOTAL-LAB)2"/>
      <sheetName val="Daf-1_Pek__Pondasi_(6)2"/>
      <sheetName val="Daf-2_1_Pek__Tanah_(5)2"/>
      <sheetName val="Daf-2_2_Pek__Beton_(5)2"/>
      <sheetName val="Daf-3_1_Pek__Dinding_(9)2"/>
      <sheetName val="Daf-3_2_Pek__Pintu_Jendela__(92"/>
      <sheetName val="Daf-3_3_Pek__Lantai_(9)2"/>
      <sheetName val="Daf-3_4_Pek__Plafond_(9)2"/>
      <sheetName val="Daf-3_5_Pek__Sanitair_(6)2"/>
      <sheetName val="Daf-3_6_Pek__Tangga_(4)2"/>
      <sheetName val="2_8_(TOTAL_M__Workshop)2"/>
      <sheetName val="Daf-1_Pek__Pondasi_(7)2"/>
      <sheetName val="Daf-2_1_Pek__Tanah_(4)2"/>
      <sheetName val="Daf-2_2_Pek__Beton_(4)2"/>
      <sheetName val="Daf-2_3_Pek__Baja_(3)2"/>
      <sheetName val="Daf-3_1_Pek__Dinding_(6)2"/>
      <sheetName val="Daf-3_2_Pek__Pintu_Jendela__(62"/>
      <sheetName val="Daf-3_3_Pek__Lantai_(6)2"/>
      <sheetName val="Daf-3_4_Pek__Plafond_(6)2"/>
      <sheetName val="Daf-3_5_Pek__Sanitair_(4)2"/>
      <sheetName val="Daf-3_6_Pek__Tangga_(3)2"/>
      <sheetName val="2_9_(TOTAL-F__Warehouse)2"/>
      <sheetName val="Daf-1_Pek__Pondasi_(8)2"/>
      <sheetName val="Daf-2_1_Pek__Tanah_(6)2"/>
      <sheetName val="Daf-2_2_Pek__Beton_(6)2"/>
      <sheetName val="Daf-2_3_Pek__Baja_(5)2"/>
      <sheetName val="Daf-3_1_Pek__Dinding_(7)2"/>
      <sheetName val="Daf-3_2_Pek__Pintu_Jendela__(72"/>
      <sheetName val="Daf-3_3_Pek__Lantai_(7)2"/>
      <sheetName val="Daf-3_4_Pek__Plafond_(7)2"/>
      <sheetName val="2_10_(TOTAL-G__Abu)2"/>
      <sheetName val="Daf-2_1_Pek__Tanah_(7)2"/>
      <sheetName val="Daf-2_2_Pek__Beton_(7)2"/>
      <sheetName val="Daf-2_3_Pek__Baja_(6)2"/>
      <sheetName val="Daf-3_1_Pek__Dinding_(8)2"/>
      <sheetName val="Daf-3_2_Pek__Pintu_Jendela__(82"/>
      <sheetName val="Daf-3_3_Pek__Lantai_(8)2"/>
      <sheetName val="Daf-3_4_Pek__Plafond_(8)2"/>
      <sheetName val="Daf-3_6_Pek__Tangga_(5)2"/>
      <sheetName val="2_11_(TOTAL-toilet)2"/>
      <sheetName val="Daf-1_Pek__Pondasi_(10)2"/>
      <sheetName val="Daf-2_1_Pek__Beton_(2)2"/>
      <sheetName val="Daf-3_1_Pek__Dinding_(10)2"/>
      <sheetName val="Daf-3_2_Pek__Pintu_Jendela_(102"/>
      <sheetName val="Daf-3_3_Pek__Lantai_(10)2"/>
      <sheetName val="Daf-3_4_Pek__Plafond_(10)2"/>
      <sheetName val="Daf-3_5_Pek__Sanitair_(7)2"/>
      <sheetName val="2_12_(TOTAL-W_Tank)2"/>
      <sheetName val="Daf-2_1_Pek__Tanah_(8)2"/>
      <sheetName val="Daf-2_2_Pek__Beton_(8)2"/>
      <sheetName val="Daf-3_1_Pek__Dinding_(11)2"/>
      <sheetName val="Daf-3_2_Pek__Pintu_Jendela_(112"/>
      <sheetName val="Daf-3_3_Pek__Lantai_(11)2"/>
      <sheetName val="Daf-3_4_Pek__Plafond_(11)2"/>
      <sheetName val="Daf-3_5_Pek__Tangga2"/>
      <sheetName val="2_14_(TOTAL-J__Timbang)2"/>
      <sheetName val="Daf-1_Pek__Pondasi_(11)2"/>
      <sheetName val="Daf-2_1_Pek__Tanah_(9)2"/>
      <sheetName val="Daf-2_2_Pek__Beton_(9)2"/>
      <sheetName val="Daf-2_3_Pek__Baja_(7)2"/>
      <sheetName val="Pek__Luar2"/>
      <sheetName val="Mat_Price2"/>
      <sheetName val="REKAP_BQ_2"/>
      <sheetName val="Setup_Admin1"/>
      <sheetName val="REKAP_1"/>
      <sheetName val="_Analisa_HS1"/>
      <sheetName val="an_arsitektur1"/>
      <sheetName val="an_struktur1"/>
      <sheetName val="income_statement1"/>
      <sheetName val="operating_cycle1"/>
      <sheetName val="sources___uses1"/>
      <sheetName val="Currency_Rate1"/>
      <sheetName val="NTM_Usage3"/>
      <sheetName val="Up_&amp;_bhn3"/>
      <sheetName val="Harga_Satuan3"/>
      <sheetName val="PEKERJAAN_PERSIAPAN3"/>
      <sheetName val="Ans_Kom_Precast3"/>
      <sheetName val="UPAH_&amp;_BHN3"/>
      <sheetName val="for_internal_(ME)1"/>
      <sheetName val="REKAP_Mas_Masyur1"/>
      <sheetName val="Har_sat_Sub3"/>
      <sheetName val="Listrik_3"/>
      <sheetName val="Plumbing_3"/>
      <sheetName val="Pembatas_3"/>
      <sheetName val="Analisa_Timpang3"/>
      <sheetName val="Analisa_Tambah3"/>
      <sheetName val="Harga_Bahan3"/>
      <sheetName val="Rekap_Analisa3"/>
      <sheetName val="Analisa_MEP_Tambah3"/>
      <sheetName val="Analisa_Harga_Mekanikal_3"/>
      <sheetName val="Analisa_Harga_Electrical_3"/>
      <sheetName val="Harsat_Elektrikal_3"/>
      <sheetName val="Harsat_Mekanikal_3"/>
      <sheetName val="HARGA_MATERIAL3"/>
      <sheetName val="Daf_13"/>
      <sheetName val="BQ_(Case-A_Rev-2)3"/>
      <sheetName val="SUM_(CASE-A_Rev-2)3"/>
      <sheetName val="BQ_(Case-A_Rev-2)_(2)3"/>
      <sheetName val="TLSKIN_LWR1"/>
      <sheetName val="Cover_Daf-21"/>
      <sheetName val="_1"/>
      <sheetName val="Finishing_Warehouse1"/>
      <sheetName val="Harsat_Upah1"/>
      <sheetName val="ANALISA_SM1"/>
      <sheetName val="RUMUS_BEKISTING1"/>
      <sheetName val="HRG_BHN1"/>
      <sheetName val="REKAP_ELEKTRIKAL1"/>
      <sheetName val="BLR_11"/>
      <sheetName val="CONSTRUCTION_COMPONENT1"/>
      <sheetName val="Don_gia1"/>
      <sheetName val="vanchuyen_TC1"/>
      <sheetName val="Gia_VLNCMTC1"/>
      <sheetName val="MTO_REV_2(ARMOR)1"/>
      <sheetName val="Elemental_Buildup1"/>
      <sheetName val="Gia_thanh1"/>
      <sheetName val="AUTOMATIC_SELECT1"/>
      <sheetName val="RAW_MATERIALS_1"/>
      <sheetName val="Cash_Flow_bulanan1"/>
      <sheetName val="E_Adm1"/>
      <sheetName val="L3_An_H_Sat_Mob1"/>
      <sheetName val="Bill_rekap1"/>
      <sheetName val="Analisa_STR"/>
      <sheetName val="TAGIHAN_1"/>
      <sheetName val="Daf-1_Pek__Persiapan1"/>
      <sheetName val="2_1_(TOTAL_POS)1"/>
      <sheetName val="Daf-1_Pek__Tanah_&amp;_Pondasi1"/>
      <sheetName val="Daf-2_Pek__Struktur1"/>
      <sheetName val="Daf-3_1_Pek__Dinding1"/>
      <sheetName val="Daf-3_2_Pek__Pintu_Jendela1"/>
      <sheetName val="Daf-3_3_Pek__Lantai1"/>
      <sheetName val="Daf-3_4_Pek__Plafond1"/>
      <sheetName val="2_2_(TOTAL_MUSHOLA)1"/>
      <sheetName val="Daf-1_Pek__Pondasi1"/>
      <sheetName val="Daf-2_1_Pek__Beton1"/>
      <sheetName val="Daf-2_3_Pek__Baja1"/>
      <sheetName val="Daf-3_1_Pek__Dinding_(2)1"/>
      <sheetName val="Daf-3_2_Pek__Pintu_Jendela_(2)1"/>
      <sheetName val="Daf-3_3_Pek__Lantai_(2)1"/>
      <sheetName val="Daf-3_4_Pek__Plafond_(2)1"/>
      <sheetName val="Daf-3_5_Pek__Sanitair1"/>
      <sheetName val="2_3_(TOTAL_PM_&amp;_MOBIL)1"/>
      <sheetName val="Daf-1_Pek__Pondasi_(2)1"/>
      <sheetName val="Daf-2_1_Pek__Tanah1"/>
      <sheetName val="Daf-2_2_Pek__Beton1"/>
      <sheetName val="Daf-2_3_Pek__Baja_(2)1"/>
      <sheetName val="2_4_(TOTAL_MESS)1"/>
      <sheetName val="Daf-1_Pek__Pondasi_(3)1"/>
      <sheetName val="Daf-2_1_Pek__Tanah_(2)1"/>
      <sheetName val="Daf-2_2_Pek__Beton_(2)1"/>
      <sheetName val="Daf-3_1_Pek__Dinding_(3)1"/>
      <sheetName val="Daf-3_2_Pek__Pintu_Jendela__(31"/>
      <sheetName val="Daf-3_3_Pek__Lantai_(3)1"/>
      <sheetName val="Daf-3_4_Pek__Plafond_(3)1"/>
      <sheetName val="Daf-3_5_Pek__Sanitair_(2)1"/>
      <sheetName val="Daf-3_6_Pek__Tangga1"/>
      <sheetName val="2_5_(TOTAL_Office)1"/>
      <sheetName val="Daf-1_Pek__Pondasi_(4)1"/>
      <sheetName val="Daf-2_1_Pek__Tanah_(3)1"/>
      <sheetName val="Daf-2_2_Pek__Beton_(3)1"/>
      <sheetName val="Daf-3_1_Pek__Dinding_(4)1"/>
      <sheetName val="Daf-3_2_Pek__Pintu_Jendela__(41"/>
      <sheetName val="Daf-3_3_Pek__Lantai_(4)1"/>
      <sheetName val="Daf-3_4_Pek__Plafond_(4)1"/>
      <sheetName val="Daf-3_5_Pek__Sanitair_(3)1"/>
      <sheetName val="Daf-3_6_Pek__Tangga_(2)1"/>
      <sheetName val="2_6_(TOTAL-RMW)1"/>
      <sheetName val="Daf-1_Pek__Pondasi_(5)1"/>
      <sheetName val="Daf-3_1_Pek__Tanah1"/>
      <sheetName val="Daf-3_2_Pek__Beton1"/>
      <sheetName val="Daf-3_3_Pek__Baja1"/>
      <sheetName val="Daf-3_1_Pek__Dinding_(5)1"/>
      <sheetName val="Daf-3_2_Pek__Pintu_Jendela__(51"/>
      <sheetName val="Daf-3_3_Pek__Lantai_(5)1"/>
      <sheetName val="Daf-3_4_Pek__Plafond_(5)1"/>
      <sheetName val="2_7_(TOTAL-LAB)1"/>
      <sheetName val="Daf-1_Pek__Pondasi_(6)1"/>
      <sheetName val="Daf-2_1_Pek__Tanah_(5)1"/>
      <sheetName val="Daf-2_2_Pek__Beton_(5)1"/>
      <sheetName val="Daf-3_1_Pek__Dinding_(9)1"/>
      <sheetName val="Daf-3_2_Pek__Pintu_Jendela__(91"/>
      <sheetName val="Daf-3_3_Pek__Lantai_(9)1"/>
      <sheetName val="Daf-3_4_Pek__Plafond_(9)1"/>
      <sheetName val="Daf-3_5_Pek__Sanitair_(6)1"/>
      <sheetName val="Daf-3_6_Pek__Tangga_(4)1"/>
      <sheetName val="2_8_(TOTAL_M__Workshop)1"/>
      <sheetName val="Daf-1_Pek__Pondasi_(7)1"/>
      <sheetName val="Daf-2_1_Pek__Tanah_(4)1"/>
      <sheetName val="Daf-2_2_Pek__Beton_(4)1"/>
      <sheetName val="Daf-2_3_Pek__Baja_(3)1"/>
      <sheetName val="Daf-3_1_Pek__Dinding_(6)1"/>
      <sheetName val="Daf-3_2_Pek__Pintu_Jendela__(61"/>
      <sheetName val="Daf-3_3_Pek__Lantai_(6)1"/>
      <sheetName val="Daf-3_4_Pek__Plafond_(6)1"/>
      <sheetName val="Daf-3_5_Pek__Sanitair_(4)1"/>
      <sheetName val="Daf-3_6_Pek__Tangga_(3)1"/>
      <sheetName val="2_9_(TOTAL-F__Warehouse)1"/>
      <sheetName val="Daf-1_Pek__Pondasi_(8)1"/>
      <sheetName val="Daf-2_1_Pek__Tanah_(6)1"/>
      <sheetName val="Daf-2_2_Pek__Beton_(6)1"/>
      <sheetName val="Daf-2_3_Pek__Baja_(5)1"/>
      <sheetName val="Daf-3_1_Pek__Dinding_(7)1"/>
      <sheetName val="Daf-3_2_Pek__Pintu_Jendela__(71"/>
      <sheetName val="Daf-3_3_Pek__Lantai_(7)1"/>
      <sheetName val="Daf-3_4_Pek__Plafond_(7)1"/>
      <sheetName val="2_10_(TOTAL-G__Abu)1"/>
      <sheetName val="Daf-2_1_Pek__Tanah_(7)1"/>
      <sheetName val="Daf-2_2_Pek__Beton_(7)1"/>
      <sheetName val="Daf-2_3_Pek__Baja_(6)1"/>
      <sheetName val="Daf-3_1_Pek__Dinding_(8)1"/>
      <sheetName val="Daf-3_2_Pek__Pintu_Jendela__(81"/>
      <sheetName val="Daf-3_3_Pek__Lantai_(8)1"/>
      <sheetName val="Daf-3_4_Pek__Plafond_(8)1"/>
      <sheetName val="Daf-3_6_Pek__Tangga_(5)1"/>
      <sheetName val="2_11_(TOTAL-toilet)1"/>
      <sheetName val="Daf-1_Pek__Pondasi_(10)1"/>
      <sheetName val="Daf-2_1_Pek__Beton_(2)1"/>
      <sheetName val="Daf-3_1_Pek__Dinding_(10)1"/>
      <sheetName val="Daf-3_2_Pek__Pintu_Jendela_(101"/>
      <sheetName val="Daf-3_3_Pek__Lantai_(10)1"/>
      <sheetName val="Daf-3_4_Pek__Plafond_(10)1"/>
      <sheetName val="Daf-3_5_Pek__Sanitair_(7)1"/>
      <sheetName val="2_12_(TOTAL-W_Tank)1"/>
      <sheetName val="Daf-2_1_Pek__Tanah_(8)1"/>
      <sheetName val="Daf-2_2_Pek__Beton_(8)1"/>
      <sheetName val="Daf-3_1_Pek__Dinding_(11)1"/>
      <sheetName val="Daf-3_2_Pek__Pintu_Jendela_(111"/>
      <sheetName val="Daf-3_3_Pek__Lantai_(11)1"/>
      <sheetName val="Daf-3_4_Pek__Plafond_(11)1"/>
      <sheetName val="Daf-3_5_Pek__Tangga1"/>
      <sheetName val="2_14_(TOTAL-J__Timbang)1"/>
      <sheetName val="Daf-1_Pek__Pondasi_(11)1"/>
      <sheetName val="Daf-2_1_Pek__Tanah_(9)1"/>
      <sheetName val="Daf-2_2_Pek__Beton_(9)1"/>
      <sheetName val="Daf-2_3_Pek__Baja_(7)1"/>
      <sheetName val="Pek__Luar1"/>
      <sheetName val="Mat_Price1"/>
      <sheetName val="REKAP_BQ_1"/>
      <sheetName val="Setup_Admin"/>
      <sheetName val="REKAP_"/>
      <sheetName val="_Analisa_HS"/>
      <sheetName val="an_arsitektur"/>
      <sheetName val="an_struktur"/>
      <sheetName val="income_statement"/>
      <sheetName val="operating_cycle"/>
      <sheetName val="sources___uses"/>
      <sheetName val="Currency_Rate"/>
      <sheetName val="AnalisaSIPIL RIIL"/>
      <sheetName val="ANALISA SNI 2007"/>
      <sheetName val="DROP LIST"/>
      <sheetName val="DAFTAR_ISI"/>
    </sheetNames>
    <sheetDataSet>
      <sheetData sheetId="0" refreshError="1">
        <row r="3">
          <cell r="B3">
            <v>1</v>
          </cell>
          <cell r="C3">
            <v>2</v>
          </cell>
          <cell r="D3">
            <v>3</v>
          </cell>
          <cell r="G3">
            <v>1</v>
          </cell>
          <cell r="H3">
            <v>2</v>
          </cell>
          <cell r="I3">
            <v>3</v>
          </cell>
        </row>
        <row r="4">
          <cell r="B4" t="str">
            <v>Type</v>
          </cell>
          <cell r="C4" t="str">
            <v>Size</v>
          </cell>
          <cell r="G4" t="str">
            <v>Type</v>
          </cell>
          <cell r="H4" t="str">
            <v>Size</v>
          </cell>
        </row>
        <row r="5">
          <cell r="C5" t="str">
            <v>W</v>
          </cell>
          <cell r="D5" t="str">
            <v>H</v>
          </cell>
          <cell r="H5" t="str">
            <v>W</v>
          </cell>
          <cell r="I5" t="str">
            <v>H</v>
          </cell>
        </row>
        <row r="6">
          <cell r="C6" t="str">
            <v>(ft)</v>
          </cell>
          <cell r="D6" t="str">
            <v>(ft)</v>
          </cell>
          <cell r="H6" t="str">
            <v>(ft)</v>
          </cell>
          <cell r="I6" t="str">
            <v>(ft)</v>
          </cell>
        </row>
        <row r="7">
          <cell r="H7" t="str">
            <v>(ft)</v>
          </cell>
          <cell r="I7" t="str">
            <v>(ft)</v>
          </cell>
        </row>
        <row r="8">
          <cell r="B8" t="str">
            <v>D1</v>
          </cell>
          <cell r="C8">
            <v>6</v>
          </cell>
          <cell r="D8">
            <v>7</v>
          </cell>
          <cell r="G8" t="str">
            <v>W1</v>
          </cell>
          <cell r="H8">
            <v>18</v>
          </cell>
          <cell r="I8">
            <v>7</v>
          </cell>
        </row>
        <row r="9">
          <cell r="B9" t="str">
            <v>D2</v>
          </cell>
          <cell r="C9">
            <v>6</v>
          </cell>
          <cell r="D9">
            <v>7</v>
          </cell>
          <cell r="G9" t="str">
            <v>W1a</v>
          </cell>
          <cell r="H9">
            <v>18</v>
          </cell>
          <cell r="I9">
            <v>5</v>
          </cell>
        </row>
        <row r="10">
          <cell r="B10" t="str">
            <v>D2a</v>
          </cell>
          <cell r="G10" t="str">
            <v>W2</v>
          </cell>
          <cell r="H10">
            <v>2</v>
          </cell>
          <cell r="I10">
            <v>4.166666666666667</v>
          </cell>
        </row>
        <row r="11">
          <cell r="B11" t="str">
            <v>D2b</v>
          </cell>
          <cell r="C11">
            <v>6</v>
          </cell>
          <cell r="D11">
            <v>7</v>
          </cell>
          <cell r="G11" t="str">
            <v>W2a</v>
          </cell>
          <cell r="H11">
            <v>2</v>
          </cell>
          <cell r="I11">
            <v>4.166666666666667</v>
          </cell>
        </row>
        <row r="12">
          <cell r="B12" t="str">
            <v>D2c</v>
          </cell>
          <cell r="G12" t="str">
            <v>W3</v>
          </cell>
          <cell r="H12">
            <v>4</v>
          </cell>
          <cell r="I12">
            <v>4.166666666666667</v>
          </cell>
        </row>
        <row r="13">
          <cell r="B13" t="str">
            <v>D2d</v>
          </cell>
          <cell r="C13">
            <v>6</v>
          </cell>
          <cell r="D13">
            <v>7</v>
          </cell>
          <cell r="G13" t="str">
            <v>W4</v>
          </cell>
          <cell r="H13">
            <v>21.46</v>
          </cell>
          <cell r="I13">
            <v>6.5</v>
          </cell>
        </row>
        <row r="14">
          <cell r="B14" t="str">
            <v>D3</v>
          </cell>
          <cell r="G14" t="str">
            <v>W5</v>
          </cell>
          <cell r="H14">
            <v>4</v>
          </cell>
          <cell r="I14">
            <v>4</v>
          </cell>
        </row>
        <row r="15">
          <cell r="B15" t="str">
            <v>D3a</v>
          </cell>
          <cell r="C15">
            <v>6</v>
          </cell>
          <cell r="D15">
            <v>7</v>
          </cell>
          <cell r="G15" t="str">
            <v>W6</v>
          </cell>
        </row>
        <row r="16">
          <cell r="B16" t="str">
            <v>D4</v>
          </cell>
          <cell r="G16" t="str">
            <v>W7</v>
          </cell>
          <cell r="H16">
            <v>10</v>
          </cell>
          <cell r="I16">
            <v>5.5</v>
          </cell>
        </row>
        <row r="17">
          <cell r="B17" t="str">
            <v>D5</v>
          </cell>
          <cell r="G17" t="str">
            <v>W8</v>
          </cell>
          <cell r="H17">
            <v>6</v>
          </cell>
          <cell r="I17">
            <v>4.166666666666667</v>
          </cell>
        </row>
        <row r="18">
          <cell r="B18" t="str">
            <v>D6</v>
          </cell>
          <cell r="C18">
            <v>3</v>
          </cell>
          <cell r="D18">
            <v>7</v>
          </cell>
          <cell r="G18" t="str">
            <v>W9</v>
          </cell>
          <cell r="H18">
            <v>2</v>
          </cell>
          <cell r="I18">
            <v>2</v>
          </cell>
        </row>
        <row r="19">
          <cell r="B19" t="str">
            <v>D7</v>
          </cell>
          <cell r="C19">
            <v>3.5</v>
          </cell>
          <cell r="D19">
            <v>7</v>
          </cell>
          <cell r="G19" t="str">
            <v>W10</v>
          </cell>
          <cell r="H19">
            <v>8</v>
          </cell>
          <cell r="I19">
            <v>2</v>
          </cell>
        </row>
        <row r="20">
          <cell r="B20" t="str">
            <v>SD1</v>
          </cell>
          <cell r="C20">
            <v>6</v>
          </cell>
          <cell r="D20">
            <v>7</v>
          </cell>
        </row>
        <row r="21">
          <cell r="B21" t="str">
            <v>SD2</v>
          </cell>
          <cell r="C21">
            <v>6</v>
          </cell>
          <cell r="D21">
            <v>7</v>
          </cell>
        </row>
        <row r="22">
          <cell r="B22" t="str">
            <v>SD2a</v>
          </cell>
          <cell r="C22">
            <v>6</v>
          </cell>
          <cell r="D22">
            <v>7</v>
          </cell>
        </row>
        <row r="23">
          <cell r="B23" t="str">
            <v>WD1</v>
          </cell>
          <cell r="C23">
            <v>3</v>
          </cell>
          <cell r="D23">
            <v>7</v>
          </cell>
        </row>
        <row r="24">
          <cell r="B24" t="str">
            <v>WD2</v>
          </cell>
        </row>
        <row r="25">
          <cell r="B25" t="str">
            <v>WD3</v>
          </cell>
          <cell r="C25">
            <v>2.5</v>
          </cell>
          <cell r="D25">
            <v>7</v>
          </cell>
        </row>
        <row r="26">
          <cell r="B26" t="str">
            <v>WD4</v>
          </cell>
          <cell r="C26">
            <v>3</v>
          </cell>
          <cell r="D26">
            <v>7</v>
          </cell>
        </row>
        <row r="27">
          <cell r="B27" t="str">
            <v>WD5</v>
          </cell>
          <cell r="C27">
            <v>3</v>
          </cell>
          <cell r="D27">
            <v>7</v>
          </cell>
        </row>
        <row r="28">
          <cell r="B28" t="str">
            <v>WD6</v>
          </cell>
          <cell r="C28">
            <v>2.3333333333333335</v>
          </cell>
          <cell r="D28">
            <v>7</v>
          </cell>
        </row>
        <row r="29">
          <cell r="B29" t="str">
            <v>WD7</v>
          </cell>
          <cell r="C29">
            <v>5</v>
          </cell>
          <cell r="D29">
            <v>7</v>
          </cell>
        </row>
        <row r="30">
          <cell r="B30" t="str">
            <v>MD1</v>
          </cell>
          <cell r="C30">
            <v>6</v>
          </cell>
          <cell r="D30">
            <v>7</v>
          </cell>
        </row>
        <row r="31">
          <cell r="B31" t="str">
            <v>MD1a</v>
          </cell>
          <cell r="C31">
            <v>4</v>
          </cell>
          <cell r="D31">
            <v>7</v>
          </cell>
        </row>
        <row r="32">
          <cell r="B32" t="str">
            <v>MD2</v>
          </cell>
          <cell r="C32">
            <v>3</v>
          </cell>
          <cell r="D32">
            <v>7</v>
          </cell>
        </row>
        <row r="33">
          <cell r="B33" t="str">
            <v>MD3</v>
          </cell>
        </row>
        <row r="34">
          <cell r="B34" t="str">
            <v>MD4</v>
          </cell>
          <cell r="C34">
            <v>3</v>
          </cell>
          <cell r="D34">
            <v>7</v>
          </cell>
        </row>
      </sheetData>
      <sheetData sheetId="1">
        <row r="3">
          <cell r="B3">
            <v>1</v>
          </cell>
        </row>
      </sheetData>
      <sheetData sheetId="2">
        <row r="3">
          <cell r="B3">
            <v>1</v>
          </cell>
        </row>
      </sheetData>
      <sheetData sheetId="3">
        <row r="3">
          <cell r="B3">
            <v>1</v>
          </cell>
        </row>
      </sheetData>
      <sheetData sheetId="4">
        <row r="3">
          <cell r="B3">
            <v>1</v>
          </cell>
        </row>
      </sheetData>
      <sheetData sheetId="5">
        <row r="3">
          <cell r="B3">
            <v>1</v>
          </cell>
        </row>
      </sheetData>
      <sheetData sheetId="6">
        <row r="3">
          <cell r="B3">
            <v>1</v>
          </cell>
        </row>
      </sheetData>
      <sheetData sheetId="7">
        <row r="3">
          <cell r="B3">
            <v>1</v>
          </cell>
        </row>
      </sheetData>
      <sheetData sheetId="8">
        <row r="3">
          <cell r="B3">
            <v>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ow r="3">
          <cell r="B3">
            <v>1</v>
          </cell>
        </row>
      </sheetData>
      <sheetData sheetId="37">
        <row r="3">
          <cell r="B3">
            <v>1</v>
          </cell>
        </row>
      </sheetData>
      <sheetData sheetId="38">
        <row r="3">
          <cell r="B3">
            <v>1</v>
          </cell>
        </row>
      </sheetData>
      <sheetData sheetId="39">
        <row r="3">
          <cell r="B3">
            <v>1</v>
          </cell>
        </row>
      </sheetData>
      <sheetData sheetId="40">
        <row r="3">
          <cell r="B3">
            <v>1</v>
          </cell>
        </row>
      </sheetData>
      <sheetData sheetId="41">
        <row r="3">
          <cell r="B3">
            <v>1</v>
          </cell>
        </row>
      </sheetData>
      <sheetData sheetId="42">
        <row r="3">
          <cell r="B3">
            <v>1</v>
          </cell>
        </row>
      </sheetData>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refreshError="1"/>
      <sheetData sheetId="59" refreshError="1"/>
      <sheetData sheetId="60" refreshError="1"/>
      <sheetData sheetId="61" refreshError="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ow r="3">
          <cell r="B3">
            <v>1</v>
          </cell>
        </row>
      </sheetData>
      <sheetData sheetId="84">
        <row r="3">
          <cell r="B3">
            <v>1</v>
          </cell>
        </row>
      </sheetData>
      <sheetData sheetId="85">
        <row r="3">
          <cell r="B3">
            <v>1</v>
          </cell>
        </row>
      </sheetData>
      <sheetData sheetId="86">
        <row r="3">
          <cell r="B3">
            <v>1</v>
          </cell>
        </row>
      </sheetData>
      <sheetData sheetId="87">
        <row r="3">
          <cell r="B3">
            <v>1</v>
          </cell>
        </row>
      </sheetData>
      <sheetData sheetId="88">
        <row r="3">
          <cell r="B3">
            <v>1</v>
          </cell>
        </row>
      </sheetData>
      <sheetData sheetId="89">
        <row r="3">
          <cell r="B3">
            <v>1</v>
          </cell>
        </row>
      </sheetData>
      <sheetData sheetId="90">
        <row r="3">
          <cell r="B3">
            <v>1</v>
          </cell>
        </row>
      </sheetData>
      <sheetData sheetId="91">
        <row r="3">
          <cell r="B3">
            <v>1</v>
          </cell>
        </row>
      </sheetData>
      <sheetData sheetId="92">
        <row r="3">
          <cell r="B3">
            <v>1</v>
          </cell>
        </row>
      </sheetData>
      <sheetData sheetId="93">
        <row r="3">
          <cell r="B3">
            <v>1</v>
          </cell>
        </row>
      </sheetData>
      <sheetData sheetId="94">
        <row r="3">
          <cell r="B3">
            <v>1</v>
          </cell>
        </row>
      </sheetData>
      <sheetData sheetId="95">
        <row r="3">
          <cell r="B3">
            <v>1</v>
          </cell>
        </row>
      </sheetData>
      <sheetData sheetId="96">
        <row r="3">
          <cell r="B3">
            <v>1</v>
          </cell>
        </row>
      </sheetData>
      <sheetData sheetId="97">
        <row r="3">
          <cell r="B3">
            <v>1</v>
          </cell>
        </row>
      </sheetData>
      <sheetData sheetId="98">
        <row r="3">
          <cell r="B3">
            <v>1</v>
          </cell>
        </row>
      </sheetData>
      <sheetData sheetId="99">
        <row r="3">
          <cell r="B3">
            <v>1</v>
          </cell>
        </row>
      </sheetData>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refreshError="1"/>
      <sheetData sheetId="186"/>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sheetData sheetId="285" refreshError="1"/>
      <sheetData sheetId="286" refreshError="1"/>
      <sheetData sheetId="287" refreshError="1"/>
      <sheetData sheetId="288" refreshError="1"/>
      <sheetData sheetId="289"/>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ow r="3">
          <cell r="B3" t="str">
            <v xml:space="preserve"> Grading</v>
          </cell>
        </row>
      </sheetData>
      <sheetData sheetId="309">
        <row r="3">
          <cell r="B3" t="str">
            <v xml:space="preserve"> Grading</v>
          </cell>
        </row>
      </sheetData>
      <sheetData sheetId="310">
        <row r="3">
          <cell r="B3" t="str">
            <v xml:space="preserve"> Grading</v>
          </cell>
        </row>
      </sheetData>
      <sheetData sheetId="311">
        <row r="3">
          <cell r="B3">
            <v>1</v>
          </cell>
        </row>
      </sheetData>
      <sheetData sheetId="312" refreshError="1"/>
      <sheetData sheetId="313">
        <row r="3">
          <cell r="B3" t="str">
            <v xml:space="preserve"> Grading</v>
          </cell>
        </row>
      </sheetData>
      <sheetData sheetId="314">
        <row r="3">
          <cell r="B3">
            <v>1</v>
          </cell>
        </row>
      </sheetData>
      <sheetData sheetId="315">
        <row r="3">
          <cell r="B3" t="str">
            <v xml:space="preserve"> Grading</v>
          </cell>
        </row>
      </sheetData>
      <sheetData sheetId="316">
        <row r="3">
          <cell r="B3" t="str">
            <v xml:space="preserve"> Grading</v>
          </cell>
        </row>
      </sheetData>
      <sheetData sheetId="317">
        <row r="3">
          <cell r="B3">
            <v>1</v>
          </cell>
        </row>
      </sheetData>
      <sheetData sheetId="318">
        <row r="3">
          <cell r="B3">
            <v>1</v>
          </cell>
        </row>
      </sheetData>
      <sheetData sheetId="319" refreshError="1"/>
      <sheetData sheetId="320" refreshError="1"/>
      <sheetData sheetId="321">
        <row r="3">
          <cell r="B3">
            <v>1</v>
          </cell>
        </row>
      </sheetData>
      <sheetData sheetId="322">
        <row r="3">
          <cell r="B3">
            <v>1</v>
          </cell>
        </row>
      </sheetData>
      <sheetData sheetId="323">
        <row r="3">
          <cell r="B3">
            <v>1</v>
          </cell>
        </row>
      </sheetData>
      <sheetData sheetId="324">
        <row r="3">
          <cell r="B3" t="str">
            <v xml:space="preserve"> Grading</v>
          </cell>
        </row>
      </sheetData>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ow r="3">
          <cell r="B3">
            <v>1</v>
          </cell>
        </row>
      </sheetData>
      <sheetData sheetId="371">
        <row r="3">
          <cell r="B3">
            <v>1</v>
          </cell>
        </row>
      </sheetData>
      <sheetData sheetId="372">
        <row r="3">
          <cell r="B3">
            <v>1</v>
          </cell>
        </row>
      </sheetData>
      <sheetData sheetId="373">
        <row r="3">
          <cell r="B3">
            <v>1</v>
          </cell>
        </row>
      </sheetData>
      <sheetData sheetId="374">
        <row r="3">
          <cell r="B3">
            <v>1</v>
          </cell>
        </row>
      </sheetData>
      <sheetData sheetId="375">
        <row r="3">
          <cell r="B3">
            <v>1</v>
          </cell>
        </row>
      </sheetData>
      <sheetData sheetId="376">
        <row r="3">
          <cell r="B3">
            <v>1</v>
          </cell>
        </row>
      </sheetData>
      <sheetData sheetId="377">
        <row r="3">
          <cell r="B3">
            <v>1</v>
          </cell>
        </row>
      </sheetData>
      <sheetData sheetId="378">
        <row r="3">
          <cell r="B3">
            <v>1</v>
          </cell>
        </row>
      </sheetData>
      <sheetData sheetId="379">
        <row r="3">
          <cell r="B3">
            <v>1</v>
          </cell>
        </row>
      </sheetData>
      <sheetData sheetId="380">
        <row r="3">
          <cell r="B3">
            <v>1</v>
          </cell>
        </row>
      </sheetData>
      <sheetData sheetId="381">
        <row r="3">
          <cell r="B3" t="str">
            <v xml:space="preserve"> Grading</v>
          </cell>
        </row>
      </sheetData>
      <sheetData sheetId="382">
        <row r="3">
          <cell r="B3">
            <v>1</v>
          </cell>
        </row>
      </sheetData>
      <sheetData sheetId="383">
        <row r="3">
          <cell r="B3">
            <v>1</v>
          </cell>
        </row>
      </sheetData>
      <sheetData sheetId="384">
        <row r="3">
          <cell r="B3">
            <v>1</v>
          </cell>
        </row>
      </sheetData>
      <sheetData sheetId="385">
        <row r="3">
          <cell r="B3">
            <v>1</v>
          </cell>
        </row>
      </sheetData>
      <sheetData sheetId="386">
        <row r="3">
          <cell r="B3">
            <v>1</v>
          </cell>
        </row>
      </sheetData>
      <sheetData sheetId="387">
        <row r="3">
          <cell r="B3">
            <v>1</v>
          </cell>
        </row>
      </sheetData>
      <sheetData sheetId="388">
        <row r="3">
          <cell r="B3">
            <v>1</v>
          </cell>
        </row>
      </sheetData>
      <sheetData sheetId="389">
        <row r="3">
          <cell r="B3">
            <v>1</v>
          </cell>
        </row>
      </sheetData>
      <sheetData sheetId="390">
        <row r="3">
          <cell r="B3">
            <v>1</v>
          </cell>
        </row>
      </sheetData>
      <sheetData sheetId="391">
        <row r="3">
          <cell r="B3">
            <v>1</v>
          </cell>
        </row>
      </sheetData>
      <sheetData sheetId="392">
        <row r="3">
          <cell r="B3">
            <v>1</v>
          </cell>
        </row>
      </sheetData>
      <sheetData sheetId="393">
        <row r="3">
          <cell r="B3">
            <v>1</v>
          </cell>
        </row>
      </sheetData>
      <sheetData sheetId="394">
        <row r="3">
          <cell r="B3">
            <v>1</v>
          </cell>
        </row>
      </sheetData>
      <sheetData sheetId="395">
        <row r="3">
          <cell r="B3">
            <v>1</v>
          </cell>
        </row>
      </sheetData>
      <sheetData sheetId="396">
        <row r="3">
          <cell r="B3">
            <v>1</v>
          </cell>
        </row>
      </sheetData>
      <sheetData sheetId="397">
        <row r="3">
          <cell r="B3">
            <v>1</v>
          </cell>
        </row>
      </sheetData>
      <sheetData sheetId="398">
        <row r="3">
          <cell r="B3">
            <v>1</v>
          </cell>
        </row>
      </sheetData>
      <sheetData sheetId="399">
        <row r="3">
          <cell r="B3">
            <v>1</v>
          </cell>
        </row>
      </sheetData>
      <sheetData sheetId="400">
        <row r="3">
          <cell r="B3">
            <v>1</v>
          </cell>
        </row>
      </sheetData>
      <sheetData sheetId="401">
        <row r="3">
          <cell r="B3">
            <v>1</v>
          </cell>
        </row>
      </sheetData>
      <sheetData sheetId="402">
        <row r="3">
          <cell r="B3">
            <v>1</v>
          </cell>
        </row>
      </sheetData>
      <sheetData sheetId="403">
        <row r="3">
          <cell r="B3">
            <v>1</v>
          </cell>
        </row>
      </sheetData>
      <sheetData sheetId="404">
        <row r="3">
          <cell r="B3" t="str">
            <v xml:space="preserve"> Grading</v>
          </cell>
        </row>
      </sheetData>
      <sheetData sheetId="405">
        <row r="3">
          <cell r="B3" t="str">
            <v xml:space="preserve"> Grading</v>
          </cell>
        </row>
      </sheetData>
      <sheetData sheetId="406">
        <row r="3">
          <cell r="B3">
            <v>1</v>
          </cell>
        </row>
      </sheetData>
      <sheetData sheetId="407">
        <row r="3">
          <cell r="B3" t="str">
            <v xml:space="preserve"> Grading</v>
          </cell>
        </row>
      </sheetData>
      <sheetData sheetId="408">
        <row r="3">
          <cell r="B3" t="str">
            <v xml:space="preserve"> Grading</v>
          </cell>
        </row>
      </sheetData>
      <sheetData sheetId="409">
        <row r="3">
          <cell r="B3">
            <v>1</v>
          </cell>
        </row>
      </sheetData>
      <sheetData sheetId="410">
        <row r="3">
          <cell r="B3">
            <v>1</v>
          </cell>
        </row>
      </sheetData>
      <sheetData sheetId="411">
        <row r="3">
          <cell r="B3" t="str">
            <v xml:space="preserve"> Grading</v>
          </cell>
        </row>
      </sheetData>
      <sheetData sheetId="412">
        <row r="3">
          <cell r="B3">
            <v>1</v>
          </cell>
        </row>
      </sheetData>
      <sheetData sheetId="413">
        <row r="3">
          <cell r="B3" t="str">
            <v xml:space="preserve"> Grading</v>
          </cell>
        </row>
      </sheetData>
      <sheetData sheetId="414">
        <row r="3">
          <cell r="B3" t="str">
            <v xml:space="preserve"> Grading</v>
          </cell>
        </row>
      </sheetData>
      <sheetData sheetId="415">
        <row r="3">
          <cell r="B3">
            <v>1</v>
          </cell>
        </row>
      </sheetData>
      <sheetData sheetId="416" refreshError="1"/>
      <sheetData sheetId="417">
        <row r="3">
          <cell r="B3">
            <v>1</v>
          </cell>
        </row>
      </sheetData>
      <sheetData sheetId="418">
        <row r="3">
          <cell r="B3">
            <v>1</v>
          </cell>
        </row>
      </sheetData>
      <sheetData sheetId="419">
        <row r="3">
          <cell r="B3">
            <v>1</v>
          </cell>
        </row>
      </sheetData>
      <sheetData sheetId="420">
        <row r="3">
          <cell r="B3">
            <v>1</v>
          </cell>
        </row>
      </sheetData>
      <sheetData sheetId="421">
        <row r="3">
          <cell r="B3">
            <v>1</v>
          </cell>
        </row>
      </sheetData>
      <sheetData sheetId="422">
        <row r="3">
          <cell r="B3">
            <v>1</v>
          </cell>
        </row>
      </sheetData>
      <sheetData sheetId="423">
        <row r="3">
          <cell r="B3">
            <v>1</v>
          </cell>
        </row>
      </sheetData>
      <sheetData sheetId="424">
        <row r="3">
          <cell r="B3" t="str">
            <v xml:space="preserve"> Grading</v>
          </cell>
        </row>
      </sheetData>
      <sheetData sheetId="425">
        <row r="3">
          <cell r="B3">
            <v>1</v>
          </cell>
        </row>
      </sheetData>
      <sheetData sheetId="426">
        <row r="3">
          <cell r="B3" t="str">
            <v xml:space="preserve"> Grading</v>
          </cell>
        </row>
      </sheetData>
      <sheetData sheetId="427">
        <row r="3">
          <cell r="B3">
            <v>1</v>
          </cell>
        </row>
      </sheetData>
      <sheetData sheetId="428">
        <row r="3">
          <cell r="B3">
            <v>1</v>
          </cell>
        </row>
      </sheetData>
      <sheetData sheetId="429">
        <row r="3">
          <cell r="B3" t="str">
            <v xml:space="preserve"> Grading</v>
          </cell>
        </row>
      </sheetData>
      <sheetData sheetId="430">
        <row r="3">
          <cell r="B3" t="str">
            <v xml:space="preserve"> Grading</v>
          </cell>
        </row>
      </sheetData>
      <sheetData sheetId="431">
        <row r="3">
          <cell r="B3">
            <v>1</v>
          </cell>
        </row>
      </sheetData>
      <sheetData sheetId="432">
        <row r="3">
          <cell r="B3" t="str">
            <v xml:space="preserve"> Grading</v>
          </cell>
        </row>
      </sheetData>
      <sheetData sheetId="433">
        <row r="3">
          <cell r="B3" t="str">
            <v xml:space="preserve"> Grading</v>
          </cell>
        </row>
      </sheetData>
      <sheetData sheetId="434">
        <row r="3">
          <cell r="B3">
            <v>1</v>
          </cell>
        </row>
      </sheetData>
      <sheetData sheetId="435">
        <row r="3">
          <cell r="B3" t="str">
            <v xml:space="preserve"> Grading</v>
          </cell>
        </row>
      </sheetData>
      <sheetData sheetId="436">
        <row r="3">
          <cell r="B3">
            <v>1</v>
          </cell>
        </row>
      </sheetData>
      <sheetData sheetId="437">
        <row r="3">
          <cell r="B3">
            <v>1</v>
          </cell>
        </row>
      </sheetData>
      <sheetData sheetId="438">
        <row r="3">
          <cell r="B3" t="str">
            <v xml:space="preserve"> Grading</v>
          </cell>
        </row>
      </sheetData>
      <sheetData sheetId="439">
        <row r="3">
          <cell r="B3" t="str">
            <v xml:space="preserve"> Grading</v>
          </cell>
        </row>
      </sheetData>
      <sheetData sheetId="440">
        <row r="3">
          <cell r="B3">
            <v>1</v>
          </cell>
        </row>
      </sheetData>
      <sheetData sheetId="441">
        <row r="3">
          <cell r="B3" t="str">
            <v xml:space="preserve"> Grading</v>
          </cell>
        </row>
      </sheetData>
      <sheetData sheetId="442">
        <row r="3">
          <cell r="B3">
            <v>1</v>
          </cell>
        </row>
      </sheetData>
      <sheetData sheetId="443" refreshError="1"/>
      <sheetData sheetId="444" refreshError="1"/>
      <sheetData sheetId="445" refreshError="1"/>
      <sheetData sheetId="446" refreshError="1"/>
      <sheetData sheetId="447">
        <row r="3">
          <cell r="B3">
            <v>1</v>
          </cell>
        </row>
      </sheetData>
      <sheetData sheetId="448">
        <row r="3">
          <cell r="B3">
            <v>1</v>
          </cell>
        </row>
      </sheetData>
      <sheetData sheetId="449">
        <row r="3">
          <cell r="B3" t="str">
            <v xml:space="preserve"> Grading</v>
          </cell>
        </row>
      </sheetData>
      <sheetData sheetId="450">
        <row r="3">
          <cell r="B3">
            <v>1</v>
          </cell>
        </row>
      </sheetData>
      <sheetData sheetId="451">
        <row r="3">
          <cell r="B3">
            <v>1</v>
          </cell>
        </row>
      </sheetData>
      <sheetData sheetId="452">
        <row r="3">
          <cell r="B3">
            <v>1</v>
          </cell>
        </row>
      </sheetData>
      <sheetData sheetId="453">
        <row r="3">
          <cell r="B3">
            <v>1</v>
          </cell>
        </row>
      </sheetData>
      <sheetData sheetId="454">
        <row r="3">
          <cell r="B3" t="str">
            <v xml:space="preserve"> Grading</v>
          </cell>
        </row>
      </sheetData>
      <sheetData sheetId="455">
        <row r="3">
          <cell r="B3">
            <v>1</v>
          </cell>
        </row>
      </sheetData>
      <sheetData sheetId="456">
        <row r="3">
          <cell r="B3" t="str">
            <v xml:space="preserve"> Grading</v>
          </cell>
        </row>
      </sheetData>
      <sheetData sheetId="457">
        <row r="3">
          <cell r="B3" t="str">
            <v xml:space="preserve"> Grading</v>
          </cell>
        </row>
      </sheetData>
      <sheetData sheetId="458">
        <row r="3">
          <cell r="B3">
            <v>1</v>
          </cell>
        </row>
      </sheetData>
      <sheetData sheetId="459">
        <row r="3">
          <cell r="B3" t="str">
            <v xml:space="preserve"> Grading</v>
          </cell>
        </row>
      </sheetData>
      <sheetData sheetId="460">
        <row r="3">
          <cell r="B3">
            <v>1</v>
          </cell>
        </row>
      </sheetData>
      <sheetData sheetId="461">
        <row r="3">
          <cell r="B3" t="str">
            <v xml:space="preserve"> Grading</v>
          </cell>
        </row>
      </sheetData>
      <sheetData sheetId="462">
        <row r="3">
          <cell r="B3" t="str">
            <v xml:space="preserve"> Grading</v>
          </cell>
        </row>
      </sheetData>
      <sheetData sheetId="463">
        <row r="3">
          <cell r="B3" t="str">
            <v xml:space="preserve"> Grading</v>
          </cell>
        </row>
      </sheetData>
      <sheetData sheetId="464">
        <row r="3">
          <cell r="B3">
            <v>1</v>
          </cell>
        </row>
      </sheetData>
      <sheetData sheetId="465">
        <row r="3">
          <cell r="B3" t="str">
            <v xml:space="preserve"> Grading</v>
          </cell>
        </row>
      </sheetData>
      <sheetData sheetId="466">
        <row r="3">
          <cell r="B3">
            <v>1</v>
          </cell>
        </row>
      </sheetData>
      <sheetData sheetId="467">
        <row r="3">
          <cell r="B3">
            <v>1</v>
          </cell>
        </row>
      </sheetData>
      <sheetData sheetId="468">
        <row r="3">
          <cell r="B3" t="str">
            <v xml:space="preserve"> Grading</v>
          </cell>
        </row>
      </sheetData>
      <sheetData sheetId="469">
        <row r="3">
          <cell r="B3">
            <v>1</v>
          </cell>
        </row>
      </sheetData>
      <sheetData sheetId="470">
        <row r="3">
          <cell r="B3">
            <v>1</v>
          </cell>
        </row>
      </sheetData>
      <sheetData sheetId="471">
        <row r="3">
          <cell r="B3">
            <v>1</v>
          </cell>
        </row>
      </sheetData>
      <sheetData sheetId="472">
        <row r="3">
          <cell r="B3">
            <v>1</v>
          </cell>
        </row>
      </sheetData>
      <sheetData sheetId="473">
        <row r="3">
          <cell r="B3">
            <v>1</v>
          </cell>
        </row>
      </sheetData>
      <sheetData sheetId="474">
        <row r="3">
          <cell r="B3">
            <v>1</v>
          </cell>
        </row>
      </sheetData>
      <sheetData sheetId="475">
        <row r="3">
          <cell r="B3">
            <v>1</v>
          </cell>
        </row>
      </sheetData>
      <sheetData sheetId="476">
        <row r="3">
          <cell r="B3">
            <v>1</v>
          </cell>
        </row>
      </sheetData>
      <sheetData sheetId="477">
        <row r="3">
          <cell r="B3">
            <v>1</v>
          </cell>
        </row>
      </sheetData>
      <sheetData sheetId="478">
        <row r="3">
          <cell r="B3">
            <v>1</v>
          </cell>
        </row>
      </sheetData>
      <sheetData sheetId="479">
        <row r="3">
          <cell r="B3">
            <v>1</v>
          </cell>
        </row>
      </sheetData>
      <sheetData sheetId="480">
        <row r="3">
          <cell r="B3">
            <v>1</v>
          </cell>
        </row>
      </sheetData>
      <sheetData sheetId="481">
        <row r="3">
          <cell r="B3">
            <v>1</v>
          </cell>
        </row>
      </sheetData>
      <sheetData sheetId="482">
        <row r="3">
          <cell r="B3">
            <v>1</v>
          </cell>
        </row>
      </sheetData>
      <sheetData sheetId="483">
        <row r="3">
          <cell r="B3">
            <v>1</v>
          </cell>
        </row>
      </sheetData>
      <sheetData sheetId="484">
        <row r="3">
          <cell r="B3">
            <v>1</v>
          </cell>
        </row>
      </sheetData>
      <sheetData sheetId="485">
        <row r="3">
          <cell r="B3">
            <v>1</v>
          </cell>
        </row>
      </sheetData>
      <sheetData sheetId="486">
        <row r="3">
          <cell r="B3">
            <v>1</v>
          </cell>
        </row>
      </sheetData>
      <sheetData sheetId="487">
        <row r="3">
          <cell r="B3">
            <v>1</v>
          </cell>
        </row>
      </sheetData>
      <sheetData sheetId="488">
        <row r="3">
          <cell r="B3">
            <v>1</v>
          </cell>
        </row>
      </sheetData>
      <sheetData sheetId="489">
        <row r="3">
          <cell r="B3">
            <v>1</v>
          </cell>
        </row>
      </sheetData>
      <sheetData sheetId="490">
        <row r="3">
          <cell r="B3">
            <v>1</v>
          </cell>
        </row>
      </sheetData>
      <sheetData sheetId="491">
        <row r="3">
          <cell r="B3">
            <v>1</v>
          </cell>
        </row>
      </sheetData>
      <sheetData sheetId="492">
        <row r="3">
          <cell r="B3">
            <v>1</v>
          </cell>
        </row>
      </sheetData>
      <sheetData sheetId="493">
        <row r="3">
          <cell r="B3">
            <v>1</v>
          </cell>
        </row>
      </sheetData>
      <sheetData sheetId="494">
        <row r="3">
          <cell r="B3">
            <v>1</v>
          </cell>
        </row>
      </sheetData>
      <sheetData sheetId="495">
        <row r="3">
          <cell r="B3">
            <v>1</v>
          </cell>
        </row>
      </sheetData>
      <sheetData sheetId="496">
        <row r="3">
          <cell r="B3">
            <v>1</v>
          </cell>
        </row>
      </sheetData>
      <sheetData sheetId="497">
        <row r="3">
          <cell r="B3" t="str">
            <v xml:space="preserve"> Grading</v>
          </cell>
        </row>
      </sheetData>
      <sheetData sheetId="498">
        <row r="3">
          <cell r="B3">
            <v>1</v>
          </cell>
        </row>
      </sheetData>
      <sheetData sheetId="499">
        <row r="3">
          <cell r="B3">
            <v>1</v>
          </cell>
        </row>
      </sheetData>
      <sheetData sheetId="500">
        <row r="3">
          <cell r="B3" t="str">
            <v xml:space="preserve"> Grading</v>
          </cell>
        </row>
      </sheetData>
      <sheetData sheetId="501">
        <row r="3">
          <cell r="B3" t="str">
            <v xml:space="preserve"> Grading</v>
          </cell>
        </row>
      </sheetData>
      <sheetData sheetId="502">
        <row r="3">
          <cell r="B3">
            <v>1</v>
          </cell>
        </row>
      </sheetData>
      <sheetData sheetId="503">
        <row r="3">
          <cell r="B3">
            <v>1</v>
          </cell>
        </row>
      </sheetData>
      <sheetData sheetId="504">
        <row r="3">
          <cell r="B3" t="str">
            <v xml:space="preserve"> Grading</v>
          </cell>
        </row>
      </sheetData>
      <sheetData sheetId="505">
        <row r="3">
          <cell r="B3" t="str">
            <v xml:space="preserve"> Grading</v>
          </cell>
        </row>
      </sheetData>
      <sheetData sheetId="506">
        <row r="3">
          <cell r="B3">
            <v>1</v>
          </cell>
        </row>
      </sheetData>
      <sheetData sheetId="507">
        <row r="3">
          <cell r="B3" t="str">
            <v xml:space="preserve"> Grading</v>
          </cell>
        </row>
      </sheetData>
      <sheetData sheetId="508">
        <row r="3">
          <cell r="B3" t="str">
            <v xml:space="preserve"> Grading</v>
          </cell>
        </row>
      </sheetData>
      <sheetData sheetId="509">
        <row r="3">
          <cell r="B3" t="str">
            <v xml:space="preserve"> Grading</v>
          </cell>
        </row>
      </sheetData>
      <sheetData sheetId="510">
        <row r="3">
          <cell r="B3">
            <v>1</v>
          </cell>
        </row>
      </sheetData>
      <sheetData sheetId="511">
        <row r="3">
          <cell r="B3" t="str">
            <v xml:space="preserve"> Grading</v>
          </cell>
        </row>
      </sheetData>
      <sheetData sheetId="512">
        <row r="3">
          <cell r="B3" t="str">
            <v xml:space="preserve"> Grading</v>
          </cell>
        </row>
      </sheetData>
      <sheetData sheetId="513">
        <row r="3">
          <cell r="B3" t="str">
            <v xml:space="preserve"> Grading</v>
          </cell>
        </row>
      </sheetData>
      <sheetData sheetId="514">
        <row r="3">
          <cell r="B3">
            <v>1</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ow r="3">
          <cell r="B3">
            <v>1</v>
          </cell>
        </row>
      </sheetData>
      <sheetData sheetId="562">
        <row r="3">
          <cell r="B3">
            <v>1</v>
          </cell>
        </row>
      </sheetData>
      <sheetData sheetId="563">
        <row r="3">
          <cell r="B3">
            <v>1</v>
          </cell>
        </row>
      </sheetData>
      <sheetData sheetId="564">
        <row r="3">
          <cell r="B3">
            <v>1</v>
          </cell>
        </row>
      </sheetData>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ow r="3">
          <cell r="B3" t="str">
            <v xml:space="preserve"> Grading</v>
          </cell>
        </row>
      </sheetData>
      <sheetData sheetId="605" refreshError="1"/>
      <sheetData sheetId="606" refreshError="1"/>
      <sheetData sheetId="607" refreshError="1"/>
      <sheetData sheetId="608" refreshError="1"/>
      <sheetData sheetId="609">
        <row r="3">
          <cell r="B3" t="str">
            <v xml:space="preserve"> Grading</v>
          </cell>
        </row>
      </sheetData>
      <sheetData sheetId="610">
        <row r="3">
          <cell r="B3" t="str">
            <v xml:space="preserve"> Grading</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ow r="3">
          <cell r="B3">
            <v>1</v>
          </cell>
        </row>
      </sheetData>
      <sheetData sheetId="732">
        <row r="3">
          <cell r="B3">
            <v>1</v>
          </cell>
        </row>
      </sheetData>
      <sheetData sheetId="733">
        <row r="3">
          <cell r="B3">
            <v>1</v>
          </cell>
        </row>
      </sheetData>
      <sheetData sheetId="734">
        <row r="3">
          <cell r="B3">
            <v>1</v>
          </cell>
        </row>
      </sheetData>
      <sheetData sheetId="735">
        <row r="3">
          <cell r="B3">
            <v>1</v>
          </cell>
        </row>
      </sheetData>
      <sheetData sheetId="736">
        <row r="3">
          <cell r="B3">
            <v>1</v>
          </cell>
        </row>
      </sheetData>
      <sheetData sheetId="737">
        <row r="3">
          <cell r="B3">
            <v>1</v>
          </cell>
        </row>
      </sheetData>
      <sheetData sheetId="738">
        <row r="3">
          <cell r="B3">
            <v>1</v>
          </cell>
        </row>
      </sheetData>
      <sheetData sheetId="739">
        <row r="3">
          <cell r="B3" t="str">
            <v xml:space="preserve"> Grading</v>
          </cell>
        </row>
      </sheetData>
      <sheetData sheetId="740">
        <row r="3">
          <cell r="B3">
            <v>1</v>
          </cell>
        </row>
      </sheetData>
      <sheetData sheetId="741">
        <row r="3">
          <cell r="B3">
            <v>1</v>
          </cell>
        </row>
      </sheetData>
      <sheetData sheetId="742">
        <row r="3">
          <cell r="B3">
            <v>1</v>
          </cell>
        </row>
      </sheetData>
      <sheetData sheetId="743">
        <row r="3">
          <cell r="B3">
            <v>1</v>
          </cell>
        </row>
      </sheetData>
      <sheetData sheetId="744">
        <row r="3">
          <cell r="B3" t="str">
            <v xml:space="preserve"> Grading</v>
          </cell>
        </row>
      </sheetData>
      <sheetData sheetId="745">
        <row r="3">
          <cell r="B3">
            <v>1</v>
          </cell>
        </row>
      </sheetData>
      <sheetData sheetId="746">
        <row r="3">
          <cell r="B3">
            <v>1</v>
          </cell>
        </row>
      </sheetData>
      <sheetData sheetId="747">
        <row r="3">
          <cell r="B3">
            <v>1</v>
          </cell>
        </row>
      </sheetData>
      <sheetData sheetId="748">
        <row r="3">
          <cell r="B3">
            <v>1</v>
          </cell>
        </row>
      </sheetData>
      <sheetData sheetId="749">
        <row r="3">
          <cell r="B3">
            <v>1</v>
          </cell>
        </row>
      </sheetData>
      <sheetData sheetId="750">
        <row r="3">
          <cell r="B3">
            <v>1</v>
          </cell>
        </row>
      </sheetData>
      <sheetData sheetId="751">
        <row r="3">
          <cell r="B3" t="str">
            <v xml:space="preserve"> Grading</v>
          </cell>
        </row>
      </sheetData>
      <sheetData sheetId="752">
        <row r="3">
          <cell r="B3" t="str">
            <v xml:space="preserve"> Grading</v>
          </cell>
        </row>
      </sheetData>
      <sheetData sheetId="753">
        <row r="3">
          <cell r="B3">
            <v>1</v>
          </cell>
        </row>
      </sheetData>
      <sheetData sheetId="754">
        <row r="3">
          <cell r="B3" t="str">
            <v xml:space="preserve"> Grading</v>
          </cell>
        </row>
      </sheetData>
      <sheetData sheetId="755">
        <row r="3">
          <cell r="B3">
            <v>1</v>
          </cell>
        </row>
      </sheetData>
      <sheetData sheetId="756">
        <row r="3">
          <cell r="B3" t="str">
            <v xml:space="preserve"> Grading</v>
          </cell>
        </row>
      </sheetData>
      <sheetData sheetId="757">
        <row r="3">
          <cell r="B3" t="str">
            <v xml:space="preserve"> Grading</v>
          </cell>
        </row>
      </sheetData>
      <sheetData sheetId="758">
        <row r="3">
          <cell r="B3" t="str">
            <v xml:space="preserve"> Grading</v>
          </cell>
        </row>
      </sheetData>
      <sheetData sheetId="759">
        <row r="3">
          <cell r="B3" t="str">
            <v xml:space="preserve"> Grading</v>
          </cell>
        </row>
      </sheetData>
      <sheetData sheetId="760">
        <row r="3">
          <cell r="B3" t="str">
            <v xml:space="preserve"> Grading</v>
          </cell>
        </row>
      </sheetData>
      <sheetData sheetId="761">
        <row r="3">
          <cell r="B3">
            <v>1</v>
          </cell>
        </row>
      </sheetData>
      <sheetData sheetId="762">
        <row r="3">
          <cell r="B3" t="str">
            <v xml:space="preserve"> Grading</v>
          </cell>
        </row>
      </sheetData>
      <sheetData sheetId="763"/>
      <sheetData sheetId="764"/>
      <sheetData sheetId="765"/>
      <sheetData sheetId="766"/>
      <sheetData sheetId="767"/>
      <sheetData sheetId="768"/>
      <sheetData sheetId="769"/>
      <sheetData sheetId="770"/>
      <sheetData sheetId="771">
        <row r="3">
          <cell r="B3">
            <v>1</v>
          </cell>
        </row>
      </sheetData>
      <sheetData sheetId="772"/>
      <sheetData sheetId="773"/>
      <sheetData sheetId="774"/>
      <sheetData sheetId="775"/>
      <sheetData sheetId="776"/>
      <sheetData sheetId="777"/>
      <sheetData sheetId="778"/>
      <sheetData sheetId="779"/>
      <sheetData sheetId="780"/>
      <sheetData sheetId="781"/>
      <sheetData sheetId="782"/>
      <sheetData sheetId="783">
        <row r="3">
          <cell r="B3" t="str">
            <v xml:space="preserve"> Grading</v>
          </cell>
        </row>
      </sheetData>
      <sheetData sheetId="784">
        <row r="3">
          <cell r="B3" t="str">
            <v xml:space="preserve"> Grading</v>
          </cell>
        </row>
      </sheetData>
      <sheetData sheetId="785">
        <row r="3">
          <cell r="B3">
            <v>1</v>
          </cell>
        </row>
      </sheetData>
      <sheetData sheetId="786"/>
      <sheetData sheetId="787">
        <row r="3">
          <cell r="B3" t="str">
            <v xml:space="preserve"> Grading</v>
          </cell>
        </row>
      </sheetData>
      <sheetData sheetId="788">
        <row r="3">
          <cell r="B3" t="str">
            <v xml:space="preserve"> Grading</v>
          </cell>
        </row>
      </sheetData>
      <sheetData sheetId="789">
        <row r="3">
          <cell r="B3" t="str">
            <v xml:space="preserve"> Grading</v>
          </cell>
        </row>
      </sheetData>
      <sheetData sheetId="790">
        <row r="3">
          <cell r="B3">
            <v>1</v>
          </cell>
        </row>
      </sheetData>
      <sheetData sheetId="791">
        <row r="3">
          <cell r="B3">
            <v>1</v>
          </cell>
        </row>
      </sheetData>
      <sheetData sheetId="792">
        <row r="3">
          <cell r="B3" t="str">
            <v xml:space="preserve"> Grading</v>
          </cell>
        </row>
      </sheetData>
      <sheetData sheetId="793">
        <row r="3">
          <cell r="B3">
            <v>1</v>
          </cell>
        </row>
      </sheetData>
      <sheetData sheetId="794">
        <row r="3">
          <cell r="B3" t="str">
            <v xml:space="preserve"> Grading</v>
          </cell>
        </row>
      </sheetData>
      <sheetData sheetId="795">
        <row r="3">
          <cell r="B3" t="str">
            <v xml:space="preserve"> Grading</v>
          </cell>
        </row>
      </sheetData>
      <sheetData sheetId="796">
        <row r="3">
          <cell r="B3">
            <v>1</v>
          </cell>
        </row>
      </sheetData>
      <sheetData sheetId="797">
        <row r="3">
          <cell r="B3">
            <v>1</v>
          </cell>
        </row>
      </sheetData>
      <sheetData sheetId="798">
        <row r="3">
          <cell r="B3">
            <v>1</v>
          </cell>
        </row>
      </sheetData>
      <sheetData sheetId="799">
        <row r="3">
          <cell r="B3">
            <v>1</v>
          </cell>
        </row>
      </sheetData>
      <sheetData sheetId="800">
        <row r="3">
          <cell r="B3">
            <v>1</v>
          </cell>
        </row>
      </sheetData>
      <sheetData sheetId="801">
        <row r="3">
          <cell r="B3" t="str">
            <v xml:space="preserve"> Grading</v>
          </cell>
        </row>
      </sheetData>
      <sheetData sheetId="802">
        <row r="3">
          <cell r="B3">
            <v>1</v>
          </cell>
        </row>
      </sheetData>
      <sheetData sheetId="803">
        <row r="3">
          <cell r="B3" t="str">
            <v xml:space="preserve"> Grading</v>
          </cell>
        </row>
      </sheetData>
      <sheetData sheetId="804">
        <row r="3">
          <cell r="B3">
            <v>1</v>
          </cell>
        </row>
      </sheetData>
      <sheetData sheetId="805">
        <row r="3">
          <cell r="B3">
            <v>1</v>
          </cell>
        </row>
      </sheetData>
      <sheetData sheetId="806">
        <row r="3">
          <cell r="B3">
            <v>1</v>
          </cell>
        </row>
      </sheetData>
      <sheetData sheetId="807">
        <row r="3">
          <cell r="B3">
            <v>1</v>
          </cell>
        </row>
      </sheetData>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sheetData sheetId="956" refreshError="1"/>
      <sheetData sheetId="957" refreshError="1"/>
      <sheetData sheetId="958"/>
      <sheetData sheetId="959"/>
      <sheetData sheetId="960"/>
      <sheetData sheetId="961">
        <row r="3">
          <cell r="B3">
            <v>1</v>
          </cell>
        </row>
      </sheetData>
      <sheetData sheetId="962">
        <row r="3">
          <cell r="B3">
            <v>1</v>
          </cell>
        </row>
      </sheetData>
      <sheetData sheetId="963">
        <row r="3">
          <cell r="B3">
            <v>1</v>
          </cell>
        </row>
      </sheetData>
      <sheetData sheetId="964">
        <row r="3">
          <cell r="B3">
            <v>1</v>
          </cell>
        </row>
      </sheetData>
      <sheetData sheetId="965">
        <row r="3">
          <cell r="B3">
            <v>1</v>
          </cell>
        </row>
      </sheetData>
      <sheetData sheetId="966">
        <row r="3">
          <cell r="B3">
            <v>1</v>
          </cell>
        </row>
      </sheetData>
      <sheetData sheetId="967">
        <row r="3">
          <cell r="B3">
            <v>1</v>
          </cell>
        </row>
      </sheetData>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row r="3">
          <cell r="B3">
            <v>1</v>
          </cell>
        </row>
      </sheetData>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row r="3">
          <cell r="B3">
            <v>1</v>
          </cell>
        </row>
      </sheetData>
      <sheetData sheetId="1004">
        <row r="3">
          <cell r="B3">
            <v>1</v>
          </cell>
        </row>
      </sheetData>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row r="3">
          <cell r="B3">
            <v>1</v>
          </cell>
        </row>
      </sheetData>
      <sheetData sheetId="1053">
        <row r="3">
          <cell r="B3">
            <v>1</v>
          </cell>
        </row>
      </sheetData>
      <sheetData sheetId="1054">
        <row r="3">
          <cell r="B3">
            <v>1</v>
          </cell>
        </row>
      </sheetData>
      <sheetData sheetId="1055">
        <row r="3">
          <cell r="B3">
            <v>1</v>
          </cell>
        </row>
      </sheetData>
      <sheetData sheetId="1056">
        <row r="3">
          <cell r="B3">
            <v>1</v>
          </cell>
        </row>
      </sheetData>
      <sheetData sheetId="1057">
        <row r="3">
          <cell r="B3">
            <v>1</v>
          </cell>
        </row>
      </sheetData>
      <sheetData sheetId="1058">
        <row r="3">
          <cell r="B3">
            <v>1</v>
          </cell>
        </row>
      </sheetData>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ow r="3">
          <cell r="B3">
            <v>1</v>
          </cell>
        </row>
      </sheetData>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sheetData sheetId="1265"/>
      <sheetData sheetId="1266"/>
      <sheetData sheetId="1267" refreshError="1"/>
      <sheetData sheetId="1268" refreshError="1"/>
      <sheetData sheetId="1269" refreshError="1"/>
      <sheetData sheetId="1270" refreshError="1"/>
      <sheetData sheetId="1271" refreshError="1"/>
      <sheetData sheetId="1272" refreshError="1"/>
      <sheetData sheetId="1273"/>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row r="3">
          <cell r="B3">
            <v>1</v>
          </cell>
        </row>
      </sheetData>
      <sheetData sheetId="1303">
        <row r="3">
          <cell r="B3" t="str">
            <v>Grading</v>
          </cell>
        </row>
      </sheetData>
      <sheetData sheetId="1304">
        <row r="3">
          <cell r="B3" t="str">
            <v>Grading</v>
          </cell>
        </row>
      </sheetData>
      <sheetData sheetId="1305"/>
      <sheetData sheetId="1306">
        <row r="3">
          <cell r="B3">
            <v>1</v>
          </cell>
        </row>
      </sheetData>
      <sheetData sheetId="1307">
        <row r="3">
          <cell r="B3" t="str">
            <v>Grading</v>
          </cell>
        </row>
      </sheetData>
      <sheetData sheetId="1308">
        <row r="3">
          <cell r="B3">
            <v>1</v>
          </cell>
        </row>
      </sheetData>
      <sheetData sheetId="1309">
        <row r="3">
          <cell r="B3" t="str">
            <v>Grading</v>
          </cell>
        </row>
      </sheetData>
      <sheetData sheetId="1310">
        <row r="3">
          <cell r="B3" t="str">
            <v>Grading</v>
          </cell>
        </row>
      </sheetData>
      <sheetData sheetId="1311">
        <row r="3">
          <cell r="B3">
            <v>1</v>
          </cell>
        </row>
      </sheetData>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row r="3">
          <cell r="B3">
            <v>1</v>
          </cell>
        </row>
      </sheetData>
      <sheetData sheetId="1481">
        <row r="3">
          <cell r="B3" t="str">
            <v>Grading</v>
          </cell>
        </row>
      </sheetData>
      <sheetData sheetId="1482">
        <row r="3">
          <cell r="B3" t="str">
            <v>Grading</v>
          </cell>
        </row>
      </sheetData>
      <sheetData sheetId="1483"/>
      <sheetData sheetId="1484">
        <row r="3">
          <cell r="B3">
            <v>1</v>
          </cell>
        </row>
      </sheetData>
      <sheetData sheetId="1485">
        <row r="3">
          <cell r="B3" t="str">
            <v>Grading</v>
          </cell>
        </row>
      </sheetData>
      <sheetData sheetId="1486">
        <row r="3">
          <cell r="B3">
            <v>1</v>
          </cell>
        </row>
      </sheetData>
      <sheetData sheetId="1487">
        <row r="3">
          <cell r="B3" t="str">
            <v>Grading</v>
          </cell>
        </row>
      </sheetData>
      <sheetData sheetId="1488">
        <row r="3">
          <cell r="B3" t="str">
            <v>Grading</v>
          </cell>
        </row>
      </sheetData>
      <sheetData sheetId="1489">
        <row r="3">
          <cell r="B3">
            <v>1</v>
          </cell>
        </row>
      </sheetData>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refreshError="1"/>
      <sheetData sheetId="1645" refreshError="1"/>
      <sheetData sheetId="1646" refreshError="1"/>
      <sheetData sheetId="1647"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nawaran"/>
      <sheetName val="Rekap"/>
      <sheetName val="Rekap Derecost"/>
      <sheetName val="BQ"/>
      <sheetName val="BQ(Derecost)"/>
      <sheetName val="Lamp-3a(Analisa)"/>
      <sheetName val="Lamp-3b(Ur-Anl)"/>
      <sheetName val="Anl-Alt"/>
      <sheetName val="Sheet3"/>
      <sheetName val="BQ (2)"/>
      <sheetName val="SAT-DAS"/>
      <sheetName val="Anl-Bhn"/>
      <sheetName val="Lamp-2 (Anl-1)"/>
      <sheetName val="Urai-Anl (1)"/>
      <sheetName val="Urai-Anl (2)"/>
      <sheetName val="Lamp-3b"/>
      <sheetName val="Lamp-1(Schedul)"/>
      <sheetName val="Lamp-4"/>
      <sheetName val="On-Site"/>
      <sheetName val="Lamp-6a"/>
      <sheetName val="Lamp-6b"/>
      <sheetName val="Lamp-7"/>
      <sheetName val="Lamp-8"/>
      <sheetName val="Lamp-13"/>
      <sheetName val="Lamp-9"/>
      <sheetName val="Lamp-10"/>
      <sheetName val="Lamp-11"/>
      <sheetName val="Lamp-12"/>
      <sheetName val="Lamp-14"/>
      <sheetName val="Anl-Alt "/>
      <sheetName val="D"/>
      <sheetName val="M"/>
      <sheetName val="0000"/>
      <sheetName val="XXXX"/>
      <sheetName val="Ls-Mobilisasi (OK)"/>
      <sheetName val="Ur-Anl (ok punya)"/>
      <sheetName val="Analisa (ok punya)"/>
      <sheetName val="Kuan&amp;Harga(BQ)"/>
      <sheetName val="Lamp-1 (Schedule ok"/>
      <sheetName val="Anl-Bhn (ok)"/>
      <sheetName val="Lamp-14 -Hit-Alt"/>
      <sheetName val="Lamp-13-Pengg Alat"/>
      <sheetName val="Lamp-4 (Pemel. Rutin)"/>
      <sheetName val="Lamp-5 (On Site)"/>
      <sheetName val="Lamp-6 (Plant)"/>
      <sheetName val="Lamp-7 (Df-Utm) ok"/>
      <sheetName val="Lamp-8 (Kont Seleksi)"/>
      <sheetName val="Lamp-9 (Df-Alat)"/>
      <sheetName val="Lamp-11 (Sub-kont) ok"/>
      <sheetName val="Lamp-14 (Lamp-Penaw) OK"/>
      <sheetName val="Ur-Anl (ok )"/>
      <sheetName val="Analisa (ok)"/>
      <sheetName val="Kuan&amp;Harga"/>
      <sheetName val="DFT UPAH &amp; BAHAN"/>
      <sheetName val="Analisa (ok) (2)"/>
    </sheetNames>
    <sheetDataSet>
      <sheetData sheetId="0" refreshError="1"/>
      <sheetData sheetId="1"/>
      <sheetData sheetId="2" refreshError="1"/>
      <sheetData sheetId="3"/>
      <sheetData sheetId="4" refreshError="1"/>
      <sheetData sheetId="5" refreshError="1"/>
      <sheetData sheetId="6" refreshError="1"/>
      <sheetData sheetId="7"/>
      <sheetData sheetId="8"/>
      <sheetData sheetId="9" refreshError="1"/>
      <sheetData sheetId="10" refreshError="1">
        <row r="59">
          <cell r="J59">
            <v>234601.41436061557</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Analisa-Harsat"/>
      <sheetName val="DHSD"/>
    </sheetNames>
    <sheetDataSet>
      <sheetData sheetId="0" refreshError="1"/>
      <sheetData sheetId="1"/>
      <sheetData sheetId="2">
        <row r="16">
          <cell r="G16">
            <v>62500</v>
          </cell>
        </row>
        <row r="32">
          <cell r="G32">
            <v>917890</v>
          </cell>
        </row>
      </sheetData>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BQ"/>
      <sheetName val="BQ (2)"/>
      <sheetName val="Anl-Alt"/>
      <sheetName val="SAT-DAS"/>
      <sheetName val="Anl-Bhn"/>
      <sheetName val="Lamp-2 (Anl-1)"/>
      <sheetName val="Urai-Anl (1)"/>
      <sheetName val="Urai-Anl (2)"/>
      <sheetName val="Lamp-3b"/>
      <sheetName val="Lamp-1(Schedul)"/>
      <sheetName val="Lamp-4"/>
      <sheetName val="On-Site"/>
      <sheetName val="Lamp-6a"/>
      <sheetName val="Lamp-6b"/>
      <sheetName val="Lamp-7"/>
      <sheetName val="Lamp-8"/>
      <sheetName val="Lamp-13"/>
      <sheetName val="Lamp-9"/>
      <sheetName val="Lamp-10"/>
      <sheetName val="Lamp-11"/>
      <sheetName val="Lamp-12"/>
      <sheetName val="Lamp-14"/>
      <sheetName val="Anl-Alt "/>
      <sheetName val="D"/>
      <sheetName val="M"/>
    </sheetNames>
    <sheetDataSet>
      <sheetData sheetId="0" refreshError="1"/>
      <sheetData sheetId="1" refreshError="1"/>
      <sheetData sheetId="2" refreshError="1"/>
      <sheetData sheetId="3" refreshError="1"/>
      <sheetData sheetId="4" refreshError="1">
        <row r="33">
          <cell r="J33">
            <v>6300</v>
          </cell>
        </row>
        <row r="52">
          <cell r="J52">
            <v>205508.15527635367</v>
          </cell>
        </row>
        <row r="59">
          <cell r="J59">
            <v>234601.41436061557</v>
          </cell>
        </row>
        <row r="63">
          <cell r="J63">
            <v>205504.66799758188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TAMBAHAN"/>
      <sheetName val="DISAIN RDS"/>
      <sheetName val="KOEFESIEN"/>
      <sheetName val="Rekap Biaya"/>
      <sheetName val="Kuantitas &amp; Harga"/>
      <sheetName val="Pekerjaan Utama"/>
      <sheetName val="%"/>
      <sheetName val="Informasi"/>
      <sheetName val="Peta Quarry"/>
      <sheetName val="Mobilisasi"/>
      <sheetName val="Perhitungan Mobilisasi Alat"/>
      <sheetName val="Lalu Lintas"/>
      <sheetName val="Jembatan Sementara"/>
      <sheetName val="Additional"/>
      <sheetName val="3-DIV2"/>
      <sheetName val="3-DIV3"/>
      <sheetName val="3-DIV3 (2)"/>
      <sheetName val="3-DIV3 (3)"/>
      <sheetName val="3-DIV3 (4)"/>
      <sheetName val="3-DIV4"/>
      <sheetName val="3-DIV5"/>
      <sheetName val="3-DIV5-LPAS"/>
      <sheetName val="Lean Concr"/>
      <sheetName val="Sand-Bedding"/>
      <sheetName val="3-DIV6"/>
      <sheetName val="3-DIV6 Lasbutag"/>
      <sheetName val="3-DIV7"/>
      <sheetName val="3-DIV7.1"/>
      <sheetName val="3-DIV8"/>
      <sheetName val="3-DIV9"/>
      <sheetName val="3-DIV10 LS-Rutin"/>
      <sheetName val="3-DIV10 Kuantitas"/>
      <sheetName val="3-DIV10 Analisa HSP"/>
      <sheetName val="SPESIFIKASI"/>
      <sheetName val="4-Basic Price"/>
      <sheetName val="4-formulir harga bahan"/>
      <sheetName val="4-Analisa Quarry"/>
      <sheetName val="5-Peralatan"/>
      <sheetName val="5-Peralatan (2)"/>
      <sheetName val="6-Agregat Halus &amp; Kasar"/>
      <sheetName val="6-Agregat Kelas A"/>
      <sheetName val="6-Agregat Kelas B"/>
      <sheetName val="6-Agregat Kelas C"/>
      <sheetName val="Fill this out first..."/>
      <sheetName val="5_Peralatan"/>
      <sheetName val="U&amp;B"/>
      <sheetName val="TPI"/>
      <sheetName val="Rekap"/>
      <sheetName val="Beton K.250"/>
      <sheetName val="BOQ"/>
      <sheetName val="HRG BHN"/>
      <sheetName val="5-ALAT(1)"/>
      <sheetName val="ANL-E"/>
      <sheetName val="UPAH BAHAN"/>
      <sheetName val="Markup"/>
      <sheetName val="analisa edit"/>
      <sheetName val="Basic Price"/>
      <sheetName val="Peralatan"/>
      <sheetName val="ISIAN"/>
      <sheetName val="D3"/>
      <sheetName val="D4"/>
      <sheetName val="D5"/>
      <sheetName val="D6"/>
      <sheetName val="D7"/>
      <sheetName val="D8"/>
      <sheetName val="analisa "/>
      <sheetName val="SITE-E"/>
      <sheetName val="Material-mr"/>
      <sheetName val="R.A.B."/>
      <sheetName val="RAB"/>
      <sheetName val="Bahan"/>
      <sheetName val="BUL"/>
      <sheetName val="alt"/>
      <sheetName val="uph"/>
      <sheetName val="5.1(1)"/>
      <sheetName val="6.1.1"/>
      <sheetName val="REKAP_MEKANIKAL"/>
      <sheetName val="Sheet1"/>
      <sheetName val="Umum"/>
      <sheetName val="RAB-3"/>
      <sheetName val="H.Satuan"/>
      <sheetName val="SEX"/>
      <sheetName val="Master 1.0"/>
      <sheetName val="harga bahan"/>
      <sheetName val="STR"/>
      <sheetName val="AN.BIAYA MAKAN"/>
      <sheetName val="Material"/>
      <sheetName val="BOQ_Aula"/>
      <sheetName val="S_CURVE"/>
      <sheetName val="Engine"/>
      <sheetName val="SatDas"/>
      <sheetName val="Material&amp;Alat"/>
      <sheetName val="DB"/>
      <sheetName val="ANAL.BOW"/>
      <sheetName val="ITB COST"/>
      <sheetName val="NAME"/>
      <sheetName val="analis_alat"/>
      <sheetName val="Hrg Readymix"/>
      <sheetName val="h-013211-2"/>
      <sheetName val="DATA_TAMBAHAN"/>
      <sheetName val="DISAIN_RDS"/>
      <sheetName val="Rekap_Biaya"/>
      <sheetName val="Kuantitas_&amp;_Harga"/>
      <sheetName val="Pekerjaan_Utama"/>
      <sheetName val="Peta_Quarry"/>
      <sheetName val="Perhitungan_Mobilisasi_Alat"/>
      <sheetName val="Lalu_Lintas"/>
      <sheetName val="Jembatan_Sementara"/>
      <sheetName val="3-DIV3_(2)"/>
      <sheetName val="3-DIV3_(3)"/>
      <sheetName val="3-DIV3_(4)"/>
      <sheetName val="Lean_Concr"/>
      <sheetName val="3-DIV6_Lasbutag"/>
      <sheetName val="3-DIV7_1"/>
      <sheetName val="3-DIV10_LS-Rutin"/>
      <sheetName val="3-DIV10_Kuantitas"/>
      <sheetName val="3-DIV10_Analisa_HSP"/>
      <sheetName val="4-Basic_Price"/>
      <sheetName val="4-formulir_harga_bahan"/>
      <sheetName val="4-Analisa_Quarry"/>
      <sheetName val="5-Peralatan_(2)"/>
      <sheetName val="6-Agregat_Halus_&amp;_Kasar"/>
      <sheetName val="6-Agregat_Kelas_A"/>
      <sheetName val="6-Agregat_Kelas_B"/>
      <sheetName val="6-Agregat_Kelas_C"/>
      <sheetName val="Harga_Bahan"/>
      <sheetName val="onsite"/>
      <sheetName val="upahbahan"/>
      <sheetName val="RUTIN"/>
      <sheetName val="Analisa"/>
      <sheetName val="BOW"/>
      <sheetName val="K-9 Ok"/>
      <sheetName val="Kuantitas"/>
      <sheetName val="Uraian Teknis"/>
      <sheetName val="UR-TEKNIS"/>
      <sheetName val="data"/>
      <sheetName val="lamp4ae"/>
      <sheetName val="Har Sat"/>
      <sheetName val="Kuantitas &amp; Harga "/>
      <sheetName val="HRG_NO_PRINT"/>
      <sheetName val="ALAT"/>
      <sheetName val="K012"/>
      <sheetName val="K017"/>
      <sheetName val="BHN-UPH-ALT"/>
      <sheetName val="ANALISA ALAT"/>
      <sheetName val="841"/>
      <sheetName val="311"/>
      <sheetName val="715"/>
      <sheetName val="811"/>
      <sheetName val="DAFTAR HARGA BAHAN "/>
      <sheetName val="anal.K"/>
      <sheetName val="Hrg. Sat Alat"/>
      <sheetName val="Hrg. Sat"/>
      <sheetName val="mingguan1-4"/>
      <sheetName val="E.088"/>
      <sheetName val="SIMBOL"/>
      <sheetName val="HSBU"/>
      <sheetName val="Isolasi Luar Dalam"/>
      <sheetName val="Isolasi Luar"/>
      <sheetName val="HRG"/>
      <sheetName val="HARSATALAT"/>
      <sheetName val=" HARGA UPAH, BAHAN,ALAT"/>
      <sheetName val="ANALISAGATE"/>
      <sheetName val="UPAH BAHAN "/>
      <sheetName val="E.1"/>
      <sheetName val="TS perubahan"/>
      <sheetName val="dinding Spilway lama"/>
      <sheetName val="UPAH"/>
      <sheetName val="gvl"/>
      <sheetName val="CONSUMABLE"/>
      <sheetName val="eqp-rek"/>
      <sheetName val="SAT.UPAH"/>
      <sheetName val="Koefisien"/>
      <sheetName val="SAT_SEWA ALAT"/>
      <sheetName val="SAT_UPAH"/>
      <sheetName val="SAT_BAHAN"/>
      <sheetName val="Estimate"/>
      <sheetName val="Harga Alat"/>
      <sheetName val="SAT-DAS"/>
      <sheetName val="Foundation"/>
      <sheetName val="DAF_2"/>
      <sheetName val="DAF-2"/>
      <sheetName val="Elektrikal"/>
      <sheetName val="Waktu"/>
      <sheetName val="Anls"/>
      <sheetName val="Basic"/>
      <sheetName val="MEP"/>
      <sheetName val="D_S_UPAH"/>
      <sheetName val="bill qty"/>
      <sheetName val="an1"/>
      <sheetName val="ut1"/>
      <sheetName val="b1"/>
      <sheetName val="alat1"/>
      <sheetName val="Data Tower"/>
      <sheetName val="Concrete"/>
      <sheetName val="Data Konsultan"/>
      <sheetName val="harsat"/>
      <sheetName val="ANLS MPU"/>
      <sheetName val="DASAR"/>
      <sheetName val="anal_alat"/>
      <sheetName val="hs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13">
          <cell r="AW13">
            <v>47472.058636363639</v>
          </cell>
        </row>
        <row r="16">
          <cell r="AW16">
            <v>70230.073977639215</v>
          </cell>
        </row>
        <row r="24">
          <cell r="AW24">
            <v>293927.19306224468</v>
          </cell>
        </row>
      </sheetData>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sheetData sheetId="102"/>
      <sheetData sheetId="103"/>
      <sheetData sheetId="104"/>
      <sheetData sheetId="105" refreshError="1"/>
      <sheetData sheetId="106" refreshError="1"/>
      <sheetData sheetId="107" refreshError="1"/>
      <sheetData sheetId="108" refreshError="1"/>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at Berat"/>
      <sheetName val="RAP"/>
      <sheetName val="BIAYA 2"/>
      <sheetName val="metode sentolo"/>
      <sheetName val="HSD"/>
      <sheetName val="Summary"/>
      <sheetName val="RAB"/>
      <sheetName val="REK"/>
    </sheetNames>
    <sheetDataSet>
      <sheetData sheetId="0"/>
      <sheetData sheetId="1"/>
      <sheetData sheetId="2"/>
      <sheetData sheetId="3"/>
      <sheetData sheetId="4"/>
      <sheetData sheetId="5"/>
      <sheetData sheetId="6"/>
      <sheetData sheetId="7"/>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h AC Base nego"/>
      <sheetName val="Ana AC Base Nego"/>
      <sheetName val="analisa nego"/>
      <sheetName val="data kontrak"/>
      <sheetName val="ch"/>
      <sheetName val="srt"/>
      <sheetName val="Rekap PNW"/>
      <sheetName val="BOQ PNW"/>
      <sheetName val="Major"/>
      <sheetName val="Ana Pnw"/>
      <sheetName val="meth Pnw"/>
      <sheetName val="HSD"/>
      <sheetName val="PNW vs NEGO"/>
      <sheetName val="MOS"/>
      <sheetName val="Sche."/>
      <sheetName val="MOB"/>
      <sheetName val="Ana Hasil nego"/>
      <sheetName val="meth hsl nego"/>
      <sheetName val="Ana-K.250"/>
      <sheetName val="Meth-K.250"/>
      <sheetName val="Alat"/>
      <sheetName val="Staf"/>
      <sheetName val="Pengurus"/>
      <sheetName val="Pemilik"/>
      <sheetName val="Sub."/>
      <sheetName val="Sipil"/>
      <sheetName val="Ana Tack C"/>
      <sheetName val="Meth Tack C"/>
      <sheetName val="cost-alat"/>
      <sheetName val="Conf."/>
      <sheetName val="COV"/>
      <sheetName val="WORD"/>
      <sheetName val="S.ALAT"/>
      <sheetName val="S.ALAT.2"/>
      <sheetName val="Bobot"/>
      <sheetName val="OE vs FE "/>
      <sheetName val="BOQ Pamanukan"/>
      <sheetName val="WORD nego"/>
      <sheetName val="Pnw vs RAP"/>
      <sheetName val="PEKERJAAN PERSIAPAN"/>
      <sheetName val="Ans Kom Precast"/>
      <sheetName val="PJ"/>
      <sheetName val="UPAH &amp; BHN"/>
      <sheetName val="HRG BHN"/>
      <sheetName val="5-Peralatan"/>
      <sheetName val="Lt 1"/>
      <sheetName val="ANALISA"/>
      <sheetName val="Kuantitas &amp; Harga"/>
      <sheetName val="Markup"/>
      <sheetName val="D &amp; W sizes"/>
      <sheetName val="ES STG"/>
      <sheetName val="Du_lieu"/>
      <sheetName val="RAB"/>
      <sheetName val="HARGA BAHAN 2015"/>
      <sheetName val="harga"/>
      <sheetName val="BQ"/>
      <sheetName val="Meto"/>
      <sheetName val="K210"/>
      <sheetName val="BQ-E20-02(Rp)"/>
      <sheetName val="UPH &amp; BHN"/>
      <sheetName val="B.T"/>
      <sheetName val="3-DIV5"/>
      <sheetName val="BOQ-Indonesia"/>
      <sheetName val="Harga Material"/>
      <sheetName val="5-ALAT(1)"/>
      <sheetName val="4-Basic Price"/>
      <sheetName val="Rkp Analisa"/>
      <sheetName val="Bas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Analisa-Harsat"/>
      <sheetName val="DHSD"/>
    </sheetNames>
    <sheetDataSet>
      <sheetData sheetId="0" refreshError="1"/>
      <sheetData sheetId="1"/>
      <sheetData sheetId="2">
        <row r="16">
          <cell r="G16">
            <v>62500</v>
          </cell>
        </row>
        <row r="32">
          <cell r="G32">
            <v>917890</v>
          </cell>
        </row>
      </sheetData>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
      <sheetName val="RAB"/>
      <sheetName val="MET"/>
      <sheetName val="MAJ"/>
      <sheetName val="MOB"/>
      <sheetName val="RUT"/>
      <sheetName val="URAI"/>
      <sheetName val="ASP"/>
      <sheetName val="BATU"/>
      <sheetName val="MPU"/>
      <sheetName val="SUB"/>
      <sheetName val="DLAT"/>
      <sheetName val="HSD"/>
      <sheetName val="PRUTIN"/>
      <sheetName val="SCHED"/>
      <sheetName val="DLAMP"/>
      <sheetName val="KLARIF"/>
      <sheetName val="DNEG"/>
      <sheetName val="KONTRAK"/>
      <sheetName val="Current"/>
      <sheetName val="analis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BQ"/>
      <sheetName val="BQ (2)"/>
      <sheetName val="Anl-Alt"/>
      <sheetName val="SAT-DAS"/>
      <sheetName val="Anl-Bhn"/>
      <sheetName val="Lamp-2 (Anl-1)"/>
      <sheetName val="Urai-Anl (1)"/>
      <sheetName val="Urai-Anl (2)"/>
      <sheetName val="Lamp-3b"/>
      <sheetName val="Lamp-1(Schedul)"/>
      <sheetName val="Lamp-4"/>
      <sheetName val="On-Site"/>
      <sheetName val="Lamp-6a"/>
      <sheetName val="Lamp-6b"/>
      <sheetName val="Lamp-7"/>
      <sheetName val="Lamp-8"/>
      <sheetName val="Lamp-13"/>
      <sheetName val="Lamp-9"/>
      <sheetName val="Lamp-10"/>
      <sheetName val="Lamp-11"/>
      <sheetName val="Lamp-12"/>
      <sheetName val="Lamp-14"/>
      <sheetName val="Anl-Alt "/>
      <sheetName val="D"/>
      <sheetName val="M"/>
    </sheetNames>
    <sheetDataSet>
      <sheetData sheetId="0" refreshError="1"/>
      <sheetData sheetId="1" refreshError="1"/>
      <sheetData sheetId="2" refreshError="1"/>
      <sheetData sheetId="3" refreshError="1"/>
      <sheetData sheetId="4" refreshError="1">
        <row r="33">
          <cell r="J33">
            <v>6300</v>
          </cell>
        </row>
        <row r="52">
          <cell r="J52">
            <v>205508.15527635367</v>
          </cell>
        </row>
        <row r="59">
          <cell r="J59">
            <v>234601.41436061557</v>
          </cell>
        </row>
        <row r="63">
          <cell r="J63">
            <v>205504.66799758188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q bsm_1"/>
      <sheetName val="bq bsm_2"/>
      <sheetName val="bq bsm_3"/>
      <sheetName val="lt_1"/>
      <sheetName val="lt_2"/>
      <sheetName val="lt_3"/>
      <sheetName val="lt_4"/>
      <sheetName val="lt_5"/>
      <sheetName val="lt_6"/>
      <sheetName val="lt_7"/>
      <sheetName val="lt_8"/>
      <sheetName val="lt_9"/>
      <sheetName val="lt_10"/>
      <sheetName val="lt_11"/>
      <sheetName val="lt_12"/>
      <sheetName val="lt_13"/>
      <sheetName val="lt_14"/>
      <sheetName val="lt_15"/>
      <sheetName val="lt_16"/>
      <sheetName val="lt_atap"/>
      <sheetName val="Harga Material"/>
      <sheetName val="Analisa"/>
      <sheetName val="Lt 1"/>
      <sheetName val="S.BAHAN"/>
      <sheetName val="S.UPAH"/>
      <sheetName val="meth hsl nego"/>
      <sheetName val="BAHAN"/>
      <sheetName val="harsat"/>
      <sheetName val="Form 1"/>
      <sheetName val="Harga"/>
      <sheetName val="S_BAHAN"/>
      <sheetName val="S_UPAH"/>
      <sheetName val="Harga Satuan"/>
      <sheetName val="DHS"/>
      <sheetName val="REKAP"/>
      <sheetName val="Anal"/>
      <sheetName val="HRG BHN"/>
      <sheetName val="5-Peralatan"/>
      <sheetName val="FAK"/>
      <sheetName val="H.Satuan"/>
      <sheetName val="boq"/>
      <sheetName val="bau"/>
      <sheetName val="GAJI"/>
      <sheetName val="UPAH"/>
      <sheetName val="D &amp; W siz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20">
          <cell r="F20">
            <v>220</v>
          </cell>
        </row>
        <row r="49">
          <cell r="F49">
            <v>37000</v>
          </cell>
        </row>
        <row r="50">
          <cell r="F50">
            <v>37500</v>
          </cell>
        </row>
        <row r="51">
          <cell r="F51">
            <v>39000</v>
          </cell>
        </row>
        <row r="52">
          <cell r="F52">
            <v>194500</v>
          </cell>
        </row>
        <row r="53">
          <cell r="F53">
            <v>217900</v>
          </cell>
        </row>
        <row r="54">
          <cell r="F54">
            <v>247500</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h"/>
      <sheetName val="Summary"/>
      <sheetName val="RAB"/>
      <sheetName val="HDasar"/>
      <sheetName val="analisys"/>
      <sheetName val="LS"/>
      <sheetName val="alat"/>
      <sheetName val="pp"/>
      <sheetName val="bau"/>
      <sheetName val="rupa"/>
      <sheetName val="bank"/>
      <sheetName val="rekap"/>
      <sheetName val="Sheet1"/>
      <sheetName val="Building"/>
      <sheetName val="Cover Daf-2"/>
      <sheetName val="CH"/>
      <sheetName val="lab bahasa"/>
      <sheetName val="Traf&amp;Genst"/>
      <sheetName val="HSBU ANA"/>
      <sheetName val="Cover"/>
      <sheetName val="BAG-2"/>
      <sheetName val="BAG_2"/>
      <sheetName val="rumus"/>
      <sheetName val="Bill-2"/>
      <sheetName val="LISTRIK"/>
      <sheetName val="Harga Satuan"/>
      <sheetName val="L-Mechanical"/>
      <sheetName val="BIIL ASLI"/>
      <sheetName val="Lt 1"/>
      <sheetName val="PT."/>
      <sheetName val="Input"/>
      <sheetName val="HARGA ALAT"/>
      <sheetName val="Resume"/>
      <sheetName val="FINISHING"/>
      <sheetName val="Analisa Harga Satuan"/>
      <sheetName val="ANALISA"/>
      <sheetName val="ANALISA BAHAN"/>
      <sheetName val="HARSAT"/>
      <sheetName val="HB "/>
      <sheetName val="Upah&amp;Harga"/>
    </sheetNames>
    <sheetDataSet>
      <sheetData sheetId="0" refreshError="1"/>
      <sheetData sheetId="1" refreshError="1"/>
      <sheetData sheetId="2" refreshError="1"/>
      <sheetData sheetId="3" refreshError="1">
        <row r="10">
          <cell r="H10">
            <v>148200</v>
          </cell>
        </row>
        <row r="11">
          <cell r="H11">
            <v>198100</v>
          </cell>
        </row>
        <row r="16">
          <cell r="H16">
            <v>5000</v>
          </cell>
        </row>
        <row r="17">
          <cell r="H17">
            <v>476000</v>
          </cell>
        </row>
        <row r="18">
          <cell r="H18">
            <v>441000</v>
          </cell>
        </row>
        <row r="24">
          <cell r="H24">
            <v>170000</v>
          </cell>
        </row>
        <row r="25">
          <cell r="H25">
            <v>140250</v>
          </cell>
        </row>
        <row r="26">
          <cell r="H26">
            <v>59500</v>
          </cell>
        </row>
        <row r="34">
          <cell r="H34">
            <v>91742.86</v>
          </cell>
        </row>
        <row r="35">
          <cell r="H35">
            <v>96571.43</v>
          </cell>
        </row>
        <row r="36">
          <cell r="H36">
            <v>149183.67000000001</v>
          </cell>
        </row>
        <row r="37">
          <cell r="H37">
            <v>307755.09999999998</v>
          </cell>
        </row>
        <row r="40">
          <cell r="H40">
            <v>125000</v>
          </cell>
        </row>
        <row r="82">
          <cell r="H82">
            <v>60000</v>
          </cell>
        </row>
        <row r="83">
          <cell r="H83">
            <v>75000</v>
          </cell>
        </row>
        <row r="84">
          <cell r="H84">
            <v>50000</v>
          </cell>
        </row>
        <row r="85">
          <cell r="H85">
            <v>60000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1"/>
      <sheetName val="Sum"/>
      <sheetName val="Net"/>
      <sheetName val="A-Factory 1"/>
      <sheetName val="B-Factory 2"/>
      <sheetName val="C-Canteen 1"/>
      <sheetName val="D-Power House"/>
      <sheetName val="E-Rubbish"/>
      <sheetName val="F-Guard"/>
      <sheetName val="G-Chemical Storage"/>
      <sheetName val="H-Pump Room"/>
      <sheetName val="I-Scr-Stock"/>
      <sheetName val="J-Sewage"/>
      <sheetName val="K-External"/>
      <sheetName val="L-Mechanical"/>
      <sheetName val="M-Electrical"/>
      <sheetName val="TEMPORARY"/>
      <sheetName val="SITE EXPENSES"/>
      <sheetName val="L_Mechanical"/>
      <sheetName val="REKAPMEK"/>
      <sheetName val="RABMEK"/>
      <sheetName val="BQ SPH"/>
      <sheetName val="Fill this out first..."/>
      <sheetName val="BANGUNAN PENUNJANG"/>
      <sheetName val="Rekap"/>
      <sheetName val="LISTRIK"/>
      <sheetName val="Harga Material"/>
      <sheetName val="meth hsl nego"/>
      <sheetName val="BIIL ASLI"/>
      <sheetName val="RAP"/>
      <sheetName val="dt-tenaga"/>
      <sheetName val="STR _A_"/>
      <sheetName val="D &amp; W sizes"/>
      <sheetName val="AC-C"/>
      <sheetName val="tambah D"/>
      <sheetName val="H.Satuan"/>
      <sheetName val="BAG-2"/>
      <sheetName val="cargo"/>
      <sheetName val="01A- RAB"/>
      <sheetName val="READ ME !!!"/>
      <sheetName val="Markup"/>
      <sheetName val="Gud_Str_Ars_Tmbh"/>
      <sheetName val="REKAP Tbh"/>
      <sheetName val="ANALISA"/>
      <sheetName val="G_SUMMARY"/>
      <sheetName val="Bangunan Utama"/>
      <sheetName val="F ALARM"/>
      <sheetName val="3WH"/>
      <sheetName val="ANALISA 1"/>
      <sheetName val="Rek Tot"/>
      <sheetName val="hidran"/>
      <sheetName val="Exterior"/>
      <sheetName val="Site"/>
      <sheetName val="TELEPON"/>
      <sheetName val="CCTV"/>
      <sheetName val="SOUND"/>
      <sheetName val="Telephone"/>
      <sheetName val="Rek_ELEKT"/>
      <sheetName val="Ekstra Item Blok"/>
      <sheetName val="Report detil kondisi"/>
      <sheetName val="BQ mep"/>
      <sheetName val="Data"/>
      <sheetName val="A-Factory_1"/>
      <sheetName val="B-Factory_2"/>
      <sheetName val="C-Canteen_1"/>
      <sheetName val="D-Power_House"/>
      <sheetName val="G-Chemical_Storage"/>
      <sheetName val="H-Pump_Room"/>
      <sheetName val="SITE_EXPENSES"/>
      <sheetName val="BQ_SPH"/>
      <sheetName val="Fill_this_out_first___"/>
      <sheetName val="BANGUNAN_PENUNJANG"/>
      <sheetName val="STR__A_"/>
      <sheetName val="D_&amp;_W_sizes"/>
      <sheetName val="H_Satuan"/>
      <sheetName val="A-Factory_11"/>
      <sheetName val="B-Factory_21"/>
      <sheetName val="C-Canteen_11"/>
      <sheetName val="D-Power_House1"/>
      <sheetName val="G-Chemical_Storage1"/>
      <sheetName val="H-Pump_Room1"/>
      <sheetName val="SITE_EXPENSES1"/>
      <sheetName val="BQ_SPH1"/>
      <sheetName val="Fill_this_out_first___1"/>
      <sheetName val="BANGUNAN_PENUNJANG1"/>
      <sheetName val="STR__A_1"/>
      <sheetName val="D_&amp;_W_sizes1"/>
      <sheetName val="H_Satuan1"/>
      <sheetName val="BQ_mep"/>
      <sheetName val="READ_ME_!!!"/>
      <sheetName val="Currency Rate"/>
      <sheetName val="BQ"/>
      <sheetName val="D99B Transfer Line 1 to 2"/>
      <sheetName val="Vol_dinding"/>
      <sheetName val="01A_ RAB"/>
      <sheetName val="analisa Str"/>
      <sheetName val="LIST SPEK EE"/>
      <sheetName val="6a Rekap"/>
      <sheetName val="RAB-2006-Total"/>
      <sheetName val="ANAK-Smb"/>
      <sheetName val="DASAR"/>
      <sheetName val="BAHAN"/>
      <sheetName val="FA"/>
      <sheetName val="Analisa HS"/>
      <sheetName val="hs-str"/>
      <sheetName val="GSMTOWER"/>
      <sheetName val="DAF-1"/>
      <sheetName val="KH-Q1,Q2,01"/>
      <sheetName val="RAB "/>
      <sheetName val="GTS I PS"/>
      <sheetName val="A"/>
      <sheetName val="Spec Str"/>
      <sheetName val=" BoQ Green Field option 1"/>
      <sheetName val="Warehouse "/>
      <sheetName val="tambah_D"/>
      <sheetName val="01A-_RAB"/>
      <sheetName val="BAG_2"/>
      <sheetName val="tabel pnganan mslh"/>
      <sheetName val="upah"/>
      <sheetName val="Indirect"/>
      <sheetName val="HB"/>
      <sheetName val="Daf No. 4.1 Sumur Dalam"/>
      <sheetName val="mat_me pipa"/>
      <sheetName val="RAB"/>
      <sheetName val="A-Factory_12"/>
      <sheetName val="B-Factory_22"/>
      <sheetName val="C-Canteen_12"/>
      <sheetName val="D-Power_House2"/>
      <sheetName val="G-Chemical_Storage2"/>
      <sheetName val="H-Pump_Room2"/>
      <sheetName val="SITE_EXPENSES2"/>
      <sheetName val="BQ_SPH2"/>
      <sheetName val="Fill_this_out_first___2"/>
      <sheetName val="BANGUNAN_PENUNJANG2"/>
      <sheetName val="STR__A_2"/>
      <sheetName val="D_&amp;_W_sizes2"/>
      <sheetName val="H_Satuan2"/>
      <sheetName val="BQ_mep1"/>
      <sheetName val="READ_ME_!!!1"/>
      <sheetName val="F_ALARM"/>
      <sheetName val="D99B_Transfer_Line_1_to_2"/>
      <sheetName val="Report_detil_kondisi"/>
      <sheetName val="Currency_Rate"/>
      <sheetName val="Rek_Tot"/>
      <sheetName val="ANALISA_1"/>
      <sheetName val="Ekstra_Item_Blok"/>
      <sheetName val="NTM Usage"/>
      <sheetName val="Inhouse_Usage"/>
      <sheetName val="FORM X COST"/>
      <sheetName val="MAPP"/>
      <sheetName val="rek det 1-3"/>
      <sheetName val="SEX"/>
      <sheetName val="Master Data"/>
      <sheetName val="Daikin"/>
      <sheetName val="coeff"/>
      <sheetName val="Cable 150kV Ref."/>
      <sheetName val="Fin-Bengkel"/>
      <sheetName val="Fin-Showroom"/>
      <sheetName val="Hal_Pagar"/>
      <sheetName val="Str-Bengkel"/>
      <sheetName val="Str-Showroom"/>
      <sheetName val="R. Akhir"/>
      <sheetName val="Peralatan"/>
      <sheetName val="AGGREGAT KLAS C"/>
      <sheetName val="Genset"/>
      <sheetName val="D _ W sizes"/>
      <sheetName val="Gia"/>
      <sheetName val="AC"/>
      <sheetName val="OFFICE"/>
      <sheetName val="ppp"/>
      <sheetName val="SPK053 (4)"/>
      <sheetName val="Fill this out first___"/>
      <sheetName val="351BQMCN"/>
      <sheetName val="aa"/>
      <sheetName val="ESCON"/>
      <sheetName val="A-Factory_13"/>
      <sheetName val="B-Factory_23"/>
      <sheetName val="C-Canteen_13"/>
      <sheetName val="D-Power_House3"/>
      <sheetName val="G-Chemical_Storage3"/>
      <sheetName val="H-Pump_Room3"/>
      <sheetName val="SITE_EXPENSES3"/>
      <sheetName val="BQ_SPH3"/>
      <sheetName val="Fill_this_out_first___3"/>
      <sheetName val="BANGUNAN_PENUNJANG3"/>
      <sheetName val="STR__A_3"/>
      <sheetName val="D_&amp;_W_sizes3"/>
      <sheetName val="H_Satuan3"/>
      <sheetName val="READ_ME_!!!2"/>
      <sheetName val="BQ_mep2"/>
      <sheetName val="01A-_RAB1"/>
      <sheetName val="F_ALARM1"/>
      <sheetName val="tambah_D1"/>
      <sheetName val="D99B_Transfer_Line_1_to_21"/>
      <sheetName val="Currency_Rate1"/>
      <sheetName val="Rek_Tot1"/>
      <sheetName val="ANALISA_11"/>
      <sheetName val="Report_detil_kondisi1"/>
      <sheetName val="Ekstra_Item_Blok1"/>
      <sheetName val="REKAP_Tbh"/>
      <sheetName val="NTM_Usage"/>
      <sheetName val="01A__RAB"/>
      <sheetName val="analisa_Str"/>
      <sheetName val="Analisa_HS"/>
      <sheetName val="RAB_"/>
      <sheetName val="GTS_I_PS"/>
      <sheetName val="Bangunan_Utama"/>
      <sheetName val="Cable_150kV_Ref_"/>
      <sheetName val="Master_Data"/>
      <sheetName val="DAF_1"/>
      <sheetName val="granit _2_"/>
      <sheetName val="Evaluasi"/>
      <sheetName val="DAFTAR_8"/>
      <sheetName val="TOTAL"/>
      <sheetName val="DAFTAR 7"/>
      <sheetName val="LO"/>
      <sheetName val="Sheet1"/>
      <sheetName val="JADWAL"/>
      <sheetName val="Panel"/>
      <sheetName val="Inst_penerangan_"/>
      <sheetName val="Plumbing"/>
      <sheetName val="Petir"/>
      <sheetName val="MATV"/>
      <sheetName val="Alarm"/>
      <sheetName val="Hydran _ springkler"/>
      <sheetName val="Harsat Upah"/>
      <sheetName val="Perhitungan Besi"/>
      <sheetName val="DAFTAR HARGA"/>
      <sheetName val="Analisa ME"/>
      <sheetName val="Rekap akhir"/>
      <sheetName val="Pag_hal"/>
      <sheetName val="Pen Macadam"/>
      <sheetName val="Drop Down Lists"/>
      <sheetName val="SAT-BHN"/>
      <sheetName val="BQ-E20-02(Rp)"/>
      <sheetName val="ME"/>
      <sheetName val="DAFTAR NO.1"/>
      <sheetName val="3_FF"/>
      <sheetName val="DAF_2"/>
      <sheetName val="ARSITEKTUR"/>
      <sheetName val="AC_C"/>
      <sheetName val="JABATAN"/>
      <sheetName val="tifico"/>
      <sheetName val="TB"/>
      <sheetName val="HDasar"/>
      <sheetName val="HRG BHN"/>
      <sheetName val="Elec-ins"/>
      <sheetName val="Factor"/>
      <sheetName val="BQ-IABK"/>
      <sheetName val="Public Area"/>
      <sheetName val="BQ Mekanikal"/>
      <sheetName val="BOQ"/>
      <sheetName val="ARS "/>
      <sheetName val="DAF_8"/>
      <sheetName val="DAF_ 7"/>
      <sheetName val="AC_1_2_3"/>
      <sheetName val="BQ_THPII"/>
      <sheetName val="LV-MOTOR"/>
      <sheetName val="SILICATE"/>
      <sheetName val="Bill No 2.1 Cold water "/>
      <sheetName val="Bill 2.3 Fire protection"/>
      <sheetName val="Unit Rate (2)"/>
      <sheetName val="An Struktur"/>
      <sheetName val="An Arsitektur"/>
      <sheetName val="Floor finishes"/>
      <sheetName val="CashFlwProjections"/>
      <sheetName val="Category 1"/>
      <sheetName val="Item Str &amp; Ars"/>
      <sheetName val="COV"/>
      <sheetName val="Ktitas_Hg"/>
      <sheetName val="Rkap Bya"/>
      <sheetName val="Mess Pengelola"/>
      <sheetName val="Kantin Non Staff + Dapur"/>
      <sheetName val="Land Development III"/>
      <sheetName val="Pipe"/>
      <sheetName val="Transfer Pump"/>
      <sheetName val="Input"/>
      <sheetName val="TABEL"/>
      <sheetName val="Piping"/>
      <sheetName val="Elec_ins"/>
      <sheetName val="Additional of Item"/>
      <sheetName val="Ah kusen _"/>
      <sheetName val="SITE-E"/>
      <sheetName val="REKAP STR T"/>
      <sheetName val="REKAP GROSS"/>
      <sheetName val="Rin_"/>
      <sheetName val="sort2"/>
      <sheetName val="FINISHING"/>
      <sheetName val="rek optm"/>
      <sheetName val="rekap prtm ars"/>
      <sheetName val="bill"/>
      <sheetName val="5-Peralatan"/>
      <sheetName val="DAF-2"/>
      <sheetName val="REF.ONLY"/>
      <sheetName val="3"/>
      <sheetName val="D.78"/>
      <sheetName val="D.79"/>
      <sheetName val="D.80"/>
      <sheetName val="D.81"/>
      <sheetName val="D.82"/>
      <sheetName val="D.83"/>
      <sheetName val="D.84"/>
      <sheetName val="D.85"/>
      <sheetName val="D.86"/>
      <sheetName val="D.87"/>
      <sheetName val="D.88"/>
      <sheetName val="D.89"/>
      <sheetName val="D.91"/>
      <sheetName val="D.92"/>
      <sheetName val="D.93"/>
      <sheetName val="D.94"/>
      <sheetName val="D.95"/>
      <sheetName val="D.96"/>
      <sheetName val="Hydran___springkler"/>
      <sheetName val="Harsat_Upah"/>
      <sheetName val="Perhitungan_Besi"/>
      <sheetName val="DAFTAR_HARGA"/>
      <sheetName val="Hydran___springkler1"/>
      <sheetName val="Harsat_Upah1"/>
      <sheetName val="Perhitungan_Besi1"/>
      <sheetName val="DAFTAR_HARGA1"/>
      <sheetName val="Analisa_ME"/>
      <sheetName val="_BoQ_Green_Field_option_1"/>
      <sheetName val="REKAP_GROSS"/>
      <sheetName val="B - Norelec"/>
      <sheetName val="Elektronik"/>
      <sheetName val="Elektrikal"/>
      <sheetName val="영업소실적"/>
      <sheetName val="Rekap Direct Cost"/>
      <sheetName val="StrPlat_ramp"/>
      <sheetName val="price"/>
      <sheetName val="DIV.1"/>
      <sheetName val="AC LOAD"/>
      <sheetName val="VO4"/>
      <sheetName val="P&amp;L01-02GR"/>
      <sheetName val="RATE2"/>
      <sheetName val="RATE"/>
      <sheetName val="Summary"/>
      <sheetName val="luas"/>
      <sheetName val="Capacity"/>
      <sheetName val="SCMI (Misc)"/>
      <sheetName val="C94151"/>
      <sheetName val="VOL ARS"/>
      <sheetName val="parameter"/>
      <sheetName val="Bill of Qty MEP"/>
      <sheetName val="Ｎｏ.13"/>
      <sheetName val="Cover Daf-2"/>
      <sheetName val="lanscap_All"/>
      <sheetName val="C_2_8"/>
      <sheetName val="C_2_12"/>
      <sheetName val="C_2_15"/>
      <sheetName val="Grille"/>
      <sheetName val="F_Perlengkapan"/>
      <sheetName val="Sheet3"/>
      <sheetName val="Quotation"/>
      <sheetName val="SAP"/>
      <sheetName val="report apprvl"/>
      <sheetName val="E"/>
      <sheetName val="K"/>
      <sheetName val="Piutang"/>
      <sheetName val="REKAP_ARSITEKTUR."/>
      <sheetName val="RAB.ADMINISTRASI PUSAT (1)"/>
      <sheetName val="Type 57  A"/>
      <sheetName val="kayaba_ELEK"/>
      <sheetName val="ダクト拾･集計"/>
      <sheetName val="LAMP_C"/>
      <sheetName val="REKAP GEDUNG UTAMA"/>
      <sheetName val="M.Pekerjaan"/>
      <sheetName val="sprinkler _real_"/>
      <sheetName val="DETAIL "/>
      <sheetName val="2_Plumbing"/>
      <sheetName val="mech-cost analysis"/>
      <sheetName val="統括(1)"/>
      <sheetName val="Analisa Upah _ Bahan Plum"/>
      <sheetName val="Main Diagram"/>
      <sheetName val="換気計算"/>
      <sheetName val="S-Curve-print"/>
      <sheetName val="control"/>
      <sheetName val="tra_vat_lieu"/>
      <sheetName val="Electrical Works"/>
      <sheetName val="H_T_ INCOMING SYSTEM"/>
      <sheetName val="Budget Code"/>
      <sheetName val="Analisa Harga"/>
      <sheetName val="Isolasi Luar Dalam"/>
      <sheetName val="Isolasi Luar"/>
      <sheetName val="RFP005"/>
      <sheetName val="ﾃｨｰﾁﾝｸﾞ"/>
      <sheetName val="material "/>
      <sheetName val=" "/>
      <sheetName val="PileCap"/>
      <sheetName val="HYDRANT"/>
      <sheetName val="BQ (Case-A Rev-2)"/>
      <sheetName val="SUM (CASE-A Rev-2)"/>
      <sheetName val="GFA"/>
      <sheetName val="MAIN WS EAST BLOK"/>
      <sheetName val="DBase"/>
      <sheetName val="_SAF 02"/>
      <sheetName val="Analisa Gabungan"/>
      <sheetName val="Sub"/>
      <sheetName val="UPAH-BAHAN"/>
      <sheetName val="H.T. INCOMING SYSTEM"/>
      <sheetName val="Quantity"/>
      <sheetName val="AUTOMATIC SELECT"/>
      <sheetName val="手动计画"/>
      <sheetName val="THVATTU"/>
      <sheetName val="gvl"/>
      <sheetName val="入力作成表"/>
      <sheetName val="BQ MRT (CP-201)"/>
      <sheetName val="SUM "/>
      <sheetName val="FitOutConfCentre"/>
      <sheetName val="OFFICE 2 LT"/>
      <sheetName val="eq_data"/>
      <sheetName val="#REF!"/>
      <sheetName val="harsat"/>
      <sheetName val="4_MVAC"/>
      <sheetName val=" UPAH BAHAN"/>
      <sheetName val="3-DIV2"/>
      <sheetName val="RAB-3"/>
      <sheetName val="BQ _by owner_"/>
      <sheetName val="BQ (by owner)"/>
      <sheetName val="rab me (fisik)"/>
      <sheetName val="Material-List,mekanikal"/>
      <sheetName val="Upah dan Bahan "/>
      <sheetName val="HS"/>
      <sheetName val="pek. str"/>
      <sheetName val="hst  LAMP_1"/>
      <sheetName val="PL"/>
      <sheetName val="Rekap Prelim"/>
      <sheetName val="Analisa -Baku"/>
      <sheetName val="REKA. ANALISA"/>
      <sheetName val="Pintu-Jend."/>
      <sheetName val="Material"/>
      <sheetName val="01"/>
      <sheetName val="見積書Ａ４縦"/>
      <sheetName val="A-Factory_14"/>
      <sheetName val="B-Factory_24"/>
      <sheetName val="C-Canteen_14"/>
      <sheetName val="D-Power_House4"/>
      <sheetName val="G-Chemical_Storage4"/>
      <sheetName val="H-Pump_Room4"/>
      <sheetName val="SITE_EXPENSES4"/>
      <sheetName val="BQ_SPH4"/>
      <sheetName val="Fill_this_out_first___4"/>
      <sheetName val="BANGUNAN_PENUNJANG4"/>
      <sheetName val="STR__A_4"/>
      <sheetName val="D_&amp;_W_sizes4"/>
      <sheetName val="H_Satuan4"/>
      <sheetName val="BQ_mep3"/>
      <sheetName val="READ_ME_!!!3"/>
      <sheetName val="01A-_RAB2"/>
      <sheetName val="Report_detil_kondisi2"/>
      <sheetName val="Currency_Rate2"/>
      <sheetName val="D99B_Transfer_Line_1_to_22"/>
      <sheetName val="F_ALARM2"/>
      <sheetName val="tambah_D2"/>
      <sheetName val="Rek_Tot2"/>
      <sheetName val="ANALISA_12"/>
      <sheetName val="Ekstra_Item_Blok2"/>
      <sheetName val="Analisa_HS1"/>
      <sheetName val="rek_det_1-3"/>
      <sheetName val="01A__RAB1"/>
      <sheetName val="analisa_Str1"/>
      <sheetName val="FORM_X_COST"/>
      <sheetName val="REKAP_Tbh1"/>
      <sheetName val="NTM_Usage1"/>
      <sheetName val="RAB_1"/>
      <sheetName val="GTS_I_PS1"/>
      <sheetName val="Bangunan_Utama1"/>
      <sheetName val="Cable_150kV_Ref_1"/>
      <sheetName val="Warehouse_"/>
      <sheetName val="R__Akhir"/>
      <sheetName val="AGGREGAT_KLAS_C"/>
      <sheetName val="Master_Data1"/>
      <sheetName val="mat_me_pipa"/>
      <sheetName val="Daf_No__4_1_Sumur_Dalam"/>
      <sheetName val="SPK053_(4)"/>
      <sheetName val="Fill_this_out_first___5"/>
      <sheetName val="HRG_BHN"/>
      <sheetName val="D___W_sizes"/>
      <sheetName val="Public_Area"/>
      <sheetName val="BQ_Mekanikal"/>
      <sheetName val="ARS_"/>
      <sheetName val="DAF__7"/>
      <sheetName val="tabel_pnganan_mslh"/>
      <sheetName val="Spec_Str"/>
      <sheetName val="DAFTAR_NO_1"/>
      <sheetName val="granit__2_"/>
      <sheetName val="meth_hsl_nego"/>
      <sheetName val="Bill_No_2_1_Cold_water_"/>
      <sheetName val="Bill_2_3_Fire_protection"/>
      <sheetName val="Unit_Rate_(2)"/>
      <sheetName val="An_Struktur"/>
      <sheetName val="An_Arsitektur"/>
      <sheetName val="DAFTAR_7"/>
      <sheetName val="Harga_Material"/>
      <sheetName val="Mess_Pengelola"/>
      <sheetName val="Kantin_Non_Staff_+_Dapur"/>
      <sheetName val="Land_Development_III"/>
      <sheetName val="Category_1"/>
      <sheetName val="Ｎｏ_13"/>
      <sheetName val="Cover_Daf-2"/>
      <sheetName val="LIST_SPEK_EE"/>
      <sheetName val="Rkap_Bya"/>
      <sheetName val="Bill_of_Qty_MEP"/>
      <sheetName val="SCMI_(Misc)"/>
      <sheetName val="Item_Str_&amp;_Ars"/>
      <sheetName val="report_apprvl"/>
      <sheetName val="Transfer_Pump"/>
      <sheetName val="Rekap_akhir"/>
      <sheetName val="VOL_ARS"/>
      <sheetName val="BIIL_ASLI"/>
      <sheetName val="mech-cost_analysis"/>
      <sheetName val="DETAIL_"/>
      <sheetName val="Electrical_Works"/>
      <sheetName val="H_T__INCOMING_SYSTEM"/>
      <sheetName val="H_T__INCOMING_SYSTEM1"/>
      <sheetName val="AUTOMATIC_SELECT"/>
      <sheetName val="Floor_finishes"/>
      <sheetName val="Additional_of_Item"/>
      <sheetName val="Ah_kusen__"/>
      <sheetName val="rek_optm"/>
      <sheetName val="rekap_prtm_ars"/>
      <sheetName val="REKAP_STR_T"/>
      <sheetName val="Analisa_Gabungan"/>
      <sheetName val="Analisa_Upah___Bahan_Plum"/>
      <sheetName val="Main_Diagram"/>
      <sheetName val="REKAP_ARSITEKTUR_"/>
      <sheetName val="RAB_ADMINISTRASI_PUSAT_(1)"/>
      <sheetName val="Type_57__A"/>
      <sheetName val="AHSP"/>
      <sheetName val="PARAMETRES"/>
      <sheetName val="3.DCS"/>
      <sheetName val="P_Ars"/>
      <sheetName val="EQ_an"/>
      <sheetName val="Blk A"/>
      <sheetName val="Harga Satuan"/>
      <sheetName val="Struktur"/>
      <sheetName val="BASEMENT"/>
      <sheetName val="Electrikal"/>
      <sheetName val="Fire Fighting"/>
      <sheetName val="Item Kompensasi"/>
      <sheetName val="anal_hs"/>
      <sheetName val="ANAL.BOW"/>
      <sheetName val="DON GIA CAN THO"/>
      <sheetName val="LEGEND"/>
      <sheetName val="XL4Poppy"/>
      <sheetName val="個案9411"/>
      <sheetName val="125x125"/>
      <sheetName val="Project Data"/>
      <sheetName val="5A"/>
      <sheetName val="Air parameters"/>
      <sheetName val="Master"/>
      <sheetName val="Config"/>
      <sheetName val="FAB별"/>
      <sheetName val="Nhan cong"/>
      <sheetName val="MTO REV_0"/>
      <sheetName val="一発シート"/>
      <sheetName val="SiteWorks"/>
      <sheetName val="Bang gia NC "/>
      <sheetName val="HS_957"/>
      <sheetName val="Volume"/>
      <sheetName val="Absal Paul Prelims (2)"/>
      <sheetName val="Hydran___springkler2"/>
      <sheetName val="Harsat_Upah2"/>
      <sheetName val="Perhitungan_Besi2"/>
      <sheetName val="DAFTAR_HARGA2"/>
      <sheetName val="_BoQ_Green_Field_option_11"/>
      <sheetName val="Analisa_ME1"/>
      <sheetName val="REKAP_GEDUNG_UTAMA"/>
      <sheetName val="M_Pekerjaan"/>
      <sheetName val="sprinkler__real_"/>
      <sheetName val="Budget_Code"/>
      <sheetName val="Analisa_Harga"/>
      <sheetName val="REKAP_GROSS1"/>
      <sheetName val="6a_Rekap"/>
      <sheetName val="Isolasi_Luar_Dalam"/>
      <sheetName val="Isolasi_Luar"/>
      <sheetName val="material_"/>
      <sheetName val="_"/>
      <sheetName val="AC_LOAD"/>
      <sheetName val="BQ_(Case-A_Rev-2)"/>
      <sheetName val="SUM_(CASE-A_Rev-2)"/>
      <sheetName val="MAIN_WS_EAST_BLOK"/>
      <sheetName val="_SAF_02"/>
      <sheetName val="BQ_MRT_(CP-201)"/>
      <sheetName val="SUM_"/>
      <sheetName val="OFFICE_2_LT"/>
      <sheetName val="REF_ONLY"/>
      <sheetName val="D_78"/>
      <sheetName val="D_79"/>
      <sheetName val="D_80"/>
      <sheetName val="D_81"/>
      <sheetName val="D_82"/>
      <sheetName val="D_83"/>
      <sheetName val="D_84"/>
      <sheetName val="D_85"/>
      <sheetName val="D_86"/>
      <sheetName val="D_87"/>
      <sheetName val="D_88"/>
      <sheetName val="D_89"/>
      <sheetName val="D_91"/>
      <sheetName val="D_92"/>
      <sheetName val="D_93"/>
      <sheetName val="D_94"/>
      <sheetName val="D_95"/>
      <sheetName val="D_96"/>
      <sheetName val="B_-_Norelec"/>
      <sheetName val="A-Factory_15"/>
      <sheetName val="B-Factory_25"/>
      <sheetName val="C-Canteen_15"/>
      <sheetName val="D-Power_House5"/>
      <sheetName val="G-Chemical_Storage5"/>
      <sheetName val="H-Pump_Room5"/>
      <sheetName val="SITE_EXPENSES5"/>
      <sheetName val="BQ_SPH5"/>
      <sheetName val="Fill_this_out_first___6"/>
      <sheetName val="BANGUNAN_PENUNJANG5"/>
      <sheetName val="Report_detil_kondisi3"/>
      <sheetName val="STR__A_5"/>
      <sheetName val="D_&amp;_W_sizes5"/>
      <sheetName val="tambah_D3"/>
      <sheetName val="01A-_RAB3"/>
      <sheetName val="Rek_Tot3"/>
      <sheetName val="F_ALARM3"/>
      <sheetName val="H_Satuan5"/>
      <sheetName val="ANALISA_13"/>
      <sheetName val="READ_ME_!!!4"/>
      <sheetName val="Ekstra_Item_Blok3"/>
      <sheetName val="BQ_mep4"/>
      <sheetName val="Currency_Rate3"/>
      <sheetName val="D99B_Transfer_Line_1_to_23"/>
      <sheetName val="BQ_Mekanikal1"/>
      <sheetName val="Hydran___springkler3"/>
      <sheetName val="Harsat_Upah3"/>
      <sheetName val="Perhitungan_Besi3"/>
      <sheetName val="DAFTAR_HARGA3"/>
      <sheetName val="Spec_Str1"/>
      <sheetName val="_BoQ_Green_Field_option_12"/>
      <sheetName val="Bangunan_Utama2"/>
      <sheetName val="REKAP_Tbh2"/>
      <sheetName val="Analisa_HS2"/>
      <sheetName val="RAB_2"/>
      <sheetName val="GTS_I_PS2"/>
      <sheetName val="Warehouse_1"/>
      <sheetName val="tabel_pnganan_mslh1"/>
      <sheetName val="01A__RAB2"/>
      <sheetName val="NTM_Usage2"/>
      <sheetName val="FORM_X_COST1"/>
      <sheetName val="rek_det_1-31"/>
      <sheetName val="Daf_No__4_1_Sumur_Dalam1"/>
      <sheetName val="mat_me_pipa1"/>
      <sheetName val="Master_Data2"/>
      <sheetName val="Cable_150kV_Ref_2"/>
      <sheetName val="R__Akhir1"/>
      <sheetName val="AGGREGAT_KLAS_C1"/>
      <sheetName val="D___W_sizes1"/>
      <sheetName val="SPK053_(4)1"/>
      <sheetName val="Fill_this_out_first___7"/>
      <sheetName val="Rkap_Bya1"/>
      <sheetName val="ARS_1"/>
      <sheetName val="DAF__71"/>
      <sheetName val="DAFTAR_NO_11"/>
      <sheetName val="Mess_Pengelola1"/>
      <sheetName val="Kantin_Non_Staff_+_Dapur1"/>
      <sheetName val="Land_Development_III1"/>
      <sheetName val="Public_Area1"/>
      <sheetName val="Rekap_akhir1"/>
      <sheetName val="HRG_BHN1"/>
      <sheetName val="Bill_No_2_1_Cold_water_1"/>
      <sheetName val="Bill_2_3_Fire_protection1"/>
      <sheetName val="Unit_Rate_(2)1"/>
      <sheetName val="An_Struktur1"/>
      <sheetName val="An_Arsitektur1"/>
      <sheetName val="granit__2_1"/>
      <sheetName val="DAFTAR_71"/>
      <sheetName val="meth_hsl_nego1"/>
      <sheetName val="Item_Str_&amp;_Ars1"/>
      <sheetName val="LIST_SPEK_EE1"/>
      <sheetName val="Harga_Material1"/>
      <sheetName val="Category_11"/>
      <sheetName val="Analisa_ME2"/>
      <sheetName val="SCMI_(Misc)1"/>
      <sheetName val="VOL_ARS1"/>
      <sheetName val="Bill_of_Qty_MEP1"/>
      <sheetName val="Ｎｏ_131"/>
      <sheetName val="Cover_Daf-21"/>
      <sheetName val="report_apprvl1"/>
      <sheetName val="REKAP_ARSITEKTUR_1"/>
      <sheetName val="RAB_ADMINISTRASI_PUSAT_(1)1"/>
      <sheetName val="Type_57__A1"/>
      <sheetName val="Transfer_Pump1"/>
      <sheetName val="Floor_finishes1"/>
      <sheetName val="Additional_of_Item1"/>
      <sheetName val="Ah_kusen__1"/>
      <sheetName val="REKAP_GEDUNG_UTAMA1"/>
      <sheetName val="M_Pekerjaan1"/>
      <sheetName val="sprinkler__real_1"/>
      <sheetName val="DETAIL_1"/>
      <sheetName val="mech-cost_analysis1"/>
      <sheetName val="Analisa_Upah___Bahan_Plum1"/>
      <sheetName val="Main_Diagram1"/>
      <sheetName val="BIIL_ASLI1"/>
      <sheetName val="Electrical_Works1"/>
      <sheetName val="H_T__INCOMING_SYSTEM2"/>
      <sheetName val="Budget_Code1"/>
      <sheetName val="Analisa_Harga1"/>
      <sheetName val="REKAP_STR_T1"/>
      <sheetName val="REKAP_GROSS2"/>
      <sheetName val="rek_optm1"/>
      <sheetName val="rekap_prtm_ars1"/>
      <sheetName val="6a_Rekap1"/>
      <sheetName val="Isolasi_Luar_Dalam1"/>
      <sheetName val="Isolasi_Luar1"/>
      <sheetName val="material_1"/>
      <sheetName val="_1"/>
      <sheetName val="AC_LOAD1"/>
      <sheetName val="BQ_(Case-A_Rev-2)1"/>
      <sheetName val="SUM_(CASE-A_Rev-2)1"/>
      <sheetName val="MAIN_WS_EAST_BLOK1"/>
      <sheetName val="_SAF_021"/>
      <sheetName val="Analisa_Gabungan1"/>
      <sheetName val="H_T__INCOMING_SYSTEM3"/>
      <sheetName val="AUTOMATIC_SELECT1"/>
      <sheetName val="BQ_MRT_(CP-201)1"/>
      <sheetName val="SUM_1"/>
      <sheetName val="OFFICE_2_LT1"/>
      <sheetName val="REF_ONLY1"/>
      <sheetName val="D_781"/>
      <sheetName val="D_791"/>
      <sheetName val="D_801"/>
      <sheetName val="D_811"/>
      <sheetName val="D_821"/>
      <sheetName val="D_831"/>
      <sheetName val="D_841"/>
      <sheetName val="D_851"/>
      <sheetName val="D_861"/>
      <sheetName val="D_871"/>
      <sheetName val="D_881"/>
      <sheetName val="D_891"/>
      <sheetName val="D_911"/>
      <sheetName val="D_921"/>
      <sheetName val="D_931"/>
      <sheetName val="D_941"/>
      <sheetName val="D_951"/>
      <sheetName val="D_961"/>
      <sheetName val="B_-_Norelec1"/>
      <sheetName val="an. struktur"/>
      <sheetName val="Dashboard"/>
      <sheetName val="GI"/>
      <sheetName val="電気設備表"/>
      <sheetName val="INDIGINEOUS ITEMS "/>
      <sheetName val="GBW"/>
      <sheetName val="Cover"/>
      <sheetName val="NetBQ"/>
      <sheetName val="Alat"/>
      <sheetName val="Persiapan"/>
      <sheetName val="rab - persiapan &amp; lantai-1"/>
      <sheetName val="RPT3B WBS Summary"/>
      <sheetName val="SQL"/>
      <sheetName val="RPT17B Project Summary"/>
      <sheetName val="GI 275 kV Pengadaan"/>
      <sheetName val="EE-PROP"/>
      <sheetName val="Finishing Warehouse"/>
      <sheetName val="L_TIGA"/>
      <sheetName val="L-TIGA"/>
      <sheetName val="Pembongkaran"/>
      <sheetName val="Harsat Bahan"/>
      <sheetName val="I-ME"/>
      <sheetName val="ctdg"/>
      <sheetName val="갑지(추정)"/>
      <sheetName val="dg-VTu"/>
      <sheetName val="TT04"/>
      <sheetName val="harmony_done"/>
      <sheetName val="Code"/>
      <sheetName val="electrical"/>
      <sheetName val="입찰안"/>
      <sheetName val="TOSHIBA-Structure"/>
      <sheetName val="Tro giup"/>
      <sheetName val="ローカル"/>
      <sheetName val="DAF-UPAH"/>
      <sheetName val="RA-markate"/>
      <sheetName val="PRECAST lightconc-II"/>
      <sheetName val="DTCT"/>
      <sheetName val="i-kamar"/>
      <sheetName val="Master Schedule"/>
      <sheetName val="Hrg Satuan"/>
      <sheetName val="satuan_pek"/>
      <sheetName val="1.B"/>
      <sheetName val="WT-LIST"/>
      <sheetName val="div-2"/>
      <sheetName val="MAP"/>
      <sheetName val="RKP"/>
      <sheetName val="BASIC"/>
      <sheetName val="U,B"/>
      <sheetName val="An.Q"/>
      <sheetName val="5"/>
      <sheetName val="B.Dsr"/>
      <sheetName val="hrg sat"/>
      <sheetName val="HB "/>
      <sheetName val="schtng"/>
      <sheetName val="schbhn"/>
      <sheetName val="schal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sheetData sheetId="408"/>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NEGO"/>
      <sheetName val="biodata"/>
      <sheetName val="Surat Nego"/>
      <sheetName val="surpen"/>
      <sheetName val="bill"/>
      <sheetName val="lamp bill nego"/>
      <sheetName val="batukali"/>
      <sheetName val="batukaliNego"/>
      <sheetName val="duba"/>
      <sheetName val="dubaNego"/>
      <sheetName val="beton"/>
      <sheetName val="betonNego"/>
      <sheetName val="schedule"/>
      <sheetName val="dalat"/>
      <sheetName val="sonilinti"/>
      <sheetName val="kapasitas"/>
      <sheetName val="usul sub"/>
      <sheetName val="L-Mechanical"/>
      <sheetName val="L_Mechanical"/>
      <sheetName val="bq"/>
      <sheetName val="Rekap"/>
      <sheetName val="BIIL ASLI"/>
      <sheetName val="sort2"/>
      <sheetName val="Daikin"/>
      <sheetName val="概総括1"/>
      <sheetName val="5-Peralatan"/>
      <sheetName val="H.Satuan"/>
      <sheetName val="FINISHING"/>
      <sheetName val="EQ_an"/>
      <sheetName val="EXTERNAL WORK"/>
      <sheetName val="01A- RAB"/>
      <sheetName val="prelim"/>
      <sheetName val="Harga Material"/>
      <sheetName val="harga Satua Dasar"/>
    </sheetNames>
    <sheetDataSet>
      <sheetData sheetId="0" refreshError="1"/>
      <sheetData sheetId="1"/>
      <sheetData sheetId="2" refreshError="1"/>
      <sheetData sheetId="3" refreshError="1"/>
      <sheetData sheetId="4">
        <row r="169">
          <cell r="M169">
            <v>-1</v>
          </cell>
        </row>
      </sheetData>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hboard"/>
      <sheetName val="REKAP"/>
      <sheetName val="R.Add"/>
      <sheetName val="strk mal"/>
      <sheetName val="Add Str"/>
      <sheetName val="ext&amp;luar bang"/>
      <sheetName val="Add Ext"/>
      <sheetName val="plumbing"/>
      <sheetName val="int mal"/>
      <sheetName val="Add Int Mall"/>
      <sheetName val="Hargamat"/>
      <sheetName val="Upah"/>
      <sheetName val="ana_str"/>
      <sheetName val="Analisa"/>
      <sheetName val="Ana Sanitair"/>
      <sheetName val="HSATUAN"/>
      <sheetName val="Cover"/>
      <sheetName val="HDasar"/>
      <sheetName val="harsat"/>
      <sheetName val="satuan_pek_str"/>
      <sheetName val="analisa Str"/>
      <sheetName val="Analisa Strct"/>
      <sheetName val="An Fin"/>
      <sheetName val="Bahan"/>
      <sheetName val="Analisa Harga Satuan"/>
      <sheetName val="Hit Vol Str Jambi"/>
      <sheetName val="Daf 1"/>
      <sheetName val="Harga"/>
      <sheetName val="RA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nl-Alt"/>
      <sheetName val="Anl-Bhn"/>
      <sheetName val="Ur-Anl"/>
      <sheetName val="Rekap"/>
      <sheetName val="BOQ"/>
      <sheetName val="Appendix 2-2(Analisa)"/>
      <sheetName val="Appendix 1(Schedul)"/>
      <sheetName val="Appendix 2(SatDas)"/>
      <sheetName val="Appendix 2-a(Mob)"/>
      <sheetName val="Appendix 2-b(Plant)"/>
      <sheetName val="Appendix 3(Lamp)"/>
      <sheetName val="Appendix 4(DafPembUt)"/>
      <sheetName val="Appendix 5(Sub Clause)"/>
      <sheetName val="Staf Inti"/>
      <sheetName val="Daf Alat (2)"/>
      <sheetName val="Appendix 8(Subkont)"/>
      <sheetName val="Srt Benar Dok"/>
      <sheetName val="Srt Bkn PNS"/>
      <sheetName val="Srt Daf Hitam"/>
      <sheetName val="Srt Pengadil"/>
      <sheetName val="Srt Perny T-Inti"/>
      <sheetName val="Pembts-Tender"/>
      <sheetName val="Sheet2"/>
    </sheetNames>
    <sheetDataSet>
      <sheetData sheetId="0"/>
      <sheetData sheetId="1"/>
      <sheetData sheetId="2"/>
      <sheetData sheetId="3"/>
      <sheetData sheetId="4"/>
      <sheetData sheetId="5"/>
      <sheetData sheetId="6"/>
      <sheetData sheetId="7"/>
      <sheetData sheetId="8">
        <row r="70">
          <cell r="H70">
            <v>173775</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ONTRAK"/>
      <sheetName val="SPL"/>
      <sheetName val="TUNJUK"/>
      <sheetName val="SPMK"/>
      <sheetName val="Sheet1"/>
      <sheetName val="Sheet2"/>
      <sheetName val="Sheet3"/>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
      <sheetName val="RAB"/>
      <sheetName val="MET"/>
      <sheetName val="MAJ"/>
      <sheetName val="MOB"/>
      <sheetName val="RUT"/>
      <sheetName val="URAI"/>
      <sheetName val="ASP"/>
      <sheetName val="BATU"/>
      <sheetName val="MPU"/>
      <sheetName val="SUB"/>
      <sheetName val="DLAT"/>
      <sheetName val="HSD"/>
      <sheetName val="PRUTIN"/>
      <sheetName val="SCHED"/>
      <sheetName val="analisa"/>
      <sheetName val="DLAM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B"/>
      <sheetName val="REKAPITULASI"/>
      <sheetName val="PER METER PERSEGI BANGUNAN"/>
      <sheetName val="TOTAL ANGGARAN BIAYA"/>
      <sheetName val="ALKES"/>
      <sheetName val="Sheet1"/>
      <sheetName val="TOTAL "/>
      <sheetName val="TOTAL ARSITEK SAJA"/>
      <sheetName val="RAB (2)"/>
      <sheetName val="TOTAL ANGGARAN BIAYA (2)"/>
      <sheetName val="AN_ARSITEKTUR"/>
      <sheetName val="MATERIAL "/>
      <sheetName val="AN_KOSEN"/>
      <sheetName val="HARGA ALAT"/>
      <sheetName val="Harga Satuan Bahan"/>
      <sheetName val="Material"/>
      <sheetName val="rab me (by owner) "/>
      <sheetName val="BQ (by owner)"/>
      <sheetName val="rab me (fisik)"/>
      <sheetName val="CH"/>
      <sheetName val="DIV.1"/>
      <sheetName val="S_CURVE"/>
      <sheetName val="Harga-RAB"/>
      <sheetName val="HB "/>
      <sheetName val="alat"/>
      <sheetName val="Harga"/>
      <sheetName val="Analisa"/>
      <sheetName val="Resume"/>
      <sheetName val="lab bahasa"/>
      <sheetName val="RAP"/>
      <sheetName val="boq"/>
      <sheetName val="rumus"/>
      <sheetName val="Pipe"/>
      <sheetName val="PC"/>
      <sheetName val="ANALISA PEK.UMUM"/>
      <sheetName val="BQ-E20-02(Rp)"/>
      <sheetName val="HARGA RATA"/>
      <sheetName val="STAF"/>
      <sheetName val="ASEM내역"/>
      <sheetName val="Public Area"/>
      <sheetName val="SITE-E"/>
      <sheetName val="PO-2"/>
      <sheetName val="Sub"/>
      <sheetName val="LISTRIK"/>
      <sheetName val="BAHAN UPAH"/>
      <sheetName val="FAK"/>
      <sheetName val="rekap"/>
      <sheetName val="HARGA BAHAN BAKU"/>
      <sheetName val="Harsat Bahan"/>
      <sheetName val="6b"/>
      <sheetName val="STR"/>
      <sheetName val="NP"/>
    </sheetNames>
    <sheetDataSet>
      <sheetData sheetId="0" refreshError="1"/>
      <sheetData sheetId="1"/>
      <sheetData sheetId="2"/>
      <sheetData sheetId="3" refreshError="1"/>
      <sheetData sheetId="4"/>
      <sheetData sheetId="5" refreshError="1"/>
      <sheetData sheetId="6" refreshError="1"/>
      <sheetData sheetId="7"/>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ntolo"/>
      <sheetName val="piyungan-gading"/>
      <sheetName val="sampakan"/>
      <sheetName val="BIAYA 2"/>
      <sheetName val="HSD"/>
      <sheetName val="ANAL"/>
      <sheetName val="SEWA ALAT"/>
      <sheetName val="met"/>
      <sheetName val="metode sentolo"/>
      <sheetName val="metode piyungan"/>
    </sheetNames>
    <sheetDataSet>
      <sheetData sheetId="0" refreshError="1"/>
      <sheetData sheetId="1" refreshError="1"/>
      <sheetData sheetId="2" refreshError="1"/>
      <sheetData sheetId="3" refreshError="1"/>
      <sheetData sheetId="4" refreshError="1">
        <row r="28">
          <cell r="H28">
            <v>84700</v>
          </cell>
        </row>
        <row r="34">
          <cell r="H34">
            <v>39500</v>
          </cell>
        </row>
      </sheetData>
      <sheetData sheetId="5" refreshError="1"/>
      <sheetData sheetId="6" refreshError="1"/>
      <sheetData sheetId="7" refreshError="1"/>
      <sheetData sheetId="8" refreshError="1"/>
      <sheetData sheetId="9"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BQ"/>
      <sheetName val="BQ"/>
      <sheetName val="Analisa Mob-Demob"/>
      <sheetName val="Analisa"/>
      <sheetName val="Harga Satuan"/>
      <sheetName val="Equipment"/>
      <sheetName val="Material On Site"/>
      <sheetName val="Pembayaran Utama"/>
      <sheetName val="Disubkontrakan"/>
      <sheetName val="Schedule"/>
      <sheetName val="Peralatan"/>
      <sheetName val="Lamp 10"/>
      <sheetName val="Data personil inti"/>
      <sheetName val="g-Peralatan"/>
    </sheetNames>
    <sheetDataSet>
      <sheetData sheetId="0"/>
      <sheetData sheetId="1"/>
      <sheetData sheetId="2"/>
      <sheetData sheetId="3"/>
      <sheetData sheetId="4">
        <row r="38">
          <cell r="G38">
            <v>152000</v>
          </cell>
        </row>
      </sheetData>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DIV2"/>
      <sheetName val="Rekap"/>
      <sheetName val="3-DIV3"/>
      <sheetName val="D7(1)"/>
      <sheetName val="REKAPITULASI"/>
      <sheetName val="RAB"/>
      <sheetName val="HARGA SATUAN "/>
      <sheetName val="ANALISA"/>
      <sheetName val="HARGA BAHAN"/>
      <sheetName val="3_DIV2"/>
      <sheetName val="Harga Alat"/>
      <sheetName val="#REF"/>
      <sheetName val="harsat"/>
      <sheetName val="5-Peralatan"/>
      <sheetName val="Har Sat"/>
      <sheetName val="lamp 2-analisa"/>
      <sheetName val="Informasi"/>
      <sheetName val="5-ALAT(1)"/>
      <sheetName val="FINISHING"/>
      <sheetName val="4-Basic Price"/>
      <sheetName val="rab me (by owner) "/>
      <sheetName val="BQ (by owner)"/>
      <sheetName val="rab me (fisik)"/>
      <sheetName val="H.Satuan"/>
      <sheetName val="isian"/>
      <sheetName val="Urai _ Guide Post"/>
      <sheetName val="Urai_Galian Tanah"/>
      <sheetName val="Met_Pas Batu"/>
      <sheetName val="K"/>
      <sheetName val="Met_ Minor"/>
      <sheetName val="D7"/>
      <sheetName val="Du_lieu"/>
      <sheetName val="analisa "/>
      <sheetName val="RAB."/>
      <sheetName val="samsat2010"/>
      <sheetName val="NP"/>
      <sheetName val="BASIC"/>
      <sheetName val="BOW"/>
      <sheetName val="Upah &amp; Bahan"/>
      <sheetName val="Harga S Dasar"/>
      <sheetName val="1.2 +1.6"/>
      <sheetName val="D2"/>
      <sheetName val="D3"/>
      <sheetName val="D6"/>
      <sheetName val="dwa-01"/>
      <sheetName val="bau"/>
      <sheetName val="GAJI"/>
      <sheetName val="Sheet1"/>
      <sheetName val="#REF!"/>
      <sheetName val="bhn FINAL"/>
      <sheetName val="PConsCS"/>
      <sheetName val="dia-in"/>
      <sheetName val="SAT"/>
      <sheetName val="RKP PLUMBING"/>
      <sheetName val="D.78"/>
      <sheetName val="D.79"/>
      <sheetName val="D.80"/>
      <sheetName val="D.81"/>
      <sheetName val="D.82"/>
      <sheetName val="D.83"/>
      <sheetName val="D.84"/>
      <sheetName val="D.85"/>
      <sheetName val="D.86"/>
      <sheetName val="D.87"/>
      <sheetName val="D.88"/>
      <sheetName val="D.89"/>
      <sheetName val="D.91"/>
      <sheetName val="D.92"/>
      <sheetName val="D.93"/>
      <sheetName val="D.94"/>
      <sheetName val="D.95"/>
      <sheetName val="D.96"/>
      <sheetName val="3-DIV4"/>
      <sheetName val="K.000"/>
      <sheetName val="BQ"/>
      <sheetName val="schedule"/>
      <sheetName val="Analis alat"/>
      <sheetName val="HARGA SATUAN"/>
      <sheetName val="UPAH_BHN"/>
      <sheetName val="analisa edit"/>
      <sheetName val="Basic Price"/>
      <sheetName val="Peralatan"/>
      <sheetName val="Material"/>
      <sheetName val="BOQ"/>
      <sheetName val="BHN-UPH-ALT"/>
      <sheetName val="HArga"/>
      <sheetName val="FORM 7"/>
      <sheetName val="Upah-Bahan"/>
      <sheetName val="Marka"/>
      <sheetName val="Agregat Minor"/>
      <sheetName val="cover"/>
      <sheetName val="3-DIV5"/>
      <sheetName val="Bahan"/>
      <sheetName val="Data"/>
      <sheetName val="civil-work"/>
      <sheetName val="Hsatbahan"/>
      <sheetName val="HARGA SAT."/>
    </sheetNames>
    <sheetDataSet>
      <sheetData sheetId="0" refreshError="1">
        <row r="1">
          <cell r="A1" t="str">
            <v>ITEM PEMBAYARAN NO.</v>
          </cell>
          <cell r="D1" t="str">
            <v>:  2.1</v>
          </cell>
          <cell r="E1" t="str">
            <v>oke</v>
          </cell>
          <cell r="J1" t="str">
            <v xml:space="preserve">Analisa EI-21 </v>
          </cell>
          <cell r="T1" t="str">
            <v xml:space="preserve">Analisa EI-21 </v>
          </cell>
        </row>
        <row r="2">
          <cell r="A2" t="str">
            <v>JENIS PEKERJAAN</v>
          </cell>
          <cell r="D2" t="str">
            <v>:  Galian Utk Drainase, Saluran dan Saluran Air</v>
          </cell>
        </row>
        <row r="3">
          <cell r="A3" t="str">
            <v>SATUAN PEMBAYARAN</v>
          </cell>
          <cell r="D3" t="str">
            <v>:  M3</v>
          </cell>
          <cell r="J3" t="str">
            <v xml:space="preserve">         URAIAN ANALISA HARGA SATUAN</v>
          </cell>
          <cell r="L3" t="str">
            <v>FORMULIR STANDAR UNTUK</v>
          </cell>
        </row>
        <row r="4">
          <cell r="L4" t="str">
            <v>PEREKAMAN ANALISA MASING-MASING HARGA SATUAN</v>
          </cell>
        </row>
        <row r="5">
          <cell r="L5" t="str">
            <v/>
          </cell>
        </row>
        <row r="6">
          <cell r="A6" t="str">
            <v>No.</v>
          </cell>
          <cell r="C6" t="str">
            <v>U R A I A N</v>
          </cell>
          <cell r="G6" t="str">
            <v>KODE</v>
          </cell>
          <cell r="H6" t="str">
            <v>KOEF.</v>
          </cell>
          <cell r="I6" t="str">
            <v>SATUAN</v>
          </cell>
          <cell r="J6" t="str">
            <v>KETERANGAN</v>
          </cell>
        </row>
        <row r="8">
          <cell r="L8" t="str">
            <v>PROYEK</v>
          </cell>
          <cell r="O8" t="str">
            <v>:</v>
          </cell>
        </row>
        <row r="9">
          <cell r="A9" t="str">
            <v>I.</v>
          </cell>
          <cell r="C9" t="str">
            <v>ASUMSI</v>
          </cell>
          <cell r="L9" t="str">
            <v>No. PAKET KONTRAK</v>
          </cell>
          <cell r="O9" t="str">
            <v>:</v>
          </cell>
        </row>
        <row r="10">
          <cell r="A10">
            <v>1</v>
          </cell>
          <cell r="C10" t="str">
            <v>Menggunakan alat berat (cara mekanik)</v>
          </cell>
          <cell r="L10" t="str">
            <v>NAMA PAKET</v>
          </cell>
          <cell r="O10" t="str">
            <v>:</v>
          </cell>
        </row>
        <row r="11">
          <cell r="A11">
            <v>2</v>
          </cell>
          <cell r="C11" t="str">
            <v>Lokasi pekerjaan : sepanjang jalan</v>
          </cell>
          <cell r="L11" t="str">
            <v>PROP / KAB / KODYA</v>
          </cell>
          <cell r="O11" t="str">
            <v>:</v>
          </cell>
        </row>
        <row r="12">
          <cell r="A12">
            <v>3</v>
          </cell>
          <cell r="C12" t="str">
            <v>Kondisi Jalan   :  sedang / baik</v>
          </cell>
          <cell r="L12" t="str">
            <v>ITEM PEMBAYARAN NO.</v>
          </cell>
          <cell r="O12" t="str">
            <v>:  2.1</v>
          </cell>
          <cell r="R12" t="str">
            <v>PERKIRAAN VOL. PEK.</v>
          </cell>
          <cell r="T12" t="str">
            <v>:</v>
          </cell>
          <cell r="U12">
            <v>1</v>
          </cell>
        </row>
        <row r="13">
          <cell r="A13">
            <v>4</v>
          </cell>
          <cell r="C13" t="str">
            <v>Jam kerja efektif per-hari</v>
          </cell>
          <cell r="G13" t="str">
            <v>Tk</v>
          </cell>
          <cell r="H13">
            <v>7</v>
          </cell>
          <cell r="I13" t="str">
            <v>jam</v>
          </cell>
          <cell r="L13" t="str">
            <v>JENIS PEKERJAAN</v>
          </cell>
          <cell r="O13" t="str">
            <v>:  Galian Utk Drainase, Saluran dan Saluran Air</v>
          </cell>
          <cell r="R13" t="str">
            <v>TOTAL HARGA (Rp.)</v>
          </cell>
          <cell r="T13" t="str">
            <v>:</v>
          </cell>
          <cell r="U13">
            <v>32339.52</v>
          </cell>
        </row>
        <row r="14">
          <cell r="A14">
            <v>5</v>
          </cell>
          <cell r="C14" t="str">
            <v>Faktor pengembangan bahan</v>
          </cell>
          <cell r="G14" t="str">
            <v>Fk</v>
          </cell>
          <cell r="H14">
            <v>1.2</v>
          </cell>
          <cell r="I14" t="str">
            <v>-</v>
          </cell>
          <cell r="L14" t="str">
            <v>SATUAN PEMBAYARAN</v>
          </cell>
          <cell r="O14" t="str">
            <v>:  M3</v>
          </cell>
          <cell r="Q14">
            <v>0</v>
          </cell>
          <cell r="R14" t="str">
            <v>% THD. BIAYA PROYEK</v>
          </cell>
          <cell r="T14" t="str">
            <v>:</v>
          </cell>
          <cell r="U14">
            <v>7.6954069998812278E-4</v>
          </cell>
        </row>
        <row r="17">
          <cell r="A17" t="str">
            <v>II.</v>
          </cell>
          <cell r="C17" t="str">
            <v>URUTAN  KERJA</v>
          </cell>
          <cell r="Q17" t="str">
            <v>PERKIRAAN</v>
          </cell>
          <cell r="R17" t="str">
            <v>HARGA</v>
          </cell>
          <cell r="S17" t="str">
            <v>JUMLAH</v>
          </cell>
        </row>
        <row r="18">
          <cell r="A18">
            <v>1</v>
          </cell>
          <cell r="C18" t="str">
            <v>Penggalian dilakukan dengan menggunakan Excavator</v>
          </cell>
          <cell r="L18" t="str">
            <v>NO.</v>
          </cell>
          <cell r="N18" t="str">
            <v>KOMPONEN</v>
          </cell>
          <cell r="P18" t="str">
            <v>SATUAN</v>
          </cell>
          <cell r="Q18" t="str">
            <v>KUANTITAS</v>
          </cell>
          <cell r="R18" t="str">
            <v>SATUAN</v>
          </cell>
          <cell r="S18" t="str">
            <v>HARGA</v>
          </cell>
        </row>
        <row r="19">
          <cell r="A19">
            <v>2</v>
          </cell>
          <cell r="C19" t="str">
            <v>Selanjutnya Excavator menuangkan material hasil</v>
          </cell>
          <cell r="R19" t="str">
            <v>(Rp.)</v>
          </cell>
          <cell r="S19" t="str">
            <v>(Rp.)</v>
          </cell>
        </row>
        <row r="20">
          <cell r="C20" t="str">
            <v>galian kedalam Dump Truck</v>
          </cell>
        </row>
        <row r="21">
          <cell r="A21">
            <v>3</v>
          </cell>
          <cell r="C21" t="str">
            <v>Dump Truck membuang material hasil galian keluar</v>
          </cell>
        </row>
        <row r="22">
          <cell r="C22" t="str">
            <v>lokasi jalan sejauh</v>
          </cell>
          <cell r="G22" t="str">
            <v>L</v>
          </cell>
          <cell r="H22">
            <v>5</v>
          </cell>
          <cell r="I22" t="str">
            <v>Km</v>
          </cell>
          <cell r="L22" t="str">
            <v>A.</v>
          </cell>
          <cell r="N22" t="str">
            <v>TENAGA</v>
          </cell>
        </row>
        <row r="23">
          <cell r="A23">
            <v>4</v>
          </cell>
          <cell r="C23" t="str">
            <v>Sekelompok pekerja akan merapikan hasil galian</v>
          </cell>
        </row>
        <row r="24">
          <cell r="L24" t="str">
            <v>1.</v>
          </cell>
          <cell r="N24" t="str">
            <v>Pekerja</v>
          </cell>
          <cell r="O24" t="str">
            <v>(L01)</v>
          </cell>
          <cell r="P24" t="str">
            <v>jam</v>
          </cell>
          <cell r="Q24">
            <v>3.6504440701875605E-2</v>
          </cell>
          <cell r="R24">
            <v>2857.14</v>
          </cell>
          <cell r="U24">
            <v>104.29829770695686</v>
          </cell>
        </row>
        <row r="25">
          <cell r="L25" t="str">
            <v>2.</v>
          </cell>
          <cell r="N25" t="str">
            <v>Mandor</v>
          </cell>
          <cell r="O25" t="str">
            <v>(L03)</v>
          </cell>
          <cell r="P25" t="str">
            <v>jam</v>
          </cell>
          <cell r="Q25">
            <v>9.1261101754689013E-3</v>
          </cell>
          <cell r="R25">
            <v>3214.29</v>
          </cell>
          <cell r="U25">
            <v>29.333964675907936</v>
          </cell>
        </row>
        <row r="26">
          <cell r="A26" t="str">
            <v>III.</v>
          </cell>
          <cell r="C26" t="str">
            <v>PEMAKAIAN BAHAN, ALAT DAN TENAGA</v>
          </cell>
        </row>
        <row r="28">
          <cell r="A28" t="str">
            <v xml:space="preserve">   1.</v>
          </cell>
          <cell r="C28" t="str">
            <v>BAHAN</v>
          </cell>
          <cell r="R28" t="str">
            <v xml:space="preserve">JUMLAH HARGA TENAGA   </v>
          </cell>
          <cell r="U28">
            <v>133.63226238286478</v>
          </cell>
        </row>
        <row r="29">
          <cell r="C29" t="str">
            <v>Tidak ada bahan yang diperlukan</v>
          </cell>
        </row>
        <row r="30">
          <cell r="L30" t="str">
            <v>B.</v>
          </cell>
          <cell r="N30" t="str">
            <v>BAHAN</v>
          </cell>
        </row>
        <row r="32">
          <cell r="A32" t="str">
            <v xml:space="preserve">   2.</v>
          </cell>
          <cell r="C32" t="str">
            <v>ALAT</v>
          </cell>
        </row>
        <row r="33">
          <cell r="A33" t="str">
            <v xml:space="preserve">   2.a.</v>
          </cell>
          <cell r="C33" t="str">
            <v>EXCAVATOR</v>
          </cell>
          <cell r="G33" t="str">
            <v>(E10)</v>
          </cell>
        </row>
        <row r="34">
          <cell r="C34" t="str">
            <v>Kapasitas Bucket</v>
          </cell>
          <cell r="G34" t="str">
            <v>V</v>
          </cell>
          <cell r="H34">
            <v>0.93</v>
          </cell>
          <cell r="I34" t="str">
            <v>M3</v>
          </cell>
        </row>
        <row r="35">
          <cell r="C35" t="str">
            <v>Faktor Bucket</v>
          </cell>
          <cell r="G35" t="str">
            <v>Fb</v>
          </cell>
          <cell r="H35">
            <v>1</v>
          </cell>
          <cell r="I35" t="str">
            <v>-</v>
          </cell>
        </row>
        <row r="36">
          <cell r="C36" t="str">
            <v>Faktor  Efisiensi alat</v>
          </cell>
          <cell r="G36" t="str">
            <v>Fa</v>
          </cell>
          <cell r="H36">
            <v>0.83</v>
          </cell>
          <cell r="I36" t="str">
            <v>-</v>
          </cell>
        </row>
        <row r="37">
          <cell r="C37" t="str">
            <v>Faktor Konversi</v>
          </cell>
          <cell r="G37" t="str">
            <v>Fv</v>
          </cell>
          <cell r="H37">
            <v>0.9</v>
          </cell>
        </row>
        <row r="39">
          <cell r="C39" t="str">
            <v>Waktu siklus</v>
          </cell>
          <cell r="G39" t="str">
            <v>Ts1</v>
          </cell>
          <cell r="R39" t="str">
            <v xml:space="preserve">JUMLAH HARGA BAHAN   </v>
          </cell>
          <cell r="U39">
            <v>0</v>
          </cell>
        </row>
        <row r="40">
          <cell r="C40" t="str">
            <v>- Menggali,  memuat dan berputar</v>
          </cell>
          <cell r="G40" t="str">
            <v>T1</v>
          </cell>
          <cell r="H40">
            <v>0.317</v>
          </cell>
          <cell r="I40" t="str">
            <v>menit</v>
          </cell>
        </row>
        <row r="41">
          <cell r="C41" t="str">
            <v>- Lain-lain</v>
          </cell>
          <cell r="G41" t="str">
            <v>T2</v>
          </cell>
          <cell r="I41" t="str">
            <v>menit</v>
          </cell>
          <cell r="L41" t="str">
            <v>C.</v>
          </cell>
          <cell r="N41" t="str">
            <v>PERALATAN</v>
          </cell>
        </row>
        <row r="42">
          <cell r="G42" t="str">
            <v>Ts1</v>
          </cell>
          <cell r="H42">
            <v>0.317</v>
          </cell>
          <cell r="I42" t="str">
            <v>menit</v>
          </cell>
        </row>
        <row r="43">
          <cell r="L43" t="str">
            <v>1.</v>
          </cell>
          <cell r="N43" t="str">
            <v>Excavator</v>
          </cell>
          <cell r="O43" t="str">
            <v>(E10)</v>
          </cell>
          <cell r="P43" t="str">
            <v>jam</v>
          </cell>
          <cell r="Q43">
            <v>9.1261101754689013E-3</v>
          </cell>
          <cell r="R43">
            <v>238185.05650827778</v>
          </cell>
          <cell r="U43">
            <v>2173.7030678448291</v>
          </cell>
        </row>
        <row r="44">
          <cell r="C44" t="str">
            <v>Kap. Prod. / jam =</v>
          </cell>
          <cell r="D44" t="str">
            <v>V  x Fb x Fa x Fv x  60</v>
          </cell>
          <cell r="G44" t="str">
            <v>Q1</v>
          </cell>
          <cell r="H44">
            <v>109.5757097791798</v>
          </cell>
          <cell r="I44" t="str">
            <v xml:space="preserve">M3  </v>
          </cell>
          <cell r="L44" t="str">
            <v>2.</v>
          </cell>
          <cell r="N44" t="str">
            <v>Dump Truck</v>
          </cell>
          <cell r="O44" t="str">
            <v>(E08)</v>
          </cell>
          <cell r="P44" t="str">
            <v>jam</v>
          </cell>
          <cell r="Q44">
            <v>0.16982088218140085</v>
          </cell>
          <cell r="R44">
            <v>153645.58193291764</v>
          </cell>
          <cell r="U44">
            <v>26092.228267122777</v>
          </cell>
        </row>
        <row r="45">
          <cell r="D45" t="str">
            <v>Ts1 x Fk</v>
          </cell>
          <cell r="L45" t="str">
            <v>3.</v>
          </cell>
          <cell r="N45" t="str">
            <v>Alat Bantu</v>
          </cell>
          <cell r="P45" t="str">
            <v>Ls</v>
          </cell>
          <cell r="Q45">
            <v>1</v>
          </cell>
          <cell r="R45">
            <v>1000</v>
          </cell>
          <cell r="U45">
            <v>1000</v>
          </cell>
        </row>
        <row r="47">
          <cell r="C47" t="str">
            <v>Koefisien Alat / M3</v>
          </cell>
          <cell r="D47" t="str">
            <v xml:space="preserve"> =  1  :  Q1</v>
          </cell>
          <cell r="G47" t="str">
            <v>-</v>
          </cell>
          <cell r="H47">
            <v>9.1261101754689013E-3</v>
          </cell>
          <cell r="I47" t="str">
            <v>Jam</v>
          </cell>
        </row>
        <row r="50">
          <cell r="R50" t="str">
            <v xml:space="preserve">JUMLAH HARGA PERALATAN   </v>
          </cell>
          <cell r="U50">
            <v>29265.931334967605</v>
          </cell>
        </row>
        <row r="51">
          <cell r="A51" t="str">
            <v xml:space="preserve">   2.b.</v>
          </cell>
          <cell r="C51" t="str">
            <v>DUMP TRUCK</v>
          </cell>
          <cell r="G51" t="str">
            <v>(E08)</v>
          </cell>
        </row>
        <row r="52">
          <cell r="C52" t="str">
            <v>Kaasitas bak</v>
          </cell>
          <cell r="G52" t="str">
            <v>V</v>
          </cell>
          <cell r="H52">
            <v>4</v>
          </cell>
          <cell r="I52" t="str">
            <v>M3</v>
          </cell>
          <cell r="L52" t="str">
            <v>D.</v>
          </cell>
          <cell r="N52" t="str">
            <v>JUMLAH HARGA TENAGA, BAHAN DAN PERALATAN  ( A + B + C )</v>
          </cell>
          <cell r="U52">
            <v>29399.563597350469</v>
          </cell>
        </row>
        <row r="53">
          <cell r="C53" t="str">
            <v>Faktor  efisiensi alat</v>
          </cell>
          <cell r="G53" t="str">
            <v>Fa</v>
          </cell>
          <cell r="H53">
            <v>0.83</v>
          </cell>
          <cell r="I53" t="str">
            <v>-</v>
          </cell>
          <cell r="L53" t="str">
            <v>E.</v>
          </cell>
          <cell r="N53" t="str">
            <v>OVERHEAD &amp; PROFIT</v>
          </cell>
          <cell r="P53">
            <v>10</v>
          </cell>
          <cell r="Q53" t="str">
            <v>%  x  D</v>
          </cell>
          <cell r="U53">
            <v>2939.956359735047</v>
          </cell>
        </row>
        <row r="54">
          <cell r="C54" t="str">
            <v>Kecepatan rata-rata bermuatan</v>
          </cell>
          <cell r="G54" t="str">
            <v>v1</v>
          </cell>
          <cell r="H54">
            <v>20</v>
          </cell>
          <cell r="I54" t="str">
            <v>Km/Jam</v>
          </cell>
          <cell r="L54" t="str">
            <v>F.</v>
          </cell>
          <cell r="N54" t="str">
            <v>HARGA SATUAN PEKERJAAN  ( D + E )</v>
          </cell>
          <cell r="U54">
            <v>32339.519957085515</v>
          </cell>
        </row>
        <row r="55">
          <cell r="C55" t="str">
            <v>Kecepatan rata-rata kosong</v>
          </cell>
          <cell r="G55" t="str">
            <v>v2</v>
          </cell>
          <cell r="H55">
            <v>30</v>
          </cell>
          <cell r="I55" t="str">
            <v>Km/Jam</v>
          </cell>
          <cell r="L55" t="str">
            <v>Note: 1</v>
          </cell>
          <cell r="N55" t="str">
            <v>SATUAN dapat berdasarkan atas jam operasi untuk Tenaga Kerja dan Peralatan, volume dan/atau ukuran</v>
          </cell>
        </row>
        <row r="56">
          <cell r="C56" t="str">
            <v>Waktu  siklus  :</v>
          </cell>
          <cell r="G56" t="str">
            <v>Ts2</v>
          </cell>
          <cell r="N56" t="str">
            <v>berat untuk bahan-bahan.</v>
          </cell>
        </row>
        <row r="57">
          <cell r="C57" t="str">
            <v>- Waktu tempuh isi</v>
          </cell>
          <cell r="E57" t="str">
            <v>=   (L  :  v1)  x  60</v>
          </cell>
          <cell r="G57" t="str">
            <v>T1</v>
          </cell>
          <cell r="H57">
            <v>15</v>
          </cell>
          <cell r="I57" t="str">
            <v>menit</v>
          </cell>
          <cell r="L57">
            <v>2</v>
          </cell>
          <cell r="N57" t="str">
            <v>Kuantitas satuan adalah kuantitas setiap komponen untuk menyelesaikan satu satuan pekerjaan dari nomor</v>
          </cell>
        </row>
        <row r="58">
          <cell r="C58" t="str">
            <v>- Waktu tempuh kosong</v>
          </cell>
          <cell r="E58" t="str">
            <v>=   (L  :  v2)  x  60</v>
          </cell>
          <cell r="G58" t="str">
            <v>T2</v>
          </cell>
          <cell r="H58">
            <v>10</v>
          </cell>
          <cell r="I58" t="str">
            <v>menit</v>
          </cell>
          <cell r="N58" t="str">
            <v>mata pembayaran.</v>
          </cell>
        </row>
        <row r="59">
          <cell r="C59" t="str">
            <v>- Muat</v>
          </cell>
          <cell r="E59" t="str">
            <v>=   (V  :  Q1) x 60</v>
          </cell>
          <cell r="G59" t="str">
            <v>T3</v>
          </cell>
          <cell r="H59">
            <v>2.1902664421125362</v>
          </cell>
          <cell r="I59" t="str">
            <v>menit</v>
          </cell>
          <cell r="L59">
            <v>3</v>
          </cell>
          <cell r="N59" t="str">
            <v>Biaya satuan untuk peralatan sudah termasuk bahan bakar, bahan habis dipakai dan operator.</v>
          </cell>
        </row>
        <row r="60">
          <cell r="C60" t="str">
            <v>- Lain-lain</v>
          </cell>
          <cell r="G60" t="str">
            <v>T4</v>
          </cell>
          <cell r="H60">
            <v>1</v>
          </cell>
          <cell r="I60" t="str">
            <v>menit</v>
          </cell>
          <cell r="L60">
            <v>4</v>
          </cell>
          <cell r="N60" t="str">
            <v>Biaya satuan sudah termasuk pengeluaran untuk seluruh pajak yang berkaitan (tetapi tidak termasuk PPN</v>
          </cell>
        </row>
        <row r="61">
          <cell r="G61" t="str">
            <v>Ts2</v>
          </cell>
          <cell r="H61">
            <v>28.190266442112538</v>
          </cell>
          <cell r="I61" t="str">
            <v>menit</v>
          </cell>
          <cell r="N61" t="str">
            <v>yang dibayar dari kontrak) dan biaya-biaya lainnya.</v>
          </cell>
        </row>
        <row r="62">
          <cell r="J62" t="str">
            <v>Berlanjut ke halaman berikut</v>
          </cell>
        </row>
        <row r="63">
          <cell r="A63" t="str">
            <v>ITEM PEMBAYARAN NO.</v>
          </cell>
          <cell r="D63" t="str">
            <v>:  2.1</v>
          </cell>
          <cell r="J63" t="str">
            <v xml:space="preserve">Analisa EI-21 </v>
          </cell>
        </row>
        <row r="64">
          <cell r="A64" t="str">
            <v>JENIS PEKERJAAN</v>
          </cell>
          <cell r="D64" t="str">
            <v>:  Galian Utk Drainase, Saluran dan Saluran Air</v>
          </cell>
        </row>
        <row r="65">
          <cell r="A65" t="str">
            <v>SATUAN PEMBAYARAN</v>
          </cell>
          <cell r="D65" t="str">
            <v>:  M3</v>
          </cell>
          <cell r="J65" t="str">
            <v xml:space="preserve">         URAIAN ANALISA HARGA SATUAN</v>
          </cell>
        </row>
        <row r="66">
          <cell r="J66" t="str">
            <v>Lanjutan</v>
          </cell>
        </row>
        <row r="68">
          <cell r="A68" t="str">
            <v>No.</v>
          </cell>
          <cell r="C68" t="str">
            <v>U R A I A N</v>
          </cell>
          <cell r="G68" t="str">
            <v>KODE</v>
          </cell>
          <cell r="H68" t="str">
            <v>KOEF.</v>
          </cell>
          <cell r="I68" t="str">
            <v>SATUAN</v>
          </cell>
          <cell r="J68" t="str">
            <v>KETERANGAN</v>
          </cell>
        </row>
        <row r="71">
          <cell r="C71" t="str">
            <v>Kapasitas Produksi / Jam   =</v>
          </cell>
          <cell r="E71" t="str">
            <v>V x Fa x 60</v>
          </cell>
          <cell r="G71" t="str">
            <v>Q2</v>
          </cell>
          <cell r="H71">
            <v>5.888557326723876</v>
          </cell>
          <cell r="I71" t="str">
            <v>M3</v>
          </cell>
        </row>
        <row r="72">
          <cell r="E72" t="str">
            <v xml:space="preserve">    Fk x Ts2</v>
          </cell>
        </row>
        <row r="75">
          <cell r="C75" t="str">
            <v>Koefisien Alat / M3</v>
          </cell>
          <cell r="D75" t="str">
            <v xml:space="preserve"> =  1  :  Q2</v>
          </cell>
          <cell r="G75" t="str">
            <v>-</v>
          </cell>
          <cell r="H75">
            <v>0.16982088218140085</v>
          </cell>
          <cell r="I75" t="str">
            <v>Jam</v>
          </cell>
        </row>
        <row r="78">
          <cell r="A78" t="str">
            <v>2.d.</v>
          </cell>
          <cell r="C78" t="str">
            <v>ALAT  BANTU</v>
          </cell>
        </row>
        <row r="79">
          <cell r="C79" t="str">
            <v>Diperlukan alat-alat bantu kecil</v>
          </cell>
          <cell r="J79" t="str">
            <v>Lump Sump</v>
          </cell>
        </row>
        <row r="80">
          <cell r="C80" t="str">
            <v>- Sekop</v>
          </cell>
        </row>
        <row r="81">
          <cell r="C81" t="str">
            <v>- Keranjang + Sapu</v>
          </cell>
        </row>
        <row r="83">
          <cell r="A83" t="str">
            <v xml:space="preserve">   3.</v>
          </cell>
          <cell r="C83" t="str">
            <v>TENAGA</v>
          </cell>
        </row>
        <row r="84">
          <cell r="C84" t="str">
            <v>Produksi menentukan : EXCAVATOR</v>
          </cell>
          <cell r="G84" t="str">
            <v>Q1</v>
          </cell>
          <cell r="H84">
            <v>109.5757097791798</v>
          </cell>
          <cell r="I84" t="str">
            <v>M3/Jam</v>
          </cell>
        </row>
        <row r="85">
          <cell r="C85" t="str">
            <v>Produksi Galian / hari  =  Tk x Q1</v>
          </cell>
          <cell r="G85" t="str">
            <v>Qt</v>
          </cell>
          <cell r="H85">
            <v>767.02996845425866</v>
          </cell>
          <cell r="I85" t="str">
            <v>M3</v>
          </cell>
        </row>
        <row r="86">
          <cell r="C86" t="str">
            <v>Kebutuhan tenaga :</v>
          </cell>
        </row>
        <row r="87">
          <cell r="D87" t="str">
            <v>- Pekerja</v>
          </cell>
          <cell r="G87" t="str">
            <v>P</v>
          </cell>
          <cell r="H87">
            <v>4</v>
          </cell>
          <cell r="I87" t="str">
            <v>orang</v>
          </cell>
        </row>
        <row r="88">
          <cell r="D88" t="str">
            <v>- Mandor</v>
          </cell>
          <cell r="G88" t="str">
            <v>M</v>
          </cell>
          <cell r="H88">
            <v>1</v>
          </cell>
          <cell r="I88" t="str">
            <v>orang</v>
          </cell>
        </row>
        <row r="90">
          <cell r="C90" t="str">
            <v>Koefisien tenaga / M3   :</v>
          </cell>
        </row>
        <row r="91">
          <cell r="D91" t="str">
            <v>- Pekerja</v>
          </cell>
          <cell r="E91" t="str">
            <v>= (Tk x P) : Qt</v>
          </cell>
          <cell r="G91" t="str">
            <v>(L01)</v>
          </cell>
          <cell r="H91">
            <v>3.6504440701875605E-2</v>
          </cell>
          <cell r="I91" t="str">
            <v>Jam</v>
          </cell>
        </row>
        <row r="92">
          <cell r="D92" t="str">
            <v>- Mandor</v>
          </cell>
          <cell r="E92" t="str">
            <v>= (Tk x M) : Qt</v>
          </cell>
          <cell r="G92" t="str">
            <v>(L03)</v>
          </cell>
          <cell r="H92">
            <v>9.1261101754689013E-3</v>
          </cell>
          <cell r="I92" t="str">
            <v>Jam</v>
          </cell>
        </row>
        <row r="94">
          <cell r="A94" t="str">
            <v>4.</v>
          </cell>
          <cell r="C94" t="str">
            <v>HARGA DASAR SATUAN UPAH, BAHAN DAN ALAT</v>
          </cell>
        </row>
        <row r="95">
          <cell r="C95" t="str">
            <v>Lihat lampiran.</v>
          </cell>
        </row>
        <row r="97">
          <cell r="A97" t="str">
            <v>5.</v>
          </cell>
          <cell r="C97" t="str">
            <v>ANALISA HARGA SATUAN PEKERJAAN</v>
          </cell>
        </row>
        <row r="98">
          <cell r="C98" t="str">
            <v>Lihat perhitungan dalam FORMULIR STANDAR UNTUK</v>
          </cell>
        </row>
        <row r="99">
          <cell r="C99" t="str">
            <v>PEREKEMAN ANALISA MASING-MASING HARGA</v>
          </cell>
        </row>
        <row r="100">
          <cell r="C100" t="str">
            <v>SATUAN.</v>
          </cell>
        </row>
        <row r="101">
          <cell r="C101" t="str">
            <v>Didapat Harga Satuan Pekerjaan :</v>
          </cell>
        </row>
        <row r="103">
          <cell r="C103" t="str">
            <v xml:space="preserve">Rp.  </v>
          </cell>
          <cell r="D103">
            <v>32339.519957085515</v>
          </cell>
          <cell r="E103" t="str">
            <v xml:space="preserve"> / M3</v>
          </cell>
        </row>
        <row r="106">
          <cell r="A106" t="str">
            <v>6.</v>
          </cell>
          <cell r="C106" t="str">
            <v>WAKTU PELAKSANAAN YANG DIPERLUKAN</v>
          </cell>
        </row>
        <row r="107">
          <cell r="C107" t="str">
            <v>Masa Pelaksanaan :</v>
          </cell>
          <cell r="D107" t="str">
            <v>. . . . . . . . . . . .</v>
          </cell>
          <cell r="E107" t="str">
            <v>bulan</v>
          </cell>
        </row>
        <row r="109">
          <cell r="A109" t="str">
            <v>7.</v>
          </cell>
          <cell r="C109" t="str">
            <v>VOLUME PEKERJAAN YANG DIPERLUKAN</v>
          </cell>
        </row>
        <row r="110">
          <cell r="C110" t="str">
            <v>Volume pekerjaan  :</v>
          </cell>
          <cell r="D110">
            <v>1</v>
          </cell>
          <cell r="E110" t="str">
            <v>M3</v>
          </cell>
        </row>
        <row r="121">
          <cell r="T121" t="str">
            <v xml:space="preserve">Analisa LI-22 </v>
          </cell>
        </row>
        <row r="123">
          <cell r="A123" t="str">
            <v>ITEM PEMBAYARAN NO.</v>
          </cell>
          <cell r="D123" t="str">
            <v>:  2.2</v>
          </cell>
          <cell r="E123" t="str">
            <v>oke</v>
          </cell>
          <cell r="J123" t="str">
            <v xml:space="preserve">Analisa EI-22 </v>
          </cell>
        </row>
        <row r="124">
          <cell r="A124" t="str">
            <v>JENIS PEKERJAAN</v>
          </cell>
          <cell r="D124" t="str">
            <v>:  Pasangan Batu Dengan Mortar untuk Saluran</v>
          </cell>
          <cell r="L124" t="str">
            <v>FORMULIR STANDAR UNTUK</v>
          </cell>
        </row>
        <row r="125">
          <cell r="A125" t="str">
            <v>SATUAN PEMBAYARAN</v>
          </cell>
          <cell r="D125" t="str">
            <v>:  M3</v>
          </cell>
          <cell r="J125" t="str">
            <v xml:space="preserve">         URAIAN ANALISA HARGA SATUAN</v>
          </cell>
          <cell r="L125" t="str">
            <v>PEREKAMAN ANALISA MASING-MASING HARGA SATUAN</v>
          </cell>
        </row>
        <row r="126">
          <cell r="L126" t="str">
            <v/>
          </cell>
        </row>
        <row r="128">
          <cell r="A128" t="str">
            <v>No.</v>
          </cell>
          <cell r="C128" t="str">
            <v>U R A I A N</v>
          </cell>
          <cell r="G128" t="str">
            <v>KODE</v>
          </cell>
          <cell r="H128" t="str">
            <v>KOEF.</v>
          </cell>
          <cell r="I128" t="str">
            <v>SATUAN</v>
          </cell>
          <cell r="J128" t="str">
            <v>KETERANGAN</v>
          </cell>
        </row>
        <row r="129">
          <cell r="L129" t="str">
            <v>PROYEK</v>
          </cell>
          <cell r="O129" t="str">
            <v>:</v>
          </cell>
        </row>
        <row r="130">
          <cell r="L130" t="str">
            <v>No. PAKET KONTRAK</v>
          </cell>
          <cell r="O130" t="str">
            <v>:</v>
          </cell>
        </row>
        <row r="131">
          <cell r="A131" t="str">
            <v>I.</v>
          </cell>
          <cell r="C131" t="str">
            <v>ASUMSI</v>
          </cell>
          <cell r="L131" t="str">
            <v>NAMA PAKET</v>
          </cell>
          <cell r="O131" t="str">
            <v>:</v>
          </cell>
        </row>
        <row r="132">
          <cell r="A132">
            <v>1</v>
          </cell>
          <cell r="C132" t="str">
            <v>Menggunakan alat (cara mekanik)</v>
          </cell>
          <cell r="L132" t="str">
            <v>PROP / KAB / KODYA</v>
          </cell>
          <cell r="O132" t="str">
            <v>:</v>
          </cell>
        </row>
        <row r="133">
          <cell r="A133">
            <v>2</v>
          </cell>
          <cell r="C133" t="str">
            <v>Lokasi pekerjaan : sepanjang jalan</v>
          </cell>
          <cell r="L133" t="str">
            <v>ITEM PEMBAYARAN NO.</v>
          </cell>
          <cell r="O133" t="str">
            <v>:  2.2</v>
          </cell>
          <cell r="R133" t="str">
            <v>PERKIRAAN VOL. PEK.</v>
          </cell>
          <cell r="T133" t="str">
            <v>:</v>
          </cell>
          <cell r="U133">
            <v>1</v>
          </cell>
        </row>
        <row r="134">
          <cell r="A134">
            <v>3</v>
          </cell>
          <cell r="C134" t="str">
            <v>Bahan dasar (batu, pasir dan semen) diterima</v>
          </cell>
          <cell r="L134" t="str">
            <v>JENIS PEKERJAAN</v>
          </cell>
          <cell r="O134" t="str">
            <v>:  Pasangan Batu Dengan Mortar untuk Saluran</v>
          </cell>
          <cell r="R134" t="str">
            <v>TOTAL HARGA (Rp.)</v>
          </cell>
          <cell r="T134" t="str">
            <v>:</v>
          </cell>
          <cell r="U134">
            <v>32339.52</v>
          </cell>
        </row>
        <row r="135">
          <cell r="C135" t="str">
            <v>seluruhnya di lokasi pekerjaan</v>
          </cell>
          <cell r="L135" t="str">
            <v>SATUAN PEMBAYARAN</v>
          </cell>
          <cell r="O135" t="str">
            <v>:  M3</v>
          </cell>
          <cell r="R135" t="str">
            <v>% THD. BIAYA PROYEK</v>
          </cell>
          <cell r="T135" t="str">
            <v>:</v>
          </cell>
          <cell r="U135" t="e">
            <v>#DIV/0!</v>
          </cell>
        </row>
        <row r="136">
          <cell r="A136">
            <v>4</v>
          </cell>
          <cell r="C136" t="str">
            <v>Jarak rata-rata Base camp ke lokasi pekerjaan</v>
          </cell>
          <cell r="G136" t="str">
            <v>L</v>
          </cell>
          <cell r="H136">
            <v>8.7249999999999996</v>
          </cell>
          <cell r="I136" t="str">
            <v>KM</v>
          </cell>
        </row>
        <row r="137">
          <cell r="A137">
            <v>5</v>
          </cell>
          <cell r="C137" t="str">
            <v>Jam kerja efektif per-hari</v>
          </cell>
          <cell r="G137" t="str">
            <v>Tk</v>
          </cell>
          <cell r="H137">
            <v>7</v>
          </cell>
          <cell r="I137" t="str">
            <v>jam</v>
          </cell>
        </row>
        <row r="138">
          <cell r="A138">
            <v>6</v>
          </cell>
          <cell r="C138" t="str">
            <v>Perbandingan Pasir &amp; Semen</v>
          </cell>
          <cell r="E138" t="str">
            <v>: - Volume Semen</v>
          </cell>
          <cell r="G138" t="str">
            <v>Sm</v>
          </cell>
          <cell r="H138">
            <v>20</v>
          </cell>
          <cell r="I138" t="str">
            <v>%</v>
          </cell>
          <cell r="J138" t="str">
            <v xml:space="preserve"> Kuat Tekan min.</v>
          </cell>
          <cell r="Q138" t="str">
            <v>PERKIRAAN</v>
          </cell>
          <cell r="R138" t="str">
            <v>HARGA</v>
          </cell>
          <cell r="S138" t="str">
            <v>JUMLAH</v>
          </cell>
        </row>
        <row r="139">
          <cell r="E139" t="str">
            <v>: - Volume Pasir</v>
          </cell>
          <cell r="G139" t="str">
            <v>Ps</v>
          </cell>
          <cell r="H139">
            <v>80</v>
          </cell>
          <cell r="I139" t="str">
            <v>%</v>
          </cell>
          <cell r="J139" t="str">
            <v xml:space="preserve"> 50 kg/cm2</v>
          </cell>
          <cell r="L139" t="str">
            <v>NO.</v>
          </cell>
          <cell r="N139" t="str">
            <v>KOMPONEN</v>
          </cell>
          <cell r="P139" t="str">
            <v>SATUAN</v>
          </cell>
          <cell r="Q139" t="str">
            <v>KUANTITAS</v>
          </cell>
          <cell r="R139" t="str">
            <v>SATUAN</v>
          </cell>
          <cell r="S139" t="str">
            <v>HARGA</v>
          </cell>
        </row>
        <row r="140">
          <cell r="A140">
            <v>7</v>
          </cell>
          <cell r="C140" t="str">
            <v>Perbandingan Batu &amp; Mortar  :</v>
          </cell>
          <cell r="R140" t="str">
            <v>(Rp.)</v>
          </cell>
          <cell r="S140" t="str">
            <v>(Rp.)</v>
          </cell>
        </row>
        <row r="141">
          <cell r="C141" t="str">
            <v>- Batu</v>
          </cell>
          <cell r="G141" t="str">
            <v>Bt</v>
          </cell>
          <cell r="H141">
            <v>60</v>
          </cell>
          <cell r="I141" t="str">
            <v>%</v>
          </cell>
        </row>
        <row r="142">
          <cell r="C142" t="str">
            <v>- Mortar (campuran semen &amp; pasir)</v>
          </cell>
          <cell r="G142" t="str">
            <v>Mr</v>
          </cell>
          <cell r="H142">
            <v>40</v>
          </cell>
          <cell r="I142" t="str">
            <v>%</v>
          </cell>
        </row>
        <row r="143">
          <cell r="A143">
            <v>8</v>
          </cell>
          <cell r="C143" t="str">
            <v>Berat Jenis Bahan  :</v>
          </cell>
          <cell r="L143" t="str">
            <v>A.</v>
          </cell>
          <cell r="N143" t="str">
            <v>TENAGA</v>
          </cell>
        </row>
        <row r="144">
          <cell r="C144" t="str">
            <v>- Pasangan Batu Dengan Mortar</v>
          </cell>
          <cell r="G144" t="str">
            <v>D1</v>
          </cell>
          <cell r="H144">
            <v>2.4</v>
          </cell>
          <cell r="I144" t="str">
            <v>ton/M3</v>
          </cell>
        </row>
        <row r="145">
          <cell r="C145" t="str">
            <v>- Batu</v>
          </cell>
          <cell r="G145" t="str">
            <v>D2</v>
          </cell>
          <cell r="H145">
            <v>1.6</v>
          </cell>
          <cell r="I145" t="str">
            <v>ton/M3</v>
          </cell>
          <cell r="L145" t="str">
            <v>1.</v>
          </cell>
          <cell r="N145" t="str">
            <v>Pekerja</v>
          </cell>
          <cell r="O145" t="str">
            <v>(L01)</v>
          </cell>
          <cell r="P145" t="str">
            <v>jam</v>
          </cell>
          <cell r="Q145">
            <v>5.2208835341365463</v>
          </cell>
          <cell r="R145">
            <v>2857.14</v>
          </cell>
          <cell r="U145">
            <v>14916.795180722891</v>
          </cell>
        </row>
        <row r="146">
          <cell r="C146" t="str">
            <v>- Adukan (mortar)</v>
          </cell>
          <cell r="G146" t="str">
            <v>D3</v>
          </cell>
          <cell r="H146">
            <v>1.8</v>
          </cell>
          <cell r="I146" t="str">
            <v>ton/M3</v>
          </cell>
          <cell r="L146" t="str">
            <v>2.</v>
          </cell>
          <cell r="N146" t="str">
            <v>Tukang Batu</v>
          </cell>
          <cell r="O146" t="str">
            <v>(L02)</v>
          </cell>
          <cell r="P146" t="str">
            <v>jam</v>
          </cell>
          <cell r="Q146">
            <v>1.5662650602409638</v>
          </cell>
          <cell r="R146">
            <v>4285.71</v>
          </cell>
          <cell r="U146">
            <v>6712.5578313253009</v>
          </cell>
        </row>
        <row r="147">
          <cell r="C147" t="str">
            <v>- Pasir</v>
          </cell>
          <cell r="G147" t="str">
            <v>D4</v>
          </cell>
          <cell r="H147">
            <v>1.67</v>
          </cell>
          <cell r="I147" t="str">
            <v>ton/M3</v>
          </cell>
          <cell r="L147" t="str">
            <v>3.</v>
          </cell>
          <cell r="N147" t="str">
            <v>Mandor</v>
          </cell>
          <cell r="O147" t="str">
            <v>(L03)</v>
          </cell>
          <cell r="P147" t="str">
            <v>jam</v>
          </cell>
          <cell r="Q147">
            <v>0.52208835341365456</v>
          </cell>
          <cell r="R147">
            <v>3214.29</v>
          </cell>
          <cell r="U147">
            <v>1678.1433734939758</v>
          </cell>
        </row>
        <row r="148">
          <cell r="C148" t="str">
            <v>- Semen Portland</v>
          </cell>
          <cell r="G148" t="str">
            <v>D5</v>
          </cell>
          <cell r="H148">
            <v>1.44</v>
          </cell>
          <cell r="I148" t="str">
            <v>ton/M3</v>
          </cell>
        </row>
        <row r="149">
          <cell r="Q149" t="str">
            <v xml:space="preserve">JUMLAH HARGA TENAGA   </v>
          </cell>
          <cell r="U149">
            <v>23307.496385542167</v>
          </cell>
        </row>
        <row r="150">
          <cell r="A150" t="str">
            <v>II.</v>
          </cell>
          <cell r="C150" t="str">
            <v>URUTAN KERJA</v>
          </cell>
        </row>
        <row r="151">
          <cell r="A151">
            <v>1</v>
          </cell>
          <cell r="C151" t="str">
            <v>Semen, pasir dan air dicampur dan diaduk menjadi</v>
          </cell>
          <cell r="L151" t="str">
            <v>B.</v>
          </cell>
          <cell r="N151" t="str">
            <v>BAHAN</v>
          </cell>
        </row>
        <row r="152">
          <cell r="C152" t="str">
            <v>mortar dengan menggunakan alat bantu</v>
          </cell>
        </row>
        <row r="153">
          <cell r="A153">
            <v>2</v>
          </cell>
          <cell r="C153" t="str">
            <v>Batu dibersihkan dan dibasahi seluruh permukaannya</v>
          </cell>
          <cell r="L153" t="str">
            <v>1.</v>
          </cell>
          <cell r="N153" t="str">
            <v>Batu</v>
          </cell>
          <cell r="O153" t="str">
            <v>(M02)</v>
          </cell>
          <cell r="P153" t="str">
            <v>M3</v>
          </cell>
          <cell r="Q153">
            <v>1.08</v>
          </cell>
          <cell r="R153">
            <v>166100</v>
          </cell>
          <cell r="U153">
            <v>179388</v>
          </cell>
        </row>
        <row r="154">
          <cell r="C154" t="str">
            <v>sebelum dipasang</v>
          </cell>
          <cell r="L154" t="str">
            <v>2.</v>
          </cell>
          <cell r="N154" t="str">
            <v>Semen (PC)</v>
          </cell>
          <cell r="O154" t="str">
            <v>(M12)</v>
          </cell>
          <cell r="P154" t="str">
            <v>zak</v>
          </cell>
          <cell r="Q154">
            <v>161</v>
          </cell>
          <cell r="R154">
            <v>688.65625</v>
          </cell>
          <cell r="U154">
            <v>110873.65625</v>
          </cell>
        </row>
        <row r="155">
          <cell r="A155">
            <v>3</v>
          </cell>
          <cell r="C155" t="str">
            <v>Penyelesaian dan perapihan setelah pemasangan</v>
          </cell>
          <cell r="L155" t="str">
            <v>3.</v>
          </cell>
          <cell r="N155" t="str">
            <v>Pasir</v>
          </cell>
          <cell r="O155" t="str">
            <v>(M01)</v>
          </cell>
          <cell r="P155" t="str">
            <v>M3</v>
          </cell>
          <cell r="Q155">
            <v>0.48287425149700602</v>
          </cell>
          <cell r="R155">
            <v>54300</v>
          </cell>
          <cell r="U155">
            <v>26220.071856287428</v>
          </cell>
        </row>
        <row r="157">
          <cell r="A157" t="str">
            <v>III.</v>
          </cell>
          <cell r="C157" t="str">
            <v>PEMAKAIAN BAHAN, ALAT DAN TENAGA</v>
          </cell>
        </row>
        <row r="159">
          <cell r="A159" t="str">
            <v xml:space="preserve">   1.</v>
          </cell>
          <cell r="C159" t="str">
            <v>BAHAN</v>
          </cell>
        </row>
        <row r="160">
          <cell r="A160" t="str">
            <v>1.a.</v>
          </cell>
          <cell r="C160" t="str">
            <v>Batu     -----&gt;</v>
          </cell>
          <cell r="D160" t="str">
            <v>{(Bt x D1 x 1 M3) : D2} x 1.20</v>
          </cell>
          <cell r="G160" t="str">
            <v>(M02)</v>
          </cell>
          <cell r="H160">
            <v>1.08</v>
          </cell>
          <cell r="I160" t="str">
            <v>M3</v>
          </cell>
          <cell r="J160" t="str">
            <v xml:space="preserve"> Lepas</v>
          </cell>
          <cell r="Q160" t="str">
            <v xml:space="preserve">JUMLAH HARGA BAHAN   </v>
          </cell>
          <cell r="U160">
            <v>316481.72810628742</v>
          </cell>
        </row>
        <row r="161">
          <cell r="A161" t="str">
            <v>1.b.</v>
          </cell>
          <cell r="C161" t="str">
            <v>Semen    ----&gt;</v>
          </cell>
          <cell r="D161" t="str">
            <v>Sm x {(Mr x D1 x 1 M3} : D3} x 1.05</v>
          </cell>
          <cell r="H161">
            <v>0.11200000000000002</v>
          </cell>
          <cell r="I161" t="str">
            <v>M3</v>
          </cell>
        </row>
        <row r="162">
          <cell r="D162" t="str">
            <v>x {D5 x (1000)}</v>
          </cell>
          <cell r="G162" t="str">
            <v>(M12)</v>
          </cell>
          <cell r="H162">
            <v>161</v>
          </cell>
          <cell r="I162" t="str">
            <v>Kg</v>
          </cell>
          <cell r="L162" t="str">
            <v>C.</v>
          </cell>
          <cell r="N162" t="str">
            <v>PERALATAN</v>
          </cell>
          <cell r="R162" t="str">
            <v>PE</v>
          </cell>
        </row>
        <row r="163">
          <cell r="A163" t="str">
            <v>1.c.</v>
          </cell>
          <cell r="C163" t="str">
            <v>Pasir    -----&gt;</v>
          </cell>
          <cell r="D163" t="str">
            <v>Ps x {(Mr x D1 x 1 M3) : D4} x 1.05</v>
          </cell>
          <cell r="G163" t="str">
            <v>(M01)</v>
          </cell>
          <cell r="H163">
            <v>0.48287425149700602</v>
          </cell>
          <cell r="I163" t="str">
            <v>M3</v>
          </cell>
        </row>
        <row r="164">
          <cell r="L164" t="str">
            <v>1.</v>
          </cell>
          <cell r="N164" t="str">
            <v>Conc. Mixer</v>
          </cell>
          <cell r="O164" t="str">
            <v>(E06)</v>
          </cell>
          <cell r="P164" t="str">
            <v>jam</v>
          </cell>
          <cell r="Q164">
            <v>0.52208835341365456</v>
          </cell>
          <cell r="R164">
            <v>47472.058636363639</v>
          </cell>
          <cell r="U164">
            <v>24784.60892661555</v>
          </cell>
        </row>
        <row r="165">
          <cell r="A165" t="str">
            <v>2.</v>
          </cell>
          <cell r="C165" t="str">
            <v>ALAT</v>
          </cell>
          <cell r="L165" t="str">
            <v>2.</v>
          </cell>
          <cell r="N165" t="str">
            <v>Alat Bantu</v>
          </cell>
          <cell r="P165" t="str">
            <v>Ls</v>
          </cell>
          <cell r="Q165">
            <v>1</v>
          </cell>
          <cell r="R165">
            <v>900</v>
          </cell>
          <cell r="U165">
            <v>900</v>
          </cell>
        </row>
        <row r="166">
          <cell r="A166" t="str">
            <v>2.a.</v>
          </cell>
          <cell r="C166" t="str">
            <v>CONCRETE MIXER</v>
          </cell>
          <cell r="G166" t="str">
            <v>(E06)</v>
          </cell>
        </row>
        <row r="167">
          <cell r="C167" t="str">
            <v>Kapasitas Alat</v>
          </cell>
          <cell r="G167" t="str">
            <v>V</v>
          </cell>
          <cell r="H167">
            <v>500</v>
          </cell>
          <cell r="I167" t="str">
            <v>Liter</v>
          </cell>
        </row>
        <row r="168">
          <cell r="C168" t="str">
            <v>Faktor Efisiensi Alat</v>
          </cell>
          <cell r="G168" t="str">
            <v>Fa</v>
          </cell>
          <cell r="H168">
            <v>0.83</v>
          </cell>
          <cell r="I168" t="str">
            <v>-</v>
          </cell>
        </row>
        <row r="169">
          <cell r="C169" t="str">
            <v>Waktu siklus   :</v>
          </cell>
          <cell r="D169" t="str">
            <v>(T1 + T2 + T3 + T4)</v>
          </cell>
        </row>
        <row r="170">
          <cell r="C170" t="str">
            <v>-  Memuat</v>
          </cell>
          <cell r="G170" t="str">
            <v>T1</v>
          </cell>
          <cell r="H170">
            <v>5</v>
          </cell>
          <cell r="I170" t="str">
            <v>menit</v>
          </cell>
        </row>
        <row r="171">
          <cell r="C171" t="str">
            <v>-  Mengaduk</v>
          </cell>
          <cell r="G171" t="str">
            <v>T2</v>
          </cell>
          <cell r="H171">
            <v>3.5</v>
          </cell>
          <cell r="I171" t="str">
            <v>menit</v>
          </cell>
          <cell r="Q171" t="str">
            <v xml:space="preserve">JUMLAH HARGA PERALATAN   </v>
          </cell>
          <cell r="U171">
            <v>25684.60892661555</v>
          </cell>
        </row>
        <row r="172">
          <cell r="C172" t="str">
            <v>-  Menuang</v>
          </cell>
          <cell r="G172" t="str">
            <v>T3</v>
          </cell>
          <cell r="H172">
            <v>3</v>
          </cell>
          <cell r="I172" t="str">
            <v>menit</v>
          </cell>
        </row>
        <row r="173">
          <cell r="C173" t="str">
            <v>-  Menunggu, dll.</v>
          </cell>
          <cell r="G173" t="str">
            <v>T4</v>
          </cell>
          <cell r="H173">
            <v>1.5</v>
          </cell>
          <cell r="I173" t="str">
            <v>menit</v>
          </cell>
          <cell r="L173" t="str">
            <v>D.</v>
          </cell>
          <cell r="N173" t="str">
            <v>JUMLAH HARGA TENAGA, BAHAN DAN PERALATAN  ( A + B + C )</v>
          </cell>
          <cell r="U173">
            <v>365473.83341844514</v>
          </cell>
        </row>
        <row r="174">
          <cell r="G174" t="str">
            <v>Ts1</v>
          </cell>
          <cell r="H174">
            <v>13</v>
          </cell>
          <cell r="I174" t="str">
            <v>menit</v>
          </cell>
          <cell r="L174" t="str">
            <v>E.</v>
          </cell>
          <cell r="N174" t="str">
            <v>OVERHEAD &amp; PROFIT</v>
          </cell>
          <cell r="P174">
            <v>10</v>
          </cell>
          <cell r="Q174" t="str">
            <v>%  x  D</v>
          </cell>
          <cell r="U174">
            <v>36547.383341844514</v>
          </cell>
        </row>
        <row r="175">
          <cell r="L175" t="str">
            <v>F.</v>
          </cell>
          <cell r="N175" t="str">
            <v>HARGA SATUAN PEKERJAAN  ( D + E )</v>
          </cell>
          <cell r="U175">
            <v>402021.21676028962</v>
          </cell>
        </row>
        <row r="176">
          <cell r="C176" t="str">
            <v>Kap. Prod. / jam  =</v>
          </cell>
          <cell r="D176" t="str">
            <v>V x Fa x 60</v>
          </cell>
          <cell r="G176" t="str">
            <v>Q1</v>
          </cell>
          <cell r="H176">
            <v>1.9153846153846155</v>
          </cell>
          <cell r="I176" t="str">
            <v>M3</v>
          </cell>
          <cell r="L176" t="str">
            <v>Note: 1</v>
          </cell>
          <cell r="N176" t="str">
            <v>SATUAN dapat berdasarkan atas jam operasi untuk Tenaga Kerja dan Peralatan, volume dan/atau ukuran</v>
          </cell>
        </row>
        <row r="177">
          <cell r="D177" t="str">
            <v>1000 x Ts1</v>
          </cell>
          <cell r="N177" t="str">
            <v>berat untuk bahan-bahan.</v>
          </cell>
        </row>
        <row r="178">
          <cell r="L178">
            <v>2</v>
          </cell>
          <cell r="N178" t="str">
            <v>Kuantitas satuan adalah kuantitas setiap komponen untuk menyelesaikan satu satuan pekerjaan dari nomor</v>
          </cell>
        </row>
        <row r="179">
          <cell r="C179" t="str">
            <v>Koefisien Alat / M3</v>
          </cell>
          <cell r="D179" t="str">
            <v xml:space="preserve">  =   1  :  Q1</v>
          </cell>
          <cell r="G179" t="str">
            <v>(E06)</v>
          </cell>
          <cell r="H179">
            <v>0.52208835341365456</v>
          </cell>
          <cell r="I179" t="str">
            <v>jam</v>
          </cell>
          <cell r="N179" t="str">
            <v>mata pembayaran.</v>
          </cell>
        </row>
        <row r="180">
          <cell r="L180">
            <v>3</v>
          </cell>
          <cell r="N180" t="str">
            <v>Biaya satuan untuk peralatan sudah termasuk bahan bakar, bahan habis dipakai dan operator.</v>
          </cell>
        </row>
        <row r="181">
          <cell r="L181">
            <v>4</v>
          </cell>
          <cell r="N181" t="str">
            <v>Biaya satuan sudah termasuk pengeluaran untuk seluruh pajak yang berkaitan (tetapi tidak termasuk PPN</v>
          </cell>
        </row>
        <row r="182">
          <cell r="N182" t="str">
            <v>yang dibayar dari kontrak) dan biaya-biaya lainnya.</v>
          </cell>
        </row>
        <row r="183">
          <cell r="J183" t="str">
            <v>Berlanjut ke halaman berikut</v>
          </cell>
        </row>
        <row r="184">
          <cell r="A184" t="str">
            <v>ITEM PEMBAYARAN NO.</v>
          </cell>
          <cell r="D184" t="str">
            <v>:  2.2</v>
          </cell>
          <cell r="J184" t="str">
            <v xml:space="preserve">Analisa EI-22 </v>
          </cell>
        </row>
        <row r="185">
          <cell r="A185" t="str">
            <v>JENIS PEKERJAAN</v>
          </cell>
          <cell r="D185" t="str">
            <v>:  Pasangan Batu Dengan Mortar untuk Saluran</v>
          </cell>
        </row>
        <row r="186">
          <cell r="A186" t="str">
            <v>SATUAN PEMBAYARAN</v>
          </cell>
          <cell r="D186" t="str">
            <v>:  M3</v>
          </cell>
          <cell r="J186" t="str">
            <v xml:space="preserve">         URAIAN ANALISA HARGA SATUAN</v>
          </cell>
        </row>
        <row r="187">
          <cell r="J187" t="str">
            <v>Lanjutan</v>
          </cell>
        </row>
        <row r="189">
          <cell r="A189" t="str">
            <v>No.</v>
          </cell>
          <cell r="C189" t="str">
            <v>U R A I A N</v>
          </cell>
          <cell r="G189" t="str">
            <v>KODE</v>
          </cell>
          <cell r="H189" t="str">
            <v>KOEF.</v>
          </cell>
          <cell r="I189" t="str">
            <v>SATUAN</v>
          </cell>
          <cell r="J189" t="str">
            <v>KETERANGAN</v>
          </cell>
        </row>
        <row r="193">
          <cell r="A193" t="str">
            <v>2.a.</v>
          </cell>
          <cell r="C193" t="str">
            <v>ALAT BANTU</v>
          </cell>
          <cell r="I193" t="str">
            <v>Lump Sum</v>
          </cell>
        </row>
        <row r="194">
          <cell r="C194" t="str">
            <v>Diperlukan  :</v>
          </cell>
        </row>
        <row r="195">
          <cell r="C195" t="str">
            <v>- Sekop</v>
          </cell>
          <cell r="D195" t="str">
            <v>=  4  buah</v>
          </cell>
        </row>
        <row r="196">
          <cell r="C196" t="str">
            <v>- Pacul</v>
          </cell>
          <cell r="D196" t="str">
            <v>=  4  buah</v>
          </cell>
        </row>
        <row r="197">
          <cell r="C197" t="str">
            <v>- Sendok Semen</v>
          </cell>
          <cell r="D197" t="str">
            <v>=  4  buah</v>
          </cell>
        </row>
        <row r="198">
          <cell r="C198" t="str">
            <v>- Ember Cor</v>
          </cell>
          <cell r="D198" t="str">
            <v>=  8  buah</v>
          </cell>
        </row>
        <row r="199">
          <cell r="C199" t="str">
            <v>- Gerobak Dorong</v>
          </cell>
          <cell r="D199" t="str">
            <v>=  3  buah</v>
          </cell>
        </row>
        <row r="203">
          <cell r="A203" t="str">
            <v>3.</v>
          </cell>
          <cell r="C203" t="str">
            <v>TENAGA</v>
          </cell>
        </row>
        <row r="204">
          <cell r="C204" t="str">
            <v>Produksi Pas. Batu yang menentukan</v>
          </cell>
          <cell r="E204" t="str">
            <v>( Prod. C. Mixer )</v>
          </cell>
          <cell r="G204" t="str">
            <v>Q1</v>
          </cell>
          <cell r="H204">
            <v>1.9153846153846155</v>
          </cell>
          <cell r="I204" t="str">
            <v>M3/Jam</v>
          </cell>
        </row>
        <row r="205">
          <cell r="C205" t="str">
            <v>Produksi Pasangan Batu dalam 1 hari  =  Tk x Q1</v>
          </cell>
          <cell r="G205" t="str">
            <v>Qt</v>
          </cell>
          <cell r="H205">
            <v>13.407692307692308</v>
          </cell>
          <cell r="I205" t="str">
            <v>M3</v>
          </cell>
        </row>
        <row r="207">
          <cell r="C207" t="str">
            <v>Kebutuhan tenaga :</v>
          </cell>
          <cell r="D207" t="str">
            <v>- Mandor</v>
          </cell>
          <cell r="G207" t="str">
            <v>M</v>
          </cell>
          <cell r="H207">
            <v>1</v>
          </cell>
          <cell r="I207" t="str">
            <v>orang</v>
          </cell>
        </row>
        <row r="208">
          <cell r="D208" t="str">
            <v>- Tukang Batu</v>
          </cell>
          <cell r="G208" t="str">
            <v>Tb</v>
          </cell>
          <cell r="H208">
            <v>3</v>
          </cell>
          <cell r="I208" t="str">
            <v>orang</v>
          </cell>
        </row>
        <row r="209">
          <cell r="D209" t="str">
            <v>- Pekerja</v>
          </cell>
          <cell r="G209" t="str">
            <v>P</v>
          </cell>
          <cell r="H209">
            <v>10</v>
          </cell>
          <cell r="I209" t="str">
            <v>orang</v>
          </cell>
        </row>
        <row r="211">
          <cell r="C211" t="str">
            <v>Koefisien Tenaga / M3   :</v>
          </cell>
        </row>
        <row r="212">
          <cell r="D212" t="str">
            <v>-  Mandor</v>
          </cell>
          <cell r="E212" t="str">
            <v>= (Tk x M) : Qt</v>
          </cell>
          <cell r="G212" t="str">
            <v>(L03)</v>
          </cell>
          <cell r="H212">
            <v>0.52208835341365456</v>
          </cell>
          <cell r="I212" t="str">
            <v>jam</v>
          </cell>
        </row>
        <row r="213">
          <cell r="D213" t="str">
            <v>-  Tukang</v>
          </cell>
          <cell r="E213" t="str">
            <v>= (Tk x Tb) : Qt</v>
          </cell>
          <cell r="G213" t="str">
            <v>(L02)</v>
          </cell>
          <cell r="H213">
            <v>1.5662650602409638</v>
          </cell>
          <cell r="I213" t="str">
            <v>jam</v>
          </cell>
        </row>
        <row r="214">
          <cell r="D214" t="str">
            <v>-  Pekerja</v>
          </cell>
          <cell r="E214" t="str">
            <v>= (Tk x P) : Qt</v>
          </cell>
          <cell r="G214" t="str">
            <v>(L01)</v>
          </cell>
          <cell r="H214">
            <v>5.2208835341365463</v>
          </cell>
          <cell r="I214" t="str">
            <v>jam</v>
          </cell>
        </row>
        <row r="216">
          <cell r="A216" t="str">
            <v>4.</v>
          </cell>
          <cell r="C216" t="str">
            <v>HARGA DASAR SATUAN UPAH, BAHAN DAN ALAT</v>
          </cell>
        </row>
        <row r="217">
          <cell r="C217" t="str">
            <v>Lihat lampiran.</v>
          </cell>
        </row>
        <row r="219">
          <cell r="A219" t="str">
            <v>5.</v>
          </cell>
          <cell r="C219" t="str">
            <v>ANALISA HARGA SATUAN PEKERJAAN</v>
          </cell>
        </row>
        <row r="220">
          <cell r="C220" t="str">
            <v>Lihat perhitungan dalam FORMULIR STANDAR UNTUK</v>
          </cell>
        </row>
        <row r="221">
          <cell r="C221" t="str">
            <v>PEREKEMAN ANALISA MASING-MASING HARGA</v>
          </cell>
        </row>
        <row r="222">
          <cell r="C222" t="str">
            <v>SATUAN.</v>
          </cell>
        </row>
        <row r="223">
          <cell r="C223" t="str">
            <v>Didapat Harga Satuan Pekerjaan :</v>
          </cell>
        </row>
        <row r="225">
          <cell r="C225" t="str">
            <v xml:space="preserve">Rp.  </v>
          </cell>
          <cell r="D225">
            <v>402021.21676028962</v>
          </cell>
          <cell r="E225" t="str">
            <v xml:space="preserve"> / M3</v>
          </cell>
        </row>
        <row r="228">
          <cell r="A228" t="str">
            <v>6.</v>
          </cell>
          <cell r="C228" t="str">
            <v>WAKTU PELAKSANAAN YANG DIPERLUKAN</v>
          </cell>
        </row>
        <row r="229">
          <cell r="C229" t="str">
            <v>Masa Pelaksanaan :</v>
          </cell>
          <cell r="D229" t="str">
            <v>. . . . . . . . . . . .</v>
          </cell>
          <cell r="E229" t="str">
            <v>bulan</v>
          </cell>
        </row>
        <row r="231">
          <cell r="A231" t="str">
            <v>7.</v>
          </cell>
          <cell r="C231" t="str">
            <v>VOLUME PEKERJAAN YANG DIPERLUKAN</v>
          </cell>
        </row>
        <row r="232">
          <cell r="C232" t="str">
            <v>Volume pekerjaan  :</v>
          </cell>
          <cell r="D232">
            <v>1</v>
          </cell>
          <cell r="E232" t="str">
            <v>M3</v>
          </cell>
        </row>
        <row r="243">
          <cell r="A243" t="str">
            <v>ITEM PEMBAYARAN NO.</v>
          </cell>
          <cell r="D243" t="str">
            <v>:  2.3 (1)</v>
          </cell>
          <cell r="J243" t="str">
            <v xml:space="preserve">Analisa EI-231 </v>
          </cell>
        </row>
        <row r="244">
          <cell r="A244" t="str">
            <v>JENIS PEKERJAAN</v>
          </cell>
          <cell r="D244" t="str">
            <v>:  Gorong2 Pipa Beton Bertulang Diameter &lt; 500 mm</v>
          </cell>
          <cell r="L244" t="str">
            <v>FORMULIR STANDAR UNTUK</v>
          </cell>
        </row>
        <row r="245">
          <cell r="A245" t="str">
            <v>SATUAN PEMBAYARAN</v>
          </cell>
          <cell r="D245" t="str">
            <v>:  M1</v>
          </cell>
          <cell r="J245" t="str">
            <v xml:space="preserve">         URAIAN ANALISA HARGA SATUAN</v>
          </cell>
          <cell r="L245" t="str">
            <v>PEREKAMAN ANALISA MASING-MASING HARGA SATUAN</v>
          </cell>
        </row>
        <row r="246">
          <cell r="L246" t="str">
            <v/>
          </cell>
        </row>
        <row r="248">
          <cell r="A248" t="str">
            <v>No.</v>
          </cell>
          <cell r="C248" t="str">
            <v>U R A I A N</v>
          </cell>
          <cell r="G248" t="str">
            <v>KODE</v>
          </cell>
          <cell r="H248" t="str">
            <v>KOEF.</v>
          </cell>
          <cell r="I248" t="str">
            <v>SATUAN</v>
          </cell>
          <cell r="J248" t="str">
            <v>KETERANGAN</v>
          </cell>
        </row>
        <row r="249">
          <cell r="L249" t="str">
            <v>PROYEK</v>
          </cell>
          <cell r="O249" t="str">
            <v>:</v>
          </cell>
        </row>
        <row r="250">
          <cell r="L250" t="str">
            <v>No. PAKET KONTRAK</v>
          </cell>
          <cell r="O250" t="str">
            <v>:</v>
          </cell>
        </row>
        <row r="251">
          <cell r="A251" t="str">
            <v>I.</v>
          </cell>
          <cell r="C251" t="str">
            <v>ASUMSI</v>
          </cell>
          <cell r="L251" t="str">
            <v>NAMA PAKET</v>
          </cell>
          <cell r="O251" t="str">
            <v>:</v>
          </cell>
        </row>
        <row r="252">
          <cell r="A252">
            <v>1</v>
          </cell>
          <cell r="C252" t="str">
            <v>Pekerjaan dilakukan secara mekanik/manual</v>
          </cell>
          <cell r="L252" t="str">
            <v>PROP / KAB / KODYA</v>
          </cell>
          <cell r="O252" t="str">
            <v>:</v>
          </cell>
        </row>
        <row r="253">
          <cell r="A253">
            <v>2</v>
          </cell>
          <cell r="C253" t="str">
            <v>Lokasi pekerjaan : sepanjang jalan</v>
          </cell>
          <cell r="L253" t="str">
            <v>ITEM PEMBAYARAN NO.</v>
          </cell>
          <cell r="O253" t="str">
            <v>:  2.3 (1)</v>
          </cell>
          <cell r="R253" t="str">
            <v>PERKIRAAN VOL. PEK.</v>
          </cell>
          <cell r="T253" t="str">
            <v>:</v>
          </cell>
          <cell r="U253">
            <v>1</v>
          </cell>
        </row>
        <row r="254">
          <cell r="A254">
            <v>3</v>
          </cell>
          <cell r="C254" t="str">
            <v>Diameter bagian dalam gorong-gorong</v>
          </cell>
          <cell r="G254" t="str">
            <v>d</v>
          </cell>
          <cell r="H254">
            <v>0.5</v>
          </cell>
          <cell r="I254" t="str">
            <v>m</v>
          </cell>
          <cell r="L254" t="str">
            <v>JENIS PEKERJAAN</v>
          </cell>
          <cell r="O254" t="str">
            <v>:  Gorong2 Pipa Beton Bertulang Diameter &lt; 500 mm</v>
          </cell>
          <cell r="R254" t="str">
            <v>TOTAL HARGA (Rp.)</v>
          </cell>
          <cell r="T254" t="str">
            <v>:</v>
          </cell>
          <cell r="U254">
            <v>218715.29344341051</v>
          </cell>
        </row>
        <row r="255">
          <cell r="A255">
            <v>4</v>
          </cell>
          <cell r="C255" t="str">
            <v>Jarak rata-rata Base Camp ke lokasi pekerjaan</v>
          </cell>
          <cell r="G255" t="str">
            <v>L</v>
          </cell>
          <cell r="H255">
            <v>8.7249999999999996</v>
          </cell>
          <cell r="I255" t="str">
            <v>Km</v>
          </cell>
          <cell r="L255" t="str">
            <v>SATUAN PEMBAYARAN</v>
          </cell>
          <cell r="O255" t="str">
            <v>:  M1</v>
          </cell>
          <cell r="Q255">
            <v>0</v>
          </cell>
          <cell r="R255" t="str">
            <v>% THD. BIAYA PROYEK</v>
          </cell>
          <cell r="T255" t="str">
            <v>:</v>
          </cell>
          <cell r="U255" t="e">
            <v>#DIV/0!</v>
          </cell>
        </row>
        <row r="256">
          <cell r="A256">
            <v>5</v>
          </cell>
          <cell r="C256" t="str">
            <v>Jam kerja efektif per-hari</v>
          </cell>
          <cell r="G256" t="str">
            <v>Tk</v>
          </cell>
          <cell r="H256">
            <v>7</v>
          </cell>
          <cell r="I256" t="str">
            <v>jam</v>
          </cell>
        </row>
        <row r="257">
          <cell r="A257">
            <v>6</v>
          </cell>
          <cell r="C257" t="str">
            <v>Tebal gorong-gorong</v>
          </cell>
          <cell r="G257" t="str">
            <v>tg</v>
          </cell>
          <cell r="H257">
            <v>6.5</v>
          </cell>
          <cell r="I257" t="str">
            <v>Cm</v>
          </cell>
        </row>
        <row r="258">
          <cell r="Q258" t="str">
            <v>PERKIRAAN</v>
          </cell>
          <cell r="R258" t="str">
            <v>HARGA</v>
          </cell>
          <cell r="S258" t="str">
            <v>JUMLAH</v>
          </cell>
        </row>
        <row r="259">
          <cell r="A259" t="str">
            <v>II.</v>
          </cell>
          <cell r="C259" t="str">
            <v>URUTAN KERJA</v>
          </cell>
          <cell r="L259" t="str">
            <v>NO.</v>
          </cell>
          <cell r="N259" t="str">
            <v>KOMPONEN</v>
          </cell>
          <cell r="P259" t="str">
            <v>SATUAN</v>
          </cell>
          <cell r="Q259" t="str">
            <v>KUANTITAS</v>
          </cell>
          <cell r="R259" t="str">
            <v>SATUAN</v>
          </cell>
          <cell r="S259" t="str">
            <v>HARGA</v>
          </cell>
        </row>
        <row r="260">
          <cell r="A260">
            <v>1</v>
          </cell>
          <cell r="C260" t="str">
            <v>Gorong-gorong dicetak di Base Camp</v>
          </cell>
          <cell r="R260" t="str">
            <v>(Rp.)</v>
          </cell>
          <cell r="S260" t="str">
            <v>(Rp.)</v>
          </cell>
        </row>
        <row r="261">
          <cell r="A261">
            <v>2</v>
          </cell>
          <cell r="C261" t="str">
            <v>Dump Truck mengangkut gorong-gorong jadi</v>
          </cell>
        </row>
        <row r="262">
          <cell r="C262" t="str">
            <v>ke lapangan</v>
          </cell>
          <cell r="P262">
            <v>0.832874251497006</v>
          </cell>
        </row>
        <row r="263">
          <cell r="A263">
            <v>3</v>
          </cell>
          <cell r="C263" t="str">
            <v>Dasar gorong-gorong digali sesuai kebutuhan dan ma-</v>
          </cell>
          <cell r="L263" t="str">
            <v>A.</v>
          </cell>
          <cell r="N263" t="str">
            <v>TENAGA</v>
          </cell>
        </row>
        <row r="264">
          <cell r="C264" t="str">
            <v>terial backfill dipadatkan dengan Tamper</v>
          </cell>
        </row>
        <row r="265">
          <cell r="A265">
            <v>4</v>
          </cell>
          <cell r="C265" t="str">
            <v>Tebal lapis porus pada dasar gorong-gorong pipa</v>
          </cell>
          <cell r="G265" t="str">
            <v>tp</v>
          </cell>
          <cell r="H265">
            <v>0.1</v>
          </cell>
          <cell r="I265" t="str">
            <v>M</v>
          </cell>
          <cell r="J265" t="str">
            <v xml:space="preserve"> Sand bedding</v>
          </cell>
          <cell r="L265" t="str">
            <v>1.</v>
          </cell>
          <cell r="N265" t="str">
            <v>Pekerja</v>
          </cell>
          <cell r="O265" t="str">
            <v>(L01)</v>
          </cell>
          <cell r="P265" t="str">
            <v>jam</v>
          </cell>
          <cell r="Q265">
            <v>2.3333333333333335</v>
          </cell>
          <cell r="R265">
            <v>2857.14</v>
          </cell>
          <cell r="U265">
            <v>6666.66</v>
          </cell>
        </row>
        <row r="266">
          <cell r="A266">
            <v>5</v>
          </cell>
          <cell r="C266" t="str">
            <v>Material pilihan untuk penimbunan kembali (padat)</v>
          </cell>
          <cell r="L266" t="str">
            <v>2.</v>
          </cell>
          <cell r="N266" t="str">
            <v>Tukang</v>
          </cell>
          <cell r="O266" t="str">
            <v>(L02)</v>
          </cell>
          <cell r="P266" t="str">
            <v>jam</v>
          </cell>
          <cell r="Q266">
            <v>0.93333333333333335</v>
          </cell>
          <cell r="R266">
            <v>4285.71</v>
          </cell>
          <cell r="U266">
            <v>3999.9960000000001</v>
          </cell>
        </row>
        <row r="267">
          <cell r="A267">
            <v>6</v>
          </cell>
          <cell r="C267" t="str">
            <v>Sekelompok pekerja akan melaksanakan pekerjaan</v>
          </cell>
          <cell r="L267" t="str">
            <v>3.</v>
          </cell>
          <cell r="N267" t="str">
            <v>Mandor</v>
          </cell>
          <cell r="O267" t="str">
            <v>(L03)</v>
          </cell>
          <cell r="P267" t="str">
            <v>jam</v>
          </cell>
          <cell r="Q267">
            <v>0.46666666666666667</v>
          </cell>
          <cell r="R267">
            <v>3214.29</v>
          </cell>
          <cell r="U267">
            <v>1500.002</v>
          </cell>
        </row>
        <row r="268">
          <cell r="C268" t="str">
            <v>dengan cara manual dengan menggunakan alat bantu</v>
          </cell>
        </row>
        <row r="269">
          <cell r="Q269" t="str">
            <v xml:space="preserve">JUMLAH HARGA TENAGA   </v>
          </cell>
          <cell r="U269">
            <v>12166.657999999999</v>
          </cell>
        </row>
        <row r="271">
          <cell r="A271" t="str">
            <v>III.</v>
          </cell>
          <cell r="C271" t="str">
            <v>PEMAKAIAN BAHAN, ALAT DAN TENAGA</v>
          </cell>
          <cell r="L271" t="str">
            <v>B.</v>
          </cell>
          <cell r="N271" t="str">
            <v>BAHAN</v>
          </cell>
        </row>
        <row r="272">
          <cell r="A272" t="str">
            <v xml:space="preserve">   1.</v>
          </cell>
          <cell r="C272" t="str">
            <v>BAHAN</v>
          </cell>
        </row>
        <row r="273">
          <cell r="C273" t="str">
            <v>Untuk mendapatkan 1 M' gorong-gorong diperlukan</v>
          </cell>
          <cell r="L273" t="str">
            <v>1.</v>
          </cell>
          <cell r="N273" t="str">
            <v>Beton K-300</v>
          </cell>
          <cell r="O273" t="str">
            <v>(EI-714)</v>
          </cell>
          <cell r="P273" t="str">
            <v>M3</v>
          </cell>
          <cell r="Q273">
            <v>0.11537499020308517</v>
          </cell>
          <cell r="R273">
            <v>652902.54982502444</v>
          </cell>
          <cell r="U273">
            <v>75328.625289631527</v>
          </cell>
        </row>
        <row r="274">
          <cell r="C274" t="str">
            <v>- Beton K-300 = (22/7*((2*tg/100+d)/2)^2)-(22/7*(d/2)^2))*1</v>
          </cell>
          <cell r="G274" t="str">
            <v>(EI-714)</v>
          </cell>
          <cell r="H274">
            <v>0.11537499020308517</v>
          </cell>
          <cell r="I274" t="str">
            <v>M3</v>
          </cell>
          <cell r="L274" t="str">
            <v>2.</v>
          </cell>
          <cell r="N274" t="str">
            <v>Baja Tulangan</v>
          </cell>
          <cell r="O274" t="str">
            <v>(M39)</v>
          </cell>
          <cell r="P274" t="str">
            <v>Kg</v>
          </cell>
          <cell r="Q274">
            <v>12.691248922339369</v>
          </cell>
          <cell r="R274">
            <v>4000</v>
          </cell>
          <cell r="U274">
            <v>50764.995689357478</v>
          </cell>
        </row>
        <row r="275">
          <cell r="C275" t="str">
            <v>- Baja Tulangan (asumsi 100kg/m3)</v>
          </cell>
          <cell r="G275" t="str">
            <v>(M39)</v>
          </cell>
          <cell r="H275">
            <v>12.691248922339369</v>
          </cell>
          <cell r="I275" t="str">
            <v>Kg</v>
          </cell>
          <cell r="L275" t="str">
            <v>3.</v>
          </cell>
          <cell r="N275" t="str">
            <v>Urugan Porus</v>
          </cell>
          <cell r="O275" t="str">
            <v>(EI-241)</v>
          </cell>
          <cell r="P275" t="str">
            <v>M3</v>
          </cell>
          <cell r="Q275">
            <v>0.12915000000000001</v>
          </cell>
          <cell r="R275">
            <v>186901.40625406182</v>
          </cell>
          <cell r="U275">
            <v>24138.316617712087</v>
          </cell>
        </row>
        <row r="276">
          <cell r="C276" t="str">
            <v>- Timbunan Porus      = {(tp*(0.3+2*tg/100+d+0.3)*1)*1.05}</v>
          </cell>
          <cell r="G276" t="str">
            <v>(EI-241)</v>
          </cell>
          <cell r="H276">
            <v>0.12915000000000001</v>
          </cell>
          <cell r="I276" t="str">
            <v>M3</v>
          </cell>
          <cell r="L276" t="str">
            <v>4.</v>
          </cell>
          <cell r="N276" t="str">
            <v>Mat. Pilihan</v>
          </cell>
          <cell r="O276" t="str">
            <v>(M09)</v>
          </cell>
          <cell r="P276" t="str">
            <v>M3</v>
          </cell>
          <cell r="Q276">
            <v>0.87365249999999994</v>
          </cell>
          <cell r="R276">
            <v>25000</v>
          </cell>
          <cell r="U276">
            <v>21841.3125</v>
          </cell>
        </row>
        <row r="277">
          <cell r="C277" t="str">
            <v>- Material Pilihan</v>
          </cell>
          <cell r="D277" t="str">
            <v>= ((2*tg/100+d+0.3)*(0.3+2*tg/100+d+0.3)</v>
          </cell>
          <cell r="G277" t="str">
            <v>(M09)</v>
          </cell>
          <cell r="H277">
            <v>0.87365249999999994</v>
          </cell>
          <cell r="I277" t="str">
            <v>M3</v>
          </cell>
          <cell r="J277" t="str">
            <v xml:space="preserve"> = Vp</v>
          </cell>
        </row>
        <row r="278">
          <cell r="D278" t="str">
            <v xml:space="preserve">   -(22/7*(0.5*(2*tg/100+d))^2))*1*1.05</v>
          </cell>
        </row>
        <row r="279">
          <cell r="A279" t="str">
            <v xml:space="preserve">   2.</v>
          </cell>
          <cell r="C279" t="str">
            <v>ALAT</v>
          </cell>
          <cell r="Q279" t="str">
            <v xml:space="preserve">JUMLAH HARGA BAHAN   </v>
          </cell>
          <cell r="U279">
            <v>172073.25009670109</v>
          </cell>
        </row>
        <row r="280">
          <cell r="A280" t="str">
            <v>2.a.</v>
          </cell>
          <cell r="C280" t="str">
            <v>TAMPER</v>
          </cell>
          <cell r="G280" t="str">
            <v>(E25)</v>
          </cell>
        </row>
        <row r="281">
          <cell r="C281" t="str">
            <v>Kecepatan</v>
          </cell>
          <cell r="G281" t="str">
            <v>v</v>
          </cell>
          <cell r="H281">
            <v>0.5</v>
          </cell>
          <cell r="I281" t="str">
            <v>Km / Jam</v>
          </cell>
          <cell r="L281" t="str">
            <v>C.</v>
          </cell>
          <cell r="N281" t="str">
            <v>PERALATAN</v>
          </cell>
        </row>
        <row r="282">
          <cell r="C282" t="str">
            <v>Efisiensi alat</v>
          </cell>
          <cell r="G282" t="str">
            <v>Fa</v>
          </cell>
          <cell r="H282">
            <v>0.83</v>
          </cell>
          <cell r="I282" t="str">
            <v>-</v>
          </cell>
        </row>
        <row r="283">
          <cell r="C283" t="str">
            <v>Lebar pemadatan</v>
          </cell>
          <cell r="G283" t="str">
            <v>Lb</v>
          </cell>
          <cell r="H283">
            <v>0.4</v>
          </cell>
          <cell r="I283" t="str">
            <v>M</v>
          </cell>
          <cell r="L283" t="str">
            <v>1.</v>
          </cell>
          <cell r="N283" t="str">
            <v>Tamper</v>
          </cell>
          <cell r="O283" t="str">
            <v>(E25)</v>
          </cell>
          <cell r="P283" t="str">
            <v>jam</v>
          </cell>
          <cell r="Q283">
            <v>0.26314834337349391</v>
          </cell>
          <cell r="R283">
            <v>18672.16854694486</v>
          </cell>
          <cell r="U283">
            <v>4913.5502203191991</v>
          </cell>
        </row>
        <row r="284">
          <cell r="C284" t="str">
            <v>Banyak lintasan</v>
          </cell>
          <cell r="G284" t="str">
            <v>n</v>
          </cell>
          <cell r="H284">
            <v>10</v>
          </cell>
          <cell r="I284" t="str">
            <v>lintasan</v>
          </cell>
          <cell r="L284" t="str">
            <v>2.</v>
          </cell>
          <cell r="N284" t="str">
            <v>Dump Truck</v>
          </cell>
          <cell r="O284" t="str">
            <v>(E08)</v>
          </cell>
          <cell r="P284" t="str">
            <v>jam</v>
          </cell>
          <cell r="Q284">
            <v>5.9738955823293166E-2</v>
          </cell>
          <cell r="R284">
            <v>153645.58193291764</v>
          </cell>
          <cell r="U284">
            <v>9178.6266315347384</v>
          </cell>
        </row>
        <row r="285">
          <cell r="C285" t="str">
            <v>Tebal lapis hamparan</v>
          </cell>
          <cell r="G285" t="str">
            <v>tp</v>
          </cell>
          <cell r="H285">
            <v>0.2</v>
          </cell>
          <cell r="I285" t="str">
            <v>M</v>
          </cell>
          <cell r="L285" t="str">
            <v>3.</v>
          </cell>
          <cell r="N285" t="str">
            <v>Alat  Bantu</v>
          </cell>
          <cell r="P285" t="str">
            <v>Ls</v>
          </cell>
          <cell r="Q285">
            <v>1</v>
          </cell>
          <cell r="R285">
            <v>500</v>
          </cell>
          <cell r="U285">
            <v>500</v>
          </cell>
        </row>
        <row r="288">
          <cell r="C288" t="str">
            <v>Kap. Prod. / Jam   =</v>
          </cell>
          <cell r="D288" t="str">
            <v>v x 1000 x Fa x Lb x 60</v>
          </cell>
          <cell r="G288" t="str">
            <v>Q1</v>
          </cell>
          <cell r="H288">
            <v>3.3200000000000003</v>
          </cell>
          <cell r="I288" t="str">
            <v xml:space="preserve">M3 / Jam </v>
          </cell>
        </row>
        <row r="289">
          <cell r="D289" t="str">
            <v xml:space="preserve">    n x tp</v>
          </cell>
        </row>
        <row r="291">
          <cell r="C291" t="str">
            <v>Koefisien Alat / m'</v>
          </cell>
          <cell r="D291" t="str">
            <v xml:space="preserve"> =  1  :  Q1 x Vp</v>
          </cell>
          <cell r="G291" t="str">
            <v>(E25)</v>
          </cell>
          <cell r="H291">
            <v>0.26314834337349391</v>
          </cell>
          <cell r="I291" t="str">
            <v>jam</v>
          </cell>
          <cell r="Q291" t="str">
            <v xml:space="preserve">JUMLAH HARGA PERALATAN   </v>
          </cell>
          <cell r="U291">
            <v>14592.176851853937</v>
          </cell>
        </row>
        <row r="293">
          <cell r="A293" t="str">
            <v>2.b.</v>
          </cell>
          <cell r="C293" t="str">
            <v>DUMP TRUCK</v>
          </cell>
          <cell r="G293" t="str">
            <v>(E08)</v>
          </cell>
          <cell r="L293" t="str">
            <v>D.</v>
          </cell>
          <cell r="N293" t="str">
            <v>JUMLAH HARGA TENAGA, BAHAN DAN PERALATAN  ( A + B + C )</v>
          </cell>
          <cell r="U293">
            <v>198832.08494855501</v>
          </cell>
        </row>
        <row r="294">
          <cell r="C294" t="str">
            <v>Kapasitas bak sekali muat</v>
          </cell>
          <cell r="G294" t="str">
            <v>V</v>
          </cell>
          <cell r="H294">
            <v>15</v>
          </cell>
          <cell r="I294" t="str">
            <v>Buah/M'</v>
          </cell>
          <cell r="L294" t="str">
            <v>E.</v>
          </cell>
          <cell r="N294" t="str">
            <v>OVERHEAD &amp; PROFIT</v>
          </cell>
          <cell r="P294">
            <v>10</v>
          </cell>
          <cell r="Q294" t="str">
            <v>%  x  D</v>
          </cell>
          <cell r="U294">
            <v>19883.208494855502</v>
          </cell>
        </row>
        <row r="295">
          <cell r="C295" t="str">
            <v>Faktor efisiensi alat</v>
          </cell>
          <cell r="G295" t="str">
            <v>Fa</v>
          </cell>
          <cell r="H295">
            <v>0.83</v>
          </cell>
          <cell r="L295" t="str">
            <v>F.</v>
          </cell>
          <cell r="N295" t="str">
            <v>HARGA SATUAN PEKERJAAN  ( D + E )</v>
          </cell>
          <cell r="U295">
            <v>218715.29344341051</v>
          </cell>
        </row>
        <row r="296">
          <cell r="C296" t="str">
            <v>Kecepatanrata-rata bermuatan</v>
          </cell>
          <cell r="G296" t="str">
            <v>v1</v>
          </cell>
          <cell r="H296">
            <v>20</v>
          </cell>
          <cell r="I296" t="str">
            <v>Km/Jam</v>
          </cell>
          <cell r="L296" t="str">
            <v>Note: 1</v>
          </cell>
          <cell r="N296" t="str">
            <v>SATUAN dapat berdasarkan atas jam operasi untuk Tenaga Kerja dan Peralatan, volume dan/atau ukuran</v>
          </cell>
        </row>
        <row r="297">
          <cell r="C297" t="str">
            <v>Kecepatan rata-rata kosong</v>
          </cell>
          <cell r="G297" t="str">
            <v>v2</v>
          </cell>
          <cell r="H297">
            <v>30</v>
          </cell>
          <cell r="I297" t="str">
            <v>Km/Jam</v>
          </cell>
          <cell r="N297" t="str">
            <v>berat untuk bahan-bahan.</v>
          </cell>
        </row>
        <row r="298">
          <cell r="C298" t="str">
            <v>Waktu siklus    :</v>
          </cell>
          <cell r="G298" t="str">
            <v>Ts1</v>
          </cell>
          <cell r="L298">
            <v>2</v>
          </cell>
          <cell r="N298" t="str">
            <v>Kuantitas satuan adalah kuantitas setiap komponen untuk menyelesaikan satu satuan pekerjaan dari nomor</v>
          </cell>
        </row>
        <row r="299">
          <cell r="C299" t="str">
            <v>- Waktu  tempuh in  si  = (L : v1 ) x 60</v>
          </cell>
          <cell r="G299" t="str">
            <v>T1</v>
          </cell>
          <cell r="H299">
            <v>26.174999999999997</v>
          </cell>
          <cell r="I299" t="str">
            <v>menit</v>
          </cell>
          <cell r="N299" t="str">
            <v>mata pembayaran.</v>
          </cell>
        </row>
        <row r="300">
          <cell r="C300" t="str">
            <v>-  Waktutempuh kosong  = (L : v2)  x  60</v>
          </cell>
          <cell r="G300" t="str">
            <v>T2</v>
          </cell>
          <cell r="H300">
            <v>17.45</v>
          </cell>
          <cell r="I300" t="str">
            <v>menit</v>
          </cell>
          <cell r="L300">
            <v>3</v>
          </cell>
          <cell r="N300" t="str">
            <v>Biaya satuan untuk peralatan sudah termasuk bahan bakar, bahan habis dipakai dan operator.</v>
          </cell>
        </row>
        <row r="301">
          <cell r="C301" t="str">
            <v>-  Muat, bongkar dan lain-lain</v>
          </cell>
          <cell r="G301" t="str">
            <v>T3</v>
          </cell>
          <cell r="H301">
            <v>1</v>
          </cell>
          <cell r="I301" t="str">
            <v>menit</v>
          </cell>
          <cell r="L301">
            <v>4</v>
          </cell>
          <cell r="N301" t="str">
            <v>Biaya satuan sudah termasuk pengeluaran untuk seluruh pajak yang berkaitan (tetapi tidak termasuk PPN</v>
          </cell>
        </row>
        <row r="302">
          <cell r="G302" t="str">
            <v>Ts1</v>
          </cell>
          <cell r="H302">
            <v>44.625</v>
          </cell>
          <cell r="I302" t="str">
            <v>menit</v>
          </cell>
          <cell r="N302" t="str">
            <v>yang dibayar dari kontrak) dan biaya-biaya lainnya.</v>
          </cell>
        </row>
        <row r="303">
          <cell r="J303" t="str">
            <v>Berlanjut ke halaman berikut</v>
          </cell>
        </row>
        <row r="304">
          <cell r="A304" t="str">
            <v>ITEM PEMBAYARAN NO.</v>
          </cell>
          <cell r="D304" t="str">
            <v>:  2.3 (1)</v>
          </cell>
          <cell r="J304" t="str">
            <v xml:space="preserve">Analisa EI-231 </v>
          </cell>
        </row>
        <row r="305">
          <cell r="A305" t="str">
            <v>JENIS PEKERJAAN</v>
          </cell>
          <cell r="D305" t="str">
            <v>:  Gorong2 Pipa Beton Bertulang Diameter &lt; 500 mm</v>
          </cell>
        </row>
        <row r="306">
          <cell r="A306" t="str">
            <v>SATUAN PEMBAYARAN</v>
          </cell>
          <cell r="D306" t="str">
            <v>:  M1</v>
          </cell>
          <cell r="J306" t="str">
            <v xml:space="preserve">         URAIAN ANALISA HARGA SATUAN</v>
          </cell>
        </row>
        <row r="307">
          <cell r="J307" t="str">
            <v>Lanjutan</v>
          </cell>
        </row>
        <row r="309">
          <cell r="A309" t="str">
            <v>No.</v>
          </cell>
          <cell r="C309" t="str">
            <v>U R A I A N</v>
          </cell>
          <cell r="G309" t="str">
            <v>KODE</v>
          </cell>
          <cell r="H309" t="str">
            <v>KOEF.</v>
          </cell>
          <cell r="I309" t="str">
            <v>SATUAN</v>
          </cell>
          <cell r="J309" t="str">
            <v>KETERANGAN</v>
          </cell>
        </row>
        <row r="312">
          <cell r="C312" t="str">
            <v>Kapasitas Produksi / Jam   =</v>
          </cell>
          <cell r="E312" t="str">
            <v>V x Fa x 60</v>
          </cell>
          <cell r="G312" t="str">
            <v>Q2</v>
          </cell>
          <cell r="H312">
            <v>16.739495798319329</v>
          </cell>
          <cell r="I312" t="str">
            <v xml:space="preserve">M' / Jam </v>
          </cell>
        </row>
        <row r="313">
          <cell r="E313" t="str">
            <v>Ts1</v>
          </cell>
        </row>
        <row r="315">
          <cell r="C315" t="str">
            <v>Koefisien Alat / m'</v>
          </cell>
          <cell r="D315" t="str">
            <v xml:space="preserve"> =  1  :  Q2</v>
          </cell>
          <cell r="G315" t="str">
            <v>(E08)</v>
          </cell>
          <cell r="H315">
            <v>5.9738955823293166E-2</v>
          </cell>
          <cell r="I315" t="str">
            <v>jam</v>
          </cell>
        </row>
        <row r="318">
          <cell r="A318" t="str">
            <v>2.c.</v>
          </cell>
          <cell r="C318" t="str">
            <v>ALAT  BANTU</v>
          </cell>
        </row>
        <row r="319">
          <cell r="C319" t="str">
            <v>Diperlukan alat-alat bantu kecil</v>
          </cell>
          <cell r="J319" t="str">
            <v>Lump Sump</v>
          </cell>
        </row>
        <row r="320">
          <cell r="C320" t="str">
            <v>- Sekop    =         3   buah</v>
          </cell>
        </row>
        <row r="321">
          <cell r="C321" t="str">
            <v>- Pacul     =         3   buah</v>
          </cell>
        </row>
        <row r="322">
          <cell r="C322" t="str">
            <v>- Alat-alat kecil lain</v>
          </cell>
        </row>
        <row r="324">
          <cell r="A324" t="str">
            <v xml:space="preserve">   3.</v>
          </cell>
          <cell r="C324" t="str">
            <v>TENAGA</v>
          </cell>
        </row>
        <row r="325">
          <cell r="C325" t="str">
            <v>Produksi Gorong-gorong / hari</v>
          </cell>
          <cell r="G325" t="str">
            <v>Qt</v>
          </cell>
          <cell r="H325">
            <v>15</v>
          </cell>
          <cell r="I325" t="str">
            <v>M'</v>
          </cell>
        </row>
        <row r="326">
          <cell r="C326" t="str">
            <v>Kebutuhan tenaga :</v>
          </cell>
        </row>
        <row r="327">
          <cell r="D327" t="str">
            <v>- Pekerja</v>
          </cell>
          <cell r="G327" t="str">
            <v>P</v>
          </cell>
          <cell r="H327">
            <v>5</v>
          </cell>
          <cell r="I327" t="str">
            <v>orang</v>
          </cell>
        </row>
        <row r="328">
          <cell r="D328" t="str">
            <v>- Tukang</v>
          </cell>
          <cell r="G328" t="str">
            <v>T</v>
          </cell>
          <cell r="H328">
            <v>2</v>
          </cell>
          <cell r="I328" t="str">
            <v>orang</v>
          </cell>
        </row>
        <row r="329">
          <cell r="D329" t="str">
            <v>- Mandor</v>
          </cell>
          <cell r="G329" t="str">
            <v>M</v>
          </cell>
          <cell r="H329">
            <v>1</v>
          </cell>
          <cell r="I329" t="str">
            <v>orang</v>
          </cell>
        </row>
        <row r="331">
          <cell r="C331" t="str">
            <v>Koefisien tenaga / M1   :</v>
          </cell>
        </row>
        <row r="332">
          <cell r="D332" t="str">
            <v>- Pekerja</v>
          </cell>
          <cell r="E332" t="str">
            <v>= (Tk x P) : Qt</v>
          </cell>
          <cell r="G332" t="str">
            <v>(L01)</v>
          </cell>
          <cell r="H332">
            <v>2.3333333333333335</v>
          </cell>
          <cell r="I332" t="str">
            <v>Jam</v>
          </cell>
        </row>
        <row r="333">
          <cell r="D333" t="str">
            <v>- Tukang</v>
          </cell>
          <cell r="E333" t="str">
            <v>= (Tk x T) : Qt</v>
          </cell>
          <cell r="G333" t="str">
            <v>(L02)</v>
          </cell>
          <cell r="H333">
            <v>0.93333333333333335</v>
          </cell>
          <cell r="I333" t="str">
            <v>Jam</v>
          </cell>
        </row>
        <row r="334">
          <cell r="D334" t="str">
            <v>- Mandor</v>
          </cell>
          <cell r="E334" t="str">
            <v>= (Tk x M) : Qt</v>
          </cell>
          <cell r="G334" t="str">
            <v>(L03)</v>
          </cell>
          <cell r="H334">
            <v>0.46666666666666667</v>
          </cell>
          <cell r="I334" t="str">
            <v>Jam</v>
          </cell>
        </row>
        <row r="336">
          <cell r="A336" t="str">
            <v>4.</v>
          </cell>
          <cell r="C336" t="str">
            <v>HARGA DASAR SATUAN UPAH, BAHAN DAN ALAT</v>
          </cell>
        </row>
        <row r="337">
          <cell r="C337" t="str">
            <v>Lihat lampiran.</v>
          </cell>
        </row>
        <row r="340">
          <cell r="A340" t="str">
            <v>5.</v>
          </cell>
          <cell r="C340" t="str">
            <v>ANALISA HARGA SATUAN PEKERJAAN</v>
          </cell>
        </row>
        <row r="341">
          <cell r="C341" t="str">
            <v>Lihat perhitungan dalam FORMULIR STANDAR UNTUK</v>
          </cell>
        </row>
        <row r="342">
          <cell r="C342" t="str">
            <v>PEREKEMAN ANALISA MASING-MASING HARGA</v>
          </cell>
        </row>
        <row r="343">
          <cell r="C343" t="str">
            <v>SATUAN.</v>
          </cell>
        </row>
        <row r="344">
          <cell r="C344" t="str">
            <v>Didapat Harga Satuan Pekerjaan :</v>
          </cell>
        </row>
        <row r="346">
          <cell r="C346" t="str">
            <v xml:space="preserve">Rp.  </v>
          </cell>
          <cell r="D346">
            <v>218715.29344341051</v>
          </cell>
          <cell r="E346" t="str">
            <v xml:space="preserve"> / M'</v>
          </cell>
        </row>
        <row r="349">
          <cell r="A349" t="str">
            <v>6.</v>
          </cell>
          <cell r="C349" t="str">
            <v>WAKTU PELAKSANAAN YANG DIPERLUKAN</v>
          </cell>
        </row>
        <row r="350">
          <cell r="C350" t="str">
            <v>Masa Pelaksanaan :</v>
          </cell>
          <cell r="D350" t="str">
            <v>. . . . . . . . . . . .</v>
          </cell>
          <cell r="E350" t="str">
            <v>bulan</v>
          </cell>
        </row>
        <row r="352">
          <cell r="A352" t="str">
            <v>7.</v>
          </cell>
          <cell r="C352" t="str">
            <v>VOLUME PEKERJAAN YANG DIPERLUKAN</v>
          </cell>
        </row>
        <row r="353">
          <cell r="C353" t="str">
            <v>Volume pekerjaan  :</v>
          </cell>
          <cell r="D353">
            <v>1</v>
          </cell>
          <cell r="E353" t="str">
            <v>M'</v>
          </cell>
        </row>
        <row r="363">
          <cell r="A363" t="str">
            <v>ITEM PEMBAYARAN NO.</v>
          </cell>
          <cell r="D363" t="str">
            <v>:  2.3 (2)</v>
          </cell>
          <cell r="J363" t="str">
            <v xml:space="preserve">Analisa EI-232 </v>
          </cell>
        </row>
        <row r="364">
          <cell r="A364" t="str">
            <v>JENIS PEKERJAAN</v>
          </cell>
          <cell r="D364" t="str">
            <v>:  Gorong2 Pipa Beton Bertulang 500 mm &lt; diameter dalam 700 mm</v>
          </cell>
          <cell r="L364" t="str">
            <v>FORMULIR STANDAR UNTUK</v>
          </cell>
        </row>
        <row r="365">
          <cell r="A365" t="str">
            <v>SATUAN PEMBAYARAN</v>
          </cell>
          <cell r="D365" t="str">
            <v>:  M1</v>
          </cell>
          <cell r="J365" t="str">
            <v xml:space="preserve">         URAIAN ANALISA HARGA SATUAN</v>
          </cell>
          <cell r="L365" t="str">
            <v>PEREKAMAN ANALISA MASING-MASING HARGA SATUAN</v>
          </cell>
        </row>
        <row r="366">
          <cell r="L366" t="str">
            <v/>
          </cell>
        </row>
        <row r="368">
          <cell r="A368" t="str">
            <v>No.</v>
          </cell>
          <cell r="C368" t="str">
            <v>U R A I A N</v>
          </cell>
          <cell r="G368" t="str">
            <v>KODE</v>
          </cell>
          <cell r="H368" t="str">
            <v>KOEF.</v>
          </cell>
          <cell r="I368" t="str">
            <v>SATUAN</v>
          </cell>
          <cell r="J368" t="str">
            <v>KETERANGAN</v>
          </cell>
        </row>
        <row r="369">
          <cell r="L369" t="str">
            <v>PROYEK</v>
          </cell>
          <cell r="O369" t="str">
            <v>:</v>
          </cell>
        </row>
        <row r="370">
          <cell r="L370" t="str">
            <v>No. PAKET KONTRAK</v>
          </cell>
          <cell r="O370" t="str">
            <v>:</v>
          </cell>
        </row>
        <row r="371">
          <cell r="A371" t="str">
            <v>I.</v>
          </cell>
          <cell r="C371" t="str">
            <v>ASUMSI</v>
          </cell>
          <cell r="L371" t="str">
            <v>NAMA PAKET</v>
          </cell>
          <cell r="O371" t="str">
            <v>:</v>
          </cell>
        </row>
        <row r="372">
          <cell r="A372">
            <v>1</v>
          </cell>
          <cell r="C372" t="str">
            <v>Pekerjaan dilakukan secara mekanik/manual</v>
          </cell>
          <cell r="L372" t="str">
            <v>PROP / KAB / KODYA</v>
          </cell>
          <cell r="O372" t="str">
            <v>:</v>
          </cell>
        </row>
        <row r="373">
          <cell r="A373">
            <v>2</v>
          </cell>
          <cell r="C373" t="str">
            <v>Lokasi pekerjaan : sepanjang jalan</v>
          </cell>
          <cell r="L373" t="str">
            <v>ITEM PEMBAYARAN NO.</v>
          </cell>
          <cell r="O373" t="str">
            <v>:  2.3 (2)</v>
          </cell>
          <cell r="R373" t="str">
            <v>PERKIRAAN VOL. PEK.</v>
          </cell>
          <cell r="T373" t="str">
            <v>:</v>
          </cell>
          <cell r="U373">
            <v>1</v>
          </cell>
        </row>
        <row r="374">
          <cell r="A374">
            <v>3</v>
          </cell>
          <cell r="C374" t="str">
            <v>Diameter bagian dalam gorong-gorong</v>
          </cell>
          <cell r="G374" t="str">
            <v>d</v>
          </cell>
          <cell r="H374">
            <v>0.6</v>
          </cell>
          <cell r="I374" t="str">
            <v>m</v>
          </cell>
          <cell r="L374" t="str">
            <v>JENIS PEKERJAAN</v>
          </cell>
          <cell r="O374" t="str">
            <v>:  Gorong2 Pipa Beton Bertulang 500 mm &lt; diameter dalam 700 mm</v>
          </cell>
          <cell r="R374" t="str">
            <v>TOTAL HARGA (Rp.)</v>
          </cell>
          <cell r="T374" t="str">
            <v>:</v>
          </cell>
          <cell r="U374">
            <v>282846.80804673955</v>
          </cell>
        </row>
        <row r="375">
          <cell r="A375">
            <v>4</v>
          </cell>
          <cell r="C375" t="str">
            <v>Jarak rata-rata Base Camp ke lokasi pekerjaan</v>
          </cell>
          <cell r="G375" t="str">
            <v>L</v>
          </cell>
          <cell r="H375">
            <v>8.7249999999999996</v>
          </cell>
          <cell r="I375" t="str">
            <v>Km</v>
          </cell>
          <cell r="L375" t="str">
            <v>SATUAN PEMBAYARAN</v>
          </cell>
          <cell r="O375" t="str">
            <v>:  M1</v>
          </cell>
          <cell r="Q375">
            <v>0</v>
          </cell>
          <cell r="R375" t="str">
            <v>% THD. BIAYA PROYEK</v>
          </cell>
          <cell r="T375" t="str">
            <v>:</v>
          </cell>
          <cell r="U375" t="e">
            <v>#DIV/0!</v>
          </cell>
        </row>
        <row r="376">
          <cell r="A376">
            <v>5</v>
          </cell>
          <cell r="C376" t="str">
            <v>Jam kerja efektif per-hari</v>
          </cell>
          <cell r="G376" t="str">
            <v>Tk</v>
          </cell>
          <cell r="H376">
            <v>7</v>
          </cell>
          <cell r="I376" t="str">
            <v>jam</v>
          </cell>
        </row>
        <row r="377">
          <cell r="A377">
            <v>6</v>
          </cell>
          <cell r="C377" t="str">
            <v>Tebal gorong-gorong</v>
          </cell>
          <cell r="G377" t="str">
            <v>tg</v>
          </cell>
          <cell r="H377">
            <v>6.5</v>
          </cell>
          <cell r="I377" t="str">
            <v>Cm</v>
          </cell>
        </row>
        <row r="378">
          <cell r="Q378" t="str">
            <v>PERKIRAAN</v>
          </cell>
          <cell r="R378" t="str">
            <v>HARGA</v>
          </cell>
          <cell r="S378" t="str">
            <v>JUMLAH</v>
          </cell>
        </row>
        <row r="379">
          <cell r="A379" t="str">
            <v>II.</v>
          </cell>
          <cell r="C379" t="str">
            <v>URUTAN KERJA</v>
          </cell>
          <cell r="L379" t="str">
            <v>NO.</v>
          </cell>
          <cell r="N379" t="str">
            <v>KOMPONEN</v>
          </cell>
          <cell r="P379" t="str">
            <v>SATUAN</v>
          </cell>
          <cell r="Q379" t="str">
            <v>KUANTITAS</v>
          </cell>
          <cell r="R379" t="str">
            <v>SATUAN</v>
          </cell>
          <cell r="S379" t="str">
            <v>HARGA</v>
          </cell>
        </row>
        <row r="380">
          <cell r="A380">
            <v>1</v>
          </cell>
          <cell r="C380" t="str">
            <v>Gorong-gorong dicetak di Base Camp</v>
          </cell>
          <cell r="R380" t="str">
            <v>(Rp.)</v>
          </cell>
          <cell r="S380" t="str">
            <v>(Rp.)</v>
          </cell>
        </row>
        <row r="381">
          <cell r="A381">
            <v>2</v>
          </cell>
          <cell r="C381" t="str">
            <v>Dump Truck mengangkut gorong-gorong jadi</v>
          </cell>
        </row>
        <row r="382">
          <cell r="C382" t="str">
            <v>ke lapangan</v>
          </cell>
        </row>
        <row r="383">
          <cell r="A383">
            <v>3</v>
          </cell>
          <cell r="C383" t="str">
            <v>Dasar gorong-gorong digali sesuai kebutuhan dan ma-</v>
          </cell>
          <cell r="L383" t="str">
            <v>A.</v>
          </cell>
          <cell r="N383" t="str">
            <v>TENAGA</v>
          </cell>
        </row>
        <row r="384">
          <cell r="C384" t="str">
            <v>terial backfill dipadatkan dengan Tamper</v>
          </cell>
        </row>
        <row r="385">
          <cell r="A385">
            <v>4</v>
          </cell>
          <cell r="C385" t="str">
            <v>Tebal lapis porus pada dasar gorong-gorong pipa</v>
          </cell>
          <cell r="G385" t="str">
            <v>tp</v>
          </cell>
          <cell r="H385">
            <v>0.1</v>
          </cell>
          <cell r="I385" t="str">
            <v>M</v>
          </cell>
          <cell r="J385" t="str">
            <v xml:space="preserve"> Sand bedding</v>
          </cell>
          <cell r="L385" t="str">
            <v>1.</v>
          </cell>
          <cell r="N385" t="str">
            <v>Pekerja</v>
          </cell>
          <cell r="O385" t="str">
            <v>(L01)</v>
          </cell>
          <cell r="P385" t="str">
            <v>jam</v>
          </cell>
          <cell r="Q385">
            <v>4.9000000000000004</v>
          </cell>
          <cell r="R385">
            <v>2857.14</v>
          </cell>
          <cell r="U385">
            <v>13999.986000000001</v>
          </cell>
        </row>
        <row r="386">
          <cell r="A386">
            <v>5</v>
          </cell>
          <cell r="C386" t="str">
            <v>Material pilihan untuk penimbunan kembali (padat)</v>
          </cell>
          <cell r="L386" t="str">
            <v>2.</v>
          </cell>
          <cell r="N386" t="str">
            <v>Tukang</v>
          </cell>
          <cell r="O386" t="str">
            <v>(L02)</v>
          </cell>
          <cell r="P386" t="str">
            <v>jam</v>
          </cell>
          <cell r="Q386">
            <v>1.4</v>
          </cell>
          <cell r="R386">
            <v>4285.71</v>
          </cell>
          <cell r="U386">
            <v>5999.9939999999997</v>
          </cell>
        </row>
        <row r="387">
          <cell r="A387">
            <v>6</v>
          </cell>
          <cell r="C387" t="str">
            <v>Sekelompok pekerja akan melaksanakan pekerjaan</v>
          </cell>
          <cell r="L387" t="str">
            <v>3.</v>
          </cell>
          <cell r="N387" t="str">
            <v>Mandor</v>
          </cell>
          <cell r="O387" t="str">
            <v>(L03)</v>
          </cell>
          <cell r="P387" t="str">
            <v>jam</v>
          </cell>
          <cell r="Q387">
            <v>0.7</v>
          </cell>
          <cell r="R387">
            <v>3214.29</v>
          </cell>
          <cell r="U387">
            <v>2250.0029999999997</v>
          </cell>
        </row>
        <row r="388">
          <cell r="C388" t="str">
            <v>dengan cara manual dengan menggunakan alat bantu</v>
          </cell>
        </row>
        <row r="389">
          <cell r="Q389" t="str">
            <v xml:space="preserve">JUMLAH HARGA TENAGA   </v>
          </cell>
          <cell r="U389">
            <v>22249.983</v>
          </cell>
        </row>
        <row r="391">
          <cell r="A391" t="str">
            <v>III.</v>
          </cell>
          <cell r="C391" t="str">
            <v>PEMAKAIAN BAHAN, ALAT DAN TENAGA</v>
          </cell>
          <cell r="L391" t="str">
            <v>B.</v>
          </cell>
          <cell r="N391" t="str">
            <v>BAHAN</v>
          </cell>
        </row>
        <row r="392">
          <cell r="A392" t="str">
            <v xml:space="preserve">   1.</v>
          </cell>
          <cell r="C392" t="str">
            <v>BAHAN</v>
          </cell>
        </row>
        <row r="393">
          <cell r="C393" t="str">
            <v>Untuk mendapatkan 1 M' gorong-gorong diperlukan</v>
          </cell>
          <cell r="L393" t="str">
            <v>1.</v>
          </cell>
          <cell r="N393" t="str">
            <v>Beton K-300</v>
          </cell>
          <cell r="O393" t="str">
            <v>(EI-714)</v>
          </cell>
          <cell r="P393" t="str">
            <v>M3</v>
          </cell>
          <cell r="Q393">
            <v>0.13579534245141872</v>
          </cell>
          <cell r="R393">
            <v>652902.54982502444</v>
          </cell>
          <cell r="U393">
            <v>88661.125340893675</v>
          </cell>
        </row>
        <row r="394">
          <cell r="C394" t="str">
            <v>- Beton K-300 = (22/7*((2*tg/100+d)/2)^2)-(22/7*(d/2)^2))*1</v>
          </cell>
          <cell r="G394" t="str">
            <v>(EI-714)</v>
          </cell>
          <cell r="H394">
            <v>0.13579534245141872</v>
          </cell>
          <cell r="I394" t="str">
            <v>M3</v>
          </cell>
          <cell r="L394" t="str">
            <v>2.</v>
          </cell>
          <cell r="N394" t="str">
            <v>Baja Tulangan</v>
          </cell>
          <cell r="O394" t="str">
            <v>(M39)</v>
          </cell>
          <cell r="P394" t="str">
            <v>Kg</v>
          </cell>
          <cell r="Q394">
            <v>14.937487669656059</v>
          </cell>
          <cell r="R394">
            <v>4000</v>
          </cell>
          <cell r="U394">
            <v>59749.950678624235</v>
          </cell>
        </row>
        <row r="395">
          <cell r="C395" t="str">
            <v>- Baja Tulangan (asumsi 100kg/m3)</v>
          </cell>
          <cell r="G395" t="str">
            <v>(M39)</v>
          </cell>
          <cell r="H395">
            <v>14.937487669656059</v>
          </cell>
          <cell r="I395" t="str">
            <v>Kg</v>
          </cell>
          <cell r="L395" t="str">
            <v>3.</v>
          </cell>
          <cell r="N395" t="str">
            <v>Urugan Porus</v>
          </cell>
          <cell r="O395" t="str">
            <v>(EI-241)</v>
          </cell>
          <cell r="P395" t="str">
            <v>M3</v>
          </cell>
          <cell r="Q395">
            <v>0.13965000000000002</v>
          </cell>
          <cell r="R395">
            <v>186901.40625406182</v>
          </cell>
          <cell r="U395">
            <v>26100.781383379737</v>
          </cell>
        </row>
        <row r="396">
          <cell r="C396" t="str">
            <v>- Timbunan Porus      = {(tp*(0.3+2*tg/100+d+0.3)*1)*1.05}</v>
          </cell>
          <cell r="G396" t="str">
            <v>(EI-241)</v>
          </cell>
          <cell r="H396">
            <v>0.13965000000000002</v>
          </cell>
          <cell r="I396" t="str">
            <v>M3</v>
          </cell>
          <cell r="L396" t="str">
            <v>4.</v>
          </cell>
          <cell r="N396" t="str">
            <v>Mat. Pilihan</v>
          </cell>
          <cell r="O396" t="str">
            <v>(M09)</v>
          </cell>
          <cell r="P396" t="str">
            <v>M3</v>
          </cell>
          <cell r="Q396">
            <v>0.99875250000000027</v>
          </cell>
          <cell r="R396">
            <v>25000</v>
          </cell>
          <cell r="U396">
            <v>24968.812500000007</v>
          </cell>
        </row>
        <row r="397">
          <cell r="C397" t="str">
            <v>- Material Pilihan</v>
          </cell>
          <cell r="D397" t="str">
            <v>= ((2*tg/100+d+0.3)*(0.3+2*tg/100+d+0.3)</v>
          </cell>
          <cell r="G397" t="str">
            <v>(M09)</v>
          </cell>
          <cell r="H397">
            <v>0.99875250000000027</v>
          </cell>
          <cell r="I397" t="str">
            <v>M3</v>
          </cell>
          <cell r="J397" t="str">
            <v xml:space="preserve"> = Vp</v>
          </cell>
        </row>
        <row r="398">
          <cell r="D398" t="str">
            <v xml:space="preserve">   -(22/7*(0.5*(2*tg/100+d))^2))*1*1.05</v>
          </cell>
        </row>
        <row r="399">
          <cell r="A399" t="str">
            <v xml:space="preserve">   2.</v>
          </cell>
          <cell r="C399" t="str">
            <v>ALAT</v>
          </cell>
          <cell r="Q399" t="str">
            <v xml:space="preserve">JUMLAH HARGA BAHAN   </v>
          </cell>
          <cell r="U399">
            <v>199480.66990289764</v>
          </cell>
        </row>
        <row r="400">
          <cell r="A400" t="str">
            <v>2.a.</v>
          </cell>
          <cell r="C400" t="str">
            <v>TAMPER</v>
          </cell>
          <cell r="G400" t="str">
            <v>(E25)</v>
          </cell>
        </row>
        <row r="401">
          <cell r="C401" t="str">
            <v>Kecepatan</v>
          </cell>
          <cell r="G401" t="str">
            <v>v</v>
          </cell>
          <cell r="H401">
            <v>0.5</v>
          </cell>
          <cell r="I401" t="str">
            <v>Km / Jam</v>
          </cell>
          <cell r="L401" t="str">
            <v>C.</v>
          </cell>
          <cell r="N401" t="str">
            <v>PERALATAN</v>
          </cell>
        </row>
        <row r="402">
          <cell r="C402" t="str">
            <v>Efisiensi alat</v>
          </cell>
          <cell r="G402" t="str">
            <v>Fa</v>
          </cell>
          <cell r="H402">
            <v>0.83</v>
          </cell>
          <cell r="I402" t="str">
            <v>-</v>
          </cell>
        </row>
        <row r="403">
          <cell r="C403" t="str">
            <v>Lebar pemadatan</v>
          </cell>
          <cell r="G403" t="str">
            <v>Lb</v>
          </cell>
          <cell r="H403">
            <v>0.4</v>
          </cell>
          <cell r="I403" t="str">
            <v>M</v>
          </cell>
          <cell r="L403" t="str">
            <v>1.</v>
          </cell>
          <cell r="N403" t="str">
            <v>Tamper</v>
          </cell>
          <cell r="O403" t="str">
            <v>(E25)</v>
          </cell>
          <cell r="P403" t="str">
            <v>Jam</v>
          </cell>
          <cell r="Q403">
            <v>0.30082906626506029</v>
          </cell>
          <cell r="R403">
            <v>18672.16854694486</v>
          </cell>
          <cell r="U403">
            <v>5617.1310291212494</v>
          </cell>
        </row>
        <row r="404">
          <cell r="C404" t="str">
            <v>Banyak lintasan</v>
          </cell>
          <cell r="G404" t="str">
            <v>n</v>
          </cell>
          <cell r="H404">
            <v>10</v>
          </cell>
          <cell r="I404" t="str">
            <v>lintasan</v>
          </cell>
          <cell r="L404" t="str">
            <v>2.</v>
          </cell>
          <cell r="N404" t="str">
            <v>Dump Truck</v>
          </cell>
          <cell r="O404" t="str">
            <v>(E08)</v>
          </cell>
          <cell r="P404" t="str">
            <v>Jam</v>
          </cell>
          <cell r="Q404">
            <v>0.18800200803212852</v>
          </cell>
          <cell r="R404">
            <v>153645.58193291764</v>
          </cell>
          <cell r="U404">
            <v>28885.677928653444</v>
          </cell>
        </row>
        <row r="405">
          <cell r="C405" t="str">
            <v>Tebal lapis hamparan</v>
          </cell>
          <cell r="G405" t="str">
            <v>tp</v>
          </cell>
          <cell r="H405">
            <v>0.2</v>
          </cell>
          <cell r="I405" t="str">
            <v>M</v>
          </cell>
          <cell r="L405" t="str">
            <v>3.</v>
          </cell>
          <cell r="N405" t="str">
            <v>Alat  Bantu</v>
          </cell>
          <cell r="P405" t="str">
            <v>Ls</v>
          </cell>
          <cell r="Q405">
            <v>1</v>
          </cell>
          <cell r="R405">
            <v>900</v>
          </cell>
          <cell r="U405">
            <v>900</v>
          </cell>
        </row>
        <row r="408">
          <cell r="C408" t="str">
            <v>Kap. Prod. / Jam   =</v>
          </cell>
          <cell r="D408" t="str">
            <v>v x 1000 x Fa x Lb x 60</v>
          </cell>
          <cell r="G408" t="str">
            <v>Q1</v>
          </cell>
          <cell r="H408">
            <v>3.3200000000000003</v>
          </cell>
          <cell r="I408" t="str">
            <v xml:space="preserve">M3 / Jam </v>
          </cell>
        </row>
        <row r="409">
          <cell r="D409" t="str">
            <v xml:space="preserve">    n x tp</v>
          </cell>
        </row>
        <row r="411">
          <cell r="C411" t="str">
            <v>Koefisien Alat / m'</v>
          </cell>
          <cell r="D411" t="str">
            <v xml:space="preserve"> =  1  :  Q1 x Vp</v>
          </cell>
          <cell r="G411" t="str">
            <v>(E25)</v>
          </cell>
          <cell r="H411">
            <v>0.30082906626506029</v>
          </cell>
          <cell r="I411" t="str">
            <v>jam</v>
          </cell>
          <cell r="Q411" t="str">
            <v xml:space="preserve">JUMLAH HARGA PERALATAN   </v>
          </cell>
          <cell r="U411">
            <v>35402.808957774694</v>
          </cell>
        </row>
        <row r="413">
          <cell r="A413" t="str">
            <v>2.b.</v>
          </cell>
          <cell r="C413" t="str">
            <v>DUMP TRUCK</v>
          </cell>
          <cell r="G413" t="str">
            <v>(E08)</v>
          </cell>
          <cell r="L413" t="str">
            <v>D.</v>
          </cell>
          <cell r="N413" t="str">
            <v>JUMLAH HARGA TENAGA, BAHAN DAN PERALATAN  ( A + B + C )</v>
          </cell>
          <cell r="U413">
            <v>257133.46186067234</v>
          </cell>
        </row>
        <row r="414">
          <cell r="C414" t="str">
            <v>Kapasitas bak sekali muat</v>
          </cell>
          <cell r="G414" t="str">
            <v>V</v>
          </cell>
          <cell r="H414">
            <v>10</v>
          </cell>
          <cell r="I414" t="str">
            <v>Buah/M'</v>
          </cell>
          <cell r="L414" t="str">
            <v>E.</v>
          </cell>
          <cell r="N414" t="str">
            <v>OVERHEAD &amp; PROFIT</v>
          </cell>
          <cell r="P414">
            <v>10</v>
          </cell>
          <cell r="Q414" t="str">
            <v>%  x  D</v>
          </cell>
          <cell r="U414">
            <v>25713.346186067236</v>
          </cell>
        </row>
        <row r="415">
          <cell r="C415" t="str">
            <v>Faktor efisiensi alat</v>
          </cell>
          <cell r="G415" t="str">
            <v>Fa</v>
          </cell>
          <cell r="H415">
            <v>0.83</v>
          </cell>
          <cell r="L415" t="str">
            <v>F.</v>
          </cell>
          <cell r="N415" t="str">
            <v>HARGA SATUAN PEKERJAAN  ( D + E )</v>
          </cell>
          <cell r="U415">
            <v>282846.80804673955</v>
          </cell>
        </row>
        <row r="416">
          <cell r="C416" t="str">
            <v>Kecepatanrata-rata bermuatan</v>
          </cell>
          <cell r="G416" t="str">
            <v>v1</v>
          </cell>
          <cell r="H416">
            <v>20</v>
          </cell>
          <cell r="I416" t="str">
            <v>Km/Jam</v>
          </cell>
          <cell r="L416" t="str">
            <v>Note: 1</v>
          </cell>
          <cell r="N416" t="str">
            <v>SATUAN dapat berdasarkan atas jam operasi untuk Tenaga Kerja dan Peralatan, volume dan/atau ukuran</v>
          </cell>
        </row>
        <row r="417">
          <cell r="C417" t="str">
            <v>Kecepatan rata-rata kosong</v>
          </cell>
          <cell r="G417" t="str">
            <v>v2</v>
          </cell>
          <cell r="H417">
            <v>30</v>
          </cell>
          <cell r="I417" t="str">
            <v>Km/Jam</v>
          </cell>
          <cell r="N417" t="str">
            <v>berat untuk bahan-bahan.</v>
          </cell>
        </row>
        <row r="418">
          <cell r="C418" t="str">
            <v>Waktu siklus    :</v>
          </cell>
          <cell r="G418" t="str">
            <v>Ts</v>
          </cell>
          <cell r="L418">
            <v>2</v>
          </cell>
          <cell r="N418" t="str">
            <v>Kuantitas satuan adalah kuantitas setiap komponen untuk menyelesaikan satu satuan pekerjaan dari nomor</v>
          </cell>
        </row>
        <row r="419">
          <cell r="C419" t="str">
            <v>- Waktu  tempuh in  si  = (L : v1 ) x 60</v>
          </cell>
          <cell r="G419" t="str">
            <v>T1</v>
          </cell>
          <cell r="H419">
            <v>26.174999999999997</v>
          </cell>
          <cell r="I419" t="str">
            <v>menit</v>
          </cell>
          <cell r="N419" t="str">
            <v>mata pembayaran.</v>
          </cell>
        </row>
        <row r="420">
          <cell r="C420" t="str">
            <v>-  Waktutempuh kosong  = (L : v2)  x  60</v>
          </cell>
          <cell r="G420" t="str">
            <v>T2</v>
          </cell>
          <cell r="H420">
            <v>17.45</v>
          </cell>
          <cell r="I420" t="str">
            <v>menit</v>
          </cell>
          <cell r="L420">
            <v>3</v>
          </cell>
          <cell r="N420" t="str">
            <v>Biaya satuan untuk peralatan sudah termasuk bahan bakar, bahan habis dipakai dan operator.</v>
          </cell>
        </row>
        <row r="421">
          <cell r="C421" t="str">
            <v>-  Muat, bongkar dan lain-lain</v>
          </cell>
          <cell r="G421" t="str">
            <v>T3</v>
          </cell>
          <cell r="H421">
            <v>50</v>
          </cell>
          <cell r="I421" t="str">
            <v>menit</v>
          </cell>
          <cell r="L421">
            <v>4</v>
          </cell>
          <cell r="N421" t="str">
            <v>Biaya satuan sudah termasuk pengeluaran untuk seluruh pajak yang berkaitan (tetapi tidak termasuk PPN</v>
          </cell>
        </row>
        <row r="422">
          <cell r="G422" t="str">
            <v>Ts</v>
          </cell>
          <cell r="H422">
            <v>93.625</v>
          </cell>
          <cell r="I422" t="str">
            <v>menit</v>
          </cell>
          <cell r="N422" t="str">
            <v>yang dibayar dari kontrak) dan biaya-biaya lainnya.</v>
          </cell>
        </row>
        <row r="423">
          <cell r="J423" t="str">
            <v>Berlanjut ke halaman berikut</v>
          </cell>
        </row>
        <row r="424">
          <cell r="A424" t="str">
            <v>ITEM PEMBAYARAN NO.</v>
          </cell>
          <cell r="D424" t="str">
            <v>:  2.3 (2)</v>
          </cell>
          <cell r="J424" t="str">
            <v xml:space="preserve">Analisa EI-232 </v>
          </cell>
        </row>
        <row r="425">
          <cell r="A425" t="str">
            <v>JENIS PEKERJAAN</v>
          </cell>
          <cell r="D425" t="str">
            <v>:  Gorong2 Pipa Beton Bertulang 500 mm &lt; diameter dalam 700 mm</v>
          </cell>
        </row>
        <row r="426">
          <cell r="A426" t="str">
            <v>SATUAN PEMBAYARAN</v>
          </cell>
          <cell r="D426" t="str">
            <v>:  M1</v>
          </cell>
          <cell r="J426" t="str">
            <v xml:space="preserve">         URAIAN ANALISA HARGA SATUAN</v>
          </cell>
        </row>
        <row r="427">
          <cell r="J427" t="str">
            <v>Lanjutan</v>
          </cell>
        </row>
        <row r="429">
          <cell r="A429" t="str">
            <v>No.</v>
          </cell>
          <cell r="C429" t="str">
            <v>U R A I A N</v>
          </cell>
          <cell r="G429" t="str">
            <v>KODE</v>
          </cell>
          <cell r="H429" t="str">
            <v>KOEF.</v>
          </cell>
          <cell r="I429" t="str">
            <v>SATUAN</v>
          </cell>
          <cell r="J429" t="str">
            <v>KETERANGAN</v>
          </cell>
        </row>
        <row r="432">
          <cell r="C432" t="str">
            <v>Kapasitas Produksi / Jam   =</v>
          </cell>
          <cell r="E432" t="str">
            <v>V x Fa x 60</v>
          </cell>
          <cell r="G432" t="str">
            <v>Q2</v>
          </cell>
          <cell r="H432">
            <v>5.3190921228304404</v>
          </cell>
          <cell r="I432" t="str">
            <v xml:space="preserve">M' / Jam </v>
          </cell>
        </row>
        <row r="433">
          <cell r="E433" t="str">
            <v xml:space="preserve">    Ts</v>
          </cell>
        </row>
        <row r="435">
          <cell r="C435" t="str">
            <v>Koefisien Alat / m'</v>
          </cell>
          <cell r="D435" t="str">
            <v xml:space="preserve"> =  1  :  Q2</v>
          </cell>
          <cell r="G435" t="str">
            <v>(E08)</v>
          </cell>
          <cell r="H435">
            <v>0.18800200803212852</v>
          </cell>
          <cell r="I435" t="str">
            <v>jam</v>
          </cell>
        </row>
        <row r="438">
          <cell r="A438" t="str">
            <v>2.c.</v>
          </cell>
          <cell r="C438" t="str">
            <v>ALAT  BANTU</v>
          </cell>
        </row>
        <row r="439">
          <cell r="C439" t="str">
            <v>Diperlukan alat-alat bantu kecil</v>
          </cell>
          <cell r="J439" t="str">
            <v>Lump Sump</v>
          </cell>
        </row>
        <row r="440">
          <cell r="C440" t="str">
            <v>- Sekop    =         3   buah</v>
          </cell>
        </row>
        <row r="441">
          <cell r="C441" t="str">
            <v>- Pacul     =         3   buah</v>
          </cell>
        </row>
        <row r="442">
          <cell r="C442" t="str">
            <v>- Alat-alat kecil lain</v>
          </cell>
        </row>
        <row r="444">
          <cell r="A444" t="str">
            <v xml:space="preserve">   3.</v>
          </cell>
          <cell r="C444" t="str">
            <v>TENAGA</v>
          </cell>
        </row>
        <row r="445">
          <cell r="C445" t="str">
            <v>Produksi Gorong-gorong / hari</v>
          </cell>
          <cell r="G445" t="str">
            <v>Qt</v>
          </cell>
          <cell r="H445">
            <v>10</v>
          </cell>
          <cell r="I445" t="str">
            <v>M'</v>
          </cell>
        </row>
        <row r="446">
          <cell r="C446" t="str">
            <v>Kebutuhan tenaga :</v>
          </cell>
        </row>
        <row r="447">
          <cell r="D447" t="str">
            <v>- Pekerja</v>
          </cell>
          <cell r="G447" t="str">
            <v>P</v>
          </cell>
          <cell r="H447">
            <v>7</v>
          </cell>
          <cell r="I447" t="str">
            <v>orang</v>
          </cell>
        </row>
        <row r="448">
          <cell r="D448" t="str">
            <v>- Tukang</v>
          </cell>
          <cell r="G448" t="str">
            <v>T</v>
          </cell>
          <cell r="H448">
            <v>2</v>
          </cell>
          <cell r="I448" t="str">
            <v>orang</v>
          </cell>
        </row>
        <row r="449">
          <cell r="D449" t="str">
            <v>- Mandor</v>
          </cell>
          <cell r="G449" t="str">
            <v>M</v>
          </cell>
          <cell r="H449">
            <v>1</v>
          </cell>
          <cell r="I449" t="str">
            <v>orang</v>
          </cell>
        </row>
        <row r="451">
          <cell r="C451" t="str">
            <v>Koefisien tenaga / M'   :</v>
          </cell>
        </row>
        <row r="452">
          <cell r="D452" t="str">
            <v>- Pekerja</v>
          </cell>
          <cell r="E452" t="str">
            <v>= (Tk x P) : Qt</v>
          </cell>
          <cell r="G452" t="str">
            <v>(L01)</v>
          </cell>
          <cell r="H452">
            <v>4.9000000000000004</v>
          </cell>
          <cell r="I452" t="str">
            <v>jam</v>
          </cell>
        </row>
        <row r="453">
          <cell r="D453" t="str">
            <v>- Tukang</v>
          </cell>
          <cell r="E453" t="str">
            <v>= (Tk x T) : Qt</v>
          </cell>
          <cell r="G453" t="str">
            <v>(L02)</v>
          </cell>
          <cell r="H453">
            <v>1.4</v>
          </cell>
          <cell r="I453" t="str">
            <v>jam</v>
          </cell>
        </row>
        <row r="454">
          <cell r="D454" t="str">
            <v>- Mandor</v>
          </cell>
          <cell r="E454" t="str">
            <v>= (Tk x M) : Qt</v>
          </cell>
          <cell r="G454" t="str">
            <v>(L03)</v>
          </cell>
          <cell r="H454">
            <v>0.7</v>
          </cell>
          <cell r="I454" t="str">
            <v>jam</v>
          </cell>
        </row>
        <row r="456">
          <cell r="A456" t="str">
            <v>4.</v>
          </cell>
          <cell r="C456" t="str">
            <v>HARGA DASAR SATUAN UPAH, BAHAN DAN ALAT</v>
          </cell>
        </row>
        <row r="457">
          <cell r="C457" t="str">
            <v>Lihat lampiran.</v>
          </cell>
        </row>
        <row r="460">
          <cell r="A460" t="str">
            <v>5.</v>
          </cell>
          <cell r="C460" t="str">
            <v>ANALISA HARGA SATUAN PEKERJAAN</v>
          </cell>
        </row>
        <row r="461">
          <cell r="C461" t="str">
            <v>Lihat perhitungan dalam FORMULIR STANDAR UNTUK</v>
          </cell>
        </row>
        <row r="462">
          <cell r="C462" t="str">
            <v>PEREKEMAN ANALISA MASING-MASING HARGA</v>
          </cell>
        </row>
        <row r="463">
          <cell r="C463" t="str">
            <v>SATUAN.</v>
          </cell>
        </row>
        <row r="464">
          <cell r="C464" t="str">
            <v>Didapat Harga Satuan Pekerjaan :</v>
          </cell>
        </row>
        <row r="466">
          <cell r="C466" t="str">
            <v xml:space="preserve">Rp.  </v>
          </cell>
          <cell r="D466">
            <v>282846.80804673955</v>
          </cell>
          <cell r="E466" t="str">
            <v xml:space="preserve"> / M'</v>
          </cell>
        </row>
        <row r="469">
          <cell r="A469" t="str">
            <v>6.</v>
          </cell>
          <cell r="C469" t="str">
            <v>WAKTU PELAKSANAAN YANG DIPERLUKAN</v>
          </cell>
        </row>
        <row r="470">
          <cell r="C470" t="str">
            <v>Masa Pelaksanaan :</v>
          </cell>
          <cell r="D470" t="str">
            <v>. . . . . . . . . . . .</v>
          </cell>
          <cell r="E470" t="str">
            <v>bulan</v>
          </cell>
        </row>
        <row r="472">
          <cell r="A472" t="str">
            <v>7.</v>
          </cell>
          <cell r="C472" t="str">
            <v>VOLUME PEKERJAAN YANG DIPERLUKAN</v>
          </cell>
        </row>
        <row r="473">
          <cell r="C473" t="str">
            <v>Volume pekerjaan  :</v>
          </cell>
          <cell r="D473">
            <v>1</v>
          </cell>
          <cell r="E473" t="str">
            <v>M'</v>
          </cell>
        </row>
        <row r="483">
          <cell r="A483" t="str">
            <v>ITEM PEMBAYARAN NO.</v>
          </cell>
          <cell r="D483" t="str">
            <v>:  2.3 (3)</v>
          </cell>
          <cell r="J483" t="str">
            <v xml:space="preserve">Analisa EI-233 </v>
          </cell>
        </row>
        <row r="484">
          <cell r="A484" t="str">
            <v>JENIS PEKERJAAN</v>
          </cell>
          <cell r="D484" t="str">
            <v>:  Gorong2 Pipa Beton Bertulang 500 mm &lt; diameter dalam &lt; 1 m</v>
          </cell>
          <cell r="L484" t="str">
            <v>FORMULIR STANDAR UNTUK</v>
          </cell>
        </row>
        <row r="485">
          <cell r="A485" t="str">
            <v>SATUAN PEMBAYARAN</v>
          </cell>
          <cell r="D485" t="str">
            <v>:  M1</v>
          </cell>
          <cell r="J485" t="str">
            <v xml:space="preserve">         URAIAN ANALISA HARGA SATUAN</v>
          </cell>
          <cell r="L485" t="str">
            <v>PEREKAMAN ANALISA MASING-MASING HARGA SATUAN</v>
          </cell>
        </row>
        <row r="486">
          <cell r="L486" t="str">
            <v/>
          </cell>
        </row>
        <row r="488">
          <cell r="A488" t="str">
            <v>No.</v>
          </cell>
          <cell r="C488" t="str">
            <v>U R A I A N</v>
          </cell>
          <cell r="G488" t="str">
            <v>KODE</v>
          </cell>
          <cell r="H488" t="str">
            <v>KOEF.</v>
          </cell>
          <cell r="I488" t="str">
            <v>SATUAN</v>
          </cell>
          <cell r="J488" t="str">
            <v>KETERANGAN</v>
          </cell>
        </row>
        <row r="489">
          <cell r="L489" t="str">
            <v>PROYEK</v>
          </cell>
          <cell r="O489" t="str">
            <v>:</v>
          </cell>
        </row>
        <row r="490">
          <cell r="L490" t="str">
            <v>No. PAKET KONTRAK</v>
          </cell>
          <cell r="O490" t="str">
            <v>:</v>
          </cell>
        </row>
        <row r="491">
          <cell r="A491" t="str">
            <v>I.</v>
          </cell>
          <cell r="C491" t="str">
            <v>ASUMSI</v>
          </cell>
          <cell r="L491" t="str">
            <v>NAMA PAKET</v>
          </cell>
          <cell r="O491" t="str">
            <v>:</v>
          </cell>
        </row>
        <row r="492">
          <cell r="A492">
            <v>1</v>
          </cell>
          <cell r="C492" t="str">
            <v>Pekerjaan dilakukan secara mekanik/manual</v>
          </cell>
          <cell r="L492" t="str">
            <v>PROP / KAB / KODYA</v>
          </cell>
          <cell r="O492" t="str">
            <v>:</v>
          </cell>
        </row>
        <row r="493">
          <cell r="A493">
            <v>2</v>
          </cell>
          <cell r="C493" t="str">
            <v>Lokasi pekerjaan : sepanjang jalan</v>
          </cell>
          <cell r="L493" t="str">
            <v>ITEM PEMBAYARAN NO.</v>
          </cell>
          <cell r="O493" t="str">
            <v>:  2.3 (3)</v>
          </cell>
          <cell r="R493" t="str">
            <v>PERKIRAAN VOL. PEK.</v>
          </cell>
          <cell r="T493" t="str">
            <v>:</v>
          </cell>
          <cell r="U493">
            <v>1</v>
          </cell>
        </row>
        <row r="494">
          <cell r="A494">
            <v>3</v>
          </cell>
          <cell r="C494" t="str">
            <v>Diameter bagian dalam gorong-gorong</v>
          </cell>
          <cell r="G494" t="str">
            <v>d</v>
          </cell>
          <cell r="H494">
            <v>0.8</v>
          </cell>
          <cell r="I494" t="str">
            <v>m</v>
          </cell>
          <cell r="L494" t="str">
            <v>JENIS PEKERJAAN</v>
          </cell>
          <cell r="O494" t="str">
            <v>:  Gorong2 Pipa Beton Bertulang 500 mm &lt; diameter dalam &lt; 1 m</v>
          </cell>
          <cell r="R494" t="str">
            <v>TOTAL HARGA (Rp.)</v>
          </cell>
          <cell r="T494" t="str">
            <v>:</v>
          </cell>
          <cell r="U494">
            <v>447945.27138535964</v>
          </cell>
        </row>
        <row r="495">
          <cell r="A495">
            <v>4</v>
          </cell>
          <cell r="C495" t="str">
            <v>Jarak rata-rata Base Camp ke lokasi pekerjaan</v>
          </cell>
          <cell r="G495" t="str">
            <v>L</v>
          </cell>
          <cell r="H495">
            <v>8.7249999999999996</v>
          </cell>
          <cell r="I495" t="str">
            <v>Km</v>
          </cell>
          <cell r="L495" t="str">
            <v>SATUAN PEMBAYARAN</v>
          </cell>
          <cell r="O495" t="str">
            <v>:  M1</v>
          </cell>
          <cell r="Q495">
            <v>0</v>
          </cell>
          <cell r="R495" t="str">
            <v>% THD. BIAYA PROYEK</v>
          </cell>
          <cell r="T495" t="str">
            <v>:</v>
          </cell>
          <cell r="U495" t="e">
            <v>#DIV/0!</v>
          </cell>
        </row>
        <row r="496">
          <cell r="A496">
            <v>5</v>
          </cell>
          <cell r="C496" t="str">
            <v>Jam kerja efektif per-hari</v>
          </cell>
          <cell r="G496" t="str">
            <v>Tk</v>
          </cell>
          <cell r="H496">
            <v>7</v>
          </cell>
          <cell r="I496" t="str">
            <v>Jam</v>
          </cell>
        </row>
        <row r="497">
          <cell r="A497">
            <v>6</v>
          </cell>
          <cell r="C497" t="str">
            <v>Tebal gorong-gorong</v>
          </cell>
          <cell r="G497" t="str">
            <v>tg</v>
          </cell>
          <cell r="H497">
            <v>7.5</v>
          </cell>
          <cell r="I497" t="str">
            <v>Cm</v>
          </cell>
        </row>
        <row r="498">
          <cell r="Q498" t="str">
            <v>PERKIRAAN</v>
          </cell>
          <cell r="R498" t="str">
            <v>HARGA</v>
          </cell>
          <cell r="S498" t="str">
            <v>JUMLAH</v>
          </cell>
        </row>
        <row r="499">
          <cell r="A499" t="str">
            <v>II.</v>
          </cell>
          <cell r="C499" t="str">
            <v>URUTAN KERJA</v>
          </cell>
          <cell r="L499" t="str">
            <v>NO.</v>
          </cell>
          <cell r="N499" t="str">
            <v>KOMPONEN</v>
          </cell>
          <cell r="P499" t="str">
            <v>SATUAN</v>
          </cell>
          <cell r="Q499" t="str">
            <v>KUANTITAS</v>
          </cell>
          <cell r="R499" t="str">
            <v>SATUAN</v>
          </cell>
          <cell r="S499" t="str">
            <v>HARGA</v>
          </cell>
        </row>
        <row r="500">
          <cell r="A500">
            <v>1</v>
          </cell>
          <cell r="C500" t="str">
            <v>Gorong-gorong dicetak di Base Camp</v>
          </cell>
          <cell r="R500" t="str">
            <v>(Rp.)</v>
          </cell>
          <cell r="S500" t="str">
            <v>(Rp.)</v>
          </cell>
        </row>
        <row r="501">
          <cell r="A501">
            <v>2</v>
          </cell>
          <cell r="C501" t="str">
            <v>Dump Truck mengangkut gorong-gorong jadi</v>
          </cell>
        </row>
        <row r="502">
          <cell r="C502" t="str">
            <v>ke lapangan</v>
          </cell>
        </row>
        <row r="503">
          <cell r="A503">
            <v>3</v>
          </cell>
          <cell r="C503" t="str">
            <v>Dasar gorong-gorong digali sesuai kebutuhan dan ma-</v>
          </cell>
          <cell r="L503" t="str">
            <v>A.</v>
          </cell>
          <cell r="N503" t="str">
            <v>TENAGA</v>
          </cell>
        </row>
        <row r="504">
          <cell r="C504" t="str">
            <v>terial backfill dipadatkan dengan Tamper</v>
          </cell>
        </row>
        <row r="505">
          <cell r="A505">
            <v>4</v>
          </cell>
          <cell r="C505" t="str">
            <v>Tebal lapis porus pada dasar gorong-gorong pipa</v>
          </cell>
          <cell r="G505" t="str">
            <v>tp</v>
          </cell>
          <cell r="H505">
            <v>0.12</v>
          </cell>
          <cell r="I505" t="str">
            <v>M</v>
          </cell>
          <cell r="J505" t="str">
            <v xml:space="preserve"> Sand bedding</v>
          </cell>
          <cell r="L505" t="str">
            <v>1.</v>
          </cell>
          <cell r="N505" t="str">
            <v>Pekerja</v>
          </cell>
          <cell r="O505" t="str">
            <v>(L01)</v>
          </cell>
          <cell r="P505" t="str">
            <v>Jam</v>
          </cell>
          <cell r="Q505">
            <v>9.3333333333333339</v>
          </cell>
          <cell r="R505">
            <v>2857.14</v>
          </cell>
          <cell r="U505">
            <v>26666.639999999999</v>
          </cell>
        </row>
        <row r="506">
          <cell r="A506">
            <v>5</v>
          </cell>
          <cell r="C506" t="str">
            <v>Material pilihan untuk penimbunan kembali (padat)</v>
          </cell>
          <cell r="L506" t="str">
            <v>2.</v>
          </cell>
          <cell r="N506" t="str">
            <v>Tukang</v>
          </cell>
          <cell r="O506" t="str">
            <v>(L02)</v>
          </cell>
          <cell r="P506" t="str">
            <v>Jam</v>
          </cell>
          <cell r="Q506">
            <v>1.1666666666666667</v>
          </cell>
          <cell r="R506">
            <v>4285.71</v>
          </cell>
          <cell r="U506">
            <v>4999.9950000000008</v>
          </cell>
        </row>
        <row r="507">
          <cell r="A507">
            <v>6</v>
          </cell>
          <cell r="C507" t="str">
            <v>Sekelompok pekerja akan melaksanakan pekerjaan</v>
          </cell>
          <cell r="L507" t="str">
            <v>3.</v>
          </cell>
          <cell r="N507" t="str">
            <v>Mandor</v>
          </cell>
          <cell r="O507" t="str">
            <v>(L03)</v>
          </cell>
          <cell r="P507" t="str">
            <v>Jam</v>
          </cell>
          <cell r="Q507">
            <v>1.1666666666666667</v>
          </cell>
          <cell r="R507">
            <v>3214.29</v>
          </cell>
          <cell r="U507">
            <v>3750.0050000000001</v>
          </cell>
        </row>
        <row r="508">
          <cell r="C508" t="str">
            <v>dengan cara manual dengan menggunakan alat bantu</v>
          </cell>
        </row>
        <row r="509">
          <cell r="Q509" t="str">
            <v xml:space="preserve">JUMLAH HARGA TENAGA   </v>
          </cell>
          <cell r="U509">
            <v>35416.639999999999</v>
          </cell>
        </row>
        <row r="511">
          <cell r="A511" t="str">
            <v>III.</v>
          </cell>
          <cell r="C511" t="str">
            <v>PEMAKAIAN BAHAN, ALAT DAN TENAGA</v>
          </cell>
          <cell r="L511" t="str">
            <v>B.</v>
          </cell>
          <cell r="N511" t="str">
            <v>BAHAN</v>
          </cell>
        </row>
        <row r="512">
          <cell r="A512" t="str">
            <v xml:space="preserve">   1.</v>
          </cell>
          <cell r="C512" t="str">
            <v>BAHAN</v>
          </cell>
        </row>
        <row r="513">
          <cell r="C513" t="str">
            <v>Untuk mendapatkan 1 M' gorong-gorong diperlukan</v>
          </cell>
          <cell r="L513" t="str">
            <v>1.</v>
          </cell>
          <cell r="N513" t="str">
            <v>Beton K-300</v>
          </cell>
          <cell r="O513" t="str">
            <v>(EI-714)</v>
          </cell>
          <cell r="P513" t="str">
            <v>M3</v>
          </cell>
          <cell r="Q513">
            <v>0.20616701789183023</v>
          </cell>
          <cell r="R513">
            <v>652902.54982502444</v>
          </cell>
          <cell r="U513">
            <v>134606.97167139739</v>
          </cell>
        </row>
        <row r="514">
          <cell r="C514" t="str">
            <v>- Beton K-300 = (22/7*((2*tg/100+d)/2)^2)-(22/7*(d/2)^2))*1</v>
          </cell>
          <cell r="G514" t="str">
            <v>(EI-714)</v>
          </cell>
          <cell r="H514">
            <v>0.20616701789183023</v>
          </cell>
          <cell r="I514" t="str">
            <v>M3</v>
          </cell>
          <cell r="L514" t="str">
            <v>2.</v>
          </cell>
          <cell r="N514" t="str">
            <v>Baja Tulangan</v>
          </cell>
          <cell r="O514" t="str">
            <v>(M39)</v>
          </cell>
          <cell r="P514" t="str">
            <v>Kg</v>
          </cell>
          <cell r="Q514">
            <v>22.678371968101327</v>
          </cell>
          <cell r="R514">
            <v>4000</v>
          </cell>
          <cell r="U514">
            <v>90713.487872405312</v>
          </cell>
        </row>
        <row r="515">
          <cell r="C515" t="str">
            <v>- Baja Tulangan (asumsi 100kg/m3)</v>
          </cell>
          <cell r="G515" t="str">
            <v>(M39)</v>
          </cell>
          <cell r="H515">
            <v>22.678371968101327</v>
          </cell>
          <cell r="I515" t="str">
            <v>Kg</v>
          </cell>
          <cell r="L515" t="str">
            <v>3.</v>
          </cell>
          <cell r="N515" t="str">
            <v>Urugan Porus</v>
          </cell>
          <cell r="O515" t="str">
            <v>(EI-241)</v>
          </cell>
          <cell r="P515" t="str">
            <v>M3</v>
          </cell>
          <cell r="Q515">
            <v>0.2205</v>
          </cell>
          <cell r="R515">
            <v>186901.40625406182</v>
          </cell>
          <cell r="U515">
            <v>41211.760079020634</v>
          </cell>
        </row>
        <row r="516">
          <cell r="C516" t="str">
            <v>- Timbunan Porus      = {(tp*(0.4+2*tg/100+d+0.4)*1)*1.05}</v>
          </cell>
          <cell r="G516" t="str">
            <v>(EI-241)</v>
          </cell>
          <cell r="H516">
            <v>0.2205</v>
          </cell>
          <cell r="I516" t="str">
            <v>M3</v>
          </cell>
          <cell r="L516" t="str">
            <v>4.</v>
          </cell>
          <cell r="N516" t="str">
            <v>Mat. Pilihan</v>
          </cell>
          <cell r="O516" t="str">
            <v>(M09)</v>
          </cell>
          <cell r="P516" t="str">
            <v>M3</v>
          </cell>
          <cell r="Q516">
            <v>1.5523125</v>
          </cell>
          <cell r="R516">
            <v>25000</v>
          </cell>
          <cell r="U516">
            <v>38807.8125</v>
          </cell>
        </row>
        <row r="517">
          <cell r="C517" t="str">
            <v>- Material Pilihan</v>
          </cell>
          <cell r="D517" t="str">
            <v>= ((2*tg/100+d+0.3)*(0.4+2*tg/100+d+0.4)</v>
          </cell>
          <cell r="G517" t="str">
            <v>(M09)</v>
          </cell>
          <cell r="H517">
            <v>1.5523125</v>
          </cell>
          <cell r="I517" t="str">
            <v>M3</v>
          </cell>
          <cell r="J517" t="str">
            <v xml:space="preserve"> = Vp</v>
          </cell>
        </row>
        <row r="518">
          <cell r="D518" t="str">
            <v xml:space="preserve">   -(22/7*(0.5*(2*tg/100+d))^2))*1*1.05</v>
          </cell>
        </row>
        <row r="519">
          <cell r="A519" t="str">
            <v xml:space="preserve">   2.</v>
          </cell>
          <cell r="C519" t="str">
            <v>ALAT</v>
          </cell>
          <cell r="Q519" t="str">
            <v xml:space="preserve">JUMLAH HARGA BAHAN   </v>
          </cell>
          <cell r="U519">
            <v>305340.03212282335</v>
          </cell>
        </row>
        <row r="520">
          <cell r="A520" t="str">
            <v>2.a.</v>
          </cell>
          <cell r="C520" t="str">
            <v>TAMPER</v>
          </cell>
          <cell r="G520" t="str">
            <v>(E25)</v>
          </cell>
        </row>
        <row r="521">
          <cell r="C521" t="str">
            <v>Kecepatan</v>
          </cell>
          <cell r="G521" t="str">
            <v>V</v>
          </cell>
          <cell r="H521">
            <v>0.5</v>
          </cell>
          <cell r="I521" t="str">
            <v>Km / Jam</v>
          </cell>
          <cell r="L521" t="str">
            <v>C.</v>
          </cell>
          <cell r="N521" t="str">
            <v>PERALATAN</v>
          </cell>
        </row>
        <row r="522">
          <cell r="C522" t="str">
            <v>Efisiensi alat</v>
          </cell>
          <cell r="G522" t="str">
            <v>Fa</v>
          </cell>
          <cell r="H522">
            <v>0.83</v>
          </cell>
          <cell r="I522" t="str">
            <v>-</v>
          </cell>
        </row>
        <row r="523">
          <cell r="C523" t="str">
            <v>Lebar pemadatan</v>
          </cell>
          <cell r="G523" t="str">
            <v>Lb</v>
          </cell>
          <cell r="H523">
            <v>0.4</v>
          </cell>
          <cell r="I523" t="str">
            <v>M</v>
          </cell>
          <cell r="L523" t="str">
            <v>1.</v>
          </cell>
          <cell r="N523" t="str">
            <v>Tamper</v>
          </cell>
          <cell r="O523" t="str">
            <v>(E25)</v>
          </cell>
          <cell r="P523" t="str">
            <v>Jam</v>
          </cell>
          <cell r="Q523">
            <v>0.46756400602409631</v>
          </cell>
          <cell r="R523">
            <v>18672.16854694486</v>
          </cell>
          <cell r="U523">
            <v>8730.4339269666689</v>
          </cell>
        </row>
        <row r="524">
          <cell r="C524" t="str">
            <v>Banyak lintasan</v>
          </cell>
          <cell r="G524" t="str">
            <v>n</v>
          </cell>
          <cell r="H524">
            <v>10</v>
          </cell>
          <cell r="I524" t="str">
            <v>lintasan</v>
          </cell>
          <cell r="L524" t="str">
            <v>2.</v>
          </cell>
          <cell r="N524" t="str">
            <v>Dump Truck</v>
          </cell>
          <cell r="O524" t="str">
            <v>(E08)</v>
          </cell>
          <cell r="P524" t="str">
            <v>Jam</v>
          </cell>
          <cell r="Q524">
            <v>0.36926455823293175</v>
          </cell>
          <cell r="R524">
            <v>153645.58193291764</v>
          </cell>
          <cell r="U524">
            <v>56735.867936900555</v>
          </cell>
        </row>
        <row r="525">
          <cell r="C525" t="str">
            <v>Tebal lapis hamparan</v>
          </cell>
          <cell r="G525" t="str">
            <v>tp</v>
          </cell>
          <cell r="H525">
            <v>0.2</v>
          </cell>
          <cell r="I525" t="str">
            <v>M</v>
          </cell>
          <cell r="L525" t="str">
            <v>3.</v>
          </cell>
          <cell r="N525" t="str">
            <v>Alat  Bantu</v>
          </cell>
          <cell r="P525" t="str">
            <v>Ls</v>
          </cell>
          <cell r="Q525">
            <v>1</v>
          </cell>
          <cell r="R525">
            <v>1000</v>
          </cell>
          <cell r="U525">
            <v>1000</v>
          </cell>
        </row>
        <row r="528">
          <cell r="C528" t="str">
            <v>Kap. Prod. / Jam   =</v>
          </cell>
          <cell r="D528" t="str">
            <v>v x 1000 x Fa x Lb x 60</v>
          </cell>
          <cell r="G528" t="str">
            <v>Q1</v>
          </cell>
          <cell r="H528">
            <v>3.3200000000000003</v>
          </cell>
          <cell r="I528" t="str">
            <v xml:space="preserve">M3 / Jam </v>
          </cell>
        </row>
        <row r="529">
          <cell r="D529" t="str">
            <v xml:space="preserve">    n x tp</v>
          </cell>
        </row>
        <row r="531">
          <cell r="C531" t="str">
            <v>Koefisien Alat / m'</v>
          </cell>
          <cell r="D531" t="str">
            <v xml:space="preserve"> =  1  :  Q1 x Vp</v>
          </cell>
          <cell r="G531" t="str">
            <v>(E25)</v>
          </cell>
          <cell r="H531">
            <v>0.46756400602409631</v>
          </cell>
          <cell r="I531" t="str">
            <v>jam</v>
          </cell>
          <cell r="Q531" t="str">
            <v xml:space="preserve">JUMLAH HARGA PERALATAN   </v>
          </cell>
          <cell r="U531">
            <v>66466.301863867222</v>
          </cell>
        </row>
        <row r="533">
          <cell r="A533" t="str">
            <v>2.b.</v>
          </cell>
          <cell r="C533" t="str">
            <v>DUMP TRUCK</v>
          </cell>
          <cell r="G533" t="str">
            <v>(E08)</v>
          </cell>
          <cell r="L533" t="str">
            <v>D.</v>
          </cell>
          <cell r="N533" t="str">
            <v>JUMLAH HARGA TENAGA, BAHAN DAN PERALATAN  ( A + B + C )</v>
          </cell>
          <cell r="U533">
            <v>407222.97398669057</v>
          </cell>
        </row>
        <row r="534">
          <cell r="C534" t="str">
            <v>Kapasitas bak sekali muat</v>
          </cell>
          <cell r="G534" t="str">
            <v>V</v>
          </cell>
          <cell r="H534">
            <v>4</v>
          </cell>
          <cell r="I534" t="str">
            <v>Buah/M'</v>
          </cell>
          <cell r="L534" t="str">
            <v>E.</v>
          </cell>
          <cell r="N534" t="str">
            <v>OVERHEAD &amp; PROFIT</v>
          </cell>
          <cell r="P534">
            <v>10</v>
          </cell>
          <cell r="Q534" t="str">
            <v>%  x  D</v>
          </cell>
          <cell r="U534">
            <v>40722.297398669063</v>
          </cell>
        </row>
        <row r="535">
          <cell r="C535" t="str">
            <v>Faktor efisiensi alat</v>
          </cell>
          <cell r="G535" t="str">
            <v>Fa</v>
          </cell>
          <cell r="H535">
            <v>0.83</v>
          </cell>
          <cell r="L535" t="str">
            <v>F.</v>
          </cell>
          <cell r="N535" t="str">
            <v>HARGA SATUAN PEKERJAAN  ( D + E )</v>
          </cell>
          <cell r="U535">
            <v>447945.27138535964</v>
          </cell>
        </row>
        <row r="536">
          <cell r="C536" t="str">
            <v>Kecepatanrata-rata bermuatan</v>
          </cell>
          <cell r="G536" t="str">
            <v>v1</v>
          </cell>
          <cell r="H536">
            <v>40</v>
          </cell>
          <cell r="L536" t="str">
            <v>Note: 1</v>
          </cell>
          <cell r="N536" t="str">
            <v>SATUAN dapat berdasarkan atas jam operasi untuk Tenaga Kerja dan Peralatan, volume dan/atau ukuran</v>
          </cell>
        </row>
        <row r="537">
          <cell r="C537" t="str">
            <v>Kecepatan rata-rata kosong</v>
          </cell>
          <cell r="G537" t="str">
            <v>v2</v>
          </cell>
          <cell r="H537">
            <v>50</v>
          </cell>
          <cell r="N537" t="str">
            <v>berat untuk bahan-bahan.</v>
          </cell>
        </row>
        <row r="538">
          <cell r="C538" t="str">
            <v>Waktu siklus    :</v>
          </cell>
          <cell r="G538" t="str">
            <v>Ts</v>
          </cell>
          <cell r="L538">
            <v>2</v>
          </cell>
          <cell r="N538" t="str">
            <v>Kuantitas satuan adalah kuantitas setiap komponen untuk menyelesaikan satu satuan pekerjaan dari nomor</v>
          </cell>
        </row>
        <row r="539">
          <cell r="C539" t="str">
            <v>- Waktu  tempuh in  si    = (L : v1 ) x 60</v>
          </cell>
          <cell r="G539" t="str">
            <v>T1</v>
          </cell>
          <cell r="H539">
            <v>13.087499999999999</v>
          </cell>
          <cell r="I539" t="str">
            <v>menit</v>
          </cell>
          <cell r="N539" t="str">
            <v>mata pembayaran.</v>
          </cell>
        </row>
        <row r="540">
          <cell r="C540" t="str">
            <v>-  Waktutempuh kosong  = (L : v2)  x  60</v>
          </cell>
          <cell r="G540" t="str">
            <v>T2</v>
          </cell>
          <cell r="H540">
            <v>10.469999999999999</v>
          </cell>
          <cell r="I540" t="str">
            <v>menit</v>
          </cell>
          <cell r="L540">
            <v>3</v>
          </cell>
          <cell r="N540" t="str">
            <v>Biaya satuan untuk peralatan sudah termasuk bahan bakar, bahan habis dipakai dan operator.</v>
          </cell>
        </row>
        <row r="541">
          <cell r="C541" t="str">
            <v>- Muat, bongkar dan lain-lain</v>
          </cell>
          <cell r="G541" t="str">
            <v>T3</v>
          </cell>
          <cell r="H541">
            <v>50</v>
          </cell>
          <cell r="I541" t="str">
            <v>menit</v>
          </cell>
          <cell r="L541">
            <v>4</v>
          </cell>
          <cell r="N541" t="str">
            <v>Biaya satuan sudah termasuk pengeluaran untuk seluruh pajak yang berkaitan (tetapi tidak termasuk PPN</v>
          </cell>
        </row>
        <row r="542">
          <cell r="G542" t="str">
            <v>Ts</v>
          </cell>
          <cell r="H542">
            <v>73.557500000000005</v>
          </cell>
          <cell r="I542" t="str">
            <v>menit</v>
          </cell>
          <cell r="N542" t="str">
            <v>yang dibayar dari kontrak) dan biaya-biaya lainnya.</v>
          </cell>
        </row>
        <row r="543">
          <cell r="J543" t="str">
            <v>Berlanjut ke halaman berikut</v>
          </cell>
        </row>
        <row r="544">
          <cell r="A544" t="str">
            <v>ITEM PEMBAYARAN NO.</v>
          </cell>
          <cell r="D544" t="str">
            <v>:  2.3 (3)</v>
          </cell>
          <cell r="J544" t="str">
            <v xml:space="preserve">Analisa EI-233 </v>
          </cell>
        </row>
        <row r="545">
          <cell r="A545" t="str">
            <v>JENIS PEKERJAAN</v>
          </cell>
          <cell r="D545" t="str">
            <v>:  Gorong2 Pipa Beton Bertulang 500 mm &lt; diameter dalam &lt; 1 m</v>
          </cell>
        </row>
        <row r="546">
          <cell r="A546" t="str">
            <v>SATUAN PEMBAYARAN</v>
          </cell>
          <cell r="D546" t="str">
            <v>:  M1</v>
          </cell>
          <cell r="J546" t="str">
            <v xml:space="preserve">         URAIAN ANALISA HARGA SATUAN</v>
          </cell>
        </row>
        <row r="547">
          <cell r="J547" t="str">
            <v>Lanjutan</v>
          </cell>
        </row>
        <row r="549">
          <cell r="A549" t="str">
            <v>No.</v>
          </cell>
          <cell r="C549" t="str">
            <v>U R A I A N</v>
          </cell>
          <cell r="G549" t="str">
            <v>KODE</v>
          </cell>
          <cell r="H549" t="str">
            <v>KOEF.</v>
          </cell>
          <cell r="I549" t="str">
            <v>SATUAN</v>
          </cell>
          <cell r="J549" t="str">
            <v>KETERANGAN</v>
          </cell>
        </row>
        <row r="552">
          <cell r="C552" t="str">
            <v>Kapasitas Produksi / Jam   =</v>
          </cell>
          <cell r="E552" t="str">
            <v>V x Fa x 60</v>
          </cell>
          <cell r="G552" t="str">
            <v>Q2</v>
          </cell>
          <cell r="H552">
            <v>2.7080855113346698</v>
          </cell>
          <cell r="I552" t="str">
            <v xml:space="preserve">M' / Jam </v>
          </cell>
        </row>
        <row r="553">
          <cell r="E553" t="str">
            <v xml:space="preserve">    Ts</v>
          </cell>
        </row>
        <row r="555">
          <cell r="C555" t="str">
            <v>Koefisien Alat / m'</v>
          </cell>
          <cell r="D555" t="str">
            <v xml:space="preserve"> =  1  :  Q2</v>
          </cell>
          <cell r="G555" t="str">
            <v>(E08)</v>
          </cell>
          <cell r="H555">
            <v>0.36926455823293175</v>
          </cell>
          <cell r="I555" t="str">
            <v>jam</v>
          </cell>
        </row>
        <row r="558">
          <cell r="A558" t="str">
            <v>2.c.</v>
          </cell>
          <cell r="C558" t="str">
            <v>ALAT  BANTU</v>
          </cell>
        </row>
        <row r="559">
          <cell r="C559" t="str">
            <v>Diperlukan alat-alat bantu kecil</v>
          </cell>
          <cell r="J559" t="str">
            <v>Lump Sump</v>
          </cell>
        </row>
        <row r="560">
          <cell r="C560" t="str">
            <v>- Sekop    =         3   buah</v>
          </cell>
        </row>
        <row r="561">
          <cell r="C561" t="str">
            <v>- Pacul     =         3   buah</v>
          </cell>
        </row>
        <row r="562">
          <cell r="C562" t="str">
            <v>- Alat-alat kecil lain</v>
          </cell>
        </row>
        <row r="564">
          <cell r="A564" t="str">
            <v xml:space="preserve">   3.</v>
          </cell>
          <cell r="C564" t="str">
            <v>TENAGA</v>
          </cell>
        </row>
        <row r="565">
          <cell r="C565" t="str">
            <v>Produksi Gorong-gorong / hari</v>
          </cell>
          <cell r="G565" t="str">
            <v>Qt</v>
          </cell>
          <cell r="H565">
            <v>6</v>
          </cell>
          <cell r="I565" t="str">
            <v>M'</v>
          </cell>
        </row>
        <row r="566">
          <cell r="C566" t="str">
            <v>Kebutuhan tenaga :</v>
          </cell>
        </row>
        <row r="567">
          <cell r="D567" t="str">
            <v>- Pekerja</v>
          </cell>
          <cell r="G567" t="str">
            <v>P</v>
          </cell>
          <cell r="H567">
            <v>8</v>
          </cell>
          <cell r="I567" t="str">
            <v>orang</v>
          </cell>
        </row>
        <row r="568">
          <cell r="D568" t="str">
            <v>- Tukang</v>
          </cell>
          <cell r="G568" t="str">
            <v>T</v>
          </cell>
          <cell r="H568">
            <v>1</v>
          </cell>
          <cell r="I568" t="str">
            <v>orang</v>
          </cell>
        </row>
        <row r="569">
          <cell r="D569" t="str">
            <v>- Mandor</v>
          </cell>
          <cell r="G569" t="str">
            <v>M</v>
          </cell>
          <cell r="H569">
            <v>1</v>
          </cell>
          <cell r="I569" t="str">
            <v>orang</v>
          </cell>
        </row>
        <row r="571">
          <cell r="C571" t="str">
            <v>Koefisien tenaga / M'   :</v>
          </cell>
        </row>
        <row r="572">
          <cell r="D572" t="str">
            <v>- Pekerja</v>
          </cell>
          <cell r="E572" t="str">
            <v>= (Tk x P) : Qt</v>
          </cell>
          <cell r="G572" t="str">
            <v>(L01)</v>
          </cell>
          <cell r="H572">
            <v>9.3333333333333339</v>
          </cell>
          <cell r="I572" t="str">
            <v>jam</v>
          </cell>
        </row>
        <row r="573">
          <cell r="D573" t="str">
            <v>- Tukang</v>
          </cell>
          <cell r="E573" t="str">
            <v>= (Tk x T) : Qt</v>
          </cell>
          <cell r="G573" t="str">
            <v>(L02)</v>
          </cell>
          <cell r="H573">
            <v>1.1666666666666667</v>
          </cell>
          <cell r="I573" t="str">
            <v>jam</v>
          </cell>
        </row>
        <row r="574">
          <cell r="D574" t="str">
            <v>- Mandor</v>
          </cell>
          <cell r="E574" t="str">
            <v>= (Tk x M) : Qt</v>
          </cell>
          <cell r="G574" t="str">
            <v>(L03)</v>
          </cell>
          <cell r="H574">
            <v>1.1666666666666667</v>
          </cell>
          <cell r="I574" t="str">
            <v>jam</v>
          </cell>
        </row>
        <row r="576">
          <cell r="A576" t="str">
            <v>4.</v>
          </cell>
          <cell r="C576" t="str">
            <v>HARGA DASAR SATUAN UPAH, BAHAN DAN ALAT</v>
          </cell>
        </row>
        <row r="577">
          <cell r="C577" t="str">
            <v>Lihat lampiran.</v>
          </cell>
        </row>
        <row r="580">
          <cell r="A580" t="str">
            <v>5.</v>
          </cell>
          <cell r="C580" t="str">
            <v>ANALISA HARGA SATUAN PEKERJAAN</v>
          </cell>
        </row>
        <row r="581">
          <cell r="C581" t="str">
            <v>Lihat perhitungan dalam FORMULIR STANDAR UNTUK</v>
          </cell>
        </row>
        <row r="582">
          <cell r="C582" t="str">
            <v>PEREKEMAN ANALISA MASING-MASING HARGA</v>
          </cell>
        </row>
        <row r="583">
          <cell r="C583" t="str">
            <v>SATUAN.</v>
          </cell>
        </row>
        <row r="584">
          <cell r="C584" t="str">
            <v>Didapat Harga Satuan Pekerjaan :</v>
          </cell>
        </row>
        <row r="586">
          <cell r="C586" t="str">
            <v xml:space="preserve">Rp.  </v>
          </cell>
          <cell r="D586">
            <v>447945.27138535964</v>
          </cell>
          <cell r="E586" t="str">
            <v xml:space="preserve"> / M'</v>
          </cell>
        </row>
        <row r="589">
          <cell r="A589" t="str">
            <v>6.</v>
          </cell>
          <cell r="C589" t="str">
            <v>WAKTU PELAKSANAAN YANG DIPERLUKAN</v>
          </cell>
        </row>
        <row r="590">
          <cell r="C590" t="str">
            <v>Masa Pelaksanaan :</v>
          </cell>
          <cell r="D590" t="str">
            <v>. . . . . . . . . . . .</v>
          </cell>
          <cell r="E590" t="str">
            <v>bulan</v>
          </cell>
        </row>
        <row r="592">
          <cell r="A592" t="str">
            <v>7.</v>
          </cell>
          <cell r="C592" t="str">
            <v>VOLUME PEKERJAAN YANG DIPERLUKAN</v>
          </cell>
        </row>
        <row r="593">
          <cell r="C593" t="str">
            <v>Volume pekerjaan  :</v>
          </cell>
          <cell r="D593">
            <v>1</v>
          </cell>
          <cell r="E593" t="str">
            <v>M'</v>
          </cell>
        </row>
        <row r="603">
          <cell r="A603" t="str">
            <v>ITEM PEMBAYARAN NO.</v>
          </cell>
          <cell r="D603" t="str">
            <v>:  2.3 (4)</v>
          </cell>
          <cell r="J603" t="str">
            <v>Analisa EI-234</v>
          </cell>
        </row>
        <row r="604">
          <cell r="A604" t="str">
            <v>JENIS PEKERJAAN</v>
          </cell>
          <cell r="D604" t="str">
            <v>:  Gorong2 Pipa Beton Bertulang, 1 m &lt; diameter dalam &lt; 1.3 m</v>
          </cell>
          <cell r="L604" t="str">
            <v>FORMULIR STANDAR UNTUK</v>
          </cell>
        </row>
        <row r="605">
          <cell r="A605" t="str">
            <v>SATUAN PEMBAYARAN</v>
          </cell>
          <cell r="D605" t="str">
            <v>:  M1</v>
          </cell>
          <cell r="J605" t="str">
            <v xml:space="preserve">         URAIAN ANALISA HARGA SATUAN</v>
          </cell>
          <cell r="L605" t="str">
            <v>PEREKAMAN ANALISA MASING-MASING HARGA SATUAN</v>
          </cell>
        </row>
        <row r="606">
          <cell r="L606" t="str">
            <v/>
          </cell>
        </row>
        <row r="608">
          <cell r="A608" t="str">
            <v>No.</v>
          </cell>
          <cell r="C608" t="str">
            <v>U R A I A N</v>
          </cell>
          <cell r="G608" t="str">
            <v>KODE</v>
          </cell>
          <cell r="H608" t="str">
            <v>KOEF.</v>
          </cell>
          <cell r="I608" t="str">
            <v>SATUAN</v>
          </cell>
          <cell r="J608" t="str">
            <v>KETERANGAN</v>
          </cell>
        </row>
        <row r="609">
          <cell r="L609" t="str">
            <v>PROYEK</v>
          </cell>
          <cell r="O609" t="str">
            <v>:</v>
          </cell>
        </row>
        <row r="610">
          <cell r="L610" t="str">
            <v>No. PAKET KONTRAK</v>
          </cell>
          <cell r="O610" t="str">
            <v>:</v>
          </cell>
        </row>
        <row r="611">
          <cell r="A611" t="str">
            <v>I.</v>
          </cell>
          <cell r="C611" t="str">
            <v>ASUMSI</v>
          </cell>
          <cell r="L611" t="str">
            <v>NAMA PAKET</v>
          </cell>
          <cell r="O611" t="str">
            <v>:</v>
          </cell>
        </row>
        <row r="612">
          <cell r="A612">
            <v>1</v>
          </cell>
          <cell r="C612" t="str">
            <v>Pekerjaan dilakukan secara mekanik/manual</v>
          </cell>
          <cell r="L612" t="str">
            <v>PROP / KAB / KODYA</v>
          </cell>
          <cell r="O612" t="str">
            <v>:</v>
          </cell>
        </row>
        <row r="613">
          <cell r="A613">
            <v>2</v>
          </cell>
          <cell r="C613" t="str">
            <v>Lokasi pekerjaan : sepanjang jalan</v>
          </cell>
          <cell r="L613" t="str">
            <v>ITEM PEMBAYARAN NO.</v>
          </cell>
          <cell r="O613" t="str">
            <v>:  2.3 (4)</v>
          </cell>
          <cell r="R613" t="str">
            <v>PERKIRAAN VOL. PEK.</v>
          </cell>
          <cell r="T613" t="str">
            <v>:</v>
          </cell>
          <cell r="U613">
            <v>1</v>
          </cell>
        </row>
        <row r="614">
          <cell r="A614">
            <v>3</v>
          </cell>
          <cell r="C614" t="str">
            <v>Diameter bagian dalam gorong-gorong</v>
          </cell>
          <cell r="G614" t="str">
            <v>d</v>
          </cell>
          <cell r="H614">
            <v>1.2</v>
          </cell>
          <cell r="I614" t="str">
            <v>m</v>
          </cell>
          <cell r="L614" t="str">
            <v>JENIS PEKERJAAN</v>
          </cell>
          <cell r="O614" t="str">
            <v>:  Gorong2 Pipa Beton Bertulang, 1 m &lt; diameter dalam &lt; 1.3 m</v>
          </cell>
          <cell r="R614" t="str">
            <v>TOTAL HARGA (Rp.)</v>
          </cell>
          <cell r="T614" t="str">
            <v>:</v>
          </cell>
          <cell r="U614">
            <v>447945.27138535964</v>
          </cell>
        </row>
        <row r="615">
          <cell r="A615">
            <v>4</v>
          </cell>
          <cell r="C615" t="str">
            <v>Jarak rata-rata Base Camp ke lokasi pekerjaan</v>
          </cell>
          <cell r="G615" t="str">
            <v>L</v>
          </cell>
          <cell r="H615">
            <v>8.7249999999999996</v>
          </cell>
          <cell r="I615" t="str">
            <v>Km</v>
          </cell>
          <cell r="L615" t="str">
            <v>SATUAN PEMBAYARAN</v>
          </cell>
          <cell r="O615" t="str">
            <v>:  M1</v>
          </cell>
          <cell r="Q615">
            <v>0</v>
          </cell>
          <cell r="R615" t="str">
            <v>% THD. BIAYA PROYEK</v>
          </cell>
          <cell r="T615" t="str">
            <v>:</v>
          </cell>
          <cell r="U615" t="e">
            <v>#DIV/0!</v>
          </cell>
        </row>
        <row r="616">
          <cell r="A616">
            <v>5</v>
          </cell>
          <cell r="C616" t="str">
            <v>Jam kerja efektif per-hari</v>
          </cell>
          <cell r="G616" t="str">
            <v>Tk</v>
          </cell>
          <cell r="H616">
            <v>7</v>
          </cell>
          <cell r="I616" t="str">
            <v>Jam</v>
          </cell>
        </row>
        <row r="617">
          <cell r="A617">
            <v>6</v>
          </cell>
          <cell r="C617" t="str">
            <v>Tebal gorong-gorong</v>
          </cell>
          <cell r="G617" t="str">
            <v>tg</v>
          </cell>
          <cell r="H617">
            <v>10</v>
          </cell>
          <cell r="I617" t="str">
            <v>Cm</v>
          </cell>
        </row>
        <row r="618">
          <cell r="Q618" t="str">
            <v>PERKIRAAN</v>
          </cell>
          <cell r="R618" t="str">
            <v>HARGA</v>
          </cell>
          <cell r="S618" t="str">
            <v>JUMLAH</v>
          </cell>
        </row>
        <row r="619">
          <cell r="A619" t="str">
            <v>II.</v>
          </cell>
          <cell r="C619" t="str">
            <v>URUTAN KERJA</v>
          </cell>
          <cell r="L619" t="str">
            <v>NO.</v>
          </cell>
          <cell r="N619" t="str">
            <v>KOMPONEN</v>
          </cell>
          <cell r="P619" t="str">
            <v>SATUAN</v>
          </cell>
          <cell r="Q619" t="str">
            <v>KUANTITAS</v>
          </cell>
          <cell r="R619" t="str">
            <v>SATUAN</v>
          </cell>
          <cell r="S619" t="str">
            <v>HARGA</v>
          </cell>
        </row>
        <row r="620">
          <cell r="A620">
            <v>1</v>
          </cell>
          <cell r="C620" t="str">
            <v>Gorong-gorong dicetak di Base Camp</v>
          </cell>
          <cell r="R620" t="str">
            <v>(Rp.)</v>
          </cell>
          <cell r="S620" t="str">
            <v>(Rp.)</v>
          </cell>
        </row>
        <row r="621">
          <cell r="A621">
            <v>2</v>
          </cell>
          <cell r="C621" t="str">
            <v>Dump Truck mengangkut gorong-gorong jadi</v>
          </cell>
        </row>
        <row r="622">
          <cell r="C622" t="str">
            <v>ke lapangan</v>
          </cell>
        </row>
        <row r="623">
          <cell r="A623">
            <v>3</v>
          </cell>
          <cell r="C623" t="str">
            <v>Dasar gorong-gorong digali sesuai kebutuhan dan ma-</v>
          </cell>
          <cell r="L623" t="str">
            <v>A.</v>
          </cell>
          <cell r="N623" t="str">
            <v>TENAGA</v>
          </cell>
        </row>
        <row r="624">
          <cell r="C624" t="str">
            <v>terial backfill dipadatkan dengan Tamper</v>
          </cell>
        </row>
        <row r="625">
          <cell r="A625">
            <v>4</v>
          </cell>
          <cell r="C625" t="str">
            <v>Tebal lapis porus pada dasar gorong-gorong pipa</v>
          </cell>
          <cell r="G625" t="str">
            <v>tp</v>
          </cell>
          <cell r="H625">
            <v>0.18</v>
          </cell>
          <cell r="I625" t="str">
            <v>M</v>
          </cell>
          <cell r="J625" t="str">
            <v xml:space="preserve"> Sand bedding</v>
          </cell>
          <cell r="L625" t="str">
            <v>1.</v>
          </cell>
          <cell r="N625" t="str">
            <v>Pekerja</v>
          </cell>
          <cell r="O625" t="str">
            <v>(L01)</v>
          </cell>
          <cell r="P625" t="str">
            <v>Jam</v>
          </cell>
          <cell r="Q625">
            <v>9.3333333333333339</v>
          </cell>
          <cell r="R625">
            <v>2857.14</v>
          </cell>
          <cell r="U625">
            <v>26666.639999999999</v>
          </cell>
        </row>
        <row r="626">
          <cell r="A626">
            <v>5</v>
          </cell>
          <cell r="C626" t="str">
            <v>Material pilihan untuk penimbunan kembali (padat)</v>
          </cell>
          <cell r="L626" t="str">
            <v>2.</v>
          </cell>
          <cell r="N626" t="str">
            <v>Tukang</v>
          </cell>
          <cell r="O626" t="str">
            <v>(L02)</v>
          </cell>
          <cell r="P626" t="str">
            <v>Jam</v>
          </cell>
          <cell r="Q626">
            <v>1.1666666666666667</v>
          </cell>
          <cell r="R626">
            <v>4285.71</v>
          </cell>
          <cell r="U626">
            <v>4999.9950000000008</v>
          </cell>
        </row>
        <row r="627">
          <cell r="A627">
            <v>6</v>
          </cell>
          <cell r="C627" t="str">
            <v>Sekelompok pekerja akan melaksanakan pekerjaan</v>
          </cell>
          <cell r="L627" t="str">
            <v>3.</v>
          </cell>
          <cell r="N627" t="str">
            <v>Mandor</v>
          </cell>
          <cell r="O627" t="str">
            <v>(L03)</v>
          </cell>
          <cell r="P627" t="str">
            <v>Jam</v>
          </cell>
          <cell r="Q627">
            <v>1.1666666666666667</v>
          </cell>
          <cell r="R627">
            <v>3214.29</v>
          </cell>
          <cell r="U627">
            <v>3750.0050000000001</v>
          </cell>
        </row>
        <row r="628">
          <cell r="C628" t="str">
            <v>dengan cara manual dengan menggunakan alat bantu</v>
          </cell>
        </row>
        <row r="629">
          <cell r="Q629" t="str">
            <v xml:space="preserve">JUMLAH HARGA TENAGA   </v>
          </cell>
          <cell r="U629">
            <v>35416.639999999999</v>
          </cell>
        </row>
        <row r="631">
          <cell r="A631" t="str">
            <v>III.</v>
          </cell>
          <cell r="C631" t="str">
            <v>PEMAKAIAN BAHAN, ALAT DAN TENAGA</v>
          </cell>
          <cell r="L631" t="str">
            <v>B.</v>
          </cell>
          <cell r="N631" t="str">
            <v>BAHAN</v>
          </cell>
        </row>
        <row r="632">
          <cell r="A632" t="str">
            <v xml:space="preserve">   1.</v>
          </cell>
          <cell r="C632" t="str">
            <v>BAHAN</v>
          </cell>
        </row>
        <row r="633">
          <cell r="C633" t="str">
            <v>Untuk mendapatkan 1 M' gorong-gorong diperlukan</v>
          </cell>
          <cell r="L633" t="str">
            <v>1.</v>
          </cell>
          <cell r="N633" t="str">
            <v>Beton K-300</v>
          </cell>
          <cell r="O633" t="str">
            <v>(EI-714)</v>
          </cell>
          <cell r="P633" t="str">
            <v>M3</v>
          </cell>
          <cell r="Q633">
            <v>0.40840704496667279</v>
          </cell>
          <cell r="R633">
            <v>652902.54982502444</v>
          </cell>
          <cell r="U633">
            <v>266650.00102524407</v>
          </cell>
        </row>
        <row r="634">
          <cell r="C634" t="str">
            <v>- Beton K-300 = (22/7*((2*tg/100+d)/2)^2)-(22/7*(d/2)^2))*1</v>
          </cell>
          <cell r="G634" t="str">
            <v>(EI-714)</v>
          </cell>
          <cell r="H634">
            <v>0.40840704496667279</v>
          </cell>
          <cell r="I634" t="str">
            <v>M3</v>
          </cell>
          <cell r="L634" t="str">
            <v>2.</v>
          </cell>
          <cell r="N634" t="str">
            <v>Baja Tulangan</v>
          </cell>
          <cell r="O634" t="str">
            <v>(M39)</v>
          </cell>
          <cell r="P634" t="str">
            <v>Kg</v>
          </cell>
          <cell r="Q634">
            <v>44.924774946334011</v>
          </cell>
          <cell r="R634">
            <v>4000</v>
          </cell>
          <cell r="U634">
            <v>179699.09978533603</v>
          </cell>
        </row>
        <row r="635">
          <cell r="C635" t="str">
            <v>- Baja Tulangan (asumsi 100kg/m3)</v>
          </cell>
          <cell r="G635" t="str">
            <v>(M39)</v>
          </cell>
          <cell r="H635">
            <v>44.924774946334011</v>
          </cell>
          <cell r="I635" t="str">
            <v>Kg</v>
          </cell>
          <cell r="L635" t="str">
            <v>3.</v>
          </cell>
          <cell r="N635" t="str">
            <v>Urugan Porus</v>
          </cell>
          <cell r="O635" t="str">
            <v>(EI-241)</v>
          </cell>
          <cell r="P635" t="str">
            <v>M3</v>
          </cell>
          <cell r="Q635">
            <v>0.41580000000000006</v>
          </cell>
          <cell r="R635">
            <v>186901.40625406182</v>
          </cell>
          <cell r="U635">
            <v>77713.604720438918</v>
          </cell>
        </row>
        <row r="636">
          <cell r="C636" t="str">
            <v>- Timbunan Porus      = {(tp*(0.4+2*tg/100+d+0.4)*1)*1.05}</v>
          </cell>
          <cell r="G636" t="str">
            <v>(EI-241)</v>
          </cell>
          <cell r="H636">
            <v>0.41580000000000006</v>
          </cell>
          <cell r="I636" t="str">
            <v>M3</v>
          </cell>
          <cell r="L636" t="str">
            <v>4.</v>
          </cell>
          <cell r="N636" t="str">
            <v>Mat. Pilihan</v>
          </cell>
          <cell r="O636" t="str">
            <v>(M09)</v>
          </cell>
          <cell r="P636" t="str">
            <v>M3</v>
          </cell>
          <cell r="Q636">
            <v>2.3100000000000005</v>
          </cell>
          <cell r="R636">
            <v>25000</v>
          </cell>
          <cell r="U636">
            <v>57750.000000000015</v>
          </cell>
        </row>
        <row r="637">
          <cell r="C637" t="str">
            <v>- Material Pilihan</v>
          </cell>
          <cell r="D637" t="str">
            <v>= ((2*tg/100+d+0.3)*(0.4+2*tg/100+d+0.4)</v>
          </cell>
          <cell r="G637" t="str">
            <v>(M09)</v>
          </cell>
          <cell r="H637">
            <v>2.3100000000000005</v>
          </cell>
          <cell r="I637" t="str">
            <v>M3</v>
          </cell>
          <cell r="J637" t="str">
            <v xml:space="preserve"> = Vp</v>
          </cell>
        </row>
        <row r="638">
          <cell r="D638" t="str">
            <v xml:space="preserve">   -(22/7*(0.5*(2*tg/100+d))^2))*1*1.05</v>
          </cell>
        </row>
        <row r="639">
          <cell r="A639" t="str">
            <v xml:space="preserve">   2.</v>
          </cell>
          <cell r="C639" t="str">
            <v>ALAT</v>
          </cell>
          <cell r="Q639" t="str">
            <v xml:space="preserve">JUMLAH HARGA BAHAN   </v>
          </cell>
          <cell r="U639">
            <v>581812.70553101902</v>
          </cell>
        </row>
        <row r="640">
          <cell r="A640" t="str">
            <v>2.a.</v>
          </cell>
          <cell r="C640" t="str">
            <v>TAMPER</v>
          </cell>
          <cell r="G640" t="str">
            <v>(E25)</v>
          </cell>
        </row>
        <row r="641">
          <cell r="C641" t="str">
            <v>Kecepatan</v>
          </cell>
          <cell r="G641" t="str">
            <v>V</v>
          </cell>
          <cell r="H641">
            <v>0.5</v>
          </cell>
          <cell r="I641" t="str">
            <v>Km / Jam</v>
          </cell>
          <cell r="L641" t="str">
            <v>C.</v>
          </cell>
          <cell r="N641" t="str">
            <v>PERALATAN</v>
          </cell>
        </row>
        <row r="642">
          <cell r="C642" t="str">
            <v>Efisiensi alat</v>
          </cell>
          <cell r="G642" t="str">
            <v>Fa</v>
          </cell>
          <cell r="H642">
            <v>0.83</v>
          </cell>
          <cell r="I642" t="str">
            <v>-</v>
          </cell>
        </row>
        <row r="643">
          <cell r="C643" t="str">
            <v>Lebar pemadatan</v>
          </cell>
          <cell r="G643" t="str">
            <v>Lb</v>
          </cell>
          <cell r="H643">
            <v>0.4</v>
          </cell>
          <cell r="I643" t="str">
            <v>M</v>
          </cell>
          <cell r="L643" t="str">
            <v>1.</v>
          </cell>
          <cell r="N643" t="str">
            <v>Tamper</v>
          </cell>
          <cell r="O643" t="str">
            <v>(E25)</v>
          </cell>
          <cell r="P643" t="str">
            <v>Jam</v>
          </cell>
          <cell r="Q643">
            <v>0.69578313253012058</v>
          </cell>
          <cell r="R643">
            <v>18672.16854694486</v>
          </cell>
          <cell r="U643">
            <v>12991.779922723685</v>
          </cell>
        </row>
        <row r="644">
          <cell r="C644" t="str">
            <v>Banyak lintasan</v>
          </cell>
          <cell r="G644" t="str">
            <v>n</v>
          </cell>
          <cell r="H644">
            <v>10</v>
          </cell>
          <cell r="I644" t="str">
            <v>lintasan</v>
          </cell>
          <cell r="L644" t="str">
            <v>2.</v>
          </cell>
          <cell r="N644" t="str">
            <v>Dump Truck</v>
          </cell>
          <cell r="O644" t="str">
            <v>(E08)</v>
          </cell>
          <cell r="P644" t="str">
            <v>Jam</v>
          </cell>
          <cell r="Q644">
            <v>0.36926455823293175</v>
          </cell>
          <cell r="R644">
            <v>153645.58193291764</v>
          </cell>
          <cell r="U644">
            <v>56735.867936900555</v>
          </cell>
        </row>
        <row r="645">
          <cell r="C645" t="str">
            <v>Tebal lapis hamparan</v>
          </cell>
          <cell r="G645" t="str">
            <v>tp</v>
          </cell>
          <cell r="H645">
            <v>0.2</v>
          </cell>
          <cell r="I645" t="str">
            <v>M</v>
          </cell>
          <cell r="L645" t="str">
            <v>3.</v>
          </cell>
          <cell r="N645" t="str">
            <v>Alat  Bantu</v>
          </cell>
          <cell r="P645" t="str">
            <v>Ls</v>
          </cell>
          <cell r="Q645">
            <v>1</v>
          </cell>
          <cell r="R645">
            <v>1000</v>
          </cell>
          <cell r="U645">
            <v>1000</v>
          </cell>
        </row>
        <row r="648">
          <cell r="C648" t="str">
            <v>Kap. Prod. / Jam   =</v>
          </cell>
          <cell r="D648" t="str">
            <v>v x 1000 x Fa x Lb x 60</v>
          </cell>
          <cell r="G648" t="str">
            <v>Q1</v>
          </cell>
          <cell r="H648">
            <v>3.3200000000000003</v>
          </cell>
          <cell r="I648" t="str">
            <v xml:space="preserve">M3 / Jam </v>
          </cell>
        </row>
        <row r="649">
          <cell r="D649" t="str">
            <v xml:space="preserve">    n x tp</v>
          </cell>
        </row>
        <row r="651">
          <cell r="C651" t="str">
            <v>Koefisien Alat / m'</v>
          </cell>
          <cell r="D651" t="str">
            <v xml:space="preserve"> =  1  :  Q1 x Vp</v>
          </cell>
          <cell r="G651" t="str">
            <v>(E25)</v>
          </cell>
          <cell r="H651">
            <v>0.69578313253012058</v>
          </cell>
          <cell r="I651" t="str">
            <v>jam</v>
          </cell>
          <cell r="Q651" t="str">
            <v xml:space="preserve">JUMLAH HARGA PERALATAN   </v>
          </cell>
          <cell r="U651">
            <v>70727.647859624238</v>
          </cell>
        </row>
        <row r="653">
          <cell r="A653" t="str">
            <v>2.b.</v>
          </cell>
          <cell r="C653" t="str">
            <v>DUMP TRUCK</v>
          </cell>
          <cell r="G653" t="str">
            <v>(E08)</v>
          </cell>
          <cell r="L653" t="str">
            <v>D.</v>
          </cell>
          <cell r="N653" t="str">
            <v>JUMLAH HARGA TENAGA, BAHAN DAN PERALATAN  ( A + B + C )</v>
          </cell>
          <cell r="U653">
            <v>687956.99339064327</v>
          </cell>
        </row>
        <row r="654">
          <cell r="C654" t="str">
            <v>Kapasitas bak sekali muat</v>
          </cell>
          <cell r="G654" t="str">
            <v>V</v>
          </cell>
          <cell r="H654">
            <v>4</v>
          </cell>
          <cell r="I654" t="str">
            <v>Buah/M'</v>
          </cell>
          <cell r="L654" t="str">
            <v>E.</v>
          </cell>
          <cell r="N654" t="str">
            <v>OVERHEAD &amp; PROFIT</v>
          </cell>
          <cell r="P654">
            <v>10</v>
          </cell>
          <cell r="Q654" t="str">
            <v>%  x  D</v>
          </cell>
          <cell r="U654">
            <v>68795.699339064333</v>
          </cell>
        </row>
        <row r="655">
          <cell r="C655" t="str">
            <v>Faktor efisiensi alat</v>
          </cell>
          <cell r="G655" t="str">
            <v>Fa</v>
          </cell>
          <cell r="H655">
            <v>0.83</v>
          </cell>
          <cell r="L655" t="str">
            <v>F.</v>
          </cell>
          <cell r="N655" t="str">
            <v>HARGA SATUAN PEKERJAAN  ( D + E )</v>
          </cell>
          <cell r="U655">
            <v>756752.69272970757</v>
          </cell>
        </row>
        <row r="656">
          <cell r="C656" t="str">
            <v>Kecepatanrata-rata bermuatan</v>
          </cell>
          <cell r="G656" t="str">
            <v>v1</v>
          </cell>
          <cell r="H656">
            <v>40</v>
          </cell>
          <cell r="L656" t="str">
            <v>Note: 1</v>
          </cell>
          <cell r="N656" t="str">
            <v>SATUAN dapat berdasarkan atas jam operasi untuk Tenaga Kerja dan Peralatan, volume dan/atau ukuran</v>
          </cell>
        </row>
        <row r="657">
          <cell r="C657" t="str">
            <v>Kecepatan rata-rata kosong</v>
          </cell>
          <cell r="G657" t="str">
            <v>v2</v>
          </cell>
          <cell r="H657">
            <v>50</v>
          </cell>
          <cell r="N657" t="str">
            <v>berat untuk bahan-bahan.</v>
          </cell>
        </row>
        <row r="658">
          <cell r="C658" t="str">
            <v>Waktu siklus    :</v>
          </cell>
          <cell r="G658" t="str">
            <v>Ts</v>
          </cell>
          <cell r="L658">
            <v>2</v>
          </cell>
          <cell r="N658" t="str">
            <v>Kuantitas satuan adalah kuantitas setiap komponen untuk menyelesaikan satu satuan pekerjaan dari nomor</v>
          </cell>
        </row>
        <row r="659">
          <cell r="C659" t="str">
            <v>- Waktu  tempuh in  si    = (L : v1 ) x 60</v>
          </cell>
          <cell r="G659" t="str">
            <v>T1</v>
          </cell>
          <cell r="H659">
            <v>13.087499999999999</v>
          </cell>
          <cell r="I659" t="str">
            <v>menit</v>
          </cell>
          <cell r="N659" t="str">
            <v>mata pembayaran.</v>
          </cell>
        </row>
        <row r="660">
          <cell r="C660" t="str">
            <v>-  Waktutempuh kosong  = (L : v2)  x  60</v>
          </cell>
          <cell r="G660" t="str">
            <v>T2</v>
          </cell>
          <cell r="H660">
            <v>10.469999999999999</v>
          </cell>
          <cell r="I660" t="str">
            <v>menit</v>
          </cell>
          <cell r="L660">
            <v>3</v>
          </cell>
          <cell r="N660" t="str">
            <v>Biaya satuan untuk peralatan sudah termasuk bahan bakar, bahan habis dipakai dan operator.</v>
          </cell>
        </row>
        <row r="661">
          <cell r="C661" t="str">
            <v>- Muat, bongkar dan lain-lain</v>
          </cell>
          <cell r="G661" t="str">
            <v>T3</v>
          </cell>
          <cell r="H661">
            <v>50</v>
          </cell>
          <cell r="I661" t="str">
            <v>menit</v>
          </cell>
          <cell r="L661">
            <v>4</v>
          </cell>
          <cell r="N661" t="str">
            <v>Biaya satuan sudah termasuk pengeluaran untuk seluruh pajak yang berkaitan (tetapi tidak termasuk PPN</v>
          </cell>
        </row>
        <row r="662">
          <cell r="G662" t="str">
            <v>Ts</v>
          </cell>
          <cell r="H662">
            <v>73.557500000000005</v>
          </cell>
          <cell r="I662" t="str">
            <v>menit</v>
          </cell>
          <cell r="N662" t="str">
            <v>yang dibayar dari kontrak) dan biaya-biaya lainnya.</v>
          </cell>
        </row>
        <row r="663">
          <cell r="J663" t="str">
            <v>Berlanjut ke halaman berikut</v>
          </cell>
        </row>
        <row r="664">
          <cell r="A664" t="str">
            <v>ITEM PEMBAYARAN NO.</v>
          </cell>
          <cell r="D664" t="str">
            <v>:  2.3 (4)</v>
          </cell>
          <cell r="J664" t="str">
            <v>Analisa EI-234</v>
          </cell>
        </row>
        <row r="665">
          <cell r="A665" t="str">
            <v>JENIS PEKERJAAN</v>
          </cell>
          <cell r="D665" t="str">
            <v>:  Gorong2 Pipa Beton Bertulang, 1 m &lt; diameter dalam &lt; 1.3 m</v>
          </cell>
        </row>
        <row r="666">
          <cell r="A666" t="str">
            <v>SATUAN PEMBAYARAN</v>
          </cell>
          <cell r="D666" t="str">
            <v>:  M1</v>
          </cell>
          <cell r="J666" t="str">
            <v xml:space="preserve">         URAIAN ANALISA HARGA SATUAN</v>
          </cell>
        </row>
        <row r="667">
          <cell r="J667" t="str">
            <v>Lanjutan</v>
          </cell>
        </row>
        <row r="669">
          <cell r="A669" t="str">
            <v>No.</v>
          </cell>
          <cell r="C669" t="str">
            <v>U R A I A N</v>
          </cell>
          <cell r="G669" t="str">
            <v>KODE</v>
          </cell>
          <cell r="H669" t="str">
            <v>KOEF.</v>
          </cell>
          <cell r="I669" t="str">
            <v>SATUAN</v>
          </cell>
          <cell r="J669" t="str">
            <v>KETERANGAN</v>
          </cell>
        </row>
        <row r="672">
          <cell r="C672" t="str">
            <v>Kapasitas Produksi / Jam   =</v>
          </cell>
          <cell r="E672" t="str">
            <v>V x Fa x 60</v>
          </cell>
          <cell r="G672" t="str">
            <v>Q2</v>
          </cell>
          <cell r="H672">
            <v>2.7080855113346698</v>
          </cell>
          <cell r="I672" t="str">
            <v xml:space="preserve">M' / Jam </v>
          </cell>
        </row>
        <row r="673">
          <cell r="E673" t="str">
            <v xml:space="preserve">    Ts</v>
          </cell>
        </row>
        <row r="675">
          <cell r="C675" t="str">
            <v>Koefisien Alat / m'</v>
          </cell>
          <cell r="D675" t="str">
            <v xml:space="preserve"> =  1  :  Q2</v>
          </cell>
          <cell r="G675" t="str">
            <v>(E08)</v>
          </cell>
          <cell r="H675">
            <v>0.36926455823293175</v>
          </cell>
          <cell r="I675" t="str">
            <v>jam</v>
          </cell>
        </row>
        <row r="678">
          <cell r="A678" t="str">
            <v>2.c.</v>
          </cell>
          <cell r="C678" t="str">
            <v>ALAT  BANTU</v>
          </cell>
        </row>
        <row r="679">
          <cell r="C679" t="str">
            <v>Diperlukan alat-alat bantu kecil</v>
          </cell>
          <cell r="J679" t="str">
            <v>Lump Sump</v>
          </cell>
        </row>
        <row r="680">
          <cell r="C680" t="str">
            <v>- Sekop    =         3   buah</v>
          </cell>
        </row>
        <row r="681">
          <cell r="C681" t="str">
            <v>- Pacul     =         3   buah</v>
          </cell>
        </row>
        <row r="682">
          <cell r="C682" t="str">
            <v>- Alat-alat kecil lain</v>
          </cell>
        </row>
        <row r="684">
          <cell r="A684" t="str">
            <v xml:space="preserve">   3.</v>
          </cell>
          <cell r="C684" t="str">
            <v>TENAGA</v>
          </cell>
        </row>
        <row r="685">
          <cell r="C685" t="str">
            <v>Produksi Gorong-gorong / hari</v>
          </cell>
          <cell r="G685" t="str">
            <v>Qt</v>
          </cell>
          <cell r="H685">
            <v>6</v>
          </cell>
          <cell r="I685" t="str">
            <v>M'</v>
          </cell>
        </row>
        <row r="686">
          <cell r="C686" t="str">
            <v>Kebutuhan tenaga :</v>
          </cell>
        </row>
        <row r="687">
          <cell r="D687" t="str">
            <v>- Pekerja</v>
          </cell>
          <cell r="G687" t="str">
            <v>P</v>
          </cell>
          <cell r="H687">
            <v>8</v>
          </cell>
          <cell r="I687" t="str">
            <v>orang</v>
          </cell>
        </row>
        <row r="688">
          <cell r="D688" t="str">
            <v>- Tukang</v>
          </cell>
          <cell r="G688" t="str">
            <v>T</v>
          </cell>
          <cell r="H688">
            <v>1</v>
          </cell>
          <cell r="I688" t="str">
            <v>orang</v>
          </cell>
        </row>
        <row r="689">
          <cell r="D689" t="str">
            <v>- Mandor</v>
          </cell>
          <cell r="G689" t="str">
            <v>M</v>
          </cell>
          <cell r="H689">
            <v>1</v>
          </cell>
          <cell r="I689" t="str">
            <v>orang</v>
          </cell>
        </row>
        <row r="691">
          <cell r="C691" t="str">
            <v>Koefisien tenaga / M'   :</v>
          </cell>
        </row>
        <row r="692">
          <cell r="D692" t="str">
            <v>- Pekerja</v>
          </cell>
          <cell r="E692" t="str">
            <v>= (Tk x P) : Qt</v>
          </cell>
          <cell r="G692" t="str">
            <v>(L01)</v>
          </cell>
          <cell r="H692">
            <v>9.3333333333333339</v>
          </cell>
          <cell r="I692" t="str">
            <v>jam</v>
          </cell>
        </row>
        <row r="693">
          <cell r="D693" t="str">
            <v>- Tukang</v>
          </cell>
          <cell r="E693" t="str">
            <v>= (Tk x T) : Qt</v>
          </cell>
          <cell r="G693" t="str">
            <v>(L02)</v>
          </cell>
          <cell r="H693">
            <v>1.1666666666666667</v>
          </cell>
          <cell r="I693" t="str">
            <v>jam</v>
          </cell>
        </row>
        <row r="694">
          <cell r="D694" t="str">
            <v>- Mandor</v>
          </cell>
          <cell r="E694" t="str">
            <v>= (Tk x M) : Qt</v>
          </cell>
          <cell r="G694" t="str">
            <v>(L03)</v>
          </cell>
          <cell r="H694">
            <v>1.1666666666666667</v>
          </cell>
          <cell r="I694" t="str">
            <v>jam</v>
          </cell>
        </row>
        <row r="696">
          <cell r="A696" t="str">
            <v>4.</v>
          </cell>
          <cell r="C696" t="str">
            <v>HARGA DASAR SATUAN UPAH, BAHAN DAN ALAT</v>
          </cell>
        </row>
        <row r="697">
          <cell r="C697" t="str">
            <v>Lihat lampiran.</v>
          </cell>
        </row>
        <row r="700">
          <cell r="A700" t="str">
            <v>5.</v>
          </cell>
          <cell r="C700" t="str">
            <v>ANALISA HARGA SATUAN PEKERJAAN</v>
          </cell>
        </row>
        <row r="701">
          <cell r="C701" t="str">
            <v>Lihat perhitungan dalam FORMULIR STANDAR UNTUK</v>
          </cell>
        </row>
        <row r="702">
          <cell r="C702" t="str">
            <v>PEREKEMAN ANALISA MASING-MASING HARGA</v>
          </cell>
        </row>
        <row r="703">
          <cell r="C703" t="str">
            <v>SATUAN.</v>
          </cell>
        </row>
        <row r="704">
          <cell r="C704" t="str">
            <v>Didapat Harga Satuan Pekerjaan :</v>
          </cell>
        </row>
        <row r="706">
          <cell r="C706" t="str">
            <v xml:space="preserve">Rp.  </v>
          </cell>
          <cell r="D706">
            <v>756752.69272970757</v>
          </cell>
          <cell r="E706" t="str">
            <v xml:space="preserve"> / M'</v>
          </cell>
        </row>
        <row r="709">
          <cell r="A709" t="str">
            <v>6.</v>
          </cell>
          <cell r="C709" t="str">
            <v>WAKTU PELAKSANAAN YANG DIPERLUKAN</v>
          </cell>
        </row>
        <row r="710">
          <cell r="C710" t="str">
            <v>Masa Pelaksanaan :</v>
          </cell>
          <cell r="D710" t="str">
            <v>. . . . . . . . . . . .</v>
          </cell>
          <cell r="E710" t="str">
            <v>bulan</v>
          </cell>
        </row>
        <row r="712">
          <cell r="A712" t="str">
            <v>7.</v>
          </cell>
          <cell r="C712" t="str">
            <v>VOLUME PEKERJAAN YANG DIPERLUKAN</v>
          </cell>
        </row>
        <row r="713">
          <cell r="C713" t="str">
            <v>Volume pekerjaan  :</v>
          </cell>
          <cell r="D713">
            <v>1</v>
          </cell>
          <cell r="E713" t="str">
            <v>M'</v>
          </cell>
        </row>
        <row r="723">
          <cell r="A723" t="str">
            <v>ITEM PEMBAYARAN NO.</v>
          </cell>
          <cell r="D723" t="str">
            <v>:  2.3 (5)</v>
          </cell>
          <cell r="J723" t="str">
            <v>Analisa EI-236</v>
          </cell>
        </row>
        <row r="724">
          <cell r="A724" t="str">
            <v>JENIS PEKERJAAN</v>
          </cell>
          <cell r="D724" t="str">
            <v>: Gorong-Gorong Pipa Beton Bertulang, 1,3  m &lt; diameter dalam &lt; 1,5 m</v>
          </cell>
        </row>
        <row r="725">
          <cell r="A725" t="str">
            <v>SATUAN PEMBAYARAN</v>
          </cell>
          <cell r="D725" t="str">
            <v>: M1</v>
          </cell>
          <cell r="J725" t="str">
            <v xml:space="preserve">         URAIAN ANALISA HARGA SATUAN</v>
          </cell>
        </row>
        <row r="727">
          <cell r="A727" t="str">
            <v>ITEM PEMBAYARAN NO.</v>
          </cell>
          <cell r="D727" t="str">
            <v>:  2.3 (6)</v>
          </cell>
          <cell r="J727" t="str">
            <v>Analisa EI-236</v>
          </cell>
        </row>
        <row r="728">
          <cell r="A728" t="str">
            <v>JENIS PEKERJAAN</v>
          </cell>
          <cell r="D728" t="str">
            <v>: Gorong-Gorong Pipa Beton Bertulang, 1,5  m &lt; diameter dalam &lt;  2,3 m</v>
          </cell>
        </row>
        <row r="729">
          <cell r="A729" t="str">
            <v>SATUAN PEMBAYARAN</v>
          </cell>
          <cell r="D729" t="str">
            <v>: M1</v>
          </cell>
          <cell r="J729" t="str">
            <v xml:space="preserve">         URAIAN ANALISA HARGA SATUAN</v>
          </cell>
        </row>
        <row r="734">
          <cell r="A734" t="str">
            <v>ITEM PEMBAYARAN NO.</v>
          </cell>
          <cell r="D734" t="str">
            <v>:  2.3 (7)</v>
          </cell>
          <cell r="J734" t="str">
            <v>Analisa EI-236</v>
          </cell>
        </row>
        <row r="735">
          <cell r="A735" t="str">
            <v>JENIS PEKERJAAN</v>
          </cell>
          <cell r="D735" t="str">
            <v>:  Gorong2 Baja Bergelombang dengan dimensi … (mengacu pada SNI 03-6719-2002)</v>
          </cell>
        </row>
        <row r="736">
          <cell r="A736" t="str">
            <v>SATUAN PEMBAYARAN</v>
          </cell>
          <cell r="D736" t="str">
            <v>:  Ton</v>
          </cell>
          <cell r="J736" t="str">
            <v xml:space="preserve">         URAIAN ANALISA HARGA SATUAN</v>
          </cell>
        </row>
        <row r="739">
          <cell r="A739" t="str">
            <v>No.</v>
          </cell>
          <cell r="C739" t="str">
            <v>U R A I A N</v>
          </cell>
          <cell r="G739" t="str">
            <v>KODE</v>
          </cell>
          <cell r="H739" t="str">
            <v>KOEF.</v>
          </cell>
          <cell r="I739" t="str">
            <v>SATUAN</v>
          </cell>
          <cell r="J739" t="str">
            <v>KETERANGAN</v>
          </cell>
        </row>
        <row r="742">
          <cell r="A742" t="str">
            <v>I.</v>
          </cell>
          <cell r="C742" t="str">
            <v>ASUMSI</v>
          </cell>
        </row>
        <row r="743">
          <cell r="A743">
            <v>1</v>
          </cell>
          <cell r="C743" t="str">
            <v>Pekerjaan dilakukan secara mekanik/manual</v>
          </cell>
        </row>
        <row r="744">
          <cell r="A744">
            <v>2</v>
          </cell>
          <cell r="C744" t="str">
            <v>Lokasi pekerjaan : sepanjang jalan</v>
          </cell>
        </row>
        <row r="745">
          <cell r="A745">
            <v>3</v>
          </cell>
          <cell r="C745" t="str">
            <v>Diameter gorong-gorong baja</v>
          </cell>
          <cell r="G745" t="str">
            <v>d</v>
          </cell>
          <cell r="H745">
            <v>1</v>
          </cell>
          <cell r="I745" t="str">
            <v>m</v>
          </cell>
        </row>
        <row r="746">
          <cell r="A746">
            <v>4</v>
          </cell>
          <cell r="C746" t="str">
            <v>Jarak rata-rata Base Camp ke lokasi pekerjaan</v>
          </cell>
          <cell r="G746" t="str">
            <v>L</v>
          </cell>
          <cell r="H746">
            <v>8.7249999999999996</v>
          </cell>
          <cell r="I746" t="str">
            <v>Km</v>
          </cell>
        </row>
        <row r="747">
          <cell r="A747">
            <v>5</v>
          </cell>
          <cell r="C747" t="str">
            <v>Jam kerja efektif per-hari</v>
          </cell>
          <cell r="G747" t="str">
            <v>Tk</v>
          </cell>
          <cell r="H747">
            <v>7</v>
          </cell>
          <cell r="I747" t="str">
            <v>Jam</v>
          </cell>
        </row>
        <row r="748">
          <cell r="A748">
            <v>6</v>
          </cell>
          <cell r="C748" t="str">
            <v>Tebal gorong-gorong</v>
          </cell>
          <cell r="G748" t="str">
            <v>tg</v>
          </cell>
          <cell r="H748">
            <v>0.25</v>
          </cell>
          <cell r="I748" t="str">
            <v>Cm</v>
          </cell>
        </row>
        <row r="749">
          <cell r="A749">
            <v>7</v>
          </cell>
          <cell r="C749" t="str">
            <v>BJ Pipa Baja Bergelombang</v>
          </cell>
          <cell r="G749" t="str">
            <v>BJp</v>
          </cell>
          <cell r="H749">
            <v>7.9</v>
          </cell>
          <cell r="I749" t="str">
            <v>T/m3</v>
          </cell>
        </row>
        <row r="750">
          <cell r="G750" t="str">
            <v>BJp1</v>
          </cell>
          <cell r="H750">
            <v>0.12445321428571117</v>
          </cell>
          <cell r="I750" t="str">
            <v>T/m'</v>
          </cell>
        </row>
        <row r="751">
          <cell r="A751" t="str">
            <v>II.</v>
          </cell>
          <cell r="C751" t="str">
            <v>URUTAN KERJA</v>
          </cell>
        </row>
        <row r="753">
          <cell r="A753">
            <v>1</v>
          </cell>
          <cell r="C753" t="str">
            <v>Gorong-gorong baja diterima dari pemasok</v>
          </cell>
        </row>
        <row r="754">
          <cell r="C754" t="str">
            <v>di lokasi pekerjaan</v>
          </cell>
        </row>
        <row r="755">
          <cell r="A755">
            <v>3</v>
          </cell>
          <cell r="C755" t="str">
            <v>Dasar gorong-gorong digali sesuai kebutuhan dan ma-</v>
          </cell>
        </row>
        <row r="756">
          <cell r="C756" t="str">
            <v>terial backfill dipadatkan dengan Tamper</v>
          </cell>
        </row>
        <row r="757">
          <cell r="A757">
            <v>4</v>
          </cell>
          <cell r="C757" t="str">
            <v>Tebal lapis porus pada dasar gorong-gorong baja</v>
          </cell>
          <cell r="G757" t="str">
            <v>tp</v>
          </cell>
          <cell r="H757">
            <v>0.15</v>
          </cell>
          <cell r="I757" t="str">
            <v>M</v>
          </cell>
        </row>
        <row r="758">
          <cell r="A758">
            <v>5</v>
          </cell>
          <cell r="C758" t="str">
            <v>Material pilihan untuk penimbunan kembali (padat)</v>
          </cell>
        </row>
        <row r="759">
          <cell r="A759">
            <v>6</v>
          </cell>
          <cell r="C759" t="str">
            <v>Sekelompok pekerja akan melaksanakan pekerjaan</v>
          </cell>
        </row>
        <row r="760">
          <cell r="C760" t="str">
            <v>dengan cara manual dengan menggunakan alat bantu</v>
          </cell>
        </row>
        <row r="762">
          <cell r="A762" t="str">
            <v>III.</v>
          </cell>
          <cell r="C762" t="str">
            <v>PEMAKAIAN BAHAN, ALAT DAN TENAGA</v>
          </cell>
        </row>
        <row r="763">
          <cell r="A763" t="str">
            <v xml:space="preserve">   1.</v>
          </cell>
          <cell r="C763" t="str">
            <v>BAHAN</v>
          </cell>
        </row>
        <row r="764">
          <cell r="C764" t="str">
            <v>Untuk mendapatkan 1 M' gorong-gorong diperlukan</v>
          </cell>
        </row>
        <row r="765">
          <cell r="C765" t="str">
            <v>- Baja Bergelombang</v>
          </cell>
          <cell r="G765" t="str">
            <v>(M46)</v>
          </cell>
          <cell r="H765">
            <v>1050</v>
          </cell>
          <cell r="I765" t="str">
            <v>Kg</v>
          </cell>
        </row>
        <row r="766">
          <cell r="C766" t="str">
            <v>- Urugan Porus = {(tp*(0.5+2*tg/100+d+0.5)*1)*1.05} x (1/BJp1)</v>
          </cell>
          <cell r="G766" t="str">
            <v>(EI-241)</v>
          </cell>
          <cell r="H766">
            <v>2.5373993095512715</v>
          </cell>
          <cell r="I766" t="str">
            <v>M3</v>
          </cell>
        </row>
        <row r="767">
          <cell r="C767" t="str">
            <v>- Mat. Pilihan = {((2*tg/100+d+0.5)*(0.5+2*tg/100+d+0.5)</v>
          </cell>
          <cell r="G767" t="str">
            <v>(M09)</v>
          </cell>
          <cell r="H767">
            <v>18.763120248860478</v>
          </cell>
          <cell r="I767" t="str">
            <v>M3</v>
          </cell>
          <cell r="J767" t="str">
            <v xml:space="preserve"> = Vp</v>
          </cell>
        </row>
        <row r="768">
          <cell r="C768" t="str">
            <v xml:space="preserve">                      -(22/7*(0.5*(2*tg/100+d))^2)*1)*1.05} x (1/BJp1)</v>
          </cell>
        </row>
        <row r="770">
          <cell r="A770" t="str">
            <v xml:space="preserve">   2.</v>
          </cell>
          <cell r="C770" t="str">
            <v>ALAT</v>
          </cell>
        </row>
        <row r="771">
          <cell r="A771" t="str">
            <v>2.a.</v>
          </cell>
          <cell r="C771" t="str">
            <v>TAMPER</v>
          </cell>
          <cell r="G771" t="str">
            <v>(E25)</v>
          </cell>
        </row>
        <row r="772">
          <cell r="C772" t="str">
            <v>Kecepatan</v>
          </cell>
          <cell r="G772" t="str">
            <v>v</v>
          </cell>
          <cell r="H772">
            <v>0.5</v>
          </cell>
          <cell r="I772" t="str">
            <v>Km / Jam</v>
          </cell>
        </row>
        <row r="773">
          <cell r="C773" t="str">
            <v>Efisiensi alat</v>
          </cell>
          <cell r="G773" t="str">
            <v>Fa</v>
          </cell>
          <cell r="H773">
            <v>0.83</v>
          </cell>
          <cell r="I773" t="str">
            <v>-</v>
          </cell>
        </row>
        <row r="774">
          <cell r="C774" t="str">
            <v>Lebar pemadatan</v>
          </cell>
          <cell r="G774" t="str">
            <v>Lb</v>
          </cell>
          <cell r="H774">
            <v>0.4</v>
          </cell>
          <cell r="I774" t="str">
            <v>M</v>
          </cell>
        </row>
        <row r="775">
          <cell r="C775" t="str">
            <v>Banyak lintasan</v>
          </cell>
          <cell r="G775" t="str">
            <v>n</v>
          </cell>
          <cell r="H775">
            <v>10</v>
          </cell>
          <cell r="I775" t="str">
            <v>lintasan</v>
          </cell>
        </row>
        <row r="776">
          <cell r="C776" t="str">
            <v>Tebal lapis hamparan</v>
          </cell>
          <cell r="G776" t="str">
            <v>tp</v>
          </cell>
          <cell r="H776">
            <v>0.2</v>
          </cell>
          <cell r="I776" t="str">
            <v>M</v>
          </cell>
        </row>
        <row r="779">
          <cell r="C779" t="str">
            <v>Kap. Prod. / Jam   =</v>
          </cell>
          <cell r="D779" t="str">
            <v>v x 1000 x Fa x Lb x 60</v>
          </cell>
          <cell r="G779" t="str">
            <v>Q1</v>
          </cell>
          <cell r="H779">
            <v>3.3200000000000003</v>
          </cell>
          <cell r="I779" t="str">
            <v xml:space="preserve">M3 / Jam </v>
          </cell>
        </row>
        <row r="780">
          <cell r="D780" t="str">
            <v xml:space="preserve">    n x tp</v>
          </cell>
        </row>
        <row r="782">
          <cell r="C782" t="str">
            <v>Koefisien Alat / T</v>
          </cell>
          <cell r="D782" t="str">
            <v xml:space="preserve"> =  1  :  Q1 x Vp</v>
          </cell>
          <cell r="G782" t="str">
            <v>(E25)</v>
          </cell>
          <cell r="H782">
            <v>0.76427690046725039</v>
          </cell>
          <cell r="I782" t="str">
            <v>jam</v>
          </cell>
        </row>
        <row r="785">
          <cell r="A785" t="str">
            <v>2.c.</v>
          </cell>
          <cell r="C785" t="str">
            <v>ALAT  BANTU</v>
          </cell>
        </row>
        <row r="786">
          <cell r="C786" t="str">
            <v>Diperlukan alat-alat bantu kecil</v>
          </cell>
          <cell r="J786" t="str">
            <v>Lump Sump</v>
          </cell>
        </row>
        <row r="787">
          <cell r="C787" t="str">
            <v>- Sekop    =         3   buah</v>
          </cell>
        </row>
        <row r="788">
          <cell r="C788" t="str">
            <v>- Pacul     =         3   buah</v>
          </cell>
        </row>
        <row r="789">
          <cell r="C789" t="str">
            <v>- Alat-alat kecil lain</v>
          </cell>
        </row>
        <row r="794">
          <cell r="J794" t="str">
            <v>Berlanjut ke halaman berikut</v>
          </cell>
        </row>
        <row r="795">
          <cell r="A795" t="str">
            <v>ITEM PEMBAYARAN NO.</v>
          </cell>
          <cell r="D795" t="str">
            <v>:  2.3 (7)</v>
          </cell>
          <cell r="J795" t="str">
            <v>Analisa EI-236</v>
          </cell>
        </row>
        <row r="796">
          <cell r="A796" t="str">
            <v>JENIS PEKERJAAN</v>
          </cell>
          <cell r="D796" t="str">
            <v>:  Gorong2 Baja Bergelombang dengan dimensi … (mengacu pada SNI 03-6719-2002)</v>
          </cell>
        </row>
        <row r="797">
          <cell r="A797" t="str">
            <v>SATUAN PEMBAYARAN</v>
          </cell>
          <cell r="D797" t="str">
            <v>:  Ton</v>
          </cell>
          <cell r="J797" t="str">
            <v xml:space="preserve">         URAIAN ANALISA HARGA SATUAN</v>
          </cell>
        </row>
        <row r="798">
          <cell r="J798" t="str">
            <v>Lanjutan</v>
          </cell>
        </row>
        <row r="800">
          <cell r="A800" t="str">
            <v>No.</v>
          </cell>
          <cell r="C800" t="str">
            <v>U R A I A N</v>
          </cell>
          <cell r="G800" t="str">
            <v>KODE</v>
          </cell>
          <cell r="H800" t="str">
            <v>KOEF.</v>
          </cell>
          <cell r="I800" t="str">
            <v>SATUAN</v>
          </cell>
          <cell r="J800" t="str">
            <v>KETERANGAN</v>
          </cell>
        </row>
        <row r="803">
          <cell r="A803" t="str">
            <v xml:space="preserve">   3.</v>
          </cell>
          <cell r="C803" t="str">
            <v>TENAGA</v>
          </cell>
        </row>
        <row r="804">
          <cell r="C804" t="str">
            <v xml:space="preserve">Produksi Gorong-gorong / hari </v>
          </cell>
          <cell r="G804" t="str">
            <v>Qt</v>
          </cell>
          <cell r="H804">
            <v>1.3</v>
          </cell>
          <cell r="I804" t="str">
            <v>Ton</v>
          </cell>
          <cell r="J804">
            <v>10</v>
          </cell>
        </row>
        <row r="805">
          <cell r="J805" t="str">
            <v>M' per hari</v>
          </cell>
        </row>
        <row r="806">
          <cell r="C806" t="str">
            <v>Kebutuhan tenaga :</v>
          </cell>
        </row>
        <row r="807">
          <cell r="D807" t="str">
            <v>- Pekerja</v>
          </cell>
          <cell r="G807" t="str">
            <v>P</v>
          </cell>
          <cell r="H807">
            <v>12</v>
          </cell>
          <cell r="I807" t="str">
            <v>orang</v>
          </cell>
        </row>
        <row r="808">
          <cell r="D808" t="str">
            <v>- Tukang</v>
          </cell>
          <cell r="G808" t="str">
            <v>T</v>
          </cell>
          <cell r="H808">
            <v>1</v>
          </cell>
          <cell r="I808" t="str">
            <v>orang</v>
          </cell>
        </row>
        <row r="809">
          <cell r="D809" t="str">
            <v>- Mandor</v>
          </cell>
          <cell r="G809" t="str">
            <v>M</v>
          </cell>
          <cell r="H809">
            <v>1</v>
          </cell>
          <cell r="I809" t="str">
            <v>orang</v>
          </cell>
        </row>
        <row r="811">
          <cell r="C811" t="str">
            <v>Koefisien tenaga / Ton   :</v>
          </cell>
        </row>
        <row r="812">
          <cell r="D812" t="str">
            <v>- Pekerja</v>
          </cell>
          <cell r="E812" t="str">
            <v>= (Tk x P) : Qt</v>
          </cell>
          <cell r="G812" t="str">
            <v>(L01)</v>
          </cell>
          <cell r="H812">
            <v>64.615384615384613</v>
          </cell>
          <cell r="I812" t="str">
            <v>jam</v>
          </cell>
        </row>
        <row r="813">
          <cell r="D813" t="str">
            <v>- Tukang</v>
          </cell>
          <cell r="E813" t="str">
            <v>= (Tk x T) : Qt</v>
          </cell>
          <cell r="G813" t="str">
            <v>(L02)</v>
          </cell>
          <cell r="H813">
            <v>5.3846153846153841</v>
          </cell>
          <cell r="I813" t="str">
            <v>jam</v>
          </cell>
        </row>
        <row r="814">
          <cell r="D814" t="str">
            <v>- Mandor</v>
          </cell>
          <cell r="E814" t="str">
            <v>= (Tk x M) : Qt</v>
          </cell>
          <cell r="G814" t="str">
            <v>(L03)</v>
          </cell>
          <cell r="H814">
            <v>5.3846153846153841</v>
          </cell>
          <cell r="I814" t="str">
            <v>jam</v>
          </cell>
        </row>
        <row r="816">
          <cell r="A816" t="str">
            <v>4.</v>
          </cell>
          <cell r="C816" t="str">
            <v>HARGA DASAR SATUAN UPAH, BAHAN DAN ALAT</v>
          </cell>
        </row>
        <row r="817">
          <cell r="C817" t="str">
            <v>Lihat lampiran.</v>
          </cell>
        </row>
        <row r="819">
          <cell r="A819" t="str">
            <v>5.</v>
          </cell>
          <cell r="C819" t="str">
            <v>ANALISA HARGA SATUAN PEKERJAAN</v>
          </cell>
        </row>
        <row r="820">
          <cell r="C820" t="str">
            <v>Lihat perhitungan dalam FORMULIR STANDAR UNTUK</v>
          </cell>
        </row>
        <row r="821">
          <cell r="C821" t="str">
            <v>PEREKEMAN ANALISA MASING-MASING HARGA</v>
          </cell>
        </row>
        <row r="822">
          <cell r="C822" t="str">
            <v>SATUAN.</v>
          </cell>
        </row>
        <row r="823">
          <cell r="C823" t="str">
            <v>Didapat Harga Satuan Pekerjaan :</v>
          </cell>
        </row>
        <row r="825">
          <cell r="C825" t="str">
            <v xml:space="preserve">Rp.  </v>
          </cell>
          <cell r="D825">
            <v>9967201.2306805458</v>
          </cell>
          <cell r="E825" t="str">
            <v xml:space="preserve"> / M'</v>
          </cell>
        </row>
        <row r="828">
          <cell r="A828" t="str">
            <v>6.</v>
          </cell>
          <cell r="C828" t="str">
            <v>WAKTU PELAKSANAAN YANG DIPERLUKAN</v>
          </cell>
        </row>
        <row r="829">
          <cell r="C829" t="str">
            <v>Masa Pelaksanaan :</v>
          </cell>
          <cell r="D829" t="str">
            <v>. . . . . . . . . . . .</v>
          </cell>
          <cell r="E829" t="str">
            <v>bulan</v>
          </cell>
        </row>
        <row r="831">
          <cell r="A831" t="str">
            <v>7.</v>
          </cell>
          <cell r="C831" t="str">
            <v>VOLUME PEKERJAAN YANG DIPERLUKAN</v>
          </cell>
        </row>
        <row r="832">
          <cell r="C832" t="str">
            <v>Volume pekerjaan  :</v>
          </cell>
          <cell r="D832">
            <v>1</v>
          </cell>
          <cell r="E832" t="str">
            <v>M'</v>
          </cell>
        </row>
        <row r="854">
          <cell r="A854" t="str">
            <v>ITEM PEMBAYARAN NO.</v>
          </cell>
          <cell r="D854" t="str">
            <v>:  2.3 (8)</v>
          </cell>
          <cell r="J854" t="str">
            <v xml:space="preserve">Analisa EI-235 </v>
          </cell>
        </row>
        <row r="855">
          <cell r="A855" t="str">
            <v>JENIS PEKERJAAN</v>
          </cell>
          <cell r="D855" t="str">
            <v>: Gorong-Gorong Pipa beton tanpa tulangan diameter dalam 100 mm sampai 900 mm</v>
          </cell>
          <cell r="L855" t="str">
            <v>FORMULIR STANDAR UNTUK</v>
          </cell>
        </row>
        <row r="856">
          <cell r="A856" t="str">
            <v>SATUAN PEMBAYARAN</v>
          </cell>
          <cell r="D856" t="str">
            <v>:  M1</v>
          </cell>
          <cell r="J856" t="str">
            <v xml:space="preserve">         URAIAN ANALISA HARGA SATUAN</v>
          </cell>
          <cell r="L856" t="str">
            <v>PEREKAMAN ANALISA MASING-MASING HARGA SATUAN</v>
          </cell>
        </row>
        <row r="857">
          <cell r="L857" t="str">
            <v/>
          </cell>
        </row>
        <row r="859">
          <cell r="A859" t="str">
            <v>No.</v>
          </cell>
          <cell r="C859" t="str">
            <v>U R A I A N</v>
          </cell>
          <cell r="G859" t="str">
            <v>KODE</v>
          </cell>
          <cell r="H859" t="str">
            <v>KOEF.</v>
          </cell>
          <cell r="I859" t="str">
            <v>SATUAN</v>
          </cell>
          <cell r="J859" t="str">
            <v>KETERANGAN</v>
          </cell>
        </row>
        <row r="860">
          <cell r="L860" t="str">
            <v>PROYEK</v>
          </cell>
          <cell r="O860" t="str">
            <v>:</v>
          </cell>
        </row>
        <row r="861">
          <cell r="L861" t="str">
            <v>No. PAKET KONTRAK</v>
          </cell>
          <cell r="O861" t="str">
            <v>:</v>
          </cell>
        </row>
        <row r="862">
          <cell r="A862" t="str">
            <v>I.</v>
          </cell>
          <cell r="C862" t="str">
            <v>ASUMSI</v>
          </cell>
          <cell r="L862" t="str">
            <v>NAMA PAKET</v>
          </cell>
          <cell r="O862" t="str">
            <v>:</v>
          </cell>
        </row>
        <row r="863">
          <cell r="A863">
            <v>1</v>
          </cell>
          <cell r="C863" t="str">
            <v>Pekerjaan dilakukan secara mekanik/manual</v>
          </cell>
          <cell r="L863" t="str">
            <v>PROP / KAB / KODYA</v>
          </cell>
          <cell r="O863" t="str">
            <v>:</v>
          </cell>
        </row>
        <row r="864">
          <cell r="A864">
            <v>2</v>
          </cell>
          <cell r="C864" t="str">
            <v>Lokasi pekerjaan : sepanjang jalan</v>
          </cell>
          <cell r="L864" t="str">
            <v>ITEM PEMBAYARAN NO.</v>
          </cell>
          <cell r="O864" t="str">
            <v>:  2.3 (8)</v>
          </cell>
          <cell r="R864" t="str">
            <v>PERKIRAAN VOL. PEK.</v>
          </cell>
          <cell r="T864" t="str">
            <v>:</v>
          </cell>
          <cell r="U864">
            <v>1</v>
          </cell>
        </row>
        <row r="865">
          <cell r="A865">
            <v>3</v>
          </cell>
          <cell r="C865" t="str">
            <v>Diameter bagian dalam gorong-gorong</v>
          </cell>
          <cell r="G865" t="str">
            <v>d</v>
          </cell>
          <cell r="H865">
            <v>0.25</v>
          </cell>
          <cell r="I865" t="str">
            <v>m</v>
          </cell>
          <cell r="L865" t="str">
            <v>JENIS PEKERJAAN</v>
          </cell>
          <cell r="O865" t="str">
            <v>: Gorong-Gorong Pipa beton tanpa tulangan diameter dalam 100 mm sampai 900 mm</v>
          </cell>
          <cell r="R865" t="str">
            <v>TOTAL HARGA (Rp.)</v>
          </cell>
          <cell r="T865" t="str">
            <v>:</v>
          </cell>
          <cell r="U865">
            <v>218715.29344341051</v>
          </cell>
        </row>
        <row r="866">
          <cell r="A866">
            <v>4</v>
          </cell>
          <cell r="C866" t="str">
            <v>Jarak rata-rata Base Camp ke lokasi pekerjaan</v>
          </cell>
          <cell r="G866" t="str">
            <v>L</v>
          </cell>
          <cell r="H866">
            <v>8.7249999999999996</v>
          </cell>
          <cell r="I866" t="str">
            <v>Km</v>
          </cell>
          <cell r="L866" t="str">
            <v>SATUAN PEMBAYARAN</v>
          </cell>
          <cell r="O866" t="str">
            <v>:  M1</v>
          </cell>
          <cell r="Q866">
            <v>0</v>
          </cell>
          <cell r="R866" t="str">
            <v>% THD. BIAYA PROYEK</v>
          </cell>
          <cell r="T866" t="str">
            <v>:</v>
          </cell>
          <cell r="U866" t="e">
            <v>#DIV/0!</v>
          </cell>
        </row>
        <row r="867">
          <cell r="A867">
            <v>5</v>
          </cell>
          <cell r="C867" t="str">
            <v>Jam kerja efektif per-hari</v>
          </cell>
          <cell r="G867" t="str">
            <v>Tk</v>
          </cell>
          <cell r="H867">
            <v>7</v>
          </cell>
          <cell r="I867" t="str">
            <v>jam</v>
          </cell>
        </row>
        <row r="868">
          <cell r="A868">
            <v>6</v>
          </cell>
          <cell r="C868" t="str">
            <v>Tebal gorong-gorong</v>
          </cell>
          <cell r="G868" t="str">
            <v>tg</v>
          </cell>
          <cell r="H868">
            <v>6.5</v>
          </cell>
          <cell r="I868" t="str">
            <v>Cm</v>
          </cell>
        </row>
        <row r="869">
          <cell r="Q869" t="str">
            <v>PERKIRAAN</v>
          </cell>
          <cell r="R869" t="str">
            <v>HARGA</v>
          </cell>
          <cell r="S869" t="str">
            <v>JUMLAH</v>
          </cell>
        </row>
        <row r="870">
          <cell r="A870" t="str">
            <v>II.</v>
          </cell>
          <cell r="C870" t="str">
            <v>URUTAN KERJA</v>
          </cell>
          <cell r="L870" t="str">
            <v>NO.</v>
          </cell>
          <cell r="N870" t="str">
            <v>KOMPONEN</v>
          </cell>
          <cell r="P870" t="str">
            <v>SATUAN</v>
          </cell>
          <cell r="Q870" t="str">
            <v>KUANTITAS</v>
          </cell>
          <cell r="R870" t="str">
            <v>SATUAN</v>
          </cell>
          <cell r="S870" t="str">
            <v>HARGA</v>
          </cell>
        </row>
        <row r="871">
          <cell r="A871">
            <v>1</v>
          </cell>
          <cell r="C871" t="str">
            <v>Gorong-gorong dicetak di Base Camp</v>
          </cell>
          <cell r="R871" t="str">
            <v>(Rp.)</v>
          </cell>
          <cell r="S871" t="str">
            <v>(Rp.)</v>
          </cell>
        </row>
        <row r="872">
          <cell r="A872">
            <v>2</v>
          </cell>
          <cell r="C872" t="str">
            <v>Dump Truck mengangkut gorong-gorong jadi</v>
          </cell>
        </row>
        <row r="873">
          <cell r="C873" t="str">
            <v>ke lapangan</v>
          </cell>
        </row>
        <row r="874">
          <cell r="A874">
            <v>3</v>
          </cell>
          <cell r="C874" t="str">
            <v>Dasar gorong-gorong digali sesuai kebutuhan dan ma-</v>
          </cell>
          <cell r="L874" t="str">
            <v>A.</v>
          </cell>
          <cell r="N874" t="str">
            <v>TENAGA</v>
          </cell>
        </row>
        <row r="875">
          <cell r="C875" t="str">
            <v>terial backfill dipadatkan dengan Tamper</v>
          </cell>
        </row>
        <row r="876">
          <cell r="A876">
            <v>4</v>
          </cell>
          <cell r="C876" t="str">
            <v>Tebal lapis porus pada dasar gorong-gorong pipa baja</v>
          </cell>
          <cell r="G876" t="str">
            <v>tp</v>
          </cell>
          <cell r="H876">
            <v>0.1</v>
          </cell>
          <cell r="I876" t="str">
            <v>M</v>
          </cell>
          <cell r="J876" t="str">
            <v xml:space="preserve"> Sand bedding</v>
          </cell>
          <cell r="L876" t="str">
            <v>1.</v>
          </cell>
          <cell r="N876" t="str">
            <v>Pekerja</v>
          </cell>
          <cell r="O876" t="str">
            <v>(L01)</v>
          </cell>
          <cell r="P876" t="str">
            <v>jam</v>
          </cell>
          <cell r="Q876">
            <v>1.75</v>
          </cell>
          <cell r="R876">
            <v>2857.14</v>
          </cell>
          <cell r="U876">
            <v>4999.9949999999999</v>
          </cell>
        </row>
        <row r="877">
          <cell r="A877">
            <v>5</v>
          </cell>
          <cell r="C877" t="str">
            <v>Material pilihan untuk penimbunan kembali (padat)</v>
          </cell>
          <cell r="L877" t="str">
            <v>2.</v>
          </cell>
          <cell r="N877" t="str">
            <v>Tukang</v>
          </cell>
          <cell r="O877" t="str">
            <v>(L02)</v>
          </cell>
          <cell r="P877" t="str">
            <v>jam</v>
          </cell>
          <cell r="Q877">
            <v>0</v>
          </cell>
          <cell r="R877">
            <v>4285.71</v>
          </cell>
          <cell r="U877">
            <v>0</v>
          </cell>
        </row>
        <row r="878">
          <cell r="A878">
            <v>6</v>
          </cell>
          <cell r="C878" t="str">
            <v>Sekelompok pekerja akan melaksanakan pekerjaan</v>
          </cell>
          <cell r="L878" t="str">
            <v>3.</v>
          </cell>
          <cell r="N878" t="str">
            <v>Mandor</v>
          </cell>
          <cell r="O878" t="str">
            <v>(L03)</v>
          </cell>
          <cell r="P878" t="str">
            <v>jam</v>
          </cell>
          <cell r="Q878">
            <v>0.35</v>
          </cell>
          <cell r="R878">
            <v>3214.29</v>
          </cell>
          <cell r="U878">
            <v>1125.0014999999999</v>
          </cell>
        </row>
        <row r="879">
          <cell r="C879" t="str">
            <v>dengan cara manual dengan menggunakan alat bantu</v>
          </cell>
        </row>
        <row r="880">
          <cell r="Q880" t="str">
            <v xml:space="preserve">JUMLAH HARGA TENAGA   </v>
          </cell>
          <cell r="U880">
            <v>6124.9964999999993</v>
          </cell>
        </row>
        <row r="882">
          <cell r="A882" t="str">
            <v>III.</v>
          </cell>
          <cell r="C882" t="str">
            <v>PEMAKAIAN BAHAN, ALAT DAN TENAGA</v>
          </cell>
          <cell r="L882" t="str">
            <v>B.</v>
          </cell>
          <cell r="N882" t="str">
            <v>BAHAN</v>
          </cell>
        </row>
        <row r="883">
          <cell r="A883" t="str">
            <v xml:space="preserve">   1.</v>
          </cell>
          <cell r="C883" t="str">
            <v>BAHAN</v>
          </cell>
        </row>
        <row r="884">
          <cell r="C884" t="str">
            <v>Untuk mendapatkan 1 M' gorong-gorong diperlukan</v>
          </cell>
          <cell r="L884" t="str">
            <v>1.</v>
          </cell>
          <cell r="N884" t="str">
            <v>Beton K-175</v>
          </cell>
          <cell r="O884" t="str">
            <v>(EI-716)</v>
          </cell>
          <cell r="P884" t="str">
            <v>M3</v>
          </cell>
          <cell r="Q884">
            <v>6.4324109582251016E-2</v>
          </cell>
          <cell r="R884">
            <v>579443.14540291647</v>
          </cell>
          <cell r="U884">
            <v>37272.16438158141</v>
          </cell>
        </row>
        <row r="885">
          <cell r="C885" t="str">
            <v>- Beton K-175 = (22/7*((2*tg/100+d)/2)^2)-(22/7*(d/2)^2))*1</v>
          </cell>
          <cell r="G885" t="str">
            <v>(EI-716)</v>
          </cell>
          <cell r="H885">
            <v>6.4324109582251016E-2</v>
          </cell>
          <cell r="I885" t="str">
            <v>M3</v>
          </cell>
          <cell r="L885" t="str">
            <v>2.</v>
          </cell>
          <cell r="N885" t="str">
            <v>Urugan Porus</v>
          </cell>
          <cell r="O885" t="str">
            <v>(EI-241)</v>
          </cell>
          <cell r="P885" t="str">
            <v>M3</v>
          </cell>
          <cell r="Q885">
            <v>7.1400000000000005E-2</v>
          </cell>
          <cell r="R885">
            <v>186901.40625406182</v>
          </cell>
          <cell r="U885">
            <v>13344.760406540016</v>
          </cell>
        </row>
        <row r="886">
          <cell r="C886" t="str">
            <v>- Timbunan Porus      = {(tp*(0.15+2*tg/100+d+0.15)*1)*1.05}</v>
          </cell>
          <cell r="G886" t="str">
            <v>(EI-241)</v>
          </cell>
          <cell r="H886">
            <v>7.1400000000000005E-2</v>
          </cell>
          <cell r="I886" t="str">
            <v>M3</v>
          </cell>
          <cell r="L886" t="str">
            <v>3.</v>
          </cell>
          <cell r="N886" t="str">
            <v>Mat. Pilihan</v>
          </cell>
          <cell r="O886" t="str">
            <v>(M09)</v>
          </cell>
          <cell r="P886" t="str">
            <v>M3</v>
          </cell>
          <cell r="Q886">
            <v>0.25929000000000008</v>
          </cell>
          <cell r="R886">
            <v>25000</v>
          </cell>
          <cell r="U886">
            <v>6482.2500000000018</v>
          </cell>
        </row>
        <row r="887">
          <cell r="C887" t="str">
            <v>- Material Pilihan  = ((2*tg/100+d+0.15)*(0.15+2*tg/100+d+0.15)</v>
          </cell>
          <cell r="G887" t="str">
            <v>(M09)</v>
          </cell>
          <cell r="H887">
            <v>0.25929000000000008</v>
          </cell>
          <cell r="I887" t="str">
            <v>M3</v>
          </cell>
          <cell r="J887" t="str">
            <v xml:space="preserve"> = Vp</v>
          </cell>
        </row>
        <row r="888">
          <cell r="D888" t="str">
            <v>-(22/7*(0.5*(2*tg/100+d))^2))*1*1.05</v>
          </cell>
        </row>
        <row r="890">
          <cell r="A890" t="str">
            <v xml:space="preserve">   2.</v>
          </cell>
          <cell r="C890" t="str">
            <v>ALAT</v>
          </cell>
          <cell r="Q890" t="str">
            <v xml:space="preserve">JUMLAH HARGA BAHAN   </v>
          </cell>
          <cell r="U890">
            <v>57099.174788121425</v>
          </cell>
        </row>
        <row r="891">
          <cell r="A891" t="str">
            <v>2.a.</v>
          </cell>
          <cell r="C891" t="str">
            <v>TAMPER</v>
          </cell>
          <cell r="G891" t="str">
            <v>(E25)</v>
          </cell>
        </row>
        <row r="892">
          <cell r="C892" t="str">
            <v>Kecepatan</v>
          </cell>
          <cell r="G892" t="str">
            <v>v</v>
          </cell>
          <cell r="H892">
            <v>0.5</v>
          </cell>
          <cell r="I892" t="str">
            <v>Km / Jam</v>
          </cell>
          <cell r="L892" t="str">
            <v>C.</v>
          </cell>
          <cell r="N892" t="str">
            <v>PERALATAN</v>
          </cell>
        </row>
        <row r="893">
          <cell r="C893" t="str">
            <v>Efisiensi alat</v>
          </cell>
          <cell r="G893" t="str">
            <v>Fa</v>
          </cell>
          <cell r="H893">
            <v>0.83</v>
          </cell>
          <cell r="I893" t="str">
            <v>-</v>
          </cell>
        </row>
        <row r="894">
          <cell r="C894" t="str">
            <v>Lebar pemadatan</v>
          </cell>
          <cell r="G894" t="str">
            <v>Lb</v>
          </cell>
          <cell r="H894">
            <v>0.4</v>
          </cell>
          <cell r="I894" t="str">
            <v>M</v>
          </cell>
          <cell r="L894" t="str">
            <v>1.</v>
          </cell>
          <cell r="N894" t="str">
            <v>Tamper</v>
          </cell>
          <cell r="O894" t="str">
            <v>(E25)</v>
          </cell>
          <cell r="P894" t="str">
            <v>jam</v>
          </cell>
          <cell r="Q894">
            <v>7.8099397590361455E-2</v>
          </cell>
          <cell r="R894">
            <v>18672.16854694486</v>
          </cell>
          <cell r="U894">
            <v>1458.2851152220883</v>
          </cell>
        </row>
        <row r="895">
          <cell r="C895" t="str">
            <v>Banyak lintasan</v>
          </cell>
          <cell r="G895" t="str">
            <v>n</v>
          </cell>
          <cell r="H895">
            <v>10</v>
          </cell>
          <cell r="I895" t="str">
            <v>lintasan</v>
          </cell>
          <cell r="L895" t="str">
            <v>2.</v>
          </cell>
          <cell r="N895" t="str">
            <v>Dump Truck</v>
          </cell>
          <cell r="O895" t="str">
            <v>(E08)</v>
          </cell>
          <cell r="P895" t="str">
            <v>jam</v>
          </cell>
          <cell r="Q895">
            <v>7.210090361445784E-2</v>
          </cell>
          <cell r="R895">
            <v>153645.58193291764</v>
          </cell>
          <cell r="U895">
            <v>11077.98529373258</v>
          </cell>
        </row>
        <row r="896">
          <cell r="C896" t="str">
            <v>Tebal lapis hamparan</v>
          </cell>
          <cell r="G896" t="str">
            <v>tp</v>
          </cell>
          <cell r="H896">
            <v>0.2</v>
          </cell>
          <cell r="I896" t="str">
            <v>M</v>
          </cell>
          <cell r="L896" t="str">
            <v>3.</v>
          </cell>
          <cell r="N896" t="str">
            <v>Alat  Bantu</v>
          </cell>
          <cell r="P896" t="str">
            <v>Ls</v>
          </cell>
          <cell r="Q896">
            <v>1</v>
          </cell>
          <cell r="R896">
            <v>150</v>
          </cell>
          <cell r="U896">
            <v>150</v>
          </cell>
        </row>
        <row r="899">
          <cell r="C899" t="str">
            <v>Kap. Prod. / Jam   =</v>
          </cell>
          <cell r="D899" t="str">
            <v>v x 1000 x Fa x Lb x 60</v>
          </cell>
          <cell r="G899" t="str">
            <v>Q1</v>
          </cell>
          <cell r="H899">
            <v>3.3200000000000003</v>
          </cell>
          <cell r="I899" t="str">
            <v xml:space="preserve">M3 / Jam </v>
          </cell>
        </row>
        <row r="900">
          <cell r="D900" t="str">
            <v xml:space="preserve">    n x tp</v>
          </cell>
        </row>
        <row r="902">
          <cell r="C902" t="str">
            <v>Koefisien Alat / m'</v>
          </cell>
          <cell r="D902" t="str">
            <v xml:space="preserve"> =  1  :  Q1 x Vp</v>
          </cell>
          <cell r="G902" t="str">
            <v>(E25)</v>
          </cell>
          <cell r="H902">
            <v>7.8099397590361455E-2</v>
          </cell>
          <cell r="I902" t="str">
            <v>jam</v>
          </cell>
          <cell r="Q902" t="str">
            <v xml:space="preserve">JUMLAH HARGA PERALATAN   </v>
          </cell>
          <cell r="U902">
            <v>12686.270408954668</v>
          </cell>
        </row>
        <row r="904">
          <cell r="A904" t="str">
            <v>2.b.</v>
          </cell>
          <cell r="C904" t="str">
            <v>DUMP TRUCK</v>
          </cell>
          <cell r="G904" t="str">
            <v>(E08)</v>
          </cell>
          <cell r="L904" t="str">
            <v>D.</v>
          </cell>
          <cell r="N904" t="str">
            <v>JUMLAH HARGA TENAGA, BAHAN DAN PERALATAN  ( A + B + C )</v>
          </cell>
          <cell r="U904">
            <v>75910.441697076094</v>
          </cell>
        </row>
        <row r="905">
          <cell r="C905" t="str">
            <v>Kapasitas bak sekali muat</v>
          </cell>
          <cell r="G905" t="str">
            <v>V</v>
          </cell>
          <cell r="H905">
            <v>20</v>
          </cell>
          <cell r="I905" t="str">
            <v>Buah/M'</v>
          </cell>
          <cell r="L905" t="str">
            <v>E.</v>
          </cell>
          <cell r="N905" t="str">
            <v>OVERHEAD &amp; PROFIT</v>
          </cell>
          <cell r="P905">
            <v>10</v>
          </cell>
          <cell r="Q905" t="str">
            <v>%  x  D</v>
          </cell>
          <cell r="U905">
            <v>7591.0441697076094</v>
          </cell>
        </row>
        <row r="906">
          <cell r="C906" t="str">
            <v>Faktor efisiensi alat</v>
          </cell>
          <cell r="G906" t="str">
            <v>Fa</v>
          </cell>
          <cell r="H906">
            <v>0.83</v>
          </cell>
          <cell r="L906" t="str">
            <v>F.</v>
          </cell>
          <cell r="N906" t="str">
            <v>HARGA SATUAN PEKERJAAN  ( D + E )</v>
          </cell>
          <cell r="U906">
            <v>83501.485866783711</v>
          </cell>
        </row>
        <row r="907">
          <cell r="C907" t="str">
            <v>Kecepatanrata-rata bermuatan</v>
          </cell>
          <cell r="G907" t="str">
            <v>v1</v>
          </cell>
          <cell r="H907">
            <v>40</v>
          </cell>
          <cell r="I907" t="str">
            <v>Km/Jam</v>
          </cell>
          <cell r="L907" t="str">
            <v>Note: 1</v>
          </cell>
          <cell r="N907" t="str">
            <v>SATUAN dapat berdasarkan atas jam operasi untuk Tenaga Kerja dan Peralatan, volume dan/atau ukuran</v>
          </cell>
        </row>
        <row r="908">
          <cell r="C908" t="str">
            <v>Kecepatan rata-rata kosong</v>
          </cell>
          <cell r="G908" t="str">
            <v>v2</v>
          </cell>
          <cell r="H908">
            <v>60</v>
          </cell>
          <cell r="I908" t="str">
            <v>Km/Jam</v>
          </cell>
          <cell r="N908" t="str">
            <v>berat untuk bahan-bahan.</v>
          </cell>
        </row>
        <row r="909">
          <cell r="C909" t="str">
            <v>Waktu siklus    :</v>
          </cell>
          <cell r="G909" t="str">
            <v>Ts1</v>
          </cell>
          <cell r="L909">
            <v>2</v>
          </cell>
          <cell r="N909" t="str">
            <v>Kuantitas satuan adalah kuantitas setiap komponen untuk menyelesaikan satu satuan pekerjaan dari nomor</v>
          </cell>
        </row>
        <row r="910">
          <cell r="C910" t="str">
            <v>- Waktu  tempuh in  si  = (L : v1 ) x 60</v>
          </cell>
          <cell r="G910" t="str">
            <v>T1</v>
          </cell>
          <cell r="H910">
            <v>13.087499999999999</v>
          </cell>
          <cell r="I910" t="str">
            <v>menit</v>
          </cell>
          <cell r="N910" t="str">
            <v>mata pembayaran.</v>
          </cell>
        </row>
        <row r="911">
          <cell r="C911" t="str">
            <v>-  Waktutempuh kosong  = (L : v2)  x  60</v>
          </cell>
          <cell r="G911" t="str">
            <v>T2</v>
          </cell>
          <cell r="H911">
            <v>8.7249999999999996</v>
          </cell>
          <cell r="I911" t="str">
            <v>menit</v>
          </cell>
          <cell r="L911">
            <v>3</v>
          </cell>
          <cell r="N911" t="str">
            <v>Biaya satuan untuk peralatan sudah termasuk bahan bakar, bahan habis dipakai dan operator.</v>
          </cell>
        </row>
        <row r="912">
          <cell r="C912" t="str">
            <v>-  Muat, bongkar dan lain-lain</v>
          </cell>
          <cell r="G912" t="str">
            <v>T3</v>
          </cell>
          <cell r="H912">
            <v>50</v>
          </cell>
          <cell r="I912" t="str">
            <v>menit</v>
          </cell>
          <cell r="L912">
            <v>4</v>
          </cell>
          <cell r="N912" t="str">
            <v>Biaya satuan sudah termasuk pengeluaran untuk seluruh pajak yang berkaitan (tetapi tidak termasuk PPN</v>
          </cell>
        </row>
        <row r="913">
          <cell r="G913" t="str">
            <v>Ts1</v>
          </cell>
          <cell r="H913">
            <v>71.8125</v>
          </cell>
          <cell r="I913" t="str">
            <v>menit</v>
          </cell>
          <cell r="N913" t="str">
            <v>yang dibayar dari kontrak) dan biaya-biaya lainnya.</v>
          </cell>
        </row>
        <row r="914">
          <cell r="J914" t="str">
            <v>Berlanjut ke halaman berikut</v>
          </cell>
        </row>
        <row r="915">
          <cell r="A915" t="str">
            <v>ITEM PEMBAYARAN NO.</v>
          </cell>
          <cell r="D915" t="str">
            <v>:  2.3 (8)</v>
          </cell>
          <cell r="J915" t="str">
            <v xml:space="preserve">Analisa EI-235 </v>
          </cell>
        </row>
        <row r="916">
          <cell r="A916" t="str">
            <v>JENIS PEKERJAAN</v>
          </cell>
          <cell r="D916" t="str">
            <v>: Gorong-Gorong Pipa beton tanpa tulangan diameter dalam 100 mm sampai 900 mm</v>
          </cell>
        </row>
        <row r="917">
          <cell r="A917" t="str">
            <v>SATUAN PEMBAYARAN</v>
          </cell>
          <cell r="D917" t="str">
            <v>:  M1</v>
          </cell>
          <cell r="J917" t="str">
            <v xml:space="preserve">         URAIAN ANALISA HARGA SATUAN</v>
          </cell>
        </row>
        <row r="918">
          <cell r="J918" t="str">
            <v>Lanjutan</v>
          </cell>
        </row>
        <row r="920">
          <cell r="A920" t="str">
            <v>No.</v>
          </cell>
          <cell r="C920" t="str">
            <v>U R A I A N</v>
          </cell>
          <cell r="G920" t="str">
            <v>KODE</v>
          </cell>
          <cell r="H920" t="str">
            <v>KOEF.</v>
          </cell>
          <cell r="I920" t="str">
            <v>SATUAN</v>
          </cell>
          <cell r="J920" t="str">
            <v>KETERANGAN</v>
          </cell>
        </row>
        <row r="923">
          <cell r="C923" t="str">
            <v>Kapasitas Produksi / Jam   =</v>
          </cell>
          <cell r="E923" t="str">
            <v>V x Fa x 60</v>
          </cell>
          <cell r="G923" t="str">
            <v>Q2</v>
          </cell>
          <cell r="H923">
            <v>13.869451697127936</v>
          </cell>
          <cell r="I923" t="str">
            <v xml:space="preserve">M' / Jam </v>
          </cell>
        </row>
        <row r="924">
          <cell r="E924" t="str">
            <v>Ts1</v>
          </cell>
        </row>
        <row r="926">
          <cell r="C926" t="str">
            <v>Koefisien Alat / m'</v>
          </cell>
          <cell r="D926" t="str">
            <v xml:space="preserve"> =  1  :  Q2</v>
          </cell>
          <cell r="G926" t="str">
            <v>(E08)</v>
          </cell>
          <cell r="H926">
            <v>7.210090361445784E-2</v>
          </cell>
          <cell r="I926" t="str">
            <v>jam</v>
          </cell>
        </row>
        <row r="929">
          <cell r="A929" t="str">
            <v>2.c.</v>
          </cell>
          <cell r="C929" t="str">
            <v>ALAT  BANTU</v>
          </cell>
        </row>
        <row r="930">
          <cell r="C930" t="str">
            <v>Diperlukan alat-alat bantu kecil</v>
          </cell>
          <cell r="J930" t="str">
            <v>Lump Sump</v>
          </cell>
        </row>
        <row r="931">
          <cell r="C931" t="str">
            <v>- Sekop    =         3   buah</v>
          </cell>
        </row>
        <row r="932">
          <cell r="C932" t="str">
            <v>- Pacul     =         3   buah</v>
          </cell>
        </row>
        <row r="933">
          <cell r="C933" t="str">
            <v>- Alat-alat kecil lain</v>
          </cell>
        </row>
        <row r="935">
          <cell r="A935" t="str">
            <v xml:space="preserve">   3.</v>
          </cell>
          <cell r="C935" t="str">
            <v>TENAGA</v>
          </cell>
        </row>
        <row r="936">
          <cell r="C936" t="str">
            <v>Produksi Gorong-gorong / hari</v>
          </cell>
          <cell r="G936" t="str">
            <v>Qt</v>
          </cell>
          <cell r="H936">
            <v>20</v>
          </cell>
          <cell r="I936" t="str">
            <v>M'</v>
          </cell>
        </row>
        <row r="937">
          <cell r="C937" t="str">
            <v>Kebutuhan tenaga :</v>
          </cell>
        </row>
        <row r="938">
          <cell r="D938" t="str">
            <v>- Pekerja</v>
          </cell>
          <cell r="G938" t="str">
            <v>P</v>
          </cell>
          <cell r="H938">
            <v>5</v>
          </cell>
          <cell r="I938" t="str">
            <v>orang</v>
          </cell>
        </row>
        <row r="939">
          <cell r="D939" t="str">
            <v>- Tukang</v>
          </cell>
          <cell r="G939" t="str">
            <v>T</v>
          </cell>
          <cell r="H939">
            <v>0</v>
          </cell>
          <cell r="I939" t="str">
            <v>orang</v>
          </cell>
        </row>
        <row r="940">
          <cell r="D940" t="str">
            <v>- Mandor</v>
          </cell>
          <cell r="G940" t="str">
            <v>M</v>
          </cell>
          <cell r="H940">
            <v>1</v>
          </cell>
          <cell r="I940" t="str">
            <v>orang</v>
          </cell>
        </row>
        <row r="942">
          <cell r="C942" t="str">
            <v>Koefisien tenaga / M1   :</v>
          </cell>
        </row>
        <row r="943">
          <cell r="D943" t="str">
            <v>- Pekerja</v>
          </cell>
          <cell r="E943" t="str">
            <v>= (Tk x P) : Qt</v>
          </cell>
          <cell r="G943" t="str">
            <v>(L01)</v>
          </cell>
          <cell r="H943">
            <v>1.75</v>
          </cell>
          <cell r="I943" t="str">
            <v>Jam</v>
          </cell>
        </row>
        <row r="944">
          <cell r="D944" t="str">
            <v>- Tukang</v>
          </cell>
          <cell r="E944" t="str">
            <v>= (Tk x T) : Qt</v>
          </cell>
          <cell r="G944" t="str">
            <v>(L02)</v>
          </cell>
          <cell r="H944">
            <v>0</v>
          </cell>
          <cell r="I944" t="str">
            <v>Jam</v>
          </cell>
        </row>
        <row r="945">
          <cell r="D945" t="str">
            <v>- Mandor</v>
          </cell>
          <cell r="E945" t="str">
            <v>= (Tk x M) : Qt</v>
          </cell>
          <cell r="G945" t="str">
            <v>(L03)</v>
          </cell>
          <cell r="H945">
            <v>0.35</v>
          </cell>
          <cell r="I945" t="str">
            <v>Jam</v>
          </cell>
        </row>
        <row r="947">
          <cell r="A947" t="str">
            <v>4.</v>
          </cell>
          <cell r="C947" t="str">
            <v>HARGA DASAR SATUAN UPAH, BAHAN DAN ALAT</v>
          </cell>
        </row>
        <row r="948">
          <cell r="C948" t="str">
            <v>Lihat lampiran.</v>
          </cell>
        </row>
        <row r="951">
          <cell r="A951" t="str">
            <v>5.</v>
          </cell>
          <cell r="C951" t="str">
            <v>ANALISA HARGA SATUAN PEKERJAAN</v>
          </cell>
        </row>
        <row r="952">
          <cell r="C952" t="str">
            <v>Lihat perhitungan dalam FORMULIR STANDAR UNTUK</v>
          </cell>
        </row>
        <row r="953">
          <cell r="C953" t="str">
            <v>PEREKEMAN ANALISA MASING-MASING HARGA</v>
          </cell>
        </row>
        <row r="954">
          <cell r="C954" t="str">
            <v>SATUAN.</v>
          </cell>
        </row>
        <row r="955">
          <cell r="C955" t="str">
            <v>Didapat Harga Satuan Pekerjaan :</v>
          </cell>
        </row>
        <row r="957">
          <cell r="C957" t="str">
            <v xml:space="preserve">Rp.  </v>
          </cell>
          <cell r="D957">
            <v>83501.485866783711</v>
          </cell>
          <cell r="E957" t="str">
            <v xml:space="preserve"> / M'</v>
          </cell>
        </row>
        <row r="960">
          <cell r="A960" t="str">
            <v>6.</v>
          </cell>
          <cell r="C960" t="str">
            <v>WAKTU PELAKSANAAN YANG DIPERLUKAN</v>
          </cell>
        </row>
        <row r="961">
          <cell r="C961" t="str">
            <v>Masa Pelaksanaan :</v>
          </cell>
          <cell r="D961" t="str">
            <v>. . . . . . . . . . . .</v>
          </cell>
          <cell r="E961" t="str">
            <v>bulan</v>
          </cell>
        </row>
        <row r="963">
          <cell r="A963" t="str">
            <v>7.</v>
          </cell>
          <cell r="C963" t="str">
            <v>VOLUME PEKERJAAN YANG DIPERLUKAN</v>
          </cell>
        </row>
        <row r="964">
          <cell r="C964" t="str">
            <v>Volume pekerjaan  :</v>
          </cell>
          <cell r="D964">
            <v>1</v>
          </cell>
          <cell r="E964" t="str">
            <v>M'</v>
          </cell>
        </row>
        <row r="974">
          <cell r="A974" t="str">
            <v>ITEM PEMBAYARAN NO.</v>
          </cell>
          <cell r="D974" t="str">
            <v>:  2.3 (9)</v>
          </cell>
          <cell r="J974" t="str">
            <v xml:space="preserve">Analisa EI-241 </v>
          </cell>
        </row>
        <row r="975">
          <cell r="A975" t="str">
            <v>JENIS PEKERJAAN</v>
          </cell>
          <cell r="D975" t="str">
            <v>: Gorong-gorong persegi beton bertulang pracetak dengan dimensi………</v>
          </cell>
        </row>
        <row r="976">
          <cell r="A976" t="str">
            <v>SATUAN PEMBAYARAN</v>
          </cell>
          <cell r="D976" t="str">
            <v>:  M1</v>
          </cell>
          <cell r="J976" t="str">
            <v xml:space="preserve">         URAIAN ANALISA HARGA SATUAN</v>
          </cell>
        </row>
        <row r="978">
          <cell r="A978" t="str">
            <v>ITEM PEMBAYARAN NO.</v>
          </cell>
          <cell r="D978" t="str">
            <v>:  2.4 (1)</v>
          </cell>
          <cell r="J978" t="str">
            <v xml:space="preserve">Analisa EI-241 </v>
          </cell>
        </row>
        <row r="979">
          <cell r="A979" t="str">
            <v>JENIS PEKERJAAN</v>
          </cell>
          <cell r="D979" t="str">
            <v>:  Timbunan Porous / Bhn.Penyaring</v>
          </cell>
          <cell r="L979" t="str">
            <v>FORMULIR STANDAR UNTUK</v>
          </cell>
        </row>
        <row r="980">
          <cell r="A980" t="str">
            <v>SATUAN PEMBAYARAN</v>
          </cell>
          <cell r="D980" t="str">
            <v>:  M3</v>
          </cell>
          <cell r="J980" t="str">
            <v xml:space="preserve">         URAIAN ANALISA HARGA SATUAN</v>
          </cell>
          <cell r="L980" t="str">
            <v>PEREKAMAN ANALISA MASING-MASING HARGA SATUAN</v>
          </cell>
        </row>
        <row r="981">
          <cell r="L981" t="str">
            <v/>
          </cell>
        </row>
        <row r="983">
          <cell r="A983" t="str">
            <v>No.</v>
          </cell>
          <cell r="C983" t="str">
            <v>U R A I A N</v>
          </cell>
          <cell r="G983" t="str">
            <v>KODE</v>
          </cell>
          <cell r="H983" t="str">
            <v>KOEF.</v>
          </cell>
          <cell r="I983" t="str">
            <v>SATUAN</v>
          </cell>
          <cell r="J983" t="str">
            <v>KETERANGAN</v>
          </cell>
        </row>
        <row r="984">
          <cell r="L984" t="str">
            <v>PROYEK</v>
          </cell>
          <cell r="O984" t="str">
            <v>:</v>
          </cell>
        </row>
        <row r="985">
          <cell r="L985" t="str">
            <v>No. PAKET KONTRAK</v>
          </cell>
          <cell r="O985" t="str">
            <v>:</v>
          </cell>
        </row>
        <row r="986">
          <cell r="A986" t="str">
            <v>I.</v>
          </cell>
          <cell r="C986" t="str">
            <v>ASUMSI</v>
          </cell>
          <cell r="L986" t="str">
            <v>NAMA PAKET</v>
          </cell>
          <cell r="O986" t="str">
            <v>:</v>
          </cell>
        </row>
        <row r="987">
          <cell r="A987">
            <v>1</v>
          </cell>
          <cell r="C987" t="str">
            <v>Pekerjaan dilakukan secara manual</v>
          </cell>
          <cell r="L987" t="str">
            <v>PROP / KAB / KODYA</v>
          </cell>
          <cell r="O987" t="str">
            <v>:</v>
          </cell>
        </row>
        <row r="988">
          <cell r="A988">
            <v>2</v>
          </cell>
          <cell r="C988" t="str">
            <v>Lokasi pekerjaan : sepanjang jalan</v>
          </cell>
          <cell r="L988" t="str">
            <v>ITEM PEMBAYARAN NO.</v>
          </cell>
          <cell r="O988" t="str">
            <v>:  2.4 (1)</v>
          </cell>
          <cell r="R988" t="str">
            <v>PERKIRAAN VOL. PEK.</v>
          </cell>
          <cell r="T988" t="str">
            <v>:</v>
          </cell>
          <cell r="U988">
            <v>1</v>
          </cell>
        </row>
        <row r="989">
          <cell r="A989">
            <v>3</v>
          </cell>
          <cell r="C989" t="str">
            <v>Kondisi Jalan   :  sedang / baik</v>
          </cell>
          <cell r="L989" t="str">
            <v>JENIS PEKERJAAN</v>
          </cell>
          <cell r="O989" t="str">
            <v>:  Timbunan Porous / Bhn.Penyaring</v>
          </cell>
          <cell r="R989" t="str">
            <v>TOTAL HARGA (Rp.)</v>
          </cell>
          <cell r="T989" t="str">
            <v>:</v>
          </cell>
          <cell r="U989">
            <v>83501.485866783711</v>
          </cell>
        </row>
        <row r="990">
          <cell r="A990">
            <v>4</v>
          </cell>
          <cell r="C990" t="str">
            <v>Jam kerja efektif per-hari</v>
          </cell>
          <cell r="G990" t="str">
            <v>Tk</v>
          </cell>
          <cell r="H990">
            <v>7</v>
          </cell>
          <cell r="I990" t="str">
            <v>Jam</v>
          </cell>
          <cell r="L990" t="str">
            <v>SATUAN PEMBAYARAN</v>
          </cell>
          <cell r="O990" t="str">
            <v>:  M3</v>
          </cell>
          <cell r="R990" t="str">
            <v>% THD. BIAYA PROYEK</v>
          </cell>
          <cell r="T990" t="str">
            <v>:</v>
          </cell>
          <cell r="U990" t="e">
            <v>#DIV/0!</v>
          </cell>
        </row>
        <row r="991">
          <cell r="A991">
            <v>5</v>
          </cell>
          <cell r="C991" t="str">
            <v>Faktor kehilangan material</v>
          </cell>
          <cell r="G991" t="str">
            <v>Fh</v>
          </cell>
          <cell r="H991">
            <v>1.1000000000000001</v>
          </cell>
          <cell r="I991" t="str">
            <v>-</v>
          </cell>
        </row>
        <row r="992">
          <cell r="A992">
            <v>6</v>
          </cell>
          <cell r="C992" t="str">
            <v>Material Porous terdiri dari batu pecah dan pasir</v>
          </cell>
        </row>
        <row r="993">
          <cell r="Q993" t="str">
            <v>PERKIRAAN</v>
          </cell>
          <cell r="R993" t="str">
            <v>HARGA</v>
          </cell>
          <cell r="S993" t="str">
            <v>JUMLAH</v>
          </cell>
        </row>
        <row r="994">
          <cell r="A994" t="str">
            <v>II.</v>
          </cell>
          <cell r="C994" t="str">
            <v>URUTAN KERJA</v>
          </cell>
          <cell r="L994" t="str">
            <v>NO.</v>
          </cell>
          <cell r="N994" t="str">
            <v>KOMPONEN</v>
          </cell>
          <cell r="P994" t="str">
            <v>SATUAN</v>
          </cell>
          <cell r="Q994" t="str">
            <v>KUANTITAS</v>
          </cell>
          <cell r="R994" t="str">
            <v>SATUAN</v>
          </cell>
          <cell r="S994" t="str">
            <v>HARGA</v>
          </cell>
        </row>
        <row r="995">
          <cell r="A995">
            <v>1</v>
          </cell>
          <cell r="C995" t="str">
            <v>Material Porous diterima dilokasi pekerjaan</v>
          </cell>
          <cell r="R995" t="str">
            <v>(Rp.)</v>
          </cell>
          <cell r="S995" t="str">
            <v>(Rp.)</v>
          </cell>
        </row>
        <row r="996">
          <cell r="A996">
            <v>2</v>
          </cell>
          <cell r="C996" t="str">
            <v>Material dipadatkan dengan menggunakan</v>
          </cell>
        </row>
        <row r="997">
          <cell r="C997" t="str">
            <v>Tamper</v>
          </cell>
        </row>
        <row r="998">
          <cell r="A998">
            <v>3</v>
          </cell>
          <cell r="C998" t="str">
            <v>Pemadatan dilakukan lapis demi lapis</v>
          </cell>
          <cell r="G998" t="str">
            <v>t</v>
          </cell>
          <cell r="H998">
            <v>0.15</v>
          </cell>
          <cell r="I998" t="str">
            <v>M</v>
          </cell>
          <cell r="L998" t="str">
            <v>A.</v>
          </cell>
          <cell r="N998" t="str">
            <v>TENAGA</v>
          </cell>
        </row>
        <row r="999">
          <cell r="A999">
            <v>4</v>
          </cell>
          <cell r="C999" t="str">
            <v>Pekerjaan galian dilaksanakan oleh pekerja</v>
          </cell>
        </row>
        <row r="1000">
          <cell r="L1000" t="str">
            <v>1.</v>
          </cell>
          <cell r="N1000" t="str">
            <v>Pekerja</v>
          </cell>
          <cell r="O1000" t="str">
            <v>(L01)</v>
          </cell>
          <cell r="P1000" t="str">
            <v>Jam</v>
          </cell>
          <cell r="Q1000">
            <v>2.8</v>
          </cell>
          <cell r="R1000">
            <v>2857.14</v>
          </cell>
          <cell r="U1000">
            <v>7999.9919999999993</v>
          </cell>
        </row>
        <row r="1001">
          <cell r="A1001" t="str">
            <v>III.</v>
          </cell>
          <cell r="C1001" t="str">
            <v>PEMAKAIAN BAHAN, ALAT DAN TENAGA</v>
          </cell>
          <cell r="L1001" t="str">
            <v>2.</v>
          </cell>
          <cell r="N1001" t="str">
            <v>Mandor</v>
          </cell>
          <cell r="O1001" t="str">
            <v>(L03)</v>
          </cell>
          <cell r="P1001" t="str">
            <v>Jam</v>
          </cell>
          <cell r="Q1001">
            <v>0.7</v>
          </cell>
          <cell r="R1001">
            <v>3214.29</v>
          </cell>
          <cell r="U1001">
            <v>2250.0029999999997</v>
          </cell>
        </row>
        <row r="1002">
          <cell r="A1002" t="str">
            <v xml:space="preserve">   1.</v>
          </cell>
          <cell r="C1002" t="str">
            <v>BAHAN</v>
          </cell>
        </row>
        <row r="1003">
          <cell r="C1003" t="str">
            <v>Material Porous terdiri dari :</v>
          </cell>
        </row>
        <row r="1004">
          <cell r="C1004" t="str">
            <v>- Batu pecah</v>
          </cell>
          <cell r="G1004" t="str">
            <v>Bt</v>
          </cell>
          <cell r="H1004">
            <v>50</v>
          </cell>
          <cell r="I1004" t="str">
            <v>%</v>
          </cell>
          <cell r="Q1004" t="str">
            <v xml:space="preserve">JUMLAH HARGA TENAGA   </v>
          </cell>
          <cell r="U1004">
            <v>10249.994999999999</v>
          </cell>
        </row>
        <row r="1005">
          <cell r="C1005" t="str">
            <v>- Pasir</v>
          </cell>
          <cell r="G1005" t="str">
            <v>Ps</v>
          </cell>
          <cell r="H1005">
            <v>50</v>
          </cell>
          <cell r="I1005" t="str">
            <v>%</v>
          </cell>
        </row>
        <row r="1006">
          <cell r="L1006" t="str">
            <v>B.</v>
          </cell>
          <cell r="N1006" t="str">
            <v>BAHAN</v>
          </cell>
        </row>
        <row r="1007">
          <cell r="C1007" t="str">
            <v>Kebutuhan Batu Pecah / M3  = (Bt : 100) x Fh</v>
          </cell>
          <cell r="G1007" t="str">
            <v>(M03)</v>
          </cell>
          <cell r="H1007">
            <v>0.55000000000000004</v>
          </cell>
          <cell r="I1007" t="str">
            <v>M3</v>
          </cell>
          <cell r="J1007" t="str">
            <v xml:space="preserve"> Agregat Kasar</v>
          </cell>
        </row>
        <row r="1008">
          <cell r="C1008" t="str">
            <v>Kebutuhan Pasir / M3   =  (Ps : 100) x Fh</v>
          </cell>
          <cell r="G1008" t="str">
            <v>(M01)</v>
          </cell>
          <cell r="H1008">
            <v>0.55000000000000004</v>
          </cell>
          <cell r="I1008" t="str">
            <v>M3</v>
          </cell>
          <cell r="L1008" t="str">
            <v>1.</v>
          </cell>
          <cell r="N1008" t="str">
            <v>Agregat Kasar</v>
          </cell>
          <cell r="O1008" t="str">
            <v>(M03)</v>
          </cell>
          <cell r="P1008" t="str">
            <v>M3</v>
          </cell>
          <cell r="Q1008">
            <v>0.55000000000000004</v>
          </cell>
          <cell r="R1008">
            <v>222345.54558042376</v>
          </cell>
          <cell r="U1008">
            <v>122290.05006923308</v>
          </cell>
        </row>
        <row r="1009">
          <cell r="L1009" t="str">
            <v>2.</v>
          </cell>
          <cell r="N1009" t="str">
            <v>Pasir</v>
          </cell>
          <cell r="O1009" t="str">
            <v>(M01)</v>
          </cell>
          <cell r="P1009" t="str">
            <v>M3</v>
          </cell>
          <cell r="Q1009">
            <v>0.55000000000000004</v>
          </cell>
          <cell r="R1009">
            <v>54300</v>
          </cell>
          <cell r="U1009">
            <v>29865.000000000004</v>
          </cell>
        </row>
        <row r="1011">
          <cell r="A1011" t="str">
            <v xml:space="preserve">   2.</v>
          </cell>
          <cell r="C1011" t="str">
            <v>ALAT</v>
          </cell>
        </row>
        <row r="1012">
          <cell r="A1012" t="str">
            <v>2.a.</v>
          </cell>
          <cell r="C1012" t="str">
            <v>HAND COMPACTOR</v>
          </cell>
          <cell r="G1012" t="str">
            <v>(E25)</v>
          </cell>
        </row>
        <row r="1013">
          <cell r="C1013" t="str">
            <v>Kecepatan</v>
          </cell>
          <cell r="G1013" t="str">
            <v>v</v>
          </cell>
          <cell r="H1013">
            <v>0.25</v>
          </cell>
          <cell r="I1013" t="str">
            <v>Km / Jam</v>
          </cell>
        </row>
        <row r="1014">
          <cell r="C1014" t="str">
            <v>Efisiensi alat</v>
          </cell>
          <cell r="G1014" t="str">
            <v>Fa</v>
          </cell>
          <cell r="H1014">
            <v>0.83</v>
          </cell>
          <cell r="I1014" t="str">
            <v>-</v>
          </cell>
          <cell r="Q1014" t="str">
            <v xml:space="preserve">JUMLAH HARGA BAHAN   </v>
          </cell>
          <cell r="U1014">
            <v>152155.05006923308</v>
          </cell>
        </row>
        <row r="1015">
          <cell r="C1015" t="str">
            <v>Lebar pemadatan</v>
          </cell>
          <cell r="G1015" t="str">
            <v>b</v>
          </cell>
          <cell r="H1015">
            <v>0.25</v>
          </cell>
          <cell r="I1015" t="str">
            <v>M</v>
          </cell>
        </row>
        <row r="1016">
          <cell r="C1016" t="str">
            <v>Banyak lintasan</v>
          </cell>
          <cell r="G1016" t="str">
            <v>n</v>
          </cell>
          <cell r="H1016">
            <v>10</v>
          </cell>
          <cell r="I1016" t="str">
            <v>lintasan</v>
          </cell>
          <cell r="L1016" t="str">
            <v>C.</v>
          </cell>
          <cell r="N1016" t="str">
            <v>PERALATAN</v>
          </cell>
        </row>
        <row r="1018">
          <cell r="L1018" t="str">
            <v>1.</v>
          </cell>
          <cell r="N1018" t="str">
            <v>Tamper</v>
          </cell>
          <cell r="O1018" t="str">
            <v>(E25)</v>
          </cell>
          <cell r="P1018" t="str">
            <v>Jam</v>
          </cell>
          <cell r="Q1018">
            <v>1.285140562248996</v>
          </cell>
          <cell r="R1018">
            <v>18672.16854694486</v>
          </cell>
          <cell r="U1018">
            <v>23996.361184828736</v>
          </cell>
        </row>
        <row r="1019">
          <cell r="C1019" t="str">
            <v>Kap. Prod. / Jam   =</v>
          </cell>
          <cell r="D1019" t="str">
            <v>v x 1000 x Fa x b x t</v>
          </cell>
          <cell r="G1019" t="str">
            <v>Q1</v>
          </cell>
          <cell r="H1019">
            <v>0.77812499999999996</v>
          </cell>
          <cell r="I1019" t="str">
            <v xml:space="preserve">M3 / Jam </v>
          </cell>
          <cell r="L1019" t="str">
            <v>2.</v>
          </cell>
          <cell r="N1019" t="str">
            <v>Alat  Bantu</v>
          </cell>
          <cell r="P1019" t="str">
            <v>Ls</v>
          </cell>
          <cell r="Q1019">
            <v>1</v>
          </cell>
          <cell r="R1019">
            <v>500</v>
          </cell>
          <cell r="U1019">
            <v>500</v>
          </cell>
        </row>
        <row r="1020">
          <cell r="D1020" t="str">
            <v xml:space="preserve">        n</v>
          </cell>
        </row>
        <row r="1022">
          <cell r="C1022" t="str">
            <v>Koefisien Alat / M3</v>
          </cell>
          <cell r="D1022" t="str">
            <v xml:space="preserve"> =  1  :  Q1</v>
          </cell>
          <cell r="G1022" t="str">
            <v>(E25)</v>
          </cell>
          <cell r="H1022">
            <v>1.285140562248996</v>
          </cell>
          <cell r="I1022" t="str">
            <v>Jam</v>
          </cell>
        </row>
        <row r="1025">
          <cell r="A1025" t="str">
            <v>2.b.</v>
          </cell>
          <cell r="C1025" t="str">
            <v>ALAT  BANTU</v>
          </cell>
        </row>
        <row r="1026">
          <cell r="C1026" t="str">
            <v>Diperlukan alat-alat bantu kecil</v>
          </cell>
          <cell r="J1026" t="str">
            <v>Lump Sump</v>
          </cell>
          <cell r="Q1026" t="str">
            <v xml:space="preserve">JUMLAH HARGA PERALATAN   </v>
          </cell>
          <cell r="U1026">
            <v>24496.361184828736</v>
          </cell>
        </row>
        <row r="1027">
          <cell r="C1027" t="str">
            <v>- Sekop    =         3   buah</v>
          </cell>
        </row>
        <row r="1028">
          <cell r="C1028" t="str">
            <v>- Alat-alat kecil lain</v>
          </cell>
          <cell r="L1028" t="str">
            <v>D.</v>
          </cell>
          <cell r="N1028" t="str">
            <v>JUMLAH HARGA TENAGA, BAHAN DAN PERALATAN  ( A + B + C )</v>
          </cell>
          <cell r="U1028">
            <v>186901.40625406182</v>
          </cell>
        </row>
        <row r="1029">
          <cell r="L1029" t="str">
            <v>E.</v>
          </cell>
          <cell r="N1029" t="str">
            <v>OVERHEAD &amp; PROFIT</v>
          </cell>
          <cell r="P1029">
            <v>10</v>
          </cell>
          <cell r="Q1029" t="str">
            <v>%  x  D</v>
          </cell>
          <cell r="U1029">
            <v>18690.140625406184</v>
          </cell>
        </row>
        <row r="1030">
          <cell r="L1030" t="str">
            <v>F.</v>
          </cell>
          <cell r="N1030" t="str">
            <v>HARGA SATUAN PEKERJAAN  ( D + E )</v>
          </cell>
          <cell r="U1030">
            <v>205591.54687946799</v>
          </cell>
        </row>
        <row r="1031">
          <cell r="L1031" t="str">
            <v>Note: 1</v>
          </cell>
          <cell r="N1031" t="str">
            <v>SATUAN dapat berdasarkan atas jam operasi untuk Tenaga Kerja dan Peralatan, volume dan/atau ukuran</v>
          </cell>
        </row>
        <row r="1032">
          <cell r="N1032" t="str">
            <v>berat untuk bahan-bahan.</v>
          </cell>
        </row>
        <row r="1033">
          <cell r="L1033">
            <v>2</v>
          </cell>
          <cell r="N1033" t="str">
            <v>Kuantitas satuan adalah kuantitas setiap komponen untuk menyelesaikan satu satuan pekerjaan dari nomor</v>
          </cell>
        </row>
        <row r="1034">
          <cell r="N1034" t="str">
            <v>mata pembayaran.</v>
          </cell>
        </row>
        <row r="1035">
          <cell r="L1035">
            <v>3</v>
          </cell>
          <cell r="N1035" t="str">
            <v>Biaya satuan untuk peralatan sudah termasuk bahan bakar, bahan habis dipakai dan operator.</v>
          </cell>
        </row>
        <row r="1036">
          <cell r="L1036">
            <v>4</v>
          </cell>
          <cell r="N1036" t="str">
            <v>Biaya satuan sudah termasuk pengeluaran untuk seluruh pajak yang berkaitan (tetapi tidak termasuk PPN</v>
          </cell>
        </row>
        <row r="1037">
          <cell r="N1037" t="str">
            <v>yang dibayar dari kontrak) dan biaya-biaya lainnya.</v>
          </cell>
        </row>
        <row r="1038">
          <cell r="J1038" t="str">
            <v>Berlanjut ke halaman berikut</v>
          </cell>
        </row>
        <row r="1039">
          <cell r="A1039" t="str">
            <v>ITEM PEMBAYARAN NO.</v>
          </cell>
          <cell r="D1039" t="str">
            <v>:  2.4 (1)</v>
          </cell>
          <cell r="J1039" t="str">
            <v xml:space="preserve">Analisa EI-241 </v>
          </cell>
        </row>
        <row r="1040">
          <cell r="A1040" t="str">
            <v>JENIS PEKERJAAN</v>
          </cell>
          <cell r="D1040" t="str">
            <v>:  Timbunan Porous / Bhn.Penyaring</v>
          </cell>
        </row>
        <row r="1041">
          <cell r="A1041" t="str">
            <v>SATUAN PEMBAYARAN</v>
          </cell>
          <cell r="D1041" t="str">
            <v>:  M3</v>
          </cell>
          <cell r="J1041" t="str">
            <v xml:space="preserve">         URAIAN ANALISA HARGA SATUAN</v>
          </cell>
        </row>
        <row r="1042">
          <cell r="J1042" t="str">
            <v>Lanjutan</v>
          </cell>
        </row>
        <row r="1044">
          <cell r="A1044" t="str">
            <v>No.</v>
          </cell>
          <cell r="C1044" t="str">
            <v>U R A I A N</v>
          </cell>
          <cell r="G1044" t="str">
            <v>KODE</v>
          </cell>
          <cell r="H1044" t="str">
            <v>KOEF.</v>
          </cell>
          <cell r="I1044" t="str">
            <v>SATUAN</v>
          </cell>
          <cell r="J1044" t="str">
            <v>KETERANGAN</v>
          </cell>
        </row>
        <row r="1047">
          <cell r="A1047" t="str">
            <v xml:space="preserve">   3.</v>
          </cell>
          <cell r="C1047" t="str">
            <v>TENAGA</v>
          </cell>
        </row>
        <row r="1048">
          <cell r="C1048" t="str">
            <v>Produksi yang dapat diselesaikan / hari</v>
          </cell>
          <cell r="G1048" t="str">
            <v>Qt</v>
          </cell>
          <cell r="H1048">
            <v>10</v>
          </cell>
          <cell r="I1048" t="str">
            <v>M3</v>
          </cell>
        </row>
        <row r="1049">
          <cell r="C1049" t="str">
            <v>Kebutuhan tenaga :</v>
          </cell>
        </row>
        <row r="1050">
          <cell r="D1050" t="str">
            <v>- Pekerja</v>
          </cell>
          <cell r="G1050" t="str">
            <v>P</v>
          </cell>
          <cell r="H1050">
            <v>4</v>
          </cell>
          <cell r="I1050" t="str">
            <v>orang</v>
          </cell>
        </row>
        <row r="1051">
          <cell r="D1051" t="str">
            <v>- Mandor</v>
          </cell>
          <cell r="G1051" t="str">
            <v>M</v>
          </cell>
          <cell r="H1051">
            <v>1</v>
          </cell>
          <cell r="I1051" t="str">
            <v>orang</v>
          </cell>
        </row>
        <row r="1054">
          <cell r="C1054" t="str">
            <v>Koefisien tenaga / M3   :</v>
          </cell>
        </row>
        <row r="1055">
          <cell r="D1055" t="str">
            <v>- Pekerja</v>
          </cell>
          <cell r="E1055" t="str">
            <v>= (Tk x P) : Qt</v>
          </cell>
          <cell r="G1055" t="str">
            <v>(L01)</v>
          </cell>
          <cell r="H1055">
            <v>2.8</v>
          </cell>
          <cell r="I1055" t="str">
            <v>Jam</v>
          </cell>
        </row>
        <row r="1056">
          <cell r="D1056" t="str">
            <v>- Mandor</v>
          </cell>
          <cell r="E1056" t="str">
            <v>= (Tk x M) : Qt</v>
          </cell>
          <cell r="G1056" t="str">
            <v>(L03)</v>
          </cell>
          <cell r="H1056">
            <v>0.7</v>
          </cell>
          <cell r="I1056" t="str">
            <v>Jam</v>
          </cell>
        </row>
        <row r="1059">
          <cell r="A1059" t="str">
            <v>4.</v>
          </cell>
          <cell r="C1059" t="str">
            <v>HARGA DASAR SATUAN UPAH, BAHAN DAN ALAT</v>
          </cell>
        </row>
        <row r="1060">
          <cell r="C1060" t="str">
            <v>Lihat lampiran.</v>
          </cell>
        </row>
        <row r="1063">
          <cell r="A1063" t="str">
            <v>5.</v>
          </cell>
          <cell r="C1063" t="str">
            <v>ANALISA HARGA SATUAN PEKERJAAN</v>
          </cell>
        </row>
        <row r="1064">
          <cell r="C1064" t="str">
            <v>Lihat perhitungan dalam FORMULIR STANDAR UNTUK</v>
          </cell>
        </row>
        <row r="1065">
          <cell r="C1065" t="str">
            <v>PEREKEMAN ANALISA MASING-MASING HARGA</v>
          </cell>
        </row>
        <row r="1066">
          <cell r="C1066" t="str">
            <v>SATUAN.</v>
          </cell>
        </row>
        <row r="1067">
          <cell r="C1067" t="str">
            <v>Didapat Harga Satuan Pekerjaan :</v>
          </cell>
        </row>
        <row r="1069">
          <cell r="C1069" t="str">
            <v xml:space="preserve">Rp.  </v>
          </cell>
          <cell r="D1069">
            <v>205591.54687946799</v>
          </cell>
          <cell r="E1069" t="str">
            <v xml:space="preserve"> / M3</v>
          </cell>
        </row>
        <row r="1072">
          <cell r="A1072" t="str">
            <v>6.</v>
          </cell>
          <cell r="C1072" t="str">
            <v>WAKTU PELAKSANAAN YANG DIPERLUKAN</v>
          </cell>
        </row>
        <row r="1073">
          <cell r="C1073" t="str">
            <v>Masa Pelaksanaan :</v>
          </cell>
          <cell r="D1073" t="str">
            <v>. . . . . . . . . . . .</v>
          </cell>
          <cell r="E1073" t="str">
            <v>bulan</v>
          </cell>
        </row>
        <row r="1075">
          <cell r="A1075" t="str">
            <v>7.</v>
          </cell>
          <cell r="C1075" t="str">
            <v>VOLUME PEKERJAAN YANG DIPERLUKAN</v>
          </cell>
        </row>
        <row r="1076">
          <cell r="C1076" t="str">
            <v>Volume pekerjaan  :</v>
          </cell>
          <cell r="D1076">
            <v>1</v>
          </cell>
          <cell r="E1076" t="str">
            <v>M3</v>
          </cell>
        </row>
        <row r="1097">
          <cell r="T1097" t="str">
            <v xml:space="preserve">Analisa LI-242 </v>
          </cell>
        </row>
        <row r="1098">
          <cell r="A1098" t="str">
            <v>ITEM PEMBAYARAN NO.</v>
          </cell>
          <cell r="D1098" t="str">
            <v>:  2.4 (2)</v>
          </cell>
          <cell r="J1098" t="str">
            <v xml:space="preserve">Analisa LI-242 </v>
          </cell>
        </row>
        <row r="1099">
          <cell r="A1099" t="str">
            <v>JENIS PEKERJAAN</v>
          </cell>
          <cell r="D1099" t="str">
            <v>:  Anyaman Filter Plastik</v>
          </cell>
          <cell r="L1099" t="str">
            <v>FORMULIR STANDAR UNTUK</v>
          </cell>
        </row>
        <row r="1100">
          <cell r="A1100" t="str">
            <v>SATUAN PEMBAYARAN</v>
          </cell>
          <cell r="D1100" t="str">
            <v>:  M2</v>
          </cell>
          <cell r="J1100" t="str">
            <v xml:space="preserve">         URAIAN ANALISA HARGA SATUAN</v>
          </cell>
          <cell r="L1100" t="str">
            <v>PEREKAMAN ANALISA MASING-MASING HARGA SATUAN</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 LIST"/>
      <sheetName val="Rekap"/>
      <sheetName val="bq"/>
      <sheetName val="Upah dan Bahan"/>
      <sheetName val="Schdl (2)"/>
      <sheetName val="AHS Klas A"/>
      <sheetName val="AHS AC"/>
      <sheetName val="AHS ATB"/>
      <sheetName val="AHS K.250"/>
      <sheetName val="Met K250"/>
      <sheetName val="AHS Ps. Batu"/>
      <sheetName val="Met_Pas Batu"/>
      <sheetName val="AHS Cam Minor"/>
      <sheetName val="Met_ Minor"/>
      <sheetName val="On Site_Semen (2)"/>
      <sheetName val="ALAT (2)"/>
      <sheetName val="STAF"/>
      <sheetName val="SUB KON (2)"/>
      <sheetName val="3-DIV2"/>
      <sheetName val="Urai _ Guide Post"/>
      <sheetName val="Urai_Galian Tanah"/>
      <sheetName val="RAB"/>
      <sheetName val="plumbing"/>
      <sheetName val="10.1(3)"/>
      <sheetName val="RKP PLUMBING"/>
      <sheetName val="Analisa STR"/>
      <sheetName val="ANALISA PEK.UMUM"/>
      <sheetName val="BAHAN"/>
      <sheetName val="7.PEK-STRUKTUR"/>
      <sheetName val="AHS 6.1(2)"/>
      <sheetName val="Metode 8.1(5)"/>
      <sheetName val="div 8"/>
      <sheetName val="Cabling Data&amp;Power"/>
      <sheetName val="K"/>
      <sheetName val="DIV2"/>
      <sheetName val="DIV7"/>
      <sheetName val="Material"/>
      <sheetName val="rab me (by owner) "/>
      <sheetName val="BQ (by owner)"/>
      <sheetName val="rab me (fisik)"/>
      <sheetName val="L-Mechanical"/>
      <sheetName val="harga Satua Dasar"/>
      <sheetName val="BIIL ASLI"/>
      <sheetName val="sheet 2"/>
      <sheetName val="RAB ME"/>
      <sheetName val="BD Div-2 sd 7.6"/>
      <sheetName val="H.Satuan"/>
      <sheetName val="Schedule Yasmin"/>
      <sheetName val="Schedule Lingkar Barat"/>
      <sheetName val="Schedule Daan Mogot"/>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DIV3"/>
      <sheetName val="3-DIV2"/>
      <sheetName val="3-DIV4"/>
      <sheetName val="REKAPITULASI"/>
      <sheetName val="RAB"/>
      <sheetName val="HARGA SATUAN "/>
      <sheetName val="ANALISA"/>
      <sheetName val="HARGA BAHAN"/>
      <sheetName val="3_DIV3"/>
      <sheetName val="4-Basic Price"/>
      <sheetName val="Met_Pas Batu"/>
      <sheetName val="Met_ Minor"/>
      <sheetName val="BQ"/>
      <sheetName val="Peralatan"/>
      <sheetName val="RKP PLUMBING"/>
      <sheetName val="schedule"/>
      <sheetName val="3-DIV5"/>
      <sheetName val="upah"/>
      <sheetName val="5-Peralatan"/>
      <sheetName val="SCH (2)"/>
      <sheetName val="H.Satuan"/>
      <sheetName val="INPUT"/>
      <sheetName val="Data PJ"/>
      <sheetName val="D7(1)"/>
      <sheetName val="MOBILISASI"/>
      <sheetName val="5-ALAT(1)"/>
      <sheetName val="BASIC PRICE"/>
      <sheetName val="REKAP"/>
      <sheetName val="Exp Joint"/>
      <sheetName val="hrg_sat"/>
      <sheetName val="A) Psiapan"/>
      <sheetName val="Basic"/>
      <sheetName val="breakdown bq paket 9"/>
      <sheetName val="Hargasatuan"/>
      <sheetName val="AHS"/>
      <sheetName val="D6 ASBT"/>
      <sheetName val="Lalu Lintas"/>
      <sheetName val="DIV.7.7 sd 16"/>
      <sheetName val="%"/>
      <sheetName val="Agg A"/>
      <sheetName val="Agg S"/>
      <sheetName val="Agg B"/>
      <sheetName val="Agg C"/>
      <sheetName val="Terbilang"/>
      <sheetName val="BOQ"/>
      <sheetName val="DIV. 3"/>
      <sheetName val="Jembatan Sementara"/>
      <sheetName val="Schedul"/>
      <sheetName val="Time schedulle"/>
      <sheetName val="M+MC"/>
      <sheetName val="Muncraaat-4"/>
      <sheetName val="DivVI"/>
      <sheetName val="bahan"/>
      <sheetName val="harsat"/>
      <sheetName val="ARP-7"/>
      <sheetName val="Material"/>
      <sheetName val="Data"/>
      <sheetName val="Harga Dasar"/>
      <sheetName val="BoQ(APBN)"/>
      <sheetName val="Bhn"/>
      <sheetName val="MATERIAL ANALISA"/>
      <sheetName val="Divisi1"/>
      <sheetName val="Upah &amp; Bahan"/>
      <sheetName val="Sheet1"/>
      <sheetName val="Urai _ Guide Post"/>
      <sheetName val="Urai_Galian Tanah"/>
      <sheetName val="PConsCS"/>
      <sheetName val="name"/>
      <sheetName val="dia-in"/>
      <sheetName val="01A- RAB"/>
      <sheetName val="rab me (by owner) "/>
      <sheetName val="BQ (by owner)"/>
      <sheetName val="rab me (fisik)"/>
      <sheetName val="LISTRIK"/>
      <sheetName val="TENAGA"/>
      <sheetName val="Faktor Konversi"/>
      <sheetName val="HArga"/>
      <sheetName val="sat-jadi"/>
      <sheetName val="LUMP SUM"/>
      <sheetName val="PHU 05"/>
      <sheetName val="UPH,BHN,ALT"/>
      <sheetName val="Kuantitas &amp; Harga"/>
      <sheetName val="REKAP."/>
      <sheetName val="H-Satuan"/>
      <sheetName val="NYATDOK"/>
      <sheetName val="Marka"/>
      <sheetName val="Agregat Minor"/>
      <sheetName val="MU"/>
      <sheetName val="Isolasi Luar Dalam"/>
      <sheetName val="Isolasi Luar"/>
    </sheetNames>
    <sheetDataSet>
      <sheetData sheetId="0" refreshError="1">
        <row r="1">
          <cell r="A1" t="str">
            <v>ITEM PEMBAYARAN NO.</v>
          </cell>
          <cell r="D1" t="str">
            <v>:  3.1 (1)</v>
          </cell>
          <cell r="J1" t="str">
            <v>Analisa EI-311</v>
          </cell>
          <cell r="T1" t="str">
            <v>Analisa EI-311</v>
          </cell>
        </row>
        <row r="2">
          <cell r="A2" t="str">
            <v>JENIS PEKERJAAN</v>
          </cell>
          <cell r="D2" t="str">
            <v>:  Galian Biasa</v>
          </cell>
        </row>
        <row r="3">
          <cell r="A3" t="str">
            <v>SATUAN PEMBAYARAN</v>
          </cell>
          <cell r="D3" t="str">
            <v>:  M3</v>
          </cell>
          <cell r="H3" t="str">
            <v xml:space="preserve">         URAIAN ANALISA HARGA SATUAN</v>
          </cell>
          <cell r="L3" t="str">
            <v>FORMULIR STANDAR UNTUK</v>
          </cell>
        </row>
        <row r="4">
          <cell r="L4" t="str">
            <v>PEREKAMAN ANALISA MASING-MASING HARGA SATUAN</v>
          </cell>
        </row>
        <row r="5">
          <cell r="L5" t="str">
            <v/>
          </cell>
        </row>
        <row r="6">
          <cell r="A6" t="str">
            <v>No.</v>
          </cell>
          <cell r="C6" t="str">
            <v>U R A I A N</v>
          </cell>
          <cell r="G6" t="str">
            <v>KODE</v>
          </cell>
          <cell r="H6" t="str">
            <v>KOEF.</v>
          </cell>
          <cell r="I6" t="str">
            <v>SATUAN</v>
          </cell>
          <cell r="J6" t="str">
            <v>KETERANGAN</v>
          </cell>
        </row>
        <row r="8">
          <cell r="L8" t="str">
            <v>PROYEK</v>
          </cell>
          <cell r="O8" t="str">
            <v>:</v>
          </cell>
        </row>
        <row r="9">
          <cell r="A9" t="str">
            <v>I.</v>
          </cell>
          <cell r="C9" t="str">
            <v>ASUMSI</v>
          </cell>
          <cell r="L9" t="str">
            <v>No. PAKET KONTRAK</v>
          </cell>
          <cell r="O9" t="str">
            <v>:</v>
          </cell>
        </row>
        <row r="10">
          <cell r="A10">
            <v>1</v>
          </cell>
          <cell r="C10" t="str">
            <v>Menggunakan alat berat (cara mekanik)</v>
          </cell>
          <cell r="L10" t="str">
            <v>NAMA PAKET</v>
          </cell>
          <cell r="O10" t="str">
            <v>:</v>
          </cell>
        </row>
        <row r="11">
          <cell r="A11">
            <v>2</v>
          </cell>
          <cell r="C11" t="str">
            <v>Lokasi pekerjaan : sepanjang jalan</v>
          </cell>
          <cell r="L11" t="str">
            <v>PROP / KAB / KODYA</v>
          </cell>
          <cell r="O11" t="str">
            <v>:</v>
          </cell>
        </row>
        <row r="12">
          <cell r="A12">
            <v>3</v>
          </cell>
          <cell r="C12" t="str">
            <v>Kondisi Jalan   :  sedang / baik</v>
          </cell>
          <cell r="L12" t="str">
            <v>ITEM PEMBAYARAN NO.</v>
          </cell>
          <cell r="O12" t="str">
            <v>:  3.1 (1)</v>
          </cell>
          <cell r="R12" t="str">
            <v>PERKIRAAN VOL. PEK.</v>
          </cell>
          <cell r="T12" t="str">
            <v>:</v>
          </cell>
          <cell r="U12">
            <v>0</v>
          </cell>
        </row>
        <row r="13">
          <cell r="A13">
            <v>4</v>
          </cell>
          <cell r="C13" t="str">
            <v>Jam kerja efektif per-hari</v>
          </cell>
          <cell r="G13" t="str">
            <v>Tk</v>
          </cell>
          <cell r="H13">
            <v>7</v>
          </cell>
          <cell r="I13" t="str">
            <v>Jam</v>
          </cell>
          <cell r="L13" t="str">
            <v>JENIS PEKERJAAN</v>
          </cell>
          <cell r="O13" t="str">
            <v>:  Galian Biasa</v>
          </cell>
          <cell r="R13" t="str">
            <v>TOTAL HARGA (Rp.)</v>
          </cell>
          <cell r="T13" t="str">
            <v>:</v>
          </cell>
          <cell r="U13">
            <v>0</v>
          </cell>
        </row>
        <row r="14">
          <cell r="A14">
            <v>5</v>
          </cell>
          <cell r="C14" t="str">
            <v>Faktor pengembangan bahan</v>
          </cell>
          <cell r="G14" t="str">
            <v>Fk</v>
          </cell>
          <cell r="H14">
            <v>1.2</v>
          </cell>
          <cell r="I14" t="str">
            <v>-</v>
          </cell>
          <cell r="L14" t="str">
            <v>SATUAN PEMBAYARAN</v>
          </cell>
          <cell r="O14" t="str">
            <v>:  M3</v>
          </cell>
          <cell r="R14" t="str">
            <v>% THD. BIAYA PROYEK</v>
          </cell>
          <cell r="T14" t="str">
            <v>:</v>
          </cell>
          <cell r="U14" t="e">
            <v>#DIV/0!</v>
          </cell>
        </row>
        <row r="17">
          <cell r="A17" t="str">
            <v>II.</v>
          </cell>
          <cell r="C17" t="str">
            <v>URUTAN KERJA</v>
          </cell>
          <cell r="Q17" t="str">
            <v>PERKIRAAN</v>
          </cell>
          <cell r="R17" t="str">
            <v>HARGA</v>
          </cell>
          <cell r="S17" t="str">
            <v>JUMLAH</v>
          </cell>
        </row>
        <row r="18">
          <cell r="A18">
            <v>1</v>
          </cell>
          <cell r="C18" t="str">
            <v>Tanah yang dipotong umumnya berada disisi jalan</v>
          </cell>
          <cell r="L18" t="str">
            <v>NO.</v>
          </cell>
          <cell r="N18" t="str">
            <v>KOMPONEN</v>
          </cell>
          <cell r="P18" t="str">
            <v>SATUAN</v>
          </cell>
          <cell r="Q18" t="str">
            <v>KUANTITAS</v>
          </cell>
          <cell r="R18" t="str">
            <v>SATUAN</v>
          </cell>
          <cell r="S18" t="str">
            <v>HARGA</v>
          </cell>
        </row>
        <row r="19">
          <cell r="A19">
            <v>2</v>
          </cell>
          <cell r="C19" t="str">
            <v>Penggalian dilakukan dengan menggunakan Excavator</v>
          </cell>
          <cell r="R19" t="str">
            <v>(Rp.)</v>
          </cell>
          <cell r="S19" t="str">
            <v>(Rp.)</v>
          </cell>
        </row>
        <row r="20">
          <cell r="A20">
            <v>3</v>
          </cell>
          <cell r="C20" t="str">
            <v>Selanjutnya Excavator menuangkan material hasil</v>
          </cell>
        </row>
        <row r="21">
          <cell r="C21" t="str">
            <v>galian kedalam Dump Truck</v>
          </cell>
        </row>
        <row r="22">
          <cell r="A22">
            <v>4</v>
          </cell>
          <cell r="C22" t="str">
            <v>Dump Truck membuang material hasil galian keluar</v>
          </cell>
          <cell r="L22" t="str">
            <v>A.</v>
          </cell>
          <cell r="N22" t="str">
            <v>TENAGA</v>
          </cell>
        </row>
        <row r="23">
          <cell r="C23" t="str">
            <v>lokasi jalan sejauh</v>
          </cell>
          <cell r="G23" t="str">
            <v>L</v>
          </cell>
          <cell r="H23">
            <v>5</v>
          </cell>
          <cell r="I23" t="str">
            <v>Km</v>
          </cell>
        </row>
        <row r="24">
          <cell r="L24" t="str">
            <v>1.</v>
          </cell>
          <cell r="N24" t="str">
            <v>Pekerja</v>
          </cell>
          <cell r="O24" t="str">
            <v>(L01)</v>
          </cell>
          <cell r="P24" t="str">
            <v>Jam</v>
          </cell>
          <cell r="Q24">
            <v>1.6426998315844023E-2</v>
          </cell>
          <cell r="R24">
            <v>2857.14</v>
          </cell>
          <cell r="U24">
            <v>46.934233968130592</v>
          </cell>
        </row>
        <row r="25">
          <cell r="L25" t="str">
            <v>2.</v>
          </cell>
          <cell r="N25" t="str">
            <v>Mandor</v>
          </cell>
          <cell r="O25" t="str">
            <v>(L03)</v>
          </cell>
          <cell r="P25" t="str">
            <v>Jam</v>
          </cell>
          <cell r="Q25">
            <v>8.2134991579220114E-3</v>
          </cell>
          <cell r="R25">
            <v>3214.29</v>
          </cell>
          <cell r="U25">
            <v>26.400568208317143</v>
          </cell>
        </row>
        <row r="26">
          <cell r="A26" t="str">
            <v>III.</v>
          </cell>
          <cell r="C26" t="str">
            <v>PEMAKAIAN BAHAN, ALAT DAN TENAGA</v>
          </cell>
        </row>
        <row r="28">
          <cell r="A28" t="str">
            <v xml:space="preserve">   1.</v>
          </cell>
          <cell r="C28" t="str">
            <v>BAHAN</v>
          </cell>
          <cell r="Q28" t="str">
            <v xml:space="preserve">JUMLAH HARGA TENAGA   </v>
          </cell>
          <cell r="U28">
            <v>73.334802176447738</v>
          </cell>
        </row>
        <row r="29">
          <cell r="C29" t="str">
            <v>Tidak ada bahan yang diperlukan</v>
          </cell>
        </row>
        <row r="30">
          <cell r="L30" t="str">
            <v>B.</v>
          </cell>
          <cell r="N30" t="str">
            <v>BAHAN</v>
          </cell>
        </row>
        <row r="32">
          <cell r="A32" t="str">
            <v xml:space="preserve">   2.</v>
          </cell>
          <cell r="C32" t="str">
            <v>ALAT</v>
          </cell>
        </row>
        <row r="33">
          <cell r="A33" t="str">
            <v xml:space="preserve">   2.a.</v>
          </cell>
          <cell r="C33" t="str">
            <v>EXCAVATOR</v>
          </cell>
          <cell r="G33" t="str">
            <v>(E10)</v>
          </cell>
        </row>
        <row r="34">
          <cell r="C34" t="str">
            <v>Kapasitas Bucket</v>
          </cell>
          <cell r="G34" t="str">
            <v>V</v>
          </cell>
          <cell r="H34">
            <v>0.93</v>
          </cell>
          <cell r="I34" t="str">
            <v>M3</v>
          </cell>
        </row>
        <row r="35">
          <cell r="C35" t="str">
            <v>Faktor Bucket</v>
          </cell>
          <cell r="G35" t="str">
            <v>Fb</v>
          </cell>
          <cell r="H35">
            <v>1</v>
          </cell>
          <cell r="I35" t="str">
            <v>-</v>
          </cell>
        </row>
        <row r="36">
          <cell r="C36" t="str">
            <v>Faktor  Efisiensi alat</v>
          </cell>
          <cell r="G36" t="str">
            <v>Fa</v>
          </cell>
          <cell r="H36">
            <v>0.83</v>
          </cell>
          <cell r="I36" t="str">
            <v>-</v>
          </cell>
        </row>
        <row r="38">
          <cell r="C38" t="str">
            <v>Waktu siklus</v>
          </cell>
          <cell r="G38" t="str">
            <v>Ts1</v>
          </cell>
          <cell r="I38" t="str">
            <v>menit</v>
          </cell>
          <cell r="Q38" t="str">
            <v xml:space="preserve">JUMLAH HARGA BAHAN   </v>
          </cell>
          <cell r="U38">
            <v>0</v>
          </cell>
        </row>
        <row r="39">
          <cell r="C39" t="str">
            <v>- Menggali / memuat</v>
          </cell>
          <cell r="G39" t="str">
            <v>T1</v>
          </cell>
          <cell r="H39">
            <v>0.317</v>
          </cell>
          <cell r="I39" t="str">
            <v>menit</v>
          </cell>
        </row>
        <row r="40">
          <cell r="C40" t="str">
            <v>- Lain-lain</v>
          </cell>
          <cell r="G40" t="str">
            <v>T2</v>
          </cell>
          <cell r="I40" t="str">
            <v>menit</v>
          </cell>
        </row>
        <row r="41">
          <cell r="G41" t="str">
            <v>Ts1</v>
          </cell>
          <cell r="H41">
            <v>0.317</v>
          </cell>
          <cell r="I41" t="str">
            <v>menit</v>
          </cell>
          <cell r="L41" t="str">
            <v>C.</v>
          </cell>
          <cell r="N41" t="str">
            <v>PERALATAN</v>
          </cell>
        </row>
        <row r="43">
          <cell r="C43" t="str">
            <v>Kap. Prod. / jam =</v>
          </cell>
          <cell r="D43" t="str">
            <v>V  x Fb x Fa x 60</v>
          </cell>
          <cell r="G43" t="str">
            <v>Q1</v>
          </cell>
          <cell r="H43">
            <v>121.75078864353311</v>
          </cell>
          <cell r="I43" t="str">
            <v>M3/Jam</v>
          </cell>
          <cell r="L43" t="str">
            <v>1.</v>
          </cell>
          <cell r="N43" t="str">
            <v>Excavator</v>
          </cell>
          <cell r="O43" t="str">
            <v>(E10)</v>
          </cell>
          <cell r="P43" t="str">
            <v>Jam</v>
          </cell>
          <cell r="Q43">
            <v>8.2134991579220114E-3</v>
          </cell>
          <cell r="R43">
            <v>238185.05650827778</v>
          </cell>
          <cell r="U43">
            <v>1956.3327610603462</v>
          </cell>
        </row>
        <row r="44">
          <cell r="D44" t="str">
            <v>Ts1 x Fh</v>
          </cell>
          <cell r="L44" t="str">
            <v>2.</v>
          </cell>
          <cell r="N44" t="str">
            <v>Dump Truck</v>
          </cell>
          <cell r="O44" t="str">
            <v>(E08)</v>
          </cell>
          <cell r="P44" t="str">
            <v>Jam</v>
          </cell>
          <cell r="Q44">
            <v>5.7658071071694475E-2</v>
          </cell>
          <cell r="R44">
            <v>153645.58193291764</v>
          </cell>
          <cell r="U44">
            <v>8858.9078829400223</v>
          </cell>
        </row>
        <row r="45">
          <cell r="L45" t="str">
            <v>3.</v>
          </cell>
          <cell r="N45" t="str">
            <v>Alat Bantu</v>
          </cell>
          <cell r="P45" t="str">
            <v>Ls</v>
          </cell>
          <cell r="Q45">
            <v>1</v>
          </cell>
          <cell r="R45">
            <v>75</v>
          </cell>
          <cell r="U45">
            <v>75</v>
          </cell>
        </row>
        <row r="46">
          <cell r="C46" t="str">
            <v>Koefisien Alat / M3</v>
          </cell>
          <cell r="D46" t="str">
            <v xml:space="preserve"> =  1  :  Q1</v>
          </cell>
          <cell r="G46" t="str">
            <v>(E10)</v>
          </cell>
          <cell r="H46">
            <v>8.2134991579220114E-3</v>
          </cell>
          <cell r="I46" t="str">
            <v>Jam</v>
          </cell>
        </row>
        <row r="50">
          <cell r="A50" t="str">
            <v xml:space="preserve">   2.b.</v>
          </cell>
          <cell r="C50" t="str">
            <v>DUMP TRUCK</v>
          </cell>
          <cell r="G50" t="str">
            <v>(E08)</v>
          </cell>
          <cell r="Q50" t="str">
            <v xml:space="preserve">JUMLAH HARGA PERALATAN   </v>
          </cell>
          <cell r="U50">
            <v>10890.240644000369</v>
          </cell>
        </row>
        <row r="51">
          <cell r="C51" t="str">
            <v>Kapasitas bak</v>
          </cell>
          <cell r="G51" t="str">
            <v>V</v>
          </cell>
          <cell r="H51">
            <v>6.666666666666667</v>
          </cell>
          <cell r="I51" t="str">
            <v>M3</v>
          </cell>
        </row>
        <row r="52">
          <cell r="C52" t="str">
            <v>Faktor  efisiensi alat</v>
          </cell>
          <cell r="G52" t="str">
            <v>Fa</v>
          </cell>
          <cell r="H52">
            <v>0.83</v>
          </cell>
          <cell r="I52" t="str">
            <v>-</v>
          </cell>
          <cell r="L52" t="str">
            <v>D.</v>
          </cell>
          <cell r="N52" t="str">
            <v>JUMLAH HARGA TENAGA, BAHAN DAN PERALATAN  ( A + B + C )</v>
          </cell>
          <cell r="U52">
            <v>10963.575446176816</v>
          </cell>
        </row>
        <row r="53">
          <cell r="C53" t="str">
            <v>Kecepatan rata-rata bermuatan</v>
          </cell>
          <cell r="G53" t="str">
            <v>v1</v>
          </cell>
          <cell r="H53">
            <v>45</v>
          </cell>
          <cell r="I53" t="str">
            <v>KM/Jam</v>
          </cell>
          <cell r="L53" t="str">
            <v>E.</v>
          </cell>
          <cell r="N53" t="str">
            <v>OVERHEAD &amp; PROFIT</v>
          </cell>
          <cell r="P53">
            <v>10</v>
          </cell>
          <cell r="Q53" t="str">
            <v>%  x  D</v>
          </cell>
          <cell r="U53">
            <v>1096.3575446176817</v>
          </cell>
        </row>
        <row r="54">
          <cell r="C54" t="str">
            <v>Kecepatan rata-rata kosong</v>
          </cell>
          <cell r="G54" t="str">
            <v>v2</v>
          </cell>
          <cell r="H54">
            <v>60</v>
          </cell>
          <cell r="I54" t="str">
            <v>KM/Jam</v>
          </cell>
          <cell r="L54" t="str">
            <v>F.</v>
          </cell>
          <cell r="N54" t="str">
            <v>HARGA SATUAN PEKERJAAN  ( D + E )</v>
          </cell>
          <cell r="U54">
            <v>12059.932990794498</v>
          </cell>
        </row>
        <row r="55">
          <cell r="C55" t="str">
            <v>Waktu  siklus</v>
          </cell>
          <cell r="G55" t="str">
            <v>Ts2</v>
          </cell>
          <cell r="I55" t="str">
            <v>menit</v>
          </cell>
          <cell r="L55" t="str">
            <v>Note: 1</v>
          </cell>
          <cell r="N55" t="str">
            <v>SATUAN dapat berdasarkan atas jam operasi untuk Tenaga Kerja dan Peralatan, volume dan/atau ukuran</v>
          </cell>
        </row>
        <row r="56">
          <cell r="C56" t="str">
            <v>- Waktu tempuh isi</v>
          </cell>
          <cell r="E56" t="str">
            <v>=   (L  :  v1)  x  60</v>
          </cell>
          <cell r="G56" t="str">
            <v>T1</v>
          </cell>
          <cell r="H56">
            <v>6.6666666666666661</v>
          </cell>
          <cell r="I56" t="str">
            <v>menit</v>
          </cell>
          <cell r="N56" t="str">
            <v>berat untuk bahan-bahan.</v>
          </cell>
        </row>
        <row r="57">
          <cell r="C57" t="str">
            <v>- Waktu tempuh kosong</v>
          </cell>
          <cell r="E57" t="str">
            <v>=   (L  :  v2)  x  60</v>
          </cell>
          <cell r="G57" t="str">
            <v>T2</v>
          </cell>
          <cell r="H57">
            <v>5</v>
          </cell>
          <cell r="I57" t="str">
            <v>menit</v>
          </cell>
          <cell r="L57">
            <v>2</v>
          </cell>
          <cell r="N57" t="str">
            <v>Kuantitas satuan adalah kuantitas setiap komponen untuk menyelesaikan satu satuan pekerjaan dari nomor</v>
          </cell>
        </row>
        <row r="58">
          <cell r="C58" t="str">
            <v>- Muat</v>
          </cell>
          <cell r="E58" t="str">
            <v>=   (V  :  Q1) x 60</v>
          </cell>
          <cell r="G58" t="str">
            <v>T3</v>
          </cell>
          <cell r="H58">
            <v>3.2853996631688047</v>
          </cell>
          <cell r="I58" t="str">
            <v>menit</v>
          </cell>
          <cell r="N58" t="str">
            <v>mata pembayaran.</v>
          </cell>
        </row>
        <row r="59">
          <cell r="C59" t="str">
            <v>- Lain-lain</v>
          </cell>
          <cell r="G59" t="str">
            <v>T4</v>
          </cell>
          <cell r="H59">
            <v>1</v>
          </cell>
          <cell r="I59" t="str">
            <v>menit</v>
          </cell>
          <cell r="L59">
            <v>3</v>
          </cell>
          <cell r="N59" t="str">
            <v>Biaya satuan untuk peralatan sudah termasuk bahan bakar, bahan habis dipakai dan operator.</v>
          </cell>
        </row>
        <row r="60">
          <cell r="G60" t="str">
            <v>Ts2</v>
          </cell>
          <cell r="H60">
            <v>15.952066329835471</v>
          </cell>
          <cell r="I60" t="str">
            <v>menit</v>
          </cell>
          <cell r="L60">
            <v>4</v>
          </cell>
          <cell r="N60" t="str">
            <v>Biaya satuan sudah termasuk pengeluaran untuk seluruh pajak yang berkaitan (tetapi tidak termasuk PPN</v>
          </cell>
        </row>
        <row r="61">
          <cell r="J61" t="str">
            <v>Berlanjut ke halaman berikut</v>
          </cell>
          <cell r="N61" t="str">
            <v>yang dibayar dari kontrak) dan biaya-biaya lainnya.</v>
          </cell>
        </row>
        <row r="62">
          <cell r="A62" t="str">
            <v>ITEM PEMBAYARAN NO.</v>
          </cell>
          <cell r="D62" t="str">
            <v>:  3.1 (1)</v>
          </cell>
          <cell r="J62" t="str">
            <v>Analisa EI-311</v>
          </cell>
        </row>
        <row r="63">
          <cell r="A63" t="str">
            <v>JENIS PEKERJAAN</v>
          </cell>
          <cell r="D63" t="str">
            <v>:  Galian Biasa</v>
          </cell>
        </row>
        <row r="64">
          <cell r="A64" t="str">
            <v>SATUAN PEMBAYARAN</v>
          </cell>
          <cell r="D64" t="str">
            <v>:  M3</v>
          </cell>
          <cell r="H64" t="str">
            <v xml:space="preserve">         URAIAN ANALISA HARGA SATUAN</v>
          </cell>
        </row>
        <row r="65">
          <cell r="J65" t="str">
            <v>Lanjutan</v>
          </cell>
        </row>
        <row r="67">
          <cell r="A67" t="str">
            <v>No.</v>
          </cell>
          <cell r="C67" t="str">
            <v>U R A I A N</v>
          </cell>
          <cell r="G67" t="str">
            <v>KODE</v>
          </cell>
          <cell r="H67" t="str">
            <v>KOEF.</v>
          </cell>
          <cell r="I67" t="str">
            <v>SATUAN</v>
          </cell>
          <cell r="J67" t="str">
            <v>KETERANGAN</v>
          </cell>
        </row>
        <row r="70">
          <cell r="C70" t="str">
            <v>Kapasitas Produksi / Jam   =</v>
          </cell>
          <cell r="E70" t="str">
            <v>V x Fa x 60</v>
          </cell>
          <cell r="G70" t="str">
            <v>Q2</v>
          </cell>
          <cell r="H70">
            <v>17.343625643607776</v>
          </cell>
          <cell r="I70" t="str">
            <v xml:space="preserve">M3/Jam </v>
          </cell>
        </row>
        <row r="71">
          <cell r="E71" t="str">
            <v xml:space="preserve">    Fk x Ts2</v>
          </cell>
        </row>
        <row r="74">
          <cell r="C74" t="str">
            <v>Koefisien Alat / M3</v>
          </cell>
          <cell r="D74" t="str">
            <v xml:space="preserve"> =  1  :  Q2</v>
          </cell>
          <cell r="G74" t="str">
            <v>(E08)</v>
          </cell>
          <cell r="H74">
            <v>5.7658071071694475E-2</v>
          </cell>
          <cell r="I74" t="str">
            <v>Jam</v>
          </cell>
        </row>
        <row r="77">
          <cell r="A77" t="str">
            <v>2.d.</v>
          </cell>
          <cell r="C77" t="str">
            <v>ALAT  BANTU</v>
          </cell>
        </row>
        <row r="78">
          <cell r="C78" t="str">
            <v>Diperlukan alat-alat bantu kecil</v>
          </cell>
          <cell r="J78" t="str">
            <v>Lump Sump</v>
          </cell>
        </row>
        <row r="79">
          <cell r="C79" t="str">
            <v>- Sekop</v>
          </cell>
        </row>
        <row r="80">
          <cell r="C80" t="str">
            <v>- Keranjang</v>
          </cell>
        </row>
        <row r="82">
          <cell r="A82" t="str">
            <v xml:space="preserve">   3.</v>
          </cell>
          <cell r="C82" t="str">
            <v>TENAGA</v>
          </cell>
        </row>
        <row r="83">
          <cell r="C83" t="str">
            <v>Produksi menentukan : EXCAVATOR</v>
          </cell>
          <cell r="G83" t="str">
            <v>Q1</v>
          </cell>
          <cell r="H83">
            <v>121.75078864353311</v>
          </cell>
          <cell r="I83" t="str">
            <v>M3/Jam</v>
          </cell>
        </row>
        <row r="84">
          <cell r="C84" t="str">
            <v>Produksi Galian / hari  =  Tk x Q1</v>
          </cell>
          <cell r="G84" t="str">
            <v>Qt</v>
          </cell>
          <cell r="H84">
            <v>852.25552050473175</v>
          </cell>
          <cell r="I84" t="str">
            <v>M3</v>
          </cell>
        </row>
        <row r="85">
          <cell r="C85" t="str">
            <v>Kebutuhan tenaga :</v>
          </cell>
        </row>
        <row r="86">
          <cell r="D86" t="str">
            <v>- Pekerja</v>
          </cell>
          <cell r="G86" t="str">
            <v>P</v>
          </cell>
          <cell r="H86">
            <v>2</v>
          </cell>
          <cell r="I86" t="str">
            <v>orang</v>
          </cell>
        </row>
        <row r="87">
          <cell r="D87" t="str">
            <v>- Mandor</v>
          </cell>
          <cell r="G87" t="str">
            <v>M</v>
          </cell>
          <cell r="H87">
            <v>1</v>
          </cell>
          <cell r="I87" t="str">
            <v>orang</v>
          </cell>
        </row>
        <row r="89">
          <cell r="C89" t="str">
            <v>Koefisien tenaga / M3   :</v>
          </cell>
        </row>
        <row r="90">
          <cell r="D90" t="str">
            <v>- Pekerja</v>
          </cell>
          <cell r="E90" t="str">
            <v>= (Tk x P) : Qt</v>
          </cell>
          <cell r="G90" t="str">
            <v>(L01)</v>
          </cell>
          <cell r="H90">
            <v>1.6426998315844023E-2</v>
          </cell>
          <cell r="I90" t="str">
            <v>Jam</v>
          </cell>
        </row>
        <row r="91">
          <cell r="D91" t="str">
            <v>- Mandor</v>
          </cell>
          <cell r="E91" t="str">
            <v>= (Tk x M) : Qt</v>
          </cell>
          <cell r="G91" t="str">
            <v>(L03)</v>
          </cell>
          <cell r="H91">
            <v>8.2134991579220114E-3</v>
          </cell>
          <cell r="I91" t="str">
            <v>Jam</v>
          </cell>
        </row>
        <row r="93">
          <cell r="A93" t="str">
            <v>4.</v>
          </cell>
          <cell r="C93" t="str">
            <v>HARGA DASAR SATUAN UPAH, BAHAN DAN ALAT</v>
          </cell>
        </row>
        <row r="94">
          <cell r="C94" t="str">
            <v>Lihat lampiran.</v>
          </cell>
        </row>
        <row r="96">
          <cell r="A96" t="str">
            <v>5.</v>
          </cell>
          <cell r="C96" t="str">
            <v>ANALISA HARGA SATUAN PEKERJAAN</v>
          </cell>
        </row>
        <row r="97">
          <cell r="C97" t="str">
            <v>Lihat perhitungan dalam FORMULIR STANDAR UNTUK</v>
          </cell>
        </row>
        <row r="98">
          <cell r="C98" t="str">
            <v>PEREKEMAN ANALISA MASING-MASING HARGA</v>
          </cell>
        </row>
        <row r="99">
          <cell r="C99" t="str">
            <v>SATUAN.</v>
          </cell>
        </row>
        <row r="100">
          <cell r="C100" t="str">
            <v>Didapat Harga Satuan Pekerjaan :</v>
          </cell>
        </row>
        <row r="102">
          <cell r="C102" t="str">
            <v xml:space="preserve">Rp.  </v>
          </cell>
          <cell r="D102">
            <v>12059.932990794498</v>
          </cell>
          <cell r="E102" t="str">
            <v xml:space="preserve"> / M3</v>
          </cell>
        </row>
        <row r="105">
          <cell r="A105" t="str">
            <v>6.</v>
          </cell>
          <cell r="C105" t="str">
            <v>WAKTU PELAKSANAAN YANG DIPERLUKAN</v>
          </cell>
        </row>
        <row r="106">
          <cell r="C106" t="str">
            <v>Masa Pelaksanaan :</v>
          </cell>
          <cell r="D106" t="str">
            <v>. . . . . . . . . . . .</v>
          </cell>
          <cell r="E106" t="str">
            <v>bulan</v>
          </cell>
        </row>
        <row r="108">
          <cell r="A108" t="str">
            <v>7.</v>
          </cell>
          <cell r="C108" t="str">
            <v>VOLUME PEKERJAAN YANG DIPERLUKAN</v>
          </cell>
        </row>
        <row r="109">
          <cell r="C109" t="str">
            <v>Volume pekerjaan  :</v>
          </cell>
          <cell r="D109">
            <v>0</v>
          </cell>
          <cell r="E109" t="str">
            <v>M3</v>
          </cell>
        </row>
        <row r="121">
          <cell r="A121" t="str">
            <v>ITEM PEMBAYARAN NO.</v>
          </cell>
          <cell r="D121" t="str">
            <v>:  3.1 (2)</v>
          </cell>
          <cell r="J121" t="str">
            <v>Analisa EI-312</v>
          </cell>
          <cell r="T121" t="str">
            <v>Analisa EI-312</v>
          </cell>
        </row>
        <row r="122">
          <cell r="A122" t="str">
            <v>JENIS PEKERJAAN</v>
          </cell>
          <cell r="D122" t="str">
            <v>:  Galian Batu</v>
          </cell>
        </row>
        <row r="123">
          <cell r="A123" t="str">
            <v>SATUAN PEMBAYARAN</v>
          </cell>
          <cell r="D123" t="str">
            <v>:  M3</v>
          </cell>
          <cell r="H123" t="str">
            <v xml:space="preserve">         URAIAN ANALISA HARGA SATUAN</v>
          </cell>
          <cell r="L123" t="str">
            <v>FORMULIR STANDAR UNTUK</v>
          </cell>
        </row>
        <row r="124">
          <cell r="L124" t="str">
            <v>PEREKAMAN ANALISA MASING-MASING HARGA SATUAN</v>
          </cell>
        </row>
        <row r="125">
          <cell r="L125" t="str">
            <v/>
          </cell>
        </row>
        <row r="126">
          <cell r="A126" t="str">
            <v>No.</v>
          </cell>
          <cell r="C126" t="str">
            <v>U R A I A N</v>
          </cell>
          <cell r="G126" t="str">
            <v>KODE</v>
          </cell>
          <cell r="H126" t="str">
            <v>KOEF.</v>
          </cell>
          <cell r="I126" t="str">
            <v>SATUAN</v>
          </cell>
          <cell r="J126" t="str">
            <v>KETERANGAN</v>
          </cell>
        </row>
        <row r="128">
          <cell r="L128" t="str">
            <v>PROYEK</v>
          </cell>
          <cell r="O128" t="str">
            <v>:</v>
          </cell>
        </row>
        <row r="129">
          <cell r="A129" t="str">
            <v>I.</v>
          </cell>
          <cell r="C129" t="str">
            <v>ASUMSI</v>
          </cell>
          <cell r="L129" t="str">
            <v>No. PAKET KONTRAK</v>
          </cell>
          <cell r="O129" t="str">
            <v>:</v>
          </cell>
        </row>
        <row r="130">
          <cell r="A130">
            <v>1</v>
          </cell>
          <cell r="C130" t="str">
            <v>Pekerjaan dilakukan secara manual</v>
          </cell>
          <cell r="L130" t="str">
            <v>NAMA PAKET</v>
          </cell>
          <cell r="O130" t="str">
            <v>:</v>
          </cell>
        </row>
        <row r="131">
          <cell r="A131">
            <v>2</v>
          </cell>
          <cell r="C131" t="str">
            <v>Lokasi pekerjaan : sepanjang jalan</v>
          </cell>
          <cell r="L131" t="str">
            <v>PROP / KAB / KODYA</v>
          </cell>
          <cell r="O131" t="str">
            <v>:</v>
          </cell>
        </row>
        <row r="132">
          <cell r="A132">
            <v>3</v>
          </cell>
          <cell r="C132" t="str">
            <v>Kondisi Jalan   :  sedang / baik</v>
          </cell>
          <cell r="L132" t="str">
            <v>ITEM PEMBAYARAN NO.</v>
          </cell>
          <cell r="O132" t="str">
            <v>:  3.1 (2)</v>
          </cell>
          <cell r="R132" t="str">
            <v>PERKIRAAN VOL. PEK.</v>
          </cell>
          <cell r="T132" t="str">
            <v>:</v>
          </cell>
          <cell r="U132">
            <v>0</v>
          </cell>
        </row>
        <row r="133">
          <cell r="A133">
            <v>4</v>
          </cell>
          <cell r="C133" t="str">
            <v>Jam kerja efektif per-hari</v>
          </cell>
          <cell r="G133" t="str">
            <v>Tk</v>
          </cell>
          <cell r="H133">
            <v>7</v>
          </cell>
          <cell r="I133" t="str">
            <v>Jam</v>
          </cell>
          <cell r="L133" t="str">
            <v>JENIS PEKERJAAN</v>
          </cell>
          <cell r="O133" t="str">
            <v>:  Galian Batu</v>
          </cell>
          <cell r="R133" t="str">
            <v>TOTAL HARGA (Rp.)</v>
          </cell>
          <cell r="T133" t="str">
            <v>:</v>
          </cell>
          <cell r="U133">
            <v>0</v>
          </cell>
        </row>
        <row r="134">
          <cell r="A134">
            <v>5</v>
          </cell>
          <cell r="C134" t="str">
            <v>Faktor pengembangan bahan</v>
          </cell>
          <cell r="G134" t="str">
            <v>Fk</v>
          </cell>
          <cell r="H134">
            <v>1.2</v>
          </cell>
          <cell r="I134" t="str">
            <v>-</v>
          </cell>
          <cell r="L134" t="str">
            <v>SATUAN PEMBAYARAN</v>
          </cell>
          <cell r="O134" t="str">
            <v>:  M3</v>
          </cell>
          <cell r="R134" t="str">
            <v>% THD. BIAYA PROYEK</v>
          </cell>
          <cell r="T134" t="str">
            <v>:</v>
          </cell>
          <cell r="U134" t="e">
            <v>#DIV/0!</v>
          </cell>
        </row>
        <row r="137">
          <cell r="A137" t="str">
            <v>II.</v>
          </cell>
          <cell r="C137" t="str">
            <v>URUTAN KERJA</v>
          </cell>
          <cell r="Q137" t="str">
            <v>PERKIRAAN</v>
          </cell>
          <cell r="R137" t="str">
            <v>HARGA</v>
          </cell>
          <cell r="S137" t="str">
            <v>JUMLAH</v>
          </cell>
        </row>
        <row r="138">
          <cell r="A138">
            <v>1</v>
          </cell>
          <cell r="C138" t="str">
            <v>Batu yg dipotong umumnya berada disisi jalan</v>
          </cell>
          <cell r="L138" t="str">
            <v>NO.</v>
          </cell>
          <cell r="N138" t="str">
            <v>KOMPONEN</v>
          </cell>
          <cell r="P138" t="str">
            <v>SATUAN</v>
          </cell>
          <cell r="Q138" t="str">
            <v>KUANTITAS</v>
          </cell>
          <cell r="R138" t="str">
            <v>SATUAN</v>
          </cell>
          <cell r="S138" t="str">
            <v>HARGA</v>
          </cell>
        </row>
        <row r="139">
          <cell r="A139">
            <v>2</v>
          </cell>
          <cell r="C139" t="str">
            <v>Penggalian dilakukan dengan Excavator, Compresor</v>
          </cell>
          <cell r="R139" t="str">
            <v>(Rp.)</v>
          </cell>
          <cell r="S139" t="str">
            <v>(Rp.)</v>
          </cell>
        </row>
        <row r="140">
          <cell r="C140" t="str">
            <v>dan Jack Hammer, dimuat ke dlm Truk dengan Loader.</v>
          </cell>
        </row>
        <row r="141">
          <cell r="A141">
            <v>3</v>
          </cell>
          <cell r="C141" t="str">
            <v>Dump Truck membuang material hasil galian keluar</v>
          </cell>
        </row>
        <row r="142">
          <cell r="C142" t="str">
            <v>lokasi jalan sejauh :</v>
          </cell>
          <cell r="G142" t="str">
            <v>L</v>
          </cell>
          <cell r="H142">
            <v>5</v>
          </cell>
          <cell r="I142" t="str">
            <v>Km</v>
          </cell>
          <cell r="L142" t="str">
            <v>A.</v>
          </cell>
          <cell r="N142" t="str">
            <v>TENAGA</v>
          </cell>
        </row>
        <row r="144">
          <cell r="L144" t="str">
            <v>1.</v>
          </cell>
          <cell r="N144" t="str">
            <v>Pekerja</v>
          </cell>
          <cell r="O144" t="str">
            <v>(L01)</v>
          </cell>
          <cell r="P144" t="str">
            <v>Jam</v>
          </cell>
          <cell r="Q144">
            <v>1</v>
          </cell>
          <cell r="R144">
            <v>2857.14</v>
          </cell>
          <cell r="U144">
            <v>2857.14</v>
          </cell>
        </row>
        <row r="145">
          <cell r="L145" t="str">
            <v>2.</v>
          </cell>
          <cell r="N145" t="str">
            <v>Mandor</v>
          </cell>
          <cell r="O145" t="str">
            <v>(L03)</v>
          </cell>
          <cell r="P145" t="str">
            <v>Jam</v>
          </cell>
          <cell r="Q145">
            <v>0.125</v>
          </cell>
          <cell r="R145">
            <v>3214.29</v>
          </cell>
          <cell r="U145">
            <v>401.78625</v>
          </cell>
        </row>
        <row r="146">
          <cell r="A146" t="str">
            <v>III.</v>
          </cell>
          <cell r="C146" t="str">
            <v>PEMAKAIAN BAHAN, ALAT DAN TENAGA</v>
          </cell>
        </row>
        <row r="148">
          <cell r="A148" t="str">
            <v xml:space="preserve">   1.</v>
          </cell>
          <cell r="C148" t="str">
            <v>BAHAN</v>
          </cell>
          <cell r="Q148" t="str">
            <v xml:space="preserve">JUMLAH HARGA TENAGA   </v>
          </cell>
          <cell r="U148">
            <v>3258.92625</v>
          </cell>
        </row>
        <row r="149">
          <cell r="C149" t="str">
            <v>Tidak ada bahan yang diperlukan</v>
          </cell>
        </row>
        <row r="150">
          <cell r="L150" t="str">
            <v>B.</v>
          </cell>
          <cell r="N150" t="str">
            <v>BAHAN</v>
          </cell>
        </row>
        <row r="152">
          <cell r="A152" t="str">
            <v xml:space="preserve">   2.</v>
          </cell>
          <cell r="C152" t="str">
            <v>ALAT</v>
          </cell>
        </row>
        <row r="153">
          <cell r="A153" t="str">
            <v xml:space="preserve">   2.a.</v>
          </cell>
          <cell r="C153" t="str">
            <v>COMPRESSOR, EXCAVATOR, JACK HAMMER &amp; LOADER</v>
          </cell>
          <cell r="J153" t="str">
            <v xml:space="preserve"> (E05/26/10/15)</v>
          </cell>
        </row>
        <row r="154">
          <cell r="C154" t="str">
            <v>Produksi per jam</v>
          </cell>
          <cell r="G154" t="str">
            <v>Q1</v>
          </cell>
          <cell r="H154">
            <v>8</v>
          </cell>
          <cell r="I154" t="str">
            <v>M3 / Jam</v>
          </cell>
        </row>
        <row r="156">
          <cell r="C156" t="str">
            <v>Koefisien Alat / m3</v>
          </cell>
          <cell r="D156" t="str">
            <v xml:space="preserve"> =  1  :  Q1</v>
          </cell>
          <cell r="G156" t="str">
            <v>(E05/26)</v>
          </cell>
          <cell r="H156">
            <v>0.125</v>
          </cell>
          <cell r="I156" t="str">
            <v>Jam</v>
          </cell>
        </row>
        <row r="158">
          <cell r="Q158" t="str">
            <v xml:space="preserve">JUMLAH HARGA BAHAN   </v>
          </cell>
          <cell r="U158">
            <v>0</v>
          </cell>
        </row>
        <row r="159">
          <cell r="A159" t="str">
            <v xml:space="preserve">   2.b.</v>
          </cell>
          <cell r="C159" t="str">
            <v>DUMP TRUCK</v>
          </cell>
          <cell r="G159" t="str">
            <v>(E08)</v>
          </cell>
        </row>
        <row r="160">
          <cell r="C160" t="str">
            <v>Kapasitas bak</v>
          </cell>
          <cell r="G160" t="str">
            <v>V</v>
          </cell>
          <cell r="H160">
            <v>4</v>
          </cell>
          <cell r="I160" t="str">
            <v>M3</v>
          </cell>
          <cell r="L160" t="str">
            <v>C.</v>
          </cell>
          <cell r="N160" t="str">
            <v>PERALATAN</v>
          </cell>
        </row>
        <row r="161">
          <cell r="C161" t="str">
            <v>Faktor  efisiensi alat</v>
          </cell>
          <cell r="G161" t="str">
            <v>Fa</v>
          </cell>
          <cell r="H161">
            <v>0.83</v>
          </cell>
          <cell r="I161" t="str">
            <v>-</v>
          </cell>
          <cell r="L161" t="str">
            <v>1.</v>
          </cell>
          <cell r="N161" t="str">
            <v>Compressor</v>
          </cell>
          <cell r="O161" t="str">
            <v>(E05)</v>
          </cell>
          <cell r="P161" t="str">
            <v>Jam</v>
          </cell>
          <cell r="Q161">
            <v>0.125</v>
          </cell>
          <cell r="R161">
            <v>53840.365312835944</v>
          </cell>
          <cell r="U161">
            <v>6730.045664104493</v>
          </cell>
        </row>
        <row r="162">
          <cell r="C162" t="str">
            <v>Kecepatan rata-rata bermuatan</v>
          </cell>
          <cell r="G162" t="str">
            <v>v1</v>
          </cell>
          <cell r="H162">
            <v>45</v>
          </cell>
          <cell r="I162" t="str">
            <v>KM/Jam</v>
          </cell>
          <cell r="L162" t="str">
            <v>2.</v>
          </cell>
          <cell r="N162" t="str">
            <v>Jack Hammer</v>
          </cell>
          <cell r="O162" t="str">
            <v>(E26)</v>
          </cell>
          <cell r="P162" t="str">
            <v>Jam</v>
          </cell>
          <cell r="Q162">
            <v>0.125</v>
          </cell>
          <cell r="R162">
            <v>16417.550326811437</v>
          </cell>
          <cell r="U162">
            <v>2052.1937908514296</v>
          </cell>
        </row>
        <row r="163">
          <cell r="C163" t="str">
            <v>Kecepatan rata-rata kosong</v>
          </cell>
          <cell r="G163" t="str">
            <v>v2</v>
          </cell>
          <cell r="H163">
            <v>60</v>
          </cell>
          <cell r="I163" t="str">
            <v>KM/Jam</v>
          </cell>
          <cell r="L163" t="str">
            <v>3.</v>
          </cell>
          <cell r="N163" t="str">
            <v>Wheel Loader</v>
          </cell>
          <cell r="O163" t="str">
            <v>(E15)</v>
          </cell>
          <cell r="P163" t="str">
            <v>Jam</v>
          </cell>
          <cell r="Q163">
            <v>0.125</v>
          </cell>
          <cell r="R163">
            <v>163808.13869490434</v>
          </cell>
          <cell r="U163">
            <v>20476.017336863042</v>
          </cell>
        </row>
        <row r="164">
          <cell r="C164" t="str">
            <v>Waktu  siklus</v>
          </cell>
          <cell r="G164" t="str">
            <v>Ts1</v>
          </cell>
          <cell r="I164" t="str">
            <v>menit</v>
          </cell>
          <cell r="L164" t="str">
            <v>4.</v>
          </cell>
          <cell r="N164" t="str">
            <v>Excavator</v>
          </cell>
          <cell r="O164" t="str">
            <v>(E10)</v>
          </cell>
          <cell r="P164" t="str">
            <v>Jam</v>
          </cell>
          <cell r="Q164">
            <v>0.125</v>
          </cell>
          <cell r="R164">
            <v>238185.05650827778</v>
          </cell>
          <cell r="U164">
            <v>29773.132063534722</v>
          </cell>
        </row>
        <row r="165">
          <cell r="C165" t="str">
            <v>- Waktu tempuh isi</v>
          </cell>
          <cell r="E165" t="str">
            <v>=   (L  :  v1)  x  60</v>
          </cell>
          <cell r="G165" t="str">
            <v>T1</v>
          </cell>
          <cell r="H165">
            <v>6.6666666666666661</v>
          </cell>
          <cell r="I165" t="str">
            <v>menit</v>
          </cell>
          <cell r="L165">
            <v>5</v>
          </cell>
          <cell r="N165" t="str">
            <v>Dump Truck</v>
          </cell>
          <cell r="O165" t="str">
            <v>(E08)</v>
          </cell>
          <cell r="P165" t="str">
            <v>Jam</v>
          </cell>
          <cell r="Q165">
            <v>0.26305220883534136</v>
          </cell>
          <cell r="R165">
            <v>153645.58193291764</v>
          </cell>
          <cell r="U165">
            <v>40416.809705245403</v>
          </cell>
        </row>
        <row r="166">
          <cell r="C166" t="str">
            <v>- Waktu tempuh kosong</v>
          </cell>
          <cell r="E166" t="str">
            <v>=   (L  :  v2)  x  60</v>
          </cell>
          <cell r="G166" t="str">
            <v>T2</v>
          </cell>
          <cell r="H166">
            <v>5</v>
          </cell>
          <cell r="I166" t="str">
            <v>menit</v>
          </cell>
          <cell r="N166" t="str">
            <v>Alat  bantu</v>
          </cell>
          <cell r="P166" t="str">
            <v>Ls</v>
          </cell>
          <cell r="Q166">
            <v>1</v>
          </cell>
          <cell r="R166">
            <v>225</v>
          </cell>
          <cell r="U166">
            <v>225</v>
          </cell>
        </row>
        <row r="167">
          <cell r="C167" t="str">
            <v>- Muat</v>
          </cell>
          <cell r="E167" t="str">
            <v>=   (V  :  Q1) x 60</v>
          </cell>
          <cell r="G167" t="str">
            <v>T3</v>
          </cell>
          <cell r="H167">
            <v>30</v>
          </cell>
          <cell r="I167" t="str">
            <v>menit</v>
          </cell>
        </row>
        <row r="168">
          <cell r="C168" t="str">
            <v>- Lain-lain</v>
          </cell>
          <cell r="G168" t="str">
            <v>T4</v>
          </cell>
          <cell r="H168">
            <v>2</v>
          </cell>
          <cell r="I168" t="str">
            <v>menit</v>
          </cell>
        </row>
        <row r="169">
          <cell r="G169" t="str">
            <v>Ts1</v>
          </cell>
          <cell r="H169">
            <v>43.666666666666664</v>
          </cell>
          <cell r="I169" t="str">
            <v>menit</v>
          </cell>
        </row>
        <row r="170">
          <cell r="Q170" t="str">
            <v xml:space="preserve">JUMLAH HARGA PERALATAN   </v>
          </cell>
          <cell r="U170">
            <v>99673.198560599092</v>
          </cell>
        </row>
        <row r="172">
          <cell r="C172" t="str">
            <v>Kapasitas Produksi / Jam   =</v>
          </cell>
          <cell r="E172" t="str">
            <v>V x Fa x 60</v>
          </cell>
          <cell r="G172" t="str">
            <v>Q2</v>
          </cell>
          <cell r="H172">
            <v>3.8015267175572518</v>
          </cell>
          <cell r="I172" t="str">
            <v xml:space="preserve">M3 / Jam </v>
          </cell>
          <cell r="L172" t="str">
            <v>D.</v>
          </cell>
          <cell r="N172" t="str">
            <v>JUMLAH HARGA TENAGA, BAHAN DAN PERALATAN  ( A + B + C )</v>
          </cell>
          <cell r="U172">
            <v>102932.1248105991</v>
          </cell>
        </row>
        <row r="173">
          <cell r="E173" t="str">
            <v xml:space="preserve">    Fk x Ts1</v>
          </cell>
          <cell r="L173" t="str">
            <v>E.</v>
          </cell>
          <cell r="N173" t="str">
            <v>OVERHEAD &amp; PROFIT</v>
          </cell>
          <cell r="P173">
            <v>10</v>
          </cell>
          <cell r="Q173" t="str">
            <v>%  x  D</v>
          </cell>
          <cell r="U173">
            <v>10293.212481059911</v>
          </cell>
        </row>
        <row r="174">
          <cell r="L174" t="str">
            <v>F.</v>
          </cell>
          <cell r="N174" t="str">
            <v>HARGA SATUAN PEKERJAAN  ( D + E )</v>
          </cell>
          <cell r="U174">
            <v>113225.337291659</v>
          </cell>
        </row>
        <row r="175">
          <cell r="L175" t="str">
            <v>Note: 1</v>
          </cell>
          <cell r="N175" t="str">
            <v>SATUAN dapat berdasarkan atas jam operasi untuk Tenaga Kerja dan Peralatan, volume dan/atau ukuran</v>
          </cell>
        </row>
        <row r="176">
          <cell r="C176" t="str">
            <v>Koefisien Alat / m3</v>
          </cell>
          <cell r="D176" t="str">
            <v xml:space="preserve"> =  1  :  Q2</v>
          </cell>
          <cell r="G176" t="str">
            <v>(E08)</v>
          </cell>
          <cell r="H176">
            <v>0.26305220883534136</v>
          </cell>
          <cell r="I176" t="str">
            <v>Jam</v>
          </cell>
          <cell r="N176" t="str">
            <v>berat untuk bahan-bahan.</v>
          </cell>
        </row>
        <row r="177">
          <cell r="L177">
            <v>2</v>
          </cell>
          <cell r="N177" t="str">
            <v>Kuantitas satuan adalah kuantitas setiap komponen untuk menyelesaikan satu satuan pekerjaan dari nomor</v>
          </cell>
        </row>
        <row r="178">
          <cell r="N178" t="str">
            <v>mata pembayaran.</v>
          </cell>
        </row>
        <row r="179">
          <cell r="L179">
            <v>3</v>
          </cell>
          <cell r="N179" t="str">
            <v>Biaya satuan untuk peralatan sudah termasuk bahan bakar, bahan habis dipakai dan operator.</v>
          </cell>
        </row>
        <row r="180">
          <cell r="L180">
            <v>4</v>
          </cell>
          <cell r="N180" t="str">
            <v>Biaya satuan sudah termasuk pengeluaran untuk seluruh pajak yang berkaitan (tetapi tidak termasuk PPN</v>
          </cell>
        </row>
        <row r="181">
          <cell r="J181" t="str">
            <v>Berlanjut ke halaman berikut</v>
          </cell>
          <cell r="N181" t="str">
            <v>yang dibayar dari kontrak) dan biaya-biaya lainnya.</v>
          </cell>
        </row>
        <row r="182">
          <cell r="A182" t="str">
            <v>ITEM PEMBAYARAN NO.</v>
          </cell>
          <cell r="D182" t="str">
            <v>:  3.1 (2)</v>
          </cell>
          <cell r="J182" t="str">
            <v>Analisa EI-312</v>
          </cell>
        </row>
        <row r="183">
          <cell r="A183" t="str">
            <v>JENIS PEKERJAAN</v>
          </cell>
          <cell r="D183" t="str">
            <v>:  Galian Batu</v>
          </cell>
        </row>
        <row r="184">
          <cell r="A184" t="str">
            <v>SATUAN PEMBAYARAN</v>
          </cell>
          <cell r="D184" t="str">
            <v>:  M3</v>
          </cell>
          <cell r="H184" t="str">
            <v xml:space="preserve">         URAIAN ANALISA HARGA SATUAN</v>
          </cell>
        </row>
        <row r="185">
          <cell r="J185" t="str">
            <v>Lanjutan</v>
          </cell>
        </row>
        <row r="187">
          <cell r="A187" t="str">
            <v>No.</v>
          </cell>
          <cell r="C187" t="str">
            <v>U R A I A N</v>
          </cell>
          <cell r="G187" t="str">
            <v>KODE</v>
          </cell>
          <cell r="H187" t="str">
            <v>KOEF.</v>
          </cell>
          <cell r="I187" t="str">
            <v>SATUAN</v>
          </cell>
          <cell r="J187" t="str">
            <v>KETERANGAN</v>
          </cell>
        </row>
        <row r="190">
          <cell r="A190" t="str">
            <v>2.d.</v>
          </cell>
          <cell r="C190" t="str">
            <v>ALAT  BANTU</v>
          </cell>
        </row>
        <row r="191">
          <cell r="C191" t="str">
            <v>Diperlukan alat-alat bantu kecil</v>
          </cell>
          <cell r="J191" t="str">
            <v>Lump Sump</v>
          </cell>
        </row>
        <row r="192">
          <cell r="C192" t="str">
            <v>- Pahat / Tatah</v>
          </cell>
          <cell r="D192" t="str">
            <v>=  2  buah</v>
          </cell>
        </row>
        <row r="193">
          <cell r="C193" t="str">
            <v>- Palu Besar</v>
          </cell>
          <cell r="D193" t="str">
            <v>=  2  buah</v>
          </cell>
        </row>
        <row r="195">
          <cell r="A195" t="str">
            <v xml:space="preserve">   3.</v>
          </cell>
          <cell r="C195" t="str">
            <v>TENAGA</v>
          </cell>
        </row>
        <row r="196">
          <cell r="C196" t="str">
            <v>Produksi menentukan : JACK HAMMER</v>
          </cell>
          <cell r="G196" t="str">
            <v>Q1</v>
          </cell>
          <cell r="H196">
            <v>8</v>
          </cell>
          <cell r="I196" t="str">
            <v>M3/Jam</v>
          </cell>
        </row>
        <row r="197">
          <cell r="C197" t="str">
            <v>Produksi Galian / hari  =  Tk x Q1</v>
          </cell>
          <cell r="G197" t="str">
            <v>Qt</v>
          </cell>
          <cell r="H197">
            <v>56</v>
          </cell>
          <cell r="I197" t="str">
            <v>M3</v>
          </cell>
        </row>
        <row r="198">
          <cell r="C198" t="str">
            <v>Kebutuhan tenaga :</v>
          </cell>
        </row>
        <row r="199">
          <cell r="D199" t="str">
            <v>- Pekerja</v>
          </cell>
          <cell r="G199" t="str">
            <v>P</v>
          </cell>
          <cell r="H199">
            <v>8</v>
          </cell>
          <cell r="I199" t="str">
            <v>orang</v>
          </cell>
        </row>
        <row r="200">
          <cell r="D200" t="str">
            <v>- Mandor</v>
          </cell>
          <cell r="G200" t="str">
            <v>M</v>
          </cell>
          <cell r="H200">
            <v>1</v>
          </cell>
          <cell r="I200" t="str">
            <v>orang</v>
          </cell>
        </row>
        <row r="202">
          <cell r="C202" t="str">
            <v>Koefisien tenaga / M3   :</v>
          </cell>
        </row>
        <row r="203">
          <cell r="D203" t="str">
            <v>- Pekerja</v>
          </cell>
          <cell r="E203" t="str">
            <v>= (Tk x P) : Qt</v>
          </cell>
          <cell r="G203" t="str">
            <v>(L01)</v>
          </cell>
          <cell r="H203">
            <v>1</v>
          </cell>
          <cell r="I203" t="str">
            <v>Jam</v>
          </cell>
        </row>
        <row r="204">
          <cell r="D204" t="str">
            <v>- Mandor</v>
          </cell>
          <cell r="E204" t="str">
            <v>= (Tk x M) : Qt</v>
          </cell>
          <cell r="G204" t="str">
            <v>(L03)</v>
          </cell>
          <cell r="H204">
            <v>0.125</v>
          </cell>
          <cell r="I204" t="str">
            <v>Jam</v>
          </cell>
        </row>
        <row r="206">
          <cell r="A206" t="str">
            <v>4.</v>
          </cell>
          <cell r="C206" t="str">
            <v>HARGA DASAR SATUAN UPAH, BAHAN DAN ALAT</v>
          </cell>
        </row>
        <row r="207">
          <cell r="C207" t="str">
            <v>Lihat lampiran.</v>
          </cell>
        </row>
        <row r="209">
          <cell r="A209" t="str">
            <v>5.</v>
          </cell>
          <cell r="C209" t="str">
            <v>ANALISA HARGA SATUAN PEKERJAAN</v>
          </cell>
        </row>
        <row r="210">
          <cell r="C210" t="str">
            <v>Lihat perhitungan dalam FORMULIR STANDAR UNTUK</v>
          </cell>
        </row>
        <row r="211">
          <cell r="C211" t="str">
            <v>PEREKEMAN ANALISA MASING-MASING HARGA</v>
          </cell>
        </row>
        <row r="212">
          <cell r="C212" t="str">
            <v>SATUAN.</v>
          </cell>
        </row>
        <row r="213">
          <cell r="C213" t="str">
            <v>Didapat Harga Satuan Pekerjaan :</v>
          </cell>
        </row>
        <row r="215">
          <cell r="C215" t="str">
            <v xml:space="preserve">Rp.  </v>
          </cell>
          <cell r="D215">
            <v>113225.337291659</v>
          </cell>
          <cell r="E215" t="str">
            <v xml:space="preserve"> / M3</v>
          </cell>
        </row>
        <row r="218">
          <cell r="A218" t="str">
            <v>6.</v>
          </cell>
          <cell r="C218" t="str">
            <v>WAKTU PELAKSANAAN YANG DIPERLUKAN</v>
          </cell>
        </row>
        <row r="219">
          <cell r="C219" t="str">
            <v>Masa Pelaksanaan :</v>
          </cell>
          <cell r="D219" t="str">
            <v>. . . . . . . . . . . .</v>
          </cell>
          <cell r="E219" t="str">
            <v>bulan</v>
          </cell>
        </row>
        <row r="221">
          <cell r="A221" t="str">
            <v>7.</v>
          </cell>
          <cell r="C221" t="str">
            <v>VOLUME PEKERJAAN YANG DIPERLUKAN</v>
          </cell>
        </row>
        <row r="222">
          <cell r="C222" t="str">
            <v>Volume pekerjaan  :</v>
          </cell>
          <cell r="D222">
            <v>0</v>
          </cell>
          <cell r="E222" t="str">
            <v>M3</v>
          </cell>
        </row>
        <row r="255">
          <cell r="A255" t="str">
            <v>ITEM PEMBAYARAN NO.</v>
          </cell>
          <cell r="D255" t="str">
            <v>:  3.1 (6)</v>
          </cell>
          <cell r="J255" t="str">
            <v>Analisa EI-313</v>
          </cell>
          <cell r="T255" t="str">
            <v>Analisa EI-313</v>
          </cell>
        </row>
        <row r="256">
          <cell r="A256" t="str">
            <v>JENIS PEKERJAAN</v>
          </cell>
          <cell r="D256" t="str">
            <v>:  Galian Struktur dengan Kedalaman 0 - 2 M</v>
          </cell>
        </row>
        <row r="257">
          <cell r="A257" t="str">
            <v>SATUAN PEMBAYARAN</v>
          </cell>
          <cell r="D257" t="str">
            <v>:  M3</v>
          </cell>
          <cell r="H257" t="str">
            <v xml:space="preserve">         URAIAN ANALISA HARGA SATUAN</v>
          </cell>
          <cell r="L257" t="str">
            <v>FORMULIR STANDAR UNTUK</v>
          </cell>
        </row>
        <row r="258">
          <cell r="L258" t="str">
            <v>PEREKAMAN ANALISA MASING-MASING HARGA SATUAN</v>
          </cell>
        </row>
        <row r="259">
          <cell r="L259" t="str">
            <v/>
          </cell>
        </row>
        <row r="260">
          <cell r="A260" t="str">
            <v>No.</v>
          </cell>
          <cell r="C260" t="str">
            <v>U R A I A N</v>
          </cell>
          <cell r="G260" t="str">
            <v>KODE</v>
          </cell>
          <cell r="H260" t="str">
            <v>KOEF.</v>
          </cell>
          <cell r="I260" t="str">
            <v>SATUAN</v>
          </cell>
          <cell r="J260" t="str">
            <v>KETERANGAN</v>
          </cell>
        </row>
        <row r="262">
          <cell r="L262" t="str">
            <v>PROYEK</v>
          </cell>
          <cell r="O262" t="str">
            <v>:</v>
          </cell>
        </row>
        <row r="263">
          <cell r="A263" t="str">
            <v>I.</v>
          </cell>
          <cell r="C263" t="str">
            <v>ASUMSI</v>
          </cell>
          <cell r="L263" t="str">
            <v>No. PAKET KONTRAK</v>
          </cell>
          <cell r="O263" t="str">
            <v>:</v>
          </cell>
        </row>
        <row r="264">
          <cell r="A264">
            <v>1</v>
          </cell>
          <cell r="C264" t="str">
            <v>Pekerjaan dilakukan secara manual</v>
          </cell>
          <cell r="L264" t="str">
            <v>NAMA PAKET</v>
          </cell>
          <cell r="O264" t="str">
            <v>:</v>
          </cell>
        </row>
        <row r="265">
          <cell r="A265">
            <v>2</v>
          </cell>
          <cell r="C265" t="str">
            <v>Lokasi pekerjaan : sekitar jembatan</v>
          </cell>
          <cell r="L265" t="str">
            <v>PROP / KAB / KODYA</v>
          </cell>
          <cell r="O265" t="str">
            <v>:</v>
          </cell>
        </row>
        <row r="266">
          <cell r="A266">
            <v>3</v>
          </cell>
          <cell r="C266" t="str">
            <v>Kondisi Jalan   :  sedang / baik</v>
          </cell>
          <cell r="L266" t="str">
            <v>ITEM PEMBAYARAN NO.</v>
          </cell>
          <cell r="O266" t="str">
            <v>:  3.1 (6)</v>
          </cell>
          <cell r="R266" t="str">
            <v>PERKIRAAN VOL. PEK.</v>
          </cell>
          <cell r="T266" t="str">
            <v>:</v>
          </cell>
          <cell r="U266">
            <v>0</v>
          </cell>
        </row>
        <row r="267">
          <cell r="A267">
            <v>4</v>
          </cell>
          <cell r="C267" t="str">
            <v>Jam kerja efektif per-hari</v>
          </cell>
          <cell r="G267" t="str">
            <v>Tk</v>
          </cell>
          <cell r="H267">
            <v>7</v>
          </cell>
          <cell r="I267" t="str">
            <v>Jam</v>
          </cell>
          <cell r="L267" t="str">
            <v>JENIS PEKERJAAN</v>
          </cell>
          <cell r="O267" t="str">
            <v>:  Galian Struktur dengan Kedalaman 0 - 2 M</v>
          </cell>
          <cell r="R267" t="str">
            <v>TOTAL HARGA (Rp.)</v>
          </cell>
          <cell r="T267" t="str">
            <v>:</v>
          </cell>
          <cell r="U267">
            <v>0</v>
          </cell>
        </row>
        <row r="268">
          <cell r="A268">
            <v>5</v>
          </cell>
          <cell r="C268" t="str">
            <v>Faktor pengembangan bahan</v>
          </cell>
          <cell r="G268" t="str">
            <v>Fh</v>
          </cell>
          <cell r="H268">
            <v>1.2</v>
          </cell>
          <cell r="I268" t="str">
            <v>-</v>
          </cell>
          <cell r="L268" t="str">
            <v>SATUAN PEMBAYARAN</v>
          </cell>
          <cell r="O268" t="str">
            <v>:  M3</v>
          </cell>
          <cell r="R268" t="str">
            <v>% THD. BIAYA PROYEK</v>
          </cell>
          <cell r="T268" t="str">
            <v>:</v>
          </cell>
          <cell r="U268" t="e">
            <v>#DIV/0!</v>
          </cell>
        </row>
        <row r="269">
          <cell r="A269">
            <v>6</v>
          </cell>
          <cell r="C269" t="str">
            <v>Pengurugan kembali (backfill) untuk struktur</v>
          </cell>
          <cell r="G269" t="str">
            <v>Uk</v>
          </cell>
          <cell r="H269">
            <v>50</v>
          </cell>
          <cell r="I269" t="str">
            <v>%/M3</v>
          </cell>
        </row>
        <row r="271">
          <cell r="A271" t="str">
            <v>II.</v>
          </cell>
          <cell r="C271" t="str">
            <v>METHODE PELAKSANAAN</v>
          </cell>
          <cell r="Q271" t="str">
            <v>PERKIRAAN</v>
          </cell>
          <cell r="R271" t="str">
            <v>HARGA</v>
          </cell>
          <cell r="S271" t="str">
            <v>JUMLAH</v>
          </cell>
        </row>
        <row r="272">
          <cell r="A272">
            <v>1</v>
          </cell>
          <cell r="C272" t="str">
            <v>Tanah yang dipotong berada disekitar lokasi</v>
          </cell>
          <cell r="L272" t="str">
            <v>NO.</v>
          </cell>
          <cell r="N272" t="str">
            <v>KOMPONEN</v>
          </cell>
          <cell r="P272" t="str">
            <v>SATUAN</v>
          </cell>
          <cell r="Q272" t="str">
            <v>KUANTITAS</v>
          </cell>
          <cell r="R272" t="str">
            <v>SATUAN</v>
          </cell>
          <cell r="S272" t="str">
            <v>HARGA</v>
          </cell>
        </row>
        <row r="273">
          <cell r="A273">
            <v>2</v>
          </cell>
          <cell r="C273" t="str">
            <v>Penggalian dilakukan dengan menggunakan alat</v>
          </cell>
          <cell r="R273" t="str">
            <v>(Rp.)</v>
          </cell>
          <cell r="S273" t="str">
            <v>(Rp.)</v>
          </cell>
        </row>
        <row r="274">
          <cell r="C274" t="str">
            <v>Excavator</v>
          </cell>
        </row>
        <row r="275">
          <cell r="A275">
            <v>3</v>
          </cell>
          <cell r="C275" t="str">
            <v>Bulldozer mengangkut/mengusur hasil galian ke tempat</v>
          </cell>
        </row>
        <row r="276">
          <cell r="C276" t="str">
            <v>pembuangan di sekitar lokasi pekerjaan</v>
          </cell>
          <cell r="G276" t="str">
            <v>L</v>
          </cell>
          <cell r="H276">
            <v>0.1</v>
          </cell>
          <cell r="I276" t="str">
            <v>Km</v>
          </cell>
          <cell r="L276" t="str">
            <v>A.</v>
          </cell>
          <cell r="N276" t="str">
            <v>TENAGA</v>
          </cell>
        </row>
        <row r="278">
          <cell r="A278" t="str">
            <v>III.</v>
          </cell>
          <cell r="C278" t="str">
            <v>PEMAKAIAN BAHAN, ALAT DAN TENAGA</v>
          </cell>
          <cell r="L278" t="str">
            <v>1.</v>
          </cell>
          <cell r="N278" t="str">
            <v>Pekerja</v>
          </cell>
          <cell r="O278" t="str">
            <v>(L01)</v>
          </cell>
          <cell r="P278" t="str">
            <v>Jam</v>
          </cell>
          <cell r="Q278">
            <v>0.12701025480797318</v>
          </cell>
          <cell r="R278">
            <v>2857.14</v>
          </cell>
          <cell r="U278">
            <v>362.88607942205249</v>
          </cell>
        </row>
        <row r="279">
          <cell r="L279" t="str">
            <v>2.</v>
          </cell>
          <cell r="N279" t="str">
            <v>Mandor</v>
          </cell>
          <cell r="O279" t="str">
            <v>(L03)</v>
          </cell>
          <cell r="P279" t="str">
            <v>Jam</v>
          </cell>
          <cell r="Q279">
            <v>3.1752563701993294E-2</v>
          </cell>
          <cell r="R279">
            <v>3214.29</v>
          </cell>
          <cell r="U279">
            <v>102.06194798168002</v>
          </cell>
        </row>
        <row r="280">
          <cell r="A280" t="str">
            <v xml:space="preserve">   1.</v>
          </cell>
          <cell r="C280" t="str">
            <v>BAHAN</v>
          </cell>
        </row>
        <row r="281">
          <cell r="C281" t="str">
            <v>- Urugan Pilihan (untuk backfill)</v>
          </cell>
          <cell r="E281" t="str">
            <v>= Uk x 1M3</v>
          </cell>
          <cell r="G281" t="str">
            <v>(EI-322)</v>
          </cell>
          <cell r="H281">
            <v>0.5</v>
          </cell>
          <cell r="I281" t="str">
            <v>M3</v>
          </cell>
        </row>
        <row r="282">
          <cell r="Q282" t="str">
            <v xml:space="preserve">JUMLAH HARGA TENAGA   </v>
          </cell>
          <cell r="U282">
            <v>464.94802740373251</v>
          </cell>
        </row>
        <row r="283">
          <cell r="A283" t="str">
            <v xml:space="preserve">   2.</v>
          </cell>
          <cell r="C283" t="str">
            <v>ALAT</v>
          </cell>
        </row>
        <row r="284">
          <cell r="A284" t="str">
            <v xml:space="preserve">   2.a.</v>
          </cell>
          <cell r="C284" t="str">
            <v>EXCAVATOR</v>
          </cell>
          <cell r="G284" t="str">
            <v>(E10)</v>
          </cell>
          <cell r="L284" t="str">
            <v>B.</v>
          </cell>
          <cell r="N284" t="str">
            <v>BAHAN</v>
          </cell>
        </row>
        <row r="285">
          <cell r="C285" t="str">
            <v>Kapasitas Bucket</v>
          </cell>
          <cell r="G285" t="str">
            <v>V</v>
          </cell>
          <cell r="H285">
            <v>0.93</v>
          </cell>
          <cell r="I285" t="str">
            <v>M3</v>
          </cell>
        </row>
        <row r="286">
          <cell r="C286" t="str">
            <v>Faktor Bucket</v>
          </cell>
          <cell r="G286" t="str">
            <v>Fb</v>
          </cell>
          <cell r="H286">
            <v>0.9</v>
          </cell>
          <cell r="I286" t="str">
            <v>-</v>
          </cell>
          <cell r="L286" t="str">
            <v>1.</v>
          </cell>
          <cell r="N286" t="str">
            <v xml:space="preserve">Urugan Pilihan </v>
          </cell>
          <cell r="O286" t="str">
            <v>(EI-322)</v>
          </cell>
          <cell r="P286" t="str">
            <v>M3</v>
          </cell>
          <cell r="Q286">
            <v>0.5</v>
          </cell>
          <cell r="R286">
            <v>455558.60740011773</v>
          </cell>
          <cell r="U286">
            <v>227779.30370005887</v>
          </cell>
        </row>
        <row r="287">
          <cell r="C287" t="str">
            <v>Faktor  Efisiensi alat</v>
          </cell>
          <cell r="G287" t="str">
            <v>Fa</v>
          </cell>
          <cell r="H287">
            <v>0.83</v>
          </cell>
          <cell r="I287" t="str">
            <v>-</v>
          </cell>
        </row>
        <row r="288">
          <cell r="C288" t="str">
            <v>Faktor kedalaman</v>
          </cell>
          <cell r="G288" t="str">
            <v>Fd</v>
          </cell>
          <cell r="H288">
            <v>0.8</v>
          </cell>
          <cell r="I288" t="str">
            <v>-</v>
          </cell>
        </row>
        <row r="289">
          <cell r="C289" t="str">
            <v>Berat isi material</v>
          </cell>
          <cell r="G289" t="str">
            <v>Bim</v>
          </cell>
          <cell r="H289">
            <v>0.85</v>
          </cell>
          <cell r="I289" t="str">
            <v>-</v>
          </cell>
        </row>
        <row r="291">
          <cell r="C291" t="str">
            <v>Waktu siklus</v>
          </cell>
        </row>
        <row r="292">
          <cell r="C292" t="str">
            <v>- Menggali / memuat</v>
          </cell>
          <cell r="G292" t="str">
            <v>Te1</v>
          </cell>
          <cell r="H292">
            <v>0.5</v>
          </cell>
          <cell r="I292" t="str">
            <v>menit</v>
          </cell>
          <cell r="Q292" t="str">
            <v xml:space="preserve">JUMLAH HARGA BAHAN   </v>
          </cell>
          <cell r="U292">
            <v>227779.30370005887</v>
          </cell>
        </row>
        <row r="293">
          <cell r="C293" t="str">
            <v>- Lain-lain</v>
          </cell>
          <cell r="G293" t="str">
            <v>Te2</v>
          </cell>
          <cell r="H293">
            <v>0.25</v>
          </cell>
          <cell r="I293" t="str">
            <v>menit</v>
          </cell>
        </row>
        <row r="294">
          <cell r="G294" t="str">
            <v>Te</v>
          </cell>
          <cell r="H294">
            <v>0.75</v>
          </cell>
          <cell r="I294" t="str">
            <v>menit</v>
          </cell>
          <cell r="L294" t="str">
            <v>C.</v>
          </cell>
          <cell r="N294" t="str">
            <v>PERALATAN</v>
          </cell>
        </row>
        <row r="295">
          <cell r="L295" t="str">
            <v>1.</v>
          </cell>
          <cell r="N295" t="str">
            <v>Excavator</v>
          </cell>
          <cell r="O295" t="str">
            <v>(E10)</v>
          </cell>
          <cell r="P295" t="str">
            <v>Jam</v>
          </cell>
          <cell r="Q295">
            <v>3.1752563701993294E-2</v>
          </cell>
          <cell r="R295">
            <v>238185.05650827778</v>
          </cell>
          <cell r="U295">
            <v>7562.9861796419627</v>
          </cell>
        </row>
        <row r="296">
          <cell r="L296" t="str">
            <v>2.</v>
          </cell>
          <cell r="N296" t="str">
            <v>Bulldozer</v>
          </cell>
          <cell r="O296" t="str">
            <v>(E04)</v>
          </cell>
          <cell r="P296" t="str">
            <v>Jam</v>
          </cell>
          <cell r="Q296">
            <v>1.0213694283306062E-4</v>
          </cell>
          <cell r="R296">
            <v>256721.09983229413</v>
          </cell>
          <cell r="U296">
            <v>26.220708297611473</v>
          </cell>
        </row>
        <row r="297">
          <cell r="C297" t="str">
            <v>Kap. Prod. / jam =</v>
          </cell>
          <cell r="D297" t="str">
            <v>V  x Fb x Fa x Fd x Bim x 60</v>
          </cell>
          <cell r="G297" t="str">
            <v>Q1</v>
          </cell>
          <cell r="H297">
            <v>31.493520000000004</v>
          </cell>
          <cell r="I297" t="str">
            <v>M3/Jam</v>
          </cell>
          <cell r="L297" t="str">
            <v>3.</v>
          </cell>
          <cell r="N297" t="str">
            <v>Alat  bantu</v>
          </cell>
          <cell r="P297" t="str">
            <v>Ls</v>
          </cell>
          <cell r="Q297">
            <v>1</v>
          </cell>
          <cell r="R297">
            <v>100</v>
          </cell>
          <cell r="U297">
            <v>100</v>
          </cell>
        </row>
        <row r="298">
          <cell r="D298" t="str">
            <v>Te x Fh</v>
          </cell>
        </row>
        <row r="300">
          <cell r="C300" t="str">
            <v>Koefisien Alat / M3</v>
          </cell>
          <cell r="D300" t="str">
            <v xml:space="preserve"> =  1  :  Q1</v>
          </cell>
          <cell r="G300" t="str">
            <v>(E10)</v>
          </cell>
          <cell r="H300">
            <v>3.1752563701993294E-2</v>
          </cell>
          <cell r="I300" t="str">
            <v>Jam</v>
          </cell>
        </row>
        <row r="303">
          <cell r="A303" t="str">
            <v>2.a.</v>
          </cell>
          <cell r="C303" t="str">
            <v>BULLDOZER</v>
          </cell>
          <cell r="G303" t="str">
            <v>(E04)</v>
          </cell>
        </row>
        <row r="304">
          <cell r="C304" t="str">
            <v>Faktor pisau (blade)</v>
          </cell>
          <cell r="G304" t="str">
            <v>Fb</v>
          </cell>
          <cell r="H304">
            <v>1</v>
          </cell>
          <cell r="I304" t="str">
            <v>-</v>
          </cell>
          <cell r="Q304" t="str">
            <v xml:space="preserve">JUMLAH HARGA PERALATAN   </v>
          </cell>
          <cell r="U304">
            <v>7689.2068879395738</v>
          </cell>
        </row>
        <row r="305">
          <cell r="C305" t="str">
            <v>Faktor  efisiensi kerja</v>
          </cell>
          <cell r="G305" t="str">
            <v>Fa</v>
          </cell>
          <cell r="H305">
            <v>0.83</v>
          </cell>
          <cell r="I305" t="str">
            <v>-</v>
          </cell>
        </row>
        <row r="306">
          <cell r="C306" t="str">
            <v>Kecepatan mengupas</v>
          </cell>
          <cell r="G306" t="str">
            <v>Vf</v>
          </cell>
          <cell r="H306">
            <v>3</v>
          </cell>
          <cell r="I306" t="str">
            <v>Km/Jam</v>
          </cell>
          <cell r="L306" t="str">
            <v>D.</v>
          </cell>
          <cell r="N306" t="str">
            <v>JUMLAH HARGA TENAGA, BAHAN DAN PERALATAN  ( A + B + C )</v>
          </cell>
          <cell r="U306">
            <v>235933.45861540217</v>
          </cell>
        </row>
        <row r="307">
          <cell r="C307" t="str">
            <v>Kecepatan mundur</v>
          </cell>
          <cell r="G307" t="str">
            <v>Vr</v>
          </cell>
          <cell r="H307">
            <v>5</v>
          </cell>
          <cell r="I307" t="str">
            <v>Km/Jam</v>
          </cell>
          <cell r="L307" t="str">
            <v>E.</v>
          </cell>
          <cell r="N307" t="str">
            <v>OVERHEAD &amp; PROFIT</v>
          </cell>
          <cell r="P307">
            <v>10</v>
          </cell>
          <cell r="Q307" t="str">
            <v>%  x  D</v>
          </cell>
          <cell r="U307">
            <v>23593.34586154022</v>
          </cell>
        </row>
        <row r="308">
          <cell r="C308" t="str">
            <v>Kapasitas pisau</v>
          </cell>
          <cell r="G308" t="str">
            <v>q</v>
          </cell>
          <cell r="H308">
            <v>5.4</v>
          </cell>
          <cell r="I308" t="str">
            <v>M3</v>
          </cell>
          <cell r="L308" t="str">
            <v>F.</v>
          </cell>
          <cell r="N308" t="str">
            <v>HARGA SATUAN PEKERJAAN  ( D + E )</v>
          </cell>
          <cell r="U308">
            <v>259526.8044769424</v>
          </cell>
        </row>
        <row r="309">
          <cell r="A309" t="str">
            <v>`</v>
          </cell>
          <cell r="C309" t="str">
            <v>Faktor kemiringan (grade)</v>
          </cell>
          <cell r="G309" t="str">
            <v>Fm</v>
          </cell>
          <cell r="H309">
            <v>1</v>
          </cell>
          <cell r="L309" t="str">
            <v>Note: 1</v>
          </cell>
          <cell r="N309" t="str">
            <v>SATUAN dapat berdasarkan atas jam operasi untuk Tenaga Kerja dan Peralatan, volume dan/atau ukuran</v>
          </cell>
        </row>
        <row r="310">
          <cell r="N310" t="str">
            <v>berat untuk bahan-bahan.</v>
          </cell>
        </row>
        <row r="311">
          <cell r="L311">
            <v>2</v>
          </cell>
          <cell r="N311" t="str">
            <v>Kuantitas satuan adalah kuantitas setiap komponen untuk menyelesaikan satu satuan pekerjaan dari nomor</v>
          </cell>
        </row>
        <row r="312">
          <cell r="N312" t="str">
            <v>mata pembayaran.</v>
          </cell>
        </row>
        <row r="313">
          <cell r="L313">
            <v>3</v>
          </cell>
          <cell r="N313" t="str">
            <v>Biaya satuan untuk peralatan sudah termasuk bahan bakar, bahan habis dipakai dan operator.</v>
          </cell>
        </row>
        <row r="314">
          <cell r="L314">
            <v>4</v>
          </cell>
          <cell r="N314" t="str">
            <v>Biaya satuan sudah termasuk pengeluaran untuk seluruh pajak yang berkaitan (tetapi tidak termasuk PPN</v>
          </cell>
        </row>
        <row r="315">
          <cell r="J315" t="str">
            <v>Berlanjut ke halaman berikut</v>
          </cell>
          <cell r="N315" t="str">
            <v>yang dibayar dari kontrak) dan biaya-biaya lainnya.</v>
          </cell>
        </row>
        <row r="316">
          <cell r="A316" t="str">
            <v>ITEM PEMBAYARAN NO.</v>
          </cell>
          <cell r="D316" t="str">
            <v>:  3.1 (6)</v>
          </cell>
          <cell r="J316" t="str">
            <v>Analisa EI-313</v>
          </cell>
        </row>
        <row r="317">
          <cell r="A317" t="str">
            <v>JENIS PEKERJAAN</v>
          </cell>
          <cell r="D317" t="str">
            <v>:  Galian Struktur dengan Kedalaman 0 - 2 M</v>
          </cell>
        </row>
        <row r="318">
          <cell r="A318" t="str">
            <v>SATUAN PEMBAYARAN</v>
          </cell>
          <cell r="D318" t="str">
            <v>:  M3</v>
          </cell>
          <cell r="H318" t="str">
            <v xml:space="preserve">         URAIAN ANALISA HARGA SATUAN</v>
          </cell>
        </row>
        <row r="319">
          <cell r="J319" t="str">
            <v>Lanjutan</v>
          </cell>
        </row>
        <row r="321">
          <cell r="A321" t="str">
            <v>No.</v>
          </cell>
          <cell r="C321" t="str">
            <v>U R A I A N</v>
          </cell>
          <cell r="G321" t="str">
            <v>KODE</v>
          </cell>
          <cell r="H321" t="str">
            <v>KOEF.</v>
          </cell>
          <cell r="I321" t="str">
            <v>SATUAN</v>
          </cell>
          <cell r="J321" t="str">
            <v>KETERANGAN</v>
          </cell>
        </row>
        <row r="324">
          <cell r="C324" t="str">
            <v>Waktu Siklus</v>
          </cell>
          <cell r="G324" t="str">
            <v>Ts</v>
          </cell>
        </row>
        <row r="325">
          <cell r="C325" t="str">
            <v>- Waktu gusur</v>
          </cell>
          <cell r="D325" t="str">
            <v>= l / Vf</v>
          </cell>
          <cell r="G325" t="str">
            <v>T1</v>
          </cell>
          <cell r="H325">
            <v>1.6666666666666666E-2</v>
          </cell>
          <cell r="I325" t="str">
            <v>menit</v>
          </cell>
        </row>
        <row r="326">
          <cell r="C326" t="str">
            <v>- Waktu kembali</v>
          </cell>
          <cell r="D326" t="str">
            <v>= l / Vr</v>
          </cell>
          <cell r="G326" t="str">
            <v>T2</v>
          </cell>
          <cell r="H326">
            <v>0.01</v>
          </cell>
          <cell r="I326" t="str">
            <v>menit</v>
          </cell>
        </row>
        <row r="327">
          <cell r="C327" t="str">
            <v>- Waktu lain-lain</v>
          </cell>
          <cell r="G327" t="str">
            <v>T3</v>
          </cell>
          <cell r="H327">
            <v>8.0000000000000004E-4</v>
          </cell>
          <cell r="I327" t="str">
            <v>menit</v>
          </cell>
        </row>
        <row r="328">
          <cell r="G328" t="str">
            <v>Ts</v>
          </cell>
          <cell r="H328">
            <v>2.7466666666666664E-2</v>
          </cell>
          <cell r="I328" t="str">
            <v>menit</v>
          </cell>
        </row>
        <row r="330">
          <cell r="C330" t="str">
            <v>Kapasitas Produksi / Jam   =</v>
          </cell>
          <cell r="E330" t="str">
            <v>q x Fb x Fm x Fa x 60/Ts</v>
          </cell>
          <cell r="G330" t="str">
            <v>Q2</v>
          </cell>
          <cell r="H330">
            <v>9790.7766990291275</v>
          </cell>
          <cell r="I330" t="str">
            <v>M3</v>
          </cell>
        </row>
        <row r="333">
          <cell r="C333" t="str">
            <v>Koefisien Alat / M3</v>
          </cell>
          <cell r="D333" t="str">
            <v xml:space="preserve"> =  1  :  Q2</v>
          </cell>
          <cell r="G333" t="str">
            <v>(E04)</v>
          </cell>
          <cell r="H333">
            <v>1.0213694283306062E-4</v>
          </cell>
          <cell r="I333" t="str">
            <v>Jam</v>
          </cell>
        </row>
        <row r="336">
          <cell r="A336" t="str">
            <v>2.d.</v>
          </cell>
          <cell r="C336" t="str">
            <v>ALAT  BANTU</v>
          </cell>
        </row>
        <row r="337">
          <cell r="C337" t="str">
            <v>Diperlukan alat-alat bantu kecil</v>
          </cell>
          <cell r="J337" t="str">
            <v>Lump Sump</v>
          </cell>
        </row>
        <row r="338">
          <cell r="C338" t="str">
            <v>- Pacul</v>
          </cell>
          <cell r="D338" t="str">
            <v>=  2  buah</v>
          </cell>
        </row>
        <row r="339">
          <cell r="C339" t="str">
            <v>- Sekop</v>
          </cell>
          <cell r="D339" t="str">
            <v>=  2  buah</v>
          </cell>
        </row>
        <row r="342">
          <cell r="A342" t="str">
            <v xml:space="preserve">   3.</v>
          </cell>
          <cell r="C342" t="str">
            <v>TENAGA</v>
          </cell>
        </row>
        <row r="343">
          <cell r="C343" t="str">
            <v>Produksi menentukan : EXCAVATOR</v>
          </cell>
          <cell r="G343" t="str">
            <v>Q1</v>
          </cell>
          <cell r="H343">
            <v>31.493520000000004</v>
          </cell>
          <cell r="I343" t="str">
            <v>M3/Jam</v>
          </cell>
        </row>
        <row r="344">
          <cell r="C344" t="str">
            <v>Produksi Galian / hari  =  Tk x Q1</v>
          </cell>
          <cell r="G344" t="str">
            <v>Qt</v>
          </cell>
          <cell r="H344">
            <v>220.45464000000004</v>
          </cell>
          <cell r="I344" t="str">
            <v>M3</v>
          </cell>
        </row>
        <row r="345">
          <cell r="C345" t="str">
            <v>Kebutuhan tenaga :</v>
          </cell>
        </row>
        <row r="346">
          <cell r="D346" t="str">
            <v>- Pekerja</v>
          </cell>
          <cell r="G346" t="str">
            <v>P</v>
          </cell>
          <cell r="H346">
            <v>4</v>
          </cell>
          <cell r="I346" t="str">
            <v>orang</v>
          </cell>
        </row>
        <row r="347">
          <cell r="D347" t="str">
            <v>- Mandor</v>
          </cell>
          <cell r="G347" t="str">
            <v>M</v>
          </cell>
          <cell r="H347">
            <v>1</v>
          </cell>
          <cell r="I347" t="str">
            <v>orang</v>
          </cell>
        </row>
        <row r="349">
          <cell r="C349" t="str">
            <v>Koefisien tenaga / M3   :</v>
          </cell>
        </row>
        <row r="350">
          <cell r="D350" t="str">
            <v>- Pekerja</v>
          </cell>
          <cell r="E350" t="str">
            <v>= (Tk x P) : Qt</v>
          </cell>
          <cell r="G350" t="str">
            <v>(L01)</v>
          </cell>
          <cell r="H350">
            <v>0.12701025480797318</v>
          </cell>
          <cell r="I350" t="str">
            <v>Jam</v>
          </cell>
        </row>
        <row r="351">
          <cell r="D351" t="str">
            <v>- Mandor</v>
          </cell>
          <cell r="E351" t="str">
            <v>= (Tk x M) : Qt</v>
          </cell>
          <cell r="G351" t="str">
            <v>(L03)</v>
          </cell>
          <cell r="H351">
            <v>3.1752563701993294E-2</v>
          </cell>
          <cell r="I351" t="str">
            <v>Jam</v>
          </cell>
        </row>
        <row r="353">
          <cell r="A353" t="str">
            <v>4.</v>
          </cell>
          <cell r="C353" t="str">
            <v>HARGA DASAR SATUAN UPAH, BAHAN DAN ALAT</v>
          </cell>
        </row>
        <row r="354">
          <cell r="C354" t="str">
            <v>Lihat lampiran.</v>
          </cell>
        </row>
        <row r="356">
          <cell r="A356" t="str">
            <v>5.</v>
          </cell>
          <cell r="C356" t="str">
            <v>ANALISA HARGA SATUAN PEKERJAAN</v>
          </cell>
        </row>
        <row r="357">
          <cell r="C357" t="str">
            <v>Lihat perhitungan dalam FORMULIR STANDAR UNTUK</v>
          </cell>
        </row>
        <row r="358">
          <cell r="C358" t="str">
            <v>PEREKEMAN ANALISA MASING-MASING HARGA</v>
          </cell>
        </row>
        <row r="359">
          <cell r="C359" t="str">
            <v>SATUAN.</v>
          </cell>
        </row>
        <row r="360">
          <cell r="C360" t="str">
            <v>Didapat Harga Satuan Pekerjaan :</v>
          </cell>
        </row>
        <row r="362">
          <cell r="C362" t="str">
            <v xml:space="preserve">Rp.  </v>
          </cell>
          <cell r="D362">
            <v>259526.8044769424</v>
          </cell>
          <cell r="E362" t="str">
            <v xml:space="preserve"> / M3</v>
          </cell>
        </row>
        <row r="365">
          <cell r="A365" t="str">
            <v>6.</v>
          </cell>
          <cell r="C365" t="str">
            <v>WAKTU PELAKSANAAN YANG DIPERLUKAN</v>
          </cell>
        </row>
        <row r="366">
          <cell r="C366" t="str">
            <v>Masa Pelaksanaan :</v>
          </cell>
          <cell r="D366" t="str">
            <v>. . . . . . . . . . . .</v>
          </cell>
          <cell r="E366" t="str">
            <v>bulan</v>
          </cell>
        </row>
        <row r="368">
          <cell r="A368" t="str">
            <v>7.</v>
          </cell>
          <cell r="C368" t="str">
            <v>VOLUME PEKERJAAN YANG DIPERLUKAN</v>
          </cell>
        </row>
        <row r="369">
          <cell r="C369" t="str">
            <v>Volume pekerjaan  :</v>
          </cell>
          <cell r="D369">
            <v>102.06194798168002</v>
          </cell>
          <cell r="E369" t="str">
            <v>M3</v>
          </cell>
        </row>
        <row r="375">
          <cell r="A375" t="str">
            <v>ITEM PEMBAYARAN NO.</v>
          </cell>
          <cell r="D375" t="str">
            <v>:  3.1 (7)</v>
          </cell>
          <cell r="J375" t="str">
            <v>Analisa EI-314</v>
          </cell>
          <cell r="T375" t="str">
            <v>Analisa EI-314</v>
          </cell>
        </row>
        <row r="376">
          <cell r="A376" t="str">
            <v>JENIS PEKERJAAN</v>
          </cell>
          <cell r="D376" t="str">
            <v>:  Galian Struktur dengan Kedalaman 2 - 4 M</v>
          </cell>
        </row>
        <row r="377">
          <cell r="A377" t="str">
            <v>SATUAN PEMBAYARAN</v>
          </cell>
          <cell r="D377" t="str">
            <v>:  M3</v>
          </cell>
          <cell r="H377" t="str">
            <v xml:space="preserve">         URAIAN ANALISA HARGA SATUAN</v>
          </cell>
          <cell r="L377" t="str">
            <v>FORMULIR STANDAR UNTUK</v>
          </cell>
        </row>
        <row r="378">
          <cell r="L378" t="str">
            <v>PEREKAMAN ANALISA MASING-MASING HARGA SATUAN</v>
          </cell>
        </row>
        <row r="379">
          <cell r="L379" t="str">
            <v/>
          </cell>
        </row>
        <row r="380">
          <cell r="A380" t="str">
            <v>No.</v>
          </cell>
          <cell r="C380" t="str">
            <v>U R A I A N</v>
          </cell>
          <cell r="G380" t="str">
            <v>KODE</v>
          </cell>
          <cell r="H380" t="str">
            <v>KOEF.</v>
          </cell>
          <cell r="I380" t="str">
            <v>SATUAN</v>
          </cell>
          <cell r="J380" t="str">
            <v>KETERANGAN</v>
          </cell>
        </row>
        <row r="382">
          <cell r="L382" t="str">
            <v>PROYEK</v>
          </cell>
          <cell r="O382" t="str">
            <v>:</v>
          </cell>
        </row>
        <row r="383">
          <cell r="A383" t="str">
            <v>I.</v>
          </cell>
          <cell r="C383" t="str">
            <v>ASUMSI</v>
          </cell>
          <cell r="L383" t="str">
            <v>No. PAKET KONTRAK</v>
          </cell>
          <cell r="O383" t="str">
            <v>:</v>
          </cell>
        </row>
        <row r="384">
          <cell r="A384">
            <v>1</v>
          </cell>
          <cell r="C384" t="str">
            <v>Pekerjaan dilakukan secara manual</v>
          </cell>
          <cell r="L384" t="str">
            <v>NAMA PAKET</v>
          </cell>
          <cell r="O384" t="str">
            <v>:</v>
          </cell>
        </row>
        <row r="385">
          <cell r="A385">
            <v>2</v>
          </cell>
          <cell r="C385" t="str">
            <v>Lokasi pekerjaan : sekitar jembatan</v>
          </cell>
          <cell r="L385" t="str">
            <v>PROP / KAB / KODYA</v>
          </cell>
          <cell r="O385" t="str">
            <v>:</v>
          </cell>
        </row>
        <row r="386">
          <cell r="A386">
            <v>3</v>
          </cell>
          <cell r="C386" t="str">
            <v>Kondisi Jalan   :  sedang / baik</v>
          </cell>
          <cell r="L386" t="str">
            <v>ITEM PEMBAYARAN NO.</v>
          </cell>
          <cell r="O386" t="str">
            <v>:  3.1 (7)</v>
          </cell>
          <cell r="R386" t="str">
            <v>PERKIRAAN VOL. PEK.</v>
          </cell>
          <cell r="T386" t="str">
            <v>:</v>
          </cell>
          <cell r="U386">
            <v>0</v>
          </cell>
        </row>
        <row r="387">
          <cell r="A387">
            <v>4</v>
          </cell>
          <cell r="C387" t="str">
            <v>Jam kerja efektif per-hari</v>
          </cell>
          <cell r="G387" t="str">
            <v>Tk</v>
          </cell>
          <cell r="H387">
            <v>7</v>
          </cell>
          <cell r="I387" t="str">
            <v>Jam</v>
          </cell>
          <cell r="L387" t="str">
            <v>JENIS PEKERJAAN</v>
          </cell>
          <cell r="O387" t="str">
            <v>:  Galian Struktur dengan Kedalaman 2 - 4 M</v>
          </cell>
          <cell r="R387" t="str">
            <v>TOTAL HARGA (Rp.)</v>
          </cell>
          <cell r="T387" t="str">
            <v>:</v>
          </cell>
          <cell r="U387">
            <v>0</v>
          </cell>
        </row>
        <row r="388">
          <cell r="A388">
            <v>5</v>
          </cell>
          <cell r="C388" t="str">
            <v>Faktor pengembangan bahan</v>
          </cell>
          <cell r="G388" t="str">
            <v>Fh</v>
          </cell>
          <cell r="H388">
            <v>1.2</v>
          </cell>
          <cell r="I388" t="str">
            <v>-</v>
          </cell>
          <cell r="L388" t="str">
            <v>SATUAN PEMBAYARAN</v>
          </cell>
          <cell r="O388" t="str">
            <v>:  M3</v>
          </cell>
          <cell r="R388" t="str">
            <v>% THD. BIAYA PROYEK</v>
          </cell>
          <cell r="T388" t="str">
            <v>:</v>
          </cell>
          <cell r="U388" t="e">
            <v>#DIV/0!</v>
          </cell>
        </row>
        <row r="389">
          <cell r="A389">
            <v>6</v>
          </cell>
          <cell r="C389" t="str">
            <v>Pengurugan kembali (backfill) untuk struktur</v>
          </cell>
          <cell r="G389" t="str">
            <v>Uk</v>
          </cell>
          <cell r="H389">
            <v>50</v>
          </cell>
          <cell r="I389" t="str">
            <v>%/M3</v>
          </cell>
        </row>
        <row r="391">
          <cell r="A391" t="str">
            <v>II.</v>
          </cell>
          <cell r="C391" t="str">
            <v>METHODE PELAKSANAAN</v>
          </cell>
          <cell r="Q391" t="str">
            <v>PERKIRAAN</v>
          </cell>
          <cell r="R391" t="str">
            <v>HARGA</v>
          </cell>
          <cell r="S391" t="str">
            <v>JUMLAH</v>
          </cell>
        </row>
        <row r="392">
          <cell r="A392">
            <v>1</v>
          </cell>
          <cell r="C392" t="str">
            <v>Tanah yang dipotong berada disekitar jembatan</v>
          </cell>
          <cell r="L392" t="str">
            <v>NO.</v>
          </cell>
          <cell r="N392" t="str">
            <v>KOMPONEN</v>
          </cell>
          <cell r="P392" t="str">
            <v>SATUAN</v>
          </cell>
          <cell r="Q392" t="str">
            <v>KUANTITAS</v>
          </cell>
          <cell r="R392" t="str">
            <v>SATUAN</v>
          </cell>
          <cell r="S392" t="str">
            <v>HARGA</v>
          </cell>
        </row>
        <row r="393">
          <cell r="A393">
            <v>2</v>
          </cell>
          <cell r="C393" t="str">
            <v>Penggalian dilakukan dengan menggunakan alat</v>
          </cell>
          <cell r="R393" t="str">
            <v>(Rp.)</v>
          </cell>
          <cell r="S393" t="str">
            <v>(Rp.)</v>
          </cell>
        </row>
        <row r="394">
          <cell r="C394" t="str">
            <v>Excavator</v>
          </cell>
        </row>
        <row r="395">
          <cell r="A395">
            <v>3</v>
          </cell>
          <cell r="C395" t="str">
            <v>Bulldozer mengangkut/mengusur hasil galian ke tempat</v>
          </cell>
        </row>
        <row r="396">
          <cell r="C396" t="str">
            <v>pembuangan di sekitar lokasi pekerjaan</v>
          </cell>
          <cell r="G396" t="str">
            <v>L</v>
          </cell>
          <cell r="H396">
            <v>0.1</v>
          </cell>
          <cell r="I396" t="str">
            <v>Km</v>
          </cell>
          <cell r="L396" t="str">
            <v>A.</v>
          </cell>
          <cell r="N396" t="str">
            <v>TENAGA</v>
          </cell>
        </row>
        <row r="398">
          <cell r="A398" t="str">
            <v>III.</v>
          </cell>
          <cell r="C398" t="str">
            <v>PEMAKAIAN BAHAN, ALAT DAN TENAGA</v>
          </cell>
          <cell r="L398" t="str">
            <v>1.</v>
          </cell>
          <cell r="N398" t="str">
            <v>Pekerja</v>
          </cell>
          <cell r="O398" t="str">
            <v>(L01)</v>
          </cell>
          <cell r="P398" t="str">
            <v>Jam</v>
          </cell>
          <cell r="Q398">
            <v>0.41685416962616839</v>
          </cell>
          <cell r="R398">
            <v>2857.14</v>
          </cell>
          <cell r="U398">
            <v>1191.0107222057106</v>
          </cell>
        </row>
        <row r="399">
          <cell r="L399" t="str">
            <v>2.</v>
          </cell>
          <cell r="N399" t="str">
            <v>Mandor</v>
          </cell>
          <cell r="O399" t="str">
            <v>(L03)</v>
          </cell>
          <cell r="P399" t="str">
            <v>Jam</v>
          </cell>
          <cell r="Q399">
            <v>4.1685416962616843E-2</v>
          </cell>
          <cell r="R399">
            <v>3214.29</v>
          </cell>
          <cell r="U399">
            <v>133.98901888876969</v>
          </cell>
        </row>
        <row r="400">
          <cell r="A400" t="str">
            <v xml:space="preserve">   1.</v>
          </cell>
          <cell r="C400" t="str">
            <v>BAHAN</v>
          </cell>
        </row>
        <row r="401">
          <cell r="C401" t="str">
            <v>- Urugan Pilihan (untuk backfill)</v>
          </cell>
          <cell r="E401" t="str">
            <v>= Uk x 1M3</v>
          </cell>
          <cell r="G401" t="str">
            <v>(EI-322)</v>
          </cell>
          <cell r="H401">
            <v>0.5</v>
          </cell>
          <cell r="I401" t="str">
            <v>M3</v>
          </cell>
        </row>
        <row r="402">
          <cell r="Q402" t="str">
            <v xml:space="preserve">JUMLAH HARGA TENAGA   </v>
          </cell>
          <cell r="U402">
            <v>1324.9997410944802</v>
          </cell>
        </row>
        <row r="403">
          <cell r="A403" t="str">
            <v xml:space="preserve">   2.</v>
          </cell>
          <cell r="C403" t="str">
            <v>ALAT</v>
          </cell>
        </row>
        <row r="404">
          <cell r="A404" t="str">
            <v xml:space="preserve">   2.a.</v>
          </cell>
          <cell r="C404" t="str">
            <v>EXCAVATOR</v>
          </cell>
          <cell r="G404" t="str">
            <v>(E10)</v>
          </cell>
          <cell r="L404" t="str">
            <v>B.</v>
          </cell>
          <cell r="N404" t="str">
            <v>BAHAN</v>
          </cell>
        </row>
        <row r="405">
          <cell r="C405" t="str">
            <v>Kapasitas Bucket</v>
          </cell>
          <cell r="G405" t="str">
            <v>V</v>
          </cell>
          <cell r="H405">
            <v>0.93</v>
          </cell>
          <cell r="I405" t="str">
            <v>M3</v>
          </cell>
        </row>
        <row r="406">
          <cell r="C406" t="str">
            <v>Faktor Bucket</v>
          </cell>
          <cell r="G406" t="str">
            <v>Fb</v>
          </cell>
          <cell r="H406">
            <v>0.9</v>
          </cell>
          <cell r="I406" t="str">
            <v>-</v>
          </cell>
          <cell r="L406" t="str">
            <v>1.</v>
          </cell>
          <cell r="N406" t="str">
            <v xml:space="preserve">Urugan Pilihan </v>
          </cell>
          <cell r="O406" t="str">
            <v>(EI-322)</v>
          </cell>
          <cell r="P406" t="str">
            <v>M3</v>
          </cell>
          <cell r="Q406">
            <v>0.5</v>
          </cell>
          <cell r="R406">
            <v>455558.60740011773</v>
          </cell>
          <cell r="U406">
            <v>227779.30370005887</v>
          </cell>
        </row>
        <row r="407">
          <cell r="C407" t="str">
            <v>Faktor  Efisiensi alat</v>
          </cell>
          <cell r="G407" t="str">
            <v>Fa</v>
          </cell>
          <cell r="H407">
            <v>0.83</v>
          </cell>
          <cell r="I407" t="str">
            <v>-</v>
          </cell>
        </row>
        <row r="408">
          <cell r="C408" t="str">
            <v>Faktor kedalaman</v>
          </cell>
          <cell r="G408" t="str">
            <v>Fd</v>
          </cell>
          <cell r="H408">
            <v>0.65</v>
          </cell>
          <cell r="I408" t="str">
            <v>-</v>
          </cell>
        </row>
        <row r="409">
          <cell r="C409" t="str">
            <v>Berat isi material</v>
          </cell>
          <cell r="G409" t="str">
            <v>Bim</v>
          </cell>
          <cell r="H409">
            <v>0.85</v>
          </cell>
          <cell r="I409" t="str">
            <v>-</v>
          </cell>
        </row>
        <row r="411">
          <cell r="C411" t="str">
            <v>Waktu siklus</v>
          </cell>
        </row>
        <row r="412">
          <cell r="C412" t="str">
            <v>- Menggali / memuat</v>
          </cell>
          <cell r="G412" t="str">
            <v>Te1</v>
          </cell>
          <cell r="H412">
            <v>0.55000000000000004</v>
          </cell>
          <cell r="I412" t="str">
            <v>menit</v>
          </cell>
          <cell r="Q412" t="str">
            <v xml:space="preserve">JUMLAH HARGA BAHAN   </v>
          </cell>
          <cell r="U412">
            <v>227779.30370005887</v>
          </cell>
        </row>
        <row r="413">
          <cell r="C413" t="str">
            <v>- Lain-lain</v>
          </cell>
          <cell r="G413" t="str">
            <v>Te2</v>
          </cell>
          <cell r="H413">
            <v>0.25</v>
          </cell>
          <cell r="I413" t="str">
            <v>menit</v>
          </cell>
        </row>
        <row r="414">
          <cell r="G414" t="str">
            <v>Te</v>
          </cell>
          <cell r="H414">
            <v>0.8</v>
          </cell>
          <cell r="I414" t="str">
            <v>menit</v>
          </cell>
          <cell r="L414" t="str">
            <v>C.</v>
          </cell>
          <cell r="N414" t="str">
            <v>PERALATAN</v>
          </cell>
        </row>
        <row r="415">
          <cell r="L415" t="str">
            <v>1.</v>
          </cell>
          <cell r="N415" t="str">
            <v>Excavator</v>
          </cell>
          <cell r="O415" t="str">
            <v>(E10)</v>
          </cell>
          <cell r="P415" t="str">
            <v>Jam</v>
          </cell>
          <cell r="Q415">
            <v>4.1685416962616836E-2</v>
          </cell>
          <cell r="R415">
            <v>238185.05650827778</v>
          </cell>
          <cell r="U415">
            <v>9928.8433948120128</v>
          </cell>
        </row>
        <row r="416">
          <cell r="L416" t="str">
            <v>2.</v>
          </cell>
          <cell r="N416" t="str">
            <v>Bulldozer</v>
          </cell>
          <cell r="O416" t="str">
            <v>(E04)</v>
          </cell>
          <cell r="P416" t="str">
            <v>Jam</v>
          </cell>
          <cell r="Q416">
            <v>1.0213694283306062E-4</v>
          </cell>
          <cell r="R416">
            <v>256721.09983229413</v>
          </cell>
          <cell r="U416">
            <v>26.220708297611473</v>
          </cell>
        </row>
        <row r="417">
          <cell r="C417" t="str">
            <v>Kap. Prod. / jam =</v>
          </cell>
          <cell r="D417" t="str">
            <v>V  x Fb x Fa x Fd x Bim x 60</v>
          </cell>
          <cell r="G417" t="str">
            <v>Q1</v>
          </cell>
          <cell r="H417">
            <v>23.989204687500003</v>
          </cell>
          <cell r="I417" t="str">
            <v>M3/Jam</v>
          </cell>
          <cell r="L417" t="str">
            <v>3.</v>
          </cell>
          <cell r="N417" t="str">
            <v>Alat  bantu</v>
          </cell>
          <cell r="P417" t="str">
            <v>Ls</v>
          </cell>
          <cell r="Q417">
            <v>1</v>
          </cell>
          <cell r="R417">
            <v>200</v>
          </cell>
          <cell r="U417">
            <v>200</v>
          </cell>
        </row>
        <row r="418">
          <cell r="D418" t="str">
            <v>Te x Fh</v>
          </cell>
        </row>
        <row r="420">
          <cell r="C420" t="str">
            <v>Koefisien Alat / M3</v>
          </cell>
          <cell r="D420" t="str">
            <v xml:space="preserve"> =  1  :  Q1</v>
          </cell>
          <cell r="G420" t="str">
            <v>(E10)</v>
          </cell>
          <cell r="H420">
            <v>4.1685416962616836E-2</v>
          </cell>
          <cell r="I420" t="str">
            <v>Jam</v>
          </cell>
        </row>
        <row r="423">
          <cell r="A423" t="str">
            <v>2.a.</v>
          </cell>
          <cell r="C423" t="str">
            <v>BULLDOZER</v>
          </cell>
          <cell r="G423" t="str">
            <v>(E04)</v>
          </cell>
        </row>
        <row r="424">
          <cell r="C424" t="str">
            <v>Faktor pisau (blade)</v>
          </cell>
          <cell r="G424" t="str">
            <v>Fb</v>
          </cell>
          <cell r="H424">
            <v>1</v>
          </cell>
          <cell r="I424" t="str">
            <v>-</v>
          </cell>
          <cell r="Q424" t="str">
            <v xml:space="preserve">JUMLAH HARGA PERALATAN   </v>
          </cell>
          <cell r="U424">
            <v>10155.064103109624</v>
          </cell>
        </row>
        <row r="425">
          <cell r="C425" t="str">
            <v>Faktor  efisiensi kerja</v>
          </cell>
          <cell r="G425" t="str">
            <v>Fa</v>
          </cell>
          <cell r="H425">
            <v>0.83</v>
          </cell>
          <cell r="I425" t="str">
            <v>-</v>
          </cell>
        </row>
        <row r="426">
          <cell r="C426" t="str">
            <v>Kecepatan mengupas</v>
          </cell>
          <cell r="G426" t="str">
            <v>Vf</v>
          </cell>
          <cell r="H426">
            <v>3</v>
          </cell>
          <cell r="I426" t="str">
            <v>Km/Jam</v>
          </cell>
          <cell r="L426" t="str">
            <v>D.</v>
          </cell>
          <cell r="N426" t="str">
            <v>JUMLAH HARGA TENAGA, BAHAN DAN PERALATAN  ( A + B + C )</v>
          </cell>
          <cell r="U426">
            <v>239259.36754426296</v>
          </cell>
        </row>
        <row r="427">
          <cell r="C427" t="str">
            <v>Kecepatan mundur</v>
          </cell>
          <cell r="G427" t="str">
            <v>Vr</v>
          </cell>
          <cell r="H427">
            <v>5</v>
          </cell>
          <cell r="I427" t="str">
            <v>Km/Jam</v>
          </cell>
          <cell r="L427" t="str">
            <v>E.</v>
          </cell>
          <cell r="N427" t="str">
            <v>OVERHEAD &amp; PROFIT</v>
          </cell>
          <cell r="P427">
            <v>10</v>
          </cell>
          <cell r="Q427" t="str">
            <v>%  x  D</v>
          </cell>
          <cell r="U427">
            <v>23925.936754426297</v>
          </cell>
        </row>
        <row r="428">
          <cell r="C428" t="str">
            <v>Kapasitas pisau</v>
          </cell>
          <cell r="G428" t="str">
            <v>q</v>
          </cell>
          <cell r="H428">
            <v>5.4</v>
          </cell>
          <cell r="I428" t="str">
            <v>M3</v>
          </cell>
          <cell r="L428" t="str">
            <v>F.</v>
          </cell>
          <cell r="N428" t="str">
            <v>HARGA SATUAN PEKERJAAN  ( D + E )</v>
          </cell>
          <cell r="U428">
            <v>263185.30429868924</v>
          </cell>
        </row>
        <row r="429">
          <cell r="A429" t="str">
            <v>`</v>
          </cell>
          <cell r="C429" t="str">
            <v>Faktor kemiringan (grade)</v>
          </cell>
          <cell r="G429" t="str">
            <v>Fm</v>
          </cell>
          <cell r="H429">
            <v>1</v>
          </cell>
          <cell r="L429" t="str">
            <v>Note: 1</v>
          </cell>
          <cell r="N429" t="str">
            <v>SATUAN dapat berdasarkan atas jam operasi untuk Tenaga Kerja dan Peralatan, volume dan/atau ukuran</v>
          </cell>
        </row>
        <row r="430">
          <cell r="N430" t="str">
            <v>berat untuk bahan-bahan.</v>
          </cell>
        </row>
        <row r="431">
          <cell r="L431">
            <v>2</v>
          </cell>
          <cell r="N431" t="str">
            <v>Kuantitas satuan adalah kuantitas setiap komponen untuk menyelesaikan satu satuan pekerjaan dari nomor</v>
          </cell>
        </row>
        <row r="432">
          <cell r="N432" t="str">
            <v>mata pembayaran.</v>
          </cell>
        </row>
        <row r="433">
          <cell r="L433">
            <v>3</v>
          </cell>
          <cell r="N433" t="str">
            <v>Biaya satuan untuk peralatan sudah termasuk bahan bakar, bahan habis dipakai dan operator.</v>
          </cell>
        </row>
        <row r="434">
          <cell r="L434">
            <v>4</v>
          </cell>
          <cell r="N434" t="str">
            <v>Biaya satuan sudah termasuk pengeluaran untuk seluruh pajak yang berkaitan (tetapi tidak termasuk PPN</v>
          </cell>
        </row>
        <row r="435">
          <cell r="J435" t="str">
            <v>Berlanjut ke halaman berikut</v>
          </cell>
          <cell r="N435" t="str">
            <v>yang dibayar dari kontrak) dan biaya-biaya lainnya.</v>
          </cell>
        </row>
        <row r="436">
          <cell r="A436" t="str">
            <v>ITEM PEMBAYARAN NO.</v>
          </cell>
          <cell r="D436" t="str">
            <v>:  3.1 (7)</v>
          </cell>
          <cell r="J436" t="str">
            <v>Analisa EI-314</v>
          </cell>
        </row>
        <row r="437">
          <cell r="A437" t="str">
            <v>JENIS PEKERJAAN</v>
          </cell>
          <cell r="D437" t="str">
            <v>:  Galian Struktur dengan Kedalaman 2 - 4 M</v>
          </cell>
        </row>
        <row r="438">
          <cell r="A438" t="str">
            <v>SATUAN PEMBAYARAN</v>
          </cell>
          <cell r="D438" t="str">
            <v>:  M3</v>
          </cell>
          <cell r="H438" t="str">
            <v xml:space="preserve">         URAIAN ANALISA HARGA SATUAN</v>
          </cell>
        </row>
        <row r="439">
          <cell r="J439" t="str">
            <v>Lanjutan</v>
          </cell>
        </row>
        <row r="441">
          <cell r="A441" t="str">
            <v>No.</v>
          </cell>
          <cell r="C441" t="str">
            <v>U R A I A N</v>
          </cell>
          <cell r="G441" t="str">
            <v>KODE</v>
          </cell>
          <cell r="H441" t="str">
            <v>KOEF.</v>
          </cell>
          <cell r="I441" t="str">
            <v>SATUAN</v>
          </cell>
          <cell r="J441" t="str">
            <v>KETERANGAN</v>
          </cell>
        </row>
        <row r="444">
          <cell r="C444" t="str">
            <v>Waktu Siklus</v>
          </cell>
        </row>
        <row r="445">
          <cell r="C445" t="str">
            <v>- Waktu gusur</v>
          </cell>
          <cell r="D445" t="str">
            <v>= l / Vf</v>
          </cell>
          <cell r="G445" t="str">
            <v>T1</v>
          </cell>
          <cell r="H445">
            <v>1.6666666666666666E-2</v>
          </cell>
          <cell r="I445" t="str">
            <v>menit</v>
          </cell>
        </row>
        <row r="446">
          <cell r="C446" t="str">
            <v>- Waktu kembali</v>
          </cell>
          <cell r="D446" t="str">
            <v>= l / Vr</v>
          </cell>
          <cell r="G446" t="str">
            <v>T2</v>
          </cell>
          <cell r="H446">
            <v>0.01</v>
          </cell>
          <cell r="I446" t="str">
            <v>menit</v>
          </cell>
        </row>
        <row r="447">
          <cell r="C447" t="str">
            <v>- Waktu lain-lain</v>
          </cell>
          <cell r="G447" t="str">
            <v>T3</v>
          </cell>
          <cell r="H447">
            <v>8.0000000000000004E-4</v>
          </cell>
          <cell r="I447" t="str">
            <v>menit</v>
          </cell>
        </row>
        <row r="448">
          <cell r="G448" t="str">
            <v>Ts</v>
          </cell>
          <cell r="H448">
            <v>2.7466666666666664E-2</v>
          </cell>
          <cell r="I448" t="str">
            <v>menit</v>
          </cell>
        </row>
        <row r="450">
          <cell r="C450" t="str">
            <v>Kapasitas Produksi / Jam   =</v>
          </cell>
          <cell r="E450" t="str">
            <v>q x Fb x Fm x Fa x 60/Ts</v>
          </cell>
          <cell r="G450" t="str">
            <v>Q2</v>
          </cell>
          <cell r="H450">
            <v>9790.7766990291275</v>
          </cell>
          <cell r="I450" t="str">
            <v>M3</v>
          </cell>
        </row>
        <row r="453">
          <cell r="C453" t="str">
            <v>Koefisien Alat / M3</v>
          </cell>
          <cell r="D453" t="str">
            <v xml:space="preserve"> =  1  :  Q2</v>
          </cell>
          <cell r="G453" t="str">
            <v>(E04)</v>
          </cell>
          <cell r="H453">
            <v>1.0213694283306062E-4</v>
          </cell>
          <cell r="I453" t="str">
            <v>Jam</v>
          </cell>
        </row>
        <row r="456">
          <cell r="A456" t="str">
            <v>2.d.</v>
          </cell>
          <cell r="C456" t="str">
            <v>ALAT  BANTU</v>
          </cell>
        </row>
        <row r="457">
          <cell r="C457" t="str">
            <v>Diperlukan alat-alat bantu kecil</v>
          </cell>
          <cell r="J457" t="str">
            <v>Lump Sump</v>
          </cell>
        </row>
        <row r="458">
          <cell r="C458" t="str">
            <v>- Pacul</v>
          </cell>
          <cell r="D458" t="str">
            <v>=  2  buah</v>
          </cell>
        </row>
        <row r="459">
          <cell r="C459" t="str">
            <v>- Sekop</v>
          </cell>
          <cell r="D459" t="str">
            <v>=  2  buah</v>
          </cell>
        </row>
        <row r="462">
          <cell r="A462" t="str">
            <v xml:space="preserve">   3.</v>
          </cell>
          <cell r="C462" t="str">
            <v>TENAGA</v>
          </cell>
        </row>
        <row r="463">
          <cell r="C463" t="str">
            <v>Produksi menentukan : EXCAVATOR</v>
          </cell>
          <cell r="G463" t="str">
            <v>Q1</v>
          </cell>
          <cell r="H463">
            <v>23.989204687500003</v>
          </cell>
          <cell r="I463" t="str">
            <v>M3/Jam</v>
          </cell>
        </row>
        <row r="464">
          <cell r="C464" t="str">
            <v>Produksi Galian / hari  =  Tk x Q1</v>
          </cell>
          <cell r="G464" t="str">
            <v>Qt</v>
          </cell>
          <cell r="H464">
            <v>167.92443281250002</v>
          </cell>
          <cell r="I464" t="str">
            <v>M3</v>
          </cell>
        </row>
        <row r="465">
          <cell r="C465" t="str">
            <v>Kebutuhan tenaga :</v>
          </cell>
        </row>
        <row r="466">
          <cell r="D466" t="str">
            <v>- Pekerja</v>
          </cell>
          <cell r="G466" t="str">
            <v>P</v>
          </cell>
          <cell r="H466">
            <v>10</v>
          </cell>
          <cell r="I466" t="str">
            <v>orang</v>
          </cell>
        </row>
        <row r="467">
          <cell r="D467" t="str">
            <v>- Mandor</v>
          </cell>
          <cell r="G467" t="str">
            <v>M</v>
          </cell>
          <cell r="H467">
            <v>1</v>
          </cell>
          <cell r="I467" t="str">
            <v>orang</v>
          </cell>
        </row>
        <row r="469">
          <cell r="C469" t="str">
            <v>Koefisien tenaga / M3   :</v>
          </cell>
        </row>
        <row r="470">
          <cell r="D470" t="str">
            <v>- Pekerja</v>
          </cell>
          <cell r="E470" t="str">
            <v>= (Tk x P) : Qt</v>
          </cell>
          <cell r="G470" t="str">
            <v>(L01)</v>
          </cell>
          <cell r="H470">
            <v>0.41685416962616839</v>
          </cell>
          <cell r="I470" t="str">
            <v>Jam</v>
          </cell>
        </row>
        <row r="471">
          <cell r="D471" t="str">
            <v>- Mandor</v>
          </cell>
          <cell r="E471" t="str">
            <v>= (Tk x M) : Qt</v>
          </cell>
          <cell r="G471" t="str">
            <v>(L03)</v>
          </cell>
          <cell r="H471">
            <v>4.1685416962616843E-2</v>
          </cell>
          <cell r="I471" t="str">
            <v>Jam</v>
          </cell>
        </row>
        <row r="473">
          <cell r="A473" t="str">
            <v>4.</v>
          </cell>
          <cell r="C473" t="str">
            <v>HARGA DASAR SATUAN UPAH, BAHAN DAN ALAT</v>
          </cell>
        </row>
        <row r="474">
          <cell r="C474" t="str">
            <v>Lihat lampiran.</v>
          </cell>
        </row>
        <row r="476">
          <cell r="A476" t="str">
            <v>5.</v>
          </cell>
          <cell r="C476" t="str">
            <v>ANALISA HARGA SATUAN PEKERJAAN</v>
          </cell>
        </row>
        <row r="477">
          <cell r="C477" t="str">
            <v>Lihat perhitungan dalam FORMULIR STANDAR UNTUK</v>
          </cell>
        </row>
        <row r="478">
          <cell r="C478" t="str">
            <v>PEREKEMAN ANALISA MASING-MASING HARGA</v>
          </cell>
        </row>
        <row r="479">
          <cell r="C479" t="str">
            <v>SATUAN.</v>
          </cell>
        </row>
        <row r="480">
          <cell r="C480" t="str">
            <v>Didapat Harga Satuan Pekerjaan :</v>
          </cell>
        </row>
        <row r="482">
          <cell r="C482" t="str">
            <v xml:space="preserve">Rp.  </v>
          </cell>
          <cell r="D482">
            <v>263185.30429868924</v>
          </cell>
          <cell r="E482" t="str">
            <v xml:space="preserve"> / M3</v>
          </cell>
        </row>
        <row r="485">
          <cell r="A485" t="str">
            <v>6.</v>
          </cell>
          <cell r="C485" t="str">
            <v>WAKTU PELAKSANAAN YANG DIPERLUKAN</v>
          </cell>
        </row>
        <row r="486">
          <cell r="C486" t="str">
            <v>Masa Pelaksanaan :</v>
          </cell>
          <cell r="D486" t="str">
            <v>. . . . . . . . . . . .</v>
          </cell>
          <cell r="E486" t="str">
            <v>bulan</v>
          </cell>
        </row>
        <row r="488">
          <cell r="A488" t="str">
            <v>7.</v>
          </cell>
          <cell r="C488" t="str">
            <v>VOLUME PEKERJAAN YANG DIPERLUKAN</v>
          </cell>
        </row>
        <row r="489">
          <cell r="C489" t="str">
            <v>Volume pekerjaan  :</v>
          </cell>
          <cell r="D489">
            <v>133.98901888876969</v>
          </cell>
          <cell r="E489" t="str">
            <v>M3</v>
          </cell>
        </row>
        <row r="1766">
          <cell r="C1766" t="str">
            <v>Faktor efisiensi alat</v>
          </cell>
          <cell r="G1766" t="str">
            <v>Fa</v>
          </cell>
          <cell r="H1766">
            <v>0.83</v>
          </cell>
          <cell r="I1766" t="str">
            <v>-</v>
          </cell>
        </row>
        <row r="1768">
          <cell r="C1768" t="str">
            <v>Kapasitas Prod./Jam   =</v>
          </cell>
          <cell r="D1768" t="str">
            <v>(v x 1000) x b x t x Fa</v>
          </cell>
          <cell r="G1768" t="str">
            <v>Q4</v>
          </cell>
          <cell r="H1768">
            <v>104.58</v>
          </cell>
          <cell r="I1768" t="str">
            <v>M3</v>
          </cell>
        </row>
        <row r="1769">
          <cell r="D1769" t="str">
            <v>n</v>
          </cell>
        </row>
        <row r="1771">
          <cell r="C1771" t="str">
            <v>Koefisien Alat / m3</v>
          </cell>
          <cell r="D1771" t="str">
            <v xml:space="preserve"> =  1  :  Q4</v>
          </cell>
          <cell r="G1771" t="str">
            <v>(E19)</v>
          </cell>
          <cell r="H1771">
            <v>9.5620577548288389E-3</v>
          </cell>
          <cell r="I1771" t="str">
            <v>Jam</v>
          </cell>
        </row>
        <row r="1774">
          <cell r="A1774" t="str">
            <v>2.e.</v>
          </cell>
          <cell r="C1774" t="str">
            <v>WATER TANK TRUCK</v>
          </cell>
          <cell r="G1774" t="str">
            <v>(E23)</v>
          </cell>
        </row>
        <row r="1775">
          <cell r="C1775" t="str">
            <v>Volume tangki air</v>
          </cell>
          <cell r="G1775" t="str">
            <v>V</v>
          </cell>
          <cell r="H1775">
            <v>4</v>
          </cell>
          <cell r="I1775" t="str">
            <v>M3</v>
          </cell>
        </row>
        <row r="1776">
          <cell r="C1776" t="str">
            <v>Kebutuhan air / M3 material padat</v>
          </cell>
          <cell r="G1776" t="str">
            <v>Wc</v>
          </cell>
          <cell r="H1776">
            <v>7.0000000000000007E-2</v>
          </cell>
          <cell r="I1776" t="str">
            <v>M3</v>
          </cell>
        </row>
        <row r="1777">
          <cell r="C1777" t="str">
            <v>Pengisian Tangki / jam</v>
          </cell>
          <cell r="G1777" t="str">
            <v>n</v>
          </cell>
          <cell r="H1777">
            <v>3</v>
          </cell>
          <cell r="I1777" t="str">
            <v>kali</v>
          </cell>
        </row>
        <row r="1778">
          <cell r="C1778" t="str">
            <v>Faktor efisiensi alat</v>
          </cell>
          <cell r="G1778" t="str">
            <v>Fa</v>
          </cell>
          <cell r="H1778">
            <v>0.83</v>
          </cell>
          <cell r="I1778" t="str">
            <v>-</v>
          </cell>
        </row>
        <row r="1780">
          <cell r="C1780" t="str">
            <v>Kapasitas Produksi / Jam   =</v>
          </cell>
          <cell r="E1780" t="str">
            <v>V  x  n x Fa</v>
          </cell>
          <cell r="G1780" t="str">
            <v>Q5</v>
          </cell>
          <cell r="H1780">
            <v>142.28571428571425</v>
          </cell>
          <cell r="I1780" t="str">
            <v>M3</v>
          </cell>
        </row>
        <row r="1781">
          <cell r="E1781" t="str">
            <v xml:space="preserve">     Wc</v>
          </cell>
        </row>
        <row r="1783">
          <cell r="C1783" t="str">
            <v>Koefisien Alat / m3</v>
          </cell>
          <cell r="D1783" t="str">
            <v xml:space="preserve"> =  1  :  Q5</v>
          </cell>
          <cell r="G1783" t="str">
            <v>(E23)</v>
          </cell>
          <cell r="H1783">
            <v>7.0281124497991983E-3</v>
          </cell>
          <cell r="I1783" t="str">
            <v>Jam</v>
          </cell>
        </row>
        <row r="1785">
          <cell r="A1785" t="str">
            <v>2.f.</v>
          </cell>
          <cell r="C1785" t="str">
            <v>ALAT  BANTU</v>
          </cell>
        </row>
        <row r="1786">
          <cell r="C1786" t="str">
            <v>Diperlukan alat-alat bantu kecil</v>
          </cell>
          <cell r="J1786" t="str">
            <v>Lump Sump</v>
          </cell>
        </row>
        <row r="1787">
          <cell r="C1787" t="str">
            <v>- Sekop    =         3   buah</v>
          </cell>
        </row>
        <row r="1791">
          <cell r="J1791" t="str">
            <v>Berlanjut ke halaman berikut</v>
          </cell>
        </row>
        <row r="1792">
          <cell r="A1792" t="str">
            <v>ITEM PEMBAYARAN NO.</v>
          </cell>
          <cell r="D1792" t="str">
            <v>:  3.2 (3)</v>
          </cell>
          <cell r="J1792" t="str">
            <v>Analisa EI-323</v>
          </cell>
        </row>
        <row r="1793">
          <cell r="A1793" t="str">
            <v>JENIS PEKERJAAN</v>
          </cell>
          <cell r="D1793" t="str">
            <v>:  Timbunan Pilihan</v>
          </cell>
        </row>
        <row r="1794">
          <cell r="A1794" t="str">
            <v>SATUAN PEMBAYARAN</v>
          </cell>
          <cell r="D1794" t="str">
            <v>:  M3</v>
          </cell>
          <cell r="H1794" t="str">
            <v xml:space="preserve">         URAIAN ANALISA HARGA SATUAN</v>
          </cell>
        </row>
        <row r="1795">
          <cell r="J1795" t="str">
            <v>Lanjutan</v>
          </cell>
        </row>
        <row r="1797">
          <cell r="A1797" t="str">
            <v>No.</v>
          </cell>
          <cell r="C1797" t="str">
            <v>U R A I A N</v>
          </cell>
          <cell r="G1797" t="str">
            <v>KODE</v>
          </cell>
          <cell r="H1797" t="str">
            <v>KOEF.</v>
          </cell>
          <cell r="I1797" t="str">
            <v>SATUAN</v>
          </cell>
          <cell r="J1797" t="str">
            <v>KETERANGAN</v>
          </cell>
        </row>
        <row r="1800">
          <cell r="A1800" t="str">
            <v xml:space="preserve">   3.</v>
          </cell>
          <cell r="C1800" t="str">
            <v>TENAGA</v>
          </cell>
        </row>
        <row r="1801">
          <cell r="C1801" t="str">
            <v>Produksi menentukan : DUMP TRUCK</v>
          </cell>
          <cell r="G1801" t="str">
            <v>Q1</v>
          </cell>
          <cell r="H1801">
            <v>0.40310830500242839</v>
          </cell>
          <cell r="I1801" t="str">
            <v>M3/Jam</v>
          </cell>
        </row>
        <row r="1802">
          <cell r="C1802" t="str">
            <v>Produksi Timbunan / hari  =  Tk x Q1</v>
          </cell>
          <cell r="G1802" t="str">
            <v>Qt</v>
          </cell>
          <cell r="H1802">
            <v>2.8217581350169989</v>
          </cell>
          <cell r="I1802" t="str">
            <v>M3</v>
          </cell>
        </row>
        <row r="1803">
          <cell r="C1803" t="str">
            <v>Kebutuhan tenaga :</v>
          </cell>
        </row>
        <row r="1804">
          <cell r="D1804" t="str">
            <v>- Pekerja</v>
          </cell>
          <cell r="G1804" t="str">
            <v>P</v>
          </cell>
          <cell r="H1804">
            <v>4</v>
          </cell>
          <cell r="I1804" t="str">
            <v>orang</v>
          </cell>
        </row>
        <row r="1805">
          <cell r="D1805" t="str">
            <v>- Mandor</v>
          </cell>
          <cell r="G1805" t="str">
            <v>M</v>
          </cell>
          <cell r="H1805">
            <v>1</v>
          </cell>
          <cell r="I1805" t="str">
            <v>orang</v>
          </cell>
        </row>
        <row r="1808">
          <cell r="C1808" t="str">
            <v>Koefisien tenaga / M3   :</v>
          </cell>
        </row>
        <row r="1809">
          <cell r="D1809" t="str">
            <v>- Pekerja</v>
          </cell>
          <cell r="E1809" t="str">
            <v>= (Tk x P) : Qt</v>
          </cell>
          <cell r="G1809" t="str">
            <v>(L01)</v>
          </cell>
          <cell r="H1809">
            <v>9.9228915662650596</v>
          </cell>
          <cell r="I1809" t="str">
            <v>Jam</v>
          </cell>
        </row>
        <row r="1810">
          <cell r="D1810" t="str">
            <v>- Mandor</v>
          </cell>
          <cell r="E1810" t="str">
            <v>= (Tk x M) : Qt</v>
          </cell>
          <cell r="G1810" t="str">
            <v>(L03)</v>
          </cell>
          <cell r="H1810">
            <v>2.4807228915662649</v>
          </cell>
          <cell r="I1810" t="str">
            <v>Jam</v>
          </cell>
        </row>
        <row r="1813">
          <cell r="A1813" t="str">
            <v>4.</v>
          </cell>
          <cell r="C1813" t="str">
            <v>HARGA DASAR SATUAN UPAH, BAHAN DAN ALAT</v>
          </cell>
        </row>
        <row r="1814">
          <cell r="C1814" t="str">
            <v>Lihat lampiran.</v>
          </cell>
        </row>
        <row r="1817">
          <cell r="A1817" t="str">
            <v>5.</v>
          </cell>
          <cell r="C1817" t="str">
            <v>ANALISA HARGA SATUAN PEKERJAAN</v>
          </cell>
        </row>
        <row r="1818">
          <cell r="C1818" t="str">
            <v>Lihat perhitungan dalam FORMULIR STANDAR UNTUK</v>
          </cell>
        </row>
        <row r="1819">
          <cell r="C1819" t="str">
            <v>PEREKEMAN ANALISA MASING-MASING HARGA</v>
          </cell>
        </row>
        <row r="1820">
          <cell r="C1820" t="str">
            <v>SATUAN.</v>
          </cell>
        </row>
        <row r="1821">
          <cell r="C1821" t="str">
            <v>Didapat Harga Satuan Pekerjaan :</v>
          </cell>
        </row>
        <row r="1823">
          <cell r="C1823" t="str">
            <v xml:space="preserve">Rp.  </v>
          </cell>
          <cell r="D1823">
            <v>501114.46814012952</v>
          </cell>
          <cell r="E1823" t="str">
            <v xml:space="preserve"> / M3.</v>
          </cell>
        </row>
        <row r="1826">
          <cell r="A1826" t="str">
            <v>6.</v>
          </cell>
          <cell r="C1826" t="str">
            <v>WAKTU PELAKSANAAN YANG DIPERLUKAN</v>
          </cell>
        </row>
        <row r="1827">
          <cell r="C1827" t="str">
            <v>Masa Pelaksanaan :</v>
          </cell>
          <cell r="D1827" t="str">
            <v>. . . . . . . . . . . .</v>
          </cell>
          <cell r="E1827" t="str">
            <v>bulan</v>
          </cell>
        </row>
        <row r="1829">
          <cell r="A1829" t="str">
            <v>7.</v>
          </cell>
          <cell r="C1829" t="str">
            <v>VOLUME PEKERJAAN YANG DIPERLUKAN</v>
          </cell>
        </row>
        <row r="1830">
          <cell r="C1830" t="str">
            <v>Volume pekerjaan  :</v>
          </cell>
          <cell r="D1830">
            <v>1</v>
          </cell>
          <cell r="E1830" t="str">
            <v>M3</v>
          </cell>
        </row>
        <row r="1851">
          <cell r="A1851" t="str">
            <v>ITEM PEMBAYARAN NO.</v>
          </cell>
          <cell r="D1851" t="str">
            <v>:  3.2 (4)</v>
          </cell>
          <cell r="J1851" t="str">
            <v>Analisa EI-324</v>
          </cell>
        </row>
        <row r="1852">
          <cell r="A1852" t="str">
            <v>JENIS PEKERJAAN</v>
          </cell>
          <cell r="D1852" t="str">
            <v>:  Timb. Pilihan Di Atas Tnh. Rawa</v>
          </cell>
        </row>
        <row r="1853">
          <cell r="A1853" t="str">
            <v>SATUAN PEMBAYARAN</v>
          </cell>
          <cell r="D1853" t="str">
            <v>:  M3</v>
          </cell>
          <cell r="H1853" t="str">
            <v xml:space="preserve">         URAIAN ANALISA HARGA SATUAN</v>
          </cell>
        </row>
        <row r="1856">
          <cell r="A1856" t="str">
            <v>No.</v>
          </cell>
          <cell r="C1856" t="str">
            <v>U R A I A N</v>
          </cell>
          <cell r="G1856" t="str">
            <v>KODE</v>
          </cell>
          <cell r="H1856" t="str">
            <v>KOEF.</v>
          </cell>
          <cell r="I1856" t="str">
            <v>SATUAN</v>
          </cell>
          <cell r="J1856" t="str">
            <v>KETERANGAN</v>
          </cell>
        </row>
        <row r="1859">
          <cell r="A1859" t="str">
            <v>I.</v>
          </cell>
          <cell r="C1859" t="str">
            <v>ASUMSI</v>
          </cell>
        </row>
        <row r="1860">
          <cell r="A1860">
            <v>1</v>
          </cell>
          <cell r="C1860" t="str">
            <v>Pekerjaan dilakukan secara mekanis</v>
          </cell>
        </row>
        <row r="1861">
          <cell r="A1861">
            <v>2</v>
          </cell>
          <cell r="C1861" t="str">
            <v>Lokasi pekerjaan : di atas tanah rawa</v>
          </cell>
        </row>
        <row r="1862">
          <cell r="A1862">
            <v>3</v>
          </cell>
          <cell r="C1862" t="str">
            <v>Kondisi Jalan   :  sedang / baik</v>
          </cell>
        </row>
        <row r="1863">
          <cell r="A1863">
            <v>4</v>
          </cell>
          <cell r="C1863" t="str">
            <v>Jam kerja efektif per-hari</v>
          </cell>
          <cell r="G1863" t="str">
            <v>Tk</v>
          </cell>
          <cell r="H1863">
            <v>7</v>
          </cell>
          <cell r="I1863" t="str">
            <v>Jam</v>
          </cell>
        </row>
        <row r="1864">
          <cell r="A1864">
            <v>5</v>
          </cell>
          <cell r="C1864" t="str">
            <v>Faktor pengembangan bahan</v>
          </cell>
          <cell r="G1864" t="str">
            <v>Fk</v>
          </cell>
          <cell r="H1864">
            <v>1.2</v>
          </cell>
          <cell r="I1864" t="str">
            <v>-</v>
          </cell>
        </row>
        <row r="1867">
          <cell r="A1867" t="str">
            <v>II.</v>
          </cell>
          <cell r="C1867" t="str">
            <v>URUTAN KERJA</v>
          </cell>
        </row>
        <row r="1869">
          <cell r="A1869">
            <v>1</v>
          </cell>
          <cell r="C1869" t="str">
            <v>Whell Loader memuat ke dalam Dump Truck</v>
          </cell>
        </row>
        <row r="1870">
          <cell r="A1870">
            <v>2</v>
          </cell>
          <cell r="C1870" t="str">
            <v>Dump Truck mengangkut material pilihan</v>
          </cell>
        </row>
        <row r="1871">
          <cell r="C1871" t="str">
            <v>ke lapangan dimana : jarak quari ke lapangan</v>
          </cell>
          <cell r="G1871" t="str">
            <v>L</v>
          </cell>
          <cell r="H1871">
            <v>10</v>
          </cell>
          <cell r="I1871" t="str">
            <v>Km</v>
          </cell>
        </row>
        <row r="1872">
          <cell r="A1872">
            <v>3</v>
          </cell>
          <cell r="C1872" t="str">
            <v>Dump Truck menuang material pilihan di lokasi rawa</v>
          </cell>
        </row>
        <row r="1873">
          <cell r="C1873" t="str">
            <v>yang telah ditetapkan mulai dari tepian rawa hingga</v>
          </cell>
        </row>
        <row r="1874">
          <cell r="C1874" t="str">
            <v>permukaan timbunan mencapai permukaan air rawa.</v>
          </cell>
        </row>
        <row r="1875">
          <cell r="A1875">
            <v>4</v>
          </cell>
          <cell r="C1875" t="str">
            <v>Sekelompok pekerja merapikan timbunan</v>
          </cell>
        </row>
        <row r="1876">
          <cell r="A1876">
            <v>5</v>
          </cell>
          <cell r="C1876" t="str">
            <v>Geotekstil atau batangan kayu (bila diperlukan)</v>
          </cell>
        </row>
        <row r="1877">
          <cell r="C1877" t="str">
            <v>dianggap telah terpasang</v>
          </cell>
        </row>
        <row r="1879">
          <cell r="A1879" t="str">
            <v>III.</v>
          </cell>
          <cell r="C1879" t="str">
            <v>PEMAKAIAN BAHAN, ALAT DAN TENAGA</v>
          </cell>
        </row>
        <row r="1880">
          <cell r="A1880" t="str">
            <v xml:space="preserve">   1.</v>
          </cell>
          <cell r="C1880" t="str">
            <v>BAHAN</v>
          </cell>
        </row>
        <row r="1881">
          <cell r="A1881" t="str">
            <v>1.a.</v>
          </cell>
          <cell r="C1881" t="str">
            <v>Bahan pilihan</v>
          </cell>
          <cell r="G1881" t="str">
            <v>(M09)</v>
          </cell>
          <cell r="H1881">
            <v>1</v>
          </cell>
          <cell r="I1881" t="str">
            <v>M3</v>
          </cell>
        </row>
        <row r="1883">
          <cell r="A1883" t="str">
            <v xml:space="preserve">   2.</v>
          </cell>
          <cell r="C1883" t="str">
            <v>ALAT</v>
          </cell>
        </row>
        <row r="1885">
          <cell r="A1885" t="str">
            <v xml:space="preserve">   2.a.</v>
          </cell>
          <cell r="C1885" t="str">
            <v>DUMP TRUCK</v>
          </cell>
          <cell r="G1885" t="str">
            <v>(E09)</v>
          </cell>
        </row>
        <row r="1886">
          <cell r="C1886" t="str">
            <v>Kapasitas bak</v>
          </cell>
          <cell r="G1886" t="str">
            <v>V</v>
          </cell>
          <cell r="H1886">
            <v>1.9444444444444444</v>
          </cell>
          <cell r="I1886" t="str">
            <v>M3</v>
          </cell>
        </row>
        <row r="1887">
          <cell r="C1887" t="str">
            <v>Faktor  efisiensi alat</v>
          </cell>
          <cell r="G1887" t="str">
            <v>Fa</v>
          </cell>
          <cell r="H1887">
            <v>0.83</v>
          </cell>
          <cell r="I1887" t="str">
            <v>-</v>
          </cell>
          <cell r="Q1887" t="str">
            <v xml:space="preserve">JUMLAH HARGA BAHAN   </v>
          </cell>
          <cell r="U1887">
            <v>25000</v>
          </cell>
        </row>
        <row r="1888">
          <cell r="C1888" t="str">
            <v>Kecepatan rata-rata bermuatan</v>
          </cell>
          <cell r="G1888" t="str">
            <v>v1</v>
          </cell>
          <cell r="H1888">
            <v>45</v>
          </cell>
          <cell r="I1888" t="str">
            <v>KM/Jam</v>
          </cell>
        </row>
        <row r="1889">
          <cell r="C1889" t="str">
            <v>Kecepatan rata-rata kosong</v>
          </cell>
          <cell r="G1889" t="str">
            <v>v2</v>
          </cell>
          <cell r="H1889">
            <v>60</v>
          </cell>
          <cell r="I1889" t="str">
            <v>KM/Jam</v>
          </cell>
          <cell r="L1889" t="str">
            <v>C.</v>
          </cell>
          <cell r="N1889" t="str">
            <v>PERALATAN</v>
          </cell>
        </row>
        <row r="1890">
          <cell r="C1890" t="str">
            <v>Waktusiklus :</v>
          </cell>
          <cell r="G1890" t="str">
            <v>Ts2</v>
          </cell>
          <cell r="L1890" t="str">
            <v>1.</v>
          </cell>
          <cell r="N1890" t="str">
            <v>Dump Truck</v>
          </cell>
          <cell r="O1890" t="str">
            <v>(E08)</v>
          </cell>
          <cell r="P1890" t="str">
            <v>Jam</v>
          </cell>
          <cell r="Q1890">
            <v>0.27194492254733216</v>
          </cell>
          <cell r="R1890">
            <v>153645.58193291764</v>
          </cell>
          <cell r="U1890">
            <v>41783.135878487068</v>
          </cell>
        </row>
        <row r="1891">
          <cell r="C1891" t="str">
            <v>-  Waktu tempuh isi   = (L : v1) x 60</v>
          </cell>
          <cell r="G1891" t="str">
            <v>T1</v>
          </cell>
          <cell r="H1891">
            <v>13.333333333333332</v>
          </cell>
          <cell r="I1891" t="str">
            <v>menit</v>
          </cell>
          <cell r="L1891" t="str">
            <v>2.</v>
          </cell>
          <cell r="N1891" t="str">
            <v>Whell  Loader</v>
          </cell>
          <cell r="O1891" t="str">
            <v>(E15)</v>
          </cell>
          <cell r="P1891" t="str">
            <v>Jam</v>
          </cell>
          <cell r="Q1891">
            <v>1.4874312063067082E-2</v>
          </cell>
          <cell r="R1891">
            <v>163808.13869490434</v>
          </cell>
          <cell r="U1891">
            <v>2436.5333734181813</v>
          </cell>
        </row>
        <row r="1892">
          <cell r="C1892" t="str">
            <v>-  Waktu tempuh kosong   = (L : v2) x 60</v>
          </cell>
          <cell r="G1892" t="str">
            <v>T2</v>
          </cell>
          <cell r="H1892">
            <v>10</v>
          </cell>
          <cell r="I1892" t="str">
            <v>menit</v>
          </cell>
          <cell r="L1892" t="str">
            <v>3.</v>
          </cell>
          <cell r="N1892" t="str">
            <v>Alat  Bantu</v>
          </cell>
          <cell r="P1892" t="str">
            <v>Ls</v>
          </cell>
          <cell r="Q1892">
            <v>1</v>
          </cell>
          <cell r="R1892">
            <v>100</v>
          </cell>
          <cell r="U1892">
            <v>100</v>
          </cell>
        </row>
        <row r="1893">
          <cell r="C1893" t="str">
            <v>- Lain-lain</v>
          </cell>
          <cell r="G1893" t="str">
            <v>T3</v>
          </cell>
          <cell r="H1893">
            <v>3</v>
          </cell>
          <cell r="I1893" t="str">
            <v>menit</v>
          </cell>
        </row>
        <row r="1894">
          <cell r="G1894" t="str">
            <v>Ts1</v>
          </cell>
          <cell r="H1894">
            <v>26.333333333333332</v>
          </cell>
          <cell r="I1894" t="str">
            <v>menit</v>
          </cell>
        </row>
        <row r="1896">
          <cell r="C1896" t="str">
            <v>Kapasitas Produksi / Jam   =</v>
          </cell>
          <cell r="E1896" t="str">
            <v>V x Fa x 60</v>
          </cell>
          <cell r="G1896" t="str">
            <v>Q1</v>
          </cell>
          <cell r="H1896">
            <v>3.6772151898734178</v>
          </cell>
          <cell r="I1896" t="str">
            <v>M3/Jam</v>
          </cell>
        </row>
        <row r="1897">
          <cell r="E1897" t="str">
            <v>Ts1</v>
          </cell>
        </row>
        <row r="1898">
          <cell r="Q1898" t="str">
            <v xml:space="preserve">JUMLAH HARGA PERALATAN   </v>
          </cell>
          <cell r="U1898">
            <v>44319.669251905252</v>
          </cell>
        </row>
        <row r="1899">
          <cell r="C1899" t="str">
            <v>Koefisien Alat / M3</v>
          </cell>
          <cell r="D1899" t="str">
            <v xml:space="preserve"> =  1  :  Q1</v>
          </cell>
          <cell r="G1899" t="str">
            <v>(E08)</v>
          </cell>
          <cell r="H1899">
            <v>0.27194492254733216</v>
          </cell>
          <cell r="I1899" t="str">
            <v>Jam</v>
          </cell>
        </row>
        <row r="1900">
          <cell r="L1900" t="str">
            <v>D.</v>
          </cell>
          <cell r="N1900" t="str">
            <v>JUMLAH HARGA TENAGA, BAHAN DAN PERALATAN  ( A + B + C )</v>
          </cell>
          <cell r="U1900">
            <v>71747.748529013697</v>
          </cell>
        </row>
        <row r="1901">
          <cell r="L1901" t="str">
            <v>E.</v>
          </cell>
          <cell r="N1901" t="str">
            <v>OVERHEAD &amp; PROFIT</v>
          </cell>
          <cell r="P1901">
            <v>10</v>
          </cell>
          <cell r="Q1901" t="str">
            <v>%  x  D</v>
          </cell>
          <cell r="U1901">
            <v>7174.7748529013697</v>
          </cell>
        </row>
        <row r="1902">
          <cell r="A1902" t="str">
            <v>2.b.</v>
          </cell>
          <cell r="C1902" t="str">
            <v>ALAT  BANTU</v>
          </cell>
          <cell r="L1902" t="str">
            <v>F.</v>
          </cell>
          <cell r="N1902" t="str">
            <v>HARGA SATUAN PEKERJAAN  ( D + E )</v>
          </cell>
          <cell r="U1902">
            <v>78922.52338191506</v>
          </cell>
        </row>
        <row r="1903">
          <cell r="C1903" t="str">
            <v>Diperlukan alat-alat bantu kecil</v>
          </cell>
          <cell r="J1903" t="str">
            <v>Lump Sump</v>
          </cell>
          <cell r="L1903" t="str">
            <v>Note: 1</v>
          </cell>
          <cell r="N1903" t="str">
            <v>SATUAN dapat berdasarkan atas jam operasi untuk Tenaga Kerja dan Peralatan, volume dan/atau ukuran</v>
          </cell>
        </row>
        <row r="1904">
          <cell r="C1904" t="str">
            <v>- Sekop    =         3   buah</v>
          </cell>
          <cell r="N1904" t="str">
            <v>berat untuk bahan-bahan.</v>
          </cell>
        </row>
        <row r="1905">
          <cell r="L1905">
            <v>2</v>
          </cell>
          <cell r="N1905" t="str">
            <v>Kuantitas satuan adalah kuantitas setiap komponen untuk menyelesaikan satu satuan pekerjaan dari nomor</v>
          </cell>
        </row>
        <row r="1906">
          <cell r="N1906" t="str">
            <v>mata pembayaran.</v>
          </cell>
        </row>
        <row r="1907">
          <cell r="L1907">
            <v>3</v>
          </cell>
          <cell r="N1907" t="str">
            <v>Biaya satuan untuk peralatan sudah termasuk bahan bakar, bahan habis dipakai dan operator.</v>
          </cell>
        </row>
        <row r="1908">
          <cell r="L1908">
            <v>4</v>
          </cell>
          <cell r="N1908" t="str">
            <v>Biaya satuan sudah termasuk pengeluaran untuk seluruh pajak yang berkaitan (tetapi tidak termasuk PPN</v>
          </cell>
        </row>
        <row r="1909">
          <cell r="N1909" t="str">
            <v>yang dibayar dari kontrak) dan biaya-biaya lainnya.</v>
          </cell>
        </row>
        <row r="1911">
          <cell r="J1911" t="str">
            <v>Berlanjut ke halaman berikut</v>
          </cell>
        </row>
        <row r="1912">
          <cell r="A1912" t="str">
            <v>ITEM PEMBAYARAN NO.</v>
          </cell>
          <cell r="D1912" t="str">
            <v>:  3.2 (4)</v>
          </cell>
          <cell r="J1912" t="str">
            <v>Analisa EI-324</v>
          </cell>
        </row>
        <row r="1913">
          <cell r="A1913" t="str">
            <v>JENIS PEKERJAAN</v>
          </cell>
          <cell r="D1913" t="str">
            <v>:  Timb. Pilihan Di Atas Tnh. Rawa</v>
          </cell>
        </row>
        <row r="1914">
          <cell r="A1914" t="str">
            <v>SATUAN PEMBAYARAN</v>
          </cell>
          <cell r="D1914" t="str">
            <v>:  M3</v>
          </cell>
          <cell r="H1914" t="str">
            <v xml:space="preserve">         URAIAN ANALISA HARGA SATUAN</v>
          </cell>
        </row>
        <row r="1915">
          <cell r="J1915" t="str">
            <v>Lanjutan</v>
          </cell>
        </row>
        <row r="1917">
          <cell r="A1917" t="str">
            <v>No.</v>
          </cell>
          <cell r="C1917" t="str">
            <v>U R A I A N</v>
          </cell>
          <cell r="G1917" t="str">
            <v>KODE</v>
          </cell>
          <cell r="H1917" t="str">
            <v>KOEF.</v>
          </cell>
          <cell r="I1917" t="str">
            <v>SATUAN</v>
          </cell>
          <cell r="J1917" t="str">
            <v>KETERANGAN</v>
          </cell>
        </row>
        <row r="1920">
          <cell r="A1920" t="str">
            <v>2.c.</v>
          </cell>
          <cell r="C1920" t="str">
            <v>WHELL  LOADER</v>
          </cell>
          <cell r="G1920" t="str">
            <v>(E15)</v>
          </cell>
        </row>
        <row r="1921">
          <cell r="C1921" t="str">
            <v>Kapasitas  Bucket</v>
          </cell>
          <cell r="G1921" t="str">
            <v>V</v>
          </cell>
          <cell r="H1921">
            <v>1.5</v>
          </cell>
          <cell r="I1921" t="str">
            <v>M3</v>
          </cell>
        </row>
        <row r="1922">
          <cell r="C1922" t="str">
            <v>Faktor Bucket</v>
          </cell>
          <cell r="G1922" t="str">
            <v>Fb</v>
          </cell>
          <cell r="H1922">
            <v>0.9</v>
          </cell>
          <cell r="I1922" t="str">
            <v>-</v>
          </cell>
        </row>
        <row r="1923">
          <cell r="C1923" t="str">
            <v>Faktor Efisiensi Alat</v>
          </cell>
          <cell r="G1923" t="str">
            <v>Fa</v>
          </cell>
          <cell r="H1923">
            <v>0.83</v>
          </cell>
          <cell r="I1923" t="str">
            <v>-</v>
          </cell>
        </row>
        <row r="1924">
          <cell r="C1924" t="str">
            <v>Waktu sklus</v>
          </cell>
          <cell r="G1924" t="str">
            <v>Ts1</v>
          </cell>
          <cell r="I1924" t="str">
            <v>menit</v>
          </cell>
        </row>
        <row r="1925">
          <cell r="C1925" t="str">
            <v>- Muat</v>
          </cell>
          <cell r="G1925" t="str">
            <v>T1</v>
          </cell>
          <cell r="H1925">
            <v>0.5</v>
          </cell>
          <cell r="I1925" t="str">
            <v>menit</v>
          </cell>
        </row>
        <row r="1926">
          <cell r="C1926" t="str">
            <v>- Lain-lain</v>
          </cell>
          <cell r="G1926" t="str">
            <v>T2</v>
          </cell>
          <cell r="H1926">
            <v>0.5</v>
          </cell>
          <cell r="I1926" t="str">
            <v>menit</v>
          </cell>
        </row>
        <row r="1927">
          <cell r="G1927" t="str">
            <v>Ts2</v>
          </cell>
          <cell r="H1927">
            <v>1</v>
          </cell>
          <cell r="I1927" t="str">
            <v>menit</v>
          </cell>
        </row>
        <row r="1929">
          <cell r="C1929" t="str">
            <v>Kapasitas Produksi / Jam =</v>
          </cell>
          <cell r="E1929" t="str">
            <v>V  x  Fb x Fa x 60</v>
          </cell>
          <cell r="G1929" t="str">
            <v>Q2</v>
          </cell>
          <cell r="H1929">
            <v>67.23</v>
          </cell>
          <cell r="I1929" t="str">
            <v>M3</v>
          </cell>
        </row>
        <row r="1930">
          <cell r="E1930" t="str">
            <v>Ts1</v>
          </cell>
        </row>
        <row r="1932">
          <cell r="C1932" t="str">
            <v>Koefisienalat / M3</v>
          </cell>
          <cell r="D1932" t="str">
            <v xml:space="preserve"> =   1 : Q2</v>
          </cell>
          <cell r="G1932" t="str">
            <v>(E15)</v>
          </cell>
          <cell r="H1932">
            <v>1.4874312063067082E-2</v>
          </cell>
          <cell r="I1932" t="str">
            <v>Jam</v>
          </cell>
        </row>
        <row r="1934">
          <cell r="A1934" t="str">
            <v xml:space="preserve">   3.</v>
          </cell>
          <cell r="C1934" t="str">
            <v>TENAGA</v>
          </cell>
        </row>
        <row r="1935">
          <cell r="C1935" t="str">
            <v>Produksi menentukan : DUMP TRUCK</v>
          </cell>
          <cell r="G1935" t="str">
            <v>Q1</v>
          </cell>
          <cell r="H1935">
            <v>3.6772151898734178</v>
          </cell>
          <cell r="I1935" t="str">
            <v>M3/Jam</v>
          </cell>
        </row>
        <row r="1936">
          <cell r="C1936" t="str">
            <v>Produksi Timbunan / hari  =  Tk x Q1</v>
          </cell>
          <cell r="G1936" t="str">
            <v>Qt</v>
          </cell>
          <cell r="H1936">
            <v>25.740506329113924</v>
          </cell>
          <cell r="I1936" t="str">
            <v>M3</v>
          </cell>
        </row>
        <row r="1937">
          <cell r="C1937" t="str">
            <v>Asumsi permukaan hamparan di permukaan rawa :</v>
          </cell>
        </row>
        <row r="1939">
          <cell r="C1939" t="str">
            <v>Kebutuhan tenaga :</v>
          </cell>
        </row>
        <row r="1940">
          <cell r="D1940" t="str">
            <v>- Pekerja</v>
          </cell>
          <cell r="G1940" t="str">
            <v>P</v>
          </cell>
          <cell r="H1940">
            <v>2</v>
          </cell>
          <cell r="I1940" t="str">
            <v>orang</v>
          </cell>
        </row>
        <row r="1941">
          <cell r="D1941" t="str">
            <v>- Mandor</v>
          </cell>
          <cell r="G1941" t="str">
            <v>M</v>
          </cell>
          <cell r="H1941">
            <v>1</v>
          </cell>
          <cell r="I1941" t="str">
            <v>orang</v>
          </cell>
        </row>
        <row r="1944">
          <cell r="C1944" t="str">
            <v>Koefisien tenaga / M3   :</v>
          </cell>
        </row>
        <row r="1945">
          <cell r="D1945" t="str">
            <v>- Pekerja</v>
          </cell>
          <cell r="E1945" t="str">
            <v>= (Tk x P) : Qt</v>
          </cell>
          <cell r="G1945" t="str">
            <v>(L01)</v>
          </cell>
          <cell r="H1945">
            <v>0.54388984509466443</v>
          </cell>
          <cell r="I1945" t="str">
            <v>Jam</v>
          </cell>
        </row>
        <row r="1946">
          <cell r="D1946" t="str">
            <v>- Mandor</v>
          </cell>
          <cell r="E1946" t="str">
            <v>= (Tk x M) : Qt</v>
          </cell>
          <cell r="G1946" t="str">
            <v>(L02)</v>
          </cell>
          <cell r="H1946">
            <v>0.27194492254733221</v>
          </cell>
          <cell r="I1946" t="str">
            <v>Jam</v>
          </cell>
        </row>
        <row r="1949">
          <cell r="A1949" t="str">
            <v>4.</v>
          </cell>
          <cell r="C1949" t="str">
            <v>HARGA DASAR SATUAN UPAH, BAHAN DAN ALAT</v>
          </cell>
        </row>
        <row r="1950">
          <cell r="C1950" t="str">
            <v>Lihat lampiran.</v>
          </cell>
        </row>
        <row r="1953">
          <cell r="A1953" t="str">
            <v>5.</v>
          </cell>
          <cell r="C1953" t="str">
            <v>ANALISA HARGA SATUAN PEKERJAAN</v>
          </cell>
        </row>
        <row r="1954">
          <cell r="C1954" t="str">
            <v>Lihat perhitungan dalam FORMULIR STANDAR UNTUK</v>
          </cell>
        </row>
        <row r="1955">
          <cell r="C1955" t="str">
            <v>PEREKEMAN ANALISA MASING-MASING HARGA</v>
          </cell>
        </row>
        <row r="1956">
          <cell r="C1956" t="str">
            <v>SATUAN.</v>
          </cell>
        </row>
        <row r="1957">
          <cell r="C1957" t="str">
            <v>Didapat Harga Satuan Pekerjaan :</v>
          </cell>
        </row>
        <row r="1959">
          <cell r="C1959" t="str">
            <v xml:space="preserve">Rp.  </v>
          </cell>
          <cell r="D1959">
            <v>78922.52338191506</v>
          </cell>
          <cell r="E1959" t="str">
            <v xml:space="preserve"> / M3</v>
          </cell>
        </row>
        <row r="1962">
          <cell r="A1962" t="str">
            <v>6.</v>
          </cell>
          <cell r="C1962" t="str">
            <v>WAKTU PELAKSANAAN YANG DIPERLUKAN</v>
          </cell>
        </row>
        <row r="1963">
          <cell r="C1963" t="str">
            <v>Masa Pelaksanaan :</v>
          </cell>
          <cell r="D1963" t="str">
            <v>. . . . . . . . . . . .</v>
          </cell>
          <cell r="E1963" t="str">
            <v>bulan</v>
          </cell>
        </row>
        <row r="1965">
          <cell r="A1965" t="str">
            <v>7.</v>
          </cell>
          <cell r="C1965" t="str">
            <v>VOLUME PEKERJAAN YANG DIPERLUKAN</v>
          </cell>
        </row>
        <row r="1966">
          <cell r="C1966" t="str">
            <v>Volume pekerjaan  :</v>
          </cell>
          <cell r="D1966">
            <v>1</v>
          </cell>
          <cell r="E1966" t="str">
            <v>M3</v>
          </cell>
        </row>
        <row r="1971">
          <cell r="T1971" t="str">
            <v>Analisa EI-331</v>
          </cell>
        </row>
        <row r="1973">
          <cell r="A1973" t="str">
            <v>ITEM PEMBAYARAN NO.</v>
          </cell>
          <cell r="D1973" t="str">
            <v>:  3.3 (1)</v>
          </cell>
          <cell r="J1973" t="str">
            <v>Analisa EI-331</v>
          </cell>
          <cell r="L1973" t="str">
            <v>FORMULIR STANDAR UNTUK</v>
          </cell>
        </row>
        <row r="1974">
          <cell r="A1974" t="str">
            <v>JENIS PEKERJAAN</v>
          </cell>
          <cell r="D1974" t="str">
            <v>:  Penyiapan Badan Jalan pada Galian</v>
          </cell>
          <cell r="L1974" t="str">
            <v>PEREKAMAN ANALISA MASING-MASING HARGA SATUAN</v>
          </cell>
        </row>
        <row r="1975">
          <cell r="A1975" t="str">
            <v>SATUAN PEMBAYARAN</v>
          </cell>
          <cell r="D1975" t="str">
            <v>:  M2</v>
          </cell>
          <cell r="F1975" t="str">
            <v>Biasa</v>
          </cell>
          <cell r="H1975" t="str">
            <v xml:space="preserve">         URAIAN ANALISA HARGA SATUAN</v>
          </cell>
          <cell r="L1975" t="str">
            <v/>
          </cell>
        </row>
        <row r="1978">
          <cell r="A1978" t="str">
            <v>No.</v>
          </cell>
          <cell r="C1978" t="str">
            <v>U R A I A N</v>
          </cell>
          <cell r="G1978" t="str">
            <v>KODE</v>
          </cell>
          <cell r="H1978" t="str">
            <v>KOEF.</v>
          </cell>
          <cell r="I1978" t="str">
            <v>SATUAN</v>
          </cell>
          <cell r="J1978" t="str">
            <v>KETERANGAN</v>
          </cell>
          <cell r="L1978" t="str">
            <v>PROYEK</v>
          </cell>
          <cell r="O1978" t="str">
            <v>:</v>
          </cell>
        </row>
        <row r="1979">
          <cell r="L1979" t="str">
            <v>No. PAKET KONTRAK</v>
          </cell>
          <cell r="O1979" t="str">
            <v>:</v>
          </cell>
        </row>
        <row r="1980">
          <cell r="L1980" t="str">
            <v>NAMA PAKET</v>
          </cell>
          <cell r="O1980" t="str">
            <v>:</v>
          </cell>
        </row>
        <row r="1981">
          <cell r="A1981" t="str">
            <v>I.</v>
          </cell>
          <cell r="C1981" t="str">
            <v>ASUMSI</v>
          </cell>
          <cell r="L1981" t="str">
            <v>PROP / KAB / KODYA</v>
          </cell>
          <cell r="O1981" t="str">
            <v>:</v>
          </cell>
        </row>
        <row r="1982">
          <cell r="A1982">
            <v>1</v>
          </cell>
          <cell r="C1982" t="str">
            <v>Pekerjaan dilaksanakan hanya pada tanah  galian</v>
          </cell>
          <cell r="L1982" t="str">
            <v>ITEM PEMBAYARAN NO.</v>
          </cell>
          <cell r="O1982" t="str">
            <v>:  3.3 (1)</v>
          </cell>
          <cell r="R1982" t="str">
            <v>PERKIRAAN VOL. PEK.</v>
          </cell>
          <cell r="T1982" t="str">
            <v>:</v>
          </cell>
          <cell r="U1982">
            <v>1</v>
          </cell>
        </row>
        <row r="1983">
          <cell r="A1983">
            <v>2</v>
          </cell>
          <cell r="C1983" t="str">
            <v>Pekerjaan dilakukan secara mekanis</v>
          </cell>
          <cell r="L1983" t="str">
            <v>JENIS PEKERJAAN</v>
          </cell>
          <cell r="O1983" t="str">
            <v>:  Penyiapan Badan Jalan pada Galian</v>
          </cell>
          <cell r="R1983" t="str">
            <v>TOTAL HARGA (Rp.)</v>
          </cell>
          <cell r="T1983" t="str">
            <v>:</v>
          </cell>
          <cell r="U1983">
            <v>809086.35646871035</v>
          </cell>
        </row>
        <row r="1984">
          <cell r="A1984">
            <v>3</v>
          </cell>
          <cell r="C1984" t="str">
            <v>Lokasi pekerjaan : sepanjang jalan</v>
          </cell>
          <cell r="L1984" t="str">
            <v>SATUAN PEMBAYARAN</v>
          </cell>
          <cell r="O1984" t="str">
            <v>:  M2</v>
          </cell>
          <cell r="Q1984" t="str">
            <v>Biasa</v>
          </cell>
          <cell r="R1984" t="str">
            <v>% THD. BIAYA PROYEK</v>
          </cell>
          <cell r="T1984" t="str">
            <v>:</v>
          </cell>
          <cell r="U1984" t="e">
            <v>#DIV/0!</v>
          </cell>
        </row>
        <row r="1985">
          <cell r="A1985">
            <v>4</v>
          </cell>
          <cell r="C1985" t="str">
            <v>Kondisi Jalan   : jelek / belum padat</v>
          </cell>
        </row>
        <row r="1986">
          <cell r="A1986">
            <v>5</v>
          </cell>
          <cell r="C1986" t="str">
            <v>Jam kerja efektif per-hari</v>
          </cell>
          <cell r="G1986" t="str">
            <v>Tk</v>
          </cell>
          <cell r="H1986">
            <v>7</v>
          </cell>
          <cell r="I1986" t="str">
            <v>Jam</v>
          </cell>
        </row>
        <row r="1987">
          <cell r="Q1987" t="str">
            <v>PERKIRAAN</v>
          </cell>
          <cell r="R1987" t="str">
            <v>HARGA</v>
          </cell>
          <cell r="S1987" t="str">
            <v>JUMLAH</v>
          </cell>
        </row>
        <row r="1988">
          <cell r="L1988" t="str">
            <v>NO.</v>
          </cell>
          <cell r="N1988" t="str">
            <v>KOMPONEN</v>
          </cell>
          <cell r="P1988" t="str">
            <v>SATUAN</v>
          </cell>
          <cell r="Q1988" t="str">
            <v>KUANTITAS</v>
          </cell>
          <cell r="R1988" t="str">
            <v>SATUAN</v>
          </cell>
          <cell r="S1988" t="str">
            <v>HARGA</v>
          </cell>
        </row>
        <row r="1989">
          <cell r="A1989" t="str">
            <v>II.</v>
          </cell>
          <cell r="C1989" t="str">
            <v>URUTAN KERJA</v>
          </cell>
          <cell r="R1989" t="str">
            <v>(Rp.)</v>
          </cell>
          <cell r="S1989" t="str">
            <v>(Rp.)</v>
          </cell>
        </row>
        <row r="1990">
          <cell r="A1990">
            <v>1</v>
          </cell>
          <cell r="C1990" t="str">
            <v>Motor Grader meratakan permukaan hasil galian</v>
          </cell>
        </row>
        <row r="1991">
          <cell r="A1991">
            <v>2</v>
          </cell>
          <cell r="C1991" t="str">
            <v>Vibro Roller memadatkan permukaan yang telah</v>
          </cell>
        </row>
        <row r="1992">
          <cell r="C1992" t="str">
            <v>dipotong/diratakan oleh Motor Grader</v>
          </cell>
          <cell r="L1992" t="str">
            <v>A.</v>
          </cell>
          <cell r="N1992" t="str">
            <v>TENAGA</v>
          </cell>
        </row>
        <row r="1993">
          <cell r="A1993">
            <v>3</v>
          </cell>
          <cell r="C1993" t="str">
            <v>Sekelompok pekerja akan membantu meratakan</v>
          </cell>
        </row>
        <row r="1994">
          <cell r="C1994" t="str">
            <v>badan jalan dengan alat bantu</v>
          </cell>
          <cell r="L1994" t="str">
            <v>1.</v>
          </cell>
          <cell r="N1994" t="str">
            <v>Pekerja</v>
          </cell>
          <cell r="O1994" t="str">
            <v>(L01)</v>
          </cell>
          <cell r="P1994" t="str">
            <v>jam</v>
          </cell>
          <cell r="Q1994">
            <v>1.6064257028112448E-2</v>
          </cell>
          <cell r="R1994">
            <v>2857.14</v>
          </cell>
          <cell r="U1994">
            <v>45.897831325301198</v>
          </cell>
        </row>
        <row r="1995">
          <cell r="L1995" t="str">
            <v>2.</v>
          </cell>
          <cell r="N1995" t="str">
            <v>Mandor</v>
          </cell>
          <cell r="O1995" t="str">
            <v>(L02)</v>
          </cell>
          <cell r="P1995" t="str">
            <v>jam</v>
          </cell>
          <cell r="Q1995">
            <v>4.0160642570281121E-3</v>
          </cell>
          <cell r="R1995">
            <v>3214.29</v>
          </cell>
          <cell r="U1995">
            <v>12.90879518072289</v>
          </cell>
        </row>
        <row r="1998">
          <cell r="Q1998" t="str">
            <v xml:space="preserve">JUMLAH HARGA TENAGA   </v>
          </cell>
          <cell r="U1998">
            <v>58.806626506024088</v>
          </cell>
        </row>
        <row r="2000">
          <cell r="L2000" t="str">
            <v>B.</v>
          </cell>
          <cell r="N2000" t="str">
            <v>BAHAN</v>
          </cell>
        </row>
        <row r="2001">
          <cell r="A2001" t="str">
            <v>III.</v>
          </cell>
          <cell r="C2001" t="str">
            <v>PEMAKAIAN BAHAN, ALAT DAN TENAGA</v>
          </cell>
        </row>
        <row r="2002">
          <cell r="A2002" t="str">
            <v xml:space="preserve">   1.</v>
          </cell>
          <cell r="C2002" t="str">
            <v>BAHAN</v>
          </cell>
        </row>
        <row r="2003">
          <cell r="C2003" t="str">
            <v>Tidak diperlukan bahan / material</v>
          </cell>
        </row>
        <row r="2005">
          <cell r="A2005" t="str">
            <v xml:space="preserve">   2.</v>
          </cell>
          <cell r="C2005" t="str">
            <v>ALAT</v>
          </cell>
        </row>
        <row r="2006">
          <cell r="A2006" t="str">
            <v>2.a.</v>
          </cell>
          <cell r="C2006" t="str">
            <v>MOTOR GRADER</v>
          </cell>
          <cell r="G2006" t="str">
            <v>(E13)</v>
          </cell>
        </row>
        <row r="2007">
          <cell r="C2007" t="str">
            <v>Panjang operasi grader sekali jalan</v>
          </cell>
          <cell r="G2007" t="str">
            <v>Lh</v>
          </cell>
          <cell r="H2007">
            <v>50</v>
          </cell>
          <cell r="I2007" t="str">
            <v>M</v>
          </cell>
        </row>
        <row r="2008">
          <cell r="C2008" t="str">
            <v>Lebar Efektif kerja Blade</v>
          </cell>
          <cell r="G2008" t="str">
            <v>b</v>
          </cell>
          <cell r="H2008">
            <v>2.4</v>
          </cell>
          <cell r="I2008" t="str">
            <v>M</v>
          </cell>
        </row>
        <row r="2009">
          <cell r="C2009" t="str">
            <v>Faktor Efisiensi Alat</v>
          </cell>
          <cell r="G2009" t="str">
            <v>Fa</v>
          </cell>
          <cell r="H2009">
            <v>0.83</v>
          </cell>
          <cell r="I2009" t="str">
            <v>-</v>
          </cell>
        </row>
        <row r="2010">
          <cell r="C2010" t="str">
            <v>Kecepatan rata-rata alat</v>
          </cell>
          <cell r="G2010" t="str">
            <v>v</v>
          </cell>
          <cell r="H2010">
            <v>2</v>
          </cell>
          <cell r="I2010" t="str">
            <v>Km / Jam</v>
          </cell>
        </row>
        <row r="2011">
          <cell r="C2011" t="str">
            <v>Jumlah lintasan</v>
          </cell>
          <cell r="G2011" t="str">
            <v>n</v>
          </cell>
          <cell r="H2011">
            <v>6</v>
          </cell>
          <cell r="I2011" t="str">
            <v>lintasan</v>
          </cell>
        </row>
        <row r="2012">
          <cell r="C2012" t="str">
            <v>Waktu siklus</v>
          </cell>
          <cell r="G2012" t="str">
            <v>Ts1</v>
          </cell>
        </row>
        <row r="2013">
          <cell r="C2013" t="str">
            <v>- Perataan 1 kali lintasan    = Lh : (v x 1000) x 60</v>
          </cell>
          <cell r="G2013" t="str">
            <v>T1</v>
          </cell>
          <cell r="H2013">
            <v>1.5</v>
          </cell>
          <cell r="I2013" t="str">
            <v>menit</v>
          </cell>
        </row>
        <row r="2014">
          <cell r="C2014" t="str">
            <v>- Lain-lain</v>
          </cell>
          <cell r="G2014" t="str">
            <v>T2</v>
          </cell>
          <cell r="H2014">
            <v>1</v>
          </cell>
          <cell r="I2014" t="str">
            <v>menit</v>
          </cell>
        </row>
        <row r="2015">
          <cell r="G2015" t="str">
            <v>Ts1</v>
          </cell>
          <cell r="H2015">
            <v>2.5</v>
          </cell>
          <cell r="I2015" t="str">
            <v>menit</v>
          </cell>
        </row>
        <row r="2017">
          <cell r="C2017" t="str">
            <v>Kapasitas Produksi / Jam   =</v>
          </cell>
          <cell r="E2017" t="str">
            <v>Lh x b x Fa x 60</v>
          </cell>
          <cell r="G2017" t="str">
            <v>Q1</v>
          </cell>
          <cell r="H2017">
            <v>398.4</v>
          </cell>
          <cell r="I2017" t="str">
            <v>M2</v>
          </cell>
        </row>
        <row r="2018">
          <cell r="E2018" t="str">
            <v xml:space="preserve">      n x Ts</v>
          </cell>
        </row>
        <row r="2020">
          <cell r="C2020" t="str">
            <v>Koefisien Alat / m2</v>
          </cell>
          <cell r="D2020" t="str">
            <v xml:space="preserve"> =  1  :  Q1</v>
          </cell>
          <cell r="G2020" t="str">
            <v>(E13)</v>
          </cell>
          <cell r="H2020">
            <v>2.5100401606425703E-3</v>
          </cell>
          <cell r="I2020" t="str">
            <v>Jam</v>
          </cell>
        </row>
        <row r="2022">
          <cell r="A2022" t="str">
            <v>2.b.</v>
          </cell>
          <cell r="C2022" t="str">
            <v>VIBRATOR ROLLER</v>
          </cell>
          <cell r="G2022" t="str">
            <v>(E19)</v>
          </cell>
        </row>
        <row r="2023">
          <cell r="C2023" t="str">
            <v>Kecepatan rata-rata alat</v>
          </cell>
          <cell r="G2023" t="str">
            <v>v</v>
          </cell>
          <cell r="H2023">
            <v>2</v>
          </cell>
          <cell r="I2023" t="str">
            <v>Km / jam</v>
          </cell>
        </row>
        <row r="2024">
          <cell r="C2024" t="str">
            <v>Lebar efektif pemadatan</v>
          </cell>
          <cell r="G2024" t="str">
            <v>b</v>
          </cell>
          <cell r="H2024">
            <v>1.2</v>
          </cell>
          <cell r="I2024" t="str">
            <v>M</v>
          </cell>
        </row>
        <row r="2025">
          <cell r="C2025" t="str">
            <v>Jumlah lintasan</v>
          </cell>
          <cell r="G2025" t="str">
            <v>n</v>
          </cell>
          <cell r="H2025">
            <v>8</v>
          </cell>
          <cell r="I2025" t="str">
            <v>lintasan</v>
          </cell>
        </row>
        <row r="2026">
          <cell r="C2026" t="str">
            <v>Faktor efisiensi alat</v>
          </cell>
          <cell r="G2026" t="str">
            <v>Fa</v>
          </cell>
          <cell r="H2026">
            <v>0.83</v>
          </cell>
          <cell r="I2026" t="str">
            <v>-</v>
          </cell>
        </row>
        <row r="2028">
          <cell r="C2028" t="str">
            <v>Kapasitas Produksi / Jam   =</v>
          </cell>
          <cell r="E2028" t="str">
            <v>(v x 1000) x b x Fa</v>
          </cell>
          <cell r="G2028" t="str">
            <v>Q2</v>
          </cell>
          <cell r="H2028">
            <v>249</v>
          </cell>
          <cell r="I2028" t="str">
            <v>M2</v>
          </cell>
        </row>
        <row r="2029">
          <cell r="E2029" t="str">
            <v>n</v>
          </cell>
        </row>
        <row r="2031">
          <cell r="C2031" t="str">
            <v>Koefisien Alat / m2</v>
          </cell>
          <cell r="D2031" t="str">
            <v xml:space="preserve"> =  1  :  Q2</v>
          </cell>
          <cell r="G2031" t="str">
            <v>(E19)</v>
          </cell>
          <cell r="H2031">
            <v>4.0160642570281121E-3</v>
          </cell>
          <cell r="I2031" t="str">
            <v>Jam</v>
          </cell>
        </row>
        <row r="2033">
          <cell r="J2033" t="str">
            <v>Berlanjut ke halaman berikut</v>
          </cell>
        </row>
        <row r="2034">
          <cell r="A2034" t="str">
            <v>ITEM PEMBAYARAN NO.</v>
          </cell>
          <cell r="D2034" t="str">
            <v>:  3.3 (1)</v>
          </cell>
          <cell r="J2034" t="str">
            <v>Analisa EI-331</v>
          </cell>
        </row>
        <row r="2035">
          <cell r="A2035" t="str">
            <v>JENIS PEKERJAAN</v>
          </cell>
          <cell r="D2035" t="str">
            <v>:  Penyiapan Badan Jalan pada Galian</v>
          </cell>
        </row>
        <row r="2036">
          <cell r="A2036" t="str">
            <v>SATUAN PEMBAYARAN</v>
          </cell>
          <cell r="D2036" t="str">
            <v>:  M2</v>
          </cell>
          <cell r="H2036" t="str">
            <v xml:space="preserve">         URAIAN ANALISA HARGA SATUAN</v>
          </cell>
        </row>
        <row r="2037">
          <cell r="J2037" t="str">
            <v>Lanjutan</v>
          </cell>
        </row>
        <row r="2039">
          <cell r="A2039" t="str">
            <v>No.</v>
          </cell>
          <cell r="C2039" t="str">
            <v>U R A I A N</v>
          </cell>
          <cell r="G2039" t="str">
            <v>KODE</v>
          </cell>
          <cell r="H2039" t="str">
            <v>KOEF.</v>
          </cell>
          <cell r="I2039" t="str">
            <v>SATUAN</v>
          </cell>
          <cell r="J2039" t="str">
            <v>KETERANGAN</v>
          </cell>
        </row>
        <row r="2042">
          <cell r="A2042" t="str">
            <v>2.c.</v>
          </cell>
          <cell r="C2042" t="str">
            <v>WATER TANK TRUCK</v>
          </cell>
          <cell r="G2042" t="str">
            <v>(E23)</v>
          </cell>
        </row>
        <row r="2043">
          <cell r="C2043" t="str">
            <v>Volume tangki air</v>
          </cell>
          <cell r="G2043" t="str">
            <v>V</v>
          </cell>
          <cell r="H2043">
            <v>4</v>
          </cell>
          <cell r="I2043" t="str">
            <v>M3</v>
          </cell>
        </row>
        <row r="2044">
          <cell r="C2044" t="str">
            <v>Kebutuhan air / M2 permukaan padat</v>
          </cell>
          <cell r="G2044" t="str">
            <v>Wc</v>
          </cell>
          <cell r="H2044">
            <v>0.01</v>
          </cell>
          <cell r="I2044" t="str">
            <v>M3</v>
          </cell>
        </row>
        <row r="2045">
          <cell r="C2045" t="str">
            <v>Pengisian Tangki / jam</v>
          </cell>
          <cell r="G2045" t="str">
            <v>n</v>
          </cell>
          <cell r="H2045">
            <v>1</v>
          </cell>
          <cell r="I2045" t="str">
            <v>kali</v>
          </cell>
        </row>
        <row r="2046">
          <cell r="C2046" t="str">
            <v>Faktor efisiensi alat</v>
          </cell>
          <cell r="G2046" t="str">
            <v>Fa</v>
          </cell>
          <cell r="H2046">
            <v>0.83</v>
          </cell>
          <cell r="I2046" t="str">
            <v>-</v>
          </cell>
        </row>
        <row r="2048">
          <cell r="C2048" t="str">
            <v>Kapasitas Produksi / Jam   =</v>
          </cell>
          <cell r="E2048" t="str">
            <v>V  x  n x Fa</v>
          </cell>
          <cell r="G2048" t="str">
            <v>Q3</v>
          </cell>
          <cell r="H2048">
            <v>332</v>
          </cell>
          <cell r="I2048" t="str">
            <v>M2</v>
          </cell>
        </row>
        <row r="2049">
          <cell r="E2049" t="str">
            <v xml:space="preserve">     Wc</v>
          </cell>
        </row>
        <row r="2051">
          <cell r="C2051" t="str">
            <v>Koefisien Alat / m2</v>
          </cell>
          <cell r="D2051" t="str">
            <v xml:space="preserve"> =  1  :  Q3</v>
          </cell>
          <cell r="G2051" t="str">
            <v>(E23)</v>
          </cell>
          <cell r="H2051">
            <v>3.0120481927710845E-3</v>
          </cell>
          <cell r="I2051" t="str">
            <v>Jam</v>
          </cell>
        </row>
        <row r="2054">
          <cell r="A2054" t="str">
            <v>2.d.</v>
          </cell>
          <cell r="C2054" t="str">
            <v>ALAT  BANTU</v>
          </cell>
        </row>
        <row r="2055">
          <cell r="C2055" t="str">
            <v>Diperlukan alat-alat bantu kecil</v>
          </cell>
          <cell r="J2055" t="str">
            <v>Lump Sum</v>
          </cell>
        </row>
        <row r="2056">
          <cell r="C2056" t="str">
            <v>- Sekop    =         3   buah</v>
          </cell>
        </row>
        <row r="2059">
          <cell r="A2059" t="str">
            <v xml:space="preserve">   3.</v>
          </cell>
          <cell r="C2059" t="str">
            <v>TENAGA</v>
          </cell>
        </row>
        <row r="2060">
          <cell r="C2060" t="str">
            <v>Produksi menentukan : VIBRATORY  ROLLER</v>
          </cell>
          <cell r="G2060" t="str">
            <v>Q2</v>
          </cell>
          <cell r="H2060">
            <v>249</v>
          </cell>
          <cell r="I2060" t="str">
            <v>M2/Jam</v>
          </cell>
        </row>
        <row r="2061">
          <cell r="C2061" t="str">
            <v>Produksi Pekerjaan / hari  =  Tk x Q1</v>
          </cell>
          <cell r="G2061" t="str">
            <v>Qt</v>
          </cell>
          <cell r="H2061">
            <v>1743</v>
          </cell>
          <cell r="I2061" t="str">
            <v>M2</v>
          </cell>
        </row>
        <row r="2062">
          <cell r="C2062" t="str">
            <v>Kebutuhan tenaga :</v>
          </cell>
        </row>
        <row r="2063">
          <cell r="D2063" t="str">
            <v>- Pekerja</v>
          </cell>
          <cell r="G2063" t="str">
            <v>P</v>
          </cell>
          <cell r="H2063">
            <v>4</v>
          </cell>
          <cell r="I2063" t="str">
            <v>orang</v>
          </cell>
        </row>
        <row r="2064">
          <cell r="D2064" t="str">
            <v>- Mandor</v>
          </cell>
          <cell r="G2064" t="str">
            <v>M</v>
          </cell>
          <cell r="H2064">
            <v>1</v>
          </cell>
          <cell r="I2064" t="str">
            <v>orang</v>
          </cell>
        </row>
        <row r="2067">
          <cell r="C2067" t="str">
            <v>Koefisien tenaga / M2</v>
          </cell>
        </row>
        <row r="2068">
          <cell r="D2068" t="str">
            <v>- Pekerja</v>
          </cell>
          <cell r="E2068" t="str">
            <v>= (Tk x P) : Qt</v>
          </cell>
          <cell r="G2068" t="str">
            <v>(L01)</v>
          </cell>
          <cell r="H2068">
            <v>1.6064257028112448E-2</v>
          </cell>
          <cell r="I2068" t="str">
            <v>Jam</v>
          </cell>
        </row>
        <row r="2069">
          <cell r="D2069" t="str">
            <v>- Mandor</v>
          </cell>
          <cell r="E2069" t="str">
            <v>= (Tk x M) : Qt</v>
          </cell>
          <cell r="G2069" t="str">
            <v>(L02)</v>
          </cell>
          <cell r="H2069">
            <v>4.0160642570281121E-3</v>
          </cell>
          <cell r="I2069" t="str">
            <v>Jam</v>
          </cell>
        </row>
        <row r="2072">
          <cell r="A2072" t="str">
            <v>4.</v>
          </cell>
          <cell r="C2072" t="str">
            <v>HARGA DASAR SATUAN UPAH, BAHAN DAN ALAT</v>
          </cell>
        </row>
        <row r="2073">
          <cell r="C2073" t="str">
            <v>Lihat lampiran.</v>
          </cell>
        </row>
        <row r="2076">
          <cell r="A2076" t="str">
            <v>5.</v>
          </cell>
          <cell r="C2076" t="str">
            <v>ANALISA HARGA SATUAN PEKERJAAN</v>
          </cell>
        </row>
        <row r="2077">
          <cell r="C2077" t="str">
            <v>Lihat perhitungan dalam FORMULIR STANDAR UNTUK</v>
          </cell>
        </row>
        <row r="2078">
          <cell r="C2078" t="str">
            <v>PEREKEMAN ANALISA MASING-MASING HARGA</v>
          </cell>
        </row>
        <row r="2079">
          <cell r="C2079" t="str">
            <v>SATUAN.</v>
          </cell>
        </row>
        <row r="2080">
          <cell r="C2080" t="str">
            <v>Didapat Harga Satuan Pekerjaan :</v>
          </cell>
        </row>
        <row r="2082">
          <cell r="C2082" t="str">
            <v xml:space="preserve">Rp.  </v>
          </cell>
          <cell r="D2082">
            <v>1891.5348272711353</v>
          </cell>
          <cell r="E2082" t="str">
            <v xml:space="preserve"> / M2</v>
          </cell>
        </row>
        <row r="2085">
          <cell r="A2085" t="str">
            <v>6.</v>
          </cell>
          <cell r="C2085" t="str">
            <v>WAKTU PELAKSANAAN YANG DIPERLUKAN</v>
          </cell>
        </row>
        <row r="2086">
          <cell r="C2086" t="str">
            <v>Masa Pelaksanaan :</v>
          </cell>
          <cell r="D2086" t="str">
            <v>. . . . . . . . . . . .</v>
          </cell>
          <cell r="E2086" t="str">
            <v>bulan</v>
          </cell>
        </row>
        <row r="2088">
          <cell r="A2088" t="str">
            <v>7.</v>
          </cell>
          <cell r="C2088" t="str">
            <v>VOLUME PEKERJAAN YANG DIPERLUKAN</v>
          </cell>
        </row>
        <row r="2089">
          <cell r="C2089" t="str">
            <v>Volume pekerjaan  :</v>
          </cell>
          <cell r="D2089">
            <v>1</v>
          </cell>
          <cell r="E2089" t="str">
            <v>M2</v>
          </cell>
        </row>
        <row r="2094">
          <cell r="A2094" t="str">
            <v>ITEM PEMBAYARAN NO.</v>
          </cell>
          <cell r="D2094" t="str">
            <v>:  3.1.(7)</v>
          </cell>
          <cell r="J2094" t="str">
            <v>Analisa EI-312</v>
          </cell>
        </row>
        <row r="2095">
          <cell r="A2095" t="str">
            <v>JENIS PEKERJAAN</v>
          </cell>
          <cell r="D2095" t="str">
            <v>:  Pembongk Perk Beraspal dg Cold Milling Machine</v>
          </cell>
        </row>
        <row r="2096">
          <cell r="A2096" t="str">
            <v>SATUAN PEMBAYARAN</v>
          </cell>
          <cell r="D2096" t="str">
            <v>:  M3</v>
          </cell>
          <cell r="H2096" t="str">
            <v xml:space="preserve">         URAIAN ANALISA HARGA SATUAN</v>
          </cell>
        </row>
        <row r="2099">
          <cell r="A2099" t="str">
            <v>No.</v>
          </cell>
          <cell r="C2099" t="str">
            <v>U R A I A N</v>
          </cell>
          <cell r="G2099" t="str">
            <v>KODE</v>
          </cell>
          <cell r="H2099" t="str">
            <v>KOEF.</v>
          </cell>
          <cell r="I2099" t="str">
            <v>SATUAN</v>
          </cell>
          <cell r="J2099" t="str">
            <v>KETERANGAN</v>
          </cell>
        </row>
        <row r="2102">
          <cell r="A2102" t="str">
            <v>I.</v>
          </cell>
          <cell r="C2102" t="str">
            <v>ASUMSI</v>
          </cell>
        </row>
        <row r="2103">
          <cell r="A2103">
            <v>1</v>
          </cell>
          <cell r="C2103" t="str">
            <v>Pekerjaan dilakukan secara mekanik</v>
          </cell>
        </row>
        <row r="2104">
          <cell r="A2104">
            <v>2</v>
          </cell>
          <cell r="C2104" t="str">
            <v>Lokasi pekerjaan : sepanjang jalan</v>
          </cell>
        </row>
        <row r="2105">
          <cell r="A2105">
            <v>3</v>
          </cell>
          <cell r="C2105" t="str">
            <v>Kondisi Jalan   :  sedang / baik</v>
          </cell>
        </row>
        <row r="2106">
          <cell r="A2106">
            <v>4</v>
          </cell>
          <cell r="C2106" t="str">
            <v>Jam kerja efektif per-hari</v>
          </cell>
          <cell r="G2106" t="str">
            <v>Tk</v>
          </cell>
          <cell r="H2106">
            <v>7</v>
          </cell>
          <cell r="I2106" t="str">
            <v>Jam</v>
          </cell>
        </row>
        <row r="2107">
          <cell r="A2107">
            <v>5</v>
          </cell>
          <cell r="C2107" t="str">
            <v>Faktor pengembangan bahan</v>
          </cell>
          <cell r="G2107" t="str">
            <v>Fk</v>
          </cell>
          <cell r="H2107">
            <v>1.24</v>
          </cell>
          <cell r="I2107" t="str">
            <v>-</v>
          </cell>
        </row>
        <row r="2110">
          <cell r="A2110" t="str">
            <v>II.</v>
          </cell>
          <cell r="C2110" t="str">
            <v>URUTAN KERJA</v>
          </cell>
        </row>
        <row r="2111">
          <cell r="A2111">
            <v>1</v>
          </cell>
          <cell r="C2111" t="str">
            <v>Aspal yg dikeruk umumnya berada di badan jalan</v>
          </cell>
        </row>
        <row r="2112">
          <cell r="A2112">
            <v>2</v>
          </cell>
          <cell r="C2112" t="str">
            <v xml:space="preserve">Pengerukan dilakukan dengan Cold Milling </v>
          </cell>
        </row>
        <row r="2113">
          <cell r="C2113" t="str">
            <v xml:space="preserve">dimuat ke dlm Truk </v>
          </cell>
        </row>
        <row r="2114">
          <cell r="A2114">
            <v>3</v>
          </cell>
          <cell r="C2114" t="str">
            <v>Dump Truck membuang material hasil galian keluar</v>
          </cell>
        </row>
        <row r="2115">
          <cell r="C2115" t="str">
            <v>lokasi jalan sejauh :</v>
          </cell>
          <cell r="G2115" t="str">
            <v>L</v>
          </cell>
          <cell r="H2115">
            <v>5</v>
          </cell>
          <cell r="I2115" t="str">
            <v>Km</v>
          </cell>
        </row>
        <row r="2119">
          <cell r="A2119" t="str">
            <v>III.</v>
          </cell>
          <cell r="C2119" t="str">
            <v>PEMAKAIAN BAHAN, ALAT DAN TENAGA</v>
          </cell>
        </row>
        <row r="2121">
          <cell r="A2121" t="str">
            <v xml:space="preserve">   1.</v>
          </cell>
          <cell r="C2121" t="str">
            <v>BAHAN</v>
          </cell>
        </row>
        <row r="2122">
          <cell r="C2122" t="str">
            <v>Tidak ada bahan yang diperlukan</v>
          </cell>
        </row>
        <row r="2125">
          <cell r="A2125" t="str">
            <v xml:space="preserve">   2.</v>
          </cell>
          <cell r="C2125" t="str">
            <v>ALAT</v>
          </cell>
        </row>
        <row r="2126">
          <cell r="A2126" t="str">
            <v xml:space="preserve">   2.a.</v>
          </cell>
          <cell r="C2126" t="str">
            <v>COLD MILLING</v>
          </cell>
        </row>
        <row r="2127">
          <cell r="C2127" t="str">
            <v xml:space="preserve">Produksi teoritis per jam </v>
          </cell>
          <cell r="G2127" t="str">
            <v>q</v>
          </cell>
          <cell r="H2127">
            <v>300</v>
          </cell>
          <cell r="I2127" t="str">
            <v>m</v>
          </cell>
        </row>
        <row r="2128">
          <cell r="C2128" t="str">
            <v>Kapasitas lebar galian</v>
          </cell>
          <cell r="G2128" t="str">
            <v>b</v>
          </cell>
          <cell r="H2128">
            <v>1000</v>
          </cell>
          <cell r="I2128" t="str">
            <v>m</v>
          </cell>
        </row>
        <row r="2129">
          <cell r="C2129" t="str">
            <v>tebal galian</v>
          </cell>
          <cell r="G2129" t="str">
            <v>t</v>
          </cell>
          <cell r="H2129">
            <v>0.15</v>
          </cell>
          <cell r="I2129" t="str">
            <v>m</v>
          </cell>
        </row>
        <row r="2130">
          <cell r="C2130" t="str">
            <v>kecepatan</v>
          </cell>
          <cell r="G2130" t="str">
            <v>v</v>
          </cell>
          <cell r="H2130">
            <v>5</v>
          </cell>
          <cell r="I2130" t="str">
            <v>m/menit</v>
          </cell>
        </row>
        <row r="2131">
          <cell r="C2131" t="str">
            <v>Faktor effesiensi kerja</v>
          </cell>
          <cell r="G2131" t="str">
            <v>Fa</v>
          </cell>
          <cell r="H2131">
            <v>0.6</v>
          </cell>
          <cell r="J2131" t="str">
            <v>grafik cold</v>
          </cell>
          <cell r="Q2131" t="str">
            <v xml:space="preserve">JUMLAH HARGA BAHAN   </v>
          </cell>
          <cell r="U2131">
            <v>0</v>
          </cell>
        </row>
        <row r="2132">
          <cell r="J2132" t="str">
            <v>miling</v>
          </cell>
        </row>
        <row r="2133">
          <cell r="C2133" t="str">
            <v>Kapasitas prod/jam =</v>
          </cell>
          <cell r="E2133" t="str">
            <v>Fa x q x t x Fk</v>
          </cell>
          <cell r="G2133" t="str">
            <v>Q1</v>
          </cell>
          <cell r="H2133">
            <v>33.479999999999997</v>
          </cell>
          <cell r="I2133" t="str">
            <v>M3</v>
          </cell>
          <cell r="L2133" t="str">
            <v>C.</v>
          </cell>
          <cell r="N2133" t="str">
            <v>PERALATAN</v>
          </cell>
        </row>
        <row r="2134">
          <cell r="L2134" t="str">
            <v>1.</v>
          </cell>
          <cell r="N2134" t="str">
            <v>Cold Milling</v>
          </cell>
          <cell r="P2134" t="str">
            <v>Jam</v>
          </cell>
          <cell r="Q2134">
            <v>2.9868578255675033E-2</v>
          </cell>
          <cell r="R2134">
            <v>1163221.6447452162</v>
          </cell>
          <cell r="U2134">
            <v>34743.776724767515</v>
          </cell>
        </row>
        <row r="2135">
          <cell r="C2135" t="str">
            <v>Koefisien Alat / m3</v>
          </cell>
          <cell r="D2135" t="str">
            <v xml:space="preserve"> =  1  :  Q1</v>
          </cell>
          <cell r="H2135">
            <v>2.9868578255675033E-2</v>
          </cell>
          <cell r="I2135" t="str">
            <v>Jam</v>
          </cell>
          <cell r="L2135">
            <v>2</v>
          </cell>
          <cell r="N2135" t="str">
            <v>Dump Truck</v>
          </cell>
          <cell r="O2135" t="str">
            <v>(E08)</v>
          </cell>
          <cell r="P2135" t="str">
            <v>Jam</v>
          </cell>
          <cell r="Q2135">
            <v>0.12969656403391344</v>
          </cell>
          <cell r="R2135">
            <v>153645.58193291764</v>
          </cell>
          <cell r="U2135">
            <v>19927.304055690547</v>
          </cell>
        </row>
        <row r="2138">
          <cell r="A2138" t="str">
            <v xml:space="preserve">   2.b.</v>
          </cell>
          <cell r="C2138" t="str">
            <v>DUMP TRUCK</v>
          </cell>
          <cell r="G2138" t="str">
            <v>(E08)</v>
          </cell>
        </row>
        <row r="2139">
          <cell r="C2139" t="str">
            <v>Kapasitas bak</v>
          </cell>
          <cell r="G2139" t="str">
            <v>V</v>
          </cell>
          <cell r="H2139">
            <v>4</v>
          </cell>
          <cell r="I2139" t="str">
            <v>M3</v>
          </cell>
        </row>
        <row r="2140">
          <cell r="C2140" t="str">
            <v>Faktor  efisiensi alat</v>
          </cell>
          <cell r="G2140" t="str">
            <v>Fa</v>
          </cell>
          <cell r="H2140">
            <v>0.83</v>
          </cell>
          <cell r="I2140" t="str">
            <v>-</v>
          </cell>
          <cell r="Q2140" t="str">
            <v xml:space="preserve">JUMLAH HARGA PERALATAN   </v>
          </cell>
          <cell r="U2140">
            <v>54671.080780458062</v>
          </cell>
        </row>
        <row r="2141">
          <cell r="C2141" t="str">
            <v>Kecepatan rata-rata bermuatan</v>
          </cell>
          <cell r="G2141" t="str">
            <v>v1</v>
          </cell>
          <cell r="H2141">
            <v>45</v>
          </cell>
          <cell r="I2141" t="str">
            <v>KM/Jam</v>
          </cell>
        </row>
        <row r="2142">
          <cell r="C2142" t="str">
            <v>Kecepatan rata-rata kosong</v>
          </cell>
          <cell r="G2142" t="str">
            <v>v2</v>
          </cell>
          <cell r="H2142">
            <v>60</v>
          </cell>
          <cell r="I2142" t="str">
            <v>KM/Jam</v>
          </cell>
          <cell r="L2142" t="str">
            <v>D.</v>
          </cell>
          <cell r="N2142" t="str">
            <v>JUMLAH HARGA TENAGA, BAHAN DAN PERALATAN  ( A + B + C )</v>
          </cell>
          <cell r="U2142">
            <v>54937.764472214338</v>
          </cell>
        </row>
        <row r="2143">
          <cell r="C2143" t="str">
            <v>Waktu  siklus</v>
          </cell>
          <cell r="G2143" t="str">
            <v>Ts1</v>
          </cell>
          <cell r="I2143" t="str">
            <v>menit</v>
          </cell>
          <cell r="L2143" t="str">
            <v>E.</v>
          </cell>
          <cell r="N2143" t="str">
            <v>OVERHEAD &amp; PROFIT</v>
          </cell>
          <cell r="P2143">
            <v>10</v>
          </cell>
          <cell r="Q2143" t="str">
            <v>%  x  D</v>
          </cell>
          <cell r="U2143">
            <v>5493.776447221434</v>
          </cell>
        </row>
        <row r="2144">
          <cell r="C2144" t="str">
            <v>- Waktu tempuh isi</v>
          </cell>
          <cell r="E2144" t="str">
            <v>=   (L  :  v1)  x  60</v>
          </cell>
          <cell r="G2144" t="str">
            <v>T1</v>
          </cell>
          <cell r="H2144">
            <v>6.6666666666666661</v>
          </cell>
          <cell r="I2144" t="str">
            <v>menit</v>
          </cell>
          <cell r="L2144" t="str">
            <v>F.</v>
          </cell>
          <cell r="N2144" t="str">
            <v>HARGA SATUAN PEKERJAAN  ( D + E )</v>
          </cell>
          <cell r="U2144">
            <v>60431.540919435771</v>
          </cell>
        </row>
        <row r="2145">
          <cell r="C2145" t="str">
            <v>- Waktu tempuh kosong</v>
          </cell>
          <cell r="E2145" t="str">
            <v>=   (L  :  v2)  x  60</v>
          </cell>
          <cell r="G2145" t="str">
            <v>T2</v>
          </cell>
          <cell r="H2145">
            <v>5</v>
          </cell>
          <cell r="I2145" t="str">
            <v>menit</v>
          </cell>
          <cell r="L2145" t="str">
            <v>Note: 1</v>
          </cell>
          <cell r="N2145" t="str">
            <v>SATUAN dapat berdasarkan atas jam operasi untuk Tenaga Kerja dan Peralatan, volume dan/atau ukuran</v>
          </cell>
        </row>
        <row r="2146">
          <cell r="C2146" t="str">
            <v>- Muat</v>
          </cell>
          <cell r="E2146" t="str">
            <v>=   (V  :  Q1) x 60</v>
          </cell>
          <cell r="G2146" t="str">
            <v>T3</v>
          </cell>
          <cell r="H2146">
            <v>7.1684587813620082</v>
          </cell>
          <cell r="I2146" t="str">
            <v>menit</v>
          </cell>
          <cell r="N2146" t="str">
            <v>berat untuk bahan-bahan.</v>
          </cell>
        </row>
        <row r="2147">
          <cell r="C2147" t="str">
            <v>- Lain-lain</v>
          </cell>
          <cell r="G2147" t="str">
            <v>T4</v>
          </cell>
          <cell r="H2147">
            <v>2</v>
          </cell>
          <cell r="I2147" t="str">
            <v>menit</v>
          </cell>
          <cell r="L2147">
            <v>2</v>
          </cell>
          <cell r="N2147" t="str">
            <v>Kuantitas satuan adalah kuantitas setiap komponen untuk menyelesaikan satu satuan pekerjaan dari nomor</v>
          </cell>
        </row>
        <row r="2148">
          <cell r="G2148" t="str">
            <v>Ts1</v>
          </cell>
          <cell r="H2148">
            <v>20.835125448028673</v>
          </cell>
          <cell r="I2148" t="str">
            <v>menit</v>
          </cell>
          <cell r="N2148" t="str">
            <v>mata pembayaran.</v>
          </cell>
        </row>
        <row r="2149">
          <cell r="L2149">
            <v>3</v>
          </cell>
          <cell r="N2149" t="str">
            <v>Biaya satuan untuk peralatan sudah termasuk bahan bakar, bahan habis dipakai dan operator.</v>
          </cell>
        </row>
        <row r="2150">
          <cell r="L2150">
            <v>4</v>
          </cell>
          <cell r="N2150" t="str">
            <v>Biaya satuan sudah termasuk pengeluaran untuk seluruh pajak yang berkaitan (tetapi tidak termasuk PPN</v>
          </cell>
        </row>
        <row r="2151">
          <cell r="C2151" t="str">
            <v>Kapasitas Produksi / Jam   =</v>
          </cell>
          <cell r="E2151" t="str">
            <v>V x Fa x 60</v>
          </cell>
          <cell r="G2151" t="str">
            <v>Q2</v>
          </cell>
          <cell r="H2151">
            <v>7.7103044899363491</v>
          </cell>
          <cell r="I2151" t="str">
            <v xml:space="preserve">M3 / Jam </v>
          </cell>
          <cell r="N2151" t="str">
            <v>yang dibayar dari kontrak) dan biaya-biaya lainnya.</v>
          </cell>
        </row>
        <row r="2152">
          <cell r="E2152" t="str">
            <v xml:space="preserve">    Fk x Ts1</v>
          </cell>
        </row>
        <row r="2155">
          <cell r="C2155" t="str">
            <v>Koefisien Alat / m3</v>
          </cell>
          <cell r="D2155" t="str">
            <v xml:space="preserve"> =  1  :  Q2</v>
          </cell>
          <cell r="G2155" t="str">
            <v>(E08)</v>
          </cell>
          <cell r="H2155">
            <v>0.12969656403391344</v>
          </cell>
          <cell r="I2155" t="str">
            <v>Jam</v>
          </cell>
        </row>
        <row r="2160">
          <cell r="J2160" t="str">
            <v>Berlanjut ke halaman berikut</v>
          </cell>
        </row>
        <row r="2161">
          <cell r="A2161" t="str">
            <v>ITEM PEMBAYARAN NO.</v>
          </cell>
          <cell r="D2161" t="str">
            <v>:  3.1.(7)</v>
          </cell>
          <cell r="J2161" t="str">
            <v>Analisa EI-312</v>
          </cell>
        </row>
        <row r="2162">
          <cell r="A2162" t="str">
            <v>JENIS PEKERJAAN</v>
          </cell>
          <cell r="D2162" t="str">
            <v>:  Pembongk Perk Beraspal dg Cold Milling Machine</v>
          </cell>
        </row>
        <row r="2163">
          <cell r="A2163" t="str">
            <v>SATUAN PEMBAYARAN</v>
          </cell>
          <cell r="D2163" t="str">
            <v>:  M3</v>
          </cell>
          <cell r="H2163" t="str">
            <v xml:space="preserve">         URAIAN ANALISA HARGA SATUAN</v>
          </cell>
        </row>
        <row r="2164">
          <cell r="J2164" t="str">
            <v>Lanjutan</v>
          </cell>
        </row>
        <row r="2166">
          <cell r="A2166" t="str">
            <v>No.</v>
          </cell>
          <cell r="C2166" t="str">
            <v>U R A I A N</v>
          </cell>
          <cell r="G2166" t="str">
            <v>KODE</v>
          </cell>
          <cell r="H2166" t="str">
            <v>KOEF.</v>
          </cell>
          <cell r="I2166" t="str">
            <v>SATUAN</v>
          </cell>
          <cell r="J2166" t="str">
            <v>KETERANGAN</v>
          </cell>
        </row>
        <row r="2169">
          <cell r="A2169" t="str">
            <v xml:space="preserve"> 2.c</v>
          </cell>
          <cell r="C2169" t="str">
            <v>ALAT  BANTU</v>
          </cell>
        </row>
        <row r="2170">
          <cell r="C2170" t="str">
            <v>Diperlukan alat-alat bantu kecil</v>
          </cell>
          <cell r="J2170" t="str">
            <v>Lump Sump</v>
          </cell>
        </row>
        <row r="2171">
          <cell r="C2171" t="str">
            <v>- Pahat / Tatah</v>
          </cell>
          <cell r="D2171" t="str">
            <v>=  2  buah</v>
          </cell>
        </row>
        <row r="2172">
          <cell r="C2172" t="str">
            <v>- Palu Besar</v>
          </cell>
          <cell r="D2172" t="str">
            <v>=  2  buah</v>
          </cell>
        </row>
        <row r="2174">
          <cell r="A2174" t="str">
            <v xml:space="preserve">   3.</v>
          </cell>
          <cell r="C2174" t="str">
            <v>TENAGA</v>
          </cell>
        </row>
        <row r="2175">
          <cell r="C2175" t="str">
            <v>Produksi menentukan : COLD MILLING</v>
          </cell>
          <cell r="G2175" t="str">
            <v>Q1</v>
          </cell>
          <cell r="H2175">
            <v>33.479999999999997</v>
          </cell>
          <cell r="I2175" t="str">
            <v>M3/Jam</v>
          </cell>
        </row>
        <row r="2176">
          <cell r="C2176" t="str">
            <v>Produksi Galian / hari  =  Tk x Q1</v>
          </cell>
          <cell r="G2176" t="str">
            <v>Qt</v>
          </cell>
          <cell r="H2176">
            <v>234.35999999999999</v>
          </cell>
          <cell r="I2176" t="str">
            <v>M2</v>
          </cell>
        </row>
        <row r="2177">
          <cell r="C2177" t="str">
            <v>Kebutuhan tenaga :</v>
          </cell>
        </row>
        <row r="2178">
          <cell r="D2178" t="str">
            <v>- Pekerja</v>
          </cell>
          <cell r="G2178" t="str">
            <v>P</v>
          </cell>
          <cell r="H2178">
            <v>2</v>
          </cell>
          <cell r="I2178" t="str">
            <v>orang</v>
          </cell>
        </row>
        <row r="2179">
          <cell r="D2179" t="str">
            <v>- Mandor</v>
          </cell>
          <cell r="G2179" t="str">
            <v>M</v>
          </cell>
          <cell r="H2179">
            <v>1</v>
          </cell>
          <cell r="I2179" t="str">
            <v>orang</v>
          </cell>
        </row>
        <row r="2181">
          <cell r="C2181" t="str">
            <v>Koefisien tenaga / M3   :</v>
          </cell>
        </row>
        <row r="2182">
          <cell r="D2182" t="str">
            <v>- Pekerja</v>
          </cell>
          <cell r="E2182" t="str">
            <v>= (Tk x P) : Qt</v>
          </cell>
          <cell r="G2182" t="str">
            <v>(L01)</v>
          </cell>
          <cell r="H2182">
            <v>5.9737156511350066E-2</v>
          </cell>
          <cell r="I2182" t="str">
            <v>Jam</v>
          </cell>
        </row>
        <row r="2183">
          <cell r="D2183" t="str">
            <v>- Mandor</v>
          </cell>
          <cell r="E2183" t="str">
            <v>= (Tk x M) : Qt</v>
          </cell>
          <cell r="G2183" t="str">
            <v>(L03)</v>
          </cell>
          <cell r="H2183">
            <v>2.9868578255675033E-2</v>
          </cell>
          <cell r="I2183" t="str">
            <v>Jam</v>
          </cell>
        </row>
        <row r="2185">
          <cell r="A2185" t="str">
            <v>4.</v>
          </cell>
          <cell r="C2185" t="str">
            <v>HARGA DASAR SATUAN UPAH, BAHAN DAN ALAT</v>
          </cell>
        </row>
        <row r="2186">
          <cell r="C2186" t="str">
            <v>Lihat lampiran.</v>
          </cell>
        </row>
        <row r="2188">
          <cell r="A2188" t="str">
            <v>5.</v>
          </cell>
          <cell r="C2188" t="str">
            <v>ANALISA HARGA SATUAN PEKERJAAN</v>
          </cell>
        </row>
        <row r="2189">
          <cell r="C2189" t="str">
            <v>Lihat perhitungan dalam FORMULIR STANDAR UNTUK</v>
          </cell>
        </row>
        <row r="2190">
          <cell r="C2190" t="str">
            <v>PEREKEMAN ANALISA MASING-MASING HARGA</v>
          </cell>
        </row>
        <row r="2191">
          <cell r="C2191" t="str">
            <v>SATUAN.</v>
          </cell>
        </row>
        <row r="2192">
          <cell r="C2192" t="str">
            <v>Didapat Harga Satuan Pekerjaan :</v>
          </cell>
        </row>
        <row r="2194">
          <cell r="C2194" t="str">
            <v xml:space="preserve">Rp.  </v>
          </cell>
          <cell r="D2194">
            <v>60431.540919435771</v>
          </cell>
          <cell r="E2194" t="str">
            <v xml:space="preserve"> / M2</v>
          </cell>
        </row>
        <row r="2197">
          <cell r="A2197" t="str">
            <v>6.</v>
          </cell>
          <cell r="C2197" t="str">
            <v>WAKTU PELAKSANAAN YANG DIPERLUKAN</v>
          </cell>
        </row>
        <row r="2198">
          <cell r="C2198" t="str">
            <v>Masa Pelaksanaan :</v>
          </cell>
          <cell r="D2198" t="str">
            <v>. . . . . . . . . . . .</v>
          </cell>
          <cell r="E2198" t="str">
            <v>bulan</v>
          </cell>
        </row>
        <row r="2200">
          <cell r="A2200" t="str">
            <v>7.</v>
          </cell>
          <cell r="C2200" t="str">
            <v>VOLUME PEKERJAAN YANG DIPERLUKAN</v>
          </cell>
        </row>
        <row r="2201">
          <cell r="C2201" t="str">
            <v>Volume pekerjaan  :</v>
          </cell>
          <cell r="D2201">
            <v>0</v>
          </cell>
          <cell r="E2201" t="str">
            <v>M3</v>
          </cell>
        </row>
        <row r="2217">
          <cell r="A2217" t="str">
            <v>ITEM PEMBAYARAN NO.</v>
          </cell>
          <cell r="D2217" t="str">
            <v>:  3.1.(8)</v>
          </cell>
          <cell r="J2217" t="str">
            <v>=T2272</v>
          </cell>
        </row>
        <row r="2218">
          <cell r="A2218" t="str">
            <v>JENIS PEKERJAAN</v>
          </cell>
          <cell r="D2218" t="str">
            <v>:  Pembongk Perk Beraspal tanpa Cold Milling Machine</v>
          </cell>
        </row>
        <row r="2219">
          <cell r="A2219" t="str">
            <v>SATUAN PEMBAYARAN</v>
          </cell>
          <cell r="D2219" t="str">
            <v>:  M3</v>
          </cell>
          <cell r="H2219" t="str">
            <v xml:space="preserve">         URAIAN ANALISA HARGA SATUAN</v>
          </cell>
        </row>
        <row r="2222">
          <cell r="A2222" t="str">
            <v>No.</v>
          </cell>
          <cell r="C2222" t="str">
            <v>U R A I A N</v>
          </cell>
          <cell r="G2222" t="str">
            <v>KODE</v>
          </cell>
          <cell r="H2222" t="str">
            <v>KOEF.</v>
          </cell>
          <cell r="I2222" t="str">
            <v>SATUAN</v>
          </cell>
          <cell r="J2222" t="str">
            <v>KETERANGAN</v>
          </cell>
        </row>
        <row r="2225">
          <cell r="A2225" t="str">
            <v>I.</v>
          </cell>
          <cell r="C2225" t="str">
            <v>ASUMSI</v>
          </cell>
        </row>
        <row r="2226">
          <cell r="A2226">
            <v>1</v>
          </cell>
          <cell r="C2226" t="str">
            <v>Pekerjaan dilakukan secara mekanik/manual</v>
          </cell>
        </row>
        <row r="2227">
          <cell r="A2227">
            <v>2</v>
          </cell>
          <cell r="C2227" t="str">
            <v>Lokasi pekerjaan : sepanjang jalan</v>
          </cell>
        </row>
        <row r="2228">
          <cell r="A2228">
            <v>3</v>
          </cell>
          <cell r="C2228" t="str">
            <v>Kondisi Jalan   :  sedang / baik</v>
          </cell>
        </row>
        <row r="2229">
          <cell r="A2229">
            <v>4</v>
          </cell>
          <cell r="C2229" t="str">
            <v>Jam kerja efektif per-hari</v>
          </cell>
          <cell r="G2229" t="str">
            <v>Tk</v>
          </cell>
          <cell r="H2229">
            <v>7</v>
          </cell>
          <cell r="I2229" t="str">
            <v>Jam</v>
          </cell>
        </row>
        <row r="2230">
          <cell r="A2230">
            <v>5</v>
          </cell>
          <cell r="C2230" t="str">
            <v>Faktor pengembangan bahan</v>
          </cell>
          <cell r="G2230" t="str">
            <v>Fk</v>
          </cell>
          <cell r="H2230">
            <v>1.24</v>
          </cell>
          <cell r="I2230" t="str">
            <v>-</v>
          </cell>
        </row>
        <row r="2233">
          <cell r="A2233" t="str">
            <v>II.</v>
          </cell>
          <cell r="C2233" t="str">
            <v>URUTAN KERJA</v>
          </cell>
        </row>
        <row r="2234">
          <cell r="A2234">
            <v>1</v>
          </cell>
          <cell r="C2234" t="str">
            <v>Aspal yg dikeruk umumnya berada di badan jalan</v>
          </cell>
        </row>
        <row r="2235">
          <cell r="A2235">
            <v>2</v>
          </cell>
          <cell r="C2235" t="str">
            <v>Pengerukan dilakukan dengan Jack Hammer dan</v>
          </cell>
        </row>
        <row r="2236">
          <cell r="C2236" t="str">
            <v>dimuat ke dalam truck secara manual</v>
          </cell>
        </row>
        <row r="2237">
          <cell r="A2237">
            <v>3</v>
          </cell>
          <cell r="C2237" t="str">
            <v>Dump Truck membuang material hasil galian keluar</v>
          </cell>
        </row>
        <row r="2238">
          <cell r="C2238" t="str">
            <v>lokasi jalan sejauh :</v>
          </cell>
          <cell r="G2238" t="str">
            <v>L</v>
          </cell>
          <cell r="H2238">
            <v>5</v>
          </cell>
          <cell r="I2238" t="str">
            <v>Km</v>
          </cell>
        </row>
        <row r="2242">
          <cell r="A2242" t="str">
            <v>III.</v>
          </cell>
          <cell r="C2242" t="str">
            <v>PEMAKAIAN BAHAN, ALAT DAN TENAGA</v>
          </cell>
        </row>
        <row r="2244">
          <cell r="A2244" t="str">
            <v xml:space="preserve">   1.</v>
          </cell>
          <cell r="C2244" t="str">
            <v>BAHAN</v>
          </cell>
        </row>
        <row r="2245">
          <cell r="C2245" t="str">
            <v>Tidak ada bahan yang diperlukan</v>
          </cell>
        </row>
        <row r="2248">
          <cell r="A2248" t="str">
            <v xml:space="preserve">   2.</v>
          </cell>
          <cell r="C2248" t="str">
            <v>ALAT</v>
          </cell>
        </row>
        <row r="2249">
          <cell r="A2249" t="str">
            <v xml:space="preserve">   2.a.</v>
          </cell>
          <cell r="C2249" t="str">
            <v>JACK HAMMER, COMPRESSOR</v>
          </cell>
        </row>
        <row r="2250">
          <cell r="C2250" t="str">
            <v>Produksi per jam</v>
          </cell>
          <cell r="G2250" t="str">
            <v>Q1</v>
          </cell>
          <cell r="H2250">
            <v>1</v>
          </cell>
          <cell r="I2250" t="str">
            <v>M3 / Jam</v>
          </cell>
        </row>
        <row r="2252">
          <cell r="C2252" t="str">
            <v>Koefisien Alat / m3</v>
          </cell>
          <cell r="D2252" t="str">
            <v xml:space="preserve"> =  1  :  Q1</v>
          </cell>
          <cell r="H2252">
            <v>1</v>
          </cell>
          <cell r="I2252" t="str">
            <v>Jam</v>
          </cell>
        </row>
        <row r="2255">
          <cell r="A2255" t="str">
            <v xml:space="preserve">   2.b.</v>
          </cell>
          <cell r="C2255" t="str">
            <v>DUMP TRUCK</v>
          </cell>
          <cell r="G2255" t="str">
            <v>(E08)</v>
          </cell>
        </row>
        <row r="2256">
          <cell r="C2256" t="str">
            <v>Kapasitas bak</v>
          </cell>
          <cell r="G2256" t="str">
            <v>V</v>
          </cell>
          <cell r="H2256">
            <v>4</v>
          </cell>
          <cell r="I2256" t="str">
            <v>M3</v>
          </cell>
        </row>
        <row r="2257">
          <cell r="C2257" t="str">
            <v>Faktor  efisiensi alat</v>
          </cell>
          <cell r="G2257" t="str">
            <v>Fa</v>
          </cell>
          <cell r="H2257">
            <v>0.83</v>
          </cell>
          <cell r="I2257" t="str">
            <v>-</v>
          </cell>
        </row>
        <row r="2258">
          <cell r="C2258" t="str">
            <v>Kecepatan rata-rata bermuatan</v>
          </cell>
          <cell r="G2258" t="str">
            <v>v1</v>
          </cell>
          <cell r="H2258">
            <v>45</v>
          </cell>
          <cell r="I2258" t="str">
            <v>KM/Jam</v>
          </cell>
        </row>
        <row r="2259">
          <cell r="C2259" t="str">
            <v>Kecepatan rata-rata kosong</v>
          </cell>
          <cell r="G2259" t="str">
            <v>v2</v>
          </cell>
          <cell r="H2259">
            <v>60</v>
          </cell>
          <cell r="I2259" t="str">
            <v>KM/Jam</v>
          </cell>
        </row>
        <row r="2260">
          <cell r="C2260" t="str">
            <v>Waktu  siklus</v>
          </cell>
          <cell r="G2260" t="str">
            <v>Ts1</v>
          </cell>
          <cell r="I2260" t="str">
            <v>menit</v>
          </cell>
        </row>
        <row r="2261">
          <cell r="C2261" t="str">
            <v>- Waktu tempuh isi</v>
          </cell>
          <cell r="E2261" t="str">
            <v>=   (L  :  v1)  x  60</v>
          </cell>
          <cell r="G2261" t="str">
            <v>T1</v>
          </cell>
          <cell r="H2261">
            <v>6.6666666666666661</v>
          </cell>
          <cell r="I2261" t="str">
            <v>menit</v>
          </cell>
        </row>
        <row r="2262">
          <cell r="C2262" t="str">
            <v>- Waktu tempuh kosong</v>
          </cell>
          <cell r="E2262" t="str">
            <v>=   (L  :  v2)  x  60</v>
          </cell>
          <cell r="G2262" t="str">
            <v>T2</v>
          </cell>
          <cell r="H2262">
            <v>5</v>
          </cell>
          <cell r="I2262" t="str">
            <v>menit</v>
          </cell>
        </row>
        <row r="2263">
          <cell r="C2263" t="str">
            <v>- Muat</v>
          </cell>
          <cell r="E2263" t="str">
            <v>=   (V  :  Q1) x 60</v>
          </cell>
          <cell r="G2263" t="str">
            <v>T3</v>
          </cell>
          <cell r="H2263">
            <v>240</v>
          </cell>
          <cell r="I2263" t="str">
            <v>menit</v>
          </cell>
        </row>
        <row r="2264">
          <cell r="C2264" t="str">
            <v>- Lain-lain</v>
          </cell>
          <cell r="G2264" t="str">
            <v>T4</v>
          </cell>
          <cell r="H2264">
            <v>2</v>
          </cell>
          <cell r="I2264" t="str">
            <v>menit</v>
          </cell>
        </row>
        <row r="2265">
          <cell r="G2265" t="str">
            <v>Ts1</v>
          </cell>
          <cell r="H2265">
            <v>253.66666666666666</v>
          </cell>
          <cell r="I2265" t="str">
            <v>menit</v>
          </cell>
        </row>
        <row r="2268">
          <cell r="C2268" t="str">
            <v>Kapasitas Produksi / Jam   =</v>
          </cell>
          <cell r="E2268" t="str">
            <v>V x Fa x 60</v>
          </cell>
          <cell r="G2268" t="str">
            <v>Q2</v>
          </cell>
          <cell r="H2268">
            <v>0.63329235725488531</v>
          </cell>
          <cell r="I2268" t="str">
            <v xml:space="preserve">M3 / Jam </v>
          </cell>
        </row>
        <row r="2269">
          <cell r="E2269" t="str">
            <v xml:space="preserve">    Fk x Ts1</v>
          </cell>
        </row>
        <row r="2272">
          <cell r="C2272" t="str">
            <v>Koefisien Alat / m3</v>
          </cell>
          <cell r="D2272" t="str">
            <v xml:space="preserve"> =  1  :  Q2</v>
          </cell>
          <cell r="G2272" t="str">
            <v>(E08)</v>
          </cell>
          <cell r="H2272">
            <v>1.5790495314591702</v>
          </cell>
          <cell r="I2272" t="str">
            <v>Jam</v>
          </cell>
        </row>
        <row r="2274">
          <cell r="C2274" t="str">
            <v/>
          </cell>
        </row>
        <row r="2275">
          <cell r="C2275" t="str">
            <v/>
          </cell>
        </row>
        <row r="2277">
          <cell r="J2277" t="str">
            <v>Berlanjut ke halaman berikut</v>
          </cell>
        </row>
        <row r="2278">
          <cell r="A2278" t="str">
            <v>ITEM PEMBAYARAN NO.</v>
          </cell>
          <cell r="D2278" t="str">
            <v>:  3.1.(8)</v>
          </cell>
          <cell r="J2278" t="str">
            <v>=T2272</v>
          </cell>
        </row>
        <row r="2279">
          <cell r="A2279" t="str">
            <v>JENIS PEKERJAAN</v>
          </cell>
          <cell r="D2279" t="str">
            <v>:  Pembongk Perk Beraspal tanpa Cold Milling Machine</v>
          </cell>
        </row>
        <row r="2280">
          <cell r="A2280" t="str">
            <v>SATUAN PEMBAYARAN</v>
          </cell>
          <cell r="D2280" t="str">
            <v>:  M3</v>
          </cell>
          <cell r="H2280" t="str">
            <v xml:space="preserve">         URAIAN ANALISA HARGA SATUAN</v>
          </cell>
        </row>
        <row r="2281">
          <cell r="J2281" t="str">
            <v>Lanjutan</v>
          </cell>
        </row>
        <row r="2283">
          <cell r="A2283" t="str">
            <v>No.</v>
          </cell>
          <cell r="C2283" t="str">
            <v>U R A I A N</v>
          </cell>
          <cell r="G2283" t="str">
            <v>KODE</v>
          </cell>
          <cell r="H2283" t="str">
            <v>KOEF.</v>
          </cell>
          <cell r="I2283" t="str">
            <v>SATUAN</v>
          </cell>
          <cell r="J2283" t="str">
            <v>KETERANGAN</v>
          </cell>
        </row>
        <row r="2286">
          <cell r="A2286" t="str">
            <v xml:space="preserve"> 2.c</v>
          </cell>
          <cell r="C2286" t="str">
            <v>ALAT  BANTU</v>
          </cell>
        </row>
        <row r="2287">
          <cell r="C2287" t="str">
            <v>Diperlukan alat-alat bantu kecil</v>
          </cell>
          <cell r="J2287" t="str">
            <v>Lump Sump</v>
          </cell>
        </row>
        <row r="2288">
          <cell r="C2288" t="str">
            <v>- Sekop</v>
          </cell>
          <cell r="D2288" t="str">
            <v>= 2 buah</v>
          </cell>
        </row>
        <row r="2289">
          <cell r="C2289" t="str">
            <v>- Kereta Sorong</v>
          </cell>
          <cell r="D2289" t="str">
            <v>= 2 buah</v>
          </cell>
        </row>
        <row r="2291">
          <cell r="A2291" t="str">
            <v xml:space="preserve">   3.</v>
          </cell>
          <cell r="C2291" t="str">
            <v>TENAGA</v>
          </cell>
        </row>
        <row r="2292">
          <cell r="C2292" t="str">
            <v>Produksi menentukan : Jack Hammer</v>
          </cell>
          <cell r="G2292" t="str">
            <v>Q1</v>
          </cell>
          <cell r="H2292">
            <v>1</v>
          </cell>
          <cell r="I2292" t="str">
            <v>M3/Jam</v>
          </cell>
        </row>
        <row r="2293">
          <cell r="C2293" t="str">
            <v>Produksi Galian / hari  =  Tk x Q1</v>
          </cell>
          <cell r="G2293" t="str">
            <v>Qt</v>
          </cell>
          <cell r="H2293">
            <v>7</v>
          </cell>
          <cell r="I2293" t="str">
            <v>M3</v>
          </cell>
        </row>
        <row r="2294">
          <cell r="C2294" t="str">
            <v>Kebutuhan tenaga :</v>
          </cell>
        </row>
        <row r="2295">
          <cell r="D2295" t="str">
            <v>- Pekerja</v>
          </cell>
          <cell r="G2295" t="str">
            <v>P</v>
          </cell>
          <cell r="H2295">
            <v>2</v>
          </cell>
          <cell r="I2295" t="str">
            <v>orang</v>
          </cell>
        </row>
        <row r="2296">
          <cell r="D2296" t="str">
            <v>- Mandor</v>
          </cell>
          <cell r="G2296" t="str">
            <v>M</v>
          </cell>
          <cell r="H2296">
            <v>1</v>
          </cell>
          <cell r="I2296" t="str">
            <v>orang</v>
          </cell>
        </row>
        <row r="2298">
          <cell r="C2298" t="str">
            <v>Koefisien tenaga / M3   :</v>
          </cell>
        </row>
        <row r="2299">
          <cell r="D2299" t="str">
            <v>- Pekerja</v>
          </cell>
          <cell r="E2299" t="str">
            <v>= (Tk x P) : Qt</v>
          </cell>
          <cell r="G2299" t="str">
            <v>(L01)</v>
          </cell>
          <cell r="H2299">
            <v>2</v>
          </cell>
          <cell r="I2299" t="str">
            <v>Jam</v>
          </cell>
        </row>
        <row r="2300">
          <cell r="D2300" t="str">
            <v>- Mandor</v>
          </cell>
          <cell r="E2300" t="str">
            <v>= (Tk x M) : Qt</v>
          </cell>
          <cell r="G2300" t="str">
            <v>(L03)</v>
          </cell>
          <cell r="H2300">
            <v>1</v>
          </cell>
          <cell r="I2300" t="str">
            <v>Jam</v>
          </cell>
        </row>
        <row r="2302">
          <cell r="A2302" t="str">
            <v>4.</v>
          </cell>
          <cell r="C2302" t="str">
            <v>HARGA DASAR SATUAN UPAH, BAHAN DAN ALAT</v>
          </cell>
        </row>
        <row r="2303">
          <cell r="C2303" t="str">
            <v>Lihat lampiran.</v>
          </cell>
        </row>
        <row r="2305">
          <cell r="A2305" t="str">
            <v>5.</v>
          </cell>
          <cell r="C2305" t="str">
            <v>ANALISA HARGA SATUAN PEKERJAAN</v>
          </cell>
        </row>
        <row r="2306">
          <cell r="C2306" t="str">
            <v>Lihat perhitungan dalam FORMULIR STANDAR UNTUK</v>
          </cell>
        </row>
        <row r="2307">
          <cell r="C2307" t="str">
            <v>PEREKEMAN ANALISA MASING-MASING HARGA</v>
          </cell>
        </row>
        <row r="2308">
          <cell r="C2308" t="str">
            <v>SATUAN.</v>
          </cell>
        </row>
        <row r="2309">
          <cell r="C2309" t="str">
            <v>Didapat Harga Satuan Pekerjaan :</v>
          </cell>
        </row>
        <row r="2311">
          <cell r="C2311" t="str">
            <v xml:space="preserve">Rp.  </v>
          </cell>
          <cell r="D2311">
            <v>1633771.8260014895</v>
          </cell>
          <cell r="E2311" t="str">
            <v xml:space="preserve"> / M2</v>
          </cell>
        </row>
        <row r="2314">
          <cell r="A2314" t="str">
            <v>6.</v>
          </cell>
          <cell r="C2314" t="str">
            <v>WAKTU PELAKSANAAN YANG DIPERLUKAN</v>
          </cell>
        </row>
        <row r="2315">
          <cell r="C2315" t="str">
            <v>Masa Pelaksanaan :</v>
          </cell>
          <cell r="D2315" t="str">
            <v>. . . . . . . . . . . .</v>
          </cell>
          <cell r="E2315" t="str">
            <v>bulan</v>
          </cell>
        </row>
        <row r="2317">
          <cell r="A2317" t="str">
            <v>7.</v>
          </cell>
          <cell r="C2317" t="str">
            <v>VOLUME PEKERJAAN YANG DIPERLUKAN</v>
          </cell>
        </row>
        <row r="2318">
          <cell r="C2318" t="str">
            <v>Volume pekerjaan  :</v>
          </cell>
          <cell r="D2318">
            <v>0</v>
          </cell>
          <cell r="E2318" t="str">
            <v>M3</v>
          </cell>
        </row>
        <row r="2335">
          <cell r="A2335" t="str">
            <v>ITEM PEMBAYARAN NO.</v>
          </cell>
          <cell r="D2335" t="str">
            <v xml:space="preserve">:  3.4 </v>
          </cell>
          <cell r="J2335" t="str">
            <v>Analisa EI-312</v>
          </cell>
          <cell r="T2335" t="str">
            <v>Analisa EI-312</v>
          </cell>
        </row>
        <row r="2336">
          <cell r="A2336" t="str">
            <v>JENIS PEKERJAAN</v>
          </cell>
          <cell r="D2336" t="str">
            <v>:  Pengupasan Permukaan Aspal Lama dan Pencampuran Kembali</v>
          </cell>
        </row>
        <row r="2337">
          <cell r="A2337" t="str">
            <v>SATUAN PEMBAYARAN</v>
          </cell>
          <cell r="D2337" t="str">
            <v>:  M2</v>
          </cell>
          <cell r="H2337" t="str">
            <v xml:space="preserve">         URAIAN ANALISA HARGA SATUAN</v>
          </cell>
          <cell r="L2337" t="str">
            <v>FORMULIR STANDAR UNTUK</v>
          </cell>
        </row>
        <row r="2338">
          <cell r="L2338" t="str">
            <v>PEREKAMAN ANALISA MASING-MASING HARGA SATUAN</v>
          </cell>
        </row>
        <row r="2339">
          <cell r="L2339" t="str">
            <v/>
          </cell>
        </row>
        <row r="2340">
          <cell r="A2340" t="str">
            <v>No.</v>
          </cell>
          <cell r="C2340" t="str">
            <v>U R A I A N</v>
          </cell>
          <cell r="G2340" t="str">
            <v>KODE</v>
          </cell>
          <cell r="H2340" t="str">
            <v>KOEF.</v>
          </cell>
          <cell r="I2340" t="str">
            <v>SATUAN</v>
          </cell>
          <cell r="J2340" t="str">
            <v>KETERANGAN</v>
          </cell>
        </row>
        <row r="2342">
          <cell r="L2342" t="str">
            <v>PROYEK</v>
          </cell>
          <cell r="O2342" t="str">
            <v>:</v>
          </cell>
        </row>
        <row r="2343">
          <cell r="A2343" t="str">
            <v>I.</v>
          </cell>
          <cell r="C2343" t="str">
            <v>ASUMSI</v>
          </cell>
          <cell r="L2343" t="str">
            <v>No. PAKET KONTRAK</v>
          </cell>
          <cell r="O2343" t="str">
            <v>:</v>
          </cell>
        </row>
        <row r="2344">
          <cell r="A2344">
            <v>1</v>
          </cell>
          <cell r="C2344" t="str">
            <v>Pekerjaan dilakukan secara mekananik</v>
          </cell>
          <cell r="L2344" t="str">
            <v>NAMA PAKET</v>
          </cell>
          <cell r="O2344" t="str">
            <v>:</v>
          </cell>
        </row>
        <row r="2345">
          <cell r="A2345">
            <v>2</v>
          </cell>
          <cell r="C2345" t="str">
            <v>Lokasi pekerjaan : sepanjang jalan</v>
          </cell>
          <cell r="L2345" t="str">
            <v>PROP / KAB / KODYA</v>
          </cell>
          <cell r="O2345" t="str">
            <v>:</v>
          </cell>
        </row>
        <row r="2346">
          <cell r="A2346">
            <v>3</v>
          </cell>
          <cell r="C2346" t="str">
            <v>Kondisi Jalan   :  sedang / baik</v>
          </cell>
          <cell r="L2346" t="str">
            <v>ITEM PEMBAYARAN NO.</v>
          </cell>
          <cell r="O2346" t="str">
            <v xml:space="preserve">:  3.4 </v>
          </cell>
          <cell r="R2346" t="str">
            <v>PERKIRAAN VOL. PEK.</v>
          </cell>
          <cell r="T2346" t="str">
            <v>:</v>
          </cell>
          <cell r="U2346">
            <v>0</v>
          </cell>
        </row>
        <row r="2347">
          <cell r="A2347">
            <v>4</v>
          </cell>
          <cell r="C2347" t="str">
            <v>Jam kerja efektif per-hari</v>
          </cell>
          <cell r="G2347" t="str">
            <v>Tk</v>
          </cell>
          <cell r="H2347">
            <v>7</v>
          </cell>
          <cell r="I2347" t="str">
            <v>Jam</v>
          </cell>
          <cell r="L2347" t="str">
            <v>JENIS PEKERJAAN</v>
          </cell>
          <cell r="O2347" t="str">
            <v>:  Pengupasan Permukaan Aspal Lama dan Pencampuran Kembali</v>
          </cell>
          <cell r="R2347" t="str">
            <v>TOTAL HARGA (Rp.)</v>
          </cell>
          <cell r="T2347" t="str">
            <v>:</v>
          </cell>
          <cell r="U2347">
            <v>0</v>
          </cell>
        </row>
        <row r="2348">
          <cell r="A2348">
            <v>5</v>
          </cell>
          <cell r="C2348" t="str">
            <v>Faktor pengembangan bahan</v>
          </cell>
          <cell r="G2348" t="str">
            <v>Fk</v>
          </cell>
          <cell r="H2348">
            <v>1.24</v>
          </cell>
          <cell r="I2348" t="str">
            <v>-</v>
          </cell>
          <cell r="L2348" t="str">
            <v>SATUAN PEMBAYARAN</v>
          </cell>
          <cell r="O2348" t="str">
            <v>:  M2</v>
          </cell>
          <cell r="R2348" t="str">
            <v>% THD. BIAYA PROYEK</v>
          </cell>
          <cell r="T2348" t="str">
            <v>:</v>
          </cell>
          <cell r="U2348" t="e">
            <v>#DIV/0!</v>
          </cell>
        </row>
        <row r="2349">
          <cell r="A2349">
            <v>6</v>
          </cell>
          <cell r="C2349" t="str">
            <v>Tebal penggaruan 15 cm</v>
          </cell>
        </row>
        <row r="2351">
          <cell r="A2351" t="str">
            <v>II.</v>
          </cell>
          <cell r="C2351" t="str">
            <v>URUTAN KERJA</v>
          </cell>
          <cell r="Q2351" t="str">
            <v>PERKIRAAN</v>
          </cell>
          <cell r="R2351" t="str">
            <v>HARGA</v>
          </cell>
          <cell r="S2351" t="str">
            <v>JUMLAH</v>
          </cell>
        </row>
        <row r="2352">
          <cell r="A2352">
            <v>1</v>
          </cell>
          <cell r="C2352" t="str">
            <v>Penggaruan perkerasan dengan alat cold recycler</v>
          </cell>
          <cell r="L2352" t="str">
            <v>NO.</v>
          </cell>
          <cell r="N2352" t="str">
            <v>KOMPONEN</v>
          </cell>
          <cell r="P2352" t="str">
            <v>SATUAN</v>
          </cell>
          <cell r="Q2352" t="str">
            <v>KUANTITAS</v>
          </cell>
          <cell r="R2352" t="str">
            <v>SATUAN</v>
          </cell>
          <cell r="S2352" t="str">
            <v>HARGA</v>
          </cell>
        </row>
        <row r="2353">
          <cell r="A2353">
            <v>2</v>
          </cell>
          <cell r="C2353" t="str">
            <v xml:space="preserve">Pencampuran kembali dengan bahan pengikat di dalam </v>
          </cell>
          <cell r="R2353" t="str">
            <v>(Rp.)</v>
          </cell>
          <cell r="S2353" t="str">
            <v>(Rp.)</v>
          </cell>
        </row>
        <row r="2354">
          <cell r="C2354" t="str">
            <v>cold recycler</v>
          </cell>
        </row>
        <row r="2355">
          <cell r="A2355">
            <v>3</v>
          </cell>
          <cell r="C2355" t="str">
            <v>Penghamparan langsung dari alat cold recycler</v>
          </cell>
        </row>
        <row r="2356">
          <cell r="A2356">
            <v>4</v>
          </cell>
          <cell r="C2356" t="str">
            <v>Pemadatan dengan alat pemadat tandem roller</v>
          </cell>
          <cell r="G2356" t="str">
            <v/>
          </cell>
          <cell r="H2356" t="str">
            <v/>
          </cell>
          <cell r="I2356" t="str">
            <v/>
          </cell>
          <cell r="L2356" t="str">
            <v>A.</v>
          </cell>
          <cell r="N2356" t="str">
            <v>TENAGA</v>
          </cell>
        </row>
        <row r="2358">
          <cell r="L2358" t="str">
            <v>1.</v>
          </cell>
          <cell r="N2358" t="str">
            <v>Pekerja</v>
          </cell>
          <cell r="O2358" t="str">
            <v>(L01)</v>
          </cell>
          <cell r="P2358" t="str">
            <v>Jam</v>
          </cell>
          <cell r="Q2358">
            <v>2</v>
          </cell>
          <cell r="R2358">
            <v>2857.14</v>
          </cell>
          <cell r="U2358">
            <v>5714.28</v>
          </cell>
        </row>
        <row r="2359">
          <cell r="L2359" t="str">
            <v>2.</v>
          </cell>
          <cell r="N2359" t="str">
            <v>Mandor</v>
          </cell>
          <cell r="O2359" t="str">
            <v>(L03)</v>
          </cell>
          <cell r="P2359" t="str">
            <v>Jam</v>
          </cell>
          <cell r="Q2359">
            <v>0.5</v>
          </cell>
          <cell r="R2359">
            <v>3214.29</v>
          </cell>
          <cell r="U2359">
            <v>1607.145</v>
          </cell>
        </row>
        <row r="2360">
          <cell r="A2360" t="str">
            <v>III.</v>
          </cell>
          <cell r="C2360" t="str">
            <v>PEMAKAIAN BAHAN, ALAT DAN TENAGA</v>
          </cell>
        </row>
        <row r="2362">
          <cell r="A2362" t="str">
            <v xml:space="preserve">   1.</v>
          </cell>
          <cell r="C2362" t="str">
            <v>BAHAN</v>
          </cell>
          <cell r="Q2362" t="str">
            <v xml:space="preserve">JUMLAH HARGA TENAGA   </v>
          </cell>
          <cell r="U2362">
            <v>7321.4249999999993</v>
          </cell>
        </row>
        <row r="2363">
          <cell r="C2363" t="str">
            <v xml:space="preserve">Bahan pengikat (semen, aspal dan air) </v>
          </cell>
        </row>
        <row r="2364">
          <cell r="C2364" t="str">
            <v>- semen</v>
          </cell>
          <cell r="D2364">
            <v>0.06</v>
          </cell>
          <cell r="L2364" t="str">
            <v>B.</v>
          </cell>
          <cell r="N2364" t="str">
            <v>BAHAN</v>
          </cell>
        </row>
        <row r="2365">
          <cell r="C2365" t="str">
            <v>- aspal</v>
          </cell>
          <cell r="D2365">
            <v>0.03</v>
          </cell>
        </row>
        <row r="2366">
          <cell r="C2366" t="str">
            <v>- air</v>
          </cell>
        </row>
        <row r="2368">
          <cell r="A2368" t="str">
            <v xml:space="preserve">   2.</v>
          </cell>
          <cell r="C2368" t="str">
            <v>ALAT</v>
          </cell>
        </row>
        <row r="2369">
          <cell r="A2369" t="str">
            <v xml:space="preserve">   2.a.</v>
          </cell>
          <cell r="C2369" t="str">
            <v>COLD RECYCLER</v>
          </cell>
          <cell r="J2369" t="str">
            <v xml:space="preserve"> (E05/26/10/15)</v>
          </cell>
        </row>
        <row r="2370">
          <cell r="C2370" t="str">
            <v>Produksi per jam</v>
          </cell>
          <cell r="G2370" t="str">
            <v>Q1</v>
          </cell>
          <cell r="H2370">
            <v>2</v>
          </cell>
          <cell r="I2370" t="str">
            <v>M3 / Jam</v>
          </cell>
        </row>
        <row r="2372">
          <cell r="C2372" t="str">
            <v>Koefisien Alat / m3</v>
          </cell>
          <cell r="D2372" t="str">
            <v xml:space="preserve"> =  1  :  Q1</v>
          </cell>
          <cell r="G2372" t="str">
            <v>(E05/26)</v>
          </cell>
          <cell r="H2372">
            <v>0.5</v>
          </cell>
          <cell r="I2372" t="str">
            <v>Jam</v>
          </cell>
        </row>
        <row r="2375">
          <cell r="A2375" t="str">
            <v xml:space="preserve">   2.b.</v>
          </cell>
          <cell r="C2375" t="str">
            <v>WATER TANKER</v>
          </cell>
          <cell r="G2375" t="str">
            <v>(E08)</v>
          </cell>
        </row>
        <row r="2378">
          <cell r="A2378" t="str">
            <v xml:space="preserve">   2.c.</v>
          </cell>
          <cell r="C2378" t="str">
            <v>ASPHALT TANKER</v>
          </cell>
        </row>
        <row r="2381">
          <cell r="A2381" t="str">
            <v xml:space="preserve">   2.d.</v>
          </cell>
          <cell r="C2381" t="str">
            <v>CEMENT TANKER</v>
          </cell>
        </row>
        <row r="2397">
          <cell r="J2397" t="str">
            <v>Berlanjut ke halaman berikut</v>
          </cell>
        </row>
        <row r="2398">
          <cell r="A2398" t="str">
            <v>ITEM PEMBAYARAN NO.</v>
          </cell>
          <cell r="D2398" t="str">
            <v xml:space="preserve">:  3.4 </v>
          </cell>
          <cell r="J2398" t="str">
            <v>Analisa EI-312</v>
          </cell>
        </row>
        <row r="2399">
          <cell r="A2399" t="str">
            <v>JENIS PEKERJAAN</v>
          </cell>
          <cell r="D2399" t="str">
            <v>:  Pengupasan Permukaan Aspal Lama dan Pencampuran Kembali</v>
          </cell>
        </row>
        <row r="2400">
          <cell r="A2400" t="str">
            <v>SATUAN PEMBAYARAN</v>
          </cell>
          <cell r="D2400" t="str">
            <v>:  M2</v>
          </cell>
          <cell r="H2400" t="str">
            <v xml:space="preserve">         URAIAN ANALISA HARGA SATUAN</v>
          </cell>
        </row>
        <row r="2401">
          <cell r="J2401" t="str">
            <v>Lanjutan</v>
          </cell>
        </row>
        <row r="2403">
          <cell r="A2403" t="str">
            <v>No.</v>
          </cell>
          <cell r="C2403" t="str">
            <v>U R A I A N</v>
          </cell>
          <cell r="G2403" t="str">
            <v>KODE</v>
          </cell>
          <cell r="H2403" t="str">
            <v>KOEF.</v>
          </cell>
          <cell r="I2403" t="str">
            <v>SATUAN</v>
          </cell>
          <cell r="J2403" t="str">
            <v>KETERANGAN</v>
          </cell>
        </row>
        <row r="2406">
          <cell r="A2406" t="str">
            <v xml:space="preserve">   3.</v>
          </cell>
          <cell r="C2406" t="str">
            <v>TENAGA</v>
          </cell>
        </row>
        <row r="2407">
          <cell r="C2407" t="str">
            <v>Produksi menentukan :COLD RECYCLER</v>
          </cell>
          <cell r="G2407" t="str">
            <v>Q1</v>
          </cell>
          <cell r="H2407">
            <v>2</v>
          </cell>
          <cell r="I2407" t="str">
            <v>M2/Jam</v>
          </cell>
        </row>
        <row r="2408">
          <cell r="C2408" t="str">
            <v>Produksi Galian / hari  =  Tk x Q1</v>
          </cell>
          <cell r="G2408" t="str">
            <v>Qt</v>
          </cell>
          <cell r="H2408">
            <v>14</v>
          </cell>
          <cell r="I2408" t="str">
            <v>M3</v>
          </cell>
        </row>
        <row r="2409">
          <cell r="C2409" t="str">
            <v>Kebutuhan tenaga :</v>
          </cell>
        </row>
        <row r="2410">
          <cell r="D2410" t="str">
            <v>- Pekerja</v>
          </cell>
          <cell r="G2410" t="str">
            <v>P</v>
          </cell>
          <cell r="H2410">
            <v>4</v>
          </cell>
          <cell r="I2410" t="str">
            <v>orang</v>
          </cell>
        </row>
        <row r="2411">
          <cell r="D2411" t="str">
            <v>- Mandor</v>
          </cell>
          <cell r="G2411" t="str">
            <v>M</v>
          </cell>
          <cell r="H2411">
            <v>1</v>
          </cell>
          <cell r="I2411" t="str">
            <v>orang</v>
          </cell>
        </row>
        <row r="2413">
          <cell r="C2413" t="str">
            <v>Koefisien tenaga / M3   :</v>
          </cell>
        </row>
        <row r="2414">
          <cell r="D2414" t="str">
            <v>- Pekerja</v>
          </cell>
          <cell r="E2414" t="str">
            <v>= (Tk x P) : Qt</v>
          </cell>
          <cell r="G2414" t="str">
            <v>(L01)</v>
          </cell>
          <cell r="H2414">
            <v>2</v>
          </cell>
          <cell r="I2414" t="str">
            <v>Jam</v>
          </cell>
        </row>
        <row r="2415">
          <cell r="D2415" t="str">
            <v>- Mandor</v>
          </cell>
          <cell r="E2415" t="str">
            <v>= (Tk x M) : Qt</v>
          </cell>
          <cell r="G2415" t="str">
            <v>(L03)</v>
          </cell>
          <cell r="H2415">
            <v>0.5</v>
          </cell>
          <cell r="I2415" t="str">
            <v>Jam</v>
          </cell>
        </row>
        <row r="2417">
          <cell r="A2417" t="str">
            <v>4.</v>
          </cell>
          <cell r="C2417" t="str">
            <v>HARGA DASAR SATUAN UPAH, BAHAN DAN ALAT</v>
          </cell>
        </row>
        <row r="2418">
          <cell r="C2418" t="str">
            <v>Lihat lampiran.</v>
          </cell>
        </row>
        <row r="2420">
          <cell r="A2420" t="str">
            <v>5.</v>
          </cell>
          <cell r="C2420" t="str">
            <v>ANALISA HARGA SATUAN PEKERJAAN</v>
          </cell>
        </row>
        <row r="2421">
          <cell r="C2421" t="str">
            <v>Lihat perhitungan dalam FORMULIR STANDAR UNTUK</v>
          </cell>
        </row>
        <row r="2422">
          <cell r="C2422" t="str">
            <v>PEREKEMAN ANALISA MASING-MASING HARGA</v>
          </cell>
        </row>
        <row r="2423">
          <cell r="C2423" t="str">
            <v>SATUAN.</v>
          </cell>
        </row>
        <row r="2424">
          <cell r="C2424" t="str">
            <v>Didapat Harga Satuan Pekerjaan :</v>
          </cell>
        </row>
        <row r="2426">
          <cell r="C2426" t="str">
            <v xml:space="preserve">Rp.  </v>
          </cell>
          <cell r="D2426">
            <v>8053.5674999999992</v>
          </cell>
          <cell r="E2426" t="str">
            <v xml:space="preserve"> / M3</v>
          </cell>
        </row>
        <row r="2429">
          <cell r="A2429" t="str">
            <v>6.</v>
          </cell>
          <cell r="C2429" t="str">
            <v>WAKTU PELAKSANAAN YANG DIPERLUKAN</v>
          </cell>
        </row>
        <row r="2430">
          <cell r="C2430" t="str">
            <v>Masa Pelaksanaan :</v>
          </cell>
          <cell r="D2430" t="str">
            <v>. . . . . . . . . . . .</v>
          </cell>
          <cell r="E2430" t="str">
            <v>bulan</v>
          </cell>
        </row>
        <row r="2432">
          <cell r="A2432" t="str">
            <v>7.</v>
          </cell>
          <cell r="C2432" t="str">
            <v>VOLUME PEKERJAAN YANG DIPERLUKAN</v>
          </cell>
        </row>
        <row r="2433">
          <cell r="C2433" t="str">
            <v>Volume pekerjaan  :</v>
          </cell>
          <cell r="D2433">
            <v>0</v>
          </cell>
          <cell r="E2433" t="str">
            <v>M3</v>
          </cell>
        </row>
        <row r="2452">
          <cell r="N2452" t="str">
            <v>yang dibayar dari kontrak) dan biaya-biaya lainnya.</v>
          </cell>
        </row>
        <row r="2453">
          <cell r="A2453" t="str">
            <v>ITEM PEMBAYARAN NO.</v>
          </cell>
          <cell r="D2453" t="str">
            <v>:  3.2 (4)</v>
          </cell>
          <cell r="J2453">
            <v>0</v>
          </cell>
          <cell r="T2453" t="str">
            <v>Analisa EI-322</v>
          </cell>
        </row>
        <row r="2454">
          <cell r="A2454" t="str">
            <v>JENIS PEKERJAAN</v>
          </cell>
          <cell r="D2454" t="str">
            <v xml:space="preserve">:  Timbunan Batu dengan Manual </v>
          </cell>
        </row>
        <row r="2455">
          <cell r="A2455" t="str">
            <v>SATUAN PEMBAYARAN</v>
          </cell>
          <cell r="D2455" t="str">
            <v>:  M3</v>
          </cell>
          <cell r="E2455" t="str">
            <v/>
          </cell>
          <cell r="H2455" t="str">
            <v xml:space="preserve">         URAIAN ANALISA HARGA SATUAN</v>
          </cell>
          <cell r="L2455" t="str">
            <v>FORMULIR STANDAR UNTUK</v>
          </cell>
        </row>
        <row r="2456">
          <cell r="L2456" t="str">
            <v>PEREKAMAN ANALISA MASING-MASING HARGA SATUAN</v>
          </cell>
        </row>
        <row r="2457">
          <cell r="L2457" t="str">
            <v/>
          </cell>
        </row>
        <row r="2458">
          <cell r="A2458" t="str">
            <v>No.</v>
          </cell>
          <cell r="C2458" t="str">
            <v>U R A I A N</v>
          </cell>
          <cell r="G2458" t="str">
            <v>KODE</v>
          </cell>
          <cell r="H2458" t="str">
            <v>KOEF.</v>
          </cell>
          <cell r="I2458" t="str">
            <v>SATUAN</v>
          </cell>
          <cell r="J2458" t="str">
            <v>KETERANGAN</v>
          </cell>
        </row>
        <row r="2460">
          <cell r="L2460" t="str">
            <v>PROYEK</v>
          </cell>
          <cell r="O2460" t="str">
            <v>:</v>
          </cell>
        </row>
        <row r="2461">
          <cell r="A2461" t="str">
            <v>I.</v>
          </cell>
          <cell r="C2461" t="str">
            <v>ASUMSI</v>
          </cell>
          <cell r="L2461" t="str">
            <v>No. PAKET KONTRAK</v>
          </cell>
          <cell r="O2461" t="str">
            <v>:</v>
          </cell>
        </row>
        <row r="2462">
          <cell r="A2462">
            <v>1</v>
          </cell>
          <cell r="C2462" t="str">
            <v>Pekerjaan dilakukan secara manual</v>
          </cell>
          <cell r="L2462" t="str">
            <v>NAMA PAKET</v>
          </cell>
          <cell r="O2462" t="str">
            <v>:</v>
          </cell>
        </row>
        <row r="2463">
          <cell r="A2463">
            <v>2</v>
          </cell>
          <cell r="C2463" t="str">
            <v>Lokasi pekerjaan : sepanjang jalan</v>
          </cell>
          <cell r="L2463" t="str">
            <v>PROP / KAB / KODYA</v>
          </cell>
          <cell r="O2463" t="str">
            <v>:</v>
          </cell>
        </row>
        <row r="2464">
          <cell r="A2464">
            <v>3</v>
          </cell>
          <cell r="C2464" t="str">
            <v>Kondisi Jalan   :  sedang / baik</v>
          </cell>
          <cell r="L2464" t="str">
            <v>ITEM PEMBAYARAN NO.</v>
          </cell>
          <cell r="O2464" t="str">
            <v>:  3.2 (4)</v>
          </cell>
          <cell r="R2464" t="str">
            <v>PERKIRAAN VOL. PEK.</v>
          </cell>
          <cell r="T2464" t="str">
            <v>:</v>
          </cell>
          <cell r="U2464">
            <v>1</v>
          </cell>
        </row>
        <row r="2465">
          <cell r="A2465">
            <v>4</v>
          </cell>
          <cell r="C2465" t="str">
            <v>Jam kerja efektif per-hari</v>
          </cell>
          <cell r="G2465" t="str">
            <v>Tk</v>
          </cell>
          <cell r="H2465">
            <v>7</v>
          </cell>
          <cell r="I2465" t="str">
            <v>Jam</v>
          </cell>
          <cell r="L2465" t="str">
            <v>JENIS PEKERJAAN</v>
          </cell>
          <cell r="O2465" t="str">
            <v xml:space="preserve">:  Timbunan Batu dengan Manual </v>
          </cell>
          <cell r="R2465" t="str">
            <v>TOTAL HARGA (Rp.)</v>
          </cell>
          <cell r="T2465" t="str">
            <v>:</v>
          </cell>
          <cell r="U2465">
            <v>263185.3</v>
          </cell>
        </row>
        <row r="2466">
          <cell r="A2466">
            <v>5</v>
          </cell>
          <cell r="C2466" t="str">
            <v>Faktor pengembangan bahan</v>
          </cell>
          <cell r="G2466" t="str">
            <v>Fk</v>
          </cell>
          <cell r="H2466">
            <v>1.24</v>
          </cell>
          <cell r="I2466" t="str">
            <v>-</v>
          </cell>
          <cell r="L2466" t="str">
            <v>SATUAN PEMBAYARAN</v>
          </cell>
          <cell r="O2466" t="str">
            <v>:  M3</v>
          </cell>
          <cell r="P2466" t="str">
            <v/>
          </cell>
          <cell r="R2466" t="str">
            <v>% THD. BIAYA PROYEK</v>
          </cell>
          <cell r="T2466" t="str">
            <v>:</v>
          </cell>
          <cell r="U2466" t="e">
            <v>#DIV/0!</v>
          </cell>
        </row>
        <row r="2467">
          <cell r="A2467">
            <v>6</v>
          </cell>
          <cell r="C2467" t="str">
            <v>Tebal hamparan padat</v>
          </cell>
          <cell r="G2467" t="str">
            <v>t</v>
          </cell>
          <cell r="H2467">
            <v>0.45</v>
          </cell>
          <cell r="I2467" t="str">
            <v>M</v>
          </cell>
        </row>
        <row r="2469">
          <cell r="A2469" t="str">
            <v>II.</v>
          </cell>
          <cell r="C2469" t="str">
            <v>URUTAN KERJA</v>
          </cell>
          <cell r="Q2469" t="str">
            <v>PERKIRAAN</v>
          </cell>
          <cell r="R2469" t="str">
            <v>HARGA</v>
          </cell>
          <cell r="S2469" t="str">
            <v>JUMLAH</v>
          </cell>
        </row>
        <row r="2470">
          <cell r="A2470">
            <v>1</v>
          </cell>
          <cell r="C2470" t="str">
            <v>Whell Loader memuat batu ke dalam Dump Truck</v>
          </cell>
          <cell r="L2470" t="str">
            <v>NO.</v>
          </cell>
          <cell r="N2470" t="str">
            <v>KOMPONEN</v>
          </cell>
          <cell r="P2470" t="str">
            <v>SATUAN</v>
          </cell>
          <cell r="Q2470" t="str">
            <v>KUANTITAS</v>
          </cell>
          <cell r="R2470" t="str">
            <v>SATUAN</v>
          </cell>
          <cell r="S2470" t="str">
            <v>HARGA</v>
          </cell>
        </row>
        <row r="2471">
          <cell r="A2471">
            <v>2</v>
          </cell>
          <cell r="C2471" t="str">
            <v>Dump Truck mengangkut ke lapangan dengan jarak</v>
          </cell>
          <cell r="R2471" t="str">
            <v>(Rp.)</v>
          </cell>
          <cell r="S2471" t="str">
            <v>(Rp.)</v>
          </cell>
        </row>
        <row r="2472">
          <cell r="C2472" t="str">
            <v>quari ke lapangan</v>
          </cell>
          <cell r="G2472" t="str">
            <v>L</v>
          </cell>
          <cell r="H2472">
            <v>80.61</v>
          </cell>
          <cell r="I2472" t="str">
            <v>Km</v>
          </cell>
        </row>
        <row r="2473">
          <cell r="A2473">
            <v>3</v>
          </cell>
          <cell r="C2473" t="str">
            <v>Material Timbunan Batu dihampar secara Manual</v>
          </cell>
        </row>
        <row r="2474">
          <cell r="A2474">
            <v>4</v>
          </cell>
          <cell r="C2474" t="str">
            <v>Hamparan batu dipadatkan menggunakan Vibratory</v>
          </cell>
        </row>
        <row r="2475">
          <cell r="C2475" t="str">
            <v>Roller</v>
          </cell>
        </row>
        <row r="2476">
          <cell r="A2476">
            <v>5</v>
          </cell>
          <cell r="C2476" t="str">
            <v>Agregat pengunci dihampar dari Dump Truck, diratakan</v>
          </cell>
        </row>
        <row r="2477">
          <cell r="C2477" t="str">
            <v>menggunakan Bulldozer</v>
          </cell>
        </row>
        <row r="2478">
          <cell r="A2478">
            <v>6</v>
          </cell>
          <cell r="C2478" t="str">
            <v>Hamparan material dipadatkan menggunakan Vibratory</v>
          </cell>
          <cell r="L2478" t="str">
            <v>A.</v>
          </cell>
          <cell r="N2478" t="str">
            <v>TENAGA</v>
          </cell>
        </row>
        <row r="2479">
          <cell r="C2479" t="str">
            <v>Roller</v>
          </cell>
        </row>
        <row r="2480">
          <cell r="C2480" t="str">
            <v/>
          </cell>
          <cell r="L2480" t="str">
            <v>1.</v>
          </cell>
          <cell r="N2480" t="str">
            <v>Pekerja</v>
          </cell>
          <cell r="O2480" t="str">
            <v>(L01)</v>
          </cell>
          <cell r="P2480" t="str">
            <v>Jam</v>
          </cell>
          <cell r="Q2480">
            <v>0.14755317566562548</v>
          </cell>
          <cell r="R2480">
            <v>2857.14</v>
          </cell>
          <cell r="U2480">
            <v>421.58008032128515</v>
          </cell>
        </row>
        <row r="2481">
          <cell r="A2481">
            <v>7</v>
          </cell>
          <cell r="C2481" t="str">
            <v>Selama pemadatan sekelompok pekerja  akan</v>
          </cell>
          <cell r="L2481" t="str">
            <v>2.</v>
          </cell>
          <cell r="N2481" t="str">
            <v>Mandor</v>
          </cell>
          <cell r="O2481" t="str">
            <v>(L02)</v>
          </cell>
          <cell r="P2481" t="str">
            <v>Jam</v>
          </cell>
          <cell r="Q2481">
            <v>1.8444146958203185E-2</v>
          </cell>
          <cell r="R2481">
            <v>3214.29</v>
          </cell>
          <cell r="U2481">
            <v>59.284837126282916</v>
          </cell>
        </row>
        <row r="2482">
          <cell r="C2482" t="str">
            <v>merapikan tepi hamparan dan level permukaan</v>
          </cell>
        </row>
        <row r="2483">
          <cell r="C2483" t="str">
            <v>dengan menggunakan alat bantu</v>
          </cell>
        </row>
        <row r="2484">
          <cell r="Q2484" t="str">
            <v xml:space="preserve">JUMLAH HARGA TENAGA   </v>
          </cell>
          <cell r="U2484">
            <v>480.86491744756808</v>
          </cell>
        </row>
        <row r="2485">
          <cell r="A2485" t="str">
            <v>III.</v>
          </cell>
          <cell r="C2485" t="str">
            <v>PEMAKAIAN BAHAN, ALAT DAN TENAGA</v>
          </cell>
        </row>
        <row r="2486">
          <cell r="A2486" t="str">
            <v xml:space="preserve">   1.</v>
          </cell>
          <cell r="C2486" t="str">
            <v>BAHAN</v>
          </cell>
          <cell r="L2486" t="str">
            <v>B.</v>
          </cell>
          <cell r="N2486" t="str">
            <v>BAHAN</v>
          </cell>
        </row>
        <row r="2487">
          <cell r="A2487" t="str">
            <v>1.a.</v>
          </cell>
          <cell r="C2487" t="str">
            <v>Bahan timbunan</v>
          </cell>
          <cell r="D2487" t="str">
            <v xml:space="preserve"> =  1 x  Fk</v>
          </cell>
          <cell r="G2487" t="str">
            <v>(M08)</v>
          </cell>
          <cell r="H2487">
            <v>1.24</v>
          </cell>
          <cell r="I2487" t="str">
            <v>M3</v>
          </cell>
          <cell r="J2487" t="str">
            <v xml:space="preserve"> Borrow Pit</v>
          </cell>
        </row>
        <row r="2489">
          <cell r="A2489" t="str">
            <v xml:space="preserve">   2.</v>
          </cell>
          <cell r="C2489" t="str">
            <v>ALAT</v>
          </cell>
        </row>
        <row r="2490">
          <cell r="A2490" t="str">
            <v>2.a.</v>
          </cell>
          <cell r="C2490" t="str">
            <v>WHELL  LOADER</v>
          </cell>
          <cell r="G2490" t="str">
            <v>(E15)</v>
          </cell>
        </row>
        <row r="2491">
          <cell r="C2491" t="str">
            <v>Kapasitas  Bucket</v>
          </cell>
          <cell r="G2491" t="str">
            <v>V</v>
          </cell>
          <cell r="H2491">
            <v>1.5</v>
          </cell>
          <cell r="I2491" t="str">
            <v>M3</v>
          </cell>
        </row>
        <row r="2492">
          <cell r="C2492" t="str">
            <v>Faktor Bucket</v>
          </cell>
          <cell r="G2492" t="str">
            <v>Fb</v>
          </cell>
          <cell r="H2492">
            <v>0.9</v>
          </cell>
          <cell r="I2492" t="str">
            <v>-</v>
          </cell>
        </row>
        <row r="2493">
          <cell r="C2493" t="str">
            <v>Faktor Efisiensi Alat</v>
          </cell>
          <cell r="G2493" t="str">
            <v>Fa</v>
          </cell>
          <cell r="H2493">
            <v>0.83</v>
          </cell>
          <cell r="I2493" t="str">
            <v>-</v>
          </cell>
        </row>
        <row r="2494">
          <cell r="C2494" t="str">
            <v>Waktu sklus</v>
          </cell>
          <cell r="G2494" t="str">
            <v>Ts1</v>
          </cell>
          <cell r="I2494" t="str">
            <v>menit</v>
          </cell>
        </row>
        <row r="2495">
          <cell r="C2495" t="str">
            <v>- Muat</v>
          </cell>
          <cell r="G2495" t="str">
            <v>T1</v>
          </cell>
          <cell r="H2495">
            <v>0.5</v>
          </cell>
          <cell r="I2495" t="str">
            <v>menit</v>
          </cell>
        </row>
        <row r="2496">
          <cell r="C2496" t="str">
            <v>- Lain-lain</v>
          </cell>
          <cell r="G2496" t="str">
            <v>T2</v>
          </cell>
          <cell r="H2496">
            <v>0.5</v>
          </cell>
          <cell r="I2496" t="str">
            <v>menit</v>
          </cell>
        </row>
        <row r="2497">
          <cell r="G2497" t="str">
            <v>Ts1</v>
          </cell>
          <cell r="H2497">
            <v>1</v>
          </cell>
          <cell r="I2497" t="str">
            <v>menit</v>
          </cell>
        </row>
        <row r="2499">
          <cell r="C2499" t="str">
            <v>Kapasitas Produksi / Jam =</v>
          </cell>
          <cell r="E2499" t="str">
            <v>V  x  Fb x Fa x 60</v>
          </cell>
          <cell r="G2499" t="str">
            <v>Q1</v>
          </cell>
          <cell r="H2499">
            <v>54.217741935483872</v>
          </cell>
          <cell r="I2499" t="str">
            <v>M3</v>
          </cell>
        </row>
        <row r="2500">
          <cell r="E2500" t="str">
            <v xml:space="preserve">      Fk x Ts1</v>
          </cell>
        </row>
        <row r="2502">
          <cell r="C2502" t="str">
            <v>Koefisienalat / M3</v>
          </cell>
          <cell r="D2502" t="str">
            <v xml:space="preserve"> =   1 : Q1</v>
          </cell>
          <cell r="G2502" t="str">
            <v>(E15)</v>
          </cell>
          <cell r="H2502">
            <v>1.8444146958203182E-2</v>
          </cell>
          <cell r="I2502" t="str">
            <v>Jam</v>
          </cell>
        </row>
        <row r="2504">
          <cell r="A2504" t="str">
            <v xml:space="preserve">   2.b.</v>
          </cell>
          <cell r="C2504" t="str">
            <v>DUMP TRUCK</v>
          </cell>
          <cell r="G2504" t="str">
            <v>(E08)</v>
          </cell>
        </row>
        <row r="2505">
          <cell r="C2505" t="str">
            <v>Kapasitas bak</v>
          </cell>
          <cell r="G2505" t="str">
            <v>V</v>
          </cell>
          <cell r="H2505">
            <v>6.666666666666667</v>
          </cell>
          <cell r="I2505" t="str">
            <v>M3</v>
          </cell>
        </row>
        <row r="2506">
          <cell r="C2506" t="str">
            <v>Faktor  efisiensi alat</v>
          </cell>
          <cell r="G2506" t="str">
            <v>Fa</v>
          </cell>
          <cell r="H2506">
            <v>0.83</v>
          </cell>
          <cell r="I2506" t="str">
            <v>-</v>
          </cell>
        </row>
        <row r="2507">
          <cell r="C2507" t="str">
            <v>Kecepatan rata-rata bermuatan</v>
          </cell>
          <cell r="G2507" t="str">
            <v>v1</v>
          </cell>
          <cell r="H2507">
            <v>40</v>
          </cell>
          <cell r="I2507" t="str">
            <v>KM/Jam</v>
          </cell>
        </row>
        <row r="2508">
          <cell r="C2508" t="str">
            <v>Kecepatan rata-rata kosong</v>
          </cell>
          <cell r="G2508" t="str">
            <v>v2</v>
          </cell>
          <cell r="H2508">
            <v>60</v>
          </cell>
          <cell r="I2508" t="str">
            <v>KM/Jam</v>
          </cell>
        </row>
        <row r="2509">
          <cell r="C2509" t="str">
            <v>Waktusiklus :</v>
          </cell>
          <cell r="G2509" t="str">
            <v>Ts2</v>
          </cell>
        </row>
        <row r="2510">
          <cell r="C2510" t="str">
            <v>-  Waktu tempuh isi   = (L : v1) x 60</v>
          </cell>
          <cell r="G2510" t="str">
            <v>T1</v>
          </cell>
          <cell r="H2510">
            <v>120.91499999999999</v>
          </cell>
          <cell r="I2510" t="str">
            <v>menit</v>
          </cell>
        </row>
        <row r="2511">
          <cell r="C2511" t="str">
            <v>-  Waktu tempuh kosong   = (L : v2) x 60</v>
          </cell>
          <cell r="G2511" t="str">
            <v>T2</v>
          </cell>
          <cell r="H2511">
            <v>80.61</v>
          </cell>
          <cell r="I2511" t="str">
            <v>menit</v>
          </cell>
        </row>
        <row r="2512">
          <cell r="C2512" t="str">
            <v>- Lain-lain</v>
          </cell>
          <cell r="G2512" t="str">
            <v>T3</v>
          </cell>
          <cell r="H2512">
            <v>4</v>
          </cell>
          <cell r="I2512" t="str">
            <v>menit</v>
          </cell>
        </row>
        <row r="2513">
          <cell r="G2513" t="str">
            <v>Ts2</v>
          </cell>
          <cell r="H2513">
            <v>205.52499999999998</v>
          </cell>
          <cell r="I2513" t="str">
            <v>menit</v>
          </cell>
        </row>
        <row r="2517">
          <cell r="J2517" t="str">
            <v>Berlanjut ke halaman berikut</v>
          </cell>
        </row>
        <row r="2518">
          <cell r="A2518" t="str">
            <v>ITEM PEMBAYARAN NO.</v>
          </cell>
          <cell r="D2518" t="str">
            <v>:  3.2 (4)</v>
          </cell>
          <cell r="J2518">
            <v>0</v>
          </cell>
        </row>
        <row r="2519">
          <cell r="A2519" t="str">
            <v>JENIS PEKERJAAN</v>
          </cell>
          <cell r="D2519" t="str">
            <v xml:space="preserve">:  Timbunan Batu dengan Manual </v>
          </cell>
        </row>
        <row r="2520">
          <cell r="A2520" t="str">
            <v>SATUAN PEMBAYARAN</v>
          </cell>
          <cell r="D2520" t="str">
            <v>:  M3</v>
          </cell>
          <cell r="E2520" t="str">
            <v/>
          </cell>
          <cell r="H2520" t="str">
            <v xml:space="preserve">         URAIAN ANALISA HARGA SATUAN</v>
          </cell>
        </row>
        <row r="2521">
          <cell r="J2521" t="str">
            <v>Lanjutan</v>
          </cell>
        </row>
        <row r="2523">
          <cell r="A2523" t="str">
            <v>No.</v>
          </cell>
          <cell r="C2523" t="str">
            <v>U R A I A N</v>
          </cell>
          <cell r="G2523" t="str">
            <v>KODE</v>
          </cell>
          <cell r="H2523" t="str">
            <v>KOEF.</v>
          </cell>
          <cell r="I2523" t="str">
            <v>SATUAN</v>
          </cell>
          <cell r="J2523" t="str">
            <v>KETERANGAN</v>
          </cell>
        </row>
        <row r="2526">
          <cell r="C2526" t="str">
            <v>Kapasitas Produksi / Jam   =</v>
          </cell>
          <cell r="E2526" t="str">
            <v>V x Fa x 60</v>
          </cell>
          <cell r="G2526" t="str">
            <v>Q2</v>
          </cell>
          <cell r="H2526">
            <v>1.3027219826486851</v>
          </cell>
          <cell r="I2526" t="str">
            <v>M3</v>
          </cell>
        </row>
        <row r="2527">
          <cell r="E2527" t="str">
            <v xml:space="preserve">    Fk x Ts2</v>
          </cell>
        </row>
        <row r="2529">
          <cell r="C2529" t="str">
            <v>Koefisien Alat / M3</v>
          </cell>
          <cell r="D2529" t="str">
            <v xml:space="preserve"> =  1  :  Q2</v>
          </cell>
          <cell r="G2529" t="str">
            <v>(E08)</v>
          </cell>
          <cell r="H2529">
            <v>0.76762349397590346</v>
          </cell>
          <cell r="I2529" t="str">
            <v>Jam</v>
          </cell>
        </row>
        <row r="2531">
          <cell r="A2531" t="str">
            <v>2.c.</v>
          </cell>
          <cell r="C2531" t="str">
            <v>BULLDOZER</v>
          </cell>
          <cell r="G2531" t="str">
            <v>(E13)</v>
          </cell>
        </row>
        <row r="2532">
          <cell r="C2532" t="str">
            <v>Panjang hamparan</v>
          </cell>
          <cell r="G2532" t="str">
            <v>Lh</v>
          </cell>
          <cell r="H2532">
            <v>50</v>
          </cell>
          <cell r="I2532" t="str">
            <v>M</v>
          </cell>
        </row>
        <row r="2533">
          <cell r="C2533" t="str">
            <v>Lebar Efektif kerja Blade</v>
          </cell>
          <cell r="G2533" t="str">
            <v>b</v>
          </cell>
          <cell r="H2533">
            <v>2.4</v>
          </cell>
          <cell r="I2533" t="str">
            <v>M</v>
          </cell>
        </row>
        <row r="2534">
          <cell r="C2534" t="str">
            <v>Faktor Efisiensi Alat</v>
          </cell>
          <cell r="G2534" t="str">
            <v>Fa</v>
          </cell>
          <cell r="H2534">
            <v>0.83</v>
          </cell>
          <cell r="I2534" t="str">
            <v>-</v>
          </cell>
        </row>
        <row r="2535">
          <cell r="C2535" t="str">
            <v>Kecepatan rata-rata alat</v>
          </cell>
          <cell r="G2535" t="str">
            <v>v</v>
          </cell>
          <cell r="H2535">
            <v>5</v>
          </cell>
          <cell r="I2535" t="str">
            <v>Km / Jam</v>
          </cell>
        </row>
        <row r="2536">
          <cell r="C2536" t="str">
            <v>Jumlah lintasan</v>
          </cell>
          <cell r="G2536" t="str">
            <v>n</v>
          </cell>
          <cell r="H2536">
            <v>5</v>
          </cell>
          <cell r="I2536" t="str">
            <v>lintasan</v>
          </cell>
        </row>
        <row r="2537">
          <cell r="C2537" t="str">
            <v>Waktu siklus</v>
          </cell>
          <cell r="G2537" t="str">
            <v>Ts3</v>
          </cell>
        </row>
        <row r="2538">
          <cell r="C2538" t="str">
            <v>- Perataan 1 kali lintasan    = Lh : (v x 1000) x 60</v>
          </cell>
          <cell r="G2538" t="str">
            <v>T1</v>
          </cell>
          <cell r="H2538">
            <v>0.6</v>
          </cell>
          <cell r="I2538" t="str">
            <v>menit</v>
          </cell>
        </row>
        <row r="2539">
          <cell r="C2539" t="str">
            <v>- Lain-lain</v>
          </cell>
          <cell r="G2539" t="str">
            <v>T2</v>
          </cell>
          <cell r="H2539">
            <v>0.5</v>
          </cell>
          <cell r="I2539" t="str">
            <v>menit</v>
          </cell>
        </row>
        <row r="2540">
          <cell r="G2540" t="str">
            <v>Ts3</v>
          </cell>
          <cell r="H2540">
            <v>1.1000000000000001</v>
          </cell>
          <cell r="I2540" t="str">
            <v>menit</v>
          </cell>
        </row>
        <row r="2542">
          <cell r="C2542" t="str">
            <v>Kapasitas Produksi / Jam   =</v>
          </cell>
          <cell r="E2542" t="str">
            <v>Lh x b x t x Fa x 60</v>
          </cell>
          <cell r="G2542" t="str">
            <v>Q3</v>
          </cell>
          <cell r="H2542">
            <v>488.94545454545454</v>
          </cell>
          <cell r="I2542" t="str">
            <v>M3</v>
          </cell>
        </row>
        <row r="2543">
          <cell r="E2543" t="str">
            <v xml:space="preserve">      n x Ts3</v>
          </cell>
        </row>
        <row r="2545">
          <cell r="C2545" t="str">
            <v>Koefisien Alat / M3</v>
          </cell>
          <cell r="D2545" t="str">
            <v xml:space="preserve"> =  1  :  Q3</v>
          </cell>
          <cell r="G2545" t="str">
            <v>(E13)</v>
          </cell>
          <cell r="H2545">
            <v>2.045217908671724E-3</v>
          </cell>
          <cell r="I2545" t="str">
            <v>Jam</v>
          </cell>
        </row>
        <row r="2547">
          <cell r="A2547" t="str">
            <v>2.d.</v>
          </cell>
          <cell r="C2547" t="str">
            <v>VIBRATORY ROLLER</v>
          </cell>
          <cell r="G2547" t="str">
            <v>(E19)</v>
          </cell>
        </row>
        <row r="2548">
          <cell r="C2548" t="str">
            <v>Kecepatan rata-rata alat</v>
          </cell>
          <cell r="G2548" t="str">
            <v>v</v>
          </cell>
          <cell r="H2548">
            <v>4</v>
          </cell>
          <cell r="I2548" t="str">
            <v>Km / Jam</v>
          </cell>
        </row>
        <row r="2549">
          <cell r="C2549" t="str">
            <v>Lebar efektif pemadatan</v>
          </cell>
          <cell r="G2549" t="str">
            <v>b</v>
          </cell>
          <cell r="H2549">
            <v>1.2</v>
          </cell>
          <cell r="I2549" t="str">
            <v>M</v>
          </cell>
        </row>
        <row r="2550">
          <cell r="C2550" t="str">
            <v>Jumlah lintasan</v>
          </cell>
          <cell r="G2550" t="str">
            <v>n</v>
          </cell>
          <cell r="H2550">
            <v>6</v>
          </cell>
          <cell r="I2550" t="str">
            <v>lintasan</v>
          </cell>
        </row>
        <row r="2551">
          <cell r="C2551" t="str">
            <v>Faktor efisiensi alat</v>
          </cell>
          <cell r="G2551" t="str">
            <v>Fa</v>
          </cell>
          <cell r="H2551">
            <v>0.83</v>
          </cell>
          <cell r="I2551" t="str">
            <v>-</v>
          </cell>
        </row>
        <row r="2553">
          <cell r="C2553" t="str">
            <v>Kapasitas Prod./Jam   =</v>
          </cell>
          <cell r="D2553" t="str">
            <v>(v x 1000) x b x t x Fa</v>
          </cell>
          <cell r="G2553" t="str">
            <v>Q4</v>
          </cell>
          <cell r="H2553">
            <v>298.8</v>
          </cell>
          <cell r="I2553" t="str">
            <v>M3</v>
          </cell>
        </row>
        <row r="2554">
          <cell r="D2554" t="str">
            <v>n</v>
          </cell>
        </row>
        <row r="2556">
          <cell r="C2556" t="str">
            <v>Koefisien Alat / M3</v>
          </cell>
          <cell r="D2556" t="str">
            <v xml:space="preserve"> =  1  :  Q4</v>
          </cell>
          <cell r="G2556" t="str">
            <v>(E19)</v>
          </cell>
          <cell r="H2556">
            <v>3.3467202141900937E-3</v>
          </cell>
          <cell r="I2556" t="str">
            <v>Jam</v>
          </cell>
        </row>
        <row r="2570">
          <cell r="A2570" t="str">
            <v>2.f.</v>
          </cell>
          <cell r="C2570" t="str">
            <v>ALAT  BANTU</v>
          </cell>
        </row>
        <row r="2571">
          <cell r="C2571" t="str">
            <v>Diperlukan alat-alat bantu kecil</v>
          </cell>
          <cell r="J2571" t="str">
            <v>Lump Sump</v>
          </cell>
        </row>
        <row r="2572">
          <cell r="C2572" t="str">
            <v xml:space="preserve">- Sekop    </v>
          </cell>
          <cell r="D2572" t="str">
            <v>= 2 buah</v>
          </cell>
        </row>
        <row r="2573">
          <cell r="C2573" t="str">
            <v>- Palu besar</v>
          </cell>
          <cell r="D2573" t="str">
            <v>= 1 buah</v>
          </cell>
        </row>
        <row r="2574">
          <cell r="C2574" t="str">
            <v>- Kereta dorong</v>
          </cell>
          <cell r="D2574" t="str">
            <v>= 6 buah</v>
          </cell>
        </row>
        <row r="2576">
          <cell r="J2576" t="str">
            <v>Berlanjut ke halaman berikut</v>
          </cell>
        </row>
        <row r="2577">
          <cell r="A2577" t="str">
            <v>ITEM PEMBAYARAN NO.</v>
          </cell>
          <cell r="D2577" t="str">
            <v>:  3.2 (4)</v>
          </cell>
          <cell r="J2577">
            <v>0</v>
          </cell>
        </row>
        <row r="2578">
          <cell r="A2578" t="str">
            <v>JENIS PEKERJAAN</v>
          </cell>
          <cell r="D2578" t="str">
            <v xml:space="preserve">:  Timbunan Batu dengan Manual </v>
          </cell>
        </row>
        <row r="2579">
          <cell r="A2579" t="str">
            <v>SATUAN PEMBAYARAN</v>
          </cell>
          <cell r="D2579" t="str">
            <v>:  M3</v>
          </cell>
          <cell r="E2579" t="str">
            <v/>
          </cell>
          <cell r="H2579" t="str">
            <v xml:space="preserve">         URAIAN ANALISA HARGA SATUAN</v>
          </cell>
        </row>
        <row r="2580">
          <cell r="J2580" t="str">
            <v>Lanjutan</v>
          </cell>
        </row>
        <row r="2582">
          <cell r="A2582" t="str">
            <v>No.</v>
          </cell>
          <cell r="C2582" t="str">
            <v>U R A I A N</v>
          </cell>
          <cell r="G2582" t="str">
            <v>KODE</v>
          </cell>
          <cell r="H2582" t="str">
            <v>KOEF.</v>
          </cell>
          <cell r="I2582" t="str">
            <v>SATUAN</v>
          </cell>
          <cell r="J2582" t="str">
            <v>KETERANGAN</v>
          </cell>
        </row>
        <row r="2585">
          <cell r="A2585" t="str">
            <v xml:space="preserve">   3.</v>
          </cell>
          <cell r="C2585" t="str">
            <v>TENAGA</v>
          </cell>
        </row>
        <row r="2586">
          <cell r="C2586" t="str">
            <v>Produksi menentukan : DUMP TRUCK</v>
          </cell>
          <cell r="G2586" t="str">
            <v>Q1</v>
          </cell>
          <cell r="H2586">
            <v>54.217741935483872</v>
          </cell>
          <cell r="I2586" t="str">
            <v>M3/Jam</v>
          </cell>
        </row>
        <row r="2587">
          <cell r="C2587" t="str">
            <v>Produksi Timbunan / hari  =  Tk x Q1</v>
          </cell>
          <cell r="G2587" t="str">
            <v>Qt</v>
          </cell>
          <cell r="H2587">
            <v>379.52419354838707</v>
          </cell>
          <cell r="I2587" t="str">
            <v>M3</v>
          </cell>
        </row>
        <row r="2588">
          <cell r="C2588" t="str">
            <v>Kebutuhan tenaga :</v>
          </cell>
        </row>
        <row r="2589">
          <cell r="D2589" t="str">
            <v>- Pekerja</v>
          </cell>
          <cell r="G2589" t="str">
            <v>P</v>
          </cell>
          <cell r="H2589">
            <v>8</v>
          </cell>
          <cell r="I2589" t="str">
            <v>orang</v>
          </cell>
        </row>
        <row r="2590">
          <cell r="D2590" t="str">
            <v>- Mandor</v>
          </cell>
          <cell r="G2590" t="str">
            <v>M</v>
          </cell>
          <cell r="H2590">
            <v>1</v>
          </cell>
          <cell r="I2590" t="str">
            <v>orang</v>
          </cell>
        </row>
        <row r="2593">
          <cell r="C2593" t="str">
            <v>Koefisien tenaga / M3   :</v>
          </cell>
        </row>
        <row r="2594">
          <cell r="D2594" t="str">
            <v>- Pekerja</v>
          </cell>
          <cell r="E2594" t="str">
            <v>= (Tk x P) : Qt</v>
          </cell>
          <cell r="G2594" t="str">
            <v>(L01)</v>
          </cell>
          <cell r="H2594">
            <v>0.14755317566562548</v>
          </cell>
          <cell r="I2594" t="str">
            <v>Jam</v>
          </cell>
        </row>
        <row r="2595">
          <cell r="D2595" t="str">
            <v>- Mandor</v>
          </cell>
          <cell r="E2595" t="str">
            <v>= (Tk x M) : Qt</v>
          </cell>
          <cell r="G2595" t="str">
            <v>(L02)</v>
          </cell>
          <cell r="H2595">
            <v>1.8444146958203185E-2</v>
          </cell>
          <cell r="I2595" t="str">
            <v>Jam</v>
          </cell>
        </row>
        <row r="2598">
          <cell r="A2598" t="str">
            <v>4.</v>
          </cell>
          <cell r="C2598" t="str">
            <v>HARGA DASAR SATUAN UPAH, BAHAN DAN ALAT</v>
          </cell>
        </row>
        <row r="2599">
          <cell r="C2599" t="str">
            <v>Lihat lampiran.</v>
          </cell>
        </row>
        <row r="2602">
          <cell r="A2602" t="str">
            <v>5.</v>
          </cell>
          <cell r="C2602" t="str">
            <v>ANALISA HARGA SATUAN PEKERJAAN</v>
          </cell>
        </row>
        <row r="2603">
          <cell r="C2603" t="str">
            <v>Lihat perhitungan dalam FORMULIR STANDAR UNTUK</v>
          </cell>
        </row>
        <row r="2604">
          <cell r="C2604" t="str">
            <v>PEREKEMAN ANALISA MASING-MASING HARGA</v>
          </cell>
        </row>
        <row r="2605">
          <cell r="C2605" t="str">
            <v>SATUAN.</v>
          </cell>
        </row>
        <row r="2606">
          <cell r="C2606" t="str">
            <v>Didapat Harga Satuan Pekerjaan :</v>
          </cell>
        </row>
        <row r="2608">
          <cell r="C2608" t="str">
            <v xml:space="preserve">Rp.  </v>
          </cell>
          <cell r="D2608">
            <v>162398.24383290968</v>
          </cell>
          <cell r="E2608" t="str">
            <v xml:space="preserve"> / M3</v>
          </cell>
        </row>
      </sheetData>
      <sheetData sheetId="1" refreshError="1"/>
      <sheetData sheetId="2" refreshError="1"/>
      <sheetData sheetId="3" refreshError="1"/>
      <sheetData sheetId="4" refreshError="1"/>
      <sheetData sheetId="5" refreshError="1"/>
      <sheetData sheetId="6" refreshError="1"/>
      <sheetData sheetId="7" refreshError="1"/>
      <sheetData sheetId="8">
        <row r="1">
          <cell r="A1" t="str">
            <v>ITEM PEMBAYARAN NO.</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DIV4"/>
      <sheetName val="3-DIV3"/>
      <sheetName val="3-DIV5"/>
      <sheetName val="REKAPITULASI"/>
      <sheetName val="RAB"/>
      <sheetName val="HARGA SATUAN "/>
      <sheetName val="ANALISA"/>
      <sheetName val="HARGA BAHAN"/>
      <sheetName val="3_DIV4"/>
      <sheetName val="K"/>
      <sheetName val="3-DIV2"/>
      <sheetName val="4-Basic Price"/>
      <sheetName val="ANL-B"/>
      <sheetName val="5-Peralatan"/>
      <sheetName val="BQ"/>
      <sheetName val="Harga S Dasar"/>
      <sheetName val="1.2 +1.6"/>
      <sheetName val="D2"/>
      <sheetName val="D3"/>
      <sheetName val="D6"/>
      <sheetName val="D7"/>
      <sheetName val="Summary"/>
      <sheetName val="Peralatan"/>
      <sheetName val="Basic"/>
      <sheetName val="bahan "/>
      <sheetName val="Tata Udara"/>
      <sheetName val="Plumbing"/>
      <sheetName val="hsd Bahan"/>
      <sheetName val="harsat"/>
      <sheetName val="schedule"/>
      <sheetName val="DIV 3"/>
      <sheetName val="H.Satuan"/>
      <sheetName val="Faktor Konversi"/>
      <sheetName val="D-3 (M)"/>
      <sheetName val="DAF_2"/>
      <sheetName val="Cover"/>
      <sheetName val="HArga"/>
      <sheetName val="DFT HRG"/>
      <sheetName val="Master"/>
      <sheetName val="H_SATUAN"/>
      <sheetName val="NYATDOK"/>
      <sheetName val="RAB PENAWARAN"/>
      <sheetName val="TK1"/>
      <sheetName val="RMS FUNGSIONAL"/>
      <sheetName val="RMS - STR (2)"/>
      <sheetName val="SEN_FUNG"/>
      <sheetName val="ANALISA ALAT"/>
      <sheetName val="DRUP (ASLI)"/>
      <sheetName val="PENAWARAN"/>
      <sheetName val="UPAH MANGGA BAI"/>
      <sheetName val="BAHAN MANGGA BAI"/>
      <sheetName val="Tanah"/>
      <sheetName val="Struktur"/>
      <sheetName val="T-Sch"/>
    </sheetNames>
    <sheetDataSet>
      <sheetData sheetId="0" refreshError="1">
        <row r="1">
          <cell r="A1" t="str">
            <v>ITEM PEMBAYARAN NO.</v>
          </cell>
          <cell r="D1" t="str">
            <v>:  4.2 (1)</v>
          </cell>
          <cell r="J1" t="str">
            <v>Analisa EI-421</v>
          </cell>
          <cell r="T1" t="str">
            <v>Analisa EI-421</v>
          </cell>
        </row>
        <row r="2">
          <cell r="A2" t="str">
            <v>JENIS PEKERJAAN</v>
          </cell>
          <cell r="D2" t="str">
            <v>:  Lps. Pond. Ag. Kls. A, CBR Min 80%</v>
          </cell>
        </row>
        <row r="3">
          <cell r="A3" t="str">
            <v>SATUAN PEMBAYARAN</v>
          </cell>
          <cell r="D3" t="str">
            <v>:  M3</v>
          </cell>
          <cell r="J3" t="str">
            <v xml:space="preserve">         URAIAN ANALISA HARGA SATUAN</v>
          </cell>
          <cell r="L3" t="str">
            <v>FORMULIR STANDAR UNTUK</v>
          </cell>
        </row>
        <row r="4">
          <cell r="L4" t="str">
            <v>PEREKAMAN ANALISA MASING-MASING HARGA SATUAN</v>
          </cell>
        </row>
        <row r="5">
          <cell r="L5" t="str">
            <v/>
          </cell>
        </row>
        <row r="6">
          <cell r="A6" t="str">
            <v>No.</v>
          </cell>
          <cell r="C6" t="str">
            <v>U R A I A N</v>
          </cell>
          <cell r="G6" t="str">
            <v>KODE</v>
          </cell>
          <cell r="H6" t="str">
            <v>KOEF.</v>
          </cell>
          <cell r="I6" t="str">
            <v>SATUAN</v>
          </cell>
          <cell r="J6" t="str">
            <v>KETERANGAN</v>
          </cell>
        </row>
        <row r="8">
          <cell r="L8" t="str">
            <v>PROYEK</v>
          </cell>
          <cell r="O8" t="str">
            <v>:</v>
          </cell>
        </row>
        <row r="9">
          <cell r="A9" t="str">
            <v>I.</v>
          </cell>
          <cell r="C9" t="str">
            <v>ASUMSI</v>
          </cell>
          <cell r="L9" t="str">
            <v>No. PAKET KONTRAK</v>
          </cell>
          <cell r="O9" t="str">
            <v>:</v>
          </cell>
        </row>
        <row r="10">
          <cell r="A10">
            <v>1</v>
          </cell>
          <cell r="C10" t="str">
            <v>Menggunakan alat berat (cara mekanik)</v>
          </cell>
          <cell r="L10" t="str">
            <v>NAMA PAKET</v>
          </cell>
          <cell r="O10" t="str">
            <v>:</v>
          </cell>
        </row>
        <row r="11">
          <cell r="A11">
            <v>2</v>
          </cell>
          <cell r="C11" t="str">
            <v>Lokasi pekerjaan : sepanjang jalan</v>
          </cell>
          <cell r="L11" t="str">
            <v>PROP / KAB / KODYA</v>
          </cell>
          <cell r="O11" t="str">
            <v>:</v>
          </cell>
        </row>
        <row r="12">
          <cell r="A12">
            <v>3</v>
          </cell>
          <cell r="C12" t="str">
            <v>Kondisi existing jalan : sedang</v>
          </cell>
          <cell r="L12" t="str">
            <v>ITEM PEMBAYARAN NO.</v>
          </cell>
          <cell r="O12" t="str">
            <v>:  4.2 (1)</v>
          </cell>
          <cell r="R12" t="str">
            <v>PERKIRAAN VOL. PEK.</v>
          </cell>
          <cell r="T12" t="str">
            <v>:</v>
          </cell>
          <cell r="U12">
            <v>0</v>
          </cell>
        </row>
        <row r="13">
          <cell r="A13">
            <v>4</v>
          </cell>
          <cell r="C13" t="str">
            <v>Jarak rata-rata Base Camp ke lokasi pekerjaan</v>
          </cell>
          <cell r="G13" t="str">
            <v>L</v>
          </cell>
          <cell r="H13">
            <v>8.7249999999999996</v>
          </cell>
          <cell r="I13" t="str">
            <v>KM</v>
          </cell>
          <cell r="L13" t="str">
            <v>JENIS PEKERJAAN</v>
          </cell>
          <cell r="O13" t="str">
            <v>:  Lps. Pond. Ag. Kls. A, CBR Min 80%</v>
          </cell>
          <cell r="R13" t="str">
            <v>TOTAL HARGA (Rp.)</v>
          </cell>
          <cell r="T13" t="str">
            <v>:</v>
          </cell>
          <cell r="U13">
            <v>0</v>
          </cell>
        </row>
        <row r="14">
          <cell r="A14">
            <v>5</v>
          </cell>
          <cell r="C14" t="str">
            <v>Tebal lapis Agregat padat</v>
          </cell>
          <cell r="G14" t="str">
            <v>t</v>
          </cell>
          <cell r="H14">
            <v>0.15</v>
          </cell>
          <cell r="I14" t="str">
            <v>M</v>
          </cell>
          <cell r="L14" t="str">
            <v>SATUAN PEMBAYARAN</v>
          </cell>
          <cell r="O14" t="str">
            <v>:  M3</v>
          </cell>
          <cell r="R14" t="str">
            <v>% THD. BIAYA PROYEK</v>
          </cell>
          <cell r="T14" t="str">
            <v>:</v>
          </cell>
          <cell r="U14" t="e">
            <v>#DIV/0!</v>
          </cell>
        </row>
        <row r="15">
          <cell r="A15">
            <v>6</v>
          </cell>
          <cell r="C15" t="str">
            <v>Faktor kembang material (Padat-Lepas)</v>
          </cell>
          <cell r="G15" t="str">
            <v>Fk</v>
          </cell>
          <cell r="H15">
            <v>1.2</v>
          </cell>
          <cell r="I15" t="str">
            <v>-</v>
          </cell>
        </row>
        <row r="16">
          <cell r="A16">
            <v>7</v>
          </cell>
          <cell r="C16" t="str">
            <v>Jam kerja efektif per-hari</v>
          </cell>
          <cell r="G16" t="str">
            <v>Tk</v>
          </cell>
          <cell r="H16">
            <v>7</v>
          </cell>
          <cell r="I16" t="str">
            <v>Jam</v>
          </cell>
        </row>
        <row r="17">
          <cell r="A17">
            <v>8</v>
          </cell>
          <cell r="C17" t="str">
            <v>Lebar bahu jalan</v>
          </cell>
          <cell r="G17" t="str">
            <v>Lb</v>
          </cell>
          <cell r="H17">
            <v>1</v>
          </cell>
          <cell r="I17" t="str">
            <v>M</v>
          </cell>
          <cell r="Q17" t="str">
            <v>PERKIRAAN</v>
          </cell>
          <cell r="R17" t="str">
            <v>HARGA</v>
          </cell>
          <cell r="S17" t="str">
            <v>JUMLAH</v>
          </cell>
        </row>
        <row r="18">
          <cell r="A18">
            <v>9</v>
          </cell>
          <cell r="C18" t="str">
            <v>Proporsi Campuran :</v>
          </cell>
          <cell r="D18" t="str">
            <v>- Agregat Kasar</v>
          </cell>
          <cell r="G18" t="str">
            <v>Ak</v>
          </cell>
          <cell r="H18">
            <v>55</v>
          </cell>
          <cell r="I18" t="str">
            <v>%</v>
          </cell>
          <cell r="J18" t="str">
            <v xml:space="preserve"> Gradasi harus -</v>
          </cell>
          <cell r="L18" t="str">
            <v>NO.</v>
          </cell>
          <cell r="N18" t="str">
            <v>KOMPONEN</v>
          </cell>
          <cell r="P18" t="str">
            <v>SATUAN</v>
          </cell>
          <cell r="Q18" t="str">
            <v>KUANTITAS</v>
          </cell>
          <cell r="R18" t="str">
            <v>SATUAN</v>
          </cell>
          <cell r="S18" t="str">
            <v>HARGA</v>
          </cell>
        </row>
        <row r="19">
          <cell r="D19" t="str">
            <v>- Agregat Halus</v>
          </cell>
          <cell r="G19" t="str">
            <v>Ah</v>
          </cell>
          <cell r="H19">
            <v>45</v>
          </cell>
          <cell r="I19" t="str">
            <v>%</v>
          </cell>
          <cell r="J19" t="str">
            <v xml:space="preserve"> memenuhi Spec.</v>
          </cell>
          <cell r="R19" t="str">
            <v>(Rp.)</v>
          </cell>
          <cell r="S19" t="str">
            <v>(Rp.)</v>
          </cell>
        </row>
        <row r="20">
          <cell r="A20" t="str">
            <v>II.</v>
          </cell>
          <cell r="C20" t="str">
            <v>URUTAN KERJA</v>
          </cell>
        </row>
        <row r="21">
          <cell r="A21">
            <v>1</v>
          </cell>
          <cell r="C21" t="str">
            <v xml:space="preserve">Wheel Loader mencampur &amp; memuat Agregat ke </v>
          </cell>
        </row>
        <row r="22">
          <cell r="C22" t="str">
            <v>dalam Dump Truck di Base Camp</v>
          </cell>
          <cell r="L22" t="str">
            <v>A.</v>
          </cell>
          <cell r="N22" t="str">
            <v>TENAGA</v>
          </cell>
        </row>
        <row r="23">
          <cell r="A23">
            <v>2</v>
          </cell>
          <cell r="C23" t="str">
            <v>Dump Truck mengangkut Agregat ke lokasi</v>
          </cell>
        </row>
        <row r="24">
          <cell r="C24" t="str">
            <v>pekerjaan dan dihampar dengan Motor Grader</v>
          </cell>
          <cell r="L24" t="str">
            <v>1.</v>
          </cell>
          <cell r="N24" t="str">
            <v>Pekerja</v>
          </cell>
          <cell r="O24" t="str">
            <v>(L01)</v>
          </cell>
          <cell r="P24" t="str">
            <v>Jam</v>
          </cell>
          <cell r="Q24">
            <v>0.24988844265952695</v>
          </cell>
          <cell r="R24">
            <v>2857.14</v>
          </cell>
          <cell r="U24">
            <v>713.96626506024074</v>
          </cell>
        </row>
        <row r="25">
          <cell r="A25">
            <v>3</v>
          </cell>
          <cell r="C25" t="str">
            <v>Hamparan Agregat dibasahi dengan Water Tank Truck</v>
          </cell>
          <cell r="L25" t="str">
            <v>2.</v>
          </cell>
          <cell r="N25" t="str">
            <v>Mandor</v>
          </cell>
          <cell r="O25" t="str">
            <v>(L03)</v>
          </cell>
          <cell r="P25" t="str">
            <v>Jam</v>
          </cell>
          <cell r="Q25">
            <v>3.5698348951360995E-2</v>
          </cell>
          <cell r="R25">
            <v>3214.29</v>
          </cell>
          <cell r="U25">
            <v>114.74484605087014</v>
          </cell>
        </row>
        <row r="26">
          <cell r="C26" t="str">
            <v>sebelum dipadatkan dengan Tandem Roller &amp; PTR</v>
          </cell>
        </row>
        <row r="27">
          <cell r="A27">
            <v>4</v>
          </cell>
          <cell r="C27" t="str">
            <v>Selama pemadatan sekelompok pekerja akan</v>
          </cell>
        </row>
        <row r="28">
          <cell r="C28" t="str">
            <v>merapikan tepi hamparan dan level permukaan</v>
          </cell>
          <cell r="Q28" t="str">
            <v xml:space="preserve">JUMLAH HARGA TENAGA   </v>
          </cell>
          <cell r="U28">
            <v>828.71111111111088</v>
          </cell>
        </row>
        <row r="29">
          <cell r="C29" t="str">
            <v>dengan menggunakan alat bantu</v>
          </cell>
        </row>
        <row r="30">
          <cell r="L30" t="str">
            <v>B.</v>
          </cell>
          <cell r="N30" t="str">
            <v>BAHAN</v>
          </cell>
        </row>
        <row r="31">
          <cell r="A31" t="str">
            <v>III.</v>
          </cell>
          <cell r="C31" t="str">
            <v>PEMAKAIAN BAHAN, ALAT DAN TENAGA</v>
          </cell>
        </row>
        <row r="32">
          <cell r="L32" t="str">
            <v>1.</v>
          </cell>
          <cell r="N32" t="str">
            <v>Agregat Kasar     (M03)</v>
          </cell>
          <cell r="P32" t="str">
            <v>M3</v>
          </cell>
          <cell r="Q32">
            <v>0.66</v>
          </cell>
          <cell r="R32">
            <v>222345.54558042376</v>
          </cell>
          <cell r="U32">
            <v>146748.06008307968</v>
          </cell>
        </row>
        <row r="33">
          <cell r="A33" t="str">
            <v xml:space="preserve">   1.</v>
          </cell>
          <cell r="C33" t="str">
            <v>BAHAN</v>
          </cell>
          <cell r="L33" t="str">
            <v>2.</v>
          </cell>
          <cell r="N33" t="str">
            <v>Agregat Halus     (M04)</v>
          </cell>
          <cell r="P33" t="str">
            <v>M3</v>
          </cell>
          <cell r="Q33">
            <v>0.54</v>
          </cell>
          <cell r="R33">
            <v>194196.70775416915</v>
          </cell>
          <cell r="U33">
            <v>104866.22218725135</v>
          </cell>
        </row>
        <row r="34">
          <cell r="C34" t="str">
            <v>- Agregat Kasar</v>
          </cell>
          <cell r="D34" t="str">
            <v>=  Ak x 1 M3 x Fk</v>
          </cell>
          <cell r="G34" t="str">
            <v>M03</v>
          </cell>
          <cell r="H34">
            <v>0.66</v>
          </cell>
          <cell r="I34" t="str">
            <v>M3</v>
          </cell>
        </row>
        <row r="35">
          <cell r="C35" t="str">
            <v>- Agregat Halus</v>
          </cell>
          <cell r="D35" t="str">
            <v>=  Ah x 1 M3 x Fk</v>
          </cell>
          <cell r="G35" t="str">
            <v>M04</v>
          </cell>
          <cell r="H35">
            <v>0.54</v>
          </cell>
          <cell r="I35" t="str">
            <v>M3</v>
          </cell>
        </row>
        <row r="37">
          <cell r="A37" t="str">
            <v xml:space="preserve">   2.</v>
          </cell>
          <cell r="C37" t="str">
            <v>ALAT</v>
          </cell>
        </row>
        <row r="38">
          <cell r="A38" t="str">
            <v>2.a.</v>
          </cell>
          <cell r="C38" t="str">
            <v>WHEEL LOADER</v>
          </cell>
          <cell r="G38" t="str">
            <v>(E15)</v>
          </cell>
          <cell r="Q38" t="str">
            <v xml:space="preserve">JUMLAH HARGA BAHAN   </v>
          </cell>
          <cell r="U38">
            <v>251614.28227033102</v>
          </cell>
        </row>
        <row r="39">
          <cell r="C39" t="str">
            <v>Kapasitas bucket</v>
          </cell>
          <cell r="G39" t="str">
            <v>V</v>
          </cell>
          <cell r="H39">
            <v>1.5</v>
          </cell>
          <cell r="I39" t="str">
            <v>M3</v>
          </cell>
        </row>
        <row r="40">
          <cell r="C40" t="str">
            <v>Faktor bucket</v>
          </cell>
          <cell r="G40" t="str">
            <v>Fb</v>
          </cell>
          <cell r="H40">
            <v>0.9</v>
          </cell>
          <cell r="I40" t="str">
            <v>-</v>
          </cell>
          <cell r="J40" t="str">
            <v>Pemuatan ringan</v>
          </cell>
          <cell r="L40" t="str">
            <v>C.</v>
          </cell>
          <cell r="N40" t="str">
            <v>PERALATAN</v>
          </cell>
        </row>
        <row r="41">
          <cell r="C41" t="str">
            <v>Faktor Efisiensi alat</v>
          </cell>
          <cell r="G41" t="str">
            <v>Fa</v>
          </cell>
          <cell r="H41">
            <v>0.83</v>
          </cell>
          <cell r="I41" t="str">
            <v>-</v>
          </cell>
        </row>
        <row r="42">
          <cell r="C42" t="str">
            <v>Waktu siklus</v>
          </cell>
          <cell r="G42" t="str">
            <v>Ts1</v>
          </cell>
          <cell r="L42" t="str">
            <v>1</v>
          </cell>
          <cell r="N42" t="str">
            <v>Wheel Loader</v>
          </cell>
          <cell r="O42" t="str">
            <v>E15</v>
          </cell>
          <cell r="P42" t="str">
            <v>Jam</v>
          </cell>
          <cell r="Q42">
            <v>3.5698348951360995E-2</v>
          </cell>
          <cell r="R42">
            <v>163808.13869490434</v>
          </cell>
          <cell r="U42">
            <v>5847.680096203635</v>
          </cell>
        </row>
        <row r="43">
          <cell r="C43" t="str">
            <v>- Mencampur</v>
          </cell>
          <cell r="G43" t="str">
            <v>T1</v>
          </cell>
          <cell r="H43">
            <v>1.5</v>
          </cell>
          <cell r="I43" t="str">
            <v>menit</v>
          </cell>
          <cell r="L43" t="str">
            <v>2</v>
          </cell>
          <cell r="N43" t="str">
            <v>Dump Truck</v>
          </cell>
          <cell r="O43" t="str">
            <v>E09</v>
          </cell>
          <cell r="P43" t="str">
            <v>Jam</v>
          </cell>
          <cell r="Q43">
            <v>0.14542063837680036</v>
          </cell>
          <cell r="R43">
            <v>70230.073977639215</v>
          </cell>
          <cell r="U43">
            <v>10212.90219107821</v>
          </cell>
        </row>
        <row r="44">
          <cell r="C44" t="str">
            <v>- Memuat dan lain-lain</v>
          </cell>
          <cell r="G44" t="str">
            <v>T2</v>
          </cell>
          <cell r="H44">
            <v>0.5</v>
          </cell>
          <cell r="I44" t="str">
            <v>menit</v>
          </cell>
          <cell r="L44" t="str">
            <v>3</v>
          </cell>
          <cell r="N44" t="str">
            <v>Motor Grader</v>
          </cell>
          <cell r="O44" t="str">
            <v>E13</v>
          </cell>
          <cell r="P44" t="str">
            <v>Jam</v>
          </cell>
          <cell r="Q44">
            <v>1.1713520749665328E-2</v>
          </cell>
          <cell r="R44">
            <v>201666.62574070093</v>
          </cell>
          <cell r="U44">
            <v>2362.2262051286921</v>
          </cell>
        </row>
        <row r="45">
          <cell r="G45" t="str">
            <v>Ts1</v>
          </cell>
          <cell r="H45">
            <v>2</v>
          </cell>
          <cell r="I45" t="str">
            <v>menit</v>
          </cell>
          <cell r="L45" t="str">
            <v>4</v>
          </cell>
          <cell r="N45" t="str">
            <v>Tandem Roller</v>
          </cell>
          <cell r="O45" t="str">
            <v>E17</v>
          </cell>
          <cell r="P45" t="str">
            <v>Jam</v>
          </cell>
          <cell r="Q45">
            <v>1.7849174475680501E-2</v>
          </cell>
          <cell r="R45">
            <v>293927.19306224468</v>
          </cell>
          <cell r="U45">
            <v>5246.3577521150328</v>
          </cell>
        </row>
        <row r="46">
          <cell r="L46" t="str">
            <v>5</v>
          </cell>
          <cell r="N46" t="str">
            <v>Water Tanker</v>
          </cell>
          <cell r="O46" t="str">
            <v>E23</v>
          </cell>
          <cell r="P46" t="str">
            <v>Jam</v>
          </cell>
          <cell r="Q46">
            <v>2.1084337349397592E-2</v>
          </cell>
          <cell r="R46">
            <v>67020.510980434308</v>
          </cell>
          <cell r="U46">
            <v>1413.0830628404826</v>
          </cell>
        </row>
        <row r="47">
          <cell r="C47" t="str">
            <v>Kap. Prod. / jam =</v>
          </cell>
          <cell r="D47" t="str">
            <v>V x Fb x Fa x 60</v>
          </cell>
          <cell r="G47" t="str">
            <v>Q1</v>
          </cell>
          <cell r="H47">
            <v>28.012500000000003</v>
          </cell>
          <cell r="I47" t="str">
            <v>M3</v>
          </cell>
          <cell r="L47" t="str">
            <v>6</v>
          </cell>
          <cell r="N47" t="str">
            <v>Alat Bantu</v>
          </cell>
          <cell r="P47" t="str">
            <v>Ls</v>
          </cell>
          <cell r="Q47">
            <v>1</v>
          </cell>
          <cell r="R47">
            <v>75</v>
          </cell>
          <cell r="U47">
            <v>75</v>
          </cell>
        </row>
        <row r="48">
          <cell r="D48" t="str">
            <v>Fk x Ts1</v>
          </cell>
        </row>
        <row r="49">
          <cell r="C49" t="str">
            <v>Koefisien Alat / M3</v>
          </cell>
          <cell r="D49" t="str">
            <v xml:space="preserve"> =  1  :  Q1</v>
          </cell>
          <cell r="G49" t="str">
            <v>(E15)</v>
          </cell>
          <cell r="H49">
            <v>3.5698348951360995E-2</v>
          </cell>
          <cell r="I49" t="str">
            <v>Jam</v>
          </cell>
        </row>
        <row r="50">
          <cell r="Q50" t="str">
            <v xml:space="preserve">JUMLAH HARGA PERALATAN   </v>
          </cell>
          <cell r="U50">
            <v>25157.249307366055</v>
          </cell>
        </row>
        <row r="51">
          <cell r="A51" t="str">
            <v>2.b.</v>
          </cell>
          <cell r="C51" t="str">
            <v>DUMP TRUCK</v>
          </cell>
          <cell r="G51" t="str">
            <v>(E09)</v>
          </cell>
        </row>
        <row r="52">
          <cell r="C52" t="str">
            <v>Kapasitas bak</v>
          </cell>
          <cell r="G52" t="str">
            <v>V</v>
          </cell>
          <cell r="H52">
            <v>6</v>
          </cell>
          <cell r="I52" t="str">
            <v>M3</v>
          </cell>
          <cell r="L52" t="str">
            <v>D.</v>
          </cell>
          <cell r="N52" t="str">
            <v>JUMLAH HARGA TENAGA, BAHAN DAN PERALATAN  ( A + B + C )</v>
          </cell>
          <cell r="U52">
            <v>277600.24268880818</v>
          </cell>
        </row>
        <row r="53">
          <cell r="C53" t="str">
            <v>Faktor Efisiensi alat</v>
          </cell>
          <cell r="G53" t="str">
            <v>Fa</v>
          </cell>
          <cell r="H53">
            <v>0.83</v>
          </cell>
          <cell r="I53" t="str">
            <v>-</v>
          </cell>
          <cell r="L53" t="str">
            <v>E.</v>
          </cell>
          <cell r="N53" t="str">
            <v>OVERHEAD &amp; PROFIT</v>
          </cell>
          <cell r="P53">
            <v>10</v>
          </cell>
          <cell r="Q53" t="str">
            <v>%  x  D</v>
          </cell>
          <cell r="U53">
            <v>27760.024268880821</v>
          </cell>
        </row>
        <row r="54">
          <cell r="C54" t="str">
            <v>Kecepatan rata-rata bermuatan</v>
          </cell>
          <cell r="G54" t="str">
            <v>v1</v>
          </cell>
          <cell r="H54">
            <v>45</v>
          </cell>
          <cell r="I54" t="str">
            <v>KM / Jam</v>
          </cell>
          <cell r="L54" t="str">
            <v>F.</v>
          </cell>
          <cell r="N54" t="str">
            <v>HARGA SATUAN PEKERJAAN  ( D + E )</v>
          </cell>
          <cell r="U54">
            <v>305360.26695768902</v>
          </cell>
        </row>
        <row r="55">
          <cell r="C55" t="str">
            <v>Kecepatan rata-rata kosong</v>
          </cell>
          <cell r="G55" t="str">
            <v>v2</v>
          </cell>
          <cell r="H55">
            <v>60</v>
          </cell>
          <cell r="I55" t="str">
            <v>KM / Jam</v>
          </cell>
          <cell r="L55" t="str">
            <v>Note: 1</v>
          </cell>
          <cell r="N55" t="str">
            <v>SATUAN dapat berdasarkan atas jam operasi untuk Tenaga Kerja dan Peralatan, volume dan/atau ukuran</v>
          </cell>
        </row>
        <row r="56">
          <cell r="C56" t="str">
            <v>Waktu Siklus  :  - Waktu memuat = V : Q1 x 60</v>
          </cell>
          <cell r="G56" t="str">
            <v>T1</v>
          </cell>
          <cell r="H56">
            <v>12.851405622489958</v>
          </cell>
          <cell r="I56" t="str">
            <v>menit</v>
          </cell>
          <cell r="N56" t="str">
            <v>berat untuk bahan-bahan.</v>
          </cell>
        </row>
        <row r="57">
          <cell r="C57" t="str">
            <v>- Waktu tempuh isi = (L : v1) x 60 menit</v>
          </cell>
          <cell r="G57" t="str">
            <v>T2</v>
          </cell>
          <cell r="H57">
            <v>11.633333333333333</v>
          </cell>
          <cell r="I57" t="str">
            <v>menit</v>
          </cell>
          <cell r="L57">
            <v>2</v>
          </cell>
          <cell r="N57" t="str">
            <v>Kuantitas satuan adalah kuantitas setiap komponen untuk menyelesaikan satu satuan pekerjaan dari nomor</v>
          </cell>
        </row>
        <row r="58">
          <cell r="C58" t="str">
            <v>- Waktu tempuh kosong = (L : v2) x 60 menit</v>
          </cell>
          <cell r="G58" t="str">
            <v>T3</v>
          </cell>
          <cell r="H58">
            <v>8.7249999999999996</v>
          </cell>
          <cell r="I58" t="str">
            <v>menit</v>
          </cell>
          <cell r="N58" t="str">
            <v>mata pembayaran.</v>
          </cell>
        </row>
        <row r="59">
          <cell r="C59" t="str">
            <v>- Lain-lain termasuk menurunkan Agregat</v>
          </cell>
          <cell r="G59" t="str">
            <v>T4</v>
          </cell>
          <cell r="H59">
            <v>3</v>
          </cell>
          <cell r="I59" t="str">
            <v>menit</v>
          </cell>
          <cell r="L59">
            <v>3</v>
          </cell>
          <cell r="N59" t="str">
            <v>Biaya satuan untuk peralatan sudah termasuk bahan bakar, bahan habis dipakai dan operator.</v>
          </cell>
        </row>
        <row r="60">
          <cell r="G60" t="str">
            <v>Ts2</v>
          </cell>
          <cell r="H60">
            <v>36.20973895582329</v>
          </cell>
          <cell r="I60" t="str">
            <v>menit</v>
          </cell>
          <cell r="L60">
            <v>4</v>
          </cell>
          <cell r="N60" t="str">
            <v>Biaya satuan sudah termasuk pengeluaran untuk seluruh pajak yang berkaitan (tetapi tidak termasuk PPN</v>
          </cell>
        </row>
        <row r="61">
          <cell r="J61" t="str">
            <v>Berlanjut ke halaman berikut</v>
          </cell>
          <cell r="N61" t="str">
            <v>yang dibayar dari kontrak) dan biaya-biaya lainnya.</v>
          </cell>
        </row>
        <row r="62">
          <cell r="A62" t="str">
            <v>ITEM PEMBAYARAN NO.</v>
          </cell>
          <cell r="D62" t="str">
            <v>:  4.2 (1)</v>
          </cell>
          <cell r="J62" t="str">
            <v>Analisa EI-421</v>
          </cell>
        </row>
        <row r="63">
          <cell r="A63" t="str">
            <v>JENIS PEKERJAAN</v>
          </cell>
          <cell r="D63" t="str">
            <v>:  Lps. Pond. Ag. Kls. A, CBR Min 80%</v>
          </cell>
        </row>
        <row r="64">
          <cell r="A64" t="str">
            <v>SATUAN PEMBAYARAN</v>
          </cell>
          <cell r="D64" t="str">
            <v>:  M3</v>
          </cell>
          <cell r="J64" t="str">
            <v xml:space="preserve">         URAIAN ANALISA HARGA SATUAN</v>
          </cell>
        </row>
        <row r="65">
          <cell r="J65" t="str">
            <v>Lanjutan</v>
          </cell>
        </row>
        <row r="67">
          <cell r="A67" t="str">
            <v>No.</v>
          </cell>
          <cell r="C67" t="str">
            <v>U R A I A N</v>
          </cell>
          <cell r="G67" t="str">
            <v>KODE</v>
          </cell>
          <cell r="H67" t="str">
            <v>KOEF.</v>
          </cell>
          <cell r="I67" t="str">
            <v>SATUAN</v>
          </cell>
          <cell r="J67" t="str">
            <v>KETERANGAN</v>
          </cell>
        </row>
        <row r="70">
          <cell r="C70" t="str">
            <v xml:space="preserve">Kap. Prod./jam = </v>
          </cell>
          <cell r="D70" t="str">
            <v>V x Fa x 60</v>
          </cell>
          <cell r="G70" t="str">
            <v>Q2</v>
          </cell>
          <cell r="H70">
            <v>6.8766030129017413</v>
          </cell>
          <cell r="I70" t="str">
            <v>M3</v>
          </cell>
        </row>
        <row r="71">
          <cell r="D71" t="str">
            <v>Fk x Ts2</v>
          </cell>
        </row>
        <row r="72">
          <cell r="C72" t="str">
            <v>Koefisien Alat / M3 = 1 : Q2</v>
          </cell>
          <cell r="D72" t="str">
            <v xml:space="preserve"> =  1 : Q2</v>
          </cell>
          <cell r="G72" t="str">
            <v>(E08)</v>
          </cell>
          <cell r="H72">
            <v>0.14542063837680036</v>
          </cell>
          <cell r="I72" t="str">
            <v>Jam</v>
          </cell>
        </row>
        <row r="74">
          <cell r="A74" t="str">
            <v>2.c.</v>
          </cell>
          <cell r="C74" t="str">
            <v>MOTOR GRADER</v>
          </cell>
          <cell r="G74" t="str">
            <v>(E13)</v>
          </cell>
        </row>
        <row r="75">
          <cell r="C75" t="str">
            <v>Panjang hamparan</v>
          </cell>
          <cell r="G75" t="str">
            <v>Lh</v>
          </cell>
          <cell r="H75">
            <v>50</v>
          </cell>
          <cell r="I75" t="str">
            <v>M</v>
          </cell>
        </row>
        <row r="76">
          <cell r="C76" t="str">
            <v>Lebar efektif kerja blade</v>
          </cell>
          <cell r="G76" t="str">
            <v>b</v>
          </cell>
          <cell r="H76">
            <v>2.4</v>
          </cell>
          <cell r="I76" t="str">
            <v>M</v>
          </cell>
        </row>
        <row r="77">
          <cell r="C77" t="str">
            <v>Faktor Efisiensi alat</v>
          </cell>
          <cell r="G77" t="str">
            <v>Fa</v>
          </cell>
          <cell r="H77">
            <v>0.83</v>
          </cell>
          <cell r="I77" t="str">
            <v>-</v>
          </cell>
        </row>
        <row r="78">
          <cell r="C78" t="str">
            <v>Kecepatan rata-rata alat</v>
          </cell>
          <cell r="G78" t="str">
            <v>v</v>
          </cell>
          <cell r="H78">
            <v>4</v>
          </cell>
          <cell r="I78" t="str">
            <v>KM / Jam</v>
          </cell>
        </row>
        <row r="79">
          <cell r="C79" t="str">
            <v>Jumlah lintasan</v>
          </cell>
          <cell r="G79" t="str">
            <v>n</v>
          </cell>
          <cell r="H79">
            <v>6</v>
          </cell>
          <cell r="I79" t="str">
            <v>lintasan</v>
          </cell>
          <cell r="J79" t="str">
            <v>3 x pp</v>
          </cell>
        </row>
        <row r="80">
          <cell r="C80" t="str">
            <v>Waktu Siklus</v>
          </cell>
          <cell r="G80" t="str">
            <v>Ts3</v>
          </cell>
        </row>
        <row r="81">
          <cell r="C81" t="str">
            <v>- Perataan 1 lintasan  = (Lh x 60) : (v x 1000)</v>
          </cell>
          <cell r="G81" t="str">
            <v>T1</v>
          </cell>
          <cell r="H81">
            <v>0.75</v>
          </cell>
          <cell r="I81" t="str">
            <v>menit</v>
          </cell>
        </row>
        <row r="82">
          <cell r="C82" t="str">
            <v>- Lain-lain</v>
          </cell>
          <cell r="G82" t="str">
            <v>T2</v>
          </cell>
          <cell r="H82">
            <v>1</v>
          </cell>
          <cell r="I82" t="str">
            <v>menit</v>
          </cell>
        </row>
        <row r="83">
          <cell r="G83" t="str">
            <v>Ts3</v>
          </cell>
          <cell r="H83">
            <v>1.75</v>
          </cell>
          <cell r="I83" t="str">
            <v>menit</v>
          </cell>
        </row>
        <row r="85">
          <cell r="C85" t="str">
            <v>Kap.Prod. / jam =</v>
          </cell>
          <cell r="D85" t="str">
            <v>Lh x b x t x Fa x 60</v>
          </cell>
          <cell r="G85" t="str">
            <v>Q3</v>
          </cell>
          <cell r="H85">
            <v>85.371428571428567</v>
          </cell>
          <cell r="I85" t="str">
            <v>M3</v>
          </cell>
        </row>
        <row r="86">
          <cell r="D86" t="str">
            <v>n x Ts3</v>
          </cell>
        </row>
        <row r="87">
          <cell r="C87" t="str">
            <v>Koefisien Alat / M3</v>
          </cell>
          <cell r="D87" t="str">
            <v xml:space="preserve"> = 1 : Q3</v>
          </cell>
          <cell r="G87" t="str">
            <v>(E13)</v>
          </cell>
          <cell r="H87">
            <v>1.1713520749665328E-2</v>
          </cell>
          <cell r="I87" t="str">
            <v>Jam</v>
          </cell>
        </row>
        <row r="89">
          <cell r="A89" t="str">
            <v>2.d.</v>
          </cell>
          <cell r="C89" t="str">
            <v>TANDEM ROLLER</v>
          </cell>
          <cell r="G89" t="str">
            <v>(E17)</v>
          </cell>
        </row>
        <row r="90">
          <cell r="C90" t="str">
            <v>Kecepatan rata-rata</v>
          </cell>
          <cell r="G90" t="str">
            <v>v</v>
          </cell>
          <cell r="H90">
            <v>3</v>
          </cell>
          <cell r="I90" t="str">
            <v>KM / Jam</v>
          </cell>
        </row>
        <row r="91">
          <cell r="C91" t="str">
            <v>Lebar efektif pemadatan</v>
          </cell>
          <cell r="G91" t="str">
            <v>b</v>
          </cell>
          <cell r="H91">
            <v>1.2</v>
          </cell>
          <cell r="I91" t="str">
            <v>M</v>
          </cell>
        </row>
        <row r="92">
          <cell r="C92" t="str">
            <v>Jumlah lintasan</v>
          </cell>
          <cell r="G92" t="str">
            <v>n</v>
          </cell>
          <cell r="H92">
            <v>8</v>
          </cell>
          <cell r="I92" t="str">
            <v>lintasan</v>
          </cell>
        </row>
        <row r="93">
          <cell r="C93" t="str">
            <v>Faktor Efisiensi alat</v>
          </cell>
          <cell r="G93" t="str">
            <v>Fa</v>
          </cell>
          <cell r="H93">
            <v>0.83</v>
          </cell>
          <cell r="I93" t="str">
            <v>-</v>
          </cell>
        </row>
        <row r="95">
          <cell r="C95" t="str">
            <v>Kap.Prod. / jam =</v>
          </cell>
          <cell r="D95" t="str">
            <v>(v x 1000) x b x t x Fa</v>
          </cell>
          <cell r="G95" t="str">
            <v>Q4</v>
          </cell>
          <cell r="H95">
            <v>56.024999999999999</v>
          </cell>
          <cell r="I95" t="str">
            <v>M3</v>
          </cell>
        </row>
        <row r="96">
          <cell r="D96" t="str">
            <v>n</v>
          </cell>
        </row>
        <row r="97">
          <cell r="C97" t="str">
            <v>Koefisien Alat / M3</v>
          </cell>
          <cell r="D97" t="str">
            <v xml:space="preserve"> = 1 : Q4</v>
          </cell>
          <cell r="G97" t="str">
            <v>(E17)</v>
          </cell>
          <cell r="H97">
            <v>1.7849174475680501E-2</v>
          </cell>
          <cell r="I97" t="str">
            <v>Jam</v>
          </cell>
        </row>
        <row r="99">
          <cell r="A99" t="str">
            <v>2.e.</v>
          </cell>
          <cell r="C99" t="str">
            <v>WATERTANK TRUCK</v>
          </cell>
          <cell r="G99" t="str">
            <v>(E23)</v>
          </cell>
        </row>
        <row r="100">
          <cell r="C100" t="str">
            <v>Volume tangki air</v>
          </cell>
          <cell r="G100" t="str">
            <v>V</v>
          </cell>
          <cell r="H100">
            <v>4</v>
          </cell>
          <cell r="I100" t="str">
            <v>M3</v>
          </cell>
        </row>
        <row r="101">
          <cell r="C101" t="str">
            <v>Kebutuhan air / M3 agregat padat</v>
          </cell>
          <cell r="G101" t="str">
            <v>Wc</v>
          </cell>
          <cell r="H101">
            <v>7.0000000000000007E-2</v>
          </cell>
          <cell r="I101" t="str">
            <v>M3</v>
          </cell>
        </row>
        <row r="102">
          <cell r="C102" t="str">
            <v>Pengisian tangki / jam</v>
          </cell>
          <cell r="G102" t="str">
            <v>n</v>
          </cell>
          <cell r="H102">
            <v>1</v>
          </cell>
          <cell r="I102" t="str">
            <v>kali</v>
          </cell>
        </row>
        <row r="103">
          <cell r="C103" t="str">
            <v>Faktor Efisiensi alat</v>
          </cell>
          <cell r="G103" t="str">
            <v>Fa</v>
          </cell>
          <cell r="H103">
            <v>0.83</v>
          </cell>
          <cell r="I103" t="str">
            <v>-</v>
          </cell>
        </row>
        <row r="105">
          <cell r="C105" t="str">
            <v>Kap.Prod. / jam =</v>
          </cell>
          <cell r="D105" t="str">
            <v>V x n x Fa</v>
          </cell>
          <cell r="G105" t="str">
            <v>Q5</v>
          </cell>
          <cell r="H105">
            <v>47.428571428571423</v>
          </cell>
          <cell r="I105" t="str">
            <v>M3</v>
          </cell>
        </row>
        <row r="106">
          <cell r="D106" t="str">
            <v>Wc</v>
          </cell>
        </row>
        <row r="107">
          <cell r="C107" t="str">
            <v>Koefisien Alat / M3</v>
          </cell>
          <cell r="D107" t="str">
            <v xml:space="preserve"> = 1 : Q5</v>
          </cell>
          <cell r="G107" t="str">
            <v>(E23)</v>
          </cell>
          <cell r="H107">
            <v>2.1084337349397592E-2</v>
          </cell>
          <cell r="I107" t="str">
            <v>Jam</v>
          </cell>
        </row>
        <row r="110">
          <cell r="A110" t="str">
            <v>2.g.</v>
          </cell>
          <cell r="C110" t="str">
            <v>ALAT BANTU</v>
          </cell>
        </row>
        <row r="111">
          <cell r="C111" t="str">
            <v>diperlukan :</v>
          </cell>
          <cell r="J111" t="str">
            <v>Lump Sum</v>
          </cell>
        </row>
        <row r="112">
          <cell r="C112" t="str">
            <v>- Kereta dorong     = 2 buah</v>
          </cell>
        </row>
        <row r="113">
          <cell r="C113" t="str">
            <v>- Sekop                = 3 buah</v>
          </cell>
        </row>
        <row r="114">
          <cell r="C114" t="str">
            <v>- Garpu                = 2 buah</v>
          </cell>
        </row>
        <row r="120">
          <cell r="J120" t="str">
            <v>Berlanjut ke halaman berikut</v>
          </cell>
        </row>
        <row r="121">
          <cell r="A121" t="str">
            <v>ITEM PEMBAYARAN NO.</v>
          </cell>
          <cell r="D121" t="str">
            <v>:  4.2 (1)</v>
          </cell>
          <cell r="J121" t="str">
            <v>Analisa EI-421</v>
          </cell>
        </row>
        <row r="122">
          <cell r="A122" t="str">
            <v>JENIS PEKERJAAN</v>
          </cell>
          <cell r="D122" t="str">
            <v>:  Lps. Pond. Ag. Kls. A, CBR Min 80%</v>
          </cell>
        </row>
        <row r="123">
          <cell r="A123" t="str">
            <v>SATUAN PEMBAYARAN</v>
          </cell>
          <cell r="D123" t="str">
            <v>:  M3</v>
          </cell>
          <cell r="J123" t="str">
            <v xml:space="preserve">         URAIAN ANALISA HARGA SATUAN</v>
          </cell>
        </row>
        <row r="124">
          <cell r="J124" t="str">
            <v>Lanjutan</v>
          </cell>
        </row>
        <row r="126">
          <cell r="A126" t="str">
            <v>No.</v>
          </cell>
          <cell r="C126" t="str">
            <v>U R A I A N</v>
          </cell>
          <cell r="G126" t="str">
            <v>KODE</v>
          </cell>
          <cell r="H126" t="str">
            <v>KOEF.</v>
          </cell>
          <cell r="I126" t="str">
            <v>SATUAN</v>
          </cell>
          <cell r="J126" t="str">
            <v>KETERANGAN</v>
          </cell>
        </row>
        <row r="129">
          <cell r="A129" t="str">
            <v xml:space="preserve">   3.</v>
          </cell>
          <cell r="C129" t="str">
            <v>TENAGA</v>
          </cell>
        </row>
        <row r="130">
          <cell r="C130" t="str">
            <v>Produksi menentukan : WHEEL LOADER</v>
          </cell>
          <cell r="G130" t="str">
            <v>Q1</v>
          </cell>
          <cell r="H130">
            <v>28.012500000000003</v>
          </cell>
          <cell r="I130" t="str">
            <v>M3/Jam</v>
          </cell>
        </row>
        <row r="131">
          <cell r="C131" t="str">
            <v>Produksi Agregat / hari  =  Tk x Q1</v>
          </cell>
          <cell r="G131" t="str">
            <v>Qt</v>
          </cell>
          <cell r="H131">
            <v>196.08750000000003</v>
          </cell>
          <cell r="I131" t="str">
            <v>M3</v>
          </cell>
        </row>
        <row r="132">
          <cell r="C132" t="str">
            <v>Kebutuhan tenaga :</v>
          </cell>
        </row>
        <row r="133">
          <cell r="D133" t="str">
            <v>- Pekerja</v>
          </cell>
          <cell r="G133" t="str">
            <v>P</v>
          </cell>
          <cell r="H133">
            <v>7</v>
          </cell>
          <cell r="I133" t="str">
            <v>orang</v>
          </cell>
        </row>
        <row r="134">
          <cell r="D134" t="str">
            <v>- Mandor</v>
          </cell>
          <cell r="G134" t="str">
            <v>M</v>
          </cell>
          <cell r="H134">
            <v>1</v>
          </cell>
          <cell r="I134" t="str">
            <v>orang</v>
          </cell>
        </row>
        <row r="136">
          <cell r="C136" t="str">
            <v>Koefisien tenaga / M3     :</v>
          </cell>
        </row>
        <row r="137">
          <cell r="D137" t="str">
            <v>- Pekerja</v>
          </cell>
          <cell r="E137" t="str">
            <v>= (Tk x P) : Qt</v>
          </cell>
          <cell r="G137" t="str">
            <v>(L01)</v>
          </cell>
          <cell r="H137">
            <v>0.24988844265952695</v>
          </cell>
          <cell r="I137" t="str">
            <v>Jam</v>
          </cell>
        </row>
        <row r="138">
          <cell r="D138" t="str">
            <v>- Mandor</v>
          </cell>
          <cell r="E138" t="str">
            <v>= (Tk x M) : Qt</v>
          </cell>
          <cell r="G138" t="str">
            <v>(L03)</v>
          </cell>
          <cell r="H138">
            <v>3.5698348951360995E-2</v>
          </cell>
          <cell r="I138" t="str">
            <v>Jam</v>
          </cell>
        </row>
        <row r="141">
          <cell r="A141" t="str">
            <v>4.</v>
          </cell>
          <cell r="C141" t="str">
            <v>HARGA DASAR SATUAN UPAH, BAHAN DAN ALAT</v>
          </cell>
        </row>
        <row r="142">
          <cell r="C142" t="str">
            <v>Lihat lampiran.</v>
          </cell>
        </row>
        <row r="144">
          <cell r="A144" t="str">
            <v>5.</v>
          </cell>
          <cell r="C144" t="str">
            <v>ANALISA HARGA SATUAN PEKERJAAN</v>
          </cell>
        </row>
        <row r="145">
          <cell r="C145" t="str">
            <v>Lihat perhitungan dalam FORMULIR STANDAR UNTUK</v>
          </cell>
        </row>
        <row r="146">
          <cell r="C146" t="str">
            <v>PEREKEMAN ANALISA MASING-MASING HARGA</v>
          </cell>
        </row>
        <row r="147">
          <cell r="C147" t="str">
            <v>SATUAN.</v>
          </cell>
        </row>
        <row r="148">
          <cell r="C148" t="str">
            <v>Didapat Harga Satuan Pekerjaan :</v>
          </cell>
        </row>
        <row r="150">
          <cell r="C150" t="str">
            <v xml:space="preserve">Rp.  </v>
          </cell>
          <cell r="D150">
            <v>305360.26695768902</v>
          </cell>
          <cell r="E150" t="str">
            <v xml:space="preserve"> / M3.</v>
          </cell>
        </row>
        <row r="153">
          <cell r="A153" t="str">
            <v>6.</v>
          </cell>
          <cell r="C153" t="str">
            <v>WAKTU PELAKSANAAN YANG DIPERLUKAN</v>
          </cell>
        </row>
        <row r="154">
          <cell r="C154" t="str">
            <v>Waktu pelaksanaan</v>
          </cell>
          <cell r="D154" t="str">
            <v>:  . . . . . . .  bulan</v>
          </cell>
        </row>
        <row r="156">
          <cell r="A156" t="str">
            <v>7.</v>
          </cell>
          <cell r="C156" t="str">
            <v>VOLUME PEKERJAAN YANG DIPERLUKAN</v>
          </cell>
        </row>
        <row r="157">
          <cell r="C157" t="str">
            <v>Volume pekerjaan  :</v>
          </cell>
          <cell r="D157">
            <v>0</v>
          </cell>
          <cell r="E157" t="str">
            <v>M3</v>
          </cell>
        </row>
        <row r="180">
          <cell r="A180" t="str">
            <v>ITEM PEMBAYARAN NO.</v>
          </cell>
          <cell r="D180" t="str">
            <v>:  4.2 (2)</v>
          </cell>
          <cell r="J180" t="str">
            <v>Analisa EI-422</v>
          </cell>
          <cell r="T180" t="str">
            <v>Analisa EI-422</v>
          </cell>
        </row>
        <row r="181">
          <cell r="A181" t="str">
            <v>JENIS PEKERJAAN</v>
          </cell>
          <cell r="D181" t="str">
            <v>:  Lps. Pond. Ag. Kls. B, CBR Min 35%</v>
          </cell>
        </row>
        <row r="182">
          <cell r="A182" t="str">
            <v>SATUAN PEMBAYARAN</v>
          </cell>
          <cell r="D182" t="str">
            <v>:  M3</v>
          </cell>
          <cell r="J182" t="str">
            <v xml:space="preserve">         URAIAN ANALISA HARGA SATUAN</v>
          </cell>
          <cell r="L182" t="str">
            <v>FORMULIR STANDAR UNTUK</v>
          </cell>
        </row>
        <row r="183">
          <cell r="L183" t="str">
            <v>PEREKAMAN ANALISA MASING-MASING HARGA SATUAN</v>
          </cell>
        </row>
        <row r="184">
          <cell r="L184" t="str">
            <v/>
          </cell>
        </row>
        <row r="185">
          <cell r="A185" t="str">
            <v>No.</v>
          </cell>
          <cell r="C185" t="str">
            <v>U R A I A N</v>
          </cell>
          <cell r="G185" t="str">
            <v>KODE</v>
          </cell>
          <cell r="H185" t="str">
            <v>KOEF.</v>
          </cell>
          <cell r="I185" t="str">
            <v>SATUAN</v>
          </cell>
          <cell r="J185" t="str">
            <v>KETERANGAN</v>
          </cell>
        </row>
        <row r="187">
          <cell r="L187" t="str">
            <v>PROYEK</v>
          </cell>
          <cell r="O187" t="str">
            <v>:</v>
          </cell>
        </row>
        <row r="188">
          <cell r="A188" t="str">
            <v>I.</v>
          </cell>
          <cell r="C188" t="str">
            <v>ASUMSI</v>
          </cell>
          <cell r="L188" t="str">
            <v>No. PAKET KONTRAK</v>
          </cell>
          <cell r="O188" t="str">
            <v>:</v>
          </cell>
        </row>
        <row r="189">
          <cell r="A189">
            <v>1</v>
          </cell>
          <cell r="C189" t="str">
            <v>Menggunakan alat berat (cara mekanik)</v>
          </cell>
          <cell r="L189" t="str">
            <v>NAMA PAKET</v>
          </cell>
          <cell r="O189" t="str">
            <v>:</v>
          </cell>
        </row>
        <row r="190">
          <cell r="A190">
            <v>2</v>
          </cell>
          <cell r="C190" t="str">
            <v>Lokasi pekerjaan : sepanjang jalan</v>
          </cell>
          <cell r="L190" t="str">
            <v>PROP / KAB / KODYA</v>
          </cell>
          <cell r="O190" t="str">
            <v>:</v>
          </cell>
        </row>
        <row r="191">
          <cell r="A191">
            <v>3</v>
          </cell>
          <cell r="C191" t="str">
            <v>Kondisi existing jalan : sedang</v>
          </cell>
          <cell r="L191" t="str">
            <v>ITEM PEMBAYARAN NO.</v>
          </cell>
          <cell r="O191" t="str">
            <v>:  4.2 (2)</v>
          </cell>
          <cell r="R191" t="str">
            <v>PERKIRAAN VOL. PEK.</v>
          </cell>
          <cell r="T191" t="str">
            <v>:</v>
          </cell>
          <cell r="U191">
            <v>0</v>
          </cell>
        </row>
        <row r="192">
          <cell r="A192">
            <v>4</v>
          </cell>
          <cell r="C192" t="str">
            <v>Jarak rata-rata Base Camp ke lokasi pekerjaan</v>
          </cell>
          <cell r="G192" t="str">
            <v>L</v>
          </cell>
          <cell r="H192">
            <v>8.7249999999999996</v>
          </cell>
          <cell r="I192" t="str">
            <v>KM</v>
          </cell>
          <cell r="L192" t="str">
            <v>JENIS PEKERJAAN</v>
          </cell>
          <cell r="O192" t="str">
            <v>:  Lps. Pond. Ag. Kls. B, CBR Min 35%</v>
          </cell>
          <cell r="R192" t="str">
            <v>TOTAL HARGA (Rp.)</v>
          </cell>
          <cell r="T192" t="str">
            <v>:</v>
          </cell>
          <cell r="U192">
            <v>3711291.7469440131</v>
          </cell>
        </row>
        <row r="193">
          <cell r="A193">
            <v>5</v>
          </cell>
          <cell r="C193" t="str">
            <v>Tebal lapis Agregat padat</v>
          </cell>
          <cell r="G193" t="str">
            <v>t</v>
          </cell>
          <cell r="H193">
            <v>0.15</v>
          </cell>
          <cell r="I193" t="str">
            <v>M</v>
          </cell>
          <cell r="L193" t="str">
            <v>SATUAN PEMBAYARAN</v>
          </cell>
          <cell r="O193" t="str">
            <v>:  M3</v>
          </cell>
          <cell r="R193" t="str">
            <v>% THD. BIAYA PROYEK</v>
          </cell>
          <cell r="T193" t="str">
            <v>:</v>
          </cell>
          <cell r="U193" t="e">
            <v>#DIV/0!</v>
          </cell>
        </row>
        <row r="194">
          <cell r="A194">
            <v>6</v>
          </cell>
          <cell r="C194" t="str">
            <v>Faktor kembang material (Padat-Lepas)</v>
          </cell>
          <cell r="G194" t="str">
            <v>Fk</v>
          </cell>
          <cell r="H194">
            <v>1.2</v>
          </cell>
          <cell r="I194" t="str">
            <v>-</v>
          </cell>
        </row>
        <row r="195">
          <cell r="A195">
            <v>7</v>
          </cell>
          <cell r="C195" t="str">
            <v>Jam kerja efektif per-hari</v>
          </cell>
          <cell r="G195" t="str">
            <v>Tk</v>
          </cell>
          <cell r="H195">
            <v>7</v>
          </cell>
          <cell r="I195" t="str">
            <v>Jam</v>
          </cell>
        </row>
        <row r="196">
          <cell r="A196">
            <v>8</v>
          </cell>
          <cell r="C196" t="str">
            <v>Lebar bahu jalan</v>
          </cell>
          <cell r="G196" t="str">
            <v>Lb</v>
          </cell>
          <cell r="H196">
            <v>1</v>
          </cell>
          <cell r="I196" t="str">
            <v>M</v>
          </cell>
          <cell r="Q196" t="str">
            <v>PERKIRAAN</v>
          </cell>
          <cell r="R196" t="str">
            <v>HARGA</v>
          </cell>
          <cell r="S196" t="str">
            <v>JUMLAH</v>
          </cell>
        </row>
        <row r="197">
          <cell r="A197">
            <v>9</v>
          </cell>
          <cell r="C197" t="str">
            <v>Proporsi Campuran :</v>
          </cell>
          <cell r="D197" t="str">
            <v>- Agregat Kasar</v>
          </cell>
          <cell r="G197" t="str">
            <v>Ak</v>
          </cell>
          <cell r="H197">
            <v>35</v>
          </cell>
          <cell r="I197" t="str">
            <v>%</v>
          </cell>
          <cell r="J197" t="str">
            <v xml:space="preserve"> Gradasi harus</v>
          </cell>
          <cell r="L197" t="str">
            <v>NO.</v>
          </cell>
          <cell r="N197" t="str">
            <v>KOMPONEN</v>
          </cell>
          <cell r="P197" t="str">
            <v>SATUAN</v>
          </cell>
          <cell r="Q197" t="str">
            <v>KUANTITAS</v>
          </cell>
          <cell r="R197" t="str">
            <v>SATUAN</v>
          </cell>
          <cell r="S197" t="str">
            <v>HARGA</v>
          </cell>
        </row>
        <row r="198">
          <cell r="D198" t="str">
            <v>- Agregat Halus</v>
          </cell>
          <cell r="G198" t="str">
            <v>Ah</v>
          </cell>
          <cell r="H198">
            <v>20</v>
          </cell>
          <cell r="I198" t="str">
            <v>%</v>
          </cell>
          <cell r="J198" t="str">
            <v xml:space="preserve"> memenuhi</v>
          </cell>
          <cell r="R198" t="str">
            <v>(Rp.)</v>
          </cell>
          <cell r="S198" t="str">
            <v>(Rp.)</v>
          </cell>
        </row>
        <row r="199">
          <cell r="D199" t="str">
            <v>- Sirtu</v>
          </cell>
          <cell r="G199" t="str">
            <v>St</v>
          </cell>
          <cell r="H199">
            <v>45</v>
          </cell>
          <cell r="I199" t="str">
            <v>%</v>
          </cell>
          <cell r="J199" t="str">
            <v xml:space="preserve"> Spesifikasi</v>
          </cell>
        </row>
        <row r="200">
          <cell r="A200" t="str">
            <v>II.</v>
          </cell>
          <cell r="C200" t="str">
            <v>URUTAN KERJA</v>
          </cell>
        </row>
        <row r="201">
          <cell r="A201">
            <v>1</v>
          </cell>
          <cell r="C201" t="str">
            <v xml:space="preserve">Wheel Loader mencampur &amp; memuat Agregat ke </v>
          </cell>
          <cell r="L201" t="str">
            <v>A.</v>
          </cell>
          <cell r="N201" t="str">
            <v>TENAGA</v>
          </cell>
        </row>
        <row r="202">
          <cell r="C202" t="str">
            <v>dalam Dump Truck di Base Camp</v>
          </cell>
        </row>
        <row r="203">
          <cell r="A203">
            <v>2</v>
          </cell>
          <cell r="C203" t="str">
            <v>Dump Truck mengangkut Agregat ke lokasi</v>
          </cell>
          <cell r="L203" t="str">
            <v>1.</v>
          </cell>
          <cell r="N203" t="str">
            <v>Pekerja</v>
          </cell>
          <cell r="O203" t="str">
            <v>(L01)</v>
          </cell>
          <cell r="P203" t="str">
            <v>Jam</v>
          </cell>
          <cell r="Q203">
            <v>0.24988844265952695</v>
          </cell>
          <cell r="R203">
            <v>2857.14</v>
          </cell>
          <cell r="U203">
            <v>713.96626506024074</v>
          </cell>
        </row>
        <row r="204">
          <cell r="C204" t="str">
            <v>pekerjaan dan dihampar dengan Motor Grader</v>
          </cell>
          <cell r="L204" t="str">
            <v>2.</v>
          </cell>
          <cell r="N204" t="str">
            <v>Mandor</v>
          </cell>
          <cell r="O204" t="str">
            <v>(L03)</v>
          </cell>
          <cell r="P204" t="str">
            <v>Jam</v>
          </cell>
          <cell r="Q204">
            <v>3.5698348951360995E-2</v>
          </cell>
          <cell r="R204">
            <v>3214.29</v>
          </cell>
          <cell r="U204">
            <v>114.74484605087014</v>
          </cell>
        </row>
        <row r="205">
          <cell r="A205">
            <v>3</v>
          </cell>
          <cell r="C205" t="str">
            <v>Hamparan Agregat dibasahi dengan Water Tank Truck</v>
          </cell>
        </row>
        <row r="206">
          <cell r="C206" t="str">
            <v>sebelum dipadatkan dengan Tandem Roller &amp; PTR</v>
          </cell>
        </row>
        <row r="207">
          <cell r="A207">
            <v>4</v>
          </cell>
          <cell r="C207" t="str">
            <v>Selama pemadatan sekelompok pekerja akan</v>
          </cell>
          <cell r="Q207" t="str">
            <v xml:space="preserve">JUMLAH HARGA TENAGA   </v>
          </cell>
          <cell r="U207">
            <v>828.71111111111088</v>
          </cell>
        </row>
        <row r="208">
          <cell r="C208" t="str">
            <v>merapikan tepi hamparan dan level permukaan</v>
          </cell>
        </row>
        <row r="209">
          <cell r="C209" t="str">
            <v>dengan menggunakan alat bantu</v>
          </cell>
          <cell r="L209" t="str">
            <v>B.</v>
          </cell>
          <cell r="N209" t="str">
            <v>BAHAN</v>
          </cell>
        </row>
        <row r="211">
          <cell r="A211" t="str">
            <v>III.</v>
          </cell>
          <cell r="C211" t="str">
            <v>PEMAKAIAN BAHAN, ALAT DAN TENAGA</v>
          </cell>
          <cell r="L211" t="str">
            <v>1.</v>
          </cell>
          <cell r="N211" t="str">
            <v>Agregat Kasar     (M03)</v>
          </cell>
          <cell r="P211" t="str">
            <v>M3</v>
          </cell>
          <cell r="Q211">
            <v>0.42</v>
          </cell>
          <cell r="R211">
            <v>222345.54558042376</v>
          </cell>
          <cell r="U211">
            <v>93385.129143777973</v>
          </cell>
        </row>
        <row r="212">
          <cell r="A212" t="str">
            <v xml:space="preserve">   1.</v>
          </cell>
          <cell r="C212" t="str">
            <v>BAHAN</v>
          </cell>
          <cell r="L212" t="str">
            <v>2.</v>
          </cell>
          <cell r="N212" t="str">
            <v>Agregat Halus     (M04)</v>
          </cell>
          <cell r="P212" t="str">
            <v>M3</v>
          </cell>
          <cell r="Q212">
            <v>0.24</v>
          </cell>
          <cell r="R212">
            <v>194196.70775416915</v>
          </cell>
          <cell r="U212">
            <v>46607.209861000592</v>
          </cell>
        </row>
        <row r="213">
          <cell r="C213" t="str">
            <v>- Agregat Kasar</v>
          </cell>
          <cell r="D213" t="str">
            <v>=  Ak x 1 M3 x Fk</v>
          </cell>
          <cell r="G213" t="str">
            <v>M03</v>
          </cell>
          <cell r="H213">
            <v>0.42</v>
          </cell>
          <cell r="I213" t="str">
            <v>M3</v>
          </cell>
          <cell r="L213" t="str">
            <v>3.</v>
          </cell>
          <cell r="N213" t="str">
            <v>Sirtu</v>
          </cell>
          <cell r="O213" t="str">
            <v>(M16)</v>
          </cell>
          <cell r="P213" t="str">
            <v>M3</v>
          </cell>
          <cell r="Q213">
            <v>0.54</v>
          </cell>
          <cell r="R213">
            <v>264500</v>
          </cell>
          <cell r="U213">
            <v>142830</v>
          </cell>
        </row>
        <row r="214">
          <cell r="C214" t="str">
            <v>- Agregat Halus</v>
          </cell>
          <cell r="D214" t="str">
            <v>=  Ah x 1 M3 x Fk</v>
          </cell>
          <cell r="G214" t="str">
            <v>M04</v>
          </cell>
          <cell r="H214">
            <v>0.24</v>
          </cell>
          <cell r="I214" t="str">
            <v>M3</v>
          </cell>
        </row>
        <row r="215">
          <cell r="C215" t="str">
            <v>- Sirtu</v>
          </cell>
          <cell r="D215" t="str">
            <v>=  St x 1 M3 x Fk</v>
          </cell>
          <cell r="G215" t="str">
            <v>M16</v>
          </cell>
          <cell r="H215">
            <v>0.54</v>
          </cell>
          <cell r="I215" t="str">
            <v>M3</v>
          </cell>
        </row>
        <row r="216">
          <cell r="A216" t="str">
            <v xml:space="preserve">   2.</v>
          </cell>
          <cell r="C216" t="str">
            <v>ALAT</v>
          </cell>
        </row>
        <row r="217">
          <cell r="A217" t="str">
            <v>2.a.</v>
          </cell>
          <cell r="C217" t="str">
            <v>WHEEL LOADER</v>
          </cell>
          <cell r="G217" t="str">
            <v>(E15)</v>
          </cell>
          <cell r="Q217" t="str">
            <v xml:space="preserve">JUMLAH HARGA BAHAN   </v>
          </cell>
          <cell r="U217">
            <v>282822.33900477854</v>
          </cell>
        </row>
        <row r="218">
          <cell r="C218" t="str">
            <v>Kapasitas bucket</v>
          </cell>
          <cell r="G218" t="str">
            <v>V</v>
          </cell>
          <cell r="H218">
            <v>1.5</v>
          </cell>
          <cell r="I218" t="str">
            <v>M3</v>
          </cell>
        </row>
        <row r="219">
          <cell r="C219" t="str">
            <v>Faktor bucket</v>
          </cell>
          <cell r="G219" t="str">
            <v>Fb</v>
          </cell>
          <cell r="H219">
            <v>0.9</v>
          </cell>
          <cell r="I219" t="str">
            <v>-</v>
          </cell>
          <cell r="J219" t="str">
            <v>Pemuatan ringan</v>
          </cell>
          <cell r="L219" t="str">
            <v>C.</v>
          </cell>
          <cell r="N219" t="str">
            <v>PERALATAN</v>
          </cell>
        </row>
        <row r="220">
          <cell r="C220" t="str">
            <v>Faktor Efisiensi alat</v>
          </cell>
          <cell r="G220" t="str">
            <v>Fa</v>
          </cell>
          <cell r="H220">
            <v>0.83</v>
          </cell>
          <cell r="I220" t="str">
            <v>-</v>
          </cell>
        </row>
        <row r="221">
          <cell r="C221" t="str">
            <v>Waktu siklus</v>
          </cell>
          <cell r="G221" t="str">
            <v>Ts1</v>
          </cell>
          <cell r="L221" t="str">
            <v>1</v>
          </cell>
          <cell r="N221" t="str">
            <v>Wheel Loader</v>
          </cell>
          <cell r="O221" t="str">
            <v>E15</v>
          </cell>
          <cell r="P221" t="str">
            <v>Jam</v>
          </cell>
          <cell r="Q221">
            <v>3.5698348951360995E-2</v>
          </cell>
          <cell r="R221">
            <v>163808.13869490434</v>
          </cell>
          <cell r="U221">
            <v>5847.680096203635</v>
          </cell>
        </row>
        <row r="222">
          <cell r="C222" t="str">
            <v>- Mencampur</v>
          </cell>
          <cell r="G222" t="str">
            <v>T1</v>
          </cell>
          <cell r="H222">
            <v>1.5</v>
          </cell>
          <cell r="I222" t="str">
            <v>menit</v>
          </cell>
          <cell r="L222" t="str">
            <v>2</v>
          </cell>
          <cell r="N222" t="str">
            <v>Dump Truck</v>
          </cell>
          <cell r="O222" t="str">
            <v>E09</v>
          </cell>
          <cell r="P222" t="str">
            <v>Jam</v>
          </cell>
          <cell r="Q222">
            <v>0.14542063837680036</v>
          </cell>
          <cell r="R222">
            <v>70230.073977639215</v>
          </cell>
          <cell r="U222">
            <v>10212.90219107821</v>
          </cell>
        </row>
        <row r="223">
          <cell r="C223" t="str">
            <v>- Memuat dan lain-lain</v>
          </cell>
          <cell r="G223" t="str">
            <v>T2</v>
          </cell>
          <cell r="H223">
            <v>0.5</v>
          </cell>
          <cell r="I223" t="str">
            <v>menit</v>
          </cell>
          <cell r="L223" t="str">
            <v>3</v>
          </cell>
          <cell r="N223" t="str">
            <v>Motor Grader</v>
          </cell>
          <cell r="O223" t="str">
            <v>E13</v>
          </cell>
          <cell r="P223" t="str">
            <v>Jam</v>
          </cell>
          <cell r="Q223">
            <v>1.1713520749665328E-2</v>
          </cell>
          <cell r="R223">
            <v>201666.62574070093</v>
          </cell>
          <cell r="U223">
            <v>2362.2262051286921</v>
          </cell>
        </row>
        <row r="224">
          <cell r="G224" t="str">
            <v>Ts1</v>
          </cell>
          <cell r="H224">
            <v>2</v>
          </cell>
          <cell r="I224" t="str">
            <v>menit</v>
          </cell>
          <cell r="L224" t="str">
            <v>4</v>
          </cell>
          <cell r="N224" t="str">
            <v>Tandem Roller</v>
          </cell>
          <cell r="O224" t="str">
            <v>E17</v>
          </cell>
          <cell r="P224" t="str">
            <v>Jam</v>
          </cell>
          <cell r="Q224">
            <v>1.7849174475680501E-2</v>
          </cell>
          <cell r="R224">
            <v>293927.19306224468</v>
          </cell>
          <cell r="U224">
            <v>5246.3577521150328</v>
          </cell>
        </row>
        <row r="225">
          <cell r="L225" t="str">
            <v>5</v>
          </cell>
          <cell r="N225" t="str">
            <v>Water Tanker</v>
          </cell>
          <cell r="O225" t="str">
            <v>E23</v>
          </cell>
          <cell r="P225" t="str">
            <v>Jam</v>
          </cell>
          <cell r="Q225">
            <v>2.1084337349397592E-2</v>
          </cell>
          <cell r="R225">
            <v>67020.510980434308</v>
          </cell>
          <cell r="U225">
            <v>1413.0830628404826</v>
          </cell>
        </row>
        <row r="226">
          <cell r="C226" t="str">
            <v>Kap. Prod. / jam =</v>
          </cell>
          <cell r="D226" t="str">
            <v>V x Fb x Fa x 60</v>
          </cell>
          <cell r="G226" t="str">
            <v>Q1</v>
          </cell>
          <cell r="H226">
            <v>28.012500000000003</v>
          </cell>
          <cell r="I226" t="str">
            <v>M3</v>
          </cell>
          <cell r="L226" t="str">
            <v>6</v>
          </cell>
          <cell r="N226" t="str">
            <v>Alat Bantu</v>
          </cell>
          <cell r="P226" t="str">
            <v>Ls</v>
          </cell>
          <cell r="Q226">
            <v>1</v>
          </cell>
          <cell r="R226">
            <v>75</v>
          </cell>
          <cell r="U226">
            <v>75</v>
          </cell>
        </row>
        <row r="227">
          <cell r="D227" t="str">
            <v>Fk x Ts1</v>
          </cell>
        </row>
        <row r="228">
          <cell r="C228" t="str">
            <v>Koefisien Alat / M3</v>
          </cell>
          <cell r="D228" t="str">
            <v xml:space="preserve"> =  1  :  Q1</v>
          </cell>
          <cell r="G228" t="str">
            <v>(E15)</v>
          </cell>
          <cell r="H228">
            <v>3.5698348951360995E-2</v>
          </cell>
          <cell r="I228" t="str">
            <v>Jam</v>
          </cell>
        </row>
        <row r="229">
          <cell r="Q229" t="str">
            <v xml:space="preserve">JUMLAH HARGA PERALATAN   </v>
          </cell>
          <cell r="U229">
            <v>25157.249307366055</v>
          </cell>
        </row>
        <row r="230">
          <cell r="A230" t="str">
            <v>2.b.</v>
          </cell>
          <cell r="C230" t="str">
            <v>DUMP TRUCK</v>
          </cell>
          <cell r="G230" t="str">
            <v>(E09)</v>
          </cell>
        </row>
        <row r="231">
          <cell r="C231" t="str">
            <v>Kapasitas bak</v>
          </cell>
          <cell r="G231" t="str">
            <v>V</v>
          </cell>
          <cell r="H231">
            <v>6</v>
          </cell>
          <cell r="I231" t="str">
            <v>M3</v>
          </cell>
          <cell r="L231" t="str">
            <v>D.</v>
          </cell>
          <cell r="N231" t="str">
            <v>JUMLAH HARGA TENAGA, BAHAN DAN PERALATAN  ( A + B + C )</v>
          </cell>
          <cell r="U231">
            <v>308808.29942325567</v>
          </cell>
        </row>
        <row r="232">
          <cell r="C232" t="str">
            <v>Faktor Efisiensi alat</v>
          </cell>
          <cell r="G232" t="str">
            <v>Fa</v>
          </cell>
          <cell r="H232">
            <v>0.83</v>
          </cell>
          <cell r="I232" t="str">
            <v>-</v>
          </cell>
          <cell r="L232" t="str">
            <v>E.</v>
          </cell>
          <cell r="N232" t="str">
            <v>OVERHEAD &amp; PROFIT</v>
          </cell>
          <cell r="P232">
            <v>10</v>
          </cell>
          <cell r="Q232" t="str">
            <v>%  x  D</v>
          </cell>
          <cell r="U232">
            <v>30880.829942325567</v>
          </cell>
        </row>
        <row r="233">
          <cell r="C233" t="str">
            <v>Kecepatan rata-rata bermuatan</v>
          </cell>
          <cell r="G233" t="str">
            <v>v1</v>
          </cell>
          <cell r="H233">
            <v>45</v>
          </cell>
          <cell r="I233" t="str">
            <v>KM / Jam</v>
          </cell>
          <cell r="L233" t="str">
            <v>F.</v>
          </cell>
          <cell r="N233" t="str">
            <v>HARGA SATUAN PEKERJAAN  ( D + E )</v>
          </cell>
          <cell r="U233">
            <v>339689.1293655812</v>
          </cell>
        </row>
        <row r="234">
          <cell r="C234" t="str">
            <v>Kecepatan rata-rata kosong</v>
          </cell>
          <cell r="G234" t="str">
            <v>v2</v>
          </cell>
          <cell r="H234">
            <v>60</v>
          </cell>
          <cell r="I234" t="str">
            <v>KM / Jam</v>
          </cell>
          <cell r="L234" t="str">
            <v>Note: 1</v>
          </cell>
          <cell r="N234" t="str">
            <v>SATUAN dapat berdasarkan atas jam operasi untuk Tenaga Kerja dan Peralatan, volume dan/atau ukuran</v>
          </cell>
        </row>
        <row r="235">
          <cell r="C235" t="str">
            <v>Waktu Siklus  :  - Waktu memuat = V : Q1 x 60</v>
          </cell>
          <cell r="G235" t="str">
            <v>T1</v>
          </cell>
          <cell r="H235">
            <v>12.851405622489958</v>
          </cell>
          <cell r="I235" t="str">
            <v>menit</v>
          </cell>
          <cell r="N235" t="str">
            <v>berat untuk bahan-bahan.</v>
          </cell>
        </row>
        <row r="236">
          <cell r="C236" t="str">
            <v>- Waktu tempuh isi = (L : v1) x 60 menit</v>
          </cell>
          <cell r="G236" t="str">
            <v>T2</v>
          </cell>
          <cell r="H236">
            <v>11.633333333333333</v>
          </cell>
          <cell r="I236" t="str">
            <v>menit</v>
          </cell>
          <cell r="L236">
            <v>2</v>
          </cell>
          <cell r="N236" t="str">
            <v>Kuantitas satuan adalah kuantitas setiap komponen untuk menyelesaikan satu satuan pekerjaan dari nomor</v>
          </cell>
        </row>
        <row r="237">
          <cell r="C237" t="str">
            <v>- Waktu tempuh kosong = (L : v2) x 60 menit</v>
          </cell>
          <cell r="G237" t="str">
            <v>T3</v>
          </cell>
          <cell r="H237">
            <v>8.7249999999999996</v>
          </cell>
          <cell r="I237" t="str">
            <v>menit</v>
          </cell>
          <cell r="N237" t="str">
            <v>mata pembayaran.</v>
          </cell>
        </row>
        <row r="238">
          <cell r="C238" t="str">
            <v>- Lain-lain termasuk menurunkan Agregat</v>
          </cell>
          <cell r="G238" t="str">
            <v>T4</v>
          </cell>
          <cell r="H238">
            <v>3</v>
          </cell>
          <cell r="I238" t="str">
            <v>menit</v>
          </cell>
          <cell r="L238">
            <v>3</v>
          </cell>
          <cell r="N238" t="str">
            <v>Biaya satuan untuk peralatan sudah termasuk bahan bakar, bahan habis dipakai dan operator.</v>
          </cell>
        </row>
        <row r="239">
          <cell r="G239" t="str">
            <v>Ts2</v>
          </cell>
          <cell r="H239">
            <v>36.20973895582329</v>
          </cell>
          <cell r="I239" t="str">
            <v>menit</v>
          </cell>
          <cell r="L239">
            <v>4</v>
          </cell>
          <cell r="N239" t="str">
            <v>Biaya satuan sudah termasuk pengeluaran untuk seluruh pajak yang berkaitan (tetapi tidak termasuk PPN</v>
          </cell>
        </row>
        <row r="240">
          <cell r="J240" t="str">
            <v>Berlanjut ke halaman berikut</v>
          </cell>
          <cell r="N240" t="str">
            <v>yang dibayar dari kontrak) dan biaya-biaya lainnya.</v>
          </cell>
        </row>
        <row r="241">
          <cell r="A241" t="str">
            <v>ITEM PEMBAYARAN NO.</v>
          </cell>
          <cell r="D241" t="str">
            <v>:  4.2 (2)</v>
          </cell>
          <cell r="J241" t="str">
            <v>Analisa EI-422</v>
          </cell>
        </row>
        <row r="242">
          <cell r="A242" t="str">
            <v>JENIS PEKERJAAN</v>
          </cell>
          <cell r="D242" t="str">
            <v>:  Lps. Pond. Ag. Kls. B, CBR Min 35%</v>
          </cell>
        </row>
        <row r="243">
          <cell r="A243" t="str">
            <v>SATUAN PEMBAYARAN</v>
          </cell>
          <cell r="D243" t="str">
            <v>:  M3</v>
          </cell>
          <cell r="J243" t="str">
            <v xml:space="preserve">         URAIAN ANALISA HARGA SATUAN</v>
          </cell>
        </row>
        <row r="244">
          <cell r="J244" t="str">
            <v>Lanjutan</v>
          </cell>
        </row>
        <row r="246">
          <cell r="A246" t="str">
            <v>No.</v>
          </cell>
          <cell r="C246" t="str">
            <v>U R A I A N</v>
          </cell>
          <cell r="G246" t="str">
            <v>KODE</v>
          </cell>
          <cell r="H246" t="str">
            <v>KOEF.</v>
          </cell>
          <cell r="I246" t="str">
            <v>SATUAN</v>
          </cell>
          <cell r="J246" t="str">
            <v>KETERANGAN</v>
          </cell>
        </row>
        <row r="249">
          <cell r="C249" t="str">
            <v xml:space="preserve">Kap. Prod. / Jam = </v>
          </cell>
          <cell r="D249" t="str">
            <v>V x Fa x 60</v>
          </cell>
          <cell r="G249" t="str">
            <v>Q2</v>
          </cell>
          <cell r="H249">
            <v>6.8766030129017413</v>
          </cell>
          <cell r="I249" t="str">
            <v>M3</v>
          </cell>
        </row>
        <row r="250">
          <cell r="D250" t="str">
            <v>Fk x Ts2</v>
          </cell>
        </row>
        <row r="251">
          <cell r="C251" t="str">
            <v>Koefisien Alat / M3</v>
          </cell>
          <cell r="D251" t="str">
            <v xml:space="preserve"> = 1 : Q2</v>
          </cell>
          <cell r="G251" t="str">
            <v>(E08)</v>
          </cell>
          <cell r="H251">
            <v>0.14542063837680036</v>
          </cell>
          <cell r="I251" t="str">
            <v>Jam</v>
          </cell>
        </row>
        <row r="253">
          <cell r="A253" t="str">
            <v>2.c.</v>
          </cell>
          <cell r="C253" t="str">
            <v>MOTOR GRADER</v>
          </cell>
          <cell r="G253" t="str">
            <v>(E13)</v>
          </cell>
        </row>
        <row r="254">
          <cell r="C254" t="str">
            <v>Panjang hamparaan</v>
          </cell>
          <cell r="G254" t="str">
            <v>Lh</v>
          </cell>
          <cell r="H254">
            <v>50</v>
          </cell>
          <cell r="I254" t="str">
            <v>M</v>
          </cell>
        </row>
        <row r="255">
          <cell r="C255" t="str">
            <v>Lebar efektif kerja blade</v>
          </cell>
          <cell r="G255" t="str">
            <v>b</v>
          </cell>
          <cell r="H255">
            <v>2.4</v>
          </cell>
          <cell r="I255" t="str">
            <v>M</v>
          </cell>
        </row>
        <row r="256">
          <cell r="C256" t="str">
            <v>Faktor Efisiensi alat</v>
          </cell>
          <cell r="G256" t="str">
            <v>Fa</v>
          </cell>
          <cell r="H256">
            <v>0.83</v>
          </cell>
          <cell r="I256" t="str">
            <v>-</v>
          </cell>
        </row>
        <row r="257">
          <cell r="C257" t="str">
            <v>Kecepatan rata-rata alat</v>
          </cell>
          <cell r="G257" t="str">
            <v>v</v>
          </cell>
          <cell r="H257">
            <v>4</v>
          </cell>
          <cell r="I257" t="str">
            <v>KM / Jam</v>
          </cell>
        </row>
        <row r="258">
          <cell r="C258" t="str">
            <v>Jumlah lintasan</v>
          </cell>
          <cell r="G258" t="str">
            <v>n</v>
          </cell>
          <cell r="H258">
            <v>6</v>
          </cell>
          <cell r="I258" t="str">
            <v>lintasan</v>
          </cell>
          <cell r="J258" t="str">
            <v>3 x pp</v>
          </cell>
        </row>
        <row r="259">
          <cell r="C259" t="str">
            <v>Waktu Siklus</v>
          </cell>
          <cell r="G259" t="str">
            <v>Ts3</v>
          </cell>
        </row>
        <row r="260">
          <cell r="C260" t="str">
            <v>- Perataan 1 lintasan  = (Lh x 60) : (v x 1000)</v>
          </cell>
          <cell r="G260" t="str">
            <v>T1</v>
          </cell>
          <cell r="H260">
            <v>0.75</v>
          </cell>
          <cell r="I260" t="str">
            <v>menit</v>
          </cell>
        </row>
        <row r="261">
          <cell r="C261" t="str">
            <v>- Lain-lain</v>
          </cell>
          <cell r="G261" t="str">
            <v>T2</v>
          </cell>
          <cell r="H261">
            <v>1</v>
          </cell>
          <cell r="I261" t="str">
            <v>menit</v>
          </cell>
        </row>
        <row r="262">
          <cell r="G262" t="str">
            <v>Ts3</v>
          </cell>
          <cell r="H262">
            <v>1.75</v>
          </cell>
          <cell r="I262" t="str">
            <v>menit</v>
          </cell>
        </row>
        <row r="264">
          <cell r="C264" t="str">
            <v>Kap.Prod. / jam =</v>
          </cell>
          <cell r="D264" t="str">
            <v>Lh x b x t x Fa x 60</v>
          </cell>
          <cell r="G264" t="str">
            <v>Q3</v>
          </cell>
          <cell r="H264">
            <v>85.371428571428567</v>
          </cell>
          <cell r="I264" t="str">
            <v>M3</v>
          </cell>
        </row>
        <row r="265">
          <cell r="D265" t="str">
            <v>n x Ts3</v>
          </cell>
        </row>
        <row r="266">
          <cell r="C266" t="str">
            <v>Koefisien Alat / M3</v>
          </cell>
          <cell r="D266" t="str">
            <v xml:space="preserve"> = 1 : Q3</v>
          </cell>
          <cell r="G266" t="str">
            <v>(E13)</v>
          </cell>
          <cell r="H266">
            <v>1.1713520749665328E-2</v>
          </cell>
          <cell r="I266" t="str">
            <v>Jam</v>
          </cell>
        </row>
        <row r="268">
          <cell r="A268" t="str">
            <v>2.d.</v>
          </cell>
          <cell r="C268" t="str">
            <v>TANDEM ROLLER</v>
          </cell>
          <cell r="G268" t="str">
            <v>(E17)</v>
          </cell>
        </row>
        <row r="269">
          <cell r="C269" t="str">
            <v>Kecepatan rata-rata</v>
          </cell>
          <cell r="G269" t="str">
            <v>v</v>
          </cell>
          <cell r="H269">
            <v>3</v>
          </cell>
          <cell r="I269" t="str">
            <v>KM / Jam</v>
          </cell>
        </row>
        <row r="270">
          <cell r="C270" t="str">
            <v>Lebar efektif pemadatan</v>
          </cell>
          <cell r="G270" t="str">
            <v>b</v>
          </cell>
          <cell r="H270">
            <v>1.2</v>
          </cell>
          <cell r="I270" t="str">
            <v>M</v>
          </cell>
        </row>
        <row r="271">
          <cell r="C271" t="str">
            <v>Jumlah lintasan</v>
          </cell>
          <cell r="G271" t="str">
            <v>n</v>
          </cell>
          <cell r="H271">
            <v>8</v>
          </cell>
          <cell r="I271" t="str">
            <v>lintasan</v>
          </cell>
        </row>
        <row r="272">
          <cell r="C272" t="str">
            <v>Faktor Efisiensi alat</v>
          </cell>
          <cell r="G272" t="str">
            <v>Fa</v>
          </cell>
          <cell r="H272">
            <v>0.83</v>
          </cell>
          <cell r="I272" t="str">
            <v>-</v>
          </cell>
        </row>
        <row r="274">
          <cell r="C274" t="str">
            <v>Kap.Prod./jam =</v>
          </cell>
          <cell r="D274" t="str">
            <v>(v x 1000) x b x t x Fa</v>
          </cell>
          <cell r="G274" t="str">
            <v>Q4</v>
          </cell>
          <cell r="H274">
            <v>56.024999999999999</v>
          </cell>
          <cell r="I274" t="str">
            <v>M3</v>
          </cell>
        </row>
        <row r="275">
          <cell r="D275" t="str">
            <v>n</v>
          </cell>
        </row>
        <row r="276">
          <cell r="C276" t="str">
            <v>Koefisien Alat / M3</v>
          </cell>
          <cell r="D276" t="str">
            <v xml:space="preserve"> = 1 : Q4</v>
          </cell>
          <cell r="G276" t="str">
            <v>(E17)</v>
          </cell>
          <cell r="H276">
            <v>1.7849174475680501E-2</v>
          </cell>
          <cell r="I276" t="str">
            <v>Jam</v>
          </cell>
        </row>
        <row r="279">
          <cell r="A279" t="str">
            <v>2.e.</v>
          </cell>
          <cell r="C279" t="str">
            <v>WATER TANKER</v>
          </cell>
          <cell r="G279" t="str">
            <v>(E23)</v>
          </cell>
        </row>
        <row r="280">
          <cell r="C280" t="str">
            <v>Volume Tangki air</v>
          </cell>
          <cell r="G280" t="str">
            <v>V</v>
          </cell>
          <cell r="H280">
            <v>4</v>
          </cell>
          <cell r="I280" t="str">
            <v>M3</v>
          </cell>
          <cell r="J280" t="str">
            <v>Lump Sum</v>
          </cell>
        </row>
        <row r="281">
          <cell r="C281" t="str">
            <v>Kebutuhan air / M3 agregat padat</v>
          </cell>
          <cell r="G281" t="str">
            <v>Wc</v>
          </cell>
          <cell r="H281">
            <v>7.0000000000000007E-2</v>
          </cell>
          <cell r="I281" t="str">
            <v>M3</v>
          </cell>
        </row>
        <row r="282">
          <cell r="C282" t="str">
            <v>Pengisian tangki / Jam</v>
          </cell>
          <cell r="G282" t="str">
            <v>n</v>
          </cell>
          <cell r="H282">
            <v>1</v>
          </cell>
          <cell r="I282" t="str">
            <v>kali</v>
          </cell>
        </row>
        <row r="283">
          <cell r="C283" t="str">
            <v>Faktor efisiensi alat</v>
          </cell>
          <cell r="G283" t="str">
            <v>Fa</v>
          </cell>
          <cell r="H283">
            <v>0.83</v>
          </cell>
          <cell r="I283" t="str">
            <v>-</v>
          </cell>
        </row>
        <row r="285">
          <cell r="C285" t="str">
            <v>Kap. Prod. / Jam  =</v>
          </cell>
          <cell r="D285" t="str">
            <v>V x n Fa</v>
          </cell>
          <cell r="G285" t="str">
            <v>Q5</v>
          </cell>
          <cell r="H285">
            <v>47.428571428571423</v>
          </cell>
          <cell r="I285" t="str">
            <v>M3</v>
          </cell>
        </row>
        <row r="286">
          <cell r="D286" t="str">
            <v>Wc</v>
          </cell>
        </row>
        <row r="288">
          <cell r="C288" t="str">
            <v>Koefisien Alat / M3</v>
          </cell>
          <cell r="D288" t="str">
            <v xml:space="preserve"> =   1 : Q5</v>
          </cell>
          <cell r="G288" t="str">
            <v>(E23)</v>
          </cell>
          <cell r="H288">
            <v>2.1084337349397592E-2</v>
          </cell>
          <cell r="I288" t="str">
            <v>Jam</v>
          </cell>
        </row>
        <row r="292">
          <cell r="C292" t="str">
            <v>ALAT BANTU</v>
          </cell>
        </row>
        <row r="293">
          <cell r="C293" t="str">
            <v>diperlukan :</v>
          </cell>
        </row>
        <row r="294">
          <cell r="C294" t="str">
            <v>- Kereta dorong   = 2 buah</v>
          </cell>
        </row>
        <row r="295">
          <cell r="C295" t="str">
            <v>- Sekop                = 3 buah</v>
          </cell>
        </row>
        <row r="296">
          <cell r="C296" t="str">
            <v>- Garpu                = 2 buah</v>
          </cell>
        </row>
        <row r="299">
          <cell r="J299" t="str">
            <v>Berlanjut ke halaman berikut</v>
          </cell>
        </row>
        <row r="300">
          <cell r="A300" t="str">
            <v>ITEM PEMBAYARAN NO.</v>
          </cell>
          <cell r="D300" t="str">
            <v>:  4.2 (2)</v>
          </cell>
          <cell r="J300" t="str">
            <v>Analisa EI-422</v>
          </cell>
        </row>
        <row r="301">
          <cell r="A301" t="str">
            <v>JENIS PEKERJAAN</v>
          </cell>
          <cell r="D301" t="str">
            <v>:  Lps. Pond. Ag. Kls. B, CBR Min 35%</v>
          </cell>
        </row>
        <row r="302">
          <cell r="A302" t="str">
            <v>SATUAN PEMBAYARAN</v>
          </cell>
          <cell r="D302" t="str">
            <v>:  M3</v>
          </cell>
          <cell r="J302" t="str">
            <v xml:space="preserve">         URAIAN ANALISA HARGA SATUAN</v>
          </cell>
        </row>
        <row r="303">
          <cell r="J303" t="str">
            <v>Lanjutan</v>
          </cell>
        </row>
        <row r="305">
          <cell r="A305" t="str">
            <v>No.</v>
          </cell>
          <cell r="C305" t="str">
            <v>U R A I A N</v>
          </cell>
          <cell r="G305" t="str">
            <v>KODE</v>
          </cell>
          <cell r="H305" t="str">
            <v>KOEF.</v>
          </cell>
          <cell r="I305" t="str">
            <v>SATUAN</v>
          </cell>
          <cell r="J305" t="str">
            <v>KETERANGAN</v>
          </cell>
        </row>
        <row r="308">
          <cell r="A308" t="str">
            <v xml:space="preserve">   3.</v>
          </cell>
          <cell r="C308" t="str">
            <v>TENAGA</v>
          </cell>
        </row>
        <row r="309">
          <cell r="C309" t="str">
            <v>Produksi menentukan : WHEEL LOADER</v>
          </cell>
          <cell r="G309" t="str">
            <v>Q1</v>
          </cell>
          <cell r="H309">
            <v>28.012500000000003</v>
          </cell>
          <cell r="I309" t="str">
            <v>M3/Jam</v>
          </cell>
        </row>
        <row r="310">
          <cell r="C310" t="str">
            <v>Produksi Agregat / hari  =  Tk x Q1</v>
          </cell>
          <cell r="G310" t="str">
            <v>Qt</v>
          </cell>
          <cell r="H310">
            <v>196.08750000000003</v>
          </cell>
          <cell r="I310" t="str">
            <v>M3</v>
          </cell>
        </row>
        <row r="311">
          <cell r="C311" t="str">
            <v>Kebutuhan tenaga :</v>
          </cell>
        </row>
        <row r="312">
          <cell r="D312" t="str">
            <v>- Pekerja</v>
          </cell>
          <cell r="G312" t="str">
            <v>P</v>
          </cell>
          <cell r="H312">
            <v>7</v>
          </cell>
          <cell r="I312" t="str">
            <v>orang</v>
          </cell>
        </row>
        <row r="313">
          <cell r="D313" t="str">
            <v>- Mandor</v>
          </cell>
          <cell r="G313" t="str">
            <v>M</v>
          </cell>
          <cell r="H313">
            <v>1</v>
          </cell>
          <cell r="I313" t="str">
            <v>orang</v>
          </cell>
        </row>
        <row r="315">
          <cell r="C315" t="str">
            <v>Koefisien tenaga / M3     :</v>
          </cell>
        </row>
        <row r="316">
          <cell r="D316" t="str">
            <v>- Pekerja</v>
          </cell>
          <cell r="E316" t="str">
            <v>= (Tk x P) : Qt</v>
          </cell>
          <cell r="G316" t="str">
            <v>(L01)</v>
          </cell>
          <cell r="H316">
            <v>0.24988844265952695</v>
          </cell>
          <cell r="I316" t="str">
            <v>Jam</v>
          </cell>
        </row>
        <row r="317">
          <cell r="D317" t="str">
            <v>- Mandor</v>
          </cell>
          <cell r="E317" t="str">
            <v>= (Tk x M) : Qt</v>
          </cell>
          <cell r="G317" t="str">
            <v>(L03)</v>
          </cell>
          <cell r="H317">
            <v>3.5698348951360995E-2</v>
          </cell>
          <cell r="I317" t="str">
            <v>Jam</v>
          </cell>
        </row>
        <row r="319">
          <cell r="A319" t="str">
            <v>4.</v>
          </cell>
          <cell r="C319" t="str">
            <v>HARGA DASAR SATUAN UPAH, BAHAN DAN ALAT</v>
          </cell>
        </row>
        <row r="320">
          <cell r="C320" t="str">
            <v>Lihat lampiran.</v>
          </cell>
        </row>
        <row r="322">
          <cell r="A322" t="str">
            <v>5.</v>
          </cell>
          <cell r="C322" t="str">
            <v>ANALISA HARGA SATUAN PEKERJAAN</v>
          </cell>
        </row>
        <row r="323">
          <cell r="C323" t="str">
            <v>Lihat perhitungan dalam FORMULIR STANDAR UNTUK</v>
          </cell>
        </row>
        <row r="324">
          <cell r="C324" t="str">
            <v>PEREKEMAN ANALISA MASING-MASING HARGA</v>
          </cell>
        </row>
        <row r="325">
          <cell r="C325" t="str">
            <v>SATUAN.</v>
          </cell>
        </row>
        <row r="326">
          <cell r="C326" t="str">
            <v>Didapat Harga Satuan Pekerjaan :</v>
          </cell>
        </row>
        <row r="328">
          <cell r="C328" t="str">
            <v xml:space="preserve">Rp.  </v>
          </cell>
          <cell r="D328">
            <v>339689.1293655812</v>
          </cell>
          <cell r="E328" t="str">
            <v xml:space="preserve"> / M3.</v>
          </cell>
        </row>
        <row r="331">
          <cell r="A331" t="str">
            <v>6.</v>
          </cell>
          <cell r="C331" t="str">
            <v>WAKTU PELAKSANAAN YANG DIPERLUKAN</v>
          </cell>
        </row>
        <row r="332">
          <cell r="C332" t="str">
            <v>Waktu pelaksanaan</v>
          </cell>
          <cell r="D332" t="str">
            <v>:  . . . . . . .  bulan</v>
          </cell>
        </row>
        <row r="334">
          <cell r="A334" t="str">
            <v>7.</v>
          </cell>
          <cell r="C334" t="str">
            <v>VOLUME PEKERJAAN YANG DIPERLUKAN</v>
          </cell>
        </row>
        <row r="335">
          <cell r="C335" t="str">
            <v>Volume pekerjaan  :</v>
          </cell>
          <cell r="D335">
            <v>0</v>
          </cell>
          <cell r="E335" t="str">
            <v>M3</v>
          </cell>
        </row>
        <row r="359">
          <cell r="A359" t="str">
            <v>ITEM PEMBAYARAN NO.</v>
          </cell>
          <cell r="D359" t="str">
            <v>:  4.2 (4)</v>
          </cell>
          <cell r="J359" t="str">
            <v>Analisa EI-424</v>
          </cell>
          <cell r="T359" t="str">
            <v>Analisa EI-424</v>
          </cell>
        </row>
        <row r="360">
          <cell r="A360" t="str">
            <v>JENIS PEKERJAAN</v>
          </cell>
          <cell r="D360" t="str">
            <v>:  SEMEN Utk. Pond. Semen Tanah</v>
          </cell>
        </row>
        <row r="361">
          <cell r="A361" t="str">
            <v>SATUAN PEMBAYARAN</v>
          </cell>
          <cell r="D361" t="str">
            <v>:  TON</v>
          </cell>
          <cell r="J361" t="str">
            <v xml:space="preserve">         URAIAN ANALISA HARGA SATUAN</v>
          </cell>
          <cell r="L361" t="str">
            <v>FORMULIR STANDAR UNTUK</v>
          </cell>
        </row>
        <row r="362">
          <cell r="L362" t="str">
            <v>PEREKAMAN ANALISA MASING-MASING HARGA SATUAN</v>
          </cell>
        </row>
        <row r="363">
          <cell r="L363" t="str">
            <v/>
          </cell>
        </row>
        <row r="364">
          <cell r="A364" t="str">
            <v>No.</v>
          </cell>
          <cell r="C364" t="str">
            <v>U R A I A N</v>
          </cell>
          <cell r="G364" t="str">
            <v>KODE</v>
          </cell>
          <cell r="H364" t="str">
            <v>KOEF.</v>
          </cell>
          <cell r="I364" t="str">
            <v>SATUAN</v>
          </cell>
          <cell r="J364" t="str">
            <v>KETERANGAN</v>
          </cell>
        </row>
        <row r="366">
          <cell r="L366" t="str">
            <v>PROYEK</v>
          </cell>
          <cell r="O366" t="str">
            <v>:</v>
          </cell>
        </row>
        <row r="367">
          <cell r="A367" t="str">
            <v>I.</v>
          </cell>
          <cell r="C367" t="str">
            <v>ASUMSI</v>
          </cell>
          <cell r="L367" t="str">
            <v>No. PAKET KONTRAK</v>
          </cell>
          <cell r="O367" t="str">
            <v>:</v>
          </cell>
        </row>
        <row r="368">
          <cell r="A368">
            <v>1</v>
          </cell>
          <cell r="C368" t="str">
            <v>Pekerjaan dilakukan secara manual</v>
          </cell>
          <cell r="L368" t="str">
            <v>NAMA PAKET</v>
          </cell>
          <cell r="O368" t="str">
            <v>:</v>
          </cell>
        </row>
        <row r="369">
          <cell r="A369">
            <v>2</v>
          </cell>
          <cell r="C369" t="str">
            <v>Lokasi pekerjaan : sepanjang jalan</v>
          </cell>
          <cell r="L369" t="str">
            <v>PROP / KAB / KODYA</v>
          </cell>
          <cell r="O369" t="str">
            <v>:</v>
          </cell>
        </row>
        <row r="370">
          <cell r="A370">
            <v>3</v>
          </cell>
          <cell r="C370" t="str">
            <v>Kondisi Jalan   :  sedang / baik</v>
          </cell>
          <cell r="L370" t="str">
            <v>ITEM PEMBAYARAN NO.</v>
          </cell>
          <cell r="O370" t="str">
            <v>:  4.2 (4)</v>
          </cell>
          <cell r="R370" t="str">
            <v>PERKIRAAN VOL. PEK.</v>
          </cell>
          <cell r="T370" t="str">
            <v>:</v>
          </cell>
          <cell r="U370">
            <v>0</v>
          </cell>
        </row>
        <row r="371">
          <cell r="A371">
            <v>4</v>
          </cell>
          <cell r="C371" t="str">
            <v>Jarak rata-rata Base Camp ke lokasi pekerjaan</v>
          </cell>
          <cell r="G371" t="str">
            <v>L</v>
          </cell>
          <cell r="H371">
            <v>8.7249999999999996</v>
          </cell>
          <cell r="I371" t="str">
            <v>Km</v>
          </cell>
          <cell r="L371" t="str">
            <v>JENIS PEKERJAAN</v>
          </cell>
          <cell r="O371" t="str">
            <v>:  SEMEN Utk. Pond. Semen Tanah</v>
          </cell>
          <cell r="R371" t="str">
            <v>TOTAL HARGA (Rp.)</v>
          </cell>
          <cell r="T371" t="str">
            <v>:</v>
          </cell>
          <cell r="U371">
            <v>0</v>
          </cell>
        </row>
        <row r="372">
          <cell r="A372">
            <v>5</v>
          </cell>
          <cell r="C372" t="str">
            <v>Jam kerja efektif per-hari</v>
          </cell>
          <cell r="G372" t="str">
            <v>Tk</v>
          </cell>
          <cell r="H372">
            <v>7</v>
          </cell>
          <cell r="I372" t="str">
            <v>Jam</v>
          </cell>
          <cell r="L372" t="str">
            <v>SATUAN PEMBAYARAN</v>
          </cell>
          <cell r="O372" t="str">
            <v>:  TON</v>
          </cell>
          <cell r="R372" t="str">
            <v>% THD. BIAYA PROYEK</v>
          </cell>
          <cell r="T372" t="str">
            <v>:</v>
          </cell>
          <cell r="U372" t="e">
            <v>#DIV/0!</v>
          </cell>
        </row>
        <row r="373">
          <cell r="A373">
            <v>6</v>
          </cell>
          <cell r="C373" t="str">
            <v>Semen diangkut dari Base Camp ke lapangan</v>
          </cell>
        </row>
        <row r="374">
          <cell r="C374" t="str">
            <v>dengan menggunakan Dump Truck</v>
          </cell>
        </row>
        <row r="375">
          <cell r="A375">
            <v>7</v>
          </cell>
          <cell r="C375" t="str">
            <v>Satu hari dapat diselesaikan hamparan Soil Cement</v>
          </cell>
          <cell r="Q375" t="str">
            <v>PERKIRAAN</v>
          </cell>
          <cell r="R375" t="str">
            <v>HARGA</v>
          </cell>
          <cell r="S375" t="str">
            <v>JUMLAH</v>
          </cell>
        </row>
        <row r="376">
          <cell r="C376" t="str">
            <v>sepanjang</v>
          </cell>
          <cell r="G376" t="str">
            <v>Ls</v>
          </cell>
          <cell r="H376">
            <v>400</v>
          </cell>
          <cell r="I376" t="str">
            <v>M</v>
          </cell>
          <cell r="L376" t="str">
            <v>NO.</v>
          </cell>
          <cell r="N376" t="str">
            <v>KOMPONEN</v>
          </cell>
          <cell r="P376" t="str">
            <v>SATUAN</v>
          </cell>
          <cell r="Q376" t="str">
            <v>KUANTITAS</v>
          </cell>
          <cell r="R376" t="str">
            <v>SATUAN</v>
          </cell>
          <cell r="S376" t="str">
            <v>HARGA</v>
          </cell>
        </row>
        <row r="377">
          <cell r="A377">
            <v>8</v>
          </cell>
          <cell r="C377" t="str">
            <v>Faktor kehilangan bahan</v>
          </cell>
          <cell r="G377" t="str">
            <v>Fh</v>
          </cell>
          <cell r="H377">
            <v>1.05</v>
          </cell>
          <cell r="I377" t="str">
            <v>-</v>
          </cell>
          <cell r="R377" t="str">
            <v>(Rp.)</v>
          </cell>
          <cell r="S377" t="str">
            <v>(Rp.)</v>
          </cell>
        </row>
        <row r="378">
          <cell r="A378">
            <v>9</v>
          </cell>
          <cell r="C378" t="str">
            <v>Tebal hamparan</v>
          </cell>
          <cell r="G378" t="str">
            <v>t</v>
          </cell>
          <cell r="H378">
            <v>0.15</v>
          </cell>
          <cell r="I378" t="str">
            <v>M</v>
          </cell>
        </row>
        <row r="380">
          <cell r="A380" t="str">
            <v>II.</v>
          </cell>
          <cell r="C380" t="str">
            <v>URUTAN KERJA</v>
          </cell>
          <cell r="L380" t="str">
            <v>A.</v>
          </cell>
          <cell r="N380" t="str">
            <v>TENAGA</v>
          </cell>
        </row>
        <row r="381">
          <cell r="A381">
            <v>1</v>
          </cell>
          <cell r="C381" t="str">
            <v>Dump Truck mengangkut semen dari Base Camp</v>
          </cell>
        </row>
        <row r="382">
          <cell r="C382" t="str">
            <v>ke lokasi Pekerjaan</v>
          </cell>
          <cell r="L382" t="str">
            <v>1.</v>
          </cell>
          <cell r="N382" t="str">
            <v>Pekerja</v>
          </cell>
          <cell r="O382" t="str">
            <v>(L01)</v>
          </cell>
          <cell r="P382" t="str">
            <v>Jam</v>
          </cell>
          <cell r="Q382">
            <v>2.4305555555555554</v>
          </cell>
          <cell r="R382">
            <v>2857.14</v>
          </cell>
          <cell r="U382">
            <v>6944.4374999999991</v>
          </cell>
        </row>
        <row r="383">
          <cell r="A383">
            <v>2</v>
          </cell>
          <cell r="C383" t="str">
            <v>Semen diatur/disusun di tempat hamparan</v>
          </cell>
          <cell r="L383" t="str">
            <v>2.</v>
          </cell>
          <cell r="N383" t="str">
            <v>Mandor</v>
          </cell>
          <cell r="O383" t="str">
            <v>(L03)</v>
          </cell>
          <cell r="P383" t="str">
            <v>Jam</v>
          </cell>
          <cell r="Q383">
            <v>0.16203703703703703</v>
          </cell>
          <cell r="R383">
            <v>3214.29</v>
          </cell>
          <cell r="U383">
            <v>520.83402777777781</v>
          </cell>
        </row>
        <row r="384">
          <cell r="C384" t="str">
            <v>soil/tanah oleh tenaga manusia</v>
          </cell>
        </row>
        <row r="386">
          <cell r="A386" t="str">
            <v>III.</v>
          </cell>
          <cell r="C386" t="str">
            <v>PEMAKAIAN BAHAN, ALAT DAN TENAGA</v>
          </cell>
          <cell r="Q386" t="str">
            <v xml:space="preserve">JUMLAH HARGA TENAGA   </v>
          </cell>
          <cell r="U386">
            <v>7465.271527777777</v>
          </cell>
        </row>
        <row r="387">
          <cell r="A387" t="str">
            <v xml:space="preserve">   1.</v>
          </cell>
          <cell r="C387" t="str">
            <v>BAHAN</v>
          </cell>
        </row>
        <row r="388">
          <cell r="C388" t="str">
            <v>Semen yang diperlukan / ton   = (1 x Fh) x 1000</v>
          </cell>
          <cell r="G388" t="str">
            <v>(M12)</v>
          </cell>
          <cell r="H388">
            <v>1050</v>
          </cell>
          <cell r="I388" t="str">
            <v>Kg</v>
          </cell>
          <cell r="L388" t="str">
            <v>B.</v>
          </cell>
          <cell r="N388" t="str">
            <v>BAHAN</v>
          </cell>
        </row>
        <row r="389">
          <cell r="L389" t="str">
            <v>1.</v>
          </cell>
          <cell r="N389" t="str">
            <v>Semen</v>
          </cell>
          <cell r="O389" t="str">
            <v>(M12)</v>
          </cell>
          <cell r="P389" t="str">
            <v>Kg</v>
          </cell>
          <cell r="Q389">
            <v>1050</v>
          </cell>
          <cell r="R389">
            <v>550.92499999999995</v>
          </cell>
          <cell r="U389">
            <v>578471.25</v>
          </cell>
        </row>
        <row r="390">
          <cell r="A390" t="str">
            <v xml:space="preserve">   2.</v>
          </cell>
          <cell r="C390" t="str">
            <v>ALAT</v>
          </cell>
        </row>
        <row r="391">
          <cell r="A391" t="str">
            <v>2.a.</v>
          </cell>
          <cell r="C391" t="str">
            <v>DUMP TRUCK</v>
          </cell>
          <cell r="G391" t="str">
            <v>(E08)</v>
          </cell>
        </row>
        <row r="392">
          <cell r="C392" t="str">
            <v>Kapasitas bak</v>
          </cell>
          <cell r="G392" t="str">
            <v>V</v>
          </cell>
          <cell r="H392">
            <v>10</v>
          </cell>
          <cell r="I392" t="str">
            <v>Ton</v>
          </cell>
        </row>
        <row r="393">
          <cell r="C393" t="str">
            <v>Faktor efisiensi alat</v>
          </cell>
          <cell r="G393" t="str">
            <v>Fa</v>
          </cell>
          <cell r="H393">
            <v>0.83</v>
          </cell>
          <cell r="I393" t="str">
            <v>-</v>
          </cell>
        </row>
        <row r="394">
          <cell r="C394" t="str">
            <v>Kecepatan rata-rata bermuatan</v>
          </cell>
          <cell r="G394" t="str">
            <v>v1</v>
          </cell>
          <cell r="H394">
            <v>45</v>
          </cell>
          <cell r="I394" t="str">
            <v>Km / Jam</v>
          </cell>
        </row>
        <row r="395">
          <cell r="C395" t="str">
            <v>Kecepatan rata-rata kosong</v>
          </cell>
          <cell r="G395" t="str">
            <v>v2</v>
          </cell>
          <cell r="H395">
            <v>60</v>
          </cell>
          <cell r="I395" t="str">
            <v>Km / Jam</v>
          </cell>
        </row>
        <row r="396">
          <cell r="C396" t="str">
            <v>Waktu siklus</v>
          </cell>
          <cell r="G396" t="str">
            <v>Ts1</v>
          </cell>
          <cell r="Q396" t="str">
            <v xml:space="preserve">JUMLAH HARGA BAHAN   </v>
          </cell>
          <cell r="U396">
            <v>578471.25</v>
          </cell>
        </row>
        <row r="397">
          <cell r="C397" t="str">
            <v>- Waktu tempuh isi            = (L : v1) x 60</v>
          </cell>
          <cell r="G397" t="str">
            <v>T1</v>
          </cell>
          <cell r="H397">
            <v>11.633333333333333</v>
          </cell>
          <cell r="I397" t="str">
            <v>menit</v>
          </cell>
        </row>
        <row r="398">
          <cell r="C398" t="str">
            <v>- Waktu tempuh kosong   = (L : v2) x 60</v>
          </cell>
          <cell r="G398" t="str">
            <v>T2</v>
          </cell>
          <cell r="H398">
            <v>8.7249999999999996</v>
          </cell>
          <cell r="I398" t="str">
            <v>menit</v>
          </cell>
          <cell r="L398" t="str">
            <v>C.</v>
          </cell>
          <cell r="N398" t="str">
            <v>PERALATAN</v>
          </cell>
        </row>
        <row r="399">
          <cell r="C399" t="str">
            <v>- Waktu mengisi</v>
          </cell>
          <cell r="G399" t="str">
            <v>T3</v>
          </cell>
          <cell r="H399">
            <v>40</v>
          </cell>
          <cell r="I399" t="str">
            <v>menit</v>
          </cell>
          <cell r="L399" t="str">
            <v>1.</v>
          </cell>
          <cell r="N399" t="str">
            <v>Dump Truck</v>
          </cell>
          <cell r="O399" t="str">
            <v>(E08)</v>
          </cell>
          <cell r="P399" t="str">
            <v>Jam</v>
          </cell>
          <cell r="Q399">
            <v>0.21159889558232936</v>
          </cell>
          <cell r="R399">
            <v>153645.58193291764</v>
          </cell>
          <cell r="U399">
            <v>32511.23544810967</v>
          </cell>
        </row>
        <row r="400">
          <cell r="C400" t="str">
            <v>- Waktu bongkar</v>
          </cell>
          <cell r="G400" t="str">
            <v>T4</v>
          </cell>
          <cell r="H400">
            <v>30</v>
          </cell>
          <cell r="I400" t="str">
            <v>menit</v>
          </cell>
        </row>
        <row r="401">
          <cell r="C401" t="str">
            <v>- Lain-lain</v>
          </cell>
          <cell r="G401" t="str">
            <v>T5</v>
          </cell>
          <cell r="H401">
            <v>10</v>
          </cell>
          <cell r="I401" t="str">
            <v>menit</v>
          </cell>
        </row>
        <row r="402">
          <cell r="G402" t="str">
            <v>Ts1</v>
          </cell>
          <cell r="H402">
            <v>100.35833333333333</v>
          </cell>
          <cell r="I402" t="str">
            <v>menit</v>
          </cell>
        </row>
        <row r="404">
          <cell r="C404" t="str">
            <v>Kap. Prod. / jam =</v>
          </cell>
          <cell r="D404" t="str">
            <v>V x Fa x 60</v>
          </cell>
          <cell r="G404" t="str">
            <v>Q1</v>
          </cell>
          <cell r="H404">
            <v>4.7259225869206762</v>
          </cell>
          <cell r="I404" t="str">
            <v>Ton</v>
          </cell>
        </row>
        <row r="405">
          <cell r="D405" t="str">
            <v xml:space="preserve">   Fh x Ts1</v>
          </cell>
        </row>
        <row r="407">
          <cell r="C407" t="str">
            <v>Koefisien Alat/Ton</v>
          </cell>
          <cell r="D407" t="str">
            <v xml:space="preserve">  =    1 / Q1</v>
          </cell>
          <cell r="G407" t="str">
            <v>(E08)</v>
          </cell>
          <cell r="H407">
            <v>0.21159889558232936</v>
          </cell>
          <cell r="I407" t="str">
            <v>Jam</v>
          </cell>
        </row>
        <row r="408">
          <cell r="Q408" t="str">
            <v xml:space="preserve">JUMLAH HARGA PERALATAN   </v>
          </cell>
          <cell r="U408">
            <v>32511.23544810967</v>
          </cell>
        </row>
        <row r="409">
          <cell r="A409" t="str">
            <v xml:space="preserve">   3.</v>
          </cell>
          <cell r="C409" t="str">
            <v>TENAGA</v>
          </cell>
        </row>
        <row r="410">
          <cell r="C410" t="str">
            <v>Lebar Hamparan Soil Cement</v>
          </cell>
          <cell r="G410" t="str">
            <v>b</v>
          </cell>
          <cell r="H410">
            <v>6</v>
          </cell>
          <cell r="I410" t="str">
            <v>M</v>
          </cell>
          <cell r="L410" t="str">
            <v>D.</v>
          </cell>
          <cell r="N410" t="str">
            <v>JUMLAH HARGA TENAGA, BAHAN DAN PERALATAN  ( A + B + C )</v>
          </cell>
          <cell r="U410">
            <v>618447.75697588746</v>
          </cell>
        </row>
        <row r="411">
          <cell r="C411" t="str">
            <v>Kadar semen  (3 - 12) %</v>
          </cell>
          <cell r="G411" t="str">
            <v>s</v>
          </cell>
          <cell r="H411">
            <v>7.5</v>
          </cell>
          <cell r="I411" t="str">
            <v>%</v>
          </cell>
          <cell r="L411" t="str">
            <v>E.</v>
          </cell>
          <cell r="N411" t="str">
            <v>OVERHEAD &amp; PROFIT</v>
          </cell>
          <cell r="P411">
            <v>10</v>
          </cell>
          <cell r="Q411" t="str">
            <v>%  x  D</v>
          </cell>
          <cell r="U411">
            <v>61844.775697588746</v>
          </cell>
        </row>
        <row r="412">
          <cell r="C412" t="str">
            <v>Berat jenis tanah</v>
          </cell>
          <cell r="G412" t="str">
            <v>Bj</v>
          </cell>
          <cell r="H412">
            <v>1.6</v>
          </cell>
          <cell r="I412" t="str">
            <v>ton / M3</v>
          </cell>
          <cell r="L412" t="str">
            <v>F.</v>
          </cell>
          <cell r="N412" t="str">
            <v>HARGA SATUAN PEKERJAAN  ( D + E )</v>
          </cell>
          <cell r="U412">
            <v>680292.53267347626</v>
          </cell>
        </row>
        <row r="413">
          <cell r="C413" t="str">
            <v>Setiap hari dengan produksi = {(s : 100) x t x b x Ls} x Bj</v>
          </cell>
          <cell r="G413" t="str">
            <v>Qt</v>
          </cell>
          <cell r="H413">
            <v>43.2</v>
          </cell>
          <cell r="I413" t="str">
            <v>Ton</v>
          </cell>
          <cell r="L413" t="str">
            <v>Note: 1</v>
          </cell>
          <cell r="N413" t="str">
            <v>SATUAN dapat berdasarkan atas jam operasi untuk Tenaga Kerja dan Peralatan, volume dan/atau ukuran</v>
          </cell>
        </row>
        <row r="414">
          <cell r="N414" t="str">
            <v>berat untuk bahan-bahan.</v>
          </cell>
        </row>
        <row r="415">
          <cell r="C415" t="str">
            <v>Kebutuhan tenaga :</v>
          </cell>
          <cell r="L415">
            <v>2</v>
          </cell>
          <cell r="N415" t="str">
            <v>Kuantitas satuan adalah kuantitas setiap komponen untuk menyelesaikan satu satuan pekerjaan dari nomor</v>
          </cell>
        </row>
        <row r="416">
          <cell r="D416" t="str">
            <v>- Pekerja</v>
          </cell>
          <cell r="G416" t="str">
            <v>P</v>
          </cell>
          <cell r="H416">
            <v>15</v>
          </cell>
          <cell r="I416" t="str">
            <v>orang</v>
          </cell>
          <cell r="N416" t="str">
            <v>mata pembayaran.</v>
          </cell>
        </row>
        <row r="417">
          <cell r="D417" t="str">
            <v>- Mandor</v>
          </cell>
          <cell r="G417" t="str">
            <v>M</v>
          </cell>
          <cell r="H417">
            <v>1</v>
          </cell>
          <cell r="I417" t="str">
            <v>orang</v>
          </cell>
          <cell r="L417">
            <v>3</v>
          </cell>
          <cell r="N417" t="str">
            <v>Biaya satuan untuk peralatan sudah termasuk bahan bakar, bahan habis dipakai dan operator.</v>
          </cell>
        </row>
        <row r="418">
          <cell r="L418">
            <v>4</v>
          </cell>
          <cell r="N418" t="str">
            <v>Biaya satuan sudah termasuk pengeluaran untuk seluruh pajak yang berkaitan (tetapi tidak termasuk PPN</v>
          </cell>
        </row>
        <row r="419">
          <cell r="J419" t="str">
            <v>Berlanjut ke halaman berikut</v>
          </cell>
          <cell r="N419" t="str">
            <v>yang dibayar dari kontrak) dan biaya-biaya lainnya.</v>
          </cell>
        </row>
        <row r="420">
          <cell r="A420" t="str">
            <v>ITEM PEMBAYARAN NO.</v>
          </cell>
          <cell r="D420" t="str">
            <v>:  4.2 (4)</v>
          </cell>
          <cell r="J420" t="str">
            <v>Analisa EI-424</v>
          </cell>
        </row>
        <row r="421">
          <cell r="A421" t="str">
            <v>JENIS PEKERJAAN</v>
          </cell>
          <cell r="D421" t="str">
            <v>:  SEMEN Utk. Pond. Semen Tanah</v>
          </cell>
        </row>
        <row r="422">
          <cell r="A422" t="str">
            <v>SATUAN PEMBAYARAN</v>
          </cell>
          <cell r="D422" t="str">
            <v>:  TON</v>
          </cell>
          <cell r="J422" t="str">
            <v xml:space="preserve">         URAIAN ANALISA HARGA SATUAN</v>
          </cell>
        </row>
        <row r="423">
          <cell r="J423" t="str">
            <v>Lanjutan</v>
          </cell>
        </row>
        <row r="425">
          <cell r="A425" t="str">
            <v>No.</v>
          </cell>
          <cell r="C425" t="str">
            <v>U R A I A N</v>
          </cell>
          <cell r="G425" t="str">
            <v>KODE</v>
          </cell>
          <cell r="H425" t="str">
            <v>KOEF.</v>
          </cell>
          <cell r="I425" t="str">
            <v>SATUAN</v>
          </cell>
          <cell r="J425" t="str">
            <v>KETERANGAN</v>
          </cell>
        </row>
        <row r="428">
          <cell r="C428" t="str">
            <v>Koefisien tenaga / Ton  :</v>
          </cell>
        </row>
        <row r="429">
          <cell r="D429" t="str">
            <v>- Pekerja</v>
          </cell>
          <cell r="E429" t="str">
            <v>= (Tk x P) : Qt</v>
          </cell>
          <cell r="G429" t="str">
            <v>(L01)</v>
          </cell>
          <cell r="H429">
            <v>2.4305555555555554</v>
          </cell>
          <cell r="I429" t="str">
            <v>Jam</v>
          </cell>
        </row>
        <row r="430">
          <cell r="D430" t="str">
            <v>- Mandor</v>
          </cell>
          <cell r="E430" t="str">
            <v>= (Tk x M) : Qt</v>
          </cell>
          <cell r="G430" t="str">
            <v>(L03)</v>
          </cell>
          <cell r="H430">
            <v>0.16203703703703703</v>
          </cell>
          <cell r="I430" t="str">
            <v>Jam</v>
          </cell>
        </row>
        <row r="433">
          <cell r="A433" t="str">
            <v>4.</v>
          </cell>
          <cell r="C433" t="str">
            <v>HARGA DASAR SATUAN UPAH, BAHAN DAN ALAT</v>
          </cell>
        </row>
        <row r="434">
          <cell r="C434" t="str">
            <v>Lihat lampiran.</v>
          </cell>
        </row>
        <row r="437">
          <cell r="A437" t="str">
            <v>5.</v>
          </cell>
          <cell r="C437" t="str">
            <v>ANALISA HARGA SATUAN PEKERJAAN</v>
          </cell>
        </row>
        <row r="438">
          <cell r="C438" t="str">
            <v>Lihat perhitungan dalam FORMULIR STANDAR UNTUK</v>
          </cell>
        </row>
        <row r="439">
          <cell r="C439" t="str">
            <v>PEREKEMAN ANALISA MASING-MASING HARGA</v>
          </cell>
        </row>
        <row r="440">
          <cell r="C440" t="str">
            <v>SATUAN.</v>
          </cell>
        </row>
        <row r="441">
          <cell r="C441" t="str">
            <v>Didapat Harga Satuan Pekerjaan :</v>
          </cell>
        </row>
        <row r="443">
          <cell r="C443" t="str">
            <v xml:space="preserve">Rp.  </v>
          </cell>
          <cell r="D443">
            <v>680292.53267347626</v>
          </cell>
          <cell r="E443" t="str">
            <v xml:space="preserve"> / Ton</v>
          </cell>
        </row>
        <row r="446">
          <cell r="A446" t="str">
            <v>6.</v>
          </cell>
          <cell r="C446" t="str">
            <v>WAKTU PELAKSANAAN YANG DIPERLUKAN</v>
          </cell>
        </row>
        <row r="447">
          <cell r="C447" t="str">
            <v>Waktu pelaksanaan</v>
          </cell>
          <cell r="D447" t="str">
            <v>:  . . . . . . .  bulan</v>
          </cell>
        </row>
        <row r="449">
          <cell r="A449" t="str">
            <v>7.</v>
          </cell>
          <cell r="C449" t="str">
            <v>VOLUME PEKERJAAN YANG DIPERLUKAN</v>
          </cell>
        </row>
        <row r="450">
          <cell r="C450" t="str">
            <v>Volume pekerjaan  :</v>
          </cell>
          <cell r="D450">
            <v>0</v>
          </cell>
          <cell r="E450" t="str">
            <v>Ton</v>
          </cell>
        </row>
        <row r="479">
          <cell r="A479" t="str">
            <v>ITEM PEMBAYARAN NO.</v>
          </cell>
          <cell r="D479" t="str">
            <v>:  4.2 (3)</v>
          </cell>
          <cell r="J479" t="str">
            <v>Analisa EI-423</v>
          </cell>
          <cell r="T479" t="str">
            <v>Analisa EI-423</v>
          </cell>
        </row>
        <row r="480">
          <cell r="A480" t="str">
            <v>JENIS PEKERJAAN</v>
          </cell>
          <cell r="D480" t="str">
            <v>:  Lapis Pondasi Semen Tanah</v>
          </cell>
        </row>
        <row r="481">
          <cell r="A481" t="str">
            <v>SATUAN PEMBAYARAN</v>
          </cell>
          <cell r="D481" t="str">
            <v>:  M3</v>
          </cell>
          <cell r="J481" t="str">
            <v xml:space="preserve">         URAIAN ANALISA HARGA SATUAN</v>
          </cell>
          <cell r="L481" t="str">
            <v>FORMULIR STANDAR UNTUK</v>
          </cell>
        </row>
        <row r="482">
          <cell r="L482" t="str">
            <v>PEREKAMAN ANALISA MASING-MASING HARGA SATUAN</v>
          </cell>
        </row>
        <row r="483">
          <cell r="L483" t="str">
            <v/>
          </cell>
        </row>
        <row r="484">
          <cell r="A484" t="str">
            <v>No.</v>
          </cell>
          <cell r="C484" t="str">
            <v>U R A I A N</v>
          </cell>
          <cell r="G484" t="str">
            <v>KODE</v>
          </cell>
          <cell r="H484" t="str">
            <v>KOEF.</v>
          </cell>
          <cell r="I484" t="str">
            <v>SATUAN</v>
          </cell>
          <cell r="J484" t="str">
            <v>KETERANGAN</v>
          </cell>
        </row>
        <row r="486">
          <cell r="L486" t="str">
            <v>PROYEK</v>
          </cell>
          <cell r="O486" t="str">
            <v>:</v>
          </cell>
        </row>
        <row r="487">
          <cell r="A487" t="str">
            <v>I.</v>
          </cell>
          <cell r="C487" t="str">
            <v>ASUMSI</v>
          </cell>
          <cell r="L487" t="str">
            <v>No. PAKET KONTRAK</v>
          </cell>
          <cell r="O487" t="str">
            <v>:</v>
          </cell>
        </row>
        <row r="488">
          <cell r="A488">
            <v>1</v>
          </cell>
          <cell r="C488" t="str">
            <v>Pekerjaan dilakukan secara mekanik</v>
          </cell>
          <cell r="L488" t="str">
            <v>NAMA PAKET</v>
          </cell>
          <cell r="O488" t="str">
            <v>:</v>
          </cell>
        </row>
        <row r="489">
          <cell r="A489">
            <v>2</v>
          </cell>
          <cell r="C489" t="str">
            <v>Lokasi pekerjaan : sepanjang jalan</v>
          </cell>
          <cell r="L489" t="str">
            <v>PROP / KAB / KODYA</v>
          </cell>
          <cell r="O489" t="str">
            <v>:</v>
          </cell>
        </row>
        <row r="490">
          <cell r="A490">
            <v>3</v>
          </cell>
          <cell r="C490" t="str">
            <v>Kondisi Jalan   :  sedang / baik</v>
          </cell>
          <cell r="L490" t="str">
            <v>ITEM PEMBAYARAN NO.</v>
          </cell>
          <cell r="O490" t="str">
            <v>:  4.2 (3)</v>
          </cell>
          <cell r="R490" t="str">
            <v>PERKIRAAN VOL. PEK.</v>
          </cell>
          <cell r="T490" t="str">
            <v>:</v>
          </cell>
          <cell r="U490">
            <v>0</v>
          </cell>
        </row>
        <row r="491">
          <cell r="A491">
            <v>4</v>
          </cell>
          <cell r="C491" t="str">
            <v>Jarak rata-rata sumber material ke lokasi pekerjaan</v>
          </cell>
          <cell r="G491" t="str">
            <v>L</v>
          </cell>
          <cell r="H491">
            <v>8.7249999999999996</v>
          </cell>
          <cell r="I491" t="str">
            <v>Km</v>
          </cell>
          <cell r="L491" t="str">
            <v>JENIS PEKERJAAN</v>
          </cell>
          <cell r="O491" t="str">
            <v>:  Lapis Pondasi Semen Tanah</v>
          </cell>
          <cell r="R491" t="str">
            <v>TOTAL HARGA (Rp.)</v>
          </cell>
          <cell r="T491" t="str">
            <v>:</v>
          </cell>
          <cell r="U491">
            <v>0</v>
          </cell>
        </row>
        <row r="492">
          <cell r="A492">
            <v>5</v>
          </cell>
          <cell r="C492" t="str">
            <v>Jam kerja efektif per-hari</v>
          </cell>
          <cell r="G492" t="str">
            <v>Tk</v>
          </cell>
          <cell r="H492">
            <v>7</v>
          </cell>
          <cell r="I492" t="str">
            <v>Jam</v>
          </cell>
          <cell r="L492" t="str">
            <v>SATUAN PEMBAYARAN</v>
          </cell>
          <cell r="O492" t="str">
            <v>:  M3</v>
          </cell>
          <cell r="R492" t="str">
            <v>% THD. BIAYA PROYEK</v>
          </cell>
          <cell r="T492" t="str">
            <v>:</v>
          </cell>
          <cell r="U492" t="e">
            <v>#DIV/0!</v>
          </cell>
        </row>
        <row r="493">
          <cell r="A493">
            <v>6</v>
          </cell>
          <cell r="C493" t="str">
            <v>Harga pembayaran tidak termasuk semen ( semen</v>
          </cell>
        </row>
        <row r="494">
          <cell r="C494" t="str">
            <v>dibayar dalam item tersendiri)</v>
          </cell>
        </row>
        <row r="495">
          <cell r="A495">
            <v>7</v>
          </cell>
          <cell r="C495" t="str">
            <v>Satu hari dapat diselesaikan hamparan Soil Cement</v>
          </cell>
          <cell r="Q495" t="str">
            <v>PERKIRAAN</v>
          </cell>
          <cell r="R495" t="str">
            <v>HARGA</v>
          </cell>
          <cell r="S495" t="str">
            <v>JUMLAH</v>
          </cell>
        </row>
        <row r="496">
          <cell r="C496" t="str">
            <v>sepanjang</v>
          </cell>
          <cell r="G496" t="str">
            <v>Ls</v>
          </cell>
          <cell r="H496">
            <v>400</v>
          </cell>
          <cell r="I496" t="str">
            <v>M</v>
          </cell>
          <cell r="L496" t="str">
            <v>NO.</v>
          </cell>
          <cell r="N496" t="str">
            <v>KOMPONEN</v>
          </cell>
          <cell r="P496" t="str">
            <v>SATUAN</v>
          </cell>
          <cell r="Q496" t="str">
            <v>KUANTITAS</v>
          </cell>
          <cell r="R496" t="str">
            <v>SATUAN</v>
          </cell>
          <cell r="S496" t="str">
            <v>HARGA</v>
          </cell>
        </row>
        <row r="497">
          <cell r="A497">
            <v>8</v>
          </cell>
          <cell r="C497" t="str">
            <v>Faktor kembang material (padat - lepas)</v>
          </cell>
          <cell r="G497" t="str">
            <v>Fk</v>
          </cell>
          <cell r="H497">
            <v>1.2</v>
          </cell>
          <cell r="I497" t="str">
            <v>-</v>
          </cell>
          <cell r="R497" t="str">
            <v>(Rp.)</v>
          </cell>
          <cell r="S497" t="str">
            <v>(Rp.)</v>
          </cell>
        </row>
        <row r="498">
          <cell r="A498">
            <v>9</v>
          </cell>
          <cell r="C498" t="str">
            <v>Tebal hamparan padat</v>
          </cell>
          <cell r="G498" t="str">
            <v>t</v>
          </cell>
          <cell r="H498">
            <v>0.15</v>
          </cell>
          <cell r="I498" t="str">
            <v>M</v>
          </cell>
        </row>
        <row r="500">
          <cell r="A500" t="str">
            <v>II.</v>
          </cell>
          <cell r="C500" t="str">
            <v>URUTAN KERJA</v>
          </cell>
          <cell r="L500" t="str">
            <v>A.</v>
          </cell>
          <cell r="N500" t="str">
            <v>TENAGA</v>
          </cell>
        </row>
        <row r="501">
          <cell r="A501">
            <v>1</v>
          </cell>
          <cell r="C501" t="str">
            <v>Whell Loader memuat material ke dalam Dump Truck</v>
          </cell>
        </row>
        <row r="502">
          <cell r="C502" t="str">
            <v>di lokasi sumber bahan</v>
          </cell>
          <cell r="L502" t="str">
            <v>1.</v>
          </cell>
          <cell r="N502" t="str">
            <v>Pekerja</v>
          </cell>
          <cell r="O502" t="str">
            <v>(L01)</v>
          </cell>
          <cell r="P502" t="str">
            <v>Jam</v>
          </cell>
          <cell r="Q502">
            <v>0.12494422132976349</v>
          </cell>
          <cell r="R502">
            <v>2857.14</v>
          </cell>
          <cell r="U502">
            <v>356.98313253012043</v>
          </cell>
        </row>
        <row r="503">
          <cell r="A503">
            <v>2</v>
          </cell>
          <cell r="C503" t="str">
            <v>Dump Truck mengangkut material ke lokasi pekerjaan</v>
          </cell>
          <cell r="L503" t="str">
            <v>2.</v>
          </cell>
          <cell r="N503" t="str">
            <v>Mandor</v>
          </cell>
          <cell r="O503" t="str">
            <v>(L03)</v>
          </cell>
          <cell r="P503" t="str">
            <v>Jam</v>
          </cell>
          <cell r="Q503">
            <v>1.7849174475680501E-2</v>
          </cell>
          <cell r="R503">
            <v>3214.29</v>
          </cell>
          <cell r="U503">
            <v>57.372423025435076</v>
          </cell>
        </row>
        <row r="504">
          <cell r="A504">
            <v>3</v>
          </cell>
          <cell r="C504" t="str">
            <v>Motor Grader menghampar material di lokasi pekerjaan</v>
          </cell>
        </row>
        <row r="505">
          <cell r="A505">
            <v>4</v>
          </cell>
          <cell r="C505" t="str">
            <v>Semen dan material tanah diaduk ditempat dengan</v>
          </cell>
        </row>
        <row r="506">
          <cell r="C506" t="str">
            <v>menggunakan Vulvi Mixer</v>
          </cell>
          <cell r="Q506" t="str">
            <v xml:space="preserve">JUMLAH HARGA TENAGA   </v>
          </cell>
          <cell r="U506">
            <v>414.3555555555555</v>
          </cell>
        </row>
        <row r="507">
          <cell r="A507">
            <v>5</v>
          </cell>
          <cell r="C507" t="str">
            <v>Sebelum pemadatan material dibasahi dengan</v>
          </cell>
        </row>
        <row r="508">
          <cell r="C508" t="str">
            <v>menggunakan Water Tank Truck</v>
          </cell>
          <cell r="L508" t="str">
            <v>B.</v>
          </cell>
          <cell r="N508" t="str">
            <v>BAHAN</v>
          </cell>
        </row>
        <row r="509">
          <cell r="A509">
            <v>6</v>
          </cell>
          <cell r="C509" t="str">
            <v>Pemadatan dilakukan dengan menggunakan</v>
          </cell>
          <cell r="L509" t="str">
            <v>1.</v>
          </cell>
          <cell r="N509" t="str">
            <v>Tanah Timbunan  (M08)</v>
          </cell>
          <cell r="P509" t="str">
            <v>M3</v>
          </cell>
          <cell r="Q509">
            <v>1.2</v>
          </cell>
          <cell r="R509">
            <v>20000</v>
          </cell>
          <cell r="U509">
            <v>24000</v>
          </cell>
        </row>
        <row r="510">
          <cell r="C510" t="str">
            <v>Vibrator Roller dan Pneumatic Tire Roller</v>
          </cell>
        </row>
        <row r="511">
          <cell r="A511">
            <v>7</v>
          </cell>
          <cell r="C511" t="str">
            <v>Selama pelaksanaan pekerjaan sekelompok pekerja</v>
          </cell>
        </row>
        <row r="512">
          <cell r="C512" t="str">
            <v>akan merapikan tepi hamparan dan level permukaan</v>
          </cell>
        </row>
        <row r="513">
          <cell r="C513" t="str">
            <v>dengan menggunakan alat bantu</v>
          </cell>
        </row>
        <row r="515">
          <cell r="A515" t="str">
            <v>III.</v>
          </cell>
          <cell r="C515" t="str">
            <v>PEMAKAIAN BAHAN, ALAT DAN TENAGA</v>
          </cell>
        </row>
        <row r="516">
          <cell r="Q516" t="str">
            <v xml:space="preserve">JUMLAH HARGA BAHAN   </v>
          </cell>
          <cell r="U516">
            <v>24000</v>
          </cell>
        </row>
        <row r="517">
          <cell r="A517" t="str">
            <v>1.</v>
          </cell>
          <cell r="C517" t="str">
            <v>BAHAN</v>
          </cell>
        </row>
        <row r="518">
          <cell r="C518" t="str">
            <v>Setiap M3 Soil Cement padat diperlukan = 1 x Fk</v>
          </cell>
          <cell r="G518" t="str">
            <v>(M08)</v>
          </cell>
          <cell r="H518">
            <v>1.2</v>
          </cell>
          <cell r="I518" t="str">
            <v>M3</v>
          </cell>
          <cell r="L518" t="str">
            <v>C.</v>
          </cell>
          <cell r="N518" t="str">
            <v>PERALATAN</v>
          </cell>
        </row>
        <row r="519">
          <cell r="L519" t="str">
            <v>1.</v>
          </cell>
          <cell r="N519" t="str">
            <v>Wheel Loader</v>
          </cell>
          <cell r="O519" t="str">
            <v>(E15)</v>
          </cell>
          <cell r="P519" t="str">
            <v>Jam</v>
          </cell>
          <cell r="Q519">
            <v>1.7849174475680497E-2</v>
          </cell>
          <cell r="R519">
            <v>163808.13869490434</v>
          </cell>
          <cell r="U519">
            <v>2923.8400481018175</v>
          </cell>
        </row>
        <row r="520">
          <cell r="A520" t="str">
            <v>2.</v>
          </cell>
          <cell r="C520" t="str">
            <v>ALAT</v>
          </cell>
          <cell r="L520" t="str">
            <v>2.</v>
          </cell>
          <cell r="N520" t="str">
            <v>Dump Truck</v>
          </cell>
          <cell r="O520" t="str">
            <v>(E08)</v>
          </cell>
          <cell r="P520" t="str">
            <v>Jam</v>
          </cell>
          <cell r="Q520">
            <v>0.16651888679214849</v>
          </cell>
          <cell r="R520">
            <v>153645.58193291764</v>
          </cell>
          <cell r="U520">
            <v>25584.89126400129</v>
          </cell>
        </row>
        <row r="521">
          <cell r="A521" t="str">
            <v>2.a.</v>
          </cell>
          <cell r="C521" t="str">
            <v>WHEL LOADER</v>
          </cell>
          <cell r="G521" t="str">
            <v>(E15)</v>
          </cell>
          <cell r="L521" t="str">
            <v>3.</v>
          </cell>
          <cell r="N521" t="str">
            <v>Motor Grader</v>
          </cell>
          <cell r="O521" t="str">
            <v>(E13)</v>
          </cell>
          <cell r="P521" t="str">
            <v>Jam</v>
          </cell>
          <cell r="Q521">
            <v>8.3668005354752342E-3</v>
          </cell>
          <cell r="R521">
            <v>201666.62574070093</v>
          </cell>
          <cell r="U521">
            <v>1687.3044322347801</v>
          </cell>
        </row>
        <row r="522">
          <cell r="C522" t="str">
            <v>Kapasitas bucket</v>
          </cell>
          <cell r="G522" t="str">
            <v>V</v>
          </cell>
          <cell r="H522">
            <v>1.5</v>
          </cell>
          <cell r="I522" t="str">
            <v>M3</v>
          </cell>
          <cell r="L522" t="str">
            <v>4.</v>
          </cell>
          <cell r="N522" t="str">
            <v>Tandem Roller</v>
          </cell>
          <cell r="O522" t="str">
            <v>(E17)</v>
          </cell>
          <cell r="P522" t="str">
            <v>Jam</v>
          </cell>
          <cell r="Q522">
            <v>1.7849174475680501E-2</v>
          </cell>
          <cell r="R522">
            <v>293927.19306224468</v>
          </cell>
          <cell r="U522">
            <v>5246.3577521150328</v>
          </cell>
        </row>
        <row r="523">
          <cell r="C523" t="str">
            <v>Faktor bucket</v>
          </cell>
          <cell r="G523" t="str">
            <v>Fb</v>
          </cell>
          <cell r="H523">
            <v>0.9</v>
          </cell>
          <cell r="I523" t="str">
            <v>-</v>
          </cell>
          <cell r="J523" t="str">
            <v>Pemuatan ringan</v>
          </cell>
          <cell r="L523" t="str">
            <v>5.</v>
          </cell>
          <cell r="N523" t="str">
            <v>P. Tyre Roller</v>
          </cell>
          <cell r="O523" t="str">
            <v>(E18)</v>
          </cell>
          <cell r="P523" t="str">
            <v>Jam</v>
          </cell>
          <cell r="Q523">
            <v>8.5676037483266403E-3</v>
          </cell>
          <cell r="R523">
            <v>113384.24751021285</v>
          </cell>
          <cell r="U523">
            <v>971.43130396969514</v>
          </cell>
        </row>
        <row r="524">
          <cell r="C524" t="str">
            <v>Faktor efisiensi alat</v>
          </cell>
          <cell r="G524" t="str">
            <v>Fa</v>
          </cell>
          <cell r="H524">
            <v>0.83</v>
          </cell>
          <cell r="I524" t="str">
            <v>-</v>
          </cell>
          <cell r="L524" t="str">
            <v>6.</v>
          </cell>
          <cell r="N524" t="str">
            <v>Water Tanker</v>
          </cell>
          <cell r="O524" t="str">
            <v>(E23)</v>
          </cell>
          <cell r="P524" t="str">
            <v>Jam</v>
          </cell>
          <cell r="Q524">
            <v>7.0281124497991983E-3</v>
          </cell>
          <cell r="R524">
            <v>67020.510980434308</v>
          </cell>
          <cell r="U524">
            <v>471.02768761349421</v>
          </cell>
        </row>
        <row r="525">
          <cell r="C525" t="str">
            <v>Waktu siklus :</v>
          </cell>
          <cell r="G525" t="str">
            <v>Ts1</v>
          </cell>
          <cell r="L525" t="str">
            <v>7.</v>
          </cell>
          <cell r="N525" t="str">
            <v>Fulvi Mixer</v>
          </cell>
          <cell r="O525" t="str">
            <v>(E27)</v>
          </cell>
          <cell r="P525" t="str">
            <v>Jam</v>
          </cell>
          <cell r="Q525">
            <v>1.9277108433734941E-2</v>
          </cell>
          <cell r="R525">
            <v>559029.00777943374</v>
          </cell>
          <cell r="U525">
            <v>10776.462800567399</v>
          </cell>
        </row>
        <row r="526">
          <cell r="C526" t="str">
            <v>- Muat</v>
          </cell>
          <cell r="G526" t="str">
            <v>T1</v>
          </cell>
          <cell r="H526">
            <v>0.5</v>
          </cell>
          <cell r="I526" t="str">
            <v>menit</v>
          </cell>
          <cell r="L526" t="str">
            <v>8.</v>
          </cell>
          <cell r="N526" t="str">
            <v>Alat Bantu</v>
          </cell>
          <cell r="P526" t="str">
            <v>Ls</v>
          </cell>
          <cell r="Q526">
            <v>1</v>
          </cell>
          <cell r="R526">
            <v>90</v>
          </cell>
          <cell r="U526">
            <v>90</v>
          </cell>
        </row>
        <row r="527">
          <cell r="C527" t="str">
            <v>- Lain-lain</v>
          </cell>
          <cell r="G527" t="str">
            <v>T2</v>
          </cell>
          <cell r="H527">
            <v>0.5</v>
          </cell>
          <cell r="I527" t="str">
            <v>menit</v>
          </cell>
        </row>
        <row r="528">
          <cell r="G528" t="str">
            <v>Ts1</v>
          </cell>
          <cell r="H528">
            <v>1</v>
          </cell>
          <cell r="I528" t="str">
            <v>menit</v>
          </cell>
          <cell r="Q528" t="str">
            <v xml:space="preserve">JUMLAH HARGA PERALATAN   </v>
          </cell>
          <cell r="U528">
            <v>47751.31528860351</v>
          </cell>
        </row>
        <row r="530">
          <cell r="C530" t="str">
            <v>Kap. Prod. / Jam  =</v>
          </cell>
          <cell r="D530" t="str">
            <v>V x Fb x Fa x 60</v>
          </cell>
          <cell r="G530" t="str">
            <v>Q1</v>
          </cell>
          <cell r="H530">
            <v>56.025000000000006</v>
          </cell>
          <cell r="I530" t="str">
            <v>M3</v>
          </cell>
          <cell r="L530" t="str">
            <v>D.</v>
          </cell>
          <cell r="N530" t="str">
            <v>JUMLAH HARGA TENAGA, BAHAN DAN PERALATAN  ( A + B + C )</v>
          </cell>
          <cell r="U530">
            <v>72165.67084415906</v>
          </cell>
        </row>
        <row r="531">
          <cell r="D531" t="str">
            <v>Fk x Ts1</v>
          </cell>
          <cell r="L531" t="str">
            <v>E.</v>
          </cell>
          <cell r="N531" t="str">
            <v>OVERHEAD &amp; PROFIT</v>
          </cell>
          <cell r="P531">
            <v>10</v>
          </cell>
          <cell r="Q531" t="str">
            <v>%  x  D</v>
          </cell>
          <cell r="U531">
            <v>7216.5670844159067</v>
          </cell>
        </row>
        <row r="532">
          <cell r="L532" t="str">
            <v>F.</v>
          </cell>
          <cell r="N532" t="str">
            <v>HARGA SATUAN PEKERJAAN  ( D + E )</v>
          </cell>
          <cell r="U532">
            <v>79382.237928574963</v>
          </cell>
        </row>
        <row r="533">
          <cell r="C533" t="str">
            <v>Koefisien Alat / M3</v>
          </cell>
          <cell r="D533" t="str">
            <v xml:space="preserve"> = 1 / Q1</v>
          </cell>
          <cell r="G533" t="str">
            <v>(E15)</v>
          </cell>
          <cell r="H533">
            <v>1.7849174475680497E-2</v>
          </cell>
          <cell r="I533" t="str">
            <v>Jam</v>
          </cell>
          <cell r="L533" t="str">
            <v>Note: 1</v>
          </cell>
          <cell r="N533" t="str">
            <v>SATUAN dapat berdasarkan atas jam operasi untuk Tenaga Kerja dan Peralatan, volume dan/atau ukuran</v>
          </cell>
        </row>
        <row r="534">
          <cell r="N534" t="str">
            <v>berat untuk bahan-bahan.</v>
          </cell>
        </row>
        <row r="535">
          <cell r="L535">
            <v>2</v>
          </cell>
          <cell r="N535" t="str">
            <v>Kuantitas satuan adalah kuantitas setiap komponen untuk menyelesaikan satu satuan pekerjaan dari nomor</v>
          </cell>
        </row>
        <row r="536">
          <cell r="N536" t="str">
            <v>mata pembayaran.</v>
          </cell>
        </row>
        <row r="537">
          <cell r="L537">
            <v>3</v>
          </cell>
          <cell r="N537" t="str">
            <v>Biaya satuan untuk peralatan sudah termasuk bahan bakar, bahan habis dipakai dan operator.</v>
          </cell>
        </row>
        <row r="538">
          <cell r="L538">
            <v>4</v>
          </cell>
          <cell r="N538" t="str">
            <v>Biaya satuan sudah termasuk pengeluaran untuk seluruh pajak yang berkaitan (tetapi tidak termasuk PPN</v>
          </cell>
        </row>
        <row r="539">
          <cell r="J539" t="str">
            <v>Berlanjut ke halaman berikut</v>
          </cell>
          <cell r="N539" t="str">
            <v>yang dibayar dari kontrak) dan biaya-biaya lainnya.</v>
          </cell>
        </row>
        <row r="540">
          <cell r="A540" t="str">
            <v>ITEM PEMBAYARAN NO.</v>
          </cell>
          <cell r="D540" t="str">
            <v>:  4.2 (3)</v>
          </cell>
          <cell r="J540" t="str">
            <v>Analisa EI-423</v>
          </cell>
        </row>
        <row r="541">
          <cell r="A541" t="str">
            <v>JENIS PEKERJAAN</v>
          </cell>
          <cell r="D541" t="str">
            <v>:  Lapis Pondasi Semen Tanah</v>
          </cell>
        </row>
        <row r="542">
          <cell r="A542" t="str">
            <v>SATUAN PEMBAYARAN</v>
          </cell>
          <cell r="D542" t="str">
            <v>:  M3</v>
          </cell>
          <cell r="J542" t="str">
            <v xml:space="preserve">         URAIAN ANALISA HARGA SATUAN</v>
          </cell>
        </row>
        <row r="543">
          <cell r="J543" t="str">
            <v>Lanjutan</v>
          </cell>
        </row>
        <row r="545">
          <cell r="A545" t="str">
            <v>No.</v>
          </cell>
          <cell r="C545" t="str">
            <v>U R A I A N</v>
          </cell>
          <cell r="G545" t="str">
            <v>KODE</v>
          </cell>
          <cell r="H545" t="str">
            <v>KOEF.</v>
          </cell>
          <cell r="I545" t="str">
            <v>SATUAN</v>
          </cell>
          <cell r="J545" t="str">
            <v>KETERANGAN</v>
          </cell>
        </row>
        <row r="548">
          <cell r="A548" t="str">
            <v>2.b.</v>
          </cell>
          <cell r="C548" t="str">
            <v>DUMP TRUCK</v>
          </cell>
          <cell r="G548" t="str">
            <v>(E08)</v>
          </cell>
        </row>
        <row r="549">
          <cell r="C549" t="str">
            <v>Kapasitas bak</v>
          </cell>
          <cell r="G549" t="str">
            <v>V</v>
          </cell>
          <cell r="H549">
            <v>4</v>
          </cell>
          <cell r="I549" t="str">
            <v>M3</v>
          </cell>
        </row>
        <row r="550">
          <cell r="C550" t="str">
            <v>Faktor efisiensi alat</v>
          </cell>
          <cell r="G550" t="str">
            <v>Fa</v>
          </cell>
          <cell r="H550">
            <v>0.83</v>
          </cell>
          <cell r="I550" t="str">
            <v>-</v>
          </cell>
        </row>
        <row r="551">
          <cell r="C551" t="str">
            <v>Kecepatan rata-rata bermuatan</v>
          </cell>
          <cell r="G551" t="str">
            <v>v1</v>
          </cell>
          <cell r="H551">
            <v>45</v>
          </cell>
          <cell r="I551" t="str">
            <v>Km / Jam</v>
          </cell>
        </row>
        <row r="552">
          <cell r="C552" t="str">
            <v>Kecepatan rata-rata kosong</v>
          </cell>
          <cell r="G552" t="str">
            <v>v2</v>
          </cell>
          <cell r="H552">
            <v>60</v>
          </cell>
          <cell r="I552" t="str">
            <v>Km / Jam</v>
          </cell>
        </row>
        <row r="553">
          <cell r="C553" t="str">
            <v>Waktu Siklus  :  - Waktu memuat = V : Q1 x 60</v>
          </cell>
          <cell r="G553" t="str">
            <v>T1</v>
          </cell>
          <cell r="H553">
            <v>4.283801874163319</v>
          </cell>
          <cell r="I553" t="str">
            <v>menit</v>
          </cell>
        </row>
        <row r="554">
          <cell r="C554" t="str">
            <v>- Waktu tempuh isi          = (L : v1) x 60</v>
          </cell>
          <cell r="G554" t="str">
            <v>T2</v>
          </cell>
          <cell r="H554">
            <v>11.633333333333333</v>
          </cell>
          <cell r="I554" t="str">
            <v>menit</v>
          </cell>
        </row>
        <row r="555">
          <cell r="C555" t="str">
            <v>- Waktu tempuh kosong   = (L : v2) x 60</v>
          </cell>
          <cell r="G555" t="str">
            <v>T3</v>
          </cell>
          <cell r="H555">
            <v>8.7249999999999996</v>
          </cell>
          <cell r="I555" t="str">
            <v>menit</v>
          </cell>
        </row>
        <row r="556">
          <cell r="C556" t="str">
            <v>- Lain-lain</v>
          </cell>
          <cell r="G556" t="str">
            <v>T4</v>
          </cell>
          <cell r="H556">
            <v>3</v>
          </cell>
          <cell r="I556" t="str">
            <v>menit</v>
          </cell>
        </row>
        <row r="557">
          <cell r="G557" t="str">
            <v>Ts2</v>
          </cell>
          <cell r="H557">
            <v>27.642135207496651</v>
          </cell>
          <cell r="I557" t="str">
            <v>menit</v>
          </cell>
        </row>
        <row r="559">
          <cell r="C559" t="str">
            <v>Kapasitas Prod. / jam =</v>
          </cell>
          <cell r="E559" t="str">
            <v>V x Fa x 60</v>
          </cell>
          <cell r="G559" t="str">
            <v>Q2</v>
          </cell>
          <cell r="H559">
            <v>6.0053247968695338</v>
          </cell>
          <cell r="I559" t="str">
            <v>M3</v>
          </cell>
        </row>
        <row r="560">
          <cell r="E560" t="str">
            <v xml:space="preserve">   Fk x Ts2</v>
          </cell>
        </row>
        <row r="562">
          <cell r="C562" t="str">
            <v>Koefisien Alat / M3</v>
          </cell>
          <cell r="D562" t="str">
            <v xml:space="preserve"> =    1 / Q2</v>
          </cell>
          <cell r="G562" t="str">
            <v>(E08)</v>
          </cell>
          <cell r="H562">
            <v>0.16651888679214849</v>
          </cell>
          <cell r="I562" t="str">
            <v>Jam</v>
          </cell>
        </row>
        <row r="564">
          <cell r="A564" t="str">
            <v>2.c.</v>
          </cell>
          <cell r="C564" t="str">
            <v>MOTOR GRADER</v>
          </cell>
          <cell r="G564" t="str">
            <v>(E13)</v>
          </cell>
        </row>
        <row r="565">
          <cell r="C565" t="str">
            <v>Panjang hamparan</v>
          </cell>
          <cell r="G565" t="str">
            <v>Lh</v>
          </cell>
          <cell r="H565">
            <v>100</v>
          </cell>
          <cell r="I565" t="str">
            <v>M</v>
          </cell>
        </row>
        <row r="566">
          <cell r="C566" t="str">
            <v>Lebar efektif kerja blade</v>
          </cell>
          <cell r="G566" t="str">
            <v>b</v>
          </cell>
          <cell r="H566">
            <v>2.4</v>
          </cell>
          <cell r="I566" t="str">
            <v>M</v>
          </cell>
        </row>
        <row r="567">
          <cell r="C567" t="str">
            <v>Faktor efisiensi alat</v>
          </cell>
          <cell r="G567" t="str">
            <v>Fa</v>
          </cell>
          <cell r="H567">
            <v>0.83</v>
          </cell>
          <cell r="I567" t="str">
            <v>-</v>
          </cell>
        </row>
        <row r="568">
          <cell r="C568" t="str">
            <v>Kecepatan rata-rata alat</v>
          </cell>
          <cell r="G568" t="str">
            <v>v</v>
          </cell>
          <cell r="H568">
            <v>4</v>
          </cell>
          <cell r="I568" t="str">
            <v>Km / Jam</v>
          </cell>
        </row>
        <row r="569">
          <cell r="C569" t="str">
            <v>Jumlah lintasan</v>
          </cell>
          <cell r="G569" t="str">
            <v>n</v>
          </cell>
          <cell r="H569">
            <v>6</v>
          </cell>
          <cell r="I569" t="str">
            <v>lintasan</v>
          </cell>
          <cell r="J569" t="str">
            <v>3 x pp</v>
          </cell>
        </row>
        <row r="570">
          <cell r="C570" t="str">
            <v>Waktu siklus</v>
          </cell>
          <cell r="G570" t="str">
            <v>Ts3</v>
          </cell>
        </row>
        <row r="571">
          <cell r="C571" t="str">
            <v>- Perataan 1 lintasan  = Lh : (v x 1000) x 60</v>
          </cell>
          <cell r="G571" t="str">
            <v>T1</v>
          </cell>
          <cell r="H571">
            <v>1.5</v>
          </cell>
          <cell r="I571" t="str">
            <v>menit</v>
          </cell>
        </row>
        <row r="572">
          <cell r="C572" t="str">
            <v>- Lain-lain</v>
          </cell>
          <cell r="G572" t="str">
            <v>T2</v>
          </cell>
          <cell r="H572">
            <v>1</v>
          </cell>
          <cell r="I572" t="str">
            <v>menit</v>
          </cell>
        </row>
        <row r="573">
          <cell r="G573" t="str">
            <v>Ts3</v>
          </cell>
          <cell r="H573">
            <v>2.5</v>
          </cell>
          <cell r="I573" t="str">
            <v>menit</v>
          </cell>
        </row>
        <row r="575">
          <cell r="C575" t="str">
            <v>Kap. Prod. / Jam  =</v>
          </cell>
          <cell r="D575" t="str">
            <v>Lh x b x t x Fa x 60</v>
          </cell>
          <cell r="G575" t="str">
            <v>Q3</v>
          </cell>
          <cell r="H575">
            <v>119.52</v>
          </cell>
          <cell r="I575" t="str">
            <v>M3</v>
          </cell>
        </row>
        <row r="576">
          <cell r="D576" t="str">
            <v>n x Ts3</v>
          </cell>
        </row>
        <row r="578">
          <cell r="C578" t="str">
            <v>Koefisien Alat / M3</v>
          </cell>
          <cell r="D578" t="str">
            <v xml:space="preserve"> =  1 / Q3</v>
          </cell>
          <cell r="G578" t="str">
            <v>(E13)</v>
          </cell>
          <cell r="H578">
            <v>8.3668005354752342E-3</v>
          </cell>
          <cell r="I578" t="str">
            <v>jam</v>
          </cell>
        </row>
        <row r="580">
          <cell r="A580" t="str">
            <v>2.d.</v>
          </cell>
          <cell r="C580" t="str">
            <v>TANDEM ROLLER</v>
          </cell>
          <cell r="G580" t="str">
            <v>(E19)</v>
          </cell>
        </row>
        <row r="581">
          <cell r="C581" t="str">
            <v>Kecepatan rata-rata alat</v>
          </cell>
          <cell r="G581" t="str">
            <v>v</v>
          </cell>
          <cell r="H581">
            <v>3</v>
          </cell>
          <cell r="I581" t="str">
            <v>Km / Jam</v>
          </cell>
        </row>
        <row r="582">
          <cell r="C582" t="str">
            <v>Lebar efektif pemadatan</v>
          </cell>
          <cell r="G582" t="str">
            <v>b</v>
          </cell>
          <cell r="H582">
            <v>1.2</v>
          </cell>
          <cell r="I582" t="str">
            <v>M</v>
          </cell>
        </row>
        <row r="583">
          <cell r="C583" t="str">
            <v>Jumlah lintasan</v>
          </cell>
          <cell r="G583" t="str">
            <v>n</v>
          </cell>
          <cell r="H583">
            <v>8</v>
          </cell>
          <cell r="I583" t="str">
            <v>lintasan</v>
          </cell>
          <cell r="J583" t="str">
            <v>4 x pp</v>
          </cell>
        </row>
        <row r="584">
          <cell r="C584" t="str">
            <v>Faktor efisiensi alat</v>
          </cell>
          <cell r="G584" t="str">
            <v>Fa</v>
          </cell>
          <cell r="H584">
            <v>0.83</v>
          </cell>
          <cell r="I584" t="str">
            <v>-</v>
          </cell>
        </row>
        <row r="586">
          <cell r="C586" t="str">
            <v xml:space="preserve">Kap. Prod. / Jam = </v>
          </cell>
          <cell r="D586" t="str">
            <v>(v x 1000) x b x t x Fa</v>
          </cell>
          <cell r="G586" t="str">
            <v>Q4</v>
          </cell>
          <cell r="H586">
            <v>56.024999999999999</v>
          </cell>
          <cell r="I586" t="str">
            <v>M3</v>
          </cell>
        </row>
        <row r="587">
          <cell r="D587" t="str">
            <v>n</v>
          </cell>
        </row>
        <row r="589">
          <cell r="C589" t="str">
            <v>Koefisien Alat / M3</v>
          </cell>
          <cell r="D589" t="str">
            <v xml:space="preserve"> = 1/ Q4</v>
          </cell>
          <cell r="G589" t="str">
            <v>(E19)</v>
          </cell>
          <cell r="H589">
            <v>1.7849174475680501E-2</v>
          </cell>
          <cell r="I589" t="str">
            <v>Jam</v>
          </cell>
        </row>
        <row r="591">
          <cell r="A591" t="str">
            <v>2.e.</v>
          </cell>
          <cell r="C591" t="str">
            <v>PNEUMATIC TIRE ROLLER</v>
          </cell>
          <cell r="G591" t="str">
            <v>(E18)</v>
          </cell>
        </row>
        <row r="592">
          <cell r="C592" t="str">
            <v>Kecepatan rata-rata alat</v>
          </cell>
          <cell r="G592" t="str">
            <v>v</v>
          </cell>
          <cell r="H592">
            <v>5</v>
          </cell>
          <cell r="I592" t="str">
            <v>Km / Jam</v>
          </cell>
        </row>
        <row r="593">
          <cell r="C593" t="str">
            <v>Lebar efektif pemadatan</v>
          </cell>
          <cell r="G593" t="str">
            <v>b</v>
          </cell>
          <cell r="H593">
            <v>1.5</v>
          </cell>
          <cell r="I593" t="str">
            <v>M</v>
          </cell>
        </row>
        <row r="594">
          <cell r="C594" t="str">
            <v>Jumlah lintasan</v>
          </cell>
          <cell r="G594" t="str">
            <v>n</v>
          </cell>
          <cell r="H594">
            <v>8</v>
          </cell>
          <cell r="I594" t="str">
            <v>lintasan</v>
          </cell>
          <cell r="J594" t="str">
            <v>4 x pp</v>
          </cell>
        </row>
        <row r="595">
          <cell r="C595" t="str">
            <v>Faktor efisiensi alat</v>
          </cell>
          <cell r="G595" t="str">
            <v>Fa</v>
          </cell>
          <cell r="H595">
            <v>0.83</v>
          </cell>
          <cell r="I595" t="str">
            <v>-</v>
          </cell>
        </row>
        <row r="598">
          <cell r="J598" t="str">
            <v>Berlanjut ke halaman berikut</v>
          </cell>
        </row>
        <row r="599">
          <cell r="A599" t="str">
            <v>ITEM PEMBAYARAN NO.</v>
          </cell>
          <cell r="D599" t="str">
            <v>:  4.2 (3)</v>
          </cell>
          <cell r="J599" t="str">
            <v>Analisa EI-423</v>
          </cell>
        </row>
        <row r="600">
          <cell r="A600" t="str">
            <v>JENIS PEKERJAAN</v>
          </cell>
          <cell r="D600" t="str">
            <v>:  Lapis Pondasi Semen Tanah</v>
          </cell>
        </row>
        <row r="601">
          <cell r="A601" t="str">
            <v>SATUAN PEMBAYARAN</v>
          </cell>
          <cell r="D601" t="str">
            <v>:  M3</v>
          </cell>
          <cell r="J601" t="str">
            <v xml:space="preserve">         URAIAN ANALISA HARGA SATUAN</v>
          </cell>
        </row>
        <row r="602">
          <cell r="J602" t="str">
            <v>Lanjutan</v>
          </cell>
        </row>
        <row r="604">
          <cell r="A604" t="str">
            <v>No.</v>
          </cell>
          <cell r="C604" t="str">
            <v>U R A I A N</v>
          </cell>
          <cell r="G604" t="str">
            <v>KODE</v>
          </cell>
          <cell r="H604" t="str">
            <v>KOEF.</v>
          </cell>
          <cell r="I604" t="str">
            <v>SATUAN</v>
          </cell>
          <cell r="J604" t="str">
            <v>KETERANGAN</v>
          </cell>
        </row>
        <row r="607">
          <cell r="C607" t="str">
            <v xml:space="preserve">Kap. Prod. / Jam = </v>
          </cell>
          <cell r="D607" t="str">
            <v>(v x 1000) x b x t x Fa</v>
          </cell>
          <cell r="G607" t="str">
            <v>Q5</v>
          </cell>
          <cell r="H607">
            <v>116.71875</v>
          </cell>
          <cell r="I607" t="str">
            <v>M3</v>
          </cell>
        </row>
        <row r="608">
          <cell r="D608" t="str">
            <v>n</v>
          </cell>
        </row>
        <row r="610">
          <cell r="C610" t="str">
            <v>Koefisien Alat / M3</v>
          </cell>
          <cell r="D610" t="str">
            <v xml:space="preserve"> = 1 / Q5</v>
          </cell>
          <cell r="G610" t="str">
            <v>(E18)</v>
          </cell>
          <cell r="H610">
            <v>8.5676037483266403E-3</v>
          </cell>
          <cell r="I610" t="str">
            <v>Jam</v>
          </cell>
        </row>
        <row r="612">
          <cell r="A612" t="str">
            <v>2.e.</v>
          </cell>
          <cell r="C612" t="str">
            <v>WATER TANK TRUCK</v>
          </cell>
          <cell r="G612" t="str">
            <v>(E23)</v>
          </cell>
        </row>
        <row r="613">
          <cell r="C613" t="str">
            <v>Volume Tangki air</v>
          </cell>
          <cell r="G613" t="str">
            <v>V</v>
          </cell>
          <cell r="H613">
            <v>4</v>
          </cell>
          <cell r="I613" t="str">
            <v>M3</v>
          </cell>
        </row>
        <row r="614">
          <cell r="C614" t="str">
            <v>Kebutuhan air / M3 material padat</v>
          </cell>
          <cell r="G614" t="str">
            <v>Wc</v>
          </cell>
          <cell r="H614">
            <v>7.0000000000000007E-2</v>
          </cell>
          <cell r="I614" t="str">
            <v>M3</v>
          </cell>
        </row>
        <row r="615">
          <cell r="C615" t="str">
            <v>Pengisian tanhgki / jam</v>
          </cell>
          <cell r="G615" t="str">
            <v>n</v>
          </cell>
          <cell r="H615">
            <v>3</v>
          </cell>
          <cell r="I615" t="str">
            <v>kali</v>
          </cell>
        </row>
        <row r="616">
          <cell r="C616" t="str">
            <v>Faktor efisiensi alat</v>
          </cell>
          <cell r="G616" t="str">
            <v>Fa</v>
          </cell>
          <cell r="H616">
            <v>0.83</v>
          </cell>
          <cell r="I616" t="str">
            <v>-</v>
          </cell>
        </row>
        <row r="618">
          <cell r="C618" t="str">
            <v>Kap. Prod. / Jam  =</v>
          </cell>
          <cell r="D618" t="str">
            <v>V x n x Fa</v>
          </cell>
          <cell r="G618" t="str">
            <v>Q6</v>
          </cell>
          <cell r="H618">
            <v>142.28571428571425</v>
          </cell>
          <cell r="I618" t="str">
            <v>M3</v>
          </cell>
        </row>
        <row r="619">
          <cell r="D619" t="str">
            <v>Wc</v>
          </cell>
        </row>
        <row r="621">
          <cell r="C621" t="str">
            <v>Koefisien Alat / M3</v>
          </cell>
          <cell r="D621" t="str">
            <v xml:space="preserve">  = 1 / Q6</v>
          </cell>
          <cell r="G621" t="str">
            <v>(E23)</v>
          </cell>
          <cell r="H621">
            <v>7.0281124497991983E-3</v>
          </cell>
          <cell r="I621" t="str">
            <v>Jam</v>
          </cell>
        </row>
        <row r="623">
          <cell r="A623" t="str">
            <v>2.f.</v>
          </cell>
          <cell r="C623" t="str">
            <v>FULVI MIXER</v>
          </cell>
          <cell r="G623" t="str">
            <v>(E27)</v>
          </cell>
        </row>
        <row r="624">
          <cell r="C624" t="str">
            <v>Kecepatan rata-rata alat</v>
          </cell>
          <cell r="G624" t="str">
            <v>v</v>
          </cell>
          <cell r="H624">
            <v>2.5</v>
          </cell>
          <cell r="I624" t="str">
            <v>Km / Jam</v>
          </cell>
        </row>
        <row r="625">
          <cell r="C625" t="str">
            <v>Lebar efektif pemadatan</v>
          </cell>
          <cell r="G625" t="str">
            <v>b</v>
          </cell>
          <cell r="H625">
            <v>1</v>
          </cell>
          <cell r="I625" t="str">
            <v>M</v>
          </cell>
        </row>
        <row r="626">
          <cell r="C626" t="str">
            <v>Jumlah lintasan</v>
          </cell>
          <cell r="G626" t="str">
            <v>n</v>
          </cell>
          <cell r="H626">
            <v>6</v>
          </cell>
          <cell r="I626" t="str">
            <v>lintasan</v>
          </cell>
          <cell r="J626" t="str">
            <v>3 x pp</v>
          </cell>
        </row>
        <row r="627">
          <cell r="C627" t="str">
            <v>Faktor efisiensi alat</v>
          </cell>
          <cell r="G627" t="str">
            <v>Fa</v>
          </cell>
          <cell r="H627">
            <v>0.83</v>
          </cell>
          <cell r="I627" t="str">
            <v>-</v>
          </cell>
        </row>
        <row r="629">
          <cell r="C629" t="str">
            <v xml:space="preserve">Kap. Prod. / Jam = </v>
          </cell>
          <cell r="D629" t="str">
            <v>(v x 1000) x b x t x Fa</v>
          </cell>
          <cell r="G629" t="str">
            <v>Q7</v>
          </cell>
          <cell r="H629">
            <v>51.875</v>
          </cell>
          <cell r="I629" t="str">
            <v>M3</v>
          </cell>
        </row>
        <row r="630">
          <cell r="D630" t="str">
            <v>n</v>
          </cell>
        </row>
        <row r="632">
          <cell r="C632" t="str">
            <v>Koefisien Alat / M3</v>
          </cell>
          <cell r="D632" t="str">
            <v xml:space="preserve">  = 1 / Q7</v>
          </cell>
          <cell r="G632" t="str">
            <v>(E27)</v>
          </cell>
          <cell r="H632">
            <v>1.9277108433734941E-2</v>
          </cell>
          <cell r="I632" t="str">
            <v>Jam</v>
          </cell>
        </row>
        <row r="634">
          <cell r="A634" t="str">
            <v>2.g.</v>
          </cell>
          <cell r="C634" t="str">
            <v>ALAT BANTU</v>
          </cell>
        </row>
        <row r="635">
          <cell r="C635" t="str">
            <v>Diperlukan :</v>
          </cell>
          <cell r="J635" t="str">
            <v>Lump Sump</v>
          </cell>
        </row>
        <row r="636">
          <cell r="C636" t="str">
            <v>- Kereta dorong  = 2 buah</v>
          </cell>
        </row>
        <row r="637">
          <cell r="C637" t="str">
            <v>- Sekop             = 3 buah</v>
          </cell>
        </row>
        <row r="639">
          <cell r="A639" t="str">
            <v>3.</v>
          </cell>
          <cell r="C639" t="str">
            <v>TENAGA</v>
          </cell>
        </row>
        <row r="640">
          <cell r="C640" t="str">
            <v>Produksi menetukan : VIBRATOR ROLLER</v>
          </cell>
          <cell r="G640" t="str">
            <v>Q4</v>
          </cell>
          <cell r="H640">
            <v>56.024999999999999</v>
          </cell>
          <cell r="I640" t="str">
            <v>M3/Jam</v>
          </cell>
        </row>
        <row r="641">
          <cell r="C641" t="str">
            <v>Produksi Soil Cement / hari  = Tk x Q4</v>
          </cell>
          <cell r="G641" t="str">
            <v>Qt</v>
          </cell>
          <cell r="H641">
            <v>392.17500000000001</v>
          </cell>
          <cell r="I641" t="str">
            <v>M3</v>
          </cell>
        </row>
        <row r="642">
          <cell r="C642" t="str">
            <v>Kebutuhan tenaga  :</v>
          </cell>
        </row>
        <row r="643">
          <cell r="D643" t="str">
            <v>- Pekerja</v>
          </cell>
          <cell r="G643" t="str">
            <v>P</v>
          </cell>
          <cell r="H643">
            <v>7</v>
          </cell>
          <cell r="I643" t="str">
            <v>orang</v>
          </cell>
        </row>
        <row r="644">
          <cell r="D644" t="str">
            <v>- Mandor</v>
          </cell>
          <cell r="G644" t="str">
            <v>M</v>
          </cell>
          <cell r="H644">
            <v>1</v>
          </cell>
          <cell r="I644" t="str">
            <v>orang</v>
          </cell>
        </row>
        <row r="646">
          <cell r="C646" t="str">
            <v>Koefisien tenaga / M3  :</v>
          </cell>
        </row>
        <row r="647">
          <cell r="D647" t="str">
            <v>- Pekerja</v>
          </cell>
          <cell r="E647" t="str">
            <v xml:space="preserve">  = (Tk x P) : Qt</v>
          </cell>
          <cell r="G647" t="str">
            <v>(L01)</v>
          </cell>
          <cell r="H647">
            <v>0.12494422132976349</v>
          </cell>
          <cell r="I647" t="str">
            <v>Jam</v>
          </cell>
        </row>
        <row r="648">
          <cell r="D648" t="str">
            <v>- Mandor</v>
          </cell>
          <cell r="E648" t="str">
            <v xml:space="preserve">  = (Tk x M) : Qt</v>
          </cell>
          <cell r="G648" t="str">
            <v>(L03)</v>
          </cell>
          <cell r="H648">
            <v>1.7849174475680501E-2</v>
          </cell>
          <cell r="I648" t="str">
            <v>Jam</v>
          </cell>
        </row>
        <row r="657">
          <cell r="J657" t="str">
            <v>Berlanjut ke halaman berikut</v>
          </cell>
        </row>
        <row r="658">
          <cell r="A658" t="str">
            <v>ITEM PEMBAYARAN NO.</v>
          </cell>
          <cell r="D658" t="str">
            <v>:  4.2 (3)</v>
          </cell>
          <cell r="J658" t="str">
            <v>Analisa EI-423</v>
          </cell>
        </row>
        <row r="659">
          <cell r="A659" t="str">
            <v>JENIS PEKERJAAN</v>
          </cell>
          <cell r="D659" t="str">
            <v>:  Lapis Pondasi Semen Tanah</v>
          </cell>
        </row>
        <row r="660">
          <cell r="A660" t="str">
            <v>SATUAN PEMBAYARAN</v>
          </cell>
          <cell r="D660" t="str">
            <v>:  M3</v>
          </cell>
          <cell r="J660" t="str">
            <v xml:space="preserve">         URAIAN ANALISA HARGA SATUAN</v>
          </cell>
        </row>
        <row r="661">
          <cell r="J661" t="str">
            <v>Lanjutan</v>
          </cell>
        </row>
        <row r="663">
          <cell r="A663" t="str">
            <v>No.</v>
          </cell>
          <cell r="C663" t="str">
            <v>U R A I A N</v>
          </cell>
          <cell r="G663" t="str">
            <v>KODE</v>
          </cell>
          <cell r="H663" t="str">
            <v>KOEF.</v>
          </cell>
          <cell r="I663" t="str">
            <v>SATUAN</v>
          </cell>
          <cell r="J663" t="str">
            <v>KETERANGAN</v>
          </cell>
        </row>
        <row r="666">
          <cell r="A666" t="str">
            <v>4.</v>
          </cell>
          <cell r="C666" t="str">
            <v>HARGA DASAR SATUAN UPAH, BAHAN DAN ALAT</v>
          </cell>
        </row>
        <row r="667">
          <cell r="C667" t="str">
            <v>Lihat lampiran.</v>
          </cell>
        </row>
        <row r="670">
          <cell r="A670" t="str">
            <v>5.</v>
          </cell>
          <cell r="C670" t="str">
            <v>ANALISA HARGA SATUAN PEKERJAAN</v>
          </cell>
        </row>
        <row r="671">
          <cell r="C671" t="str">
            <v>Lihat perhitungan dalam FORMULIR STANDAR UNTUK</v>
          </cell>
        </row>
        <row r="672">
          <cell r="C672" t="str">
            <v>PEREKEMAN ANALISA MASING-MASING HARGA</v>
          </cell>
        </row>
        <row r="673">
          <cell r="C673" t="str">
            <v>SATUAN.</v>
          </cell>
        </row>
        <row r="674">
          <cell r="C674" t="str">
            <v>Didapat Harga Satuan Pekerjaan :</v>
          </cell>
        </row>
        <row r="676">
          <cell r="C676" t="str">
            <v xml:space="preserve">Rp.  </v>
          </cell>
          <cell r="D676">
            <v>79382.237928574963</v>
          </cell>
          <cell r="E676" t="str">
            <v xml:space="preserve"> / M3</v>
          </cell>
        </row>
        <row r="679">
          <cell r="A679" t="str">
            <v>6.</v>
          </cell>
          <cell r="C679" t="str">
            <v>WAKTU PELAKSANAAN YANG DIPERLUKAN</v>
          </cell>
        </row>
        <row r="680">
          <cell r="C680" t="str">
            <v>Waktu pelaksanaan</v>
          </cell>
          <cell r="D680" t="str">
            <v>:  . . . . . . .  bulan</v>
          </cell>
        </row>
        <row r="682">
          <cell r="A682" t="str">
            <v>7.</v>
          </cell>
          <cell r="C682" t="str">
            <v>VOLUME PEKERJAAN YANG DIPERLUKAN</v>
          </cell>
        </row>
        <row r="683">
          <cell r="C683" t="str">
            <v>Volume pekerjaan  :</v>
          </cell>
          <cell r="D683">
            <v>0</v>
          </cell>
          <cell r="E683" t="str">
            <v>M3</v>
          </cell>
        </row>
        <row r="897">
          <cell r="A897" t="str">
            <v>ITEM PEMBAYARAN NO.</v>
          </cell>
          <cell r="D897" t="str">
            <v>:  4.2 (6)</v>
          </cell>
          <cell r="J897" t="str">
            <v>Analisa EI-426</v>
          </cell>
          <cell r="T897" t="str">
            <v>Analisa EI-426</v>
          </cell>
        </row>
        <row r="898">
          <cell r="A898" t="str">
            <v>JENIS PEKERJAAN</v>
          </cell>
          <cell r="D898" t="str">
            <v>:  Aspal Utk. Pekerjaan Pelaburan</v>
          </cell>
        </row>
        <row r="899">
          <cell r="A899" t="str">
            <v>SATUAN PEMBAYARAN</v>
          </cell>
          <cell r="D899" t="str">
            <v>:  LITER</v>
          </cell>
          <cell r="J899" t="str">
            <v xml:space="preserve">         URAIAN ANALISA HARGA SATUAN</v>
          </cell>
          <cell r="L899" t="str">
            <v>FORMULIR STANDAR UNTUK</v>
          </cell>
        </row>
        <row r="900">
          <cell r="L900" t="str">
            <v>PEREKAMAN ANALISA MASING-MASING HARGA SATUAN</v>
          </cell>
        </row>
        <row r="901">
          <cell r="L901" t="str">
            <v/>
          </cell>
        </row>
        <row r="902">
          <cell r="A902" t="str">
            <v>No.</v>
          </cell>
          <cell r="C902" t="str">
            <v>U R A I A N</v>
          </cell>
          <cell r="G902" t="str">
            <v>KODE</v>
          </cell>
          <cell r="H902" t="str">
            <v>KOEF.</v>
          </cell>
          <cell r="I902" t="str">
            <v>SATUAN</v>
          </cell>
          <cell r="J902" t="str">
            <v>KETERANGAN</v>
          </cell>
        </row>
        <row r="904">
          <cell r="L904" t="str">
            <v>PROYEK</v>
          </cell>
          <cell r="O904" t="str">
            <v>:</v>
          </cell>
        </row>
        <row r="905">
          <cell r="A905" t="str">
            <v>I.</v>
          </cell>
          <cell r="C905" t="str">
            <v>ASUMSI</v>
          </cell>
          <cell r="L905" t="str">
            <v>No. PAKET KONTRAK</v>
          </cell>
          <cell r="O905" t="str">
            <v>:</v>
          </cell>
        </row>
        <row r="906">
          <cell r="A906">
            <v>1</v>
          </cell>
          <cell r="C906" t="str">
            <v>Menggunakan alat berat (cara mekanik)</v>
          </cell>
          <cell r="L906" t="str">
            <v>NAMA PAKET</v>
          </cell>
          <cell r="O906" t="str">
            <v>:</v>
          </cell>
        </row>
        <row r="907">
          <cell r="A907">
            <v>2</v>
          </cell>
          <cell r="C907" t="str">
            <v>Lokasi pekerjaan : sepanjang jalan</v>
          </cell>
          <cell r="L907" t="str">
            <v>PROP / KAB / KODYA</v>
          </cell>
          <cell r="O907" t="str">
            <v>:</v>
          </cell>
        </row>
        <row r="908">
          <cell r="A908">
            <v>3</v>
          </cell>
          <cell r="C908" t="str">
            <v>Jarak rata-rata Base Camp ke lokasi pekerjaan</v>
          </cell>
          <cell r="G908" t="str">
            <v>L</v>
          </cell>
          <cell r="H908">
            <v>8.7249999999999996</v>
          </cell>
          <cell r="I908" t="str">
            <v>KM</v>
          </cell>
          <cell r="L908" t="str">
            <v>ITEM PEMBAYARAN NO.</v>
          </cell>
          <cell r="O908" t="str">
            <v>:  4.2 (6)</v>
          </cell>
          <cell r="R908" t="str">
            <v>PERKIRAAN VOL. PEK.</v>
          </cell>
          <cell r="T908" t="str">
            <v>:</v>
          </cell>
          <cell r="U908">
            <v>0</v>
          </cell>
        </row>
        <row r="909">
          <cell r="A909">
            <v>4</v>
          </cell>
          <cell r="C909" t="str">
            <v>Jam kerja efektif per-hari</v>
          </cell>
          <cell r="G909" t="str">
            <v>Tk</v>
          </cell>
          <cell r="H909">
            <v>7</v>
          </cell>
          <cell r="I909" t="str">
            <v>Jam</v>
          </cell>
          <cell r="L909" t="str">
            <v>JENIS PEKERJAAN</v>
          </cell>
          <cell r="O909" t="str">
            <v>:  Aspal Utk. Pekerjaan Pelaburan</v>
          </cell>
          <cell r="R909" t="str">
            <v>TOTAL HARGA (Rp.)</v>
          </cell>
          <cell r="T909" t="str">
            <v>:</v>
          </cell>
          <cell r="U909">
            <v>0</v>
          </cell>
        </row>
        <row r="910">
          <cell r="A910">
            <v>5</v>
          </cell>
          <cell r="C910" t="str">
            <v>Faktor kehilangan bahan</v>
          </cell>
          <cell r="G910" t="str">
            <v>Fh</v>
          </cell>
          <cell r="H910">
            <v>1.1000000000000001</v>
          </cell>
          <cell r="I910" t="str">
            <v>-</v>
          </cell>
          <cell r="L910" t="str">
            <v>SATUAN PEMBAYARAN</v>
          </cell>
          <cell r="O910" t="str">
            <v>:  LITER</v>
          </cell>
          <cell r="R910" t="str">
            <v>% THD. BIAYA PROYEK</v>
          </cell>
          <cell r="T910" t="str">
            <v>:</v>
          </cell>
          <cell r="U910" t="e">
            <v>#DIV/0!</v>
          </cell>
        </row>
        <row r="911">
          <cell r="A911">
            <v>6</v>
          </cell>
          <cell r="C911" t="str">
            <v>Komposisi campuran  :</v>
          </cell>
        </row>
        <row r="912">
          <cell r="A912" t="str">
            <v/>
          </cell>
          <cell r="C912" t="str">
            <v>- Aspal AC - 10 atau AC - 20</v>
          </cell>
          <cell r="G912" t="str">
            <v>As</v>
          </cell>
          <cell r="H912">
            <v>95.238095238095227</v>
          </cell>
          <cell r="I912" t="str">
            <v>%</v>
          </cell>
          <cell r="J912" t="str">
            <v>100 bagian</v>
          </cell>
        </row>
        <row r="913">
          <cell r="A913" t="str">
            <v/>
          </cell>
          <cell r="C913" t="str">
            <v>- Minyak Tanah / Pencair</v>
          </cell>
          <cell r="G913" t="str">
            <v>K</v>
          </cell>
          <cell r="H913">
            <v>4.7619047619047734</v>
          </cell>
          <cell r="I913" t="str">
            <v>%</v>
          </cell>
          <cell r="J913" t="str">
            <v>5 bagian</v>
          </cell>
          <cell r="Q913" t="str">
            <v>PERKIRAAN</v>
          </cell>
          <cell r="R913" t="str">
            <v>HARGA</v>
          </cell>
          <cell r="S913" t="str">
            <v>JUMLAH</v>
          </cell>
        </row>
        <row r="914">
          <cell r="A914">
            <v>7</v>
          </cell>
          <cell r="C914" t="str">
            <v>Berat jenis bahan  :</v>
          </cell>
          <cell r="L914" t="str">
            <v>NO.</v>
          </cell>
          <cell r="N914" t="str">
            <v>KOMPONEN</v>
          </cell>
          <cell r="P914" t="str">
            <v>SATUAN</v>
          </cell>
          <cell r="Q914" t="str">
            <v>KUANTITAS</v>
          </cell>
          <cell r="R914" t="str">
            <v>SATUAN</v>
          </cell>
          <cell r="S914" t="str">
            <v>HARGA</v>
          </cell>
        </row>
        <row r="915">
          <cell r="C915" t="str">
            <v>- Aspal AC - 10 atau AC - 20</v>
          </cell>
          <cell r="G915" t="str">
            <v>D1</v>
          </cell>
          <cell r="H915">
            <v>1.05</v>
          </cell>
          <cell r="I915" t="str">
            <v>Kg / Ltr</v>
          </cell>
          <cell r="R915" t="str">
            <v>(Rp.)</v>
          </cell>
          <cell r="S915" t="str">
            <v>(Rp.)</v>
          </cell>
        </row>
        <row r="916">
          <cell r="C916" t="str">
            <v>- Minyak Tanah / Pencair</v>
          </cell>
          <cell r="G916" t="str">
            <v>D2</v>
          </cell>
          <cell r="H916">
            <v>0.8</v>
          </cell>
          <cell r="I916" t="str">
            <v>Kg / Ltr</v>
          </cell>
        </row>
        <row r="917">
          <cell r="A917">
            <v>8</v>
          </cell>
          <cell r="C917" t="str">
            <v>Bahan dasar (aspal &amp; minyak pencair) semuanya</v>
          </cell>
        </row>
        <row r="918">
          <cell r="C918" t="str">
            <v>diterima dilokasi pekerjaan</v>
          </cell>
          <cell r="L918" t="str">
            <v>A.</v>
          </cell>
          <cell r="N918" t="str">
            <v>TENAGA</v>
          </cell>
        </row>
        <row r="919">
          <cell r="A919" t="str">
            <v/>
          </cell>
          <cell r="C919" t="str">
            <v/>
          </cell>
        </row>
        <row r="920">
          <cell r="A920" t="str">
            <v>II.</v>
          </cell>
          <cell r="C920" t="str">
            <v>URUTAN KERJA</v>
          </cell>
          <cell r="L920" t="str">
            <v>1.</v>
          </cell>
          <cell r="N920" t="str">
            <v>Pekerja</v>
          </cell>
          <cell r="O920" t="str">
            <v>(L01)</v>
          </cell>
          <cell r="P920" t="str">
            <v>Jam</v>
          </cell>
          <cell r="Q920">
            <v>2.8348688873139617E-2</v>
          </cell>
          <cell r="R920">
            <v>2857.14</v>
          </cell>
          <cell r="U920">
            <v>80.996172927002121</v>
          </cell>
        </row>
        <row r="921">
          <cell r="A921">
            <v>1</v>
          </cell>
          <cell r="C921" t="str">
            <v>Aspal dan minyak tanah dicampur dan dipanaskan</v>
          </cell>
          <cell r="L921" t="str">
            <v>2.</v>
          </cell>
          <cell r="N921" t="str">
            <v>Mandor</v>
          </cell>
          <cell r="O921" t="str">
            <v>(L03)</v>
          </cell>
          <cell r="P921" t="str">
            <v>Jam</v>
          </cell>
          <cell r="Q921">
            <v>2.8348688873139618E-3</v>
          </cell>
          <cell r="R921">
            <v>3214.29</v>
          </cell>
          <cell r="U921">
            <v>9.1120907158043938</v>
          </cell>
        </row>
        <row r="922">
          <cell r="C922" t="str">
            <v>sehingga menjadi campuran aspal cair</v>
          </cell>
        </row>
        <row r="923">
          <cell r="A923">
            <v>2</v>
          </cell>
          <cell r="C923" t="str">
            <v>Permukaan yang akan dilapis dibersihkan dari debu</v>
          </cell>
        </row>
        <row r="924">
          <cell r="C924" t="str">
            <v>dan kotoran dengan Air Compresor</v>
          </cell>
          <cell r="Q924" t="str">
            <v xml:space="preserve">JUMLAH HARGA TENAGA   </v>
          </cell>
          <cell r="U924">
            <v>90.10826364280652</v>
          </cell>
        </row>
        <row r="925">
          <cell r="A925">
            <v>3</v>
          </cell>
          <cell r="C925" t="str">
            <v>Campuran aspal cair disemprotkan dengan Asphalt</v>
          </cell>
        </row>
        <row r="926">
          <cell r="C926" t="str">
            <v>Sprayer ke atas permukaan yang akan dilapis</v>
          </cell>
          <cell r="L926" t="str">
            <v>B.</v>
          </cell>
          <cell r="N926" t="str">
            <v>BAHAN</v>
          </cell>
        </row>
        <row r="927">
          <cell r="A927">
            <v>4</v>
          </cell>
          <cell r="C927" t="str">
            <v>Angkutan Aspal dan Minyak Tanah menggunakan</v>
          </cell>
          <cell r="Q927" t="str">
            <v/>
          </cell>
        </row>
        <row r="928">
          <cell r="C928" t="str">
            <v>Dump Truck</v>
          </cell>
          <cell r="L928" t="str">
            <v>1.</v>
          </cell>
          <cell r="N928" t="str">
            <v>Aspal</v>
          </cell>
          <cell r="O928" t="str">
            <v>(M10)</v>
          </cell>
          <cell r="P928" t="str">
            <v>Kg</v>
          </cell>
          <cell r="Q928">
            <v>1.1000000000000001</v>
          </cell>
          <cell r="R928">
            <v>2086.6280000000002</v>
          </cell>
          <cell r="U928">
            <v>2295.2908000000002</v>
          </cell>
        </row>
        <row r="929">
          <cell r="L929" t="str">
            <v>2.</v>
          </cell>
          <cell r="N929" t="str">
            <v>Minyak Tanah</v>
          </cell>
          <cell r="O929" t="str">
            <v>(M11)</v>
          </cell>
          <cell r="P929" t="str">
            <v>Liter</v>
          </cell>
          <cell r="Q929">
            <v>5.2380952380952514E-2</v>
          </cell>
          <cell r="R929">
            <v>1650</v>
          </cell>
          <cell r="U929">
            <v>86.428571428571644</v>
          </cell>
        </row>
        <row r="930">
          <cell r="A930" t="str">
            <v>III.</v>
          </cell>
          <cell r="C930" t="str">
            <v>PEMAKAIAN BAHAN, ALAT DAN TENAGA</v>
          </cell>
        </row>
        <row r="932">
          <cell r="A932" t="str">
            <v xml:space="preserve">   1.</v>
          </cell>
          <cell r="C932" t="str">
            <v>BAHAN</v>
          </cell>
        </row>
        <row r="933">
          <cell r="C933" t="str">
            <v>Untuk mendapatkan 1 liter Lapis resap Pengikat</v>
          </cell>
        </row>
        <row r="934">
          <cell r="C934" t="str">
            <v>diperlukan :</v>
          </cell>
          <cell r="D934" t="str">
            <v>(1 liter x Fh)</v>
          </cell>
          <cell r="G934" t="str">
            <v>Pc</v>
          </cell>
          <cell r="H934">
            <v>1.1000000000000001</v>
          </cell>
          <cell r="I934" t="str">
            <v>liter</v>
          </cell>
          <cell r="J934" t="str">
            <v>Campuran</v>
          </cell>
          <cell r="Q934" t="str">
            <v xml:space="preserve">JUMLAH HARGA BAHAN   </v>
          </cell>
          <cell r="U934">
            <v>2381.7193714285718</v>
          </cell>
        </row>
        <row r="936">
          <cell r="C936" t="str">
            <v>Aspal</v>
          </cell>
          <cell r="D936" t="str">
            <v>= As x Pc x D1 : 100</v>
          </cell>
          <cell r="G936" t="str">
            <v>(M10)</v>
          </cell>
          <cell r="H936">
            <v>1.1000000000000001</v>
          </cell>
          <cell r="I936" t="str">
            <v>Kg</v>
          </cell>
          <cell r="L936" t="str">
            <v>C.</v>
          </cell>
          <cell r="N936" t="str">
            <v>PERALATAN</v>
          </cell>
        </row>
        <row r="937">
          <cell r="C937" t="str">
            <v>Minyak Tanah</v>
          </cell>
          <cell r="D937" t="str">
            <v>= K x Pc : 100</v>
          </cell>
          <cell r="G937" t="str">
            <v>(M11)</v>
          </cell>
          <cell r="H937">
            <v>5.2380952380952514E-2</v>
          </cell>
          <cell r="I937" t="str">
            <v>liter</v>
          </cell>
        </row>
        <row r="938">
          <cell r="L938" t="str">
            <v>1.</v>
          </cell>
          <cell r="N938" t="str">
            <v>Asphalt Sprayer  (E03)</v>
          </cell>
          <cell r="P938" t="str">
            <v>Jam</v>
          </cell>
          <cell r="Q938">
            <v>2.8348688873139618E-3</v>
          </cell>
          <cell r="R938">
            <v>30575.535383788432</v>
          </cell>
          <cell r="U938">
            <v>86.677633972468982</v>
          </cell>
        </row>
        <row r="939">
          <cell r="A939" t="str">
            <v>2.</v>
          </cell>
          <cell r="C939" t="str">
            <v>ALAT</v>
          </cell>
          <cell r="L939" t="str">
            <v>2.</v>
          </cell>
          <cell r="N939" t="str">
            <v>Air Compresor    (E05)</v>
          </cell>
          <cell r="P939" t="str">
            <v>Jam</v>
          </cell>
          <cell r="Q939">
            <v>1.7857142857142857E-3</v>
          </cell>
          <cell r="R939">
            <v>53840.365312835944</v>
          </cell>
          <cell r="U939">
            <v>96.143509487207041</v>
          </cell>
        </row>
        <row r="940">
          <cell r="A940" t="str">
            <v>2.a.</v>
          </cell>
          <cell r="C940" t="str">
            <v>APHALT SPRAYER</v>
          </cell>
          <cell r="G940" t="str">
            <v>(E03)</v>
          </cell>
          <cell r="L940" t="str">
            <v>3.</v>
          </cell>
          <cell r="N940" t="str">
            <v>Dump Truck</v>
          </cell>
          <cell r="O940" t="str">
            <v>(E08)</v>
          </cell>
          <cell r="P940" t="str">
            <v>Jam</v>
          </cell>
          <cell r="Q940">
            <v>2.8348688873139618E-3</v>
          </cell>
          <cell r="R940">
            <v>153645.58193291764</v>
          </cell>
          <cell r="U940">
            <v>435.56507989487642</v>
          </cell>
        </row>
        <row r="941">
          <cell r="C941" t="str">
            <v>Kapasitas alat</v>
          </cell>
          <cell r="G941" t="str">
            <v>V</v>
          </cell>
          <cell r="H941">
            <v>850</v>
          </cell>
          <cell r="I941" t="str">
            <v>liter</v>
          </cell>
        </row>
        <row r="942">
          <cell r="C942" t="str">
            <v>Faktor Efisiensi Alat</v>
          </cell>
          <cell r="G942" t="str">
            <v>Fa</v>
          </cell>
          <cell r="H942">
            <v>0.83</v>
          </cell>
          <cell r="I942" t="str">
            <v>-</v>
          </cell>
        </row>
        <row r="943">
          <cell r="C943" t="str">
            <v>Waktu Siklus (termasuk proses pemanasan)</v>
          </cell>
          <cell r="G943" t="str">
            <v>Ts</v>
          </cell>
          <cell r="H943">
            <v>2</v>
          </cell>
          <cell r="I943" t="str">
            <v>Jam</v>
          </cell>
        </row>
        <row r="945">
          <cell r="C945" t="str">
            <v>Kap.Prod. / jam =</v>
          </cell>
          <cell r="D945" t="str">
            <v>V x Fa</v>
          </cell>
          <cell r="G945" t="str">
            <v>Q1</v>
          </cell>
          <cell r="H945">
            <v>352.75</v>
          </cell>
          <cell r="I945" t="str">
            <v>liter</v>
          </cell>
        </row>
        <row r="946">
          <cell r="D946" t="str">
            <v>Ts</v>
          </cell>
          <cell r="Q946" t="str">
            <v xml:space="preserve">JUMLAH HARGA PERALATAN   </v>
          </cell>
          <cell r="U946">
            <v>618.38622335455238</v>
          </cell>
        </row>
        <row r="947">
          <cell r="C947" t="str">
            <v>Koefisien Alat / Ltr</v>
          </cell>
          <cell r="D947" t="str">
            <v xml:space="preserve"> = 1 : Q1</v>
          </cell>
          <cell r="G947" t="str">
            <v>(E03)</v>
          </cell>
          <cell r="H947">
            <v>2.8348688873139618E-3</v>
          </cell>
          <cell r="I947" t="str">
            <v>Jam</v>
          </cell>
        </row>
        <row r="948">
          <cell r="L948" t="str">
            <v>D.</v>
          </cell>
          <cell r="N948" t="str">
            <v>JUMLAH HARGA TENAGA, BAHAN DAN PERALATAN  ( A + B + C )</v>
          </cell>
          <cell r="U948">
            <v>3090.2138584259305</v>
          </cell>
        </row>
        <row r="949">
          <cell r="A949" t="str">
            <v>2.b.</v>
          </cell>
          <cell r="C949" t="str">
            <v>AIR COMPRESOR</v>
          </cell>
          <cell r="G949" t="str">
            <v>(E05)</v>
          </cell>
          <cell r="L949" t="str">
            <v>E.</v>
          </cell>
          <cell r="N949" t="str">
            <v>OVERHEAD &amp; PROFIT</v>
          </cell>
          <cell r="P949">
            <v>10</v>
          </cell>
          <cell r="Q949" t="str">
            <v>%  x  D</v>
          </cell>
          <cell r="U949">
            <v>309.02138584259308</v>
          </cell>
        </row>
        <row r="950">
          <cell r="C950" t="str">
            <v>Kapasitas Alat ------&gt;&gt;  diambil</v>
          </cell>
          <cell r="G950" t="str">
            <v>V</v>
          </cell>
          <cell r="H950">
            <v>700</v>
          </cell>
          <cell r="I950" t="str">
            <v>M2 / Jam</v>
          </cell>
          <cell r="L950" t="str">
            <v>F.</v>
          </cell>
          <cell r="N950" t="str">
            <v>HARGA SATUAN PEKERJAAN  ( D + E )</v>
          </cell>
          <cell r="U950">
            <v>3399.2352442685237</v>
          </cell>
        </row>
        <row r="951">
          <cell r="C951" t="str">
            <v>Aplikasi rata-rata</v>
          </cell>
          <cell r="G951" t="str">
            <v>Ap</v>
          </cell>
          <cell r="H951">
            <v>0.8</v>
          </cell>
          <cell r="I951" t="str">
            <v>liter / M2</v>
          </cell>
          <cell r="L951" t="str">
            <v>Note: 1</v>
          </cell>
          <cell r="N951" t="str">
            <v>SATUAN dapat berdasarkan atas jam operasi untuk Tenaga Kerja dan Peralatan, volume dan/atau ukuran</v>
          </cell>
        </row>
        <row r="952">
          <cell r="N952" t="str">
            <v>berat untuk bahan-bahan.</v>
          </cell>
        </row>
        <row r="953">
          <cell r="C953" t="str">
            <v xml:space="preserve">Kap. Prod. / jam = </v>
          </cell>
          <cell r="D953" t="str">
            <v>(V x Ap)</v>
          </cell>
          <cell r="G953" t="str">
            <v>Q2</v>
          </cell>
          <cell r="H953">
            <v>560</v>
          </cell>
          <cell r="I953" t="str">
            <v>liter</v>
          </cell>
          <cell r="L953">
            <v>2</v>
          </cell>
          <cell r="N953" t="str">
            <v>Kuantitas satuan adalah kuantitas setiap komponen untuk menyelesaikan satu satuan pekerjaan dari nomor</v>
          </cell>
        </row>
        <row r="954">
          <cell r="N954" t="str">
            <v>mata pembayaran.</v>
          </cell>
        </row>
        <row r="955">
          <cell r="C955" t="str">
            <v>Koefisien Alat / Ltr</v>
          </cell>
          <cell r="D955" t="str">
            <v xml:space="preserve"> = 1 : Q2</v>
          </cell>
          <cell r="G955" t="str">
            <v>(E05)</v>
          </cell>
          <cell r="H955">
            <v>1.7857142857142857E-3</v>
          </cell>
          <cell r="I955" t="str">
            <v>Jam</v>
          </cell>
          <cell r="L955">
            <v>3</v>
          </cell>
          <cell r="N955" t="str">
            <v>Biaya satuan untuk peralatan sudah termasuk bahan bakar, bahan habis dipakai dan operator.</v>
          </cell>
        </row>
        <row r="956">
          <cell r="L956">
            <v>4</v>
          </cell>
          <cell r="N956" t="str">
            <v>Biaya satuan sudah termasuk pengeluaran untuk seluruh pajak yang berkaitan (tetapi tidak termasuk PPN</v>
          </cell>
        </row>
        <row r="957">
          <cell r="J957" t="str">
            <v>Berlanjut ke halaman berikut</v>
          </cell>
          <cell r="N957" t="str">
            <v>yang dibayar dari kontrak) dan biaya-biaya lainnya.</v>
          </cell>
        </row>
        <row r="958">
          <cell r="A958" t="str">
            <v>ITEM PEMBAYARAN NO.</v>
          </cell>
          <cell r="D958" t="str">
            <v>:  4.2 (6)</v>
          </cell>
          <cell r="J958" t="str">
            <v>Analisa EI-426</v>
          </cell>
        </row>
        <row r="959">
          <cell r="A959" t="str">
            <v xml:space="preserve">JENIS PEKERJAAN                                  </v>
          </cell>
          <cell r="D959" t="str">
            <v>:  Aspal Utk. Pekerjaan Pelaburan</v>
          </cell>
        </row>
        <row r="960">
          <cell r="A960" t="str">
            <v>SATUAN PEMBAYARAN</v>
          </cell>
          <cell r="D960" t="str">
            <v>:  LITER</v>
          </cell>
          <cell r="J960" t="str">
            <v xml:space="preserve">         URAIAN ANALISA HARGA SATUAN</v>
          </cell>
        </row>
        <row r="961">
          <cell r="J961" t="str">
            <v>Lanjutan</v>
          </cell>
        </row>
        <row r="963">
          <cell r="A963" t="str">
            <v>No.</v>
          </cell>
          <cell r="C963" t="str">
            <v>U R A I A N</v>
          </cell>
          <cell r="G963" t="str">
            <v>KODE</v>
          </cell>
          <cell r="H963" t="str">
            <v>KOEF.</v>
          </cell>
          <cell r="I963" t="str">
            <v>SATUAN</v>
          </cell>
          <cell r="J963" t="str">
            <v>KETERANGAN</v>
          </cell>
        </row>
        <row r="966">
          <cell r="A966" t="str">
            <v>2.c.</v>
          </cell>
          <cell r="C966" t="str">
            <v>DUMP TRUCK (DT)</v>
          </cell>
          <cell r="G966" t="str">
            <v>(E08)</v>
          </cell>
        </row>
        <row r="967">
          <cell r="C967" t="str">
            <v>Sebagai alat pengangkut bahan dilokasi pekerjaan</v>
          </cell>
        </row>
        <row r="968">
          <cell r="C968" t="str">
            <v>Dump Truck melayani alat Asphalt Sprayer.</v>
          </cell>
        </row>
        <row r="969">
          <cell r="C969" t="str">
            <v>Kap.Prod. / jam = sama dengan Asphalt Sprayer</v>
          </cell>
          <cell r="G969" t="str">
            <v>Q3</v>
          </cell>
          <cell r="H969">
            <v>352.75</v>
          </cell>
          <cell r="I969" t="str">
            <v>liter</v>
          </cell>
        </row>
        <row r="971">
          <cell r="C971" t="str">
            <v>Koefisien Alat / Ltr</v>
          </cell>
          <cell r="D971" t="str">
            <v xml:space="preserve"> = 1 : Q3</v>
          </cell>
          <cell r="G971" t="str">
            <v>(E08)</v>
          </cell>
          <cell r="H971">
            <v>2.8348688873139618E-3</v>
          </cell>
          <cell r="I971" t="str">
            <v>Jam</v>
          </cell>
        </row>
        <row r="973">
          <cell r="A973" t="str">
            <v>3.</v>
          </cell>
          <cell r="C973" t="str">
            <v>TENAGA</v>
          </cell>
        </row>
        <row r="974">
          <cell r="C974" t="str">
            <v>Produksi menentukan : ASPHALT SPRAYER</v>
          </cell>
          <cell r="G974" t="str">
            <v>Q1</v>
          </cell>
          <cell r="H974">
            <v>352.75</v>
          </cell>
          <cell r="I974" t="str">
            <v>Ltr/Jam</v>
          </cell>
        </row>
        <row r="975">
          <cell r="C975" t="str">
            <v>Produksi / hari  =  Tk x Q1</v>
          </cell>
          <cell r="G975" t="str">
            <v>Qt</v>
          </cell>
          <cell r="H975">
            <v>2469.25</v>
          </cell>
          <cell r="I975" t="str">
            <v>Liter</v>
          </cell>
        </row>
        <row r="976">
          <cell r="C976" t="str">
            <v>Kebutuhan tenaga :</v>
          </cell>
        </row>
        <row r="977">
          <cell r="D977" t="str">
            <v>- Pekerja</v>
          </cell>
          <cell r="G977" t="str">
            <v>P</v>
          </cell>
          <cell r="H977">
            <v>10</v>
          </cell>
          <cell r="I977" t="str">
            <v>orang</v>
          </cell>
        </row>
        <row r="978">
          <cell r="D978" t="str">
            <v>- Mandor</v>
          </cell>
          <cell r="G978" t="str">
            <v>M</v>
          </cell>
          <cell r="H978">
            <v>1</v>
          </cell>
          <cell r="I978" t="str">
            <v>orang</v>
          </cell>
        </row>
        <row r="980">
          <cell r="C980" t="str">
            <v>Koefisien Tenaga / Ltr     :</v>
          </cell>
        </row>
        <row r="981">
          <cell r="D981" t="str">
            <v>- Pekerja</v>
          </cell>
          <cell r="E981" t="str">
            <v>= (Tk x P) / Qt</v>
          </cell>
          <cell r="G981" t="str">
            <v>(L01)</v>
          </cell>
          <cell r="H981">
            <v>2.8348688873139617E-2</v>
          </cell>
          <cell r="I981" t="str">
            <v>Jam</v>
          </cell>
        </row>
        <row r="982">
          <cell r="D982" t="str">
            <v>- Mandor</v>
          </cell>
          <cell r="E982" t="str">
            <v>= (Tk x M) / Qt</v>
          </cell>
          <cell r="G982" t="str">
            <v>(L03)</v>
          </cell>
          <cell r="H982">
            <v>2.8348688873139618E-3</v>
          </cell>
          <cell r="I982" t="str">
            <v>Jam</v>
          </cell>
        </row>
        <row r="984">
          <cell r="A984" t="str">
            <v>4.</v>
          </cell>
          <cell r="C984" t="str">
            <v>HARGA DASAR SATUAN UPAH, BAHAN DAN ALAT</v>
          </cell>
        </row>
        <row r="985">
          <cell r="C985" t="str">
            <v>Lihat lampiran.</v>
          </cell>
        </row>
        <row r="987">
          <cell r="A987" t="str">
            <v>5.</v>
          </cell>
          <cell r="C987" t="str">
            <v>ANALISA HARGA SATUAN PEKERJAAN</v>
          </cell>
        </row>
        <row r="988">
          <cell r="C988" t="str">
            <v>Lihat perhitungan dalam FORMULIR STANDAR UNTUK</v>
          </cell>
        </row>
        <row r="989">
          <cell r="C989" t="str">
            <v>PEREKEMAN ANALISA MASING-MASING HARGA</v>
          </cell>
        </row>
        <row r="990">
          <cell r="C990" t="str">
            <v>SATUAN.</v>
          </cell>
        </row>
        <row r="991">
          <cell r="C991" t="str">
            <v>Didapat Harga Satuan Pekerjaan :</v>
          </cell>
        </row>
        <row r="993">
          <cell r="C993" t="str">
            <v xml:space="preserve">Rp.  </v>
          </cell>
          <cell r="D993">
            <v>3399.2352442685237</v>
          </cell>
          <cell r="E993" t="str">
            <v xml:space="preserve"> / Liter</v>
          </cell>
        </row>
        <row r="996">
          <cell r="A996" t="str">
            <v>6.</v>
          </cell>
          <cell r="C996" t="str">
            <v>WAKTU PELAKSANAAN YANG DIPERLUKAN</v>
          </cell>
        </row>
        <row r="997">
          <cell r="C997" t="str">
            <v>Waktu pelaksanaan</v>
          </cell>
          <cell r="D997" t="str">
            <v>:  . . . . . . .  bulan</v>
          </cell>
        </row>
        <row r="999">
          <cell r="A999" t="str">
            <v>7.</v>
          </cell>
          <cell r="C999" t="str">
            <v>VOLUME PEKERJAAN YANG DIPERLUKAN</v>
          </cell>
        </row>
        <row r="1000">
          <cell r="C1000" t="str">
            <v>Volume pekerjaan  :</v>
          </cell>
          <cell r="D1000">
            <v>0</v>
          </cell>
          <cell r="E1000" t="str">
            <v>Liter</v>
          </cell>
        </row>
        <row r="1015">
          <cell r="C1015" t="str">
            <v/>
          </cell>
        </row>
        <row r="1017">
          <cell r="A1017" t="str">
            <v>ITEM PEMBAYARAN NO.</v>
          </cell>
          <cell r="D1017" t="str">
            <v>:  4.2 (7)</v>
          </cell>
          <cell r="J1017" t="str">
            <v>Analisa EI-427</v>
          </cell>
          <cell r="T1017" t="str">
            <v>Analisa EI-427</v>
          </cell>
        </row>
        <row r="1018">
          <cell r="A1018" t="str">
            <v>JENIS PEKERJAAN</v>
          </cell>
          <cell r="D1018" t="str">
            <v>:  Lapis Resap Pengikat</v>
          </cell>
        </row>
        <row r="1019">
          <cell r="A1019" t="str">
            <v>SATUAN PEMBAYARAN</v>
          </cell>
          <cell r="D1019" t="str">
            <v>:  LITER</v>
          </cell>
          <cell r="J1019" t="str">
            <v xml:space="preserve">         URAIAN ANALISA HARGA SATUAN</v>
          </cell>
          <cell r="L1019" t="str">
            <v>FORMULIR STANDAR UNTUK</v>
          </cell>
        </row>
        <row r="1020">
          <cell r="L1020" t="str">
            <v>PEREKAMAN ANALISA MASING-MASING HARGA SATUAN</v>
          </cell>
        </row>
        <row r="1021">
          <cell r="L1021" t="str">
            <v/>
          </cell>
        </row>
        <row r="1022">
          <cell r="A1022" t="str">
            <v>No.</v>
          </cell>
          <cell r="C1022" t="str">
            <v>U R A I A N</v>
          </cell>
          <cell r="G1022" t="str">
            <v>KODE</v>
          </cell>
          <cell r="H1022" t="str">
            <v>KOEF.</v>
          </cell>
          <cell r="I1022" t="str">
            <v>SATUAN</v>
          </cell>
          <cell r="J1022" t="str">
            <v>KETERANGAN</v>
          </cell>
        </row>
        <row r="1024">
          <cell r="L1024" t="str">
            <v>PROYEK</v>
          </cell>
          <cell r="O1024" t="str">
            <v>:</v>
          </cell>
        </row>
        <row r="1025">
          <cell r="A1025" t="str">
            <v>I.</v>
          </cell>
          <cell r="C1025" t="str">
            <v>ASUMSI</v>
          </cell>
          <cell r="L1025" t="str">
            <v>No. PAKET KONTRAK</v>
          </cell>
          <cell r="O1025" t="str">
            <v>:</v>
          </cell>
        </row>
        <row r="1026">
          <cell r="A1026">
            <v>1</v>
          </cell>
          <cell r="C1026" t="str">
            <v>Menggunakan alat berat (cara mekanik)</v>
          </cell>
          <cell r="L1026" t="str">
            <v>NAMA PAKET</v>
          </cell>
          <cell r="O1026" t="str">
            <v>:</v>
          </cell>
        </row>
        <row r="1027">
          <cell r="A1027">
            <v>2</v>
          </cell>
          <cell r="C1027" t="str">
            <v>Lokasi pekerjaan : sepanjang jalan</v>
          </cell>
          <cell r="L1027" t="str">
            <v>PROP / KAB / KODYA</v>
          </cell>
          <cell r="O1027" t="str">
            <v>:</v>
          </cell>
        </row>
        <row r="1028">
          <cell r="A1028">
            <v>3</v>
          </cell>
          <cell r="C1028" t="str">
            <v>Jarak rata-rata Base Camp ke lokasi pekerjaan</v>
          </cell>
          <cell r="G1028" t="str">
            <v>L</v>
          </cell>
          <cell r="H1028">
            <v>8.7249999999999996</v>
          </cell>
          <cell r="I1028" t="str">
            <v>KM</v>
          </cell>
          <cell r="L1028" t="str">
            <v>ITEM PEMBAYARAN NO.</v>
          </cell>
          <cell r="O1028" t="str">
            <v>:  4.2 (7)</v>
          </cell>
          <cell r="R1028" t="str">
            <v>PERKIRAAN VOL. PEK.</v>
          </cell>
          <cell r="T1028" t="str">
            <v>:</v>
          </cell>
          <cell r="U1028">
            <v>1</v>
          </cell>
        </row>
        <row r="1029">
          <cell r="A1029">
            <v>4</v>
          </cell>
          <cell r="C1029" t="str">
            <v>Jam kerja efektif per-hari</v>
          </cell>
          <cell r="G1029" t="str">
            <v>Tk</v>
          </cell>
          <cell r="H1029">
            <v>7</v>
          </cell>
          <cell r="I1029" t="str">
            <v>Jam</v>
          </cell>
          <cell r="L1029" t="str">
            <v>JENIS PEKERJAAN</v>
          </cell>
          <cell r="O1029" t="str">
            <v>:  Lapis Resap Pengikat</v>
          </cell>
          <cell r="R1029" t="str">
            <v>TOTAL HARGA (Rp.)</v>
          </cell>
          <cell r="T1029" t="str">
            <v>:</v>
          </cell>
          <cell r="U1029">
            <v>305360.27</v>
          </cell>
        </row>
        <row r="1030">
          <cell r="A1030">
            <v>5</v>
          </cell>
          <cell r="C1030" t="str">
            <v>Faktor kehilangan bahan</v>
          </cell>
          <cell r="G1030" t="str">
            <v>Fh</v>
          </cell>
          <cell r="H1030">
            <v>1.1000000000000001</v>
          </cell>
          <cell r="I1030" t="str">
            <v>-</v>
          </cell>
          <cell r="L1030" t="str">
            <v>SATUAN PEMBAYARAN</v>
          </cell>
          <cell r="O1030" t="str">
            <v>:  LITER</v>
          </cell>
          <cell r="R1030" t="str">
            <v>% THD. BIAYA PROYEK</v>
          </cell>
          <cell r="T1030" t="str">
            <v>:</v>
          </cell>
          <cell r="U1030" t="e">
            <v>#DIV/0!</v>
          </cell>
        </row>
        <row r="1031">
          <cell r="A1031">
            <v>6</v>
          </cell>
          <cell r="C1031" t="str">
            <v>Komposisi campuran :</v>
          </cell>
        </row>
        <row r="1032">
          <cell r="C1032" t="str">
            <v>- Aspal AC-10 atau AC-20</v>
          </cell>
          <cell r="G1032" t="str">
            <v>As</v>
          </cell>
          <cell r="H1032">
            <v>56</v>
          </cell>
          <cell r="I1032" t="str">
            <v>%</v>
          </cell>
          <cell r="J1032" t="str">
            <v xml:space="preserve"> 100 bagian</v>
          </cell>
        </row>
        <row r="1033">
          <cell r="C1033" t="str">
            <v>- Minyak Flux / Pencair</v>
          </cell>
          <cell r="G1033" t="str">
            <v>K</v>
          </cell>
          <cell r="H1033">
            <v>44</v>
          </cell>
          <cell r="I1033" t="str">
            <v>%</v>
          </cell>
          <cell r="J1033" t="str">
            <v xml:space="preserve"> 80   bagian</v>
          </cell>
          <cell r="Q1033" t="str">
            <v>PERKIRAAN</v>
          </cell>
          <cell r="R1033" t="str">
            <v>HARGA</v>
          </cell>
          <cell r="S1033" t="str">
            <v>JUMLAH</v>
          </cell>
        </row>
        <row r="1034">
          <cell r="A1034">
            <v>7</v>
          </cell>
          <cell r="C1034" t="str">
            <v>Berat jenis bahan :</v>
          </cell>
          <cell r="L1034" t="str">
            <v>NO.</v>
          </cell>
          <cell r="N1034" t="str">
            <v>KOMPONEN</v>
          </cell>
          <cell r="P1034" t="str">
            <v>SATUAN</v>
          </cell>
          <cell r="Q1034" t="str">
            <v>KUANTITAS</v>
          </cell>
          <cell r="R1034" t="str">
            <v>SATUAN</v>
          </cell>
          <cell r="S1034" t="str">
            <v>HARGA</v>
          </cell>
        </row>
        <row r="1035">
          <cell r="C1035" t="str">
            <v>- Aspal AC-10 atau AC-20</v>
          </cell>
          <cell r="G1035" t="str">
            <v>D1</v>
          </cell>
          <cell r="H1035">
            <v>1.03</v>
          </cell>
          <cell r="I1035" t="str">
            <v>Kg / liter</v>
          </cell>
          <cell r="R1035" t="str">
            <v>(Rp.)</v>
          </cell>
          <cell r="S1035" t="str">
            <v>(Rp.)</v>
          </cell>
        </row>
        <row r="1036">
          <cell r="C1036" t="str">
            <v>- Minyak Flux / Pencair</v>
          </cell>
          <cell r="G1036" t="str">
            <v>D2</v>
          </cell>
          <cell r="H1036">
            <v>0.8</v>
          </cell>
          <cell r="I1036" t="str">
            <v>Kg / liter</v>
          </cell>
        </row>
        <row r="1037">
          <cell r="A1037">
            <v>8</v>
          </cell>
          <cell r="C1037" t="str">
            <v>Bahan dasar (aspal &amp; minyak pencair) semuanya</v>
          </cell>
        </row>
        <row r="1038">
          <cell r="C1038" t="str">
            <v>diterima di lokasi pekerjaan</v>
          </cell>
          <cell r="L1038" t="str">
            <v>A.</v>
          </cell>
          <cell r="N1038" t="str">
            <v>TENAGA</v>
          </cell>
        </row>
        <row r="1040">
          <cell r="A1040" t="str">
            <v>II.</v>
          </cell>
          <cell r="C1040" t="str">
            <v>URUTAN KERJA</v>
          </cell>
          <cell r="L1040" t="str">
            <v>1.</v>
          </cell>
          <cell r="N1040" t="str">
            <v>Pekerja</v>
          </cell>
          <cell r="O1040" t="str">
            <v>(L01)</v>
          </cell>
          <cell r="P1040" t="str">
            <v>Jam</v>
          </cell>
          <cell r="Q1040">
            <v>2.8348688873139617E-2</v>
          </cell>
          <cell r="R1040">
            <v>2857.14</v>
          </cell>
          <cell r="U1040">
            <v>80.996172927002121</v>
          </cell>
        </row>
        <row r="1041">
          <cell r="A1041">
            <v>1</v>
          </cell>
          <cell r="C1041" t="str">
            <v>Aspal dan Minyak Flux dicampur dan dipanaskan</v>
          </cell>
          <cell r="L1041" t="str">
            <v>2.</v>
          </cell>
          <cell r="N1041" t="str">
            <v>Mandor</v>
          </cell>
          <cell r="O1041" t="str">
            <v>(L03)</v>
          </cell>
          <cell r="P1041" t="str">
            <v>Jam</v>
          </cell>
          <cell r="Q1041">
            <v>5.6697377746279237E-3</v>
          </cell>
          <cell r="R1041">
            <v>3214.29</v>
          </cell>
          <cell r="U1041">
            <v>18.224181431608788</v>
          </cell>
        </row>
        <row r="1042">
          <cell r="C1042" t="str">
            <v>sehingga menjadi campuran aspal cair</v>
          </cell>
        </row>
        <row r="1043">
          <cell r="A1043">
            <v>2</v>
          </cell>
          <cell r="C1043" t="str">
            <v>Permukaan yang akan dilapis dibersihkan dari debu</v>
          </cell>
        </row>
        <row r="1044">
          <cell r="C1044" t="str">
            <v>dan kotoran dengan Air Compressor</v>
          </cell>
          <cell r="Q1044" t="str">
            <v xml:space="preserve">JUMLAH HARGA TENAGA   </v>
          </cell>
          <cell r="U1044">
            <v>99.220354358610905</v>
          </cell>
        </row>
        <row r="1045">
          <cell r="A1045">
            <v>3</v>
          </cell>
          <cell r="C1045" t="str">
            <v>Campuran aspal cair disemprotkan dengan Asphalt</v>
          </cell>
        </row>
        <row r="1046">
          <cell r="C1046" t="str">
            <v>Sprayer ke atas permukaan yang akan dilapis.</v>
          </cell>
          <cell r="L1046" t="str">
            <v>B.</v>
          </cell>
          <cell r="N1046" t="str">
            <v>BAHAN</v>
          </cell>
        </row>
        <row r="1047">
          <cell r="A1047">
            <v>4</v>
          </cell>
          <cell r="C1047" t="str">
            <v>Angkutan Aspal &amp; Minyak Flux menggunakan Dump</v>
          </cell>
        </row>
        <row r="1048">
          <cell r="C1048" t="str">
            <v>Truck</v>
          </cell>
          <cell r="L1048" t="str">
            <v>1.</v>
          </cell>
          <cell r="N1048" t="str">
            <v>Aspal</v>
          </cell>
          <cell r="O1048" t="str">
            <v>(M10)</v>
          </cell>
          <cell r="P1048" t="str">
            <v>Kg</v>
          </cell>
          <cell r="Q1048">
            <v>0.63448000000000015</v>
          </cell>
          <cell r="R1048">
            <v>2086.6280000000002</v>
          </cell>
          <cell r="U1048">
            <v>1323.9237334400004</v>
          </cell>
        </row>
        <row r="1049">
          <cell r="L1049" t="str">
            <v>2.</v>
          </cell>
          <cell r="N1049" t="str">
            <v>Kerosene</v>
          </cell>
          <cell r="O1049" t="str">
            <v>(M11)</v>
          </cell>
          <cell r="P1049" t="str">
            <v>liter</v>
          </cell>
          <cell r="Q1049">
            <v>0.48400000000000004</v>
          </cell>
          <cell r="R1049">
            <v>1650</v>
          </cell>
          <cell r="U1049">
            <v>798.6</v>
          </cell>
        </row>
        <row r="1050">
          <cell r="A1050" t="str">
            <v>III.</v>
          </cell>
          <cell r="C1050" t="str">
            <v>PEMAKAIAN BAHAN, ALAT DAN TENAGA</v>
          </cell>
        </row>
        <row r="1052">
          <cell r="A1052" t="str">
            <v xml:space="preserve">   1.</v>
          </cell>
          <cell r="C1052" t="str">
            <v>BAHAN</v>
          </cell>
        </row>
        <row r="1053">
          <cell r="C1053" t="str">
            <v>Untuk mendapatkan 1 liter Lapis Resap Pengikat</v>
          </cell>
        </row>
        <row r="1054">
          <cell r="C1054" t="str">
            <v>diperlukan :</v>
          </cell>
          <cell r="D1054" t="str">
            <v>( 1 liter x Fh )</v>
          </cell>
          <cell r="G1054" t="str">
            <v>PC</v>
          </cell>
          <cell r="H1054">
            <v>1.1000000000000001</v>
          </cell>
          <cell r="I1054" t="str">
            <v>liter</v>
          </cell>
          <cell r="J1054" t="str">
            <v xml:space="preserve"> Campuran</v>
          </cell>
          <cell r="Q1054" t="str">
            <v xml:space="preserve">JUMLAH HARGA BAHAN   </v>
          </cell>
          <cell r="U1054">
            <v>2122.5237334400003</v>
          </cell>
        </row>
        <row r="1056">
          <cell r="A1056" t="str">
            <v xml:space="preserve">   1.a.</v>
          </cell>
          <cell r="C1056" t="str">
            <v>Aspal</v>
          </cell>
          <cell r="D1056" t="str">
            <v>=   As x PC x D1</v>
          </cell>
          <cell r="G1056" t="str">
            <v>(M10)</v>
          </cell>
          <cell r="H1056">
            <v>0.63448000000000015</v>
          </cell>
          <cell r="I1056" t="str">
            <v>Kg.</v>
          </cell>
          <cell r="L1056" t="str">
            <v>C.</v>
          </cell>
          <cell r="N1056" t="str">
            <v>PERALATAN</v>
          </cell>
        </row>
        <row r="1057">
          <cell r="A1057" t="str">
            <v xml:space="preserve">   1.b.</v>
          </cell>
          <cell r="C1057" t="str">
            <v>Minyak Flux</v>
          </cell>
          <cell r="D1057" t="str">
            <v>=   K x PC</v>
          </cell>
          <cell r="G1057" t="str">
            <v>(M11)</v>
          </cell>
          <cell r="H1057">
            <v>0.48400000000000004</v>
          </cell>
          <cell r="I1057" t="str">
            <v>liter</v>
          </cell>
        </row>
        <row r="1058">
          <cell r="L1058" t="str">
            <v>1.</v>
          </cell>
          <cell r="N1058" t="str">
            <v>Asphalt Sprayer  (E03)</v>
          </cell>
          <cell r="P1058" t="str">
            <v>Jam</v>
          </cell>
          <cell r="Q1058">
            <v>2.8348688873139618E-3</v>
          </cell>
          <cell r="R1058">
            <v>30575.535383788432</v>
          </cell>
          <cell r="U1058">
            <v>86.677633972468982</v>
          </cell>
        </row>
        <row r="1059">
          <cell r="A1059" t="str">
            <v xml:space="preserve">   2.</v>
          </cell>
          <cell r="C1059" t="str">
            <v>ALAT</v>
          </cell>
          <cell r="L1059" t="str">
            <v>2.</v>
          </cell>
          <cell r="N1059" t="str">
            <v>Air Compresor    (E05)</v>
          </cell>
          <cell r="P1059" t="str">
            <v>Jam</v>
          </cell>
          <cell r="Q1059">
            <v>2.0833333333333333E-3</v>
          </cell>
          <cell r="R1059">
            <v>53840.365312835944</v>
          </cell>
          <cell r="U1059">
            <v>112.16742773507488</v>
          </cell>
        </row>
        <row r="1060">
          <cell r="A1060" t="str">
            <v xml:space="preserve">   2.a.</v>
          </cell>
          <cell r="C1060" t="str">
            <v>ASPHALT SPRAYER</v>
          </cell>
          <cell r="G1060" t="str">
            <v>(E03)</v>
          </cell>
          <cell r="L1060" t="str">
            <v>3.</v>
          </cell>
          <cell r="N1060" t="str">
            <v>Dump Truck</v>
          </cell>
          <cell r="O1060" t="str">
            <v>(E08)</v>
          </cell>
          <cell r="P1060" t="str">
            <v>Jam</v>
          </cell>
          <cell r="Q1060">
            <v>2.8348688873139618E-3</v>
          </cell>
          <cell r="R1060">
            <v>153645.58193291764</v>
          </cell>
          <cell r="U1060">
            <v>435.56507989487642</v>
          </cell>
        </row>
        <row r="1061">
          <cell r="C1061" t="str">
            <v>Kapasitas alat</v>
          </cell>
          <cell r="G1061" t="str">
            <v>V</v>
          </cell>
          <cell r="H1061">
            <v>850</v>
          </cell>
          <cell r="I1061" t="str">
            <v>liter</v>
          </cell>
        </row>
        <row r="1062">
          <cell r="C1062" t="str">
            <v>Faktor efisiensi alat</v>
          </cell>
          <cell r="G1062" t="str">
            <v>Fa</v>
          </cell>
          <cell r="H1062">
            <v>0.83</v>
          </cell>
          <cell r="I1062" t="str">
            <v>-</v>
          </cell>
        </row>
        <row r="1063">
          <cell r="C1063" t="str">
            <v>Waktu Siklus (termasuk proses pemanasan)</v>
          </cell>
          <cell r="G1063" t="str">
            <v>Ts</v>
          </cell>
          <cell r="H1063">
            <v>2</v>
          </cell>
          <cell r="I1063" t="str">
            <v>Jam</v>
          </cell>
        </row>
        <row r="1065">
          <cell r="C1065" t="str">
            <v>Kap. Prod. / jam =</v>
          </cell>
          <cell r="D1065" t="str">
            <v>V x Fa</v>
          </cell>
          <cell r="G1065" t="str">
            <v>Q1</v>
          </cell>
          <cell r="H1065">
            <v>352.75</v>
          </cell>
          <cell r="I1065" t="str">
            <v>liter</v>
          </cell>
        </row>
        <row r="1066">
          <cell r="D1066" t="str">
            <v>Ts</v>
          </cell>
          <cell r="Q1066" t="str">
            <v xml:space="preserve">JUMLAH HARGA PERALATAN   </v>
          </cell>
          <cell r="U1066">
            <v>634.41014160242025</v>
          </cell>
        </row>
        <row r="1067">
          <cell r="C1067" t="str">
            <v>Koefisien Alat / Ltr</v>
          </cell>
          <cell r="D1067" t="str">
            <v xml:space="preserve"> =  1  :  Q1</v>
          </cell>
          <cell r="G1067" t="str">
            <v>(E03)</v>
          </cell>
          <cell r="H1067">
            <v>2.8348688873139618E-3</v>
          </cell>
          <cell r="I1067" t="str">
            <v>Jam</v>
          </cell>
        </row>
        <row r="1068">
          <cell r="L1068" t="str">
            <v>D.</v>
          </cell>
          <cell r="N1068" t="str">
            <v>JUMLAH HARGA TENAGA, BAHAN DAN PERALATAN  ( A + B + C )</v>
          </cell>
          <cell r="U1068">
            <v>2856.1542294010314</v>
          </cell>
        </row>
        <row r="1069">
          <cell r="A1069" t="str">
            <v xml:space="preserve">   2.b.</v>
          </cell>
          <cell r="C1069" t="str">
            <v>AIR COMPRESSOR</v>
          </cell>
          <cell r="G1069" t="str">
            <v>(E05)</v>
          </cell>
          <cell r="L1069" t="str">
            <v>E.</v>
          </cell>
          <cell r="N1069" t="str">
            <v>OVERHEAD &amp; PROFIT</v>
          </cell>
          <cell r="P1069">
            <v>10</v>
          </cell>
          <cell r="Q1069" t="str">
            <v>%  x  D</v>
          </cell>
          <cell r="U1069">
            <v>285.61542294010314</v>
          </cell>
        </row>
        <row r="1070">
          <cell r="C1070" t="str">
            <v xml:space="preserve">Kapasitas alat   -----&gt;&gt;   diambil </v>
          </cell>
          <cell r="G1070" t="str">
            <v>V</v>
          </cell>
          <cell r="H1070">
            <v>600</v>
          </cell>
          <cell r="I1070" t="str">
            <v>M2 / Jam</v>
          </cell>
          <cell r="L1070" t="str">
            <v>F.</v>
          </cell>
          <cell r="N1070" t="str">
            <v>HARGA SATUAN PEKERJAAN  ( D + E )</v>
          </cell>
          <cell r="U1070">
            <v>3141.7696523411346</v>
          </cell>
        </row>
        <row r="1071">
          <cell r="C1071" t="str">
            <v>Aplikasi Lapis Resap Pengikat rata-rata (Spesifikasi)</v>
          </cell>
          <cell r="G1071" t="str">
            <v>Ap</v>
          </cell>
          <cell r="H1071">
            <v>0.8</v>
          </cell>
          <cell r="I1071" t="str">
            <v>liter / M2</v>
          </cell>
          <cell r="L1071" t="str">
            <v>Note: 1</v>
          </cell>
          <cell r="N1071" t="str">
            <v>SATUAN dapat berdasarkan atas jam operasi untuk Tenaga Kerja dan Peralatan, volume dan/atau ukuran</v>
          </cell>
        </row>
        <row r="1072">
          <cell r="N1072" t="str">
            <v>berat untuk bahan-bahan.</v>
          </cell>
        </row>
        <row r="1073">
          <cell r="C1073" t="str">
            <v>Kap. Prod. / jam =</v>
          </cell>
          <cell r="D1073" t="str">
            <v>( V x Ap )</v>
          </cell>
          <cell r="G1073" t="str">
            <v>Q2</v>
          </cell>
          <cell r="H1073">
            <v>480</v>
          </cell>
          <cell r="I1073" t="str">
            <v>liter</v>
          </cell>
          <cell r="L1073">
            <v>2</v>
          </cell>
          <cell r="N1073" t="str">
            <v>Kuantitas satuan adalah kuantitas setiap komponen untuk menyelesaikan satu satuan pekerjaan dari nomor</v>
          </cell>
        </row>
        <row r="1074">
          <cell r="N1074" t="str">
            <v>mata pembayaran.</v>
          </cell>
        </row>
        <row r="1075">
          <cell r="C1075" t="str">
            <v>Koefisien Alat / Ltr</v>
          </cell>
          <cell r="D1075" t="str">
            <v xml:space="preserve"> =  1  :  Q2</v>
          </cell>
          <cell r="G1075" t="str">
            <v>(E05)</v>
          </cell>
          <cell r="H1075">
            <v>2.0833333333333333E-3</v>
          </cell>
          <cell r="I1075" t="str">
            <v>Jam</v>
          </cell>
          <cell r="L1075">
            <v>3</v>
          </cell>
          <cell r="N1075" t="str">
            <v>Biaya satuan untuk peralatan sudah termasuk bahan bakar, bahan habis dipakai dan operator.</v>
          </cell>
        </row>
        <row r="1076">
          <cell r="L1076">
            <v>4</v>
          </cell>
          <cell r="N1076" t="str">
            <v>Biaya satuan sudah termasuk pengeluaran untuk seluruh pajak yang berkaitan (tetapi tidak termasuk PPN</v>
          </cell>
        </row>
        <row r="1077">
          <cell r="J1077" t="str">
            <v>Berlanjut ke halaman berikut</v>
          </cell>
          <cell r="N1077" t="str">
            <v>yang dibayar dari kontrak) dan biaya-biaya lainnya.</v>
          </cell>
        </row>
        <row r="1078">
          <cell r="A1078" t="str">
            <v>ITEM PEMBAYARAN NO.</v>
          </cell>
          <cell r="D1078" t="str">
            <v>:  4.2 (7)</v>
          </cell>
          <cell r="J1078" t="str">
            <v>Analisa EI-427</v>
          </cell>
        </row>
        <row r="1079">
          <cell r="A1079" t="str">
            <v>JENIS PEKERJAAN</v>
          </cell>
          <cell r="D1079" t="str">
            <v>:  Lapis Resap Pengikat</v>
          </cell>
        </row>
        <row r="1080">
          <cell r="A1080" t="str">
            <v>SATUAN PEMBAYARAN</v>
          </cell>
          <cell r="D1080" t="str">
            <v>:  LITER</v>
          </cell>
          <cell r="J1080" t="str">
            <v xml:space="preserve">         URAIAN ANALISA HARGA SATUAN</v>
          </cell>
        </row>
        <row r="1081">
          <cell r="J1081" t="str">
            <v>Lanjutan</v>
          </cell>
        </row>
        <row r="1083">
          <cell r="A1083" t="str">
            <v>No.</v>
          </cell>
          <cell r="C1083" t="str">
            <v>U R A I A N</v>
          </cell>
          <cell r="G1083" t="str">
            <v>KODE</v>
          </cell>
          <cell r="H1083" t="str">
            <v>KOEF.</v>
          </cell>
          <cell r="I1083" t="str">
            <v>SATUAN</v>
          </cell>
          <cell r="J1083" t="str">
            <v>KETERANGAN</v>
          </cell>
        </row>
        <row r="1086">
          <cell r="A1086" t="str">
            <v xml:space="preserve">   2.c.</v>
          </cell>
          <cell r="C1086" t="str">
            <v>DUMP TRUCK</v>
          </cell>
          <cell r="G1086" t="str">
            <v>(E08)</v>
          </cell>
        </row>
        <row r="1087">
          <cell r="C1087" t="str">
            <v>Sebagai alat pengangkut bahan di lokasi pekerjaan,</v>
          </cell>
        </row>
        <row r="1088">
          <cell r="C1088" t="str">
            <v>Dump Truck melayani alat Asphalt Sprayer.</v>
          </cell>
        </row>
        <row r="1089">
          <cell r="C1089" t="str">
            <v>Kap. Prod. / jam =</v>
          </cell>
          <cell r="D1089" t="str">
            <v>sama dengan Asphalt Sprayer</v>
          </cell>
          <cell r="G1089" t="str">
            <v>Q3</v>
          </cell>
          <cell r="H1089">
            <v>352.75</v>
          </cell>
          <cell r="I1089" t="str">
            <v>liter</v>
          </cell>
        </row>
        <row r="1091">
          <cell r="C1091" t="str">
            <v>Koefisien Alat / Ltr</v>
          </cell>
          <cell r="D1091" t="str">
            <v xml:space="preserve"> =  1  :  Q3</v>
          </cell>
          <cell r="G1091" t="str">
            <v>(E08)</v>
          </cell>
          <cell r="H1091">
            <v>2.8348688873139618E-3</v>
          </cell>
          <cell r="I1091" t="str">
            <v>Jam</v>
          </cell>
        </row>
        <row r="1093">
          <cell r="A1093" t="str">
            <v xml:space="preserve">   3.</v>
          </cell>
          <cell r="C1093" t="str">
            <v>TENAGA</v>
          </cell>
        </row>
        <row r="1094">
          <cell r="C1094" t="str">
            <v>Produksi menentukan : ASPHALT SPRAYER</v>
          </cell>
          <cell r="G1094" t="str">
            <v>Q4</v>
          </cell>
          <cell r="H1094">
            <v>352.75</v>
          </cell>
          <cell r="I1094" t="str">
            <v>liter</v>
          </cell>
        </row>
        <row r="1095">
          <cell r="C1095" t="str">
            <v>Produksi Lapis Resap Pengikat / hari  =  Tk x Q4</v>
          </cell>
          <cell r="G1095" t="str">
            <v>Qt</v>
          </cell>
          <cell r="H1095">
            <v>2469.25</v>
          </cell>
          <cell r="I1095" t="str">
            <v>liter</v>
          </cell>
        </row>
        <row r="1096">
          <cell r="C1096" t="str">
            <v>Kebutuhan tenaga :</v>
          </cell>
        </row>
        <row r="1097">
          <cell r="D1097" t="str">
            <v>- Pekerja</v>
          </cell>
          <cell r="G1097" t="str">
            <v>P</v>
          </cell>
          <cell r="H1097">
            <v>10</v>
          </cell>
          <cell r="I1097" t="str">
            <v>orang</v>
          </cell>
        </row>
        <row r="1098">
          <cell r="D1098" t="str">
            <v>- Mandor</v>
          </cell>
          <cell r="G1098" t="str">
            <v>M</v>
          </cell>
          <cell r="H1098">
            <v>2</v>
          </cell>
          <cell r="I1098" t="str">
            <v>orang</v>
          </cell>
        </row>
        <row r="1100">
          <cell r="C1100" t="str">
            <v>Koefisien tenaga / liter   :</v>
          </cell>
        </row>
        <row r="1101">
          <cell r="D1101" t="str">
            <v>- Pekerja</v>
          </cell>
          <cell r="E1101" t="str">
            <v>= (Tk x P) : Qt</v>
          </cell>
          <cell r="G1101" t="str">
            <v>(L01)</v>
          </cell>
          <cell r="H1101">
            <v>2.8348688873139617E-2</v>
          </cell>
          <cell r="I1101" t="str">
            <v>Jam</v>
          </cell>
        </row>
        <row r="1102">
          <cell r="D1102" t="str">
            <v>- Mandor</v>
          </cell>
          <cell r="E1102" t="str">
            <v>= (Tk x M) : Qt</v>
          </cell>
          <cell r="G1102" t="str">
            <v>(L03)</v>
          </cell>
          <cell r="H1102">
            <v>5.6697377746279237E-3</v>
          </cell>
          <cell r="I1102" t="str">
            <v>Jam</v>
          </cell>
        </row>
        <row r="1104">
          <cell r="A1104" t="str">
            <v>4.</v>
          </cell>
          <cell r="C1104" t="str">
            <v>HARGA DASAR SATUAN UPAH, BAHAN DAN ALAT</v>
          </cell>
        </row>
        <row r="1105">
          <cell r="C1105" t="str">
            <v>Lihat lampiran.</v>
          </cell>
        </row>
        <row r="1107">
          <cell r="A1107" t="str">
            <v>5.</v>
          </cell>
          <cell r="C1107" t="str">
            <v>ANALISA HARGA SATUAN PEKERJAAN</v>
          </cell>
        </row>
        <row r="1108">
          <cell r="C1108" t="str">
            <v>Lihat perhitungan dalam FORMULIR STANDAR UNTUK</v>
          </cell>
        </row>
        <row r="1109">
          <cell r="C1109" t="str">
            <v>PEREKEMAN ANALISA MASING-MASING HARGA</v>
          </cell>
        </row>
        <row r="1110">
          <cell r="C1110" t="str">
            <v>SATUAN.</v>
          </cell>
        </row>
        <row r="1111">
          <cell r="C1111" t="str">
            <v>Didapat Harga Satuan Pekerjaan :</v>
          </cell>
        </row>
        <row r="1113">
          <cell r="C1113" t="str">
            <v xml:space="preserve">Rp.  </v>
          </cell>
          <cell r="D1113">
            <v>3141.7696523411346</v>
          </cell>
          <cell r="E1113" t="str">
            <v xml:space="preserve"> / liter.</v>
          </cell>
        </row>
        <row r="1116">
          <cell r="A1116" t="str">
            <v>6.</v>
          </cell>
          <cell r="C1116" t="str">
            <v>WAKTU PELAKSANAAN YANG DIPERLUKAN</v>
          </cell>
        </row>
        <row r="1117">
          <cell r="C1117" t="str">
            <v>Waktu pelaksanaan</v>
          </cell>
          <cell r="D1117" t="str">
            <v>:  . . . . . . .  bulan</v>
          </cell>
        </row>
        <row r="1119">
          <cell r="A1119" t="str">
            <v>7.</v>
          </cell>
          <cell r="C1119" t="str">
            <v>VOLUME PEKERJAAN YANG DIPERLUKAN</v>
          </cell>
        </row>
        <row r="1120">
          <cell r="C1120" t="str">
            <v>Volume pekerjaan  :</v>
          </cell>
          <cell r="D1120">
            <v>1</v>
          </cell>
          <cell r="E1120" t="str">
            <v>Liter</v>
          </cell>
        </row>
      </sheetData>
      <sheetData sheetId="1" refreshError="1"/>
      <sheetData sheetId="2" refreshError="1"/>
      <sheetData sheetId="3"/>
      <sheetData sheetId="4" refreshError="1"/>
      <sheetData sheetId="5" refreshError="1"/>
      <sheetData sheetId="6" refreshError="1"/>
      <sheetData sheetId="7" refreshError="1"/>
      <sheetData sheetId="8">
        <row r="1">
          <cell r="A1" t="str">
            <v>ITEM PEMBAYARAN NO.</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DIV5"/>
      <sheetName val="3-DIV4"/>
      <sheetName val="NP"/>
      <sheetName val="REKAPITULASI"/>
      <sheetName val="RAB"/>
      <sheetName val="HARGA SATUAN "/>
      <sheetName val="ANALISA"/>
      <sheetName val="HARGA BAHAN"/>
      <sheetName val="3_DIV5"/>
      <sheetName val="5-Peralatan"/>
      <sheetName val="K-500"/>
      <sheetName val="4-Basic Price"/>
      <sheetName val="3-DIV3"/>
      <sheetName val="3-DIV2"/>
      <sheetName val="D7"/>
      <sheetName val="SCH (2)"/>
      <sheetName val="HARGASATUN"/>
      <sheetName val="terendah"/>
      <sheetName val="BQ"/>
      <sheetName val="schedule"/>
      <sheetName val="Analis"/>
      <sheetName val="D-3 (M)"/>
      <sheetName val="Time schedulle"/>
      <sheetName val="Rekap"/>
      <sheetName val="PO-2"/>
      <sheetName val="Detail Piutang"/>
      <sheetName val="Material"/>
      <sheetName val="HArga"/>
      <sheetName val="Hrg Upah &amp; Bhn"/>
      <sheetName val="Kurv. S, Skema Bhn, Alat,tenaga"/>
      <sheetName val="Sat Jadi"/>
      <sheetName val="formminat"/>
      <sheetName val="ANL 3"/>
      <sheetName val="ANL 4"/>
      <sheetName val="ANL 5"/>
      <sheetName val="ANL 6"/>
      <sheetName val="ANL 7"/>
      <sheetName val="BAHAN Pentagon"/>
      <sheetName val="Basic Price"/>
      <sheetName val="Peralatan"/>
      <sheetName val="ANALISA HARGA 3"/>
      <sheetName val="Hrg"/>
      <sheetName val="GASATAGG.XLS"/>
      <sheetName val="koef-beton"/>
      <sheetName val="Analisa Quarry"/>
      <sheetName val="NP-10"/>
      <sheetName val="NP-6"/>
      <sheetName val="NP-7"/>
      <sheetName val="NP-8"/>
      <sheetName val="HSLAIN-LAIN"/>
      <sheetName val="Harga ALAT"/>
      <sheetName val="Harga uPAH"/>
      <sheetName val="persiapan"/>
      <sheetName val="NP-4"/>
      <sheetName val="Kuantitas &amp; Harga"/>
      <sheetName val="data"/>
      <sheetName val="dft harga"/>
      <sheetName val="K.0XX"/>
      <sheetName val="K.1XX"/>
      <sheetName val="K.2XX"/>
      <sheetName val="K.3XX"/>
      <sheetName val="K.6XX"/>
      <sheetName val="K.8XX"/>
      <sheetName val="SURAT PENAWARAN"/>
      <sheetName val="rekap.anl '07"/>
      <sheetName val="3-DIV8"/>
      <sheetName val="LongProfile"/>
    </sheetNames>
    <sheetDataSet>
      <sheetData sheetId="0" refreshError="1">
        <row r="1">
          <cell r="A1" t="str">
            <v>ITEM PEMBAYARAN NO.</v>
          </cell>
          <cell r="D1" t="str">
            <v>:  5.1 (1)</v>
          </cell>
          <cell r="J1" t="str">
            <v>Analisa EI-511</v>
          </cell>
          <cell r="T1" t="str">
            <v>Analisa EI-511</v>
          </cell>
        </row>
        <row r="2">
          <cell r="A2" t="str">
            <v>JENIS PEKERJAAN</v>
          </cell>
          <cell r="D2" t="str">
            <v>:  Lps. Pond. Ag. Kls. A, CBR Min 80%</v>
          </cell>
        </row>
        <row r="3">
          <cell r="A3" t="str">
            <v>SATUAN PEMBAYARAN</v>
          </cell>
          <cell r="D3" t="str">
            <v>:  M3</v>
          </cell>
          <cell r="H3" t="str">
            <v xml:space="preserve">         URAIAN ANALISA HARGA SATUAN</v>
          </cell>
          <cell r="L3" t="str">
            <v>FORMULIR STANDAR UNTUK</v>
          </cell>
        </row>
        <row r="4">
          <cell r="L4" t="str">
            <v>PEREKAMAN ANALISA MASING-MASING HARGA SATUAN</v>
          </cell>
        </row>
        <row r="5">
          <cell r="L5" t="str">
            <v/>
          </cell>
        </row>
        <row r="6">
          <cell r="A6" t="str">
            <v>No.</v>
          </cell>
          <cell r="C6" t="str">
            <v>U R A I A N</v>
          </cell>
          <cell r="G6" t="str">
            <v>KODE</v>
          </cell>
          <cell r="H6" t="str">
            <v>KOEF.</v>
          </cell>
          <cell r="I6" t="str">
            <v>SATUAN</v>
          </cell>
          <cell r="J6" t="str">
            <v>KETERANGAN</v>
          </cell>
        </row>
        <row r="8">
          <cell r="L8" t="str">
            <v>PROYEK</v>
          </cell>
          <cell r="O8" t="str">
            <v xml:space="preserve">:  </v>
          </cell>
        </row>
        <row r="9">
          <cell r="A9" t="str">
            <v>I.</v>
          </cell>
          <cell r="C9" t="str">
            <v>ASUMSI</v>
          </cell>
          <cell r="L9" t="str">
            <v>No. PAKET KONTRAK</v>
          </cell>
          <cell r="O9" t="str">
            <v xml:space="preserve">:  </v>
          </cell>
        </row>
        <row r="10">
          <cell r="A10">
            <v>1</v>
          </cell>
          <cell r="C10" t="str">
            <v>Menggunakan alat berat (cara mekanik)</v>
          </cell>
          <cell r="L10" t="str">
            <v>NAMA PAKET</v>
          </cell>
          <cell r="O10" t="str">
            <v xml:space="preserve">:  </v>
          </cell>
        </row>
        <row r="11">
          <cell r="A11">
            <v>2</v>
          </cell>
          <cell r="C11" t="str">
            <v>Lokasi pekerjaan : sepanjang jalan</v>
          </cell>
          <cell r="L11" t="str">
            <v>PROP / KAB / KODYA</v>
          </cell>
          <cell r="O11" t="str">
            <v xml:space="preserve">:  </v>
          </cell>
        </row>
        <row r="12">
          <cell r="A12">
            <v>3</v>
          </cell>
          <cell r="C12" t="str">
            <v>Kondisi existing jalan : sedang</v>
          </cell>
          <cell r="L12" t="str">
            <v>ITEM PEMBAYARAN NO.</v>
          </cell>
          <cell r="O12" t="str">
            <v>:  5.1 (1)</v>
          </cell>
          <cell r="R12" t="str">
            <v>PERKIRAAN VOL. PEK.</v>
          </cell>
          <cell r="T12" t="str">
            <v>:</v>
          </cell>
          <cell r="U12">
            <v>1</v>
          </cell>
        </row>
        <row r="13">
          <cell r="A13">
            <v>4</v>
          </cell>
          <cell r="C13" t="str">
            <v>Jarak rata-rata Base Camp ke lokasi pekerjaan</v>
          </cell>
          <cell r="G13" t="str">
            <v>L</v>
          </cell>
          <cell r="H13">
            <v>8.7249999999999996</v>
          </cell>
          <cell r="I13" t="str">
            <v>KM</v>
          </cell>
          <cell r="L13" t="str">
            <v>JENIS PEKERJAAN</v>
          </cell>
          <cell r="O13" t="str">
            <v>:  Lps. Pond. Ag. Kls. A, CBR Min 80%</v>
          </cell>
          <cell r="R13" t="str">
            <v>TOTAL HARGA</v>
          </cell>
          <cell r="T13" t="str">
            <v>:</v>
          </cell>
          <cell r="U13">
            <v>304732.36582799954</v>
          </cell>
        </row>
        <row r="14">
          <cell r="A14">
            <v>5</v>
          </cell>
          <cell r="C14" t="str">
            <v>Tebal lapis agregat padat</v>
          </cell>
          <cell r="G14" t="str">
            <v>t</v>
          </cell>
          <cell r="H14">
            <v>0.15</v>
          </cell>
          <cell r="I14" t="str">
            <v>M</v>
          </cell>
          <cell r="L14" t="str">
            <v>SATUAN PEMBAYARAN</v>
          </cell>
          <cell r="O14" t="str">
            <v>:  M3</v>
          </cell>
          <cell r="R14" t="str">
            <v>% THD. BIAYA PROYEK</v>
          </cell>
          <cell r="T14" t="str">
            <v>:</v>
          </cell>
          <cell r="U14">
            <v>7.251312267724303E-3</v>
          </cell>
        </row>
        <row r="15">
          <cell r="A15">
            <v>6</v>
          </cell>
          <cell r="C15" t="str">
            <v>Faktor kembang material (Padat-Lepas)</v>
          </cell>
          <cell r="G15" t="str">
            <v>Fk</v>
          </cell>
          <cell r="H15">
            <v>1.2</v>
          </cell>
          <cell r="I15" t="str">
            <v>-</v>
          </cell>
        </row>
        <row r="16">
          <cell r="A16">
            <v>7</v>
          </cell>
          <cell r="C16" t="str">
            <v>Jam kerja efektif per-hari</v>
          </cell>
          <cell r="G16" t="str">
            <v>Tk</v>
          </cell>
          <cell r="H16">
            <v>7</v>
          </cell>
          <cell r="I16" t="str">
            <v>jam</v>
          </cell>
        </row>
        <row r="17">
          <cell r="A17">
            <v>8</v>
          </cell>
          <cell r="C17" t="str">
            <v>Proporsi Campuran :</v>
          </cell>
          <cell r="D17" t="str">
            <v>- Agregat Kasar</v>
          </cell>
          <cell r="G17" t="str">
            <v>Ak</v>
          </cell>
          <cell r="H17">
            <v>55</v>
          </cell>
          <cell r="I17" t="str">
            <v>%</v>
          </cell>
          <cell r="J17" t="str">
            <v xml:space="preserve"> Gradasi harus</v>
          </cell>
          <cell r="Q17" t="str">
            <v>PERKIRAAN</v>
          </cell>
          <cell r="R17" t="str">
            <v>HARGA</v>
          </cell>
          <cell r="S17" t="str">
            <v>JUMLAH</v>
          </cell>
        </row>
        <row r="18">
          <cell r="D18" t="str">
            <v>- Agregat Halus</v>
          </cell>
          <cell r="G18" t="str">
            <v>Ah</v>
          </cell>
          <cell r="H18">
            <v>45</v>
          </cell>
          <cell r="I18" t="str">
            <v>%</v>
          </cell>
          <cell r="J18" t="str">
            <v xml:space="preserve"> memenuhi Spec.</v>
          </cell>
          <cell r="L18" t="str">
            <v>NO.</v>
          </cell>
          <cell r="N18" t="str">
            <v>KOMPONEN</v>
          </cell>
          <cell r="P18" t="str">
            <v>SATUAN</v>
          </cell>
          <cell r="Q18" t="str">
            <v>KUANTITAS</v>
          </cell>
          <cell r="R18" t="str">
            <v>SATUAN</v>
          </cell>
          <cell r="S18" t="str">
            <v>HARGA</v>
          </cell>
        </row>
        <row r="19">
          <cell r="A19" t="str">
            <v>II.</v>
          </cell>
          <cell r="C19" t="str">
            <v>URUTAN KERJA</v>
          </cell>
          <cell r="R19" t="str">
            <v>(Rp.)</v>
          </cell>
          <cell r="S19" t="str">
            <v>(Rp.)</v>
          </cell>
        </row>
        <row r="20">
          <cell r="A20">
            <v>1</v>
          </cell>
          <cell r="C20" t="str">
            <v>Wheel Loader mencampur dan memuat Agregat ke</v>
          </cell>
        </row>
        <row r="21">
          <cell r="C21" t="str">
            <v>dalam Dump Truck di Base Camp</v>
          </cell>
        </row>
        <row r="22">
          <cell r="A22">
            <v>2</v>
          </cell>
          <cell r="C22" t="str">
            <v>Dump Truck mengangkut Agregat ke lokasi</v>
          </cell>
          <cell r="L22" t="str">
            <v>A.</v>
          </cell>
          <cell r="N22" t="str">
            <v>TENAGA</v>
          </cell>
        </row>
        <row r="23">
          <cell r="C23" t="str">
            <v>pekerjaan dan dihampar dengan Motor Grader</v>
          </cell>
        </row>
        <row r="24">
          <cell r="A24">
            <v>3</v>
          </cell>
          <cell r="C24" t="str">
            <v>Hamparan Agregat dibasahi dengan Water Tank</v>
          </cell>
          <cell r="L24" t="str">
            <v>1.</v>
          </cell>
          <cell r="N24" t="str">
            <v>Pekerja</v>
          </cell>
          <cell r="O24" t="str">
            <v>(L01)</v>
          </cell>
          <cell r="P24" t="str">
            <v>jam</v>
          </cell>
          <cell r="Q24">
            <v>0.24988844265952695</v>
          </cell>
          <cell r="R24">
            <v>2857.14</v>
          </cell>
          <cell r="U24">
            <v>713.96626506024074</v>
          </cell>
        </row>
        <row r="25">
          <cell r="C25" t="str">
            <v>Truck sebelum dipadatkan dengan Tandem</v>
          </cell>
          <cell r="L25" t="str">
            <v>2.</v>
          </cell>
          <cell r="N25" t="str">
            <v>Mandor</v>
          </cell>
          <cell r="O25" t="str">
            <v>(L03)</v>
          </cell>
          <cell r="P25" t="str">
            <v>jam</v>
          </cell>
          <cell r="Q25">
            <v>3.5698348951360995E-2</v>
          </cell>
          <cell r="R25">
            <v>3214.29</v>
          </cell>
          <cell r="U25">
            <v>114.74484605087014</v>
          </cell>
        </row>
        <row r="26">
          <cell r="C26" t="str">
            <v>Roller dan Pneumatic Tire Roller</v>
          </cell>
        </row>
        <row r="27">
          <cell r="A27">
            <v>4</v>
          </cell>
          <cell r="C27" t="str">
            <v>Selama pemadatan, sekelompok pekerja akan</v>
          </cell>
        </row>
        <row r="28">
          <cell r="C28" t="str">
            <v>merapikan tepi hamparan dan level permukaan</v>
          </cell>
          <cell r="Q28" t="str">
            <v xml:space="preserve">JUMLAH HARGA TENAGA   </v>
          </cell>
          <cell r="U28">
            <v>828.71111111111088</v>
          </cell>
        </row>
        <row r="29">
          <cell r="C29" t="str">
            <v>dengan menggunakan Alat Bantu</v>
          </cell>
        </row>
        <row r="30">
          <cell r="A30" t="str">
            <v>III.</v>
          </cell>
          <cell r="C30" t="str">
            <v>PEMAKAIAN BAHAN, ALAT DAN TENAGA</v>
          </cell>
          <cell r="L30" t="str">
            <v>B.</v>
          </cell>
          <cell r="N30" t="str">
            <v>BAHAN</v>
          </cell>
        </row>
        <row r="32">
          <cell r="A32" t="str">
            <v xml:space="preserve">   1.</v>
          </cell>
          <cell r="C32" t="str">
            <v>BAHAN</v>
          </cell>
          <cell r="L32" t="str">
            <v>1.</v>
          </cell>
          <cell r="N32" t="str">
            <v>Agregat Kasar   (M03)</v>
          </cell>
          <cell r="P32" t="str">
            <v>M3</v>
          </cell>
          <cell r="Q32">
            <v>0.66</v>
          </cell>
          <cell r="R32">
            <v>222345.54558042376</v>
          </cell>
          <cell r="U32">
            <v>146748.06008307968</v>
          </cell>
        </row>
        <row r="33">
          <cell r="C33" t="str">
            <v>- Agregat Kasar</v>
          </cell>
          <cell r="D33" t="str">
            <v>=  Ak x 1 M3 x Fk</v>
          </cell>
          <cell r="G33" t="str">
            <v>M03</v>
          </cell>
          <cell r="H33">
            <v>0.66</v>
          </cell>
          <cell r="I33" t="str">
            <v>M3</v>
          </cell>
          <cell r="L33" t="str">
            <v>2.</v>
          </cell>
          <cell r="N33" t="str">
            <v>Agregat Halus    (M04)</v>
          </cell>
          <cell r="P33" t="str">
            <v>M3</v>
          </cell>
          <cell r="Q33">
            <v>0.54</v>
          </cell>
          <cell r="R33">
            <v>194196.70775416915</v>
          </cell>
          <cell r="U33">
            <v>104866.22218725135</v>
          </cell>
        </row>
        <row r="34">
          <cell r="C34" t="str">
            <v>- Agregat Halus</v>
          </cell>
          <cell r="D34" t="str">
            <v>=  Ah x 1 M3 x Fk</v>
          </cell>
          <cell r="G34" t="str">
            <v>M04</v>
          </cell>
          <cell r="H34">
            <v>0.54</v>
          </cell>
          <cell r="I34" t="str">
            <v>M3</v>
          </cell>
        </row>
        <row r="36">
          <cell r="A36" t="str">
            <v xml:space="preserve">   2.</v>
          </cell>
          <cell r="C36" t="str">
            <v>ALAT</v>
          </cell>
        </row>
        <row r="37">
          <cell r="A37" t="str">
            <v xml:space="preserve">   2.a.</v>
          </cell>
          <cell r="C37" t="str">
            <v>WHEEL LOADER</v>
          </cell>
          <cell r="G37" t="str">
            <v>(E15)</v>
          </cell>
        </row>
        <row r="38">
          <cell r="C38" t="str">
            <v>Kapasitas bucket</v>
          </cell>
          <cell r="G38" t="str">
            <v>V</v>
          </cell>
          <cell r="H38">
            <v>1.5</v>
          </cell>
          <cell r="I38" t="str">
            <v>M3</v>
          </cell>
          <cell r="Q38" t="str">
            <v xml:space="preserve">JUMLAH HARGA BAHAN   </v>
          </cell>
          <cell r="U38">
            <v>251614.28227033102</v>
          </cell>
        </row>
        <row r="39">
          <cell r="C39" t="str">
            <v>Faktor bucket</v>
          </cell>
          <cell r="G39" t="str">
            <v>Fb</v>
          </cell>
          <cell r="H39">
            <v>0.9</v>
          </cell>
          <cell r="I39" t="str">
            <v>-</v>
          </cell>
        </row>
        <row r="40">
          <cell r="C40" t="str">
            <v>Faktor Efisiensi alat</v>
          </cell>
          <cell r="G40" t="str">
            <v>Fa</v>
          </cell>
          <cell r="H40">
            <v>0.83</v>
          </cell>
          <cell r="I40" t="str">
            <v>-</v>
          </cell>
          <cell r="L40" t="str">
            <v>C.</v>
          </cell>
          <cell r="N40" t="str">
            <v>PERALATAN</v>
          </cell>
        </row>
        <row r="41">
          <cell r="C41" t="str">
            <v>Waktu Siklus :</v>
          </cell>
          <cell r="G41" t="str">
            <v>Ts1</v>
          </cell>
          <cell r="L41" t="str">
            <v>1.</v>
          </cell>
          <cell r="N41" t="str">
            <v>Wheel Loader</v>
          </cell>
          <cell r="O41" t="str">
            <v>(E15)</v>
          </cell>
          <cell r="P41" t="str">
            <v>jam</v>
          </cell>
          <cell r="Q41">
            <v>3.5698348951360995E-2</v>
          </cell>
          <cell r="R41">
            <v>163808.13869490434</v>
          </cell>
          <cell r="U41">
            <v>5847.680096203635</v>
          </cell>
        </row>
        <row r="42">
          <cell r="C42" t="str">
            <v>- Mencampur</v>
          </cell>
          <cell r="G42" t="str">
            <v>T1</v>
          </cell>
          <cell r="H42">
            <v>1.5</v>
          </cell>
          <cell r="I42" t="str">
            <v>menit</v>
          </cell>
          <cell r="L42" t="str">
            <v>2.</v>
          </cell>
          <cell r="N42" t="str">
            <v>Dump Truck</v>
          </cell>
          <cell r="O42" t="str">
            <v>(E09)</v>
          </cell>
          <cell r="P42" t="str">
            <v>jam</v>
          </cell>
          <cell r="Q42">
            <v>0.14542063837680036</v>
          </cell>
          <cell r="R42">
            <v>70230.073977639215</v>
          </cell>
          <cell r="U42">
            <v>10212.90219107821</v>
          </cell>
        </row>
        <row r="43">
          <cell r="C43" t="str">
            <v>- Memuat dan lain-lain</v>
          </cell>
          <cell r="G43" t="str">
            <v>T2</v>
          </cell>
          <cell r="H43">
            <v>0.5</v>
          </cell>
          <cell r="I43" t="str">
            <v>menit</v>
          </cell>
          <cell r="L43" t="str">
            <v>3.</v>
          </cell>
          <cell r="N43" t="str">
            <v>Motor Grader</v>
          </cell>
          <cell r="O43" t="str">
            <v>(E13)</v>
          </cell>
          <cell r="P43" t="str">
            <v>jam</v>
          </cell>
          <cell r="Q43">
            <v>1.1713520749665328E-2</v>
          </cell>
          <cell r="R43">
            <v>201666.62574070093</v>
          </cell>
          <cell r="U43">
            <v>2362.2262051286921</v>
          </cell>
        </row>
        <row r="44">
          <cell r="G44" t="str">
            <v>Ts1</v>
          </cell>
          <cell r="H44">
            <v>2</v>
          </cell>
          <cell r="I44" t="str">
            <v>menit</v>
          </cell>
          <cell r="L44" t="str">
            <v>4.</v>
          </cell>
          <cell r="N44" t="str">
            <v>Vibratory Roller</v>
          </cell>
          <cell r="O44" t="str">
            <v>(E19)</v>
          </cell>
          <cell r="P44" t="str">
            <v>jam</v>
          </cell>
          <cell r="Q44">
            <v>1.7849174475680501E-2</v>
          </cell>
          <cell r="R44">
            <v>234734.82748629327</v>
          </cell>
          <cell r="U44">
            <v>4189.8228913216117</v>
          </cell>
        </row>
        <row r="45">
          <cell r="L45" t="str">
            <v>5.</v>
          </cell>
          <cell r="N45" t="str">
            <v>P. Tyre Roller</v>
          </cell>
          <cell r="O45" t="str">
            <v>(E18)</v>
          </cell>
          <cell r="P45" t="str">
            <v>jam</v>
          </cell>
          <cell r="Q45">
            <v>4.2838018741633201E-3</v>
          </cell>
          <cell r="R45">
            <v>113384.24751021285</v>
          </cell>
          <cell r="U45">
            <v>485.71565198484757</v>
          </cell>
        </row>
        <row r="46">
          <cell r="C46" t="str">
            <v>Kap. Prod. / jam =</v>
          </cell>
          <cell r="D46" t="str">
            <v>V x Fb x Fa x 60</v>
          </cell>
          <cell r="G46" t="str">
            <v>Q1</v>
          </cell>
          <cell r="H46">
            <v>28.012500000000003</v>
          </cell>
          <cell r="I46" t="str">
            <v>M3</v>
          </cell>
          <cell r="L46" t="str">
            <v>6.</v>
          </cell>
          <cell r="N46" t="str">
            <v>Water Tanker</v>
          </cell>
          <cell r="O46" t="str">
            <v>(E23)</v>
          </cell>
          <cell r="P46" t="str">
            <v>jam</v>
          </cell>
          <cell r="Q46">
            <v>2.1084337349397592E-2</v>
          </cell>
          <cell r="R46">
            <v>67020.510980434308</v>
          </cell>
          <cell r="U46">
            <v>1413.0830628404826</v>
          </cell>
        </row>
        <row r="47">
          <cell r="D47" t="str">
            <v>Fk x Ts1</v>
          </cell>
          <cell r="L47" t="str">
            <v>7.</v>
          </cell>
          <cell r="N47" t="str">
            <v>Alat Bantu</v>
          </cell>
          <cell r="P47" t="str">
            <v>Ls</v>
          </cell>
          <cell r="Q47">
            <v>1</v>
          </cell>
          <cell r="R47">
            <v>75</v>
          </cell>
          <cell r="U47">
            <v>75</v>
          </cell>
        </row>
        <row r="48">
          <cell r="C48" t="str">
            <v>Koefisien Alat / M3</v>
          </cell>
          <cell r="D48" t="str">
            <v xml:space="preserve"> =  1  :  Q1</v>
          </cell>
          <cell r="G48" t="str">
            <v>(E15)</v>
          </cell>
          <cell r="H48">
            <v>3.5698348951360995E-2</v>
          </cell>
          <cell r="I48" t="str">
            <v>jam</v>
          </cell>
        </row>
        <row r="49">
          <cell r="Q49" t="str">
            <v xml:space="preserve">JUMLAH HARGA PERALATAN   </v>
          </cell>
          <cell r="U49">
            <v>24586.430098557481</v>
          </cell>
        </row>
        <row r="50">
          <cell r="A50" t="str">
            <v xml:space="preserve">   2.b.</v>
          </cell>
          <cell r="C50" t="str">
            <v>DUMP TRUCK</v>
          </cell>
          <cell r="G50" t="str">
            <v>(E09)</v>
          </cell>
        </row>
        <row r="51">
          <cell r="C51" t="str">
            <v>Kapasitas bak</v>
          </cell>
          <cell r="G51" t="str">
            <v>V</v>
          </cell>
          <cell r="H51">
            <v>6</v>
          </cell>
          <cell r="I51" t="str">
            <v>M3</v>
          </cell>
          <cell r="L51" t="str">
            <v>D.</v>
          </cell>
          <cell r="N51" t="str">
            <v>JUMLAH HARGA TENAGA, BAHAN DAN PERALATAN  ( A + B + C )</v>
          </cell>
          <cell r="U51">
            <v>277029.42347999959</v>
          </cell>
        </row>
        <row r="52">
          <cell r="C52" t="str">
            <v>Faktor Efisiensi alat</v>
          </cell>
          <cell r="G52" t="str">
            <v>Fa</v>
          </cell>
          <cell r="H52">
            <v>0.83</v>
          </cell>
          <cell r="I52" t="str">
            <v>-</v>
          </cell>
          <cell r="L52" t="str">
            <v>E.</v>
          </cell>
          <cell r="N52" t="str">
            <v>OVERHEAD &amp; PROFIT</v>
          </cell>
          <cell r="P52">
            <v>10</v>
          </cell>
          <cell r="Q52" t="str">
            <v>%  x  D</v>
          </cell>
          <cell r="U52">
            <v>27702.94234799996</v>
          </cell>
        </row>
        <row r="53">
          <cell r="C53" t="str">
            <v>Kecepatan rata-rata bermuatan</v>
          </cell>
          <cell r="G53" t="str">
            <v>v1</v>
          </cell>
          <cell r="H53">
            <v>45</v>
          </cell>
          <cell r="I53" t="str">
            <v>KM/jam</v>
          </cell>
          <cell r="L53" t="str">
            <v>F.</v>
          </cell>
          <cell r="N53" t="str">
            <v>HARGA SATUAN PEKERJAAN  ( D + E )</v>
          </cell>
          <cell r="U53">
            <v>304732.36582799954</v>
          </cell>
        </row>
        <row r="54">
          <cell r="C54" t="str">
            <v>Kecepatan rata-rata kosong</v>
          </cell>
          <cell r="G54" t="str">
            <v>v2</v>
          </cell>
          <cell r="H54">
            <v>60</v>
          </cell>
          <cell r="I54" t="str">
            <v>KM/jam</v>
          </cell>
          <cell r="L54" t="str">
            <v>Note: 1</v>
          </cell>
          <cell r="N54" t="str">
            <v>SATUAN dapat berdasarkan atas jam operasi untuk Tenaga Kerja dan Peralatan, volume dan/atau ukuran</v>
          </cell>
        </row>
        <row r="55">
          <cell r="C55" t="str">
            <v>Waktu Siklus  :  - Waktu memuat = V : Q1 x 60</v>
          </cell>
          <cell r="G55" t="str">
            <v>T1</v>
          </cell>
          <cell r="H55">
            <v>12.851405622489958</v>
          </cell>
          <cell r="I55" t="str">
            <v>menit</v>
          </cell>
          <cell r="N55" t="str">
            <v>berat untuk bahan-bahan.</v>
          </cell>
        </row>
        <row r="56">
          <cell r="C56" t="str">
            <v>- Waktu tempuh isi  =  (L : v1) x 60 menit</v>
          </cell>
          <cell r="G56" t="str">
            <v>T2</v>
          </cell>
          <cell r="H56">
            <v>11.633333333333333</v>
          </cell>
          <cell r="I56" t="str">
            <v>menit</v>
          </cell>
          <cell r="L56">
            <v>2</v>
          </cell>
          <cell r="N56" t="str">
            <v>Kuantitas satuan adalah kuantitas setiap komponen untuk menyelesaikan satu satuan pekerjaan dari nomor</v>
          </cell>
        </row>
        <row r="57">
          <cell r="C57" t="str">
            <v>- Waktu tempuh kosong  =  (L : v2) x 60 menit</v>
          </cell>
          <cell r="G57" t="str">
            <v>T3</v>
          </cell>
          <cell r="H57">
            <v>8.7249999999999996</v>
          </cell>
          <cell r="I57" t="str">
            <v>menit</v>
          </cell>
          <cell r="N57" t="str">
            <v>mata pembayaran.</v>
          </cell>
        </row>
        <row r="58">
          <cell r="C58" t="str">
            <v>- Dump dan lain-lain</v>
          </cell>
          <cell r="G58" t="str">
            <v>T4</v>
          </cell>
          <cell r="H58">
            <v>3</v>
          </cell>
          <cell r="I58" t="str">
            <v>menit</v>
          </cell>
          <cell r="L58">
            <v>3</v>
          </cell>
          <cell r="N58" t="str">
            <v>Biaya satuan untuk peralatan sudah termasuk bahan bakar, bahan habis dipakai dan operator.</v>
          </cell>
        </row>
        <row r="59">
          <cell r="G59" t="str">
            <v>Ts2</v>
          </cell>
          <cell r="H59">
            <v>36.20973895582329</v>
          </cell>
          <cell r="I59" t="str">
            <v>menit</v>
          </cell>
          <cell r="L59">
            <v>4</v>
          </cell>
          <cell r="N59" t="str">
            <v>Biaya satuan sudah termasuk pengeluaran untuk seluruh pajak yang berkaitan (tetapi tidak termasuk PPN</v>
          </cell>
        </row>
        <row r="60">
          <cell r="N60" t="str">
            <v>yang dibayar dari kontrak) dan biaya-biaya lainnya.</v>
          </cell>
        </row>
        <row r="61">
          <cell r="J61" t="str">
            <v>Berlanjut ke hal. berikut</v>
          </cell>
        </row>
        <row r="62">
          <cell r="A62" t="str">
            <v>ITEM PEMBAYARAN NO.</v>
          </cell>
          <cell r="D62" t="str">
            <v>:  5.1 (1)</v>
          </cell>
          <cell r="J62" t="str">
            <v>Analisa EI-511</v>
          </cell>
        </row>
        <row r="63">
          <cell r="A63" t="str">
            <v>JENIS PEKERJAAN</v>
          </cell>
          <cell r="D63" t="str">
            <v>:  Lps. Pond. Ag. Kls. A, CBR Min 80%</v>
          </cell>
        </row>
        <row r="64">
          <cell r="A64" t="str">
            <v>SATUAN PEMBAYARAN</v>
          </cell>
          <cell r="D64" t="str">
            <v>:  M3</v>
          </cell>
          <cell r="H64" t="str">
            <v xml:space="preserve">         URAIAN ANALISA HARGA SATUAN</v>
          </cell>
        </row>
        <row r="65">
          <cell r="J65" t="str">
            <v>Lanjutan</v>
          </cell>
        </row>
        <row r="67">
          <cell r="A67" t="str">
            <v>No.</v>
          </cell>
          <cell r="C67" t="str">
            <v>U R A I A N</v>
          </cell>
          <cell r="G67" t="str">
            <v>KODE</v>
          </cell>
          <cell r="H67" t="str">
            <v>KOEF.</v>
          </cell>
          <cell r="I67" t="str">
            <v>SATUAN</v>
          </cell>
          <cell r="J67" t="str">
            <v>KETERANGAN</v>
          </cell>
        </row>
        <row r="70">
          <cell r="C70" t="str">
            <v>Kap. Prod. / jam =</v>
          </cell>
          <cell r="D70" t="str">
            <v>V x Fa x 60</v>
          </cell>
          <cell r="G70" t="str">
            <v>Q2</v>
          </cell>
          <cell r="H70">
            <v>6.8766030129017413</v>
          </cell>
          <cell r="I70" t="str">
            <v>M3</v>
          </cell>
        </row>
        <row r="71">
          <cell r="D71" t="str">
            <v>Fk x Ts2</v>
          </cell>
        </row>
        <row r="72">
          <cell r="C72" t="str">
            <v>Koefisien Alat / M3</v>
          </cell>
          <cell r="D72" t="str">
            <v xml:space="preserve"> =  1  :  Q2</v>
          </cell>
          <cell r="G72" t="str">
            <v>(E09)</v>
          </cell>
          <cell r="H72">
            <v>0.14542063837680036</v>
          </cell>
          <cell r="I72" t="str">
            <v>jam</v>
          </cell>
        </row>
        <row r="74">
          <cell r="A74" t="str">
            <v xml:space="preserve">   2.c.</v>
          </cell>
          <cell r="C74" t="str">
            <v>MOTOR GRADER</v>
          </cell>
          <cell r="G74" t="str">
            <v>(E13)</v>
          </cell>
        </row>
        <row r="75">
          <cell r="C75" t="str">
            <v>Panjang hamparan</v>
          </cell>
          <cell r="G75" t="str">
            <v>Lh</v>
          </cell>
          <cell r="H75">
            <v>50</v>
          </cell>
          <cell r="I75" t="str">
            <v>M</v>
          </cell>
        </row>
        <row r="76">
          <cell r="C76" t="str">
            <v>Lebar efektif kerja blade</v>
          </cell>
          <cell r="G76" t="str">
            <v>b</v>
          </cell>
          <cell r="H76">
            <v>2.4</v>
          </cell>
          <cell r="I76" t="str">
            <v>M</v>
          </cell>
        </row>
        <row r="77">
          <cell r="C77" t="str">
            <v>Faktor Efisiensi alat</v>
          </cell>
          <cell r="G77" t="str">
            <v>Fa</v>
          </cell>
          <cell r="H77">
            <v>0.83</v>
          </cell>
          <cell r="I77" t="str">
            <v>-</v>
          </cell>
        </row>
        <row r="78">
          <cell r="C78" t="str">
            <v>Kecepatan rata-rata alat</v>
          </cell>
          <cell r="G78" t="str">
            <v>v</v>
          </cell>
          <cell r="H78">
            <v>4</v>
          </cell>
          <cell r="I78" t="str">
            <v>KM/jam</v>
          </cell>
        </row>
        <row r="79">
          <cell r="C79" t="str">
            <v>Jumlah lintasan</v>
          </cell>
          <cell r="G79" t="str">
            <v>n</v>
          </cell>
          <cell r="H79">
            <v>6</v>
          </cell>
          <cell r="I79" t="str">
            <v>lintasan</v>
          </cell>
          <cell r="J79" t="str">
            <v xml:space="preserve"> 3 x pp</v>
          </cell>
        </row>
        <row r="80">
          <cell r="C80" t="str">
            <v>Waktu Siklus :</v>
          </cell>
          <cell r="G80" t="str">
            <v>Ts3</v>
          </cell>
        </row>
        <row r="81">
          <cell r="C81" t="str">
            <v>- Perataan 1 lintasan  =  Lh : (v x 1000) x 60</v>
          </cell>
          <cell r="G81" t="str">
            <v>T1</v>
          </cell>
          <cell r="H81">
            <v>0.75</v>
          </cell>
          <cell r="I81" t="str">
            <v>menit</v>
          </cell>
        </row>
        <row r="82">
          <cell r="C82" t="str">
            <v>- Lain-lain</v>
          </cell>
          <cell r="G82" t="str">
            <v>T2</v>
          </cell>
          <cell r="H82">
            <v>1</v>
          </cell>
          <cell r="I82" t="str">
            <v>menit</v>
          </cell>
        </row>
        <row r="83">
          <cell r="G83" t="str">
            <v>Ts3</v>
          </cell>
          <cell r="H83">
            <v>1.75</v>
          </cell>
          <cell r="I83" t="str">
            <v>menit</v>
          </cell>
        </row>
        <row r="85">
          <cell r="C85" t="str">
            <v>Kap. Prod. / jam =</v>
          </cell>
          <cell r="D85" t="str">
            <v>Lh x b x t x Fa x 60</v>
          </cell>
          <cell r="G85" t="str">
            <v>Q3</v>
          </cell>
          <cell r="H85">
            <v>85.371428571428567</v>
          </cell>
          <cell r="I85" t="str">
            <v>M3</v>
          </cell>
        </row>
        <row r="86">
          <cell r="D86" t="str">
            <v>n x Ts3</v>
          </cell>
        </row>
        <row r="87">
          <cell r="C87" t="str">
            <v>Koefisien Alat / M3</v>
          </cell>
          <cell r="D87" t="str">
            <v xml:space="preserve"> =  1  :  Q3</v>
          </cell>
          <cell r="G87" t="str">
            <v>(E13)</v>
          </cell>
          <cell r="H87">
            <v>1.1713520749665328E-2</v>
          </cell>
          <cell r="I87" t="str">
            <v>jam</v>
          </cell>
        </row>
        <row r="89">
          <cell r="A89" t="str">
            <v xml:space="preserve">   2.d.</v>
          </cell>
          <cell r="C89" t="str">
            <v>VIBRATORY ROLLER</v>
          </cell>
          <cell r="G89" t="str">
            <v>(E19)</v>
          </cell>
        </row>
        <row r="90">
          <cell r="C90" t="str">
            <v>Kecepatan rata-rata alat</v>
          </cell>
          <cell r="G90" t="str">
            <v>v</v>
          </cell>
          <cell r="H90">
            <v>3</v>
          </cell>
          <cell r="I90" t="str">
            <v>KM/jam</v>
          </cell>
        </row>
        <row r="91">
          <cell r="C91" t="str">
            <v>Lebar efektif pemadatan</v>
          </cell>
          <cell r="G91" t="str">
            <v>b</v>
          </cell>
          <cell r="H91">
            <v>1.2</v>
          </cell>
          <cell r="I91" t="str">
            <v>M</v>
          </cell>
        </row>
        <row r="92">
          <cell r="C92" t="str">
            <v>Jumlah lintasan</v>
          </cell>
          <cell r="G92" t="str">
            <v>n</v>
          </cell>
          <cell r="H92">
            <v>8</v>
          </cell>
          <cell r="I92" t="str">
            <v>lintasan</v>
          </cell>
        </row>
        <row r="93">
          <cell r="C93" t="str">
            <v>Faktor Efisiensi alat</v>
          </cell>
          <cell r="G93" t="str">
            <v>Fa</v>
          </cell>
          <cell r="H93">
            <v>0.83</v>
          </cell>
          <cell r="I93" t="str">
            <v>-</v>
          </cell>
        </row>
        <row r="95">
          <cell r="C95" t="str">
            <v>Kap. Prod. / jam =</v>
          </cell>
          <cell r="D95" t="str">
            <v>(v x 1000) x b x t x Fa</v>
          </cell>
          <cell r="G95" t="str">
            <v>Q4</v>
          </cell>
          <cell r="H95">
            <v>56.024999999999999</v>
          </cell>
          <cell r="I95" t="str">
            <v>M3</v>
          </cell>
        </row>
        <row r="96">
          <cell r="D96" t="str">
            <v>n</v>
          </cell>
        </row>
        <row r="97">
          <cell r="C97" t="str">
            <v>Koefisien Alat / M3</v>
          </cell>
          <cell r="D97" t="str">
            <v xml:space="preserve"> =  1  :  Q4</v>
          </cell>
          <cell r="G97" t="str">
            <v>(E19)</v>
          </cell>
          <cell r="H97">
            <v>1.7849174475680501E-2</v>
          </cell>
          <cell r="I97" t="str">
            <v>jam</v>
          </cell>
        </row>
        <row r="99">
          <cell r="A99" t="str">
            <v xml:space="preserve">   2.e.</v>
          </cell>
          <cell r="C99" t="str">
            <v>PNEUMATIC TIRE ROLLER</v>
          </cell>
          <cell r="G99" t="str">
            <v>(E18)</v>
          </cell>
        </row>
        <row r="100">
          <cell r="C100" t="str">
            <v>Kecepatan rata-rata alat</v>
          </cell>
          <cell r="G100" t="str">
            <v>v</v>
          </cell>
          <cell r="H100">
            <v>5</v>
          </cell>
          <cell r="I100" t="str">
            <v>KM/jam</v>
          </cell>
        </row>
        <row r="101">
          <cell r="C101" t="str">
            <v>Lebar efektif pemadatan</v>
          </cell>
          <cell r="G101" t="str">
            <v>b</v>
          </cell>
          <cell r="H101">
            <v>1.5</v>
          </cell>
          <cell r="I101" t="str">
            <v>M</v>
          </cell>
        </row>
        <row r="102">
          <cell r="C102" t="str">
            <v>Jumlah lintasan</v>
          </cell>
          <cell r="G102" t="str">
            <v>n</v>
          </cell>
          <cell r="H102">
            <v>4</v>
          </cell>
          <cell r="I102" t="str">
            <v>lintasan</v>
          </cell>
        </row>
        <row r="103">
          <cell r="C103" t="str">
            <v>Faktor Efisiensi alat</v>
          </cell>
          <cell r="G103" t="str">
            <v>Fa</v>
          </cell>
          <cell r="H103">
            <v>0.83</v>
          </cell>
          <cell r="I103" t="str">
            <v>-</v>
          </cell>
        </row>
        <row r="105">
          <cell r="C105" t="str">
            <v>Kap. Prod. / jam =</v>
          </cell>
          <cell r="D105" t="str">
            <v>(v x 1000) x b x t x Fa</v>
          </cell>
          <cell r="G105" t="str">
            <v>Q5</v>
          </cell>
          <cell r="H105">
            <v>233.4375</v>
          </cell>
          <cell r="I105" t="str">
            <v>M3</v>
          </cell>
        </row>
        <row r="106">
          <cell r="D106" t="str">
            <v>n</v>
          </cell>
        </row>
        <row r="107">
          <cell r="C107" t="str">
            <v>Koefisien Alat / M3</v>
          </cell>
          <cell r="D107" t="str">
            <v xml:space="preserve"> =  1  :  Q5</v>
          </cell>
          <cell r="G107" t="str">
            <v>(E18)</v>
          </cell>
          <cell r="H107">
            <v>4.2838018741633201E-3</v>
          </cell>
          <cell r="I107" t="str">
            <v>jam</v>
          </cell>
        </row>
        <row r="109">
          <cell r="A109" t="str">
            <v xml:space="preserve">   2.f.</v>
          </cell>
          <cell r="C109" t="str">
            <v>WATER TANK TRUCK</v>
          </cell>
          <cell r="G109" t="str">
            <v>(E23)</v>
          </cell>
        </row>
        <row r="110">
          <cell r="C110" t="str">
            <v>Volume tanki air</v>
          </cell>
          <cell r="G110" t="str">
            <v>V</v>
          </cell>
          <cell r="H110">
            <v>4</v>
          </cell>
          <cell r="I110" t="str">
            <v>M3</v>
          </cell>
        </row>
        <row r="111">
          <cell r="C111" t="str">
            <v>Kebutuhan air / M3 agregat padat</v>
          </cell>
          <cell r="G111" t="str">
            <v>Wc</v>
          </cell>
          <cell r="H111">
            <v>7.0000000000000007E-2</v>
          </cell>
          <cell r="I111" t="str">
            <v>M3</v>
          </cell>
        </row>
        <row r="112">
          <cell r="C112" t="str">
            <v>Pengisian tanki / jam</v>
          </cell>
          <cell r="G112" t="str">
            <v>n</v>
          </cell>
          <cell r="H112">
            <v>1</v>
          </cell>
          <cell r="I112" t="str">
            <v>kali</v>
          </cell>
        </row>
        <row r="113">
          <cell r="C113" t="str">
            <v>Faktor Efisiensi alat</v>
          </cell>
          <cell r="G113" t="str">
            <v>Fa</v>
          </cell>
          <cell r="H113">
            <v>0.83</v>
          </cell>
          <cell r="I113" t="str">
            <v>-</v>
          </cell>
        </row>
        <row r="115">
          <cell r="C115" t="str">
            <v>Kap. Prod. / jam =</v>
          </cell>
          <cell r="D115" t="str">
            <v>V x n x Fa</v>
          </cell>
          <cell r="G115" t="str">
            <v>Q6</v>
          </cell>
          <cell r="H115">
            <v>47.428571428571423</v>
          </cell>
          <cell r="I115" t="str">
            <v>M3</v>
          </cell>
        </row>
        <row r="116">
          <cell r="D116" t="str">
            <v>Wc</v>
          </cell>
        </row>
        <row r="117">
          <cell r="C117" t="str">
            <v>Koefisien Alat / M3</v>
          </cell>
          <cell r="D117" t="str">
            <v xml:space="preserve"> =  1  :  Q6</v>
          </cell>
          <cell r="G117" t="str">
            <v>(E23)</v>
          </cell>
          <cell r="H117">
            <v>2.1084337349397592E-2</v>
          </cell>
          <cell r="I117" t="str">
            <v>jam</v>
          </cell>
        </row>
        <row r="120">
          <cell r="J120" t="str">
            <v>Berlanjut ke hal. berikut</v>
          </cell>
        </row>
        <row r="121">
          <cell r="A121" t="str">
            <v>ITEM PEMBAYARAN NO.</v>
          </cell>
          <cell r="D121" t="str">
            <v>:  5.1 (1)</v>
          </cell>
          <cell r="J121" t="str">
            <v>Analisa EI-511</v>
          </cell>
        </row>
        <row r="122">
          <cell r="A122" t="str">
            <v>JENIS PEKERJAAN</v>
          </cell>
          <cell r="D122" t="str">
            <v>:  Lps. Pond. Ag. Kls. A, CBR Min 80%</v>
          </cell>
        </row>
        <row r="123">
          <cell r="A123" t="str">
            <v>SATUAN PEMBAYARAN</v>
          </cell>
          <cell r="D123" t="str">
            <v>:  M3</v>
          </cell>
          <cell r="H123" t="str">
            <v xml:space="preserve">         URAIAN ANALISA HARGA SATUAN</v>
          </cell>
        </row>
        <row r="124">
          <cell r="J124" t="str">
            <v>Lanjutan</v>
          </cell>
        </row>
        <row r="126">
          <cell r="A126" t="str">
            <v>No.</v>
          </cell>
          <cell r="C126" t="str">
            <v>U R A I A N</v>
          </cell>
          <cell r="G126" t="str">
            <v>KODE</v>
          </cell>
          <cell r="H126" t="str">
            <v>KOEF.</v>
          </cell>
          <cell r="I126" t="str">
            <v>SATUAN</v>
          </cell>
          <cell r="J126" t="str">
            <v>KETERANGAN</v>
          </cell>
        </row>
        <row r="129">
          <cell r="A129" t="str">
            <v xml:space="preserve">   2.g.</v>
          </cell>
          <cell r="C129" t="str">
            <v>ALAT BANTU</v>
          </cell>
          <cell r="J129" t="str">
            <v xml:space="preserve"> Lump Sum</v>
          </cell>
        </row>
        <row r="130">
          <cell r="C130" t="str">
            <v>Diperlukan   :</v>
          </cell>
        </row>
        <row r="131">
          <cell r="C131" t="str">
            <v>- Kereta dorong</v>
          </cell>
          <cell r="D131" t="str">
            <v>=  2  buah.</v>
          </cell>
        </row>
        <row r="132">
          <cell r="C132" t="str">
            <v>- Sekop</v>
          </cell>
          <cell r="D132" t="str">
            <v>=  3  buah.</v>
          </cell>
        </row>
        <row r="133">
          <cell r="C133" t="str">
            <v>- Garpu</v>
          </cell>
          <cell r="D133" t="str">
            <v>=  2  buah.</v>
          </cell>
        </row>
        <row r="135">
          <cell r="A135" t="str">
            <v xml:space="preserve">   3.</v>
          </cell>
          <cell r="C135" t="str">
            <v>TENAGA</v>
          </cell>
        </row>
        <row r="136">
          <cell r="C136" t="str">
            <v>Produksi menentukan : WHEEL LOADER</v>
          </cell>
          <cell r="G136" t="str">
            <v>Q1</v>
          </cell>
          <cell r="H136">
            <v>28.012500000000003</v>
          </cell>
          <cell r="I136" t="str">
            <v>M3/jam</v>
          </cell>
        </row>
        <row r="137">
          <cell r="C137" t="str">
            <v>Produksi agregat / hari  =  Tk x Q1</v>
          </cell>
          <cell r="G137" t="str">
            <v>Qt</v>
          </cell>
          <cell r="H137">
            <v>196.08750000000003</v>
          </cell>
          <cell r="I137" t="str">
            <v>M3</v>
          </cell>
        </row>
        <row r="138">
          <cell r="C138" t="str">
            <v>Kebutuhan tenaga :</v>
          </cell>
        </row>
        <row r="139">
          <cell r="D139" t="str">
            <v>- Pekerja</v>
          </cell>
          <cell r="G139" t="str">
            <v>P</v>
          </cell>
          <cell r="H139">
            <v>7</v>
          </cell>
          <cell r="I139" t="str">
            <v>orang</v>
          </cell>
        </row>
        <row r="140">
          <cell r="D140" t="str">
            <v>- Mandor</v>
          </cell>
          <cell r="G140" t="str">
            <v>M</v>
          </cell>
          <cell r="H140">
            <v>1</v>
          </cell>
          <cell r="I140" t="str">
            <v>orang</v>
          </cell>
        </row>
        <row r="142">
          <cell r="C142" t="str">
            <v>Koefisien tenaga / M3   :</v>
          </cell>
        </row>
        <row r="143">
          <cell r="D143" t="str">
            <v>- Pekerja</v>
          </cell>
          <cell r="E143" t="str">
            <v>= (Tk x P) : Qt</v>
          </cell>
          <cell r="G143" t="str">
            <v>(L01)</v>
          </cell>
          <cell r="H143">
            <v>0.24988844265952695</v>
          </cell>
          <cell r="I143" t="str">
            <v>jam</v>
          </cell>
        </row>
        <row r="144">
          <cell r="D144" t="str">
            <v>- Mandor</v>
          </cell>
          <cell r="E144" t="str">
            <v>= (Tk x M) : Qt</v>
          </cell>
          <cell r="G144" t="str">
            <v>(L03)</v>
          </cell>
          <cell r="H144">
            <v>3.5698348951360995E-2</v>
          </cell>
          <cell r="I144" t="str">
            <v>jam</v>
          </cell>
        </row>
        <row r="146">
          <cell r="A146" t="str">
            <v>4.</v>
          </cell>
          <cell r="C146" t="str">
            <v>HARGA DASAR SATUAN UPAH, BAHAN DAN ALAT</v>
          </cell>
        </row>
        <row r="147">
          <cell r="C147" t="str">
            <v>Lihat lampiran.</v>
          </cell>
        </row>
        <row r="149">
          <cell r="A149" t="str">
            <v>5.</v>
          </cell>
          <cell r="C149" t="str">
            <v>ANALISA HARGA SATUAN PEKERJAAN</v>
          </cell>
        </row>
        <row r="150">
          <cell r="C150" t="str">
            <v>Lihat perhitungan dalam FORMULIR STANDAR UNTUK</v>
          </cell>
        </row>
        <row r="151">
          <cell r="C151" t="str">
            <v>PEREKAMAN ANALISA MASING-MASING HARGA</v>
          </cell>
        </row>
        <row r="152">
          <cell r="C152" t="str">
            <v>SATUAN.</v>
          </cell>
        </row>
        <row r="153">
          <cell r="C153" t="str">
            <v>Didapat Harga Satuan Pekerjaan :</v>
          </cell>
        </row>
        <row r="155">
          <cell r="C155" t="str">
            <v xml:space="preserve">Rp.  </v>
          </cell>
          <cell r="D155">
            <v>304732.36582799954</v>
          </cell>
          <cell r="E155" t="str">
            <v xml:space="preserve"> / M3.</v>
          </cell>
        </row>
        <row r="158">
          <cell r="A158" t="str">
            <v>6.</v>
          </cell>
          <cell r="C158" t="str">
            <v>WAKTU PELAKSANAAN YANG DIPERLUKAN</v>
          </cell>
        </row>
        <row r="159">
          <cell r="C159" t="str">
            <v>Masa Pelaksanaan :</v>
          </cell>
          <cell r="D159" t="str">
            <v>. . . . . . . . . . . .</v>
          </cell>
          <cell r="E159" t="str">
            <v>bulan</v>
          </cell>
        </row>
        <row r="161">
          <cell r="A161" t="str">
            <v>7.</v>
          </cell>
          <cell r="C161" t="str">
            <v>VOLUME PEKERJAAN YANG DIPERLUKAN</v>
          </cell>
        </row>
        <row r="162">
          <cell r="C162" t="str">
            <v>Volume pekerjaan  :</v>
          </cell>
          <cell r="D162">
            <v>1</v>
          </cell>
          <cell r="E162" t="str">
            <v>M3</v>
          </cell>
        </row>
        <row r="180">
          <cell r="A180" t="str">
            <v>ITEM PEMBAYARAN NO.</v>
          </cell>
          <cell r="D180" t="str">
            <v>:  5.1 (2)</v>
          </cell>
          <cell r="J180" t="str">
            <v>Analisa EI-512</v>
          </cell>
          <cell r="T180" t="str">
            <v>Analisa EI-512</v>
          </cell>
        </row>
        <row r="181">
          <cell r="A181" t="str">
            <v>JENIS PEKERJAAN</v>
          </cell>
          <cell r="D181" t="str">
            <v>:  Lps. Pond. Ag. Kls. B, CBR Min 35%</v>
          </cell>
        </row>
        <row r="182">
          <cell r="A182" t="str">
            <v>SATUAN PEMBAYARAN</v>
          </cell>
          <cell r="D182" t="str">
            <v>:  M3</v>
          </cell>
          <cell r="H182" t="str">
            <v xml:space="preserve">         URAIAN ANALISA HARGA SATUAN</v>
          </cell>
          <cell r="L182" t="str">
            <v>FORMULIR STANDAR UNTUK</v>
          </cell>
        </row>
        <row r="183">
          <cell r="L183" t="str">
            <v>PEREKAMAN ANALISA MASING-MASING HARGA SATUAN</v>
          </cell>
        </row>
        <row r="184">
          <cell r="L184" t="str">
            <v/>
          </cell>
        </row>
        <row r="185">
          <cell r="A185" t="str">
            <v>No.</v>
          </cell>
          <cell r="C185" t="str">
            <v>U R A I A N</v>
          </cell>
          <cell r="G185" t="str">
            <v>KODE</v>
          </cell>
          <cell r="H185" t="str">
            <v>KOEF.</v>
          </cell>
          <cell r="I185" t="str">
            <v>SATUAN</v>
          </cell>
          <cell r="J185" t="str">
            <v>KETERANGAN</v>
          </cell>
        </row>
        <row r="187">
          <cell r="L187" t="str">
            <v>PROYEK</v>
          </cell>
          <cell r="O187" t="str">
            <v xml:space="preserve">:  </v>
          </cell>
        </row>
        <row r="188">
          <cell r="A188" t="str">
            <v>I.</v>
          </cell>
          <cell r="C188" t="str">
            <v>ASUMSI</v>
          </cell>
          <cell r="L188" t="str">
            <v>No. PAKET KONTRAK</v>
          </cell>
          <cell r="O188" t="str">
            <v xml:space="preserve">:  </v>
          </cell>
        </row>
        <row r="189">
          <cell r="A189">
            <v>1</v>
          </cell>
          <cell r="C189" t="str">
            <v>Menggunakan alat berat (cara mekanik)</v>
          </cell>
          <cell r="L189" t="str">
            <v>NAMA PAKET</v>
          </cell>
          <cell r="O189" t="str">
            <v xml:space="preserve">:  </v>
          </cell>
        </row>
        <row r="190">
          <cell r="A190">
            <v>2</v>
          </cell>
          <cell r="C190" t="str">
            <v>Lokasi pekerjaan : sepanjang jalan</v>
          </cell>
          <cell r="L190" t="str">
            <v>PROP / KAB / KODYA</v>
          </cell>
          <cell r="O190" t="str">
            <v xml:space="preserve">:  </v>
          </cell>
        </row>
        <row r="191">
          <cell r="A191">
            <v>3</v>
          </cell>
          <cell r="C191" t="str">
            <v>Kondisi existing jalan : sedang</v>
          </cell>
          <cell r="L191" t="str">
            <v>ITEM PEMBAYARAN NO.</v>
          </cell>
          <cell r="O191" t="str">
            <v>:  5.1 (2)</v>
          </cell>
          <cell r="R191" t="str">
            <v>PERKIRAAN VOL. PEK.</v>
          </cell>
          <cell r="T191" t="str">
            <v>:</v>
          </cell>
          <cell r="U191">
            <v>1</v>
          </cell>
        </row>
        <row r="192">
          <cell r="A192">
            <v>4</v>
          </cell>
          <cell r="C192" t="str">
            <v>Jarak rata-rata Base Camp ke lokasi pekerjaan</v>
          </cell>
          <cell r="G192" t="str">
            <v>L</v>
          </cell>
          <cell r="H192">
            <v>8.7249999999999996</v>
          </cell>
          <cell r="I192" t="str">
            <v>KM</v>
          </cell>
          <cell r="L192" t="str">
            <v>JENIS PEKERJAAN</v>
          </cell>
          <cell r="O192" t="str">
            <v>:  Lps. Pond. Ag. Kls. B, CBR Min 35%</v>
          </cell>
          <cell r="R192" t="str">
            <v>TOTAL HARGA</v>
          </cell>
          <cell r="T192" t="str">
            <v>:</v>
          </cell>
          <cell r="U192">
            <v>339061.22823589185</v>
          </cell>
        </row>
        <row r="193">
          <cell r="A193">
            <v>5</v>
          </cell>
          <cell r="C193" t="str">
            <v>Tebal lapis agregat padat</v>
          </cell>
          <cell r="G193" t="str">
            <v>t</v>
          </cell>
          <cell r="H193">
            <v>0.15</v>
          </cell>
          <cell r="I193" t="str">
            <v>M</v>
          </cell>
          <cell r="L193" t="str">
            <v>SATUAN PEMBAYARAN</v>
          </cell>
          <cell r="O193" t="str">
            <v>:  M3</v>
          </cell>
          <cell r="R193" t="str">
            <v>% THD. BIAYA PROYEK</v>
          </cell>
          <cell r="T193" t="str">
            <v>:</v>
          </cell>
          <cell r="U193">
            <v>8.0681907126475844E-3</v>
          </cell>
        </row>
        <row r="194">
          <cell r="A194">
            <v>6</v>
          </cell>
          <cell r="C194" t="str">
            <v>Faktor kembang material (Padat-Lepas)</v>
          </cell>
          <cell r="G194" t="str">
            <v>Fk</v>
          </cell>
          <cell r="H194">
            <v>1.2</v>
          </cell>
          <cell r="I194" t="str">
            <v>-</v>
          </cell>
        </row>
        <row r="195">
          <cell r="A195">
            <v>7</v>
          </cell>
          <cell r="C195" t="str">
            <v>Jam kerja efektif per-hari</v>
          </cell>
          <cell r="G195" t="str">
            <v>Tk</v>
          </cell>
          <cell r="H195">
            <v>7</v>
          </cell>
          <cell r="I195" t="str">
            <v>jam</v>
          </cell>
        </row>
        <row r="196">
          <cell r="A196">
            <v>8</v>
          </cell>
          <cell r="C196" t="str">
            <v>Proporsi Campuran :</v>
          </cell>
          <cell r="D196" t="str">
            <v>- Agregat Kasar</v>
          </cell>
          <cell r="G196" t="str">
            <v>Ak</v>
          </cell>
          <cell r="H196">
            <v>35</v>
          </cell>
          <cell r="I196" t="str">
            <v>%</v>
          </cell>
          <cell r="J196" t="str">
            <v xml:space="preserve"> Gradasi harus</v>
          </cell>
          <cell r="Q196" t="str">
            <v>PERKIRAAN</v>
          </cell>
          <cell r="R196" t="str">
            <v>HARGA</v>
          </cell>
          <cell r="S196" t="str">
            <v>JUMLAH</v>
          </cell>
        </row>
        <row r="197">
          <cell r="D197" t="str">
            <v>- Agregat Halus</v>
          </cell>
          <cell r="G197" t="str">
            <v>Ah</v>
          </cell>
          <cell r="H197">
            <v>20</v>
          </cell>
          <cell r="I197" t="str">
            <v>%</v>
          </cell>
          <cell r="J197" t="str">
            <v xml:space="preserve"> memenuhi</v>
          </cell>
          <cell r="L197" t="str">
            <v>NO.</v>
          </cell>
          <cell r="N197" t="str">
            <v>KOMPONEN</v>
          </cell>
          <cell r="P197" t="str">
            <v>SATUAN</v>
          </cell>
          <cell r="Q197" t="str">
            <v>KUANTITAS</v>
          </cell>
          <cell r="R197" t="str">
            <v>SATUAN</v>
          </cell>
          <cell r="S197" t="str">
            <v>HARGA</v>
          </cell>
        </row>
        <row r="198">
          <cell r="D198" t="str">
            <v>- Sirtu</v>
          </cell>
          <cell r="G198" t="str">
            <v>St</v>
          </cell>
          <cell r="H198">
            <v>45</v>
          </cell>
          <cell r="I198" t="str">
            <v>%</v>
          </cell>
          <cell r="J198" t="str">
            <v xml:space="preserve"> Spesifikasi</v>
          </cell>
          <cell r="R198" t="str">
            <v>(Rp.)</v>
          </cell>
          <cell r="S198" t="str">
            <v>(Rp.)</v>
          </cell>
        </row>
        <row r="199">
          <cell r="A199" t="str">
            <v>II.</v>
          </cell>
          <cell r="C199" t="str">
            <v>URUTAN KERJA</v>
          </cell>
        </row>
        <row r="200">
          <cell r="A200">
            <v>1</v>
          </cell>
          <cell r="C200" t="str">
            <v>Wheel Loader mencampur dan memuat Agregat ke</v>
          </cell>
        </row>
        <row r="201">
          <cell r="C201" t="str">
            <v>dalam Dump Truck di Base Camp</v>
          </cell>
          <cell r="L201" t="str">
            <v>A.</v>
          </cell>
          <cell r="N201" t="str">
            <v>TENAGA</v>
          </cell>
        </row>
        <row r="202">
          <cell r="A202">
            <v>2</v>
          </cell>
          <cell r="C202" t="str">
            <v>Dump Truck mengangkut Agregat ke lokasi</v>
          </cell>
        </row>
        <row r="203">
          <cell r="C203" t="str">
            <v>pekerjaan dan dihampar dengan Motor Grader</v>
          </cell>
          <cell r="L203" t="str">
            <v>1.</v>
          </cell>
          <cell r="N203" t="str">
            <v>Pekerja</v>
          </cell>
          <cell r="O203" t="str">
            <v>(L01)</v>
          </cell>
          <cell r="P203" t="str">
            <v>jam</v>
          </cell>
          <cell r="Q203">
            <v>0.24988844265952695</v>
          </cell>
          <cell r="R203">
            <v>2857.14</v>
          </cell>
          <cell r="U203">
            <v>713.96626506024074</v>
          </cell>
        </row>
        <row r="204">
          <cell r="A204">
            <v>3</v>
          </cell>
          <cell r="C204" t="str">
            <v>Hamparan Agregat dibasahi dengan Water Tank</v>
          </cell>
          <cell r="L204" t="str">
            <v>2.</v>
          </cell>
          <cell r="N204" t="str">
            <v>Mandor</v>
          </cell>
          <cell r="O204" t="str">
            <v>(L03)</v>
          </cell>
          <cell r="P204" t="str">
            <v>jam</v>
          </cell>
          <cell r="Q204">
            <v>3.5698348951360995E-2</v>
          </cell>
          <cell r="R204">
            <v>3214.29</v>
          </cell>
          <cell r="U204">
            <v>114.74484605087014</v>
          </cell>
        </row>
        <row r="205">
          <cell r="C205" t="str">
            <v>Truck sebelum dipadatkan dengan Tandem</v>
          </cell>
        </row>
        <row r="206">
          <cell r="C206" t="str">
            <v>Roller dan Pneumatic Tire Roller</v>
          </cell>
        </row>
        <row r="207">
          <cell r="A207">
            <v>4</v>
          </cell>
          <cell r="C207" t="str">
            <v>Selama pemadatan, sekelompok pekerja akan</v>
          </cell>
          <cell r="Q207" t="str">
            <v xml:space="preserve">JUMLAH HARGA TENAGA   </v>
          </cell>
          <cell r="U207">
            <v>828.71111111111088</v>
          </cell>
        </row>
        <row r="208">
          <cell r="C208" t="str">
            <v>merapikan tepi hamparan dan level permukaan</v>
          </cell>
        </row>
        <row r="209">
          <cell r="C209" t="str">
            <v>dengan menggunakan Alat Bantu</v>
          </cell>
          <cell r="L209" t="str">
            <v>B.</v>
          </cell>
          <cell r="N209" t="str">
            <v>BAHAN</v>
          </cell>
        </row>
        <row r="210">
          <cell r="A210" t="str">
            <v>III.</v>
          </cell>
          <cell r="C210" t="str">
            <v>PEMAKAIAN BAHAN, ALAT DAN TENAGA</v>
          </cell>
        </row>
        <row r="211">
          <cell r="A211" t="str">
            <v xml:space="preserve">   1.</v>
          </cell>
          <cell r="C211" t="str">
            <v>BAHAN</v>
          </cell>
          <cell r="L211" t="str">
            <v>1.</v>
          </cell>
          <cell r="N211" t="str">
            <v>Agregat Kasar   (M03)</v>
          </cell>
          <cell r="P211" t="str">
            <v>M3</v>
          </cell>
          <cell r="Q211">
            <v>0.42</v>
          </cell>
          <cell r="R211">
            <v>222345.54558042376</v>
          </cell>
          <cell r="U211">
            <v>93385.129143777973</v>
          </cell>
        </row>
        <row r="212">
          <cell r="C212" t="str">
            <v>- Agregat Kasar</v>
          </cell>
          <cell r="D212" t="str">
            <v>=  Ak x 1 M3 x Fk</v>
          </cell>
          <cell r="G212" t="str">
            <v>M03</v>
          </cell>
          <cell r="H212">
            <v>0.42</v>
          </cell>
          <cell r="I212" t="str">
            <v>M3</v>
          </cell>
          <cell r="L212" t="str">
            <v>2.</v>
          </cell>
          <cell r="N212" t="str">
            <v>Agregat Halus    (M04)</v>
          </cell>
          <cell r="P212" t="str">
            <v>M3</v>
          </cell>
          <cell r="Q212">
            <v>0.24</v>
          </cell>
          <cell r="R212">
            <v>194196.70775416915</v>
          </cell>
          <cell r="U212">
            <v>46607.209861000592</v>
          </cell>
        </row>
        <row r="213">
          <cell r="C213" t="str">
            <v>- Agregat Halus</v>
          </cell>
          <cell r="D213" t="str">
            <v>=  Ah x 1 M3 x Fk</v>
          </cell>
          <cell r="G213" t="str">
            <v>M04</v>
          </cell>
          <cell r="H213">
            <v>0.24</v>
          </cell>
          <cell r="I213" t="str">
            <v>M3</v>
          </cell>
          <cell r="L213" t="str">
            <v>3.</v>
          </cell>
          <cell r="N213" t="str">
            <v>Sirtu</v>
          </cell>
          <cell r="O213" t="str">
            <v>(M16)</v>
          </cell>
          <cell r="P213" t="str">
            <v>M3</v>
          </cell>
          <cell r="Q213">
            <v>0.54</v>
          </cell>
          <cell r="R213">
            <v>264500</v>
          </cell>
          <cell r="U213">
            <v>142830</v>
          </cell>
        </row>
        <row r="214">
          <cell r="C214" t="str">
            <v>- Sirtu</v>
          </cell>
          <cell r="D214" t="str">
            <v>=  St x 1 M3 x Fk</v>
          </cell>
          <cell r="G214" t="str">
            <v>M16</v>
          </cell>
          <cell r="H214">
            <v>0.54</v>
          </cell>
          <cell r="I214" t="str">
            <v>M3</v>
          </cell>
        </row>
        <row r="215">
          <cell r="A215" t="str">
            <v xml:space="preserve">   2.</v>
          </cell>
          <cell r="C215" t="str">
            <v>ALAT</v>
          </cell>
        </row>
        <row r="216">
          <cell r="A216" t="str">
            <v xml:space="preserve">   2.a.</v>
          </cell>
          <cell r="C216" t="str">
            <v>WHEEL LOADER</v>
          </cell>
          <cell r="G216" t="str">
            <v>(E15)</v>
          </cell>
        </row>
        <row r="217">
          <cell r="C217" t="str">
            <v>Kapasitas bucket</v>
          </cell>
          <cell r="G217" t="str">
            <v>V</v>
          </cell>
          <cell r="H217">
            <v>1.5</v>
          </cell>
          <cell r="I217" t="str">
            <v>M3</v>
          </cell>
          <cell r="Q217" t="str">
            <v xml:space="preserve">JUMLAH HARGA BAHAN   </v>
          </cell>
          <cell r="U217">
            <v>282822.33900477854</v>
          </cell>
        </row>
        <row r="218">
          <cell r="C218" t="str">
            <v>Faktor bucket</v>
          </cell>
          <cell r="G218" t="str">
            <v>Fb</v>
          </cell>
          <cell r="H218">
            <v>0.9</v>
          </cell>
          <cell r="I218" t="str">
            <v>-</v>
          </cell>
        </row>
        <row r="219">
          <cell r="C219" t="str">
            <v>Faktor Efisiensi alat</v>
          </cell>
          <cell r="G219" t="str">
            <v>Fa</v>
          </cell>
          <cell r="H219">
            <v>0.83</v>
          </cell>
          <cell r="I219" t="str">
            <v>-</v>
          </cell>
          <cell r="L219" t="str">
            <v>C.</v>
          </cell>
          <cell r="N219" t="str">
            <v>PERALATAN</v>
          </cell>
        </row>
        <row r="220">
          <cell r="C220" t="str">
            <v>Waktu Siklus :</v>
          </cell>
          <cell r="G220" t="str">
            <v>Ts1</v>
          </cell>
          <cell r="L220" t="str">
            <v>1.</v>
          </cell>
          <cell r="N220" t="str">
            <v>Wheel Loader</v>
          </cell>
          <cell r="O220" t="str">
            <v>(E15)</v>
          </cell>
          <cell r="P220" t="str">
            <v>jam</v>
          </cell>
          <cell r="Q220">
            <v>3.5698348951360995E-2</v>
          </cell>
          <cell r="R220">
            <v>163808.13869490434</v>
          </cell>
          <cell r="U220">
            <v>5847.680096203635</v>
          </cell>
        </row>
        <row r="221">
          <cell r="C221" t="str">
            <v>- Mencampur</v>
          </cell>
          <cell r="G221" t="str">
            <v>T1</v>
          </cell>
          <cell r="H221">
            <v>1.5</v>
          </cell>
          <cell r="I221" t="str">
            <v>menit</v>
          </cell>
          <cell r="L221" t="str">
            <v>2.</v>
          </cell>
          <cell r="N221" t="str">
            <v>Dump Truck</v>
          </cell>
          <cell r="O221" t="str">
            <v>(E09)</v>
          </cell>
          <cell r="P221" t="str">
            <v>jam</v>
          </cell>
          <cell r="Q221">
            <v>0.14542063837680036</v>
          </cell>
          <cell r="R221">
            <v>70230.073977639215</v>
          </cell>
          <cell r="U221">
            <v>10212.90219107821</v>
          </cell>
        </row>
        <row r="222">
          <cell r="C222" t="str">
            <v>- Memuat dan lain-lain</v>
          </cell>
          <cell r="G222" t="str">
            <v>T2</v>
          </cell>
          <cell r="H222">
            <v>0.5</v>
          </cell>
          <cell r="I222" t="str">
            <v>menit</v>
          </cell>
          <cell r="L222" t="str">
            <v>3.</v>
          </cell>
          <cell r="N222" t="str">
            <v>Motor Grader</v>
          </cell>
          <cell r="O222" t="str">
            <v>(E13)</v>
          </cell>
          <cell r="P222" t="str">
            <v>jam</v>
          </cell>
          <cell r="Q222">
            <v>1.1713520749665328E-2</v>
          </cell>
          <cell r="R222">
            <v>201666.62574070093</v>
          </cell>
          <cell r="U222">
            <v>2362.2262051286921</v>
          </cell>
        </row>
        <row r="223">
          <cell r="G223" t="str">
            <v>Ts1</v>
          </cell>
          <cell r="H223">
            <v>2</v>
          </cell>
          <cell r="I223" t="str">
            <v>menit</v>
          </cell>
          <cell r="L223" t="str">
            <v>4.</v>
          </cell>
          <cell r="N223" t="str">
            <v>Vibratory Roller</v>
          </cell>
          <cell r="O223" t="str">
            <v>(E19)</v>
          </cell>
          <cell r="P223" t="str">
            <v>jam</v>
          </cell>
          <cell r="Q223">
            <v>1.7849174475680501E-2</v>
          </cell>
          <cell r="R223">
            <v>234734.82748629327</v>
          </cell>
          <cell r="U223">
            <v>4189.8228913216117</v>
          </cell>
        </row>
        <row r="224">
          <cell r="L224" t="str">
            <v>5.</v>
          </cell>
          <cell r="N224" t="str">
            <v>P. Tyre Roller</v>
          </cell>
          <cell r="O224" t="str">
            <v>(E18)</v>
          </cell>
          <cell r="P224" t="str">
            <v>jam</v>
          </cell>
          <cell r="Q224">
            <v>4.2838018741633201E-3</v>
          </cell>
          <cell r="R224">
            <v>113384.24751021285</v>
          </cell>
          <cell r="U224">
            <v>485.71565198484757</v>
          </cell>
        </row>
        <row r="225">
          <cell r="C225" t="str">
            <v>Kap. Prod. / jam =</v>
          </cell>
          <cell r="D225" t="str">
            <v>V x Fb x Fa x 60</v>
          </cell>
          <cell r="G225" t="str">
            <v>Q1</v>
          </cell>
          <cell r="H225">
            <v>28.012500000000003</v>
          </cell>
          <cell r="I225" t="str">
            <v>M3</v>
          </cell>
          <cell r="L225" t="str">
            <v>6.</v>
          </cell>
          <cell r="N225" t="str">
            <v>Water Tanker</v>
          </cell>
          <cell r="O225" t="str">
            <v>(E23)</v>
          </cell>
          <cell r="P225" t="str">
            <v>jam</v>
          </cell>
          <cell r="Q225">
            <v>2.1084337349397592E-2</v>
          </cell>
          <cell r="R225">
            <v>67020.510980434308</v>
          </cell>
          <cell r="U225">
            <v>1413.0830628404826</v>
          </cell>
        </row>
        <row r="226">
          <cell r="D226" t="str">
            <v>Fk x Ts1</v>
          </cell>
          <cell r="L226" t="str">
            <v>7.</v>
          </cell>
          <cell r="N226" t="str">
            <v>Alat Bantu</v>
          </cell>
          <cell r="P226" t="str">
            <v>Ls</v>
          </cell>
          <cell r="Q226">
            <v>1</v>
          </cell>
          <cell r="R226">
            <v>75</v>
          </cell>
          <cell r="U226">
            <v>75</v>
          </cell>
        </row>
        <row r="227">
          <cell r="C227" t="str">
            <v>Koefisien Alat / M3</v>
          </cell>
          <cell r="D227" t="str">
            <v xml:space="preserve"> =  1  :  Q1</v>
          </cell>
          <cell r="G227" t="str">
            <v>(E15)</v>
          </cell>
          <cell r="H227">
            <v>3.5698348951360995E-2</v>
          </cell>
          <cell r="I227" t="str">
            <v>jam</v>
          </cell>
        </row>
        <row r="228">
          <cell r="Q228" t="str">
            <v xml:space="preserve">JUMLAH HARGA PERALATAN   </v>
          </cell>
          <cell r="U228">
            <v>24586.430098557481</v>
          </cell>
        </row>
        <row r="229">
          <cell r="A229" t="str">
            <v xml:space="preserve">   2.b.</v>
          </cell>
          <cell r="C229" t="str">
            <v>DUMP TRUCK</v>
          </cell>
          <cell r="G229" t="str">
            <v>(E09)</v>
          </cell>
        </row>
        <row r="230">
          <cell r="C230" t="str">
            <v>Kapasitas bak</v>
          </cell>
          <cell r="G230" t="str">
            <v>V</v>
          </cell>
          <cell r="H230">
            <v>6</v>
          </cell>
          <cell r="I230" t="str">
            <v>M3</v>
          </cell>
          <cell r="L230" t="str">
            <v>D.</v>
          </cell>
          <cell r="N230" t="str">
            <v>JUMLAH HARGA TENAGA, BAHAN DAN PERALATAN  ( A + B + C )</v>
          </cell>
          <cell r="U230">
            <v>308237.48021444713</v>
          </cell>
        </row>
        <row r="231">
          <cell r="C231" t="str">
            <v>Faktor Efisiensi alat</v>
          </cell>
          <cell r="G231" t="str">
            <v>Fa</v>
          </cell>
          <cell r="H231">
            <v>0.83</v>
          </cell>
          <cell r="I231" t="str">
            <v>-</v>
          </cell>
          <cell r="L231" t="str">
            <v>E.</v>
          </cell>
          <cell r="N231" t="str">
            <v>OVERHEAD &amp; PROFIT</v>
          </cell>
          <cell r="P231">
            <v>10</v>
          </cell>
          <cell r="Q231" t="str">
            <v>%  x  D</v>
          </cell>
          <cell r="U231">
            <v>30823.748021444713</v>
          </cell>
        </row>
        <row r="232">
          <cell r="C232" t="str">
            <v>Kecepatan rata-rata bermuatan</v>
          </cell>
          <cell r="G232" t="str">
            <v>v1</v>
          </cell>
          <cell r="H232">
            <v>45</v>
          </cell>
          <cell r="I232" t="str">
            <v>KM/jam</v>
          </cell>
          <cell r="L232" t="str">
            <v>F.</v>
          </cell>
          <cell r="N232" t="str">
            <v>HARGA SATUAN PEKERJAAN  ( D + E )</v>
          </cell>
          <cell r="U232">
            <v>339061.22823589185</v>
          </cell>
        </row>
        <row r="233">
          <cell r="C233" t="str">
            <v>Kecepatan rata-rata kosong</v>
          </cell>
          <cell r="G233" t="str">
            <v>v2</v>
          </cell>
          <cell r="H233">
            <v>60</v>
          </cell>
          <cell r="I233" t="str">
            <v>KM/jam</v>
          </cell>
          <cell r="L233" t="str">
            <v>Note: 1</v>
          </cell>
          <cell r="N233" t="str">
            <v>SATUAN dapat berdasarkan atas jam operasi untuk Tenaga Kerja dan Peralatan, volume dan/atau ukuran</v>
          </cell>
        </row>
        <row r="234">
          <cell r="C234" t="str">
            <v>Waktu Siklus  :  - Waktu memuat = V : Q1 x 60</v>
          </cell>
          <cell r="G234" t="str">
            <v>T1</v>
          </cell>
          <cell r="H234">
            <v>12.851405622489958</v>
          </cell>
          <cell r="I234" t="str">
            <v>menit</v>
          </cell>
          <cell r="N234" t="str">
            <v>berat untuk bahan-bahan.</v>
          </cell>
        </row>
        <row r="235">
          <cell r="C235" t="str">
            <v>- Waktu tempuh isi  =  (L : v1) x 60 menit</v>
          </cell>
          <cell r="G235" t="str">
            <v>T2</v>
          </cell>
          <cell r="H235">
            <v>11.633333333333333</v>
          </cell>
          <cell r="I235" t="str">
            <v>menit</v>
          </cell>
          <cell r="L235">
            <v>2</v>
          </cell>
          <cell r="N235" t="str">
            <v>Kuantitas satuan adalah kuantitas setiap komponen untuk menyelesaikan satu satuan pekerjaan dari nomor</v>
          </cell>
        </row>
        <row r="236">
          <cell r="C236" t="str">
            <v>- Waktu tempuh kosong  =  (L : v2) x 60 menit</v>
          </cell>
          <cell r="G236" t="str">
            <v>T3</v>
          </cell>
          <cell r="H236">
            <v>8.7249999999999996</v>
          </cell>
          <cell r="I236" t="str">
            <v>menit</v>
          </cell>
          <cell r="N236" t="str">
            <v>mata pembayaran.</v>
          </cell>
        </row>
        <row r="237">
          <cell r="C237" t="str">
            <v>- Dump dan lain-lain</v>
          </cell>
          <cell r="G237" t="str">
            <v>T4</v>
          </cell>
          <cell r="H237">
            <v>3</v>
          </cell>
          <cell r="I237" t="str">
            <v>menit</v>
          </cell>
          <cell r="L237">
            <v>3</v>
          </cell>
          <cell r="N237" t="str">
            <v>Biaya satuan untuk peralatan sudah termasuk bahan bakar, bahan habis dipakai dan operator.</v>
          </cell>
        </row>
        <row r="238">
          <cell r="G238" t="str">
            <v>Ts2</v>
          </cell>
          <cell r="H238">
            <v>36.20973895582329</v>
          </cell>
          <cell r="I238" t="str">
            <v>menit</v>
          </cell>
          <cell r="L238">
            <v>4</v>
          </cell>
          <cell r="N238" t="str">
            <v>Biaya satuan sudah termasuk pengeluaran untuk seluruh pajak yang berkaitan (tetapi tidak termasuk PPN</v>
          </cell>
        </row>
        <row r="239">
          <cell r="N239" t="str">
            <v>yang dibayar dari kontrak) dan biaya-biaya lainnya.</v>
          </cell>
        </row>
        <row r="240">
          <cell r="J240" t="str">
            <v>Berlanjut ke hal. berikut</v>
          </cell>
        </row>
        <row r="241">
          <cell r="A241" t="str">
            <v>ITEM PEMBAYARAN NO.</v>
          </cell>
          <cell r="D241" t="str">
            <v>:  5.1 (2)</v>
          </cell>
          <cell r="J241" t="str">
            <v>Analisa EI-512</v>
          </cell>
        </row>
        <row r="242">
          <cell r="A242" t="str">
            <v>JENIS PEKERJAAN</v>
          </cell>
          <cell r="D242" t="str">
            <v>:  Lps. Pond. Ag. Kls. B, CBR Min 35%</v>
          </cell>
        </row>
        <row r="243">
          <cell r="A243" t="str">
            <v>SATUAN PEMBAYARAN</v>
          </cell>
          <cell r="D243" t="str">
            <v>:  M3</v>
          </cell>
          <cell r="H243" t="str">
            <v xml:space="preserve">         URAIAN ANALISA HARGA SATUAN</v>
          </cell>
        </row>
        <row r="244">
          <cell r="J244" t="str">
            <v>Lanjutan</v>
          </cell>
        </row>
        <row r="246">
          <cell r="A246" t="str">
            <v>No.</v>
          </cell>
          <cell r="C246" t="str">
            <v>U R A I A N</v>
          </cell>
          <cell r="G246" t="str">
            <v>KODE</v>
          </cell>
          <cell r="H246" t="str">
            <v>KOEF.</v>
          </cell>
          <cell r="I246" t="str">
            <v>SATUAN</v>
          </cell>
          <cell r="J246" t="str">
            <v>KETERANGAN</v>
          </cell>
        </row>
        <row r="249">
          <cell r="C249" t="str">
            <v>Kap. Prod. / jam =</v>
          </cell>
          <cell r="D249" t="str">
            <v>V x Fa x 60</v>
          </cell>
          <cell r="G249" t="str">
            <v>Q2</v>
          </cell>
          <cell r="H249">
            <v>6.8766030129017413</v>
          </cell>
          <cell r="I249" t="str">
            <v>M3</v>
          </cell>
        </row>
        <row r="250">
          <cell r="D250" t="str">
            <v>Fk x Ts2</v>
          </cell>
        </row>
        <row r="251">
          <cell r="C251" t="str">
            <v>Koefisien Alat / M3</v>
          </cell>
          <cell r="D251" t="str">
            <v xml:space="preserve"> =  1  :  Q2</v>
          </cell>
          <cell r="G251" t="str">
            <v>-</v>
          </cell>
          <cell r="H251">
            <v>0.14542063837680036</v>
          </cell>
          <cell r="I251" t="str">
            <v>jam</v>
          </cell>
        </row>
        <row r="253">
          <cell r="A253" t="str">
            <v xml:space="preserve">   2.c.</v>
          </cell>
          <cell r="C253" t="str">
            <v>MOTOR GRADER</v>
          </cell>
          <cell r="G253" t="str">
            <v>(E13)</v>
          </cell>
        </row>
        <row r="254">
          <cell r="C254" t="str">
            <v>Panjang hamparan</v>
          </cell>
          <cell r="G254" t="str">
            <v>Lh</v>
          </cell>
          <cell r="H254">
            <v>50</v>
          </cell>
          <cell r="I254" t="str">
            <v>M</v>
          </cell>
        </row>
        <row r="255">
          <cell r="C255" t="str">
            <v>Lebar efektif kerja blade</v>
          </cell>
          <cell r="G255" t="str">
            <v>b</v>
          </cell>
          <cell r="H255">
            <v>2.4</v>
          </cell>
          <cell r="I255" t="str">
            <v>M</v>
          </cell>
        </row>
        <row r="256">
          <cell r="C256" t="str">
            <v>Faktor Efisiensi alat</v>
          </cell>
          <cell r="G256" t="str">
            <v>Fa</v>
          </cell>
          <cell r="H256">
            <v>0.83</v>
          </cell>
          <cell r="I256" t="str">
            <v>-</v>
          </cell>
        </row>
        <row r="257">
          <cell r="C257" t="str">
            <v>Kecepatan rata-rata alat</v>
          </cell>
          <cell r="G257" t="str">
            <v>v</v>
          </cell>
          <cell r="H257">
            <v>4</v>
          </cell>
          <cell r="I257" t="str">
            <v>KM/jam</v>
          </cell>
        </row>
        <row r="258">
          <cell r="C258" t="str">
            <v>Jumlah lintasan</v>
          </cell>
          <cell r="G258" t="str">
            <v>n</v>
          </cell>
          <cell r="H258">
            <v>6</v>
          </cell>
          <cell r="I258" t="str">
            <v>lintasan</v>
          </cell>
          <cell r="J258" t="str">
            <v xml:space="preserve"> 3 x pp</v>
          </cell>
        </row>
        <row r="259">
          <cell r="C259" t="str">
            <v>Waktu Siklus :</v>
          </cell>
          <cell r="G259" t="str">
            <v>Ts3</v>
          </cell>
        </row>
        <row r="260">
          <cell r="C260" t="str">
            <v>- Perataan 1 lintasan  =  Lh : (v x 1000) x 60</v>
          </cell>
          <cell r="G260" t="str">
            <v>T1</v>
          </cell>
          <cell r="H260">
            <v>0.75</v>
          </cell>
          <cell r="I260" t="str">
            <v>menit</v>
          </cell>
        </row>
        <row r="261">
          <cell r="C261" t="str">
            <v>- Lain-lain</v>
          </cell>
          <cell r="G261" t="str">
            <v>T2</v>
          </cell>
          <cell r="H261">
            <v>1</v>
          </cell>
          <cell r="I261" t="str">
            <v>menit</v>
          </cell>
        </row>
        <row r="262">
          <cell r="G262" t="str">
            <v>Ts3</v>
          </cell>
          <cell r="H262">
            <v>1.75</v>
          </cell>
          <cell r="I262" t="str">
            <v>menit</v>
          </cell>
        </row>
        <row r="264">
          <cell r="C264" t="str">
            <v>Kap. Prod. / jam =</v>
          </cell>
          <cell r="D264" t="str">
            <v>Lh x b x t x Fa x 60</v>
          </cell>
          <cell r="G264" t="str">
            <v>Q3</v>
          </cell>
          <cell r="H264">
            <v>85.371428571428567</v>
          </cell>
          <cell r="I264" t="str">
            <v>M3</v>
          </cell>
        </row>
        <row r="265">
          <cell r="D265" t="str">
            <v>n x Ts3</v>
          </cell>
        </row>
        <row r="266">
          <cell r="C266" t="str">
            <v>Koefisien Alat / M3</v>
          </cell>
          <cell r="D266" t="str">
            <v xml:space="preserve"> =  1  :  Q3</v>
          </cell>
          <cell r="G266" t="str">
            <v>(E13)</v>
          </cell>
          <cell r="H266">
            <v>1.1713520749665328E-2</v>
          </cell>
          <cell r="I266" t="str">
            <v>jam</v>
          </cell>
        </row>
        <row r="268">
          <cell r="A268" t="str">
            <v xml:space="preserve">   2.d.</v>
          </cell>
          <cell r="C268" t="str">
            <v>VIBRATORY ROLLER</v>
          </cell>
          <cell r="G268" t="str">
            <v>(E19)</v>
          </cell>
        </row>
        <row r="269">
          <cell r="C269" t="str">
            <v>Kecepatan rata-rata alat</v>
          </cell>
          <cell r="G269" t="str">
            <v>v</v>
          </cell>
          <cell r="H269">
            <v>3</v>
          </cell>
          <cell r="I269" t="str">
            <v>KM/jam</v>
          </cell>
        </row>
        <row r="270">
          <cell r="C270" t="str">
            <v>Lebar efektif pemadatan</v>
          </cell>
          <cell r="G270" t="str">
            <v>b</v>
          </cell>
          <cell r="H270">
            <v>1.2</v>
          </cell>
          <cell r="I270" t="str">
            <v>M</v>
          </cell>
        </row>
        <row r="271">
          <cell r="C271" t="str">
            <v>Jumlah lintasan</v>
          </cell>
          <cell r="G271" t="str">
            <v>n</v>
          </cell>
          <cell r="H271">
            <v>8</v>
          </cell>
          <cell r="I271" t="str">
            <v>lintasan</v>
          </cell>
        </row>
        <row r="272">
          <cell r="C272" t="str">
            <v>Faktor Efisiensi alat</v>
          </cell>
          <cell r="G272" t="str">
            <v>Fa</v>
          </cell>
          <cell r="H272">
            <v>0.83</v>
          </cell>
          <cell r="I272" t="str">
            <v>-</v>
          </cell>
        </row>
        <row r="274">
          <cell r="C274" t="str">
            <v>Kap. Prod. / jam =</v>
          </cell>
          <cell r="D274" t="str">
            <v>(v x 1000) x b x t x Fa</v>
          </cell>
          <cell r="G274" t="str">
            <v>Q4</v>
          </cell>
          <cell r="H274">
            <v>56.024999999999999</v>
          </cell>
          <cell r="I274" t="str">
            <v>M3</v>
          </cell>
        </row>
        <row r="275">
          <cell r="D275" t="str">
            <v>n</v>
          </cell>
        </row>
        <row r="276">
          <cell r="C276" t="str">
            <v>Koefisien Alat / M3</v>
          </cell>
          <cell r="D276" t="str">
            <v xml:space="preserve"> =  1  :  Q4</v>
          </cell>
          <cell r="G276" t="str">
            <v>(E19)</v>
          </cell>
          <cell r="H276">
            <v>1.7849174475680501E-2</v>
          </cell>
          <cell r="I276" t="str">
            <v>jam</v>
          </cell>
        </row>
        <row r="278">
          <cell r="A278" t="str">
            <v xml:space="preserve">   2.e.</v>
          </cell>
          <cell r="C278" t="str">
            <v>PNEUMATIC TIRE ROLLER</v>
          </cell>
          <cell r="G278" t="str">
            <v>(E18)</v>
          </cell>
        </row>
        <row r="279">
          <cell r="C279" t="str">
            <v>Kecepatan rata-rata alat</v>
          </cell>
          <cell r="G279" t="str">
            <v>v</v>
          </cell>
          <cell r="H279">
            <v>5</v>
          </cell>
          <cell r="I279" t="str">
            <v>KM/jam</v>
          </cell>
        </row>
        <row r="280">
          <cell r="C280" t="str">
            <v>Lebar efektif pemadatan</v>
          </cell>
          <cell r="G280" t="str">
            <v>b</v>
          </cell>
          <cell r="H280">
            <v>1.5</v>
          </cell>
          <cell r="I280" t="str">
            <v>M</v>
          </cell>
        </row>
        <row r="281">
          <cell r="C281" t="str">
            <v>Jumlah lintasan</v>
          </cell>
          <cell r="G281" t="str">
            <v>n</v>
          </cell>
          <cell r="H281">
            <v>4</v>
          </cell>
          <cell r="I281" t="str">
            <v>lintasan</v>
          </cell>
        </row>
        <row r="282">
          <cell r="C282" t="str">
            <v>Faktor Efisiensi alat</v>
          </cell>
          <cell r="G282" t="str">
            <v>Fa</v>
          </cell>
          <cell r="H282">
            <v>0.83</v>
          </cell>
          <cell r="I282" t="str">
            <v>-</v>
          </cell>
        </row>
        <row r="284">
          <cell r="C284" t="str">
            <v>Kap. Prod. / jam =</v>
          </cell>
          <cell r="D284" t="str">
            <v>(v x 1000) x b x t x Fa</v>
          </cell>
          <cell r="G284" t="str">
            <v>Q5</v>
          </cell>
          <cell r="H284">
            <v>233.4375</v>
          </cell>
          <cell r="I284" t="str">
            <v>M3</v>
          </cell>
        </row>
        <row r="285">
          <cell r="D285" t="str">
            <v>n</v>
          </cell>
        </row>
        <row r="286">
          <cell r="C286" t="str">
            <v>Koefisien Alat / M3</v>
          </cell>
          <cell r="D286" t="str">
            <v xml:space="preserve"> =  1  :  Q5</v>
          </cell>
          <cell r="G286" t="str">
            <v>(E18)</v>
          </cell>
          <cell r="H286">
            <v>4.2838018741633201E-3</v>
          </cell>
          <cell r="I286" t="str">
            <v>jam</v>
          </cell>
        </row>
        <row r="288">
          <cell r="A288" t="str">
            <v xml:space="preserve">   2.f.</v>
          </cell>
          <cell r="C288" t="str">
            <v>WATER TANK TRUCK</v>
          </cell>
          <cell r="G288" t="str">
            <v>(E23)</v>
          </cell>
        </row>
        <row r="289">
          <cell r="C289" t="str">
            <v>Volume tanki air</v>
          </cell>
          <cell r="G289" t="str">
            <v>V</v>
          </cell>
          <cell r="H289">
            <v>4</v>
          </cell>
          <cell r="I289" t="str">
            <v>M3</v>
          </cell>
        </row>
        <row r="290">
          <cell r="C290" t="str">
            <v>Kebutuhan air / M3 agregat padat</v>
          </cell>
          <cell r="G290" t="str">
            <v>Wc</v>
          </cell>
          <cell r="H290">
            <v>7.0000000000000007E-2</v>
          </cell>
          <cell r="I290" t="str">
            <v>M3</v>
          </cell>
        </row>
        <row r="291">
          <cell r="C291" t="str">
            <v>Pengisian tanki / jam</v>
          </cell>
          <cell r="G291" t="str">
            <v>n</v>
          </cell>
          <cell r="H291">
            <v>1</v>
          </cell>
          <cell r="I291" t="str">
            <v>kali</v>
          </cell>
        </row>
        <row r="292">
          <cell r="C292" t="str">
            <v>Faktor Efisiensi alat</v>
          </cell>
          <cell r="G292" t="str">
            <v>Fa</v>
          </cell>
          <cell r="H292">
            <v>0.83</v>
          </cell>
          <cell r="I292" t="str">
            <v>-</v>
          </cell>
        </row>
        <row r="294">
          <cell r="C294" t="str">
            <v>Kap. Prod. / jam =</v>
          </cell>
          <cell r="D294" t="str">
            <v>V x n x Fa</v>
          </cell>
          <cell r="G294" t="str">
            <v>Q6</v>
          </cell>
          <cell r="H294">
            <v>47.428571428571423</v>
          </cell>
          <cell r="I294" t="str">
            <v>M3</v>
          </cell>
        </row>
        <row r="295">
          <cell r="D295" t="str">
            <v>Wc</v>
          </cell>
        </row>
        <row r="296">
          <cell r="C296" t="str">
            <v>Koefisien Alat / M3</v>
          </cell>
          <cell r="D296" t="str">
            <v xml:space="preserve"> =  1  :  Q6</v>
          </cell>
          <cell r="G296" t="str">
            <v>(E23)</v>
          </cell>
          <cell r="H296">
            <v>2.1084337349397592E-2</v>
          </cell>
          <cell r="I296" t="str">
            <v>jam</v>
          </cell>
        </row>
        <row r="299">
          <cell r="J299" t="str">
            <v>Berlanjut ke hal. berikut</v>
          </cell>
        </row>
        <row r="300">
          <cell r="A300" t="str">
            <v>ITEM PEMBAYARAN NO.</v>
          </cell>
          <cell r="D300" t="str">
            <v>:  5.1 (2)</v>
          </cell>
          <cell r="J300" t="str">
            <v>Analisa EI-512</v>
          </cell>
        </row>
        <row r="301">
          <cell r="A301" t="str">
            <v>JENIS PEKERJAAN</v>
          </cell>
          <cell r="D301" t="str">
            <v>:  Lps. Pond. Ag. Kls. B, CBR Min 35%</v>
          </cell>
        </row>
        <row r="302">
          <cell r="A302" t="str">
            <v>SATUAN PEMBAYARAN</v>
          </cell>
          <cell r="D302" t="str">
            <v>:  M3</v>
          </cell>
          <cell r="H302" t="str">
            <v xml:space="preserve">         URAIAN ANALISA HARGA SATUAN</v>
          </cell>
        </row>
        <row r="303">
          <cell r="J303" t="str">
            <v>Lanjutan</v>
          </cell>
        </row>
        <row r="305">
          <cell r="A305" t="str">
            <v>No.</v>
          </cell>
          <cell r="C305" t="str">
            <v>U R A I A N</v>
          </cell>
          <cell r="G305" t="str">
            <v>KODE</v>
          </cell>
          <cell r="H305" t="str">
            <v>KOEF.</v>
          </cell>
          <cell r="I305" t="str">
            <v>SATUAN</v>
          </cell>
          <cell r="J305" t="str">
            <v>KETERANGAN</v>
          </cell>
        </row>
        <row r="308">
          <cell r="A308" t="str">
            <v xml:space="preserve">   2.g.</v>
          </cell>
          <cell r="C308" t="str">
            <v>ALAT BANTU</v>
          </cell>
          <cell r="J308" t="str">
            <v xml:space="preserve"> Lump Sum</v>
          </cell>
        </row>
        <row r="309">
          <cell r="C309" t="str">
            <v>Diperlukan   :</v>
          </cell>
        </row>
        <row r="310">
          <cell r="C310" t="str">
            <v>- Kereta dorong</v>
          </cell>
          <cell r="D310" t="str">
            <v>=  2  buah.</v>
          </cell>
        </row>
        <row r="311">
          <cell r="C311" t="str">
            <v>- Sekop</v>
          </cell>
          <cell r="D311" t="str">
            <v>=  3  buah.</v>
          </cell>
        </row>
        <row r="312">
          <cell r="C312" t="str">
            <v>- Garpu</v>
          </cell>
          <cell r="D312" t="str">
            <v>=  2  buah.</v>
          </cell>
        </row>
        <row r="314">
          <cell r="A314" t="str">
            <v xml:space="preserve">   3.</v>
          </cell>
          <cell r="C314" t="str">
            <v>TENAGA</v>
          </cell>
        </row>
        <row r="315">
          <cell r="C315" t="str">
            <v>Produksi menentukan : WHEEL LOADER</v>
          </cell>
          <cell r="G315" t="str">
            <v>Q1</v>
          </cell>
          <cell r="H315">
            <v>28.012500000000003</v>
          </cell>
          <cell r="I315" t="str">
            <v>M3/jam</v>
          </cell>
        </row>
        <row r="316">
          <cell r="C316" t="str">
            <v>Produksi agregat / hari  =  Tk x Q1</v>
          </cell>
          <cell r="G316" t="str">
            <v>Qt</v>
          </cell>
          <cell r="H316">
            <v>196.08750000000003</v>
          </cell>
          <cell r="I316" t="str">
            <v>M3</v>
          </cell>
        </row>
        <row r="317">
          <cell r="C317" t="str">
            <v>Kebutuhan tenaga :</v>
          </cell>
        </row>
        <row r="318">
          <cell r="D318" t="str">
            <v>- Pekerja</v>
          </cell>
          <cell r="G318" t="str">
            <v>P</v>
          </cell>
          <cell r="H318">
            <v>7</v>
          </cell>
          <cell r="I318" t="str">
            <v>orang</v>
          </cell>
        </row>
        <row r="319">
          <cell r="D319" t="str">
            <v>- Mandor</v>
          </cell>
          <cell r="G319" t="str">
            <v>M</v>
          </cell>
          <cell r="H319">
            <v>1</v>
          </cell>
          <cell r="I319" t="str">
            <v>orang</v>
          </cell>
        </row>
        <row r="321">
          <cell r="C321" t="str">
            <v>Koefisien tenaga / M3   :</v>
          </cell>
        </row>
        <row r="322">
          <cell r="D322" t="str">
            <v>- Pekerja</v>
          </cell>
          <cell r="E322" t="str">
            <v>= (Tk x P) : Qt</v>
          </cell>
          <cell r="G322" t="str">
            <v>-</v>
          </cell>
          <cell r="H322">
            <v>0.24988844265952695</v>
          </cell>
          <cell r="I322" t="str">
            <v>jam</v>
          </cell>
        </row>
        <row r="323">
          <cell r="D323" t="str">
            <v>- Mandor</v>
          </cell>
          <cell r="E323" t="str">
            <v>= (Tk x M) : Qt</v>
          </cell>
          <cell r="G323" t="str">
            <v>-</v>
          </cell>
          <cell r="H323">
            <v>3.5698348951360995E-2</v>
          </cell>
          <cell r="I323" t="str">
            <v>jam</v>
          </cell>
        </row>
        <row r="325">
          <cell r="A325" t="str">
            <v>4.</v>
          </cell>
          <cell r="C325" t="str">
            <v>HARGA DASAR SATUAN UPAH, BAHAN DAN ALAT</v>
          </cell>
        </row>
        <row r="326">
          <cell r="C326" t="str">
            <v>Lihat lampiran.</v>
          </cell>
        </row>
        <row r="328">
          <cell r="A328" t="str">
            <v>5.</v>
          </cell>
          <cell r="C328" t="str">
            <v>ANALISA HARGA SATUAN PEKERJAAN</v>
          </cell>
        </row>
        <row r="329">
          <cell r="C329" t="str">
            <v>Lihat perhitungan dalam FORMULIR STANDAR UNTUK</v>
          </cell>
        </row>
        <row r="330">
          <cell r="C330" t="str">
            <v>PEREKAMAN ANALISA MASING-MASING HARGA</v>
          </cell>
        </row>
        <row r="331">
          <cell r="C331" t="str">
            <v>SATUAN.</v>
          </cell>
        </row>
        <row r="332">
          <cell r="C332" t="str">
            <v>Didapat Harga Satuan Pekerjaan :</v>
          </cell>
        </row>
        <row r="334">
          <cell r="C334" t="str">
            <v xml:space="preserve">Rp.  </v>
          </cell>
          <cell r="D334">
            <v>339061.22823589185</v>
          </cell>
          <cell r="E334" t="str">
            <v xml:space="preserve"> / M3.</v>
          </cell>
        </row>
        <row r="337">
          <cell r="A337" t="str">
            <v>6.</v>
          </cell>
          <cell r="C337" t="str">
            <v>WAKTU PELAKSANAAN YANG DIPERLUKAN</v>
          </cell>
        </row>
        <row r="338">
          <cell r="C338" t="str">
            <v>Masa Pelaksanaan :</v>
          </cell>
          <cell r="D338" t="str">
            <v>. . . . . . . . . . . .</v>
          </cell>
          <cell r="E338" t="str">
            <v>bulan</v>
          </cell>
        </row>
        <row r="340">
          <cell r="A340" t="str">
            <v>7.</v>
          </cell>
          <cell r="C340" t="str">
            <v>VOLUME PEKERJAAN YANG DIPERLUKAN</v>
          </cell>
        </row>
        <row r="341">
          <cell r="C341" t="str">
            <v>Volume pekerjaan  :</v>
          </cell>
          <cell r="D341">
            <v>1</v>
          </cell>
          <cell r="E341" t="str">
            <v>M3</v>
          </cell>
        </row>
        <row r="359">
          <cell r="A359" t="str">
            <v>ITEM PEMBAYARAN NO.</v>
          </cell>
          <cell r="D359" t="str">
            <v>:  5.1 (3)</v>
          </cell>
          <cell r="J359" t="str">
            <v>Analisa EI-521</v>
          </cell>
          <cell r="T359" t="str">
            <v>Analisa EI-521</v>
          </cell>
        </row>
        <row r="360">
          <cell r="A360" t="str">
            <v>JENIS PEKERJAAN</v>
          </cell>
          <cell r="D360" t="str">
            <v>:  Lapis Pondasi Agregat Kelas C</v>
          </cell>
        </row>
        <row r="361">
          <cell r="A361" t="str">
            <v>SATUAN PEMBAYARAN</v>
          </cell>
          <cell r="D361" t="str">
            <v>:  M3</v>
          </cell>
          <cell r="H361" t="str">
            <v xml:space="preserve">         URAIAN ANALISA HARGA SATUAN</v>
          </cell>
          <cell r="L361" t="str">
            <v>FORMULIR STANDAR UNTUK</v>
          </cell>
        </row>
        <row r="362">
          <cell r="L362" t="str">
            <v>PEREKAMAN ANALISA MASING-MASING HARGA SATUAN</v>
          </cell>
        </row>
        <row r="363">
          <cell r="L363" t="str">
            <v/>
          </cell>
        </row>
        <row r="364">
          <cell r="A364" t="str">
            <v>No.</v>
          </cell>
          <cell r="C364" t="str">
            <v>U R A I A N</v>
          </cell>
          <cell r="G364" t="str">
            <v>KODE</v>
          </cell>
          <cell r="H364" t="str">
            <v>KOEF.</v>
          </cell>
          <cell r="I364" t="str">
            <v>SATUAN</v>
          </cell>
          <cell r="J364" t="str">
            <v>KETERANGAN</v>
          </cell>
        </row>
        <row r="366">
          <cell r="L366" t="str">
            <v>PROYEK</v>
          </cell>
          <cell r="O366" t="str">
            <v xml:space="preserve">:  </v>
          </cell>
        </row>
        <row r="367">
          <cell r="A367" t="str">
            <v>I.</v>
          </cell>
          <cell r="C367" t="str">
            <v>ASUMSI</v>
          </cell>
          <cell r="L367" t="str">
            <v>No. PAKET KONTRAK</v>
          </cell>
          <cell r="O367" t="str">
            <v xml:space="preserve">:  </v>
          </cell>
        </row>
        <row r="368">
          <cell r="A368">
            <v>1</v>
          </cell>
          <cell r="C368" t="str">
            <v>Menggunakan alat berat (cara mekanik)</v>
          </cell>
          <cell r="L368" t="str">
            <v>NAMA PAKET</v>
          </cell>
          <cell r="O368" t="str">
            <v xml:space="preserve">:  </v>
          </cell>
        </row>
        <row r="369">
          <cell r="A369">
            <v>2</v>
          </cell>
          <cell r="C369" t="str">
            <v>Lokasi pekerjaan : sepanjang jalan</v>
          </cell>
          <cell r="L369" t="str">
            <v>PROP / KAB / KODYA</v>
          </cell>
          <cell r="O369" t="str">
            <v xml:space="preserve">:  </v>
          </cell>
        </row>
        <row r="370">
          <cell r="A370">
            <v>3</v>
          </cell>
          <cell r="C370" t="str">
            <v>Kondisi existing jalan : sedang</v>
          </cell>
          <cell r="L370" t="str">
            <v>ITEM PEMBAYARAN NO.</v>
          </cell>
          <cell r="O370" t="str">
            <v>:  5.1 (3)</v>
          </cell>
          <cell r="R370" t="str">
            <v>PERKIRAAN VOL. PEK.</v>
          </cell>
          <cell r="T370" t="str">
            <v>:</v>
          </cell>
          <cell r="U370">
            <v>1</v>
          </cell>
        </row>
        <row r="371">
          <cell r="A371">
            <v>4</v>
          </cell>
          <cell r="C371" t="str">
            <v>Jarak rata-rata Base Camp ke lokasi pekerjaan</v>
          </cell>
          <cell r="G371" t="str">
            <v>L</v>
          </cell>
          <cell r="H371">
            <v>8.7249999999999996</v>
          </cell>
          <cell r="I371" t="str">
            <v>KM</v>
          </cell>
          <cell r="L371" t="str">
            <v>JENIS PEKERJAAN</v>
          </cell>
          <cell r="O371" t="str">
            <v>:  Lapis Pondasi Agregat Kelas C</v>
          </cell>
          <cell r="R371" t="str">
            <v>TOTAL HARGA</v>
          </cell>
          <cell r="T371" t="str">
            <v>:</v>
          </cell>
          <cell r="U371">
            <v>252395.66</v>
          </cell>
        </row>
        <row r="372">
          <cell r="A372">
            <v>5</v>
          </cell>
          <cell r="C372" t="str">
            <v>Tebal lapis Agregat padat</v>
          </cell>
          <cell r="G372" t="str">
            <v>t</v>
          </cell>
          <cell r="H372">
            <v>0.15</v>
          </cell>
          <cell r="I372" t="str">
            <v>M</v>
          </cell>
          <cell r="L372" t="str">
            <v>SATUAN PEMBAYARAN</v>
          </cell>
          <cell r="O372" t="str">
            <v>:  M3</v>
          </cell>
          <cell r="R372" t="str">
            <v>% THD. BIAYA PROYEK</v>
          </cell>
          <cell r="T372" t="str">
            <v>:</v>
          </cell>
          <cell r="U372">
            <v>6.005925037550471E-3</v>
          </cell>
        </row>
        <row r="373">
          <cell r="A373">
            <v>6</v>
          </cell>
          <cell r="C373" t="str">
            <v>Faktor kembang material (Padat-Lepas)</v>
          </cell>
          <cell r="G373" t="str">
            <v>Fk</v>
          </cell>
          <cell r="H373">
            <v>1.35</v>
          </cell>
          <cell r="I373" t="str">
            <v>-</v>
          </cell>
        </row>
        <row r="374">
          <cell r="A374">
            <v>7</v>
          </cell>
          <cell r="C374" t="str">
            <v>Jam kerja efektif per-hari</v>
          </cell>
          <cell r="G374" t="str">
            <v>Tk</v>
          </cell>
          <cell r="H374">
            <v>7</v>
          </cell>
          <cell r="I374" t="str">
            <v>Jam</v>
          </cell>
        </row>
        <row r="375">
          <cell r="Q375" t="str">
            <v>PERKIRAAN</v>
          </cell>
          <cell r="R375" t="str">
            <v>HARGA</v>
          </cell>
          <cell r="S375" t="str">
            <v>JUMLAH</v>
          </cell>
        </row>
        <row r="376">
          <cell r="A376" t="str">
            <v>II.</v>
          </cell>
          <cell r="C376" t="str">
            <v>URUTAN KERJA</v>
          </cell>
          <cell r="L376" t="str">
            <v>NO.</v>
          </cell>
          <cell r="N376" t="str">
            <v>KOMPONEN</v>
          </cell>
          <cell r="P376" t="str">
            <v>SATUAN</v>
          </cell>
          <cell r="Q376" t="str">
            <v>KUANTITAS</v>
          </cell>
          <cell r="R376" t="str">
            <v>SATUAN</v>
          </cell>
          <cell r="S376" t="str">
            <v>HARGA</v>
          </cell>
        </row>
        <row r="377">
          <cell r="A377">
            <v>1</v>
          </cell>
          <cell r="C377" t="str">
            <v>Wheel Loader memuat Agregat ke dalam Dump</v>
          </cell>
          <cell r="R377" t="str">
            <v>(Rp.)</v>
          </cell>
          <cell r="S377" t="str">
            <v>(Rp.)</v>
          </cell>
        </row>
        <row r="378">
          <cell r="C378" t="str">
            <v>Tuck di Base Camp</v>
          </cell>
        </row>
        <row r="379">
          <cell r="A379">
            <v>2</v>
          </cell>
          <cell r="C379" t="str">
            <v>Dump Truck mengangkut Agregat ke lokasi</v>
          </cell>
        </row>
        <row r="380">
          <cell r="C380" t="str">
            <v>pekerjaandan dihampar dengan Motor Grader</v>
          </cell>
          <cell r="L380" t="str">
            <v>A.</v>
          </cell>
          <cell r="N380" t="str">
            <v>TENAGA</v>
          </cell>
        </row>
        <row r="381">
          <cell r="A381">
            <v>3</v>
          </cell>
          <cell r="C381" t="str">
            <v>Hamparan Agregat dibasahi dengan Water Tank</v>
          </cell>
        </row>
        <row r="382">
          <cell r="C382" t="str">
            <v>Truck sebelum dipadatkan dengan Tandem</v>
          </cell>
          <cell r="L382" t="str">
            <v>1.</v>
          </cell>
          <cell r="N382" t="str">
            <v>Pekerja</v>
          </cell>
          <cell r="O382" t="str">
            <v>(L01)</v>
          </cell>
          <cell r="P382" t="str">
            <v>Jam</v>
          </cell>
          <cell r="Q382">
            <v>7.0281124497991981E-2</v>
          </cell>
          <cell r="R382">
            <v>2857.14</v>
          </cell>
          <cell r="U382">
            <v>200.80301204819281</v>
          </cell>
        </row>
        <row r="383">
          <cell r="C383" t="str">
            <v>Roller dan Pneumatic  Tire Roller</v>
          </cell>
          <cell r="L383" t="str">
            <v>2.</v>
          </cell>
          <cell r="N383" t="str">
            <v>Mandor</v>
          </cell>
          <cell r="O383" t="str">
            <v>(L03)</v>
          </cell>
          <cell r="P383" t="str">
            <v>Jam</v>
          </cell>
          <cell r="Q383">
            <v>1.0040160642570283E-2</v>
          </cell>
          <cell r="R383">
            <v>3214.29</v>
          </cell>
          <cell r="U383">
            <v>32.271987951807233</v>
          </cell>
        </row>
        <row r="384">
          <cell r="A384">
            <v>4</v>
          </cell>
          <cell r="C384" t="str">
            <v>Selama pemadatan sekelompok pekerja akan</v>
          </cell>
        </row>
        <row r="385">
          <cell r="C385" t="str">
            <v>merapikan tepi hamparan dan level permukaan</v>
          </cell>
        </row>
        <row r="386">
          <cell r="C386" t="str">
            <v>dengan menggunakan alat bantu</v>
          </cell>
          <cell r="Q386" t="str">
            <v xml:space="preserve">JUMLAH HARGA TENAGA   </v>
          </cell>
          <cell r="U386">
            <v>233.07500000000005</v>
          </cell>
        </row>
        <row r="388">
          <cell r="A388" t="str">
            <v>III.</v>
          </cell>
          <cell r="C388" t="str">
            <v>PEMAKAIAN BAHAN, ALAT DAN TENAGA</v>
          </cell>
          <cell r="L388" t="str">
            <v>B.</v>
          </cell>
          <cell r="N388" t="str">
            <v>BAHAN</v>
          </cell>
        </row>
        <row r="390">
          <cell r="A390" t="str">
            <v xml:space="preserve">   1.</v>
          </cell>
          <cell r="C390" t="str">
            <v>BAHAN</v>
          </cell>
          <cell r="L390" t="str">
            <v>1.</v>
          </cell>
          <cell r="N390" t="str">
            <v>Agregat Kelas C1 (M28)</v>
          </cell>
          <cell r="P390" t="str">
            <v>M3</v>
          </cell>
          <cell r="Q390">
            <v>1.35</v>
          </cell>
          <cell r="R390">
            <v>141787.08464737452</v>
          </cell>
          <cell r="U390">
            <v>191412.56427395562</v>
          </cell>
        </row>
        <row r="391">
          <cell r="C391" t="str">
            <v>Material Agregat Kelas C hasil produksi di Base Camp</v>
          </cell>
        </row>
        <row r="392">
          <cell r="C392" t="str">
            <v>Setiap 1 M3 Agregat padat diperlukan : 1 x Fk</v>
          </cell>
          <cell r="G392" t="str">
            <v>(M28)</v>
          </cell>
          <cell r="H392">
            <v>1.35</v>
          </cell>
          <cell r="I392" t="str">
            <v>M3</v>
          </cell>
          <cell r="J392" t="str">
            <v xml:space="preserve"> Agregat lepas</v>
          </cell>
        </row>
        <row r="394">
          <cell r="A394" t="str">
            <v xml:space="preserve">   2.</v>
          </cell>
          <cell r="C394" t="str">
            <v>ALAT</v>
          </cell>
        </row>
        <row r="395">
          <cell r="A395" t="str">
            <v>2.a.</v>
          </cell>
          <cell r="C395" t="str">
            <v>WHEEL LOADER</v>
          </cell>
          <cell r="G395" t="str">
            <v>(E15)</v>
          </cell>
        </row>
        <row r="396">
          <cell r="C396" t="str">
            <v>Kapasitas bucket</v>
          </cell>
          <cell r="G396" t="str">
            <v>V</v>
          </cell>
          <cell r="H396">
            <v>1.5</v>
          </cell>
          <cell r="I396" t="str">
            <v>M3</v>
          </cell>
          <cell r="Q396" t="str">
            <v xml:space="preserve">JUMLAH HARGA BAHAN   </v>
          </cell>
          <cell r="U396">
            <v>191412.56427395562</v>
          </cell>
        </row>
        <row r="397">
          <cell r="C397" t="str">
            <v>Faktor bucket</v>
          </cell>
          <cell r="G397" t="str">
            <v>Fb</v>
          </cell>
          <cell r="H397">
            <v>0.9</v>
          </cell>
          <cell r="I397" t="str">
            <v>-</v>
          </cell>
          <cell r="J397" t="str">
            <v>Pemuatan ringan</v>
          </cell>
        </row>
        <row r="398">
          <cell r="C398" t="str">
            <v>Faktor Efisiensi alat</v>
          </cell>
          <cell r="G398" t="str">
            <v>Fa</v>
          </cell>
          <cell r="H398">
            <v>0.83</v>
          </cell>
          <cell r="I398" t="str">
            <v>-</v>
          </cell>
          <cell r="L398" t="str">
            <v>C.</v>
          </cell>
          <cell r="N398" t="str">
            <v>PERALATAN</v>
          </cell>
        </row>
        <row r="399">
          <cell r="C399" t="str">
            <v>Waktu siklus</v>
          </cell>
          <cell r="G399" t="str">
            <v>Ts1</v>
          </cell>
        </row>
        <row r="400">
          <cell r="C400" t="str">
            <v>- Muat</v>
          </cell>
          <cell r="G400" t="str">
            <v>T1</v>
          </cell>
          <cell r="H400">
            <v>0.25</v>
          </cell>
          <cell r="I400" t="str">
            <v>menit</v>
          </cell>
          <cell r="L400" t="str">
            <v>1.</v>
          </cell>
          <cell r="N400" t="str">
            <v>Wheel Loader</v>
          </cell>
          <cell r="O400" t="str">
            <v>(E15)</v>
          </cell>
          <cell r="P400" t="str">
            <v>Jam</v>
          </cell>
          <cell r="Q400">
            <v>1.0040160642570281E-2</v>
          </cell>
          <cell r="R400">
            <v>163808.13869490434</v>
          </cell>
          <cell r="U400">
            <v>1644.6600270572724</v>
          </cell>
        </row>
        <row r="401">
          <cell r="C401" t="str">
            <v>- Lain-lain</v>
          </cell>
          <cell r="G401" t="str">
            <v>T2</v>
          </cell>
          <cell r="H401">
            <v>0.25</v>
          </cell>
          <cell r="I401" t="str">
            <v>menit</v>
          </cell>
          <cell r="L401" t="str">
            <v>2.</v>
          </cell>
          <cell r="N401" t="str">
            <v>Dump Truck</v>
          </cell>
          <cell r="O401" t="str">
            <v>(E08)</v>
          </cell>
          <cell r="P401" t="str">
            <v>Jam</v>
          </cell>
          <cell r="Q401">
            <v>0.17463233959936131</v>
          </cell>
          <cell r="R401">
            <v>153645.58193291764</v>
          </cell>
          <cell r="U401">
            <v>26831.487442050766</v>
          </cell>
        </row>
        <row r="402">
          <cell r="G402" t="str">
            <v>Ts1</v>
          </cell>
          <cell r="H402">
            <v>0.5</v>
          </cell>
          <cell r="I402" t="str">
            <v>menit</v>
          </cell>
          <cell r="L402" t="str">
            <v>3.</v>
          </cell>
          <cell r="N402" t="str">
            <v>Motor Grader</v>
          </cell>
          <cell r="O402" t="str">
            <v>(E13)</v>
          </cell>
          <cell r="P402" t="str">
            <v>Jam</v>
          </cell>
          <cell r="Q402">
            <v>1.1713520749665328E-2</v>
          </cell>
          <cell r="R402">
            <v>201666.62574070093</v>
          </cell>
          <cell r="U402">
            <v>2362.2262051286921</v>
          </cell>
        </row>
        <row r="403">
          <cell r="L403" t="str">
            <v>4.</v>
          </cell>
          <cell r="N403" t="str">
            <v>Vibratory Roller</v>
          </cell>
          <cell r="O403" t="str">
            <v>(E19)</v>
          </cell>
          <cell r="P403" t="str">
            <v>Jam</v>
          </cell>
          <cell r="Q403">
            <v>2.1419009370816599E-2</v>
          </cell>
          <cell r="R403">
            <v>234734.82748629327</v>
          </cell>
          <cell r="U403">
            <v>5027.7874695859336</v>
          </cell>
        </row>
        <row r="404">
          <cell r="C404" t="str">
            <v>Kap. Prod. / jam =</v>
          </cell>
          <cell r="D404" t="str">
            <v>V x Fb x Fa x 60</v>
          </cell>
          <cell r="G404" t="str">
            <v>Q1</v>
          </cell>
          <cell r="H404">
            <v>99.6</v>
          </cell>
          <cell r="I404" t="str">
            <v>M3</v>
          </cell>
          <cell r="L404" t="str">
            <v>5.</v>
          </cell>
          <cell r="N404" t="str">
            <v>P. Tyre Roller</v>
          </cell>
          <cell r="O404" t="str">
            <v>(E18)</v>
          </cell>
          <cell r="P404" t="str">
            <v>Jam</v>
          </cell>
          <cell r="Q404">
            <v>4.2838018741633201E-3</v>
          </cell>
          <cell r="R404">
            <v>113384.24751021285</v>
          </cell>
          <cell r="U404">
            <v>485.71565198484757</v>
          </cell>
        </row>
        <row r="405">
          <cell r="D405" t="str">
            <v>Fk x Ts1</v>
          </cell>
          <cell r="L405" t="str">
            <v>6.</v>
          </cell>
          <cell r="N405" t="str">
            <v>Water Tanker</v>
          </cell>
          <cell r="O405" t="str">
            <v>(E23)</v>
          </cell>
          <cell r="P405" t="str">
            <v>Jam</v>
          </cell>
          <cell r="Q405">
            <v>2.1084337349397592E-2</v>
          </cell>
          <cell r="R405">
            <v>67020.510980434308</v>
          </cell>
          <cell r="U405">
            <v>1413.0830628404826</v>
          </cell>
        </row>
        <row r="406">
          <cell r="C406" t="str">
            <v>Koefisien Alat / M3</v>
          </cell>
          <cell r="D406" t="str">
            <v xml:space="preserve"> =  1  :  Q1</v>
          </cell>
          <cell r="G406" t="str">
            <v>(E15)</v>
          </cell>
          <cell r="H406">
            <v>1.0040160642570281E-2</v>
          </cell>
          <cell r="I406" t="str">
            <v>Jam</v>
          </cell>
          <cell r="L406" t="str">
            <v>7.</v>
          </cell>
          <cell r="N406" t="str">
            <v>Alat Bantu</v>
          </cell>
          <cell r="P406" t="str">
            <v>Ls</v>
          </cell>
          <cell r="Q406">
            <v>1</v>
          </cell>
          <cell r="R406">
            <v>40</v>
          </cell>
          <cell r="U406">
            <v>40</v>
          </cell>
        </row>
        <row r="408">
          <cell r="A408" t="str">
            <v>2.b.</v>
          </cell>
          <cell r="C408" t="str">
            <v>DUMP TRUCK</v>
          </cell>
          <cell r="G408" t="str">
            <v>(E08)</v>
          </cell>
          <cell r="Q408" t="str">
            <v xml:space="preserve">JUMLAH HARGA PERALATAN   </v>
          </cell>
          <cell r="U408">
            <v>37804.959858647991</v>
          </cell>
        </row>
        <row r="409">
          <cell r="C409" t="str">
            <v>Kapasitas bak</v>
          </cell>
          <cell r="G409" t="str">
            <v>V</v>
          </cell>
          <cell r="H409">
            <v>4</v>
          </cell>
          <cell r="I409" t="str">
            <v>M3</v>
          </cell>
        </row>
        <row r="410">
          <cell r="C410" t="str">
            <v>Faktor Efisiensi alat</v>
          </cell>
          <cell r="G410" t="str">
            <v>Fa</v>
          </cell>
          <cell r="H410">
            <v>0.83</v>
          </cell>
          <cell r="I410" t="str">
            <v>-</v>
          </cell>
          <cell r="L410" t="str">
            <v>D.</v>
          </cell>
          <cell r="N410" t="str">
            <v>JUMLAH HARGA TENAGA, BAHAN DAN PERALATAN  ( A + B + C )</v>
          </cell>
          <cell r="U410">
            <v>229450.59913260362</v>
          </cell>
        </row>
        <row r="411">
          <cell r="C411" t="str">
            <v>Kecepatan rata-rata bermuatan</v>
          </cell>
          <cell r="G411" t="str">
            <v>v1</v>
          </cell>
          <cell r="H411">
            <v>45</v>
          </cell>
          <cell r="I411" t="str">
            <v>KM / Jam</v>
          </cell>
          <cell r="L411" t="str">
            <v>E.</v>
          </cell>
          <cell r="N411" t="str">
            <v>OVERHEAD &amp; PROFIT</v>
          </cell>
          <cell r="P411">
            <v>10</v>
          </cell>
          <cell r="Q411" t="str">
            <v>%  x  D</v>
          </cell>
          <cell r="U411">
            <v>22945.059913260364</v>
          </cell>
        </row>
        <row r="412">
          <cell r="C412" t="str">
            <v>Kecepatan rata-rata kosong</v>
          </cell>
          <cell r="G412" t="str">
            <v>v2</v>
          </cell>
          <cell r="H412">
            <v>60</v>
          </cell>
          <cell r="I412" t="str">
            <v>KM / Jam</v>
          </cell>
          <cell r="L412" t="str">
            <v>F.</v>
          </cell>
          <cell r="N412" t="str">
            <v>HARGA SATUAN PEKERJAAN  ( D + E )</v>
          </cell>
          <cell r="U412">
            <v>252395.65904586398</v>
          </cell>
        </row>
        <row r="413">
          <cell r="C413" t="str">
            <v>Waktu Siklus  :  - Waktu memuat = V : Q1 x 60</v>
          </cell>
          <cell r="G413" t="str">
            <v>T1</v>
          </cell>
          <cell r="H413">
            <v>2.4096385542168672</v>
          </cell>
          <cell r="I413" t="str">
            <v>menit</v>
          </cell>
          <cell r="L413" t="str">
            <v>Note: 1</v>
          </cell>
          <cell r="N413" t="str">
            <v>SATUAN dapat berdasarkan atas jam operasi untuk Tenaga Kerja dan Peralatan, volume dan/atau ukuran</v>
          </cell>
        </row>
        <row r="414">
          <cell r="C414" t="str">
            <v>- Waktu tempuh isi  =  (L : v1) x 60 menit</v>
          </cell>
          <cell r="G414" t="str">
            <v>T2</v>
          </cell>
          <cell r="H414">
            <v>11.633333333333333</v>
          </cell>
          <cell r="I414" t="str">
            <v>menit</v>
          </cell>
          <cell r="N414" t="str">
            <v>berat untuk bahan-bahan.</v>
          </cell>
        </row>
        <row r="415">
          <cell r="C415" t="str">
            <v>- Waktu tempuh kosong  =  (L : v2) x 60 menit</v>
          </cell>
          <cell r="G415" t="str">
            <v>T3</v>
          </cell>
          <cell r="H415">
            <v>8.7249999999999996</v>
          </cell>
          <cell r="I415" t="str">
            <v>menit</v>
          </cell>
          <cell r="L415">
            <v>2</v>
          </cell>
          <cell r="N415" t="str">
            <v>Kuantitas satuan adalah kuantitas setiap komponen untuk menyelesaikan satu satuan pekerjaan dari nomor</v>
          </cell>
        </row>
        <row r="416">
          <cell r="C416" t="str">
            <v>- Dump dan lain-lain</v>
          </cell>
          <cell r="G416" t="str">
            <v>T4</v>
          </cell>
          <cell r="H416">
            <v>3</v>
          </cell>
          <cell r="I416" t="str">
            <v>menit</v>
          </cell>
          <cell r="N416" t="str">
            <v>mata pembayaran.</v>
          </cell>
        </row>
        <row r="417">
          <cell r="G417" t="str">
            <v>Ts2</v>
          </cell>
          <cell r="H417">
            <v>25.7679718875502</v>
          </cell>
          <cell r="I417" t="str">
            <v>menit</v>
          </cell>
          <cell r="L417">
            <v>3</v>
          </cell>
          <cell r="N417" t="str">
            <v>Biaya satuan untuk peralatan sudah termasuk bahan bakar, bahan habis dipakai dan operator.</v>
          </cell>
        </row>
        <row r="418">
          <cell r="L418">
            <v>4</v>
          </cell>
          <cell r="N418" t="str">
            <v>Biaya satuan sudah termasuk pengeluaran untuk seluruh pajak yang berkaitan (tetapi tidak termasuk PPN</v>
          </cell>
        </row>
        <row r="419">
          <cell r="J419" t="str">
            <v>Berlanjut ke hal. berikut</v>
          </cell>
          <cell r="N419" t="str">
            <v>yang dibayar dari kontrak) dan biaya-biaya lainnya.</v>
          </cell>
        </row>
        <row r="420">
          <cell r="A420" t="str">
            <v>ITEM PEMBAYARAN NO.</v>
          </cell>
          <cell r="D420" t="str">
            <v>:  5.1 (3)</v>
          </cell>
          <cell r="J420" t="str">
            <v>Analisa EI-521</v>
          </cell>
        </row>
        <row r="421">
          <cell r="A421" t="str">
            <v>JENIS PEKERJAAN</v>
          </cell>
          <cell r="D421" t="str">
            <v>:  Lapis Pondasi Agregat Kelas C</v>
          </cell>
        </row>
        <row r="422">
          <cell r="A422" t="str">
            <v>SATUAN PEMBAYARAN</v>
          </cell>
          <cell r="D422" t="str">
            <v>:  M3</v>
          </cell>
          <cell r="H422" t="str">
            <v xml:space="preserve">         URAIAN ANALISA HARGA SATUAN</v>
          </cell>
        </row>
        <row r="423">
          <cell r="J423" t="str">
            <v>Lanjutan</v>
          </cell>
        </row>
        <row r="425">
          <cell r="A425" t="str">
            <v>No.</v>
          </cell>
          <cell r="C425" t="str">
            <v>U R A I A N</v>
          </cell>
          <cell r="G425" t="str">
            <v>KODE</v>
          </cell>
          <cell r="H425" t="str">
            <v>KOEF.</v>
          </cell>
          <cell r="I425" t="str">
            <v>SATUAN</v>
          </cell>
          <cell r="J425" t="str">
            <v>KETERANGAN</v>
          </cell>
        </row>
        <row r="428">
          <cell r="C428" t="str">
            <v xml:space="preserve">Kap. Prod./jam = </v>
          </cell>
          <cell r="D428" t="str">
            <v>V x Fa x 60</v>
          </cell>
          <cell r="G428" t="str">
            <v>Q2</v>
          </cell>
          <cell r="H428">
            <v>5.7263162269610763</v>
          </cell>
          <cell r="I428" t="str">
            <v>M3</v>
          </cell>
        </row>
        <row r="429">
          <cell r="D429" t="str">
            <v>Fk x Ts2</v>
          </cell>
        </row>
        <row r="430">
          <cell r="C430" t="str">
            <v>Koefisien Alat / M3</v>
          </cell>
          <cell r="D430" t="str">
            <v xml:space="preserve"> = 1 : Q2</v>
          </cell>
          <cell r="G430" t="str">
            <v>(E08)</v>
          </cell>
          <cell r="H430">
            <v>0.17463233959936131</v>
          </cell>
          <cell r="I430" t="str">
            <v>Jam</v>
          </cell>
        </row>
        <row r="432">
          <cell r="A432" t="str">
            <v>2.c.</v>
          </cell>
          <cell r="C432" t="str">
            <v>MOTOR GRADER</v>
          </cell>
          <cell r="G432" t="str">
            <v>(E13)</v>
          </cell>
        </row>
        <row r="433">
          <cell r="C433" t="str">
            <v>Panjang hamparan</v>
          </cell>
          <cell r="G433" t="str">
            <v>Lh</v>
          </cell>
          <cell r="H433">
            <v>50</v>
          </cell>
          <cell r="I433" t="str">
            <v>M</v>
          </cell>
        </row>
        <row r="434">
          <cell r="C434" t="str">
            <v>Lebar efektif kerja blade</v>
          </cell>
          <cell r="G434" t="str">
            <v>b</v>
          </cell>
          <cell r="H434">
            <v>2.4</v>
          </cell>
          <cell r="I434" t="str">
            <v>M</v>
          </cell>
        </row>
        <row r="435">
          <cell r="C435" t="str">
            <v>Faktor Efisiensi alat</v>
          </cell>
          <cell r="G435" t="str">
            <v>Fa</v>
          </cell>
          <cell r="H435">
            <v>0.83</v>
          </cell>
          <cell r="I435" t="str">
            <v>-</v>
          </cell>
        </row>
        <row r="436">
          <cell r="C436" t="str">
            <v>Kecepatan rata-rata alat</v>
          </cell>
          <cell r="G436" t="str">
            <v>v</v>
          </cell>
          <cell r="H436">
            <v>4</v>
          </cell>
          <cell r="I436" t="str">
            <v>KM / Jam</v>
          </cell>
        </row>
        <row r="437">
          <cell r="C437" t="str">
            <v>Jumlah lintasan</v>
          </cell>
          <cell r="G437" t="str">
            <v>n</v>
          </cell>
          <cell r="H437">
            <v>6</v>
          </cell>
          <cell r="I437" t="str">
            <v>lintasan</v>
          </cell>
          <cell r="J437" t="str">
            <v>3 x pp</v>
          </cell>
        </row>
        <row r="438">
          <cell r="C438" t="str">
            <v>Waktu Siklus</v>
          </cell>
          <cell r="G438" t="str">
            <v>Ts3</v>
          </cell>
        </row>
        <row r="439">
          <cell r="C439" t="str">
            <v>- Perataan 1 lintasan  = (Lh x 60) : (v x 1000)</v>
          </cell>
          <cell r="G439" t="str">
            <v>T1</v>
          </cell>
          <cell r="H439">
            <v>0.75</v>
          </cell>
          <cell r="I439" t="str">
            <v>menit</v>
          </cell>
        </row>
        <row r="440">
          <cell r="C440" t="str">
            <v>- Lain-lain</v>
          </cell>
          <cell r="G440" t="str">
            <v>T2</v>
          </cell>
          <cell r="H440">
            <v>1</v>
          </cell>
          <cell r="I440" t="str">
            <v>menit</v>
          </cell>
        </row>
        <row r="441">
          <cell r="G441" t="str">
            <v>Ts3</v>
          </cell>
          <cell r="H441">
            <v>1.75</v>
          </cell>
          <cell r="I441" t="str">
            <v>menit</v>
          </cell>
        </row>
        <row r="443">
          <cell r="C443" t="str">
            <v>Kap.Prod. / jam =</v>
          </cell>
          <cell r="D443" t="str">
            <v>Lh x b x t x Fa x 60</v>
          </cell>
          <cell r="G443" t="str">
            <v>Q3</v>
          </cell>
          <cell r="H443">
            <v>85.371428571428567</v>
          </cell>
          <cell r="I443" t="str">
            <v>M3</v>
          </cell>
        </row>
        <row r="444">
          <cell r="D444" t="str">
            <v>n x Ts3</v>
          </cell>
        </row>
        <row r="445">
          <cell r="C445" t="str">
            <v>Koefisien Alat / M3</v>
          </cell>
          <cell r="D445" t="str">
            <v xml:space="preserve"> = 1 : Q3</v>
          </cell>
          <cell r="G445" t="str">
            <v>(E13)</v>
          </cell>
          <cell r="H445">
            <v>1.1713520749665328E-2</v>
          </cell>
          <cell r="I445" t="str">
            <v>Jam</v>
          </cell>
        </row>
        <row r="447">
          <cell r="A447" t="str">
            <v>2.d.</v>
          </cell>
          <cell r="C447" t="str">
            <v>VIBRATORY ROLLER</v>
          </cell>
          <cell r="G447" t="str">
            <v>(E19)</v>
          </cell>
        </row>
        <row r="448">
          <cell r="C448" t="str">
            <v>Kecepatan rata-rata</v>
          </cell>
          <cell r="G448" t="str">
            <v>v</v>
          </cell>
          <cell r="H448">
            <v>2.5</v>
          </cell>
          <cell r="I448" t="str">
            <v>KM / Jam</v>
          </cell>
        </row>
        <row r="449">
          <cell r="C449" t="str">
            <v>Lebar efektif pemadatan</v>
          </cell>
          <cell r="G449" t="str">
            <v>b</v>
          </cell>
          <cell r="H449">
            <v>1.2</v>
          </cell>
          <cell r="I449" t="str">
            <v>M</v>
          </cell>
        </row>
        <row r="450">
          <cell r="C450" t="str">
            <v>Jumlah lintasan</v>
          </cell>
          <cell r="G450" t="str">
            <v>n</v>
          </cell>
          <cell r="H450">
            <v>8</v>
          </cell>
          <cell r="I450" t="str">
            <v>lintasan</v>
          </cell>
        </row>
        <row r="451">
          <cell r="C451" t="str">
            <v>Faktor Efisiensi alat</v>
          </cell>
          <cell r="G451" t="str">
            <v>Fa</v>
          </cell>
          <cell r="H451">
            <v>0.83</v>
          </cell>
          <cell r="I451" t="str">
            <v>-</v>
          </cell>
        </row>
        <row r="453">
          <cell r="C453" t="str">
            <v>Kap.Prod. / jam =</v>
          </cell>
          <cell r="D453" t="str">
            <v>(v x 1000) x b x t x Fa</v>
          </cell>
          <cell r="G453" t="str">
            <v>Q4</v>
          </cell>
          <cell r="H453">
            <v>46.6875</v>
          </cell>
          <cell r="I453" t="str">
            <v>M3</v>
          </cell>
        </row>
        <row r="454">
          <cell r="D454" t="str">
            <v>n</v>
          </cell>
        </row>
        <row r="455">
          <cell r="C455" t="str">
            <v>Koefisien Alat / M3</v>
          </cell>
          <cell r="D455" t="str">
            <v xml:space="preserve"> = 1 : Q4</v>
          </cell>
          <cell r="G455" t="str">
            <v>(E19)</v>
          </cell>
          <cell r="H455">
            <v>2.1419009370816599E-2</v>
          </cell>
          <cell r="I455" t="str">
            <v>Jam</v>
          </cell>
        </row>
        <row r="457">
          <cell r="A457" t="str">
            <v>2.e.</v>
          </cell>
          <cell r="C457" t="str">
            <v>PNEUMATIC TIRE ROLLER</v>
          </cell>
          <cell r="G457" t="str">
            <v>(E18)</v>
          </cell>
        </row>
        <row r="458">
          <cell r="C458" t="str">
            <v>Kecepatan rata-rata alat</v>
          </cell>
          <cell r="G458" t="str">
            <v>v</v>
          </cell>
          <cell r="H458">
            <v>5</v>
          </cell>
          <cell r="I458" t="str">
            <v>KM / Jam</v>
          </cell>
        </row>
        <row r="459">
          <cell r="C459" t="str">
            <v>Lebar efektif pemadatan</v>
          </cell>
          <cell r="G459" t="str">
            <v>b</v>
          </cell>
          <cell r="H459">
            <v>1.5</v>
          </cell>
          <cell r="I459" t="str">
            <v>M</v>
          </cell>
        </row>
        <row r="460">
          <cell r="C460" t="str">
            <v>Jumlah lintasan</v>
          </cell>
          <cell r="G460" t="str">
            <v>n</v>
          </cell>
          <cell r="H460">
            <v>4</v>
          </cell>
          <cell r="I460" t="str">
            <v>lintasan</v>
          </cell>
        </row>
        <row r="461">
          <cell r="C461" t="str">
            <v>Faktor Efisiensi alat</v>
          </cell>
          <cell r="G461" t="str">
            <v>Fa</v>
          </cell>
          <cell r="H461">
            <v>0.83</v>
          </cell>
          <cell r="I461" t="str">
            <v>-</v>
          </cell>
        </row>
        <row r="463">
          <cell r="C463" t="str">
            <v>Kap.Prod. / jam =</v>
          </cell>
          <cell r="D463" t="str">
            <v>(v x 1000) x b x t x Fa</v>
          </cell>
          <cell r="G463" t="str">
            <v>Q5</v>
          </cell>
          <cell r="H463">
            <v>233.4375</v>
          </cell>
          <cell r="I463" t="str">
            <v>M3</v>
          </cell>
        </row>
        <row r="464">
          <cell r="D464" t="str">
            <v>n</v>
          </cell>
        </row>
        <row r="465">
          <cell r="C465" t="str">
            <v>Koefisien Alat / M3</v>
          </cell>
          <cell r="D465" t="str">
            <v xml:space="preserve"> = 1 : Q5</v>
          </cell>
          <cell r="G465" t="str">
            <v>(E18)</v>
          </cell>
          <cell r="H465">
            <v>4.2838018741633201E-3</v>
          </cell>
          <cell r="I465" t="str">
            <v>Jam</v>
          </cell>
        </row>
        <row r="467">
          <cell r="A467" t="str">
            <v>2.f.</v>
          </cell>
          <cell r="C467" t="str">
            <v>WATERTANK TRUCK</v>
          </cell>
          <cell r="G467" t="str">
            <v>(E23)</v>
          </cell>
        </row>
        <row r="468">
          <cell r="C468" t="str">
            <v>Volume tangki air</v>
          </cell>
          <cell r="G468" t="str">
            <v>V</v>
          </cell>
          <cell r="H468">
            <v>4</v>
          </cell>
          <cell r="I468" t="str">
            <v>M3</v>
          </cell>
        </row>
        <row r="469">
          <cell r="C469" t="str">
            <v>Kebutuhan air / M3 agregat padat</v>
          </cell>
          <cell r="G469" t="str">
            <v>Wc</v>
          </cell>
          <cell r="H469">
            <v>7.0000000000000007E-2</v>
          </cell>
          <cell r="I469" t="str">
            <v>M3</v>
          </cell>
        </row>
        <row r="470">
          <cell r="C470" t="str">
            <v>Pengisian tangki / jam</v>
          </cell>
          <cell r="G470" t="str">
            <v>n</v>
          </cell>
          <cell r="H470">
            <v>1</v>
          </cell>
          <cell r="I470" t="str">
            <v>kali</v>
          </cell>
        </row>
        <row r="471">
          <cell r="C471" t="str">
            <v>Faktor Efisiensi alat</v>
          </cell>
          <cell r="G471" t="str">
            <v>Fa</v>
          </cell>
          <cell r="H471">
            <v>0.83</v>
          </cell>
          <cell r="I471" t="str">
            <v>-</v>
          </cell>
        </row>
        <row r="473">
          <cell r="C473" t="str">
            <v>Kap.Prod. / jam =</v>
          </cell>
          <cell r="D473" t="str">
            <v>V x n x Fa</v>
          </cell>
          <cell r="G473" t="str">
            <v>Q6</v>
          </cell>
          <cell r="H473">
            <v>47.428571428571423</v>
          </cell>
          <cell r="I473" t="str">
            <v>M3</v>
          </cell>
        </row>
        <row r="474">
          <cell r="D474" t="str">
            <v>Wc</v>
          </cell>
        </row>
        <row r="475">
          <cell r="C475" t="str">
            <v>Koefisien Alat / M3</v>
          </cell>
          <cell r="D475" t="str">
            <v xml:space="preserve"> = 1 : Q6</v>
          </cell>
          <cell r="G475" t="str">
            <v>(E23)</v>
          </cell>
          <cell r="H475">
            <v>2.1084337349397592E-2</v>
          </cell>
          <cell r="I475" t="str">
            <v>Jam</v>
          </cell>
        </row>
        <row r="478">
          <cell r="J478" t="str">
            <v>Berlanjut ke hal. berikut</v>
          </cell>
        </row>
        <row r="479">
          <cell r="A479" t="str">
            <v>ITEM PEMBAYARAN NO.</v>
          </cell>
          <cell r="D479" t="str">
            <v>:  5.1 (3)</v>
          </cell>
          <cell r="J479" t="str">
            <v>Analisa EI-521</v>
          </cell>
        </row>
        <row r="480">
          <cell r="A480" t="str">
            <v>JENIS PEKERJAAN</v>
          </cell>
          <cell r="D480" t="str">
            <v>:  Lapis Pondasi Agregat Kelas C</v>
          </cell>
        </row>
        <row r="481">
          <cell r="A481" t="str">
            <v>SATUAN PEMBAYARAN</v>
          </cell>
          <cell r="D481" t="str">
            <v>:  M3</v>
          </cell>
          <cell r="H481" t="str">
            <v xml:space="preserve">         URAIAN ANALISA HARGA SATUAN</v>
          </cell>
        </row>
        <row r="482">
          <cell r="J482" t="str">
            <v>Lanjutan</v>
          </cell>
        </row>
        <row r="484">
          <cell r="A484" t="str">
            <v>No.</v>
          </cell>
          <cell r="C484" t="str">
            <v>U R A I A N</v>
          </cell>
          <cell r="G484" t="str">
            <v>KODE</v>
          </cell>
          <cell r="H484" t="str">
            <v>KOEF.</v>
          </cell>
          <cell r="I484" t="str">
            <v>SATUAN</v>
          </cell>
          <cell r="J484" t="str">
            <v>KETERANGAN</v>
          </cell>
        </row>
        <row r="487">
          <cell r="A487" t="str">
            <v>2.g.</v>
          </cell>
          <cell r="C487" t="str">
            <v>ALAT BANTU</v>
          </cell>
        </row>
        <row r="488">
          <cell r="C488" t="str">
            <v>diperlukan :</v>
          </cell>
          <cell r="J488" t="str">
            <v>Lump Sum</v>
          </cell>
        </row>
        <row r="489">
          <cell r="C489" t="str">
            <v>- Kereta dorong     = 2 buah</v>
          </cell>
        </row>
        <row r="490">
          <cell r="C490" t="str">
            <v>- Sekop                = 3 buah</v>
          </cell>
        </row>
        <row r="491">
          <cell r="C491" t="str">
            <v>- Garpu                 = 2 buah</v>
          </cell>
        </row>
        <row r="493">
          <cell r="A493" t="str">
            <v xml:space="preserve">   3.</v>
          </cell>
          <cell r="C493" t="str">
            <v>TENAGA</v>
          </cell>
        </row>
        <row r="494">
          <cell r="C494" t="str">
            <v>Produksi menentukan : WHEEL LOADER</v>
          </cell>
          <cell r="G494" t="str">
            <v>Q1</v>
          </cell>
          <cell r="H494">
            <v>99.6</v>
          </cell>
          <cell r="I494" t="str">
            <v>M3 / Jam</v>
          </cell>
        </row>
        <row r="495">
          <cell r="C495" t="str">
            <v>Produksi Agregat / hari  =  Tk x Q1</v>
          </cell>
          <cell r="G495" t="str">
            <v>Qt</v>
          </cell>
          <cell r="H495">
            <v>697.19999999999993</v>
          </cell>
          <cell r="I495" t="str">
            <v>M3</v>
          </cell>
        </row>
        <row r="496">
          <cell r="C496" t="str">
            <v>Kebutuhan tenaga :</v>
          </cell>
        </row>
        <row r="497">
          <cell r="D497" t="str">
            <v>- Pekerja</v>
          </cell>
          <cell r="G497" t="str">
            <v>P</v>
          </cell>
          <cell r="H497">
            <v>7</v>
          </cell>
          <cell r="I497" t="str">
            <v>orang</v>
          </cell>
        </row>
        <row r="498">
          <cell r="D498" t="str">
            <v>- Mandor</v>
          </cell>
          <cell r="G498" t="str">
            <v>M</v>
          </cell>
          <cell r="H498">
            <v>1</v>
          </cell>
          <cell r="I498" t="str">
            <v>orang</v>
          </cell>
        </row>
        <row r="500">
          <cell r="C500" t="str">
            <v>Koefisien tenaga / M3     :</v>
          </cell>
        </row>
        <row r="501">
          <cell r="D501" t="str">
            <v>- Pekerja</v>
          </cell>
          <cell r="E501" t="str">
            <v>= (Tk x P) : Qt</v>
          </cell>
          <cell r="G501" t="str">
            <v>(L01)</v>
          </cell>
          <cell r="H501">
            <v>7.0281124497991981E-2</v>
          </cell>
          <cell r="I501" t="str">
            <v>Jam</v>
          </cell>
        </row>
        <row r="502">
          <cell r="D502" t="str">
            <v>- Mandor</v>
          </cell>
          <cell r="E502" t="str">
            <v>= (Tk x M) : Qt</v>
          </cell>
          <cell r="G502" t="str">
            <v>(L03)</v>
          </cell>
          <cell r="H502">
            <v>1.0040160642570283E-2</v>
          </cell>
          <cell r="I502" t="str">
            <v>Jam</v>
          </cell>
        </row>
        <row r="504">
          <cell r="A504" t="str">
            <v>4.</v>
          </cell>
          <cell r="C504" t="str">
            <v>HARGA DASAR SATUAN UPAH, BAHAN DAN ALAT</v>
          </cell>
        </row>
        <row r="505">
          <cell r="C505" t="str">
            <v>Lihat lampiran.</v>
          </cell>
        </row>
        <row r="507">
          <cell r="A507" t="str">
            <v>5.</v>
          </cell>
          <cell r="C507" t="str">
            <v>ANALISA HARGA SATUAN PEKERJAAN</v>
          </cell>
        </row>
        <row r="508">
          <cell r="C508" t="str">
            <v>Lihat perhitungan dalam FORMULIR STANDAR UNTUK</v>
          </cell>
        </row>
        <row r="509">
          <cell r="C509" t="str">
            <v>PEREKEMAN ANALISA MASING-MASING HARGA</v>
          </cell>
        </row>
        <row r="510">
          <cell r="C510" t="str">
            <v>SATUAN.</v>
          </cell>
        </row>
        <row r="511">
          <cell r="C511" t="str">
            <v>Didapat Harga Satuan Pekerjaan :</v>
          </cell>
        </row>
        <row r="513">
          <cell r="C513" t="str">
            <v xml:space="preserve">Rp.  </v>
          </cell>
          <cell r="D513">
            <v>252395.65904586398</v>
          </cell>
          <cell r="E513" t="str">
            <v xml:space="preserve"> / M3.</v>
          </cell>
        </row>
        <row r="516">
          <cell r="A516" t="str">
            <v>6.</v>
          </cell>
          <cell r="C516" t="str">
            <v>WAKTU PELAKSANAAN YANG DIPERLUKAN</v>
          </cell>
        </row>
        <row r="517">
          <cell r="C517" t="str">
            <v>Masa Pelaksanaan :</v>
          </cell>
          <cell r="D517" t="str">
            <v>. . . . . . . . . . . .</v>
          </cell>
          <cell r="E517" t="str">
            <v>bulan</v>
          </cell>
        </row>
        <row r="519">
          <cell r="A519" t="str">
            <v>7.</v>
          </cell>
          <cell r="C519" t="str">
            <v>VOLUME PEKERJAAN YANG DIPERLUKAN</v>
          </cell>
        </row>
        <row r="520">
          <cell r="C520" t="str">
            <v>Volume pekerjaan  :</v>
          </cell>
          <cell r="D520">
            <v>1</v>
          </cell>
          <cell r="E520" t="str">
            <v>M3</v>
          </cell>
        </row>
        <row r="3096">
          <cell r="A3096" t="str">
            <v>ITEM PEMBAYARAN NO.</v>
          </cell>
          <cell r="D3096" t="str">
            <v>: 5.5.(2)</v>
          </cell>
          <cell r="J3096" t="str">
            <v>Analisa EI-718</v>
          </cell>
          <cell r="T3096" t="str">
            <v>Analisa EI-718</v>
          </cell>
        </row>
        <row r="3097">
          <cell r="A3097" t="str">
            <v>JENIS PEKERJAAN</v>
          </cell>
          <cell r="D3097" t="str">
            <v>: Pekerjaan LFAS Kelas B</v>
          </cell>
        </row>
        <row r="3098">
          <cell r="A3098" t="str">
            <v>SATUAN PEMBAYARAN</v>
          </cell>
          <cell r="D3098" t="str">
            <v>:  M3</v>
          </cell>
          <cell r="H3098" t="str">
            <v xml:space="preserve">        URAIAN ANALISA HARGA SATUAN</v>
          </cell>
          <cell r="L3098" t="str">
            <v>FORMULIR STANDAR UNTUK</v>
          </cell>
        </row>
        <row r="3099">
          <cell r="L3099" t="str">
            <v>PEREKAMAN ANALISA MASING-MASING HARGA SATUAN</v>
          </cell>
        </row>
        <row r="3100">
          <cell r="L3100" t="str">
            <v/>
          </cell>
        </row>
        <row r="3101">
          <cell r="A3101" t="str">
            <v>No.</v>
          </cell>
          <cell r="C3101" t="str">
            <v>U R A I A N</v>
          </cell>
          <cell r="G3101" t="str">
            <v>KODE</v>
          </cell>
          <cell r="H3101" t="str">
            <v>KOEF.</v>
          </cell>
          <cell r="I3101" t="str">
            <v>SATUAN</v>
          </cell>
          <cell r="J3101" t="str">
            <v>KETERANGAN</v>
          </cell>
        </row>
        <row r="3103">
          <cell r="L3103" t="str">
            <v>PROYEK</v>
          </cell>
          <cell r="O3103" t="str">
            <v>:</v>
          </cell>
        </row>
        <row r="3104">
          <cell r="A3104" t="str">
            <v>I.</v>
          </cell>
          <cell r="C3104" t="str">
            <v>ASUMSI</v>
          </cell>
          <cell r="L3104" t="str">
            <v>No. PAKET KONTRAK</v>
          </cell>
          <cell r="O3104" t="str">
            <v>:</v>
          </cell>
        </row>
        <row r="3105">
          <cell r="A3105">
            <v>1</v>
          </cell>
          <cell r="C3105" t="str">
            <v>Menggunakan alat (cara mekanik)</v>
          </cell>
          <cell r="L3105" t="str">
            <v>NAMA PAKET</v>
          </cell>
          <cell r="O3105" t="str">
            <v>:</v>
          </cell>
        </row>
        <row r="3106">
          <cell r="A3106">
            <v>2</v>
          </cell>
          <cell r="C3106" t="str">
            <v>Lokasi pekerjaan : sepanjang jalan</v>
          </cell>
          <cell r="L3106" t="str">
            <v>PROP / KAB / KODYA</v>
          </cell>
          <cell r="O3106" t="str">
            <v>:</v>
          </cell>
        </row>
        <row r="3107">
          <cell r="A3107">
            <v>3</v>
          </cell>
          <cell r="C3107" t="str">
            <v>Agregat merupakan bahan Lapis Pondasi Agregat</v>
          </cell>
          <cell r="L3107" t="str">
            <v>ITEM PEMBAYARAN NO.</v>
          </cell>
          <cell r="O3107" t="str">
            <v>: 5.5.(2)</v>
          </cell>
          <cell r="R3107" t="str">
            <v>PERKIRAAN VOL. PEK.</v>
          </cell>
          <cell r="T3107" t="str">
            <v>:</v>
          </cell>
          <cell r="U3107">
            <v>1</v>
          </cell>
        </row>
        <row r="3108">
          <cell r="C3108" t="str">
            <v>Kelas B yang telah dicampur di base camp dan</v>
          </cell>
          <cell r="L3108" t="str">
            <v>JENIS PEKERJAAN</v>
          </cell>
          <cell r="O3108" t="str">
            <v>: Pekerjaan LFAS Kelas B</v>
          </cell>
          <cell r="R3108" t="str">
            <v>TOTAL HARGA (Rp.)</v>
          </cell>
          <cell r="T3108" t="str">
            <v>:</v>
          </cell>
          <cell r="U3108">
            <v>31522.779454667012</v>
          </cell>
        </row>
        <row r="3109">
          <cell r="C3109" t="str">
            <v>selanjutnya dimuat ke truck dengan wheel loader</v>
          </cell>
        </row>
        <row r="3110">
          <cell r="A3110">
            <v>4</v>
          </cell>
          <cell r="C3110" t="str">
            <v>Jarak rata-rata Base camp ke lokasi pekerjaan</v>
          </cell>
          <cell r="G3110" t="str">
            <v>L</v>
          </cell>
          <cell r="H3110">
            <v>8.7249999999999996</v>
          </cell>
          <cell r="I3110" t="str">
            <v>KM</v>
          </cell>
          <cell r="L3110" t="str">
            <v>SATUAN PEMBAYARAN</v>
          </cell>
          <cell r="O3110" t="str">
            <v>:  M3</v>
          </cell>
          <cell r="R3110" t="str">
            <v>% THD. BIAYA PROYEK</v>
          </cell>
          <cell r="T3110" t="str">
            <v>:</v>
          </cell>
          <cell r="U3110" t="e">
            <v>#DIV/0!</v>
          </cell>
        </row>
        <row r="3111">
          <cell r="A3111">
            <v>5</v>
          </cell>
          <cell r="C3111" t="str">
            <v>Jam kerja efektif per-hari</v>
          </cell>
          <cell r="G3111" t="str">
            <v>Tk</v>
          </cell>
          <cell r="H3111">
            <v>7</v>
          </cell>
          <cell r="I3111" t="str">
            <v>jam</v>
          </cell>
        </row>
        <row r="3112">
          <cell r="A3112">
            <v>6</v>
          </cell>
          <cell r="C3112" t="str">
            <v>Kadar Semen Minimum (Spesifikasi)</v>
          </cell>
          <cell r="G3112" t="str">
            <v>Ks</v>
          </cell>
          <cell r="H3112">
            <v>250</v>
          </cell>
          <cell r="I3112" t="str">
            <v>Kg/M3</v>
          </cell>
        </row>
        <row r="3113">
          <cell r="A3113">
            <v>7</v>
          </cell>
          <cell r="C3113" t="str">
            <v>Perbandingan Air/Semen Maksimum (Spesifikasi)</v>
          </cell>
          <cell r="G3113" t="str">
            <v>Wcr</v>
          </cell>
          <cell r="H3113">
            <v>0.6</v>
          </cell>
          <cell r="I3113" t="str">
            <v>-</v>
          </cell>
          <cell r="L3113" t="str">
            <v>NO.</v>
          </cell>
          <cell r="N3113" t="str">
            <v>KOMPONEN</v>
          </cell>
          <cell r="P3113" t="str">
            <v>SATUAN</v>
          </cell>
          <cell r="Q3113" t="str">
            <v>KUANTITAS</v>
          </cell>
          <cell r="R3113" t="str">
            <v>SATUAN</v>
          </cell>
          <cell r="S3113" t="str">
            <v>HARGA</v>
          </cell>
        </row>
        <row r="3114">
          <cell r="A3114">
            <v>8</v>
          </cell>
          <cell r="C3114" t="str">
            <v>Perbandingan Camp.</v>
          </cell>
          <cell r="D3114">
            <v>4</v>
          </cell>
          <cell r="E3114" t="str">
            <v>:  Semen</v>
          </cell>
          <cell r="G3114" t="str">
            <v>Sm</v>
          </cell>
          <cell r="H3114">
            <v>4</v>
          </cell>
          <cell r="I3114" t="str">
            <v>%</v>
          </cell>
          <cell r="J3114" t="str">
            <v xml:space="preserve"> Berdasarkan</v>
          </cell>
          <cell r="R3114" t="str">
            <v>(Rp.)</v>
          </cell>
          <cell r="S3114" t="str">
            <v>(Rp.)</v>
          </cell>
        </row>
        <row r="3115">
          <cell r="D3115">
            <v>20</v>
          </cell>
          <cell r="E3115" t="str">
            <v>:  Agregat Halus</v>
          </cell>
          <cell r="G3115" t="str">
            <v>Fa</v>
          </cell>
          <cell r="H3115">
            <v>19.2</v>
          </cell>
          <cell r="I3115" t="str">
            <v>%</v>
          </cell>
          <cell r="J3115" t="str">
            <v xml:space="preserve"> JMF &amp; sesuai</v>
          </cell>
        </row>
        <row r="3116">
          <cell r="D3116">
            <v>35</v>
          </cell>
          <cell r="E3116" t="str">
            <v>:  Agregat Kasar</v>
          </cell>
          <cell r="G3116" t="str">
            <v>Ca</v>
          </cell>
          <cell r="H3116">
            <v>33.6</v>
          </cell>
          <cell r="I3116" t="str">
            <v>%</v>
          </cell>
          <cell r="J3116" t="str">
            <v xml:space="preserve"> dgn Spesifikasi</v>
          </cell>
        </row>
        <row r="3117">
          <cell r="D3117">
            <v>45</v>
          </cell>
          <cell r="E3117" t="str">
            <v>: Sirtu</v>
          </cell>
          <cell r="G3117" t="str">
            <v>Sr</v>
          </cell>
          <cell r="H3117">
            <v>43.2</v>
          </cell>
          <cell r="I3117" t="str">
            <v>%</v>
          </cell>
        </row>
        <row r="3118">
          <cell r="A3118">
            <v>9</v>
          </cell>
          <cell r="C3118" t="str">
            <v>Berat Jenis Material :</v>
          </cell>
          <cell r="L3118" t="str">
            <v>A.</v>
          </cell>
          <cell r="N3118" t="str">
            <v>TENAGA</v>
          </cell>
        </row>
        <row r="3119">
          <cell r="C3119" t="str">
            <v>-  Beton</v>
          </cell>
          <cell r="G3119" t="str">
            <v>D1</v>
          </cell>
          <cell r="H3119">
            <v>2.25</v>
          </cell>
          <cell r="I3119" t="str">
            <v>T/M3</v>
          </cell>
        </row>
        <row r="3120">
          <cell r="C3120" t="str">
            <v>-  Semen</v>
          </cell>
          <cell r="G3120" t="str">
            <v>D2</v>
          </cell>
          <cell r="H3120">
            <v>3</v>
          </cell>
          <cell r="I3120" t="str">
            <v>T/M3</v>
          </cell>
          <cell r="L3120" t="str">
            <v>1.</v>
          </cell>
          <cell r="N3120" t="str">
            <v>Pekerja</v>
          </cell>
          <cell r="O3120" t="str">
            <v>(L01)</v>
          </cell>
          <cell r="P3120" t="str">
            <v>jam</v>
          </cell>
          <cell r="Q3120">
            <v>5.3012048192771086</v>
          </cell>
          <cell r="R3120">
            <v>2857.14</v>
          </cell>
          <cell r="U3120">
            <v>15146.284337349398</v>
          </cell>
        </row>
        <row r="3121">
          <cell r="C3121" t="str">
            <v>-  Agregat Halus</v>
          </cell>
          <cell r="G3121" t="str">
            <v>D3</v>
          </cell>
          <cell r="H3121">
            <v>2.1</v>
          </cell>
          <cell r="I3121" t="str">
            <v>T/M3</v>
          </cell>
          <cell r="L3121" t="str">
            <v>2.</v>
          </cell>
          <cell r="N3121" t="str">
            <v>Tukang</v>
          </cell>
          <cell r="O3121" t="str">
            <v>(L02)</v>
          </cell>
          <cell r="P3121" t="str">
            <v>jam</v>
          </cell>
          <cell r="Q3121">
            <v>1.7670682730923695</v>
          </cell>
          <cell r="R3121">
            <v>4285.71</v>
          </cell>
          <cell r="U3121">
            <v>7573.142168674699</v>
          </cell>
        </row>
        <row r="3122">
          <cell r="C3122" t="str">
            <v>-  Agregat Kasar</v>
          </cell>
          <cell r="G3122" t="str">
            <v>D4</v>
          </cell>
          <cell r="H3122">
            <v>2.1</v>
          </cell>
          <cell r="I3122" t="str">
            <v>T/M3</v>
          </cell>
          <cell r="L3122" t="str">
            <v>3.</v>
          </cell>
          <cell r="N3122" t="str">
            <v>Mandor</v>
          </cell>
          <cell r="O3122" t="str">
            <v>(L03)</v>
          </cell>
          <cell r="P3122" t="str">
            <v>jam</v>
          </cell>
          <cell r="Q3122">
            <v>0.44176706827309237</v>
          </cell>
          <cell r="R3122">
            <v>3214.29</v>
          </cell>
          <cell r="U3122">
            <v>1419.9674698795181</v>
          </cell>
        </row>
        <row r="3123">
          <cell r="C3123" t="str">
            <v>-  Sirtu</v>
          </cell>
          <cell r="G3123" t="str">
            <v>D5</v>
          </cell>
          <cell r="H3123">
            <v>1.8</v>
          </cell>
          <cell r="I3123" t="str">
            <v>T/M3</v>
          </cell>
        </row>
        <row r="3125">
          <cell r="A3125" t="str">
            <v>II.</v>
          </cell>
          <cell r="C3125" t="str">
            <v>URUTAN KERJA</v>
          </cell>
          <cell r="Q3125" t="str">
            <v xml:space="preserve">JUMLAH HARGA TENAGA   </v>
          </cell>
          <cell r="U3125">
            <v>24139.393975903615</v>
          </cell>
        </row>
        <row r="3126">
          <cell r="A3126">
            <v>1</v>
          </cell>
          <cell r="C3126" t="str">
            <v>Semen, pasir, batu kerikil dan air dicampur dan diaduk</v>
          </cell>
        </row>
        <row r="3127">
          <cell r="C3127" t="str">
            <v>menjadi beton dengan menggunakan Concrete Mixer</v>
          </cell>
          <cell r="L3127" t="str">
            <v>B.</v>
          </cell>
          <cell r="N3127" t="str">
            <v>BAHAN</v>
          </cell>
        </row>
        <row r="3128">
          <cell r="A3128">
            <v>2</v>
          </cell>
          <cell r="C3128" t="str">
            <v>Beton di-cor ke dalam bekisting yang telah disiapkan</v>
          </cell>
        </row>
        <row r="3129">
          <cell r="A3129">
            <v>3</v>
          </cell>
          <cell r="C3129" t="str">
            <v>Penyelesaian dan perapihan setelah pemasangan</v>
          </cell>
          <cell r="L3129" t="str">
            <v>1.</v>
          </cell>
          <cell r="N3129" t="str">
            <v>Semen</v>
          </cell>
          <cell r="O3129" t="str">
            <v>(M12)</v>
          </cell>
          <cell r="P3129" t="str">
            <v>Kg</v>
          </cell>
          <cell r="Q3129">
            <v>92.249999999999986</v>
          </cell>
          <cell r="R3129">
            <v>688.65625</v>
          </cell>
          <cell r="U3129">
            <v>63528.539062499993</v>
          </cell>
        </row>
        <row r="3130">
          <cell r="L3130" t="str">
            <v>2.</v>
          </cell>
          <cell r="N3130" t="str">
            <v>Pasir</v>
          </cell>
          <cell r="O3130" t="str">
            <v>(M01)</v>
          </cell>
          <cell r="P3130" t="str">
            <v>M3</v>
          </cell>
          <cell r="Q3130">
            <v>0.21085714285714283</v>
          </cell>
          <cell r="R3130">
            <v>54300</v>
          </cell>
          <cell r="U3130">
            <v>11449.542857142855</v>
          </cell>
        </row>
        <row r="3131">
          <cell r="A3131" t="str">
            <v>III.</v>
          </cell>
          <cell r="C3131" t="str">
            <v>PEMAKAIAN BAHAN, ALAT DAN TENAGA</v>
          </cell>
          <cell r="L3131" t="str">
            <v>3.</v>
          </cell>
          <cell r="N3131" t="str">
            <v>Agregat Kasar</v>
          </cell>
          <cell r="O3131" t="str">
            <v>(M03)</v>
          </cell>
          <cell r="P3131" t="str">
            <v>M3</v>
          </cell>
          <cell r="Q3131">
            <v>0.36899999999999994</v>
          </cell>
          <cell r="R3131">
            <v>222345.54558042376</v>
          </cell>
          <cell r="U3131">
            <v>82045.506319176347</v>
          </cell>
        </row>
        <row r="3132">
          <cell r="L3132" t="str">
            <v>5.</v>
          </cell>
          <cell r="N3132" t="str">
            <v>Kayu Perancah</v>
          </cell>
          <cell r="O3132" t="str">
            <v>(M19)</v>
          </cell>
          <cell r="P3132" t="str">
            <v>M3</v>
          </cell>
          <cell r="Q3132">
            <v>0.05</v>
          </cell>
          <cell r="R3132">
            <v>1466250</v>
          </cell>
          <cell r="U3132">
            <v>73312.5</v>
          </cell>
        </row>
        <row r="3133">
          <cell r="A3133" t="str">
            <v xml:space="preserve">   1.</v>
          </cell>
          <cell r="C3133" t="str">
            <v>BAHAN</v>
          </cell>
          <cell r="L3133" t="str">
            <v>6.</v>
          </cell>
          <cell r="N3133" t="str">
            <v>Paku</v>
          </cell>
          <cell r="O3133" t="str">
            <v>(M18)</v>
          </cell>
          <cell r="P3133" t="str">
            <v>Kg</v>
          </cell>
          <cell r="Q3133">
            <v>0.4</v>
          </cell>
          <cell r="R3133">
            <v>5500</v>
          </cell>
          <cell r="U3133">
            <v>2200</v>
          </cell>
        </row>
        <row r="3134">
          <cell r="A3134" t="str">
            <v>1.a.</v>
          </cell>
          <cell r="C3134" t="str">
            <v>Semen (PC)          =</v>
          </cell>
          <cell r="D3134" t="str">
            <v xml:space="preserve">   {Sm x D1 x 1000} x 1.025</v>
          </cell>
          <cell r="G3134" t="str">
            <v>(M12)</v>
          </cell>
          <cell r="H3134">
            <v>92.249999999999986</v>
          </cell>
          <cell r="I3134" t="str">
            <v>Kg</v>
          </cell>
        </row>
        <row r="3135">
          <cell r="A3135" t="str">
            <v>1.b.</v>
          </cell>
          <cell r="C3135" t="str">
            <v>Agregat Halus</v>
          </cell>
          <cell r="D3135" t="str">
            <v xml:space="preserve">   {(Ps x D1) : D3} x 1.025</v>
          </cell>
          <cell r="G3135" t="str">
            <v>(M01)</v>
          </cell>
          <cell r="H3135">
            <v>0.21085714285714283</v>
          </cell>
          <cell r="I3135" t="str">
            <v>M3</v>
          </cell>
          <cell r="Q3135" t="str">
            <v xml:space="preserve">JUMLAH HARGA BAHAN   </v>
          </cell>
          <cell r="U3135">
            <v>232536.08823881921</v>
          </cell>
        </row>
        <row r="3136">
          <cell r="A3136" t="str">
            <v>1.c.</v>
          </cell>
          <cell r="C3136" t="str">
            <v>Agregat Kasar</v>
          </cell>
          <cell r="D3136" t="str">
            <v xml:space="preserve">   {(Kr x D1) : D4} x 1.025</v>
          </cell>
          <cell r="G3136" t="str">
            <v>(M03)</v>
          </cell>
          <cell r="H3136">
            <v>0.36899999999999994</v>
          </cell>
          <cell r="I3136" t="str">
            <v>M3</v>
          </cell>
          <cell r="J3136" t="str">
            <v xml:space="preserve"> Agregat Kasar</v>
          </cell>
        </row>
        <row r="3137">
          <cell r="C3137" t="str">
            <v>Sirtu</v>
          </cell>
          <cell r="H3137">
            <v>0.55349999999999999</v>
          </cell>
          <cell r="I3137" t="str">
            <v>M3</v>
          </cell>
        </row>
        <row r="3138">
          <cell r="A3138" t="str">
            <v>1.e.</v>
          </cell>
          <cell r="C3138" t="str">
            <v>Bekisting</v>
          </cell>
          <cell r="G3138" t="str">
            <v>(M19)</v>
          </cell>
          <cell r="H3138">
            <v>0.05</v>
          </cell>
          <cell r="I3138" t="str">
            <v>M3</v>
          </cell>
        </row>
        <row r="3139">
          <cell r="A3139" t="str">
            <v>1.f</v>
          </cell>
          <cell r="C3139" t="str">
            <v>Paku</v>
          </cell>
          <cell r="G3139" t="str">
            <v>(M18)</v>
          </cell>
          <cell r="H3139">
            <v>0.4</v>
          </cell>
          <cell r="I3139" t="str">
            <v>Kg</v>
          </cell>
        </row>
        <row r="3141">
          <cell r="A3141" t="str">
            <v>2.</v>
          </cell>
          <cell r="C3141" t="str">
            <v>ALAT</v>
          </cell>
        </row>
        <row r="3142">
          <cell r="A3142" t="str">
            <v>2.a.</v>
          </cell>
          <cell r="C3142" t="str">
            <v>CONCRETE MIXER</v>
          </cell>
          <cell r="G3142" t="str">
            <v>(E06)</v>
          </cell>
        </row>
        <row r="3143">
          <cell r="C3143" t="str">
            <v>Kapasitas Alat</v>
          </cell>
          <cell r="G3143" t="str">
            <v>V</v>
          </cell>
          <cell r="H3143">
            <v>500</v>
          </cell>
          <cell r="I3143" t="str">
            <v>liter</v>
          </cell>
        </row>
        <row r="3144">
          <cell r="C3144" t="str">
            <v>Faktor Efisiensi Alat</v>
          </cell>
          <cell r="G3144" t="str">
            <v>Fa</v>
          </cell>
          <cell r="H3144">
            <v>0.83</v>
          </cell>
          <cell r="I3144" t="str">
            <v>-</v>
          </cell>
        </row>
        <row r="3145">
          <cell r="C3145" t="str">
            <v>Waktu siklus   :</v>
          </cell>
          <cell r="D3145" t="str">
            <v>(T1 + T2 + T3 + T4)</v>
          </cell>
          <cell r="G3145" t="str">
            <v>Ts</v>
          </cell>
        </row>
        <row r="3146">
          <cell r="C3146" t="str">
            <v>-  Memuat</v>
          </cell>
          <cell r="G3146" t="str">
            <v>T1</v>
          </cell>
          <cell r="H3146">
            <v>3</v>
          </cell>
          <cell r="I3146" t="str">
            <v>menit</v>
          </cell>
        </row>
        <row r="3147">
          <cell r="C3147" t="str">
            <v>-  Mengaduk</v>
          </cell>
          <cell r="G3147" t="str">
            <v>T2</v>
          </cell>
          <cell r="H3147">
            <v>2</v>
          </cell>
          <cell r="I3147" t="str">
            <v>menit</v>
          </cell>
        </row>
        <row r="3148">
          <cell r="C3148" t="str">
            <v>-  Menuang</v>
          </cell>
          <cell r="G3148" t="str">
            <v>T3</v>
          </cell>
          <cell r="H3148">
            <v>3</v>
          </cell>
          <cell r="I3148" t="str">
            <v>menit</v>
          </cell>
        </row>
        <row r="3149">
          <cell r="C3149" t="str">
            <v>-  Tunggu, dll.</v>
          </cell>
          <cell r="G3149" t="str">
            <v>T4</v>
          </cell>
          <cell r="H3149">
            <v>3</v>
          </cell>
          <cell r="I3149" t="str">
            <v>menit</v>
          </cell>
        </row>
        <row r="3150">
          <cell r="G3150" t="str">
            <v>Ts</v>
          </cell>
          <cell r="H3150">
            <v>11</v>
          </cell>
          <cell r="I3150" t="str">
            <v>menit</v>
          </cell>
        </row>
        <row r="3152">
          <cell r="C3152" t="str">
            <v>Kap. Prod. / jam  =</v>
          </cell>
          <cell r="D3152" t="str">
            <v>V x Fa x 60</v>
          </cell>
          <cell r="G3152" t="str">
            <v>Q1</v>
          </cell>
          <cell r="H3152">
            <v>2.2636363636363637</v>
          </cell>
          <cell r="I3152" t="str">
            <v>M3</v>
          </cell>
        </row>
        <row r="3153">
          <cell r="D3153" t="str">
            <v>1000 x Ts</v>
          </cell>
        </row>
        <row r="3155">
          <cell r="C3155" t="str">
            <v>Koefisien Alat / M3</v>
          </cell>
          <cell r="D3155" t="str">
            <v xml:space="preserve">  =   1  :  Q1</v>
          </cell>
          <cell r="G3155" t="str">
            <v>(E06)</v>
          </cell>
          <cell r="H3155">
            <v>0.44176706827309237</v>
          </cell>
          <cell r="I3155" t="str">
            <v>jam</v>
          </cell>
        </row>
        <row r="3159">
          <cell r="J3159" t="str">
            <v>Berlanjut ke hal. berikut.</v>
          </cell>
        </row>
        <row r="3160">
          <cell r="A3160" t="str">
            <v>ITEM PEMBAYARAN NO.</v>
          </cell>
          <cell r="D3160" t="str">
            <v>: 5.5.(2)</v>
          </cell>
          <cell r="J3160" t="str">
            <v>Analisa EI-718</v>
          </cell>
        </row>
        <row r="3161">
          <cell r="A3161" t="str">
            <v>JENIS PEKERJAAN</v>
          </cell>
          <cell r="D3161" t="str">
            <v>: Pekerjaan LFAS Kelas B</v>
          </cell>
        </row>
        <row r="3162">
          <cell r="A3162" t="str">
            <v>SATUAN PEMBAYARAN</v>
          </cell>
          <cell r="D3162" t="str">
            <v>:  M3</v>
          </cell>
          <cell r="H3162" t="str">
            <v xml:space="preserve">        URAIAN ANALISA HARGA SATUAN</v>
          </cell>
        </row>
        <row r="3163">
          <cell r="J3163" t="str">
            <v>Lanjutan</v>
          </cell>
        </row>
        <row r="3165">
          <cell r="A3165" t="str">
            <v>No.</v>
          </cell>
          <cell r="C3165" t="str">
            <v>U R A I A N</v>
          </cell>
          <cell r="G3165" t="str">
            <v>KODE</v>
          </cell>
          <cell r="H3165" t="str">
            <v>KOEF.</v>
          </cell>
          <cell r="I3165" t="str">
            <v>SATUAN</v>
          </cell>
          <cell r="J3165" t="str">
            <v>KETERANGAN</v>
          </cell>
        </row>
        <row r="3168">
          <cell r="A3168" t="str">
            <v>2.b.</v>
          </cell>
          <cell r="C3168" t="str">
            <v>WATER TANK TRUCK</v>
          </cell>
          <cell r="G3168" t="str">
            <v>(E23)</v>
          </cell>
        </row>
        <row r="3169">
          <cell r="C3169" t="str">
            <v>Volume Tanki Air</v>
          </cell>
          <cell r="G3169" t="str">
            <v>V</v>
          </cell>
          <cell r="H3169">
            <v>4</v>
          </cell>
          <cell r="I3169" t="str">
            <v>M3</v>
          </cell>
        </row>
        <row r="3170">
          <cell r="C3170" t="str">
            <v>Kebutuhan air / M3 beton</v>
          </cell>
          <cell r="G3170" t="str">
            <v>Wc</v>
          </cell>
          <cell r="H3170">
            <v>5.5349999999999989E-2</v>
          </cell>
          <cell r="I3170" t="str">
            <v>M3</v>
          </cell>
        </row>
        <row r="3171">
          <cell r="C3171" t="str">
            <v>Faktor Efiesiensi Alat</v>
          </cell>
          <cell r="G3171" t="str">
            <v>Fa</v>
          </cell>
          <cell r="H3171">
            <v>0.83</v>
          </cell>
          <cell r="I3171" t="str">
            <v>-</v>
          </cell>
        </row>
        <row r="3172">
          <cell r="C3172" t="str">
            <v>Pengisian Tanki / jam</v>
          </cell>
          <cell r="G3172" t="str">
            <v>n</v>
          </cell>
          <cell r="H3172">
            <v>1</v>
          </cell>
          <cell r="I3172" t="str">
            <v>kali</v>
          </cell>
        </row>
        <row r="3174">
          <cell r="C3174" t="str">
            <v>Kap. Prod. / jam  =</v>
          </cell>
          <cell r="D3174" t="str">
            <v>V x Fa x n</v>
          </cell>
          <cell r="G3174" t="str">
            <v>Q2</v>
          </cell>
          <cell r="H3174">
            <v>59.981933152664865</v>
          </cell>
          <cell r="I3174" t="str">
            <v>M3</v>
          </cell>
        </row>
        <row r="3175">
          <cell r="D3175" t="str">
            <v>Wc</v>
          </cell>
        </row>
        <row r="3177">
          <cell r="C3177" t="str">
            <v>Koefisien Alat / M3</v>
          </cell>
          <cell r="D3177" t="str">
            <v xml:space="preserve">  =   1  :  Q2</v>
          </cell>
          <cell r="G3177" t="str">
            <v>(E23)</v>
          </cell>
          <cell r="H3177">
            <v>1.6671686746987949E-2</v>
          </cell>
          <cell r="I3177" t="str">
            <v>jam</v>
          </cell>
        </row>
        <row r="3179">
          <cell r="A3179" t="str">
            <v>2.c.</v>
          </cell>
          <cell r="C3179" t="str">
            <v>CONCRETE VIBRATOR</v>
          </cell>
          <cell r="G3179" t="str">
            <v>(E20)</v>
          </cell>
        </row>
        <row r="3180">
          <cell r="C3180" t="str">
            <v>Kebutuhan Alat Penggetar Beton ini disesuaikan dengan</v>
          </cell>
        </row>
        <row r="3181">
          <cell r="C3181" t="str">
            <v>kapasitas produksi Alat Pencampur (Concrete Mixer)</v>
          </cell>
        </row>
        <row r="3183">
          <cell r="C3183" t="str">
            <v>Kap. Prod. / jam  =</v>
          </cell>
          <cell r="D3183" t="str">
            <v>Kap.Prod./Jam Alat Concrete Mixer</v>
          </cell>
          <cell r="G3183" t="str">
            <v>Q3</v>
          </cell>
          <cell r="H3183">
            <v>2.2636363636363637</v>
          </cell>
          <cell r="I3183" t="str">
            <v>M3</v>
          </cell>
        </row>
        <row r="3185">
          <cell r="C3185" t="str">
            <v>Koefisien Alat / M3</v>
          </cell>
          <cell r="D3185" t="str">
            <v xml:space="preserve">  =   1  :  Q3</v>
          </cell>
          <cell r="G3185" t="str">
            <v>(E20)</v>
          </cell>
          <cell r="H3185">
            <v>0.44176706827309237</v>
          </cell>
          <cell r="I3185" t="str">
            <v>jam</v>
          </cell>
        </row>
        <row r="3187">
          <cell r="A3187" t="str">
            <v>2.c.</v>
          </cell>
          <cell r="C3187" t="str">
            <v>ALAT BANTU</v>
          </cell>
        </row>
        <row r="3188">
          <cell r="C3188" t="str">
            <v>Diperlukan  :</v>
          </cell>
        </row>
        <row r="3189">
          <cell r="C3189" t="str">
            <v>- Sekop</v>
          </cell>
          <cell r="D3189" t="str">
            <v>=  2  buah</v>
          </cell>
        </row>
        <row r="3190">
          <cell r="C3190" t="str">
            <v>- Pacul</v>
          </cell>
          <cell r="D3190" t="str">
            <v>=  2  buah</v>
          </cell>
        </row>
        <row r="3191">
          <cell r="C3191" t="str">
            <v>- Sendok Semen</v>
          </cell>
          <cell r="D3191" t="str">
            <v>=  2  buah</v>
          </cell>
        </row>
        <row r="3192">
          <cell r="C3192" t="str">
            <v>- Ember Cor</v>
          </cell>
          <cell r="D3192" t="str">
            <v>=  4  buah</v>
          </cell>
        </row>
        <row r="3193">
          <cell r="C3193" t="str">
            <v>- Gerobak Dorong</v>
          </cell>
          <cell r="D3193" t="str">
            <v>=  1  buah</v>
          </cell>
        </row>
        <row r="3195">
          <cell r="A3195" t="str">
            <v>3.</v>
          </cell>
          <cell r="C3195" t="str">
            <v>TENAGA</v>
          </cell>
        </row>
        <row r="3196">
          <cell r="C3196" t="str">
            <v>Produksi Beton dalam 1 hari</v>
          </cell>
          <cell r="E3196" t="str">
            <v>=  Tk x Q1</v>
          </cell>
          <cell r="G3196" t="str">
            <v>Qt</v>
          </cell>
          <cell r="H3196">
            <v>15.845454545454546</v>
          </cell>
          <cell r="I3196" t="str">
            <v>M3</v>
          </cell>
        </row>
        <row r="3198">
          <cell r="C3198" t="str">
            <v>Kebutuhan tenaga :</v>
          </cell>
          <cell r="D3198" t="str">
            <v>- Mandor</v>
          </cell>
          <cell r="G3198" t="str">
            <v>M</v>
          </cell>
          <cell r="H3198">
            <v>1</v>
          </cell>
          <cell r="I3198" t="str">
            <v>orang</v>
          </cell>
        </row>
        <row r="3199">
          <cell r="D3199" t="str">
            <v>- Tukang</v>
          </cell>
          <cell r="G3199" t="str">
            <v>Tb</v>
          </cell>
          <cell r="H3199">
            <v>4</v>
          </cell>
          <cell r="I3199" t="str">
            <v>orang</v>
          </cell>
        </row>
        <row r="3200">
          <cell r="D3200" t="str">
            <v>- Pekerja</v>
          </cell>
          <cell r="G3200" t="str">
            <v>P</v>
          </cell>
          <cell r="H3200">
            <v>12</v>
          </cell>
          <cell r="I3200" t="str">
            <v>orang</v>
          </cell>
        </row>
        <row r="3202">
          <cell r="C3202" t="str">
            <v>Koefisien Tenaga / M3   :</v>
          </cell>
        </row>
        <row r="3203">
          <cell r="D3203" t="str">
            <v>-  Mandor</v>
          </cell>
          <cell r="E3203" t="str">
            <v>= (Tk x M) : Qt</v>
          </cell>
          <cell r="G3203" t="str">
            <v>(L03)</v>
          </cell>
          <cell r="H3203">
            <v>0.44176706827309237</v>
          </cell>
          <cell r="I3203" t="str">
            <v>jam</v>
          </cell>
        </row>
        <row r="3204">
          <cell r="D3204" t="str">
            <v>-  Tukang</v>
          </cell>
          <cell r="E3204" t="str">
            <v>= (Tk x Tb) : Qt</v>
          </cell>
          <cell r="G3204" t="str">
            <v>(L02)</v>
          </cell>
          <cell r="H3204">
            <v>1.7670682730923695</v>
          </cell>
          <cell r="I3204" t="str">
            <v>jam</v>
          </cell>
        </row>
        <row r="3205">
          <cell r="D3205" t="str">
            <v>-  Pekerja</v>
          </cell>
          <cell r="E3205" t="str">
            <v>= (Tk x P) : Qt</v>
          </cell>
          <cell r="G3205" t="str">
            <v>(L01)</v>
          </cell>
          <cell r="H3205">
            <v>5.3012048192771086</v>
          </cell>
          <cell r="I3205" t="str">
            <v>jam</v>
          </cell>
        </row>
        <row r="3208">
          <cell r="A3208" t="str">
            <v>4.</v>
          </cell>
          <cell r="C3208" t="str">
            <v>HARGA DASAR SATUAN UPAH, BAHAN DAN ALAT</v>
          </cell>
        </row>
        <row r="3209">
          <cell r="C3209" t="str">
            <v>Lihat lampiran.</v>
          </cell>
        </row>
        <row r="3218">
          <cell r="J3218" t="str">
            <v>Berlanjut ke hal. berikut.</v>
          </cell>
        </row>
        <row r="3219">
          <cell r="A3219" t="str">
            <v>ITEM PEMBAYARAN NO.</v>
          </cell>
          <cell r="D3219" t="str">
            <v>: 5.5.(2)</v>
          </cell>
          <cell r="J3219" t="str">
            <v>Analisa EI-718</v>
          </cell>
        </row>
        <row r="3220">
          <cell r="A3220" t="str">
            <v>JENIS PEKERJAAN</v>
          </cell>
          <cell r="D3220" t="str">
            <v>: Pekerjaan LFAS Kelas B</v>
          </cell>
        </row>
        <row r="3221">
          <cell r="A3221" t="str">
            <v>SATUAN PEMBAYARAN</v>
          </cell>
          <cell r="D3221" t="str">
            <v>:  M3</v>
          </cell>
          <cell r="H3221" t="str">
            <v xml:space="preserve">        URAIAN ANALISA HARGA SATUAN</v>
          </cell>
        </row>
        <row r="3222">
          <cell r="J3222" t="str">
            <v>Lanjutan</v>
          </cell>
        </row>
        <row r="3224">
          <cell r="A3224" t="str">
            <v>No.</v>
          </cell>
          <cell r="C3224" t="str">
            <v>U R A I A N</v>
          </cell>
          <cell r="G3224" t="str">
            <v>KODE</v>
          </cell>
          <cell r="H3224" t="str">
            <v>KOEF.</v>
          </cell>
          <cell r="I3224" t="str">
            <v>SATUAN</v>
          </cell>
          <cell r="J3224" t="str">
            <v>KETERANGAN</v>
          </cell>
        </row>
        <row r="3227">
          <cell r="A3227" t="str">
            <v>5.</v>
          </cell>
          <cell r="C3227" t="str">
            <v>ANALISA HARGA SATUAN PEKERJAAN</v>
          </cell>
        </row>
        <row r="3228">
          <cell r="C3228" t="str">
            <v>Lihat perhitungan dalam FORMULIR STANDAR UNTUK</v>
          </cell>
        </row>
        <row r="3229">
          <cell r="C3229" t="str">
            <v>PEREKEMAN ANALISA MASING-MASING HARGA</v>
          </cell>
        </row>
        <row r="3230">
          <cell r="C3230" t="str">
            <v>SATUAN.</v>
          </cell>
        </row>
        <row r="3231">
          <cell r="C3231" t="str">
            <v>Didapat Harga Satuan Pekerjaan :</v>
          </cell>
        </row>
        <row r="3233">
          <cell r="C3233" t="str">
            <v xml:space="preserve">Rp.  </v>
          </cell>
          <cell r="D3233">
            <v>313349.42307399388</v>
          </cell>
          <cell r="E3233" t="str">
            <v xml:space="preserve"> / M3</v>
          </cell>
        </row>
        <row r="3236">
          <cell r="A3236" t="str">
            <v>6.</v>
          </cell>
          <cell r="C3236" t="str">
            <v>MASA PELAKSANAAN YANG DIPERLUKAN</v>
          </cell>
        </row>
        <row r="3237">
          <cell r="C3237" t="str">
            <v>Masa Pelaksanaan :</v>
          </cell>
          <cell r="D3237" t="str">
            <v>. . . . . . . . . . . .</v>
          </cell>
        </row>
        <row r="3239">
          <cell r="A3239" t="str">
            <v>7.</v>
          </cell>
          <cell r="C3239" t="str">
            <v>VOLUME PEKERJAAN YANG DIPERLUKAN</v>
          </cell>
        </row>
        <row r="3240">
          <cell r="C3240" t="str">
            <v>Volume pekerjaan  :</v>
          </cell>
          <cell r="D3240">
            <v>1</v>
          </cell>
          <cell r="E3240" t="str">
            <v>M3</v>
          </cell>
        </row>
        <row r="3281">
          <cell r="A3281" t="str">
            <v>ITEM PEMBAYARAN NO.</v>
          </cell>
          <cell r="D3281" t="str">
            <v>: 5.5.(3)</v>
          </cell>
          <cell r="J3281" t="str">
            <v>Analisa EI-718</v>
          </cell>
          <cell r="T3281" t="str">
            <v>Analisa EI-718</v>
          </cell>
        </row>
        <row r="3282">
          <cell r="A3282" t="str">
            <v>JENIS PEKERJAAN</v>
          </cell>
          <cell r="D3282" t="str">
            <v>: Pekerjaan LPAS Kelas C</v>
          </cell>
        </row>
        <row r="3283">
          <cell r="A3283" t="str">
            <v>SATUAN PEMBAYARAN</v>
          </cell>
          <cell r="D3283" t="str">
            <v>:  M3</v>
          </cell>
          <cell r="H3283" t="str">
            <v xml:space="preserve">        URAIAN ANALISA HARGA SATUAN</v>
          </cell>
          <cell r="L3283" t="str">
            <v>FORMULIR STANDAR UNTUK</v>
          </cell>
        </row>
        <row r="3284">
          <cell r="L3284" t="str">
            <v>PEREKAMAN ANALISA MASING-MASING HARGA SATUAN</v>
          </cell>
        </row>
        <row r="3285">
          <cell r="L3285" t="str">
            <v/>
          </cell>
        </row>
        <row r="3286">
          <cell r="A3286" t="str">
            <v>No.</v>
          </cell>
          <cell r="C3286" t="str">
            <v>U R A I A N</v>
          </cell>
          <cell r="G3286" t="str">
            <v>KODE</v>
          </cell>
          <cell r="H3286" t="str">
            <v>KOEF.</v>
          </cell>
          <cell r="I3286" t="str">
            <v>SATUAN</v>
          </cell>
          <cell r="J3286" t="str">
            <v>KETERANGAN</v>
          </cell>
        </row>
        <row r="3288">
          <cell r="L3288" t="str">
            <v>PROYEK</v>
          </cell>
          <cell r="O3288" t="str">
            <v>:</v>
          </cell>
        </row>
        <row r="3289">
          <cell r="A3289" t="str">
            <v>I.</v>
          </cell>
          <cell r="C3289" t="str">
            <v>ASUMSI</v>
          </cell>
          <cell r="L3289" t="str">
            <v>No. PAKET KONTRAK</v>
          </cell>
          <cell r="O3289" t="str">
            <v>:</v>
          </cell>
        </row>
        <row r="3290">
          <cell r="A3290">
            <v>1</v>
          </cell>
          <cell r="C3290" t="str">
            <v>Menggunakan alat (cara mekanik)</v>
          </cell>
          <cell r="L3290" t="str">
            <v>NAMA PAKET</v>
          </cell>
          <cell r="O3290" t="str">
            <v>:</v>
          </cell>
        </row>
        <row r="3291">
          <cell r="A3291">
            <v>2</v>
          </cell>
          <cell r="C3291" t="str">
            <v>Lokasi pekerjaan : sepanjang jalan</v>
          </cell>
          <cell r="L3291" t="str">
            <v>PROP / KAB / KODYA</v>
          </cell>
          <cell r="O3291" t="str">
            <v>:</v>
          </cell>
        </row>
        <row r="3292">
          <cell r="A3292">
            <v>3</v>
          </cell>
          <cell r="C3292" t="str">
            <v>Agregat merupakan bahan Lapis Pondasi Agregat</v>
          </cell>
          <cell r="L3292" t="str">
            <v>ITEM PEMBAYARAN NO.</v>
          </cell>
          <cell r="O3292" t="str">
            <v>: 5.5.(3)</v>
          </cell>
          <cell r="R3292" t="str">
            <v>PERKIRAAN VOL. PEK.</v>
          </cell>
          <cell r="T3292" t="str">
            <v>:</v>
          </cell>
          <cell r="U3292">
            <v>1</v>
          </cell>
        </row>
        <row r="3293">
          <cell r="C3293" t="str">
            <v>Kelas C yang telah dicampur di base camp dan</v>
          </cell>
          <cell r="L3293" t="str">
            <v>JENIS PEKERJAAN</v>
          </cell>
          <cell r="O3293" t="str">
            <v>: Pekerjaan LPAS Kelas C</v>
          </cell>
          <cell r="R3293" t="str">
            <v>TOTAL HARGA (Rp.)</v>
          </cell>
          <cell r="T3293" t="str">
            <v>:</v>
          </cell>
          <cell r="U3293">
            <v>31522.779454667012</v>
          </cell>
        </row>
        <row r="3294">
          <cell r="C3294" t="str">
            <v>selanjutnya dimuat ke truck dengan wheel loader</v>
          </cell>
        </row>
        <row r="3295">
          <cell r="A3295">
            <v>4</v>
          </cell>
          <cell r="C3295" t="str">
            <v>Jarak rata-rata Base camp ke lokasi pekerjaan</v>
          </cell>
          <cell r="G3295" t="str">
            <v>L</v>
          </cell>
          <cell r="H3295">
            <v>0</v>
          </cell>
          <cell r="I3295" t="str">
            <v>KM</v>
          </cell>
          <cell r="L3295" t="str">
            <v>SATUAN PEMBAYARAN</v>
          </cell>
          <cell r="O3295" t="str">
            <v>:  M3</v>
          </cell>
          <cell r="R3295" t="str">
            <v>% THD. BIAYA PROYEK</v>
          </cell>
          <cell r="T3295" t="str">
            <v>:</v>
          </cell>
          <cell r="U3295" t="e">
            <v>#DIV/0!</v>
          </cell>
        </row>
        <row r="3296">
          <cell r="A3296">
            <v>5</v>
          </cell>
          <cell r="C3296" t="str">
            <v>Jam kerja efektif per-hari</v>
          </cell>
          <cell r="G3296" t="str">
            <v>Tk</v>
          </cell>
          <cell r="H3296">
            <v>7</v>
          </cell>
          <cell r="I3296" t="str">
            <v>jam</v>
          </cell>
        </row>
        <row r="3297">
          <cell r="A3297">
            <v>6</v>
          </cell>
          <cell r="C3297" t="str">
            <v>Kadar Semen Minimum (Spesifikasi)</v>
          </cell>
          <cell r="G3297" t="str">
            <v>Ks</v>
          </cell>
          <cell r="H3297">
            <v>250</v>
          </cell>
          <cell r="I3297" t="str">
            <v>Kg/M3</v>
          </cell>
        </row>
        <row r="3298">
          <cell r="A3298">
            <v>7</v>
          </cell>
          <cell r="C3298" t="str">
            <v>Perbandingan Air/Semen Maksimum (Spesifikasi)</v>
          </cell>
          <cell r="G3298" t="str">
            <v>Wcr</v>
          </cell>
          <cell r="H3298">
            <v>0.6</v>
          </cell>
          <cell r="I3298" t="str">
            <v>-</v>
          </cell>
          <cell r="L3298" t="str">
            <v>NO.</v>
          </cell>
          <cell r="N3298" t="str">
            <v>KOMPONEN</v>
          </cell>
          <cell r="P3298" t="str">
            <v>SATUAN</v>
          </cell>
          <cell r="Q3298" t="str">
            <v>KUANTITAS</v>
          </cell>
          <cell r="R3298" t="str">
            <v>SATUAN</v>
          </cell>
          <cell r="S3298" t="str">
            <v>HARGA</v>
          </cell>
        </row>
        <row r="3299">
          <cell r="A3299">
            <v>8</v>
          </cell>
          <cell r="C3299" t="str">
            <v>Perbandingan Camp.</v>
          </cell>
          <cell r="D3299">
            <v>12</v>
          </cell>
          <cell r="E3299" t="str">
            <v>:  Semen</v>
          </cell>
          <cell r="G3299" t="str">
            <v>Sm</v>
          </cell>
          <cell r="H3299">
            <v>12</v>
          </cell>
          <cell r="I3299" t="str">
            <v>%</v>
          </cell>
          <cell r="J3299" t="str">
            <v xml:space="preserve"> Berdasarkan</v>
          </cell>
          <cell r="R3299" t="str">
            <v>(Rp.)</v>
          </cell>
          <cell r="S3299" t="str">
            <v>(Rp.)</v>
          </cell>
        </row>
        <row r="3300">
          <cell r="D3300">
            <v>47</v>
          </cell>
          <cell r="E3300" t="str">
            <v>:  Agregat Halus</v>
          </cell>
          <cell r="G3300" t="str">
            <v>Fa</v>
          </cell>
          <cell r="H3300">
            <v>41.4</v>
          </cell>
          <cell r="I3300" t="str">
            <v>%</v>
          </cell>
          <cell r="J3300" t="str">
            <v xml:space="preserve"> JMF &amp; sesuai</v>
          </cell>
        </row>
        <row r="3301">
          <cell r="D3301">
            <v>38</v>
          </cell>
          <cell r="E3301" t="str">
            <v>:  Agregat Kasar</v>
          </cell>
          <cell r="G3301" t="str">
            <v>Ca</v>
          </cell>
          <cell r="H3301">
            <v>33.4</v>
          </cell>
          <cell r="I3301" t="str">
            <v>%</v>
          </cell>
          <cell r="J3301" t="str">
            <v/>
          </cell>
        </row>
        <row r="3302">
          <cell r="D3302">
            <v>15</v>
          </cell>
          <cell r="E3302" t="str">
            <v>: Tanah</v>
          </cell>
          <cell r="G3302" t="str">
            <v>Tnh</v>
          </cell>
          <cell r="H3302">
            <v>13.2</v>
          </cell>
          <cell r="I3302" t="str">
            <v>%</v>
          </cell>
        </row>
        <row r="3303">
          <cell r="A3303">
            <v>9</v>
          </cell>
          <cell r="C3303" t="str">
            <v>Berat Jenis Material :</v>
          </cell>
          <cell r="L3303" t="str">
            <v>A.</v>
          </cell>
          <cell r="N3303" t="str">
            <v>TENAGA</v>
          </cell>
        </row>
        <row r="3304">
          <cell r="C3304" t="str">
            <v>-  Beton</v>
          </cell>
          <cell r="G3304" t="str">
            <v>D1</v>
          </cell>
          <cell r="H3304">
            <v>2.25</v>
          </cell>
          <cell r="I3304" t="str">
            <v>T/M3</v>
          </cell>
        </row>
        <row r="3305">
          <cell r="C3305" t="str">
            <v>-  Semen</v>
          </cell>
          <cell r="G3305" t="str">
            <v>D2</v>
          </cell>
          <cell r="H3305">
            <v>3</v>
          </cell>
          <cell r="I3305" t="str">
            <v>T/M3</v>
          </cell>
          <cell r="L3305" t="str">
            <v>1.</v>
          </cell>
          <cell r="N3305" t="str">
            <v>Pekerja</v>
          </cell>
          <cell r="O3305" t="str">
            <v>(L01)</v>
          </cell>
          <cell r="P3305" t="str">
            <v>jam</v>
          </cell>
          <cell r="Q3305">
            <v>5.3012048192771086</v>
          </cell>
          <cell r="R3305">
            <v>2857.14</v>
          </cell>
          <cell r="U3305">
            <v>15146.284337349398</v>
          </cell>
        </row>
        <row r="3306">
          <cell r="C3306" t="str">
            <v>-  Agregat Kelas C</v>
          </cell>
          <cell r="G3306" t="str">
            <v>D3</v>
          </cell>
          <cell r="H3306">
            <v>1.9</v>
          </cell>
          <cell r="I3306" t="str">
            <v>T/M3</v>
          </cell>
          <cell r="L3306" t="str">
            <v>2.</v>
          </cell>
          <cell r="N3306" t="str">
            <v>Tukang</v>
          </cell>
          <cell r="O3306" t="str">
            <v>(L02)</v>
          </cell>
          <cell r="P3306" t="str">
            <v>jam</v>
          </cell>
          <cell r="Q3306">
            <v>1.7670682730923695</v>
          </cell>
          <cell r="R3306">
            <v>4285.71</v>
          </cell>
          <cell r="U3306">
            <v>7573.142168674699</v>
          </cell>
        </row>
        <row r="3307">
          <cell r="C3307" t="str">
            <v/>
          </cell>
          <cell r="G3307" t="str">
            <v/>
          </cell>
          <cell r="H3307" t="str">
            <v/>
          </cell>
          <cell r="I3307" t="str">
            <v/>
          </cell>
          <cell r="L3307" t="str">
            <v>3.</v>
          </cell>
          <cell r="N3307" t="str">
            <v>Mandor</v>
          </cell>
          <cell r="O3307" t="str">
            <v>(L03)</v>
          </cell>
          <cell r="P3307" t="str">
            <v>jam</v>
          </cell>
          <cell r="Q3307">
            <v>0.44176706827309237</v>
          </cell>
          <cell r="R3307">
            <v>3214.29</v>
          </cell>
          <cell r="U3307">
            <v>1419.9674698795181</v>
          </cell>
        </row>
        <row r="3308">
          <cell r="C3308" t="str">
            <v/>
          </cell>
        </row>
        <row r="3309">
          <cell r="A3309" t="str">
            <v>II.</v>
          </cell>
          <cell r="C3309" t="str">
            <v>URUTAN KERJA</v>
          </cell>
          <cell r="Q3309" t="str">
            <v xml:space="preserve">JUMLAH HARGA TENAGA   </v>
          </cell>
          <cell r="U3309">
            <v>24139.393975903615</v>
          </cell>
        </row>
        <row r="3310">
          <cell r="A3310">
            <v>1</v>
          </cell>
          <cell r="C3310" t="str">
            <v>Semen, pasir, batu kerikil dan air dicampur dan diaduk</v>
          </cell>
        </row>
        <row r="3311">
          <cell r="C3311" t="str">
            <v>menjadi beton dengan menggunakan Concrete Mixer</v>
          </cell>
          <cell r="L3311" t="str">
            <v>B.</v>
          </cell>
          <cell r="N3311" t="str">
            <v>BAHAN</v>
          </cell>
        </row>
        <row r="3312">
          <cell r="A3312">
            <v>2</v>
          </cell>
          <cell r="C3312" t="str">
            <v>Beton di-cor ke dalam bekisting yang telah disiapkan</v>
          </cell>
        </row>
        <row r="3313">
          <cell r="A3313">
            <v>3</v>
          </cell>
          <cell r="C3313" t="str">
            <v>Penyelesaian dan perapihan setelah pemasangan</v>
          </cell>
          <cell r="L3313" t="str">
            <v>1.</v>
          </cell>
          <cell r="N3313" t="str">
            <v>Semen</v>
          </cell>
          <cell r="O3313" t="str">
            <v>(M12)</v>
          </cell>
          <cell r="P3313" t="str">
            <v>Kg</v>
          </cell>
          <cell r="Q3313">
            <v>276.75</v>
          </cell>
          <cell r="R3313">
            <v>1357.5</v>
          </cell>
          <cell r="U3313">
            <v>375688.125</v>
          </cell>
        </row>
        <row r="3314">
          <cell r="L3314" t="str">
            <v>2.</v>
          </cell>
          <cell r="N3314" t="str">
            <v>Aggregat Klas C</v>
          </cell>
          <cell r="O3314" t="str">
            <v>(M01)</v>
          </cell>
          <cell r="P3314" t="str">
            <v>M3</v>
          </cell>
          <cell r="Q3314">
            <v>0.50251973684210527</v>
          </cell>
          <cell r="R3314">
            <v>141787.08464737452</v>
          </cell>
          <cell r="U3314">
            <v>71250.808464607951</v>
          </cell>
        </row>
        <row r="3315">
          <cell r="A3315" t="str">
            <v>III.</v>
          </cell>
          <cell r="C3315" t="str">
            <v>PEMAKAIAN BAHAN, ALAT DAN TENAGA</v>
          </cell>
        </row>
        <row r="3317">
          <cell r="A3317" t="str">
            <v xml:space="preserve">   1.</v>
          </cell>
          <cell r="C3317" t="str">
            <v>BAHAN</v>
          </cell>
        </row>
        <row r="3318">
          <cell r="A3318" t="str">
            <v>1.a.</v>
          </cell>
          <cell r="C3318" t="str">
            <v>Semen (PC)          =</v>
          </cell>
          <cell r="D3318" t="str">
            <v xml:space="preserve">   {Sm x D1 x 1000} x 1.025</v>
          </cell>
          <cell r="G3318" t="str">
            <v>(M12)</v>
          </cell>
          <cell r="H3318">
            <v>276.75</v>
          </cell>
          <cell r="I3318" t="str">
            <v>Kg</v>
          </cell>
        </row>
        <row r="3319">
          <cell r="A3319" t="str">
            <v>1.b.</v>
          </cell>
          <cell r="C3319" t="str">
            <v>Agregat Kelas C</v>
          </cell>
          <cell r="D3319" t="str">
            <v xml:space="preserve">   {(Ps x D1) : D3} x 1.025</v>
          </cell>
          <cell r="G3319" t="str">
            <v>(M01)</v>
          </cell>
          <cell r="H3319">
            <v>0.50251973684210527</v>
          </cell>
          <cell r="I3319" t="str">
            <v>M3</v>
          </cell>
        </row>
        <row r="3320">
          <cell r="A3320" t="str">
            <v>1.c.</v>
          </cell>
          <cell r="C3320" t="str">
            <v/>
          </cell>
          <cell r="D3320" t="str">
            <v/>
          </cell>
          <cell r="G3320" t="str">
            <v/>
          </cell>
          <cell r="H3320" t="str">
            <v/>
          </cell>
          <cell r="I3320" t="str">
            <v/>
          </cell>
          <cell r="J3320" t="str">
            <v/>
          </cell>
        </row>
        <row r="3321">
          <cell r="A3321" t="str">
            <v>1.e.</v>
          </cell>
          <cell r="C3321" t="str">
            <v>Bekisting</v>
          </cell>
          <cell r="G3321" t="str">
            <v>(M19)</v>
          </cell>
          <cell r="H3321">
            <v>0.05</v>
          </cell>
          <cell r="I3321" t="str">
            <v>M3</v>
          </cell>
        </row>
        <row r="3322">
          <cell r="A3322" t="str">
            <v>1.f</v>
          </cell>
          <cell r="C3322" t="str">
            <v>Paku</v>
          </cell>
          <cell r="G3322" t="str">
            <v>(M18)</v>
          </cell>
          <cell r="H3322">
            <v>0.4</v>
          </cell>
          <cell r="I3322" t="str">
            <v>Kg</v>
          </cell>
        </row>
        <row r="3324">
          <cell r="A3324" t="str">
            <v>2.</v>
          </cell>
          <cell r="C3324" t="str">
            <v>ALAT</v>
          </cell>
        </row>
        <row r="3325">
          <cell r="A3325" t="str">
            <v>2.a.</v>
          </cell>
          <cell r="C3325" t="str">
            <v>CONCRETE MIXER</v>
          </cell>
          <cell r="G3325" t="str">
            <v>(E06)</v>
          </cell>
        </row>
        <row r="3326">
          <cell r="C3326" t="str">
            <v>Kapasitas Alat</v>
          </cell>
          <cell r="G3326" t="str">
            <v>V</v>
          </cell>
          <cell r="H3326">
            <v>500</v>
          </cell>
          <cell r="I3326" t="str">
            <v>liter</v>
          </cell>
        </row>
        <row r="3327">
          <cell r="C3327" t="str">
            <v>Faktor Efisiensi Alat</v>
          </cell>
          <cell r="G3327" t="str">
            <v>Fa</v>
          </cell>
          <cell r="H3327">
            <v>0.83</v>
          </cell>
          <cell r="I3327" t="str">
            <v>-</v>
          </cell>
        </row>
        <row r="3328">
          <cell r="C3328" t="str">
            <v>Waktu siklus   :</v>
          </cell>
          <cell r="D3328" t="str">
            <v>(T1 + T2 + T3 + T4)</v>
          </cell>
          <cell r="G3328" t="str">
            <v>Ts</v>
          </cell>
        </row>
        <row r="3329">
          <cell r="C3329" t="str">
            <v>-  Memuat</v>
          </cell>
          <cell r="G3329" t="str">
            <v>T1</v>
          </cell>
          <cell r="H3329">
            <v>3</v>
          </cell>
          <cell r="I3329" t="str">
            <v>menit</v>
          </cell>
        </row>
        <row r="3330">
          <cell r="C3330" t="str">
            <v>-  Mengaduk</v>
          </cell>
          <cell r="G3330" t="str">
            <v>T2</v>
          </cell>
          <cell r="H3330">
            <v>2</v>
          </cell>
          <cell r="I3330" t="str">
            <v>menit</v>
          </cell>
        </row>
        <row r="3331">
          <cell r="C3331" t="str">
            <v>-  Menuang</v>
          </cell>
          <cell r="G3331" t="str">
            <v>T3</v>
          </cell>
          <cell r="H3331">
            <v>3</v>
          </cell>
          <cell r="I3331" t="str">
            <v>menit</v>
          </cell>
        </row>
        <row r="3332">
          <cell r="C3332" t="str">
            <v>-  Tunggu, dll.</v>
          </cell>
          <cell r="G3332" t="str">
            <v>T4</v>
          </cell>
          <cell r="H3332">
            <v>3</v>
          </cell>
          <cell r="I3332" t="str">
            <v>menit</v>
          </cell>
        </row>
        <row r="3333">
          <cell r="G3333" t="str">
            <v>Ts</v>
          </cell>
          <cell r="H3333">
            <v>11</v>
          </cell>
          <cell r="I3333" t="str">
            <v>menit</v>
          </cell>
        </row>
        <row r="3335">
          <cell r="C3335" t="str">
            <v>Kap. Prod. / jam  =</v>
          </cell>
          <cell r="D3335" t="str">
            <v>V x Fa x 60</v>
          </cell>
          <cell r="G3335" t="str">
            <v>Q1</v>
          </cell>
          <cell r="H3335">
            <v>2.2636363636363637</v>
          </cell>
          <cell r="I3335" t="str">
            <v>M3</v>
          </cell>
        </row>
        <row r="3336">
          <cell r="D3336" t="str">
            <v>1000 x Ts</v>
          </cell>
        </row>
        <row r="3338">
          <cell r="C3338" t="str">
            <v>Koefisien Alat / M3</v>
          </cell>
          <cell r="D3338" t="str">
            <v xml:space="preserve">  =   1  :  Q1</v>
          </cell>
          <cell r="G3338" t="str">
            <v>(E06)</v>
          </cell>
          <cell r="H3338">
            <v>0.44176706827309237</v>
          </cell>
          <cell r="I3338" t="str">
            <v>jam</v>
          </cell>
        </row>
        <row r="3342">
          <cell r="J3342" t="str">
            <v>Berlanjut ke hal. berikut.</v>
          </cell>
        </row>
        <row r="3343">
          <cell r="A3343" t="str">
            <v>ITEM PEMBAYARAN NO.</v>
          </cell>
          <cell r="D3343" t="str">
            <v>: 5.5.(3)</v>
          </cell>
          <cell r="J3343" t="str">
            <v>Analisa EI-718</v>
          </cell>
        </row>
        <row r="3344">
          <cell r="A3344" t="str">
            <v>JENIS PEKERJAAN</v>
          </cell>
          <cell r="D3344" t="str">
            <v>: Pekerjaan LPAS Kelas C</v>
          </cell>
        </row>
        <row r="3345">
          <cell r="A3345" t="str">
            <v>SATUAN PEMBAYARAN</v>
          </cell>
          <cell r="D3345" t="str">
            <v>:  M3</v>
          </cell>
          <cell r="H3345" t="str">
            <v xml:space="preserve">        URAIAN ANALISA HARGA SATUAN</v>
          </cell>
        </row>
        <row r="3346">
          <cell r="J3346" t="str">
            <v>Lanjutan</v>
          </cell>
        </row>
        <row r="3348">
          <cell r="A3348" t="str">
            <v>No.</v>
          </cell>
          <cell r="C3348" t="str">
            <v>U R A I A N</v>
          </cell>
          <cell r="G3348" t="str">
            <v>KODE</v>
          </cell>
          <cell r="H3348" t="str">
            <v>KOEF.</v>
          </cell>
          <cell r="I3348" t="str">
            <v>SATUAN</v>
          </cell>
          <cell r="J3348" t="str">
            <v>KETERANGAN</v>
          </cell>
        </row>
        <row r="3351">
          <cell r="A3351" t="str">
            <v>2.b.</v>
          </cell>
          <cell r="C3351" t="str">
            <v>WATER TANK TRUCK</v>
          </cell>
          <cell r="G3351" t="str">
            <v>(E23)</v>
          </cell>
        </row>
        <row r="3352">
          <cell r="C3352" t="str">
            <v>Volume Tanki Air</v>
          </cell>
          <cell r="G3352" t="str">
            <v>V</v>
          </cell>
          <cell r="H3352">
            <v>4</v>
          </cell>
          <cell r="I3352" t="str">
            <v>M3</v>
          </cell>
        </row>
        <row r="3353">
          <cell r="C3353" t="str">
            <v>Kebutuhan air / M3 beton</v>
          </cell>
          <cell r="G3353" t="str">
            <v>Wc</v>
          </cell>
          <cell r="H3353">
            <v>0.16604999999999998</v>
          </cell>
          <cell r="I3353" t="str">
            <v>M3</v>
          </cell>
        </row>
        <row r="3354">
          <cell r="C3354" t="str">
            <v>Faktor Efiesiensi Alat</v>
          </cell>
          <cell r="G3354" t="str">
            <v>Fa</v>
          </cell>
          <cell r="H3354">
            <v>0.83</v>
          </cell>
          <cell r="I3354" t="str">
            <v>-</v>
          </cell>
        </row>
        <row r="3355">
          <cell r="C3355" t="str">
            <v>Pengisian Tanki / jam</v>
          </cell>
          <cell r="G3355" t="str">
            <v>n</v>
          </cell>
          <cell r="H3355">
            <v>1</v>
          </cell>
          <cell r="I3355" t="str">
            <v>kali</v>
          </cell>
        </row>
        <row r="3357">
          <cell r="C3357" t="str">
            <v>Kap. Prod. / jam  =</v>
          </cell>
          <cell r="D3357" t="str">
            <v>V x Fa x n</v>
          </cell>
          <cell r="G3357" t="str">
            <v>Q2</v>
          </cell>
          <cell r="H3357">
            <v>19.993977717554955</v>
          </cell>
          <cell r="I3357" t="str">
            <v>M3</v>
          </cell>
        </row>
        <row r="3358">
          <cell r="D3358" t="str">
            <v>Wc</v>
          </cell>
        </row>
        <row r="3360">
          <cell r="C3360" t="str">
            <v>Koefisien Alat / M3</v>
          </cell>
          <cell r="D3360" t="str">
            <v xml:space="preserve">  =   1  :  Q2</v>
          </cell>
          <cell r="G3360" t="str">
            <v>(E23)</v>
          </cell>
          <cell r="H3360">
            <v>5.0015060240963853E-2</v>
          </cell>
          <cell r="I3360" t="str">
            <v>jam</v>
          </cell>
        </row>
        <row r="3362">
          <cell r="A3362" t="str">
            <v>2.c.</v>
          </cell>
          <cell r="C3362" t="str">
            <v>CONCRETE VIBRATOR</v>
          </cell>
          <cell r="G3362" t="str">
            <v>(E20)</v>
          </cell>
        </row>
        <row r="3363">
          <cell r="C3363" t="str">
            <v>Kebutuhan Alat Penggetar Beton ini disesuaikan dengan</v>
          </cell>
        </row>
        <row r="3364">
          <cell r="C3364" t="str">
            <v>kapasitas produksi Alat Pencampur (Concrete Mixer)</v>
          </cell>
        </row>
        <row r="3366">
          <cell r="C3366" t="str">
            <v>Kap. Prod. / jam  =</v>
          </cell>
          <cell r="D3366" t="str">
            <v>Kap.Prod./Jam Alat Concrete Mixer</v>
          </cell>
          <cell r="G3366" t="str">
            <v>Q3</v>
          </cell>
          <cell r="H3366">
            <v>2.2636363636363637</v>
          </cell>
          <cell r="I3366" t="str">
            <v>M3</v>
          </cell>
        </row>
        <row r="3368">
          <cell r="C3368" t="str">
            <v>Koefisien Alat / M3</v>
          </cell>
          <cell r="D3368" t="str">
            <v xml:space="preserve">  =   1  :  Q3</v>
          </cell>
          <cell r="G3368" t="str">
            <v>(E20)</v>
          </cell>
          <cell r="H3368">
            <v>0.44176706827309237</v>
          </cell>
          <cell r="I3368" t="str">
            <v>jam</v>
          </cell>
        </row>
        <row r="3370">
          <cell r="A3370" t="str">
            <v>2.c.</v>
          </cell>
          <cell r="C3370" t="str">
            <v>ALAT BANTU</v>
          </cell>
        </row>
        <row r="3371">
          <cell r="C3371" t="str">
            <v>Diperlukan  :</v>
          </cell>
        </row>
        <row r="3372">
          <cell r="C3372" t="str">
            <v>- Sekop</v>
          </cell>
          <cell r="D3372" t="str">
            <v>=  2  buah</v>
          </cell>
        </row>
        <row r="3373">
          <cell r="C3373" t="str">
            <v>- Pacul</v>
          </cell>
          <cell r="D3373" t="str">
            <v>=  2  buah</v>
          </cell>
        </row>
        <row r="3374">
          <cell r="C3374" t="str">
            <v>- Sendok Semen</v>
          </cell>
          <cell r="D3374" t="str">
            <v>=  2  buah</v>
          </cell>
        </row>
        <row r="3375">
          <cell r="C3375" t="str">
            <v>- Ember Cor</v>
          </cell>
          <cell r="D3375" t="str">
            <v>=  4  buah</v>
          </cell>
        </row>
        <row r="3376">
          <cell r="C3376" t="str">
            <v>- Gerobak Dorong</v>
          </cell>
          <cell r="D3376" t="str">
            <v>=  1  buah</v>
          </cell>
        </row>
        <row r="3378">
          <cell r="A3378" t="str">
            <v>3.</v>
          </cell>
          <cell r="C3378" t="str">
            <v>TENAGA</v>
          </cell>
        </row>
        <row r="3379">
          <cell r="C3379" t="str">
            <v>Produksi Beton dalam 1 hari</v>
          </cell>
          <cell r="E3379" t="str">
            <v>=  Tk x Q1</v>
          </cell>
          <cell r="G3379" t="str">
            <v>Qt</v>
          </cell>
          <cell r="H3379">
            <v>15.845454545454546</v>
          </cell>
          <cell r="I3379" t="str">
            <v>M3</v>
          </cell>
        </row>
        <row r="3381">
          <cell r="C3381" t="str">
            <v>Kebutuhan tenaga :</v>
          </cell>
          <cell r="D3381" t="str">
            <v>- Mandor</v>
          </cell>
          <cell r="G3381" t="str">
            <v>M</v>
          </cell>
          <cell r="H3381">
            <v>1</v>
          </cell>
          <cell r="I3381" t="str">
            <v>orang</v>
          </cell>
        </row>
        <row r="3382">
          <cell r="D3382" t="str">
            <v>- Tukang</v>
          </cell>
          <cell r="G3382" t="str">
            <v>Tb</v>
          </cell>
          <cell r="H3382">
            <v>4</v>
          </cell>
          <cell r="I3382" t="str">
            <v>orang</v>
          </cell>
        </row>
        <row r="3383">
          <cell r="D3383" t="str">
            <v>- Pekerja</v>
          </cell>
          <cell r="G3383" t="str">
            <v>P</v>
          </cell>
          <cell r="H3383">
            <v>12</v>
          </cell>
          <cell r="I3383" t="str">
            <v>orang</v>
          </cell>
        </row>
        <row r="3385">
          <cell r="C3385" t="str">
            <v>Koefisien Tenaga / M3   :</v>
          </cell>
        </row>
        <row r="3386">
          <cell r="D3386" t="str">
            <v>-  Mandor</v>
          </cell>
          <cell r="E3386" t="str">
            <v>= (Tk x M) : Qt</v>
          </cell>
          <cell r="G3386" t="str">
            <v>(L03)</v>
          </cell>
          <cell r="H3386">
            <v>0.44176706827309237</v>
          </cell>
          <cell r="I3386" t="str">
            <v>jam</v>
          </cell>
        </row>
        <row r="3387">
          <cell r="D3387" t="str">
            <v>-  Tukang</v>
          </cell>
          <cell r="E3387" t="str">
            <v>= (Tk x Tb) : Qt</v>
          </cell>
          <cell r="G3387" t="str">
            <v>(L02)</v>
          </cell>
          <cell r="H3387">
            <v>1.7670682730923695</v>
          </cell>
          <cell r="I3387" t="str">
            <v>jam</v>
          </cell>
        </row>
        <row r="3388">
          <cell r="D3388" t="str">
            <v>-  Pekerja</v>
          </cell>
          <cell r="E3388" t="str">
            <v>= (Tk x P) : Qt</v>
          </cell>
          <cell r="G3388" t="str">
            <v>(L01)</v>
          </cell>
          <cell r="H3388">
            <v>5.3012048192771086</v>
          </cell>
          <cell r="I3388" t="str">
            <v>jam</v>
          </cell>
        </row>
        <row r="3391">
          <cell r="A3391" t="str">
            <v>4.</v>
          </cell>
          <cell r="C3391" t="str">
            <v>HARGA DASAR SATUAN UPAH, BAHAN DAN ALAT</v>
          </cell>
        </row>
        <row r="3392">
          <cell r="C3392" t="str">
            <v>Lihat lampiran.</v>
          </cell>
        </row>
        <row r="3401">
          <cell r="J3401" t="str">
            <v>Berlanjut ke hal. berikut.</v>
          </cell>
        </row>
        <row r="3402">
          <cell r="A3402" t="str">
            <v>ITEM PEMBAYARAN NO.</v>
          </cell>
          <cell r="D3402" t="str">
            <v>: 5.5.(3)</v>
          </cell>
          <cell r="J3402" t="str">
            <v>Analisa EI-718</v>
          </cell>
        </row>
        <row r="3403">
          <cell r="A3403" t="str">
            <v>JENIS PEKERJAAN</v>
          </cell>
          <cell r="D3403" t="str">
            <v>: Pekerjaan LPAS Kelas C</v>
          </cell>
        </row>
        <row r="3404">
          <cell r="A3404" t="str">
            <v>SATUAN PEMBAYARAN</v>
          </cell>
          <cell r="D3404" t="str">
            <v>:  M3</v>
          </cell>
          <cell r="H3404" t="str">
            <v xml:space="preserve">        URAIAN ANALISA HARGA SATUAN</v>
          </cell>
        </row>
        <row r="3405">
          <cell r="J3405" t="str">
            <v>Lanjutan</v>
          </cell>
        </row>
        <row r="3407">
          <cell r="A3407" t="str">
            <v>No.</v>
          </cell>
          <cell r="C3407" t="str">
            <v>U R A I A N</v>
          </cell>
          <cell r="G3407" t="str">
            <v>KODE</v>
          </cell>
          <cell r="H3407" t="str">
            <v>KOEF.</v>
          </cell>
          <cell r="I3407" t="str">
            <v>SATUAN</v>
          </cell>
          <cell r="J3407" t="str">
            <v>KETERANGAN</v>
          </cell>
        </row>
        <row r="3410">
          <cell r="A3410" t="str">
            <v>5.</v>
          </cell>
          <cell r="C3410" t="str">
            <v>ANALISA HARGA SATUAN PEKERJAAN</v>
          </cell>
        </row>
        <row r="3411">
          <cell r="C3411" t="str">
            <v>Lihat perhitungan dalam FORMULIR STANDAR UNTUK</v>
          </cell>
        </row>
        <row r="3412">
          <cell r="C3412" t="str">
            <v>PEREKEMAN ANALISA MASING-MASING HARGA</v>
          </cell>
        </row>
        <row r="3413">
          <cell r="C3413" t="str">
            <v>SATUAN.</v>
          </cell>
        </row>
        <row r="3414">
          <cell r="C3414" t="str">
            <v>Didapat Harga Satuan Pekerjaan :</v>
          </cell>
        </row>
        <row r="3416">
          <cell r="C3416" t="str">
            <v xml:space="preserve">Rp.  </v>
          </cell>
          <cell r="D3416">
            <v>634714.46174467704</v>
          </cell>
          <cell r="E3416" t="str">
            <v xml:space="preserve"> / M3</v>
          </cell>
        </row>
        <row r="3419">
          <cell r="A3419" t="str">
            <v>6.</v>
          </cell>
          <cell r="C3419" t="str">
            <v>MASA PELAKSANAAN YANG DIPERLUKAN</v>
          </cell>
        </row>
        <row r="3420">
          <cell r="C3420" t="str">
            <v>Masa Pelaksanaan :</v>
          </cell>
          <cell r="D3420" t="str">
            <v>. . . . . . . . . . . .</v>
          </cell>
        </row>
        <row r="3422">
          <cell r="A3422" t="str">
            <v>7.</v>
          </cell>
          <cell r="C3422" t="str">
            <v>VOLUME PEKERJAAN YANG DIPERLUKAN</v>
          </cell>
        </row>
        <row r="3423">
          <cell r="C3423" t="str">
            <v>Volume pekerjaan  :</v>
          </cell>
          <cell r="D3423">
            <v>1</v>
          </cell>
          <cell r="E3423" t="str">
            <v>M3</v>
          </cell>
        </row>
        <row r="3463">
          <cell r="A3463" t="str">
            <v>ITEM  PEMBAYARAN</v>
          </cell>
          <cell r="D3463" t="str">
            <v xml:space="preserve">:  5.7 (1) </v>
          </cell>
          <cell r="J3463" t="str">
            <v>Analisa EI-7171</v>
          </cell>
        </row>
        <row r="3464">
          <cell r="A3464" t="str">
            <v>JENIS PEKERJAAN</v>
          </cell>
          <cell r="D3464" t="str">
            <v>: Wet  Lean Concrete (Tebal 10 cm)</v>
          </cell>
        </row>
        <row r="3465">
          <cell r="A3465" t="str">
            <v xml:space="preserve">SATUAN                                          </v>
          </cell>
          <cell r="E3465" t="str">
            <v>: M2</v>
          </cell>
        </row>
        <row r="3469">
          <cell r="A3469" t="str">
            <v>UNIT PERHITUNGAN :</v>
          </cell>
          <cell r="D3469">
            <v>100</v>
          </cell>
          <cell r="E3469" t="str">
            <v>M3</v>
          </cell>
          <cell r="G3469" t="str">
            <v xml:space="preserve">        URAIAN ANALISA HARGA SATUAN</v>
          </cell>
        </row>
        <row r="3471">
          <cell r="A3471" t="str">
            <v>No.</v>
          </cell>
          <cell r="C3471" t="str">
            <v>U R A I A N</v>
          </cell>
          <cell r="G3471" t="str">
            <v>KODE</v>
          </cell>
          <cell r="H3471" t="str">
            <v>KOEF.</v>
          </cell>
          <cell r="I3471" t="str">
            <v>SATUAN</v>
          </cell>
          <cell r="J3471" t="str">
            <v>KETERANGAN</v>
          </cell>
        </row>
        <row r="3474">
          <cell r="A3474" t="str">
            <v>I.</v>
          </cell>
          <cell r="C3474" t="str">
            <v>ASUMSI</v>
          </cell>
        </row>
        <row r="3475">
          <cell r="A3475">
            <v>1</v>
          </cell>
          <cell r="C3475" t="str">
            <v xml:space="preserve">Menggunakan cara mekanik  </v>
          </cell>
        </row>
        <row r="3476">
          <cell r="A3476">
            <v>2</v>
          </cell>
          <cell r="C3476" t="str">
            <v>Tebal   Lean Concrete  =</v>
          </cell>
          <cell r="H3476">
            <v>10</v>
          </cell>
          <cell r="I3476" t="str">
            <v>CM</v>
          </cell>
        </row>
        <row r="3477">
          <cell r="A3477">
            <v>3</v>
          </cell>
          <cell r="C3477" t="str">
            <v>Beton  ready mix  diterima  di lokasi  pekerjaan</v>
          </cell>
        </row>
        <row r="3478">
          <cell r="A3478">
            <v>4</v>
          </cell>
          <cell r="C3478" t="str">
            <v>Jam kerja efektif per-hari</v>
          </cell>
          <cell r="G3478" t="str">
            <v>Tk</v>
          </cell>
          <cell r="H3478">
            <v>7</v>
          </cell>
          <cell r="I3478" t="str">
            <v>jam</v>
          </cell>
        </row>
        <row r="3479">
          <cell r="A3479">
            <v>5</v>
          </cell>
          <cell r="C3479" t="str">
            <v>Harga ready mix franco lokasi/ proyek</v>
          </cell>
          <cell r="G3479" t="str">
            <v/>
          </cell>
          <cell r="H3479" t="str">
            <v/>
          </cell>
          <cell r="I3479" t="str">
            <v/>
          </cell>
        </row>
        <row r="3480">
          <cell r="C3480" t="str">
            <v/>
          </cell>
        </row>
        <row r="3481">
          <cell r="C3481" t="str">
            <v/>
          </cell>
        </row>
        <row r="3482">
          <cell r="A3482" t="str">
            <v/>
          </cell>
        </row>
        <row r="3484">
          <cell r="A3484" t="str">
            <v>II.</v>
          </cell>
          <cell r="C3484" t="str">
            <v>URUTAN KERJA</v>
          </cell>
        </row>
        <row r="3485">
          <cell r="A3485">
            <v>1</v>
          </cell>
          <cell r="C3485" t="str">
            <v>Mal /bekisting/form work  dipersiapkan sesuai dengan</v>
          </cell>
        </row>
        <row r="3486">
          <cell r="C3486" t="str">
            <v>gambar dan persyaratan</v>
          </cell>
        </row>
        <row r="3487">
          <cell r="A3487">
            <v>2</v>
          </cell>
          <cell r="C3487" t="str">
            <v>Beton di-cor ke dalam mal yang telah disiapkan</v>
          </cell>
        </row>
        <row r="3488">
          <cell r="A3488">
            <v>3</v>
          </cell>
          <cell r="C3488" t="str">
            <v xml:space="preserve">Penghamparan dan perataan dilakukan dengan </v>
          </cell>
        </row>
        <row r="3489">
          <cell r="C3489" t="str">
            <v>dengan memakai alat Slip Form Paver</v>
          </cell>
        </row>
        <row r="3490">
          <cell r="A3490" t="str">
            <v/>
          </cell>
        </row>
        <row r="3491">
          <cell r="A3491" t="str">
            <v>III.</v>
          </cell>
          <cell r="C3491" t="str">
            <v>PEMAKAIAN BAHAN, ALAT DAN TENAGA</v>
          </cell>
        </row>
        <row r="3493">
          <cell r="A3493">
            <v>1</v>
          </cell>
          <cell r="C3493" t="str">
            <v>BAHAN</v>
          </cell>
        </row>
        <row r="3494">
          <cell r="A3494" t="str">
            <v>1.a.</v>
          </cell>
          <cell r="C3494" t="str">
            <v>Beton  K-125 Ready mix =  100  * 1.05</v>
          </cell>
          <cell r="H3494">
            <v>105</v>
          </cell>
          <cell r="I3494" t="str">
            <v>M3</v>
          </cell>
        </row>
        <row r="3495">
          <cell r="C3495" t="str">
            <v>Volume  Beton  per M2 = 0,1*1 =</v>
          </cell>
          <cell r="E3495" t="str">
            <v>0,1  M3</v>
          </cell>
        </row>
        <row r="3496">
          <cell r="A3496" t="str">
            <v>b</v>
          </cell>
          <cell r="C3496" t="str">
            <v>Form Work</v>
          </cell>
          <cell r="D3496" t="str">
            <v>= 0.1*100</v>
          </cell>
          <cell r="H3496">
            <v>20</v>
          </cell>
          <cell r="I3496" t="str">
            <v>M2</v>
          </cell>
        </row>
        <row r="3498">
          <cell r="A3498" t="str">
            <v>2.</v>
          </cell>
          <cell r="C3498" t="str">
            <v>ALAT</v>
          </cell>
        </row>
        <row r="3499">
          <cell r="A3499" t="str">
            <v>2.a.</v>
          </cell>
          <cell r="C3499" t="str">
            <v>EXCAVATOR</v>
          </cell>
          <cell r="G3499" t="str">
            <v>(E10)</v>
          </cell>
        </row>
        <row r="3500">
          <cell r="C3500" t="str">
            <v>Kapasitas Bucket</v>
          </cell>
          <cell r="G3500" t="str">
            <v>V</v>
          </cell>
          <cell r="H3500">
            <v>0.93</v>
          </cell>
          <cell r="I3500" t="str">
            <v>M3</v>
          </cell>
        </row>
        <row r="3501">
          <cell r="C3501" t="str">
            <v>Faktor Bucket</v>
          </cell>
          <cell r="G3501" t="str">
            <v>Fb</v>
          </cell>
          <cell r="H3501">
            <v>1</v>
          </cell>
          <cell r="I3501" t="str">
            <v>-</v>
          </cell>
        </row>
        <row r="3502">
          <cell r="C3502" t="str">
            <v>Faktor  Efisiensi alat</v>
          </cell>
          <cell r="G3502" t="str">
            <v>Fa</v>
          </cell>
          <cell r="H3502">
            <v>0.83</v>
          </cell>
          <cell r="I3502" t="str">
            <v>-</v>
          </cell>
        </row>
        <row r="3503">
          <cell r="C3503" t="str">
            <v>Faktor Konversi</v>
          </cell>
          <cell r="G3503" t="str">
            <v>Fv</v>
          </cell>
          <cell r="H3503">
            <v>0.9</v>
          </cell>
        </row>
        <row r="3505">
          <cell r="C3505" t="str">
            <v>Waktu siklus</v>
          </cell>
          <cell r="G3505" t="str">
            <v>Ts1</v>
          </cell>
        </row>
        <row r="3506">
          <cell r="C3506" t="str">
            <v>- Menggali,  memuat dan berputar</v>
          </cell>
          <cell r="G3506" t="str">
            <v>T1</v>
          </cell>
          <cell r="H3506">
            <v>0.317</v>
          </cell>
          <cell r="I3506" t="str">
            <v>menit</v>
          </cell>
        </row>
        <row r="3507">
          <cell r="C3507" t="str">
            <v>- Lain-lain</v>
          </cell>
          <cell r="G3507" t="str">
            <v>T2</v>
          </cell>
          <cell r="H3507">
            <v>0.5</v>
          </cell>
          <cell r="I3507" t="str">
            <v>menit</v>
          </cell>
        </row>
        <row r="3508">
          <cell r="G3508" t="str">
            <v>Ts1</v>
          </cell>
          <cell r="H3508">
            <v>0.81699999999999995</v>
          </cell>
          <cell r="I3508" t="str">
            <v>menit</v>
          </cell>
        </row>
        <row r="3510">
          <cell r="C3510" t="str">
            <v>Kap. Prod. / jam =</v>
          </cell>
          <cell r="D3510" t="str">
            <v>V  x Fb x Fa x Fv x  60</v>
          </cell>
          <cell r="G3510" t="str">
            <v>Q1</v>
          </cell>
          <cell r="H3510">
            <v>5.1019094247246022</v>
          </cell>
          <cell r="I3510" t="str">
            <v xml:space="preserve">M3  </v>
          </cell>
        </row>
        <row r="3511">
          <cell r="D3511" t="str">
            <v>Ts1 x Fk</v>
          </cell>
        </row>
        <row r="3513">
          <cell r="C3513" t="str">
            <v>Koefisien Alat / M3</v>
          </cell>
          <cell r="D3513" t="str">
            <v xml:space="preserve"> =  1  :  Q1</v>
          </cell>
          <cell r="G3513" t="str">
            <v>-</v>
          </cell>
          <cell r="H3513">
            <v>0.19600504766977109</v>
          </cell>
          <cell r="I3513" t="str">
            <v>Jam</v>
          </cell>
        </row>
        <row r="3517">
          <cell r="A3517" t="str">
            <v>2.b.</v>
          </cell>
          <cell r="C3517" t="str">
            <v>SLIP FORM PAVER</v>
          </cell>
        </row>
        <row r="3522">
          <cell r="A3522" t="str">
            <v>2.c.</v>
          </cell>
          <cell r="C3522" t="str">
            <v>CONCRETE VIBRATOR</v>
          </cell>
          <cell r="G3522" t="str">
            <v>(E20)</v>
          </cell>
        </row>
        <row r="3523">
          <cell r="C3523" t="str">
            <v>Kebutuhan Alat Penggetar Beton ini disesuaikan dengan</v>
          </cell>
        </row>
        <row r="3524">
          <cell r="C3524" t="str">
            <v>kapasitas produksi Concrete  Pump</v>
          </cell>
        </row>
        <row r="3525">
          <cell r="C3525" t="str">
            <v>Kap. Prod. / jam  =</v>
          </cell>
          <cell r="G3525" t="str">
            <v>Q3</v>
          </cell>
          <cell r="H3525">
            <v>10</v>
          </cell>
          <cell r="I3525" t="str">
            <v>M3</v>
          </cell>
          <cell r="J3525" t="str">
            <v>Cek Kap prod</v>
          </cell>
        </row>
        <row r="3526">
          <cell r="C3526" t="str">
            <v xml:space="preserve">Kebutuhan utk </v>
          </cell>
          <cell r="D3526">
            <v>100</v>
          </cell>
          <cell r="E3526" t="str">
            <v>M3</v>
          </cell>
          <cell r="G3526" t="str">
            <v>(E20)</v>
          </cell>
          <cell r="H3526">
            <v>10.5</v>
          </cell>
          <cell r="I3526" t="str">
            <v>jam</v>
          </cell>
        </row>
        <row r="3528">
          <cell r="A3528" t="str">
            <v>2.c.</v>
          </cell>
          <cell r="C3528" t="str">
            <v>ALAT BANTU</v>
          </cell>
        </row>
        <row r="3529">
          <cell r="C3529" t="str">
            <v>Diperlukan  :</v>
          </cell>
        </row>
        <row r="3530">
          <cell r="C3530" t="str">
            <v>- Sekop</v>
          </cell>
          <cell r="D3530" t="str">
            <v>=  2  buah</v>
          </cell>
        </row>
        <row r="3531">
          <cell r="C3531" t="str">
            <v>- Pacul</v>
          </cell>
          <cell r="D3531" t="str">
            <v>=  2  buah</v>
          </cell>
        </row>
        <row r="3532">
          <cell r="C3532" t="str">
            <v>Dan lain-lain</v>
          </cell>
        </row>
        <row r="3534">
          <cell r="A3534" t="str">
            <v>3.</v>
          </cell>
          <cell r="C3534" t="str">
            <v>TENAGA</v>
          </cell>
        </row>
        <row r="3535">
          <cell r="C3535" t="str">
            <v xml:space="preserve">Kebutuhan utk </v>
          </cell>
          <cell r="D3535">
            <v>100</v>
          </cell>
          <cell r="E3535" t="str">
            <v>M3</v>
          </cell>
        </row>
        <row r="3536">
          <cell r="C3536" t="str">
            <v>- Pengawas</v>
          </cell>
          <cell r="E3536" t="str">
            <v/>
          </cell>
          <cell r="G3536" t="str">
            <v>Pg</v>
          </cell>
          <cell r="H3536">
            <v>7</v>
          </cell>
          <cell r="I3536" t="str">
            <v>hour</v>
          </cell>
        </row>
        <row r="3537">
          <cell r="C3537" t="str">
            <v>- Mandor</v>
          </cell>
          <cell r="E3537" t="str">
            <v>= 1 orang hari</v>
          </cell>
          <cell r="G3537" t="str">
            <v>M</v>
          </cell>
          <cell r="H3537">
            <v>21</v>
          </cell>
          <cell r="I3537" t="str">
            <v>hour</v>
          </cell>
        </row>
        <row r="3538">
          <cell r="C3538" t="str">
            <v>- Tukang/ Tenaga  trampil</v>
          </cell>
          <cell r="E3538" t="str">
            <v/>
          </cell>
          <cell r="G3538" t="str">
            <v>Tb</v>
          </cell>
          <cell r="H3538">
            <v>35</v>
          </cell>
          <cell r="I3538" t="str">
            <v>hour</v>
          </cell>
        </row>
        <row r="3539">
          <cell r="C3539" t="str">
            <v>- Pekerja</v>
          </cell>
          <cell r="E3539" t="str">
            <v>= 2 orang hari</v>
          </cell>
          <cell r="G3539" t="str">
            <v>P</v>
          </cell>
          <cell r="H3539">
            <v>49</v>
          </cell>
          <cell r="I3539" t="str">
            <v>hour</v>
          </cell>
        </row>
        <row r="3542">
          <cell r="C3542" t="str">
            <v>DOMINAN: Slip Form Paver</v>
          </cell>
        </row>
        <row r="3553">
          <cell r="A3553" t="str">
            <v>ITEM  PEMBAYARAN</v>
          </cell>
          <cell r="E3553" t="str">
            <v xml:space="preserve">:  5.7 (1) </v>
          </cell>
          <cell r="J3553" t="str">
            <v>Analisa EI-7171</v>
          </cell>
        </row>
        <row r="3554">
          <cell r="A3554" t="str">
            <v>JENIS PEKERJAAN</v>
          </cell>
          <cell r="E3554" t="str">
            <v>: Wet  Lean Concrete (Tebal 10 cm)</v>
          </cell>
        </row>
        <row r="3555">
          <cell r="A3555" t="str">
            <v xml:space="preserve">SATUAN                                          </v>
          </cell>
          <cell r="E3555" t="str">
            <v>: M3</v>
          </cell>
        </row>
        <row r="3558">
          <cell r="A3558" t="str">
            <v>UNIT PERHITUNGAN :</v>
          </cell>
          <cell r="D3558">
            <v>100</v>
          </cell>
          <cell r="E3558" t="str">
            <v>M3</v>
          </cell>
          <cell r="G3558" t="str">
            <v xml:space="preserve">        URAIAN ANALISA HARGA SATUAN</v>
          </cell>
        </row>
        <row r="3560">
          <cell r="A3560" t="str">
            <v>4.</v>
          </cell>
          <cell r="C3560" t="str">
            <v>HARGA DASAR SATUAN UPAH, BAHAN DAN ALAT</v>
          </cell>
        </row>
        <row r="3561">
          <cell r="C3561" t="str">
            <v>Lihat lampiran.</v>
          </cell>
        </row>
        <row r="3563">
          <cell r="A3563" t="str">
            <v>5.</v>
          </cell>
          <cell r="C3563" t="str">
            <v>ANALISA HARGA SATUAN PEKERJAAN</v>
          </cell>
        </row>
        <row r="3564">
          <cell r="C3564" t="str">
            <v>Lihat perhitungan dalam FORMULIR STANDAR UNTUK</v>
          </cell>
        </row>
        <row r="3565">
          <cell r="C3565" t="str">
            <v>PEREKEMAN ANALISA MASING-MASING HARGA</v>
          </cell>
        </row>
        <row r="3566">
          <cell r="C3566" t="str">
            <v>SATUAN.</v>
          </cell>
        </row>
        <row r="3567">
          <cell r="C3567" t="str">
            <v>Didapat Harga Satuan Pekerjaan :</v>
          </cell>
        </row>
        <row r="3569">
          <cell r="C3569" t="str">
            <v xml:space="preserve">Rp.  </v>
          </cell>
          <cell r="D3569">
            <v>56726.178538879387</v>
          </cell>
          <cell r="E3569" t="str">
            <v xml:space="preserve"> / M2</v>
          </cell>
        </row>
        <row r="3572">
          <cell r="A3572" t="str">
            <v>6.</v>
          </cell>
          <cell r="C3572" t="str">
            <v>WAKTU PELAKSANAAN YANG DIPERLUKAN</v>
          </cell>
        </row>
        <row r="3573">
          <cell r="C3573" t="str">
            <v>Masa Pelaksanaan :</v>
          </cell>
          <cell r="D3573" t="str">
            <v>. . . . . . . . . . . .</v>
          </cell>
          <cell r="E3573" t="str">
            <v>bulan</v>
          </cell>
        </row>
        <row r="3575">
          <cell r="A3575" t="str">
            <v>7.</v>
          </cell>
          <cell r="C3575" t="str">
            <v>VOLUME PEKERJAAN YANG DIPERLUKAN</v>
          </cell>
        </row>
        <row r="3576">
          <cell r="C3576" t="str">
            <v>Volume pekerjaan  :</v>
          </cell>
          <cell r="D3576">
            <v>1</v>
          </cell>
          <cell r="E3576" t="str">
            <v>M2</v>
          </cell>
        </row>
        <row r="3582">
          <cell r="A3582" t="str">
            <v>ITEM PEMBAYARAN NO.</v>
          </cell>
          <cell r="D3582" t="str">
            <v>:  5.7 (2)</v>
          </cell>
          <cell r="J3582" t="str">
            <v>Analisa EI-511</v>
          </cell>
        </row>
        <row r="3583">
          <cell r="A3583" t="str">
            <v>JENIS PEKERJAAN</v>
          </cell>
          <cell r="D3583" t="str">
            <v>: Sand Bedding (t=5 cm)</v>
          </cell>
        </row>
        <row r="3584">
          <cell r="A3584" t="str">
            <v>SATUAN PEMBAYARAN</v>
          </cell>
          <cell r="D3584" t="str">
            <v>:  M2</v>
          </cell>
          <cell r="H3584" t="str">
            <v xml:space="preserve">         URAIAN ANALISA HARGA SATUAN</v>
          </cell>
        </row>
        <row r="3587">
          <cell r="A3587" t="str">
            <v>No.</v>
          </cell>
          <cell r="C3587" t="str">
            <v>U R A I A N</v>
          </cell>
          <cell r="G3587" t="str">
            <v>KODE</v>
          </cell>
          <cell r="H3587" t="str">
            <v>KOEF.</v>
          </cell>
          <cell r="I3587" t="str">
            <v>SATUAN</v>
          </cell>
          <cell r="J3587" t="str">
            <v>KETERANGAN</v>
          </cell>
        </row>
        <row r="3590">
          <cell r="A3590" t="str">
            <v>I.</v>
          </cell>
          <cell r="C3590" t="str">
            <v>ASUMSI</v>
          </cell>
        </row>
        <row r="3591">
          <cell r="A3591">
            <v>1</v>
          </cell>
          <cell r="C3591" t="str">
            <v>Pekerjaan dilakukan secara mekanis</v>
          </cell>
        </row>
        <row r="3592">
          <cell r="A3592">
            <v>2</v>
          </cell>
          <cell r="C3592" t="str">
            <v>Lokasi pekerjaan : sepanjang jalan</v>
          </cell>
        </row>
        <row r="3593">
          <cell r="A3593">
            <v>3</v>
          </cell>
          <cell r="C3593" t="str">
            <v>Kondisi Jalan   :  sedang / baik</v>
          </cell>
        </row>
        <row r="3594">
          <cell r="A3594">
            <v>4</v>
          </cell>
          <cell r="C3594" t="str">
            <v>Jam kerja efektif per-hari</v>
          </cell>
          <cell r="G3594" t="str">
            <v>Tk</v>
          </cell>
          <cell r="H3594">
            <v>7</v>
          </cell>
          <cell r="I3594" t="str">
            <v>Jam</v>
          </cell>
        </row>
        <row r="3595">
          <cell r="A3595">
            <v>5</v>
          </cell>
          <cell r="C3595" t="str">
            <v>Faktor pengembangan bahan</v>
          </cell>
          <cell r="G3595" t="str">
            <v>Fk</v>
          </cell>
          <cell r="H3595">
            <v>1.17</v>
          </cell>
          <cell r="I3595" t="str">
            <v>-</v>
          </cell>
        </row>
        <row r="3596">
          <cell r="A3596">
            <v>6</v>
          </cell>
          <cell r="C3596" t="str">
            <v>Tebal hamparan padat</v>
          </cell>
          <cell r="G3596" t="str">
            <v>t</v>
          </cell>
          <cell r="H3596">
            <v>0.05</v>
          </cell>
          <cell r="I3596" t="str">
            <v>M</v>
          </cell>
        </row>
        <row r="3598">
          <cell r="A3598" t="str">
            <v>II.</v>
          </cell>
          <cell r="C3598" t="str">
            <v>URUTAN KERJA</v>
          </cell>
        </row>
        <row r="3599">
          <cell r="A3599">
            <v>1</v>
          </cell>
          <cell r="C3599" t="str">
            <v>Wheel Loader memuat ke dalam Dump Truck</v>
          </cell>
        </row>
        <row r="3600">
          <cell r="A3600">
            <v>2</v>
          </cell>
          <cell r="C3600" t="str">
            <v>Dump Truck mengangkut ke lapangan dengan jarak</v>
          </cell>
        </row>
        <row r="3601">
          <cell r="C3601" t="str">
            <v>quari ke lapangan</v>
          </cell>
          <cell r="G3601" t="str">
            <v>L</v>
          </cell>
          <cell r="H3601">
            <v>80.61</v>
          </cell>
          <cell r="I3601" t="str">
            <v>Km</v>
          </cell>
        </row>
        <row r="3602">
          <cell r="A3602">
            <v>3</v>
          </cell>
          <cell r="C3602" t="str">
            <v>Material dihampar dengan menggunakan Motor Grader</v>
          </cell>
        </row>
        <row r="3603">
          <cell r="A3603">
            <v>4</v>
          </cell>
          <cell r="C3603" t="str">
            <v>Hamparan material disiram air dengan Watertank Truck</v>
          </cell>
        </row>
        <row r="3604">
          <cell r="C3604" t="str">
            <v>(sebelum pelaksanaan pemadatan) dan dipadatkan</v>
          </cell>
        </row>
        <row r="3605">
          <cell r="C3605" t="str">
            <v>dengan menggunakan Tandem Roller</v>
          </cell>
        </row>
        <row r="3606">
          <cell r="A3606">
            <v>5</v>
          </cell>
          <cell r="C3606" t="str">
            <v>Selama pemadatan sekelompok pekerja  akan</v>
          </cell>
        </row>
        <row r="3607">
          <cell r="C3607" t="str">
            <v>merapikan tepi hamparan dan level permukaan</v>
          </cell>
        </row>
        <row r="3608">
          <cell r="C3608" t="str">
            <v>dengan menggunakan alat bantu</v>
          </cell>
        </row>
        <row r="3610">
          <cell r="A3610" t="str">
            <v>III.</v>
          </cell>
          <cell r="C3610" t="str">
            <v>PEMAKAIAN BAHAN, ALAT DAN TENAGA</v>
          </cell>
        </row>
        <row r="3611">
          <cell r="A3611" t="str">
            <v xml:space="preserve">   1.</v>
          </cell>
          <cell r="C3611" t="str">
            <v>BAHAN</v>
          </cell>
        </row>
      </sheetData>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Prelim"/>
      <sheetName val="Prelim"/>
      <sheetName val="Rekap"/>
      <sheetName val="REKAP2"/>
      <sheetName val="Chart1"/>
      <sheetName val="RAB"/>
      <sheetName val="RAB2"/>
      <sheetName val="RAB3"/>
      <sheetName val="harsat"/>
      <sheetName val="analisa"/>
      <sheetName val="Analisa Counter Top"/>
      <sheetName val="Sheet3"/>
      <sheetName val="DASH"/>
      <sheetName val="DASH2"/>
      <sheetName val="Electrikal"/>
      <sheetName val="Elektronik"/>
      <sheetName val="Plumbing"/>
      <sheetName val="AC"/>
      <sheetName val="Fire Fighting"/>
      <sheetName val="Item Kompensasi"/>
      <sheetName val="Cover"/>
      <sheetName val="Upah+Bahan"/>
      <sheetName val="rab - persiapan &amp; lantai-1"/>
      <sheetName val="ANALISA-A"/>
      <sheetName val="H-BHN"/>
      <sheetName val="satuan_pek_ars"/>
      <sheetName val="K"/>
      <sheetName val="2"/>
      <sheetName val="3"/>
      <sheetName val="7"/>
      <sheetName val="An.Q"/>
      <sheetName val="B.Ds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2">
          <cell r="J2">
            <v>5</v>
          </cell>
          <cell r="K2">
            <v>5</v>
          </cell>
        </row>
        <row r="3">
          <cell r="J3">
            <v>100</v>
          </cell>
          <cell r="K3">
            <v>100</v>
          </cell>
        </row>
        <row r="17">
          <cell r="H17">
            <v>2000</v>
          </cell>
        </row>
        <row r="21">
          <cell r="H21">
            <v>486000</v>
          </cell>
        </row>
        <row r="22">
          <cell r="H22">
            <v>400000</v>
          </cell>
        </row>
        <row r="23">
          <cell r="H23">
            <v>400000</v>
          </cell>
        </row>
        <row r="29">
          <cell r="H29">
            <v>550000</v>
          </cell>
        </row>
        <row r="30">
          <cell r="H30">
            <v>175000</v>
          </cell>
        </row>
        <row r="31">
          <cell r="H31">
            <v>500000</v>
          </cell>
        </row>
        <row r="32">
          <cell r="H32">
            <v>650000</v>
          </cell>
        </row>
        <row r="34">
          <cell r="H34">
            <v>525000</v>
          </cell>
        </row>
        <row r="35">
          <cell r="H35">
            <v>2700000</v>
          </cell>
        </row>
        <row r="36">
          <cell r="H36">
            <v>650000</v>
          </cell>
        </row>
        <row r="37">
          <cell r="H37">
            <v>450000</v>
          </cell>
        </row>
        <row r="38">
          <cell r="H38">
            <v>562500</v>
          </cell>
        </row>
        <row r="39">
          <cell r="H39">
            <v>315000</v>
          </cell>
        </row>
        <row r="41">
          <cell r="H41">
            <v>600000</v>
          </cell>
        </row>
        <row r="48">
          <cell r="H48">
            <v>165330</v>
          </cell>
        </row>
        <row r="69">
          <cell r="H69">
            <v>486000</v>
          </cell>
        </row>
        <row r="70">
          <cell r="H70">
            <v>486000</v>
          </cell>
        </row>
        <row r="71">
          <cell r="H71">
            <v>315000</v>
          </cell>
        </row>
        <row r="72">
          <cell r="H72">
            <v>165330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IBUSI"/>
      <sheetName val="REKAP"/>
      <sheetName val="PERSIAPAN"/>
      <sheetName val="STR"/>
      <sheetName val="ARS"/>
      <sheetName val="cover"/>
      <sheetName val="STR (TAMBAHAN)"/>
      <sheetName val="ARS (TAMBAHAN)"/>
      <sheetName val="DOWN GRADE"/>
      <sheetName val="PILING"/>
      <sheetName val="Pre-summary"/>
      <sheetName val="Pre-personnel"/>
      <sheetName val="Pre-equipment"/>
      <sheetName val="ANA"/>
      <sheetName val="ANA (submit)"/>
      <sheetName val="Sheet1"/>
      <sheetName val="Elektrikal"/>
      <sheetName val="Grafik (2)"/>
      <sheetName val="Bag_1"/>
      <sheetName val="DAFTAR 7"/>
      <sheetName val="DAF_1"/>
      <sheetName val="DAFTAR_8"/>
      <sheetName val="ANALISA-A"/>
      <sheetName val="Currency Rate"/>
      <sheetName val="LAMPIRAN"/>
      <sheetName val="anal Lamp 4a"/>
      <sheetName val="analisa"/>
      <sheetName val="Rate"/>
      <sheetName val="harsat"/>
      <sheetName val="REF.ONLY"/>
      <sheetName val="rab me (by owner) "/>
      <sheetName val="BQ (by owner)"/>
      <sheetName val="rab me (fisik)"/>
      <sheetName val="LISTRIK"/>
      <sheetName val="BOQ"/>
      <sheetName val="Grand summary"/>
      <sheetName val="rab - persiapan &amp; lantai-1"/>
      <sheetName val="ah sanitary"/>
      <sheetName val="BAG-III"/>
      <sheetName val="A"/>
      <sheetName val="Upah+Bahan"/>
      <sheetName val="OFFICE 2 LT"/>
      <sheetName val="Memb Schd"/>
      <sheetName val="satuan_pek"/>
      <sheetName val="COAT&amp;WRAP-QIOT-#3"/>
      <sheetName val="PNT-QUOT-#3"/>
      <sheetName val="PENJ_TOTAL"/>
      <sheetName val="DAF-5"/>
      <sheetName val="ALAT"/>
      <sheetName val="rab _ persiapan _ lantai_1"/>
      <sheetName val="ahs"/>
      <sheetName val="metode"/>
      <sheetName val="3-DIV5"/>
      <sheetName val="3-DIV4"/>
      <sheetName val="Cash Flow bulanan"/>
      <sheetName val="Up &amp; bhn"/>
      <sheetName val="BQ-Str"/>
      <sheetName val="Hargamat"/>
      <sheetName val="bhn "/>
      <sheetName val="SAP"/>
      <sheetName val="8LT 12"/>
      <sheetName val="304-06"/>
      <sheetName val="HRG BHN"/>
      <sheetName val="DAF-4"/>
      <sheetName val="MK"/>
      <sheetName val="BQ"/>
      <sheetName val="ARSITEKTUR"/>
      <sheetName val="Pipe"/>
      <sheetName val="I-KAMAR"/>
      <sheetName val="HS_TRG"/>
      <sheetName val="ME_External"/>
      <sheetName val="Mall_ME"/>
      <sheetName val="Ijin"/>
      <sheetName val="5-ALAT(1)"/>
      <sheetName val="Bahan"/>
      <sheetName val="Met_Pas Batu"/>
      <sheetName val="Met_ Minor"/>
      <sheetName val="black_out"/>
      <sheetName val="61008"/>
      <sheetName val="Unit-P"/>
      <sheetName val="dongia (2)"/>
      <sheetName val="giathanh1"/>
      <sheetName val="THPDMoi  (2)"/>
      <sheetName val="gtrinh"/>
      <sheetName val="phuluc1"/>
      <sheetName val="lam-moi"/>
      <sheetName val="DONGIA"/>
      <sheetName val="chitimc"/>
      <sheetName val="TONGKE-HT"/>
      <sheetName val="dtxl"/>
      <sheetName val="t-h HA THE"/>
      <sheetName val="CHITIET VL-NC-TT -1p"/>
      <sheetName val="TONG HOP VL-NC TT"/>
      <sheetName val="TH XL"/>
      <sheetName val="thao-go"/>
      <sheetName val="VC"/>
      <sheetName val="chitiet"/>
      <sheetName val="CHITIET VL-NC-TT-3p"/>
      <sheetName val="TDTKP1"/>
      <sheetName val="KPVC-BD "/>
      <sheetName val="Material"/>
      <sheetName val="Upah"/>
      <sheetName val="Isolasi Luar Dalam"/>
      <sheetName val="Isolasi Luar"/>
      <sheetName val="N-AC"/>
      <sheetName val="Electrikal"/>
      <sheetName val="Elektronik"/>
      <sheetName val="S_DAYA"/>
      <sheetName val="Plumbing"/>
      <sheetName val="AC"/>
      <sheetName val="Fire Fighting"/>
      <sheetName val="Item Kompensasi"/>
      <sheetName val="H.Satuan"/>
      <sheetName val="Markup"/>
      <sheetName val="01A- RAB"/>
      <sheetName val="DAF-3"/>
      <sheetName val="Fill this out first___"/>
      <sheetName val="ESCON"/>
      <sheetName val="BQ ARS"/>
      <sheetName val="ahas-ins"/>
      <sheetName val="analis"/>
      <sheetName val="ANL 2004"/>
      <sheetName val="Rekap Direct Cost"/>
      <sheetName val="RAB SITE"/>
      <sheetName val="RA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Ls-Mobilisasi (OK)"/>
      <sheetName val="SAT-DAS"/>
      <sheetName val="Ur-Anl (ok punya)"/>
      <sheetName val="Analisa (ok punya)"/>
      <sheetName val="Kuan&amp;Harga(BQ)"/>
      <sheetName val="Rekap"/>
      <sheetName val="Anl-Alt"/>
      <sheetName val="Lamp-1 (Schedule ok"/>
      <sheetName val="Anl-Bhn (ok)"/>
      <sheetName val="Lamp-14 -Hit-Alt"/>
      <sheetName val="Lamp-13-Pengg Alat"/>
      <sheetName val="Lamp-4 (Pemel. Rutin)"/>
      <sheetName val="Lamp-5 (On Site)"/>
      <sheetName val="Lamp-6 (Plant)"/>
      <sheetName val="Lamp-7 (Df-Utm) ok"/>
      <sheetName val="Lamp-8 (Kont Seleksi)"/>
      <sheetName val="Lamp-9 (Df-Alat)"/>
      <sheetName val="Lamp-10"/>
      <sheetName val="Lamp-11 (Sub-kont) ok"/>
      <sheetName val="Lamp-14 (Lamp-Penaw) OK"/>
    </sheetNames>
    <sheetDataSet>
      <sheetData sheetId="0"/>
      <sheetData sheetId="1"/>
      <sheetData sheetId="2"/>
      <sheetData sheetId="3" refreshError="1">
        <row r="19">
          <cell r="J19">
            <v>59787</v>
          </cell>
        </row>
        <row r="36">
          <cell r="J36">
            <v>275428.96000000002</v>
          </cell>
        </row>
        <row r="44">
          <cell r="J44">
            <v>130693.91</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nel MG"/>
      <sheetName val="Pipa"/>
      <sheetName val="Supreme"/>
      <sheetName val="Plumbing"/>
      <sheetName val="Harga ME "/>
      <sheetName val="upah ME"/>
      <sheetName val="Upah Kabel"/>
      <sheetName val="broco"/>
      <sheetName val="Harga ME  (2)"/>
      <sheetName val="STR"/>
      <sheetName val="harsat"/>
      <sheetName val="Analisa Upah &amp; Bahan Plum"/>
      <sheetName val="REQDELTA"/>
      <sheetName val="gvl"/>
      <sheetName val="DAF-1"/>
      <sheetName val="Fill this out first___"/>
      <sheetName val="alat"/>
      <sheetName val="anal_hs"/>
      <sheetName val="info"/>
      <sheetName val="bahan"/>
      <sheetName val="rekap"/>
      <sheetName val="upah"/>
      <sheetName val="Du_lieu"/>
      <sheetName val="SAP"/>
      <sheetName val="Fill this out first..."/>
      <sheetName val="MK"/>
      <sheetName val="Profil"/>
      <sheetName val="Rkp"/>
      <sheetName val="Mat"/>
      <sheetName val="COST SUMM"/>
      <sheetName val="Cover"/>
      <sheetName val="name"/>
      <sheetName val="An. Beton"/>
      <sheetName val="Analisa Upah _ Bahan Plum"/>
      <sheetName val="Analisa"/>
      <sheetName val="ALEK"/>
      <sheetName val="Elektrikal"/>
      <sheetName val="Bill of Qty MEP"/>
      <sheetName val="Analisa ARS"/>
      <sheetName val="II-AC"/>
      <sheetName val="ahsAC"/>
      <sheetName val="Pt"/>
      <sheetName val="harga"/>
      <sheetName val="h.satuan"/>
      <sheetName val="carburant"/>
      <sheetName val="성남여성복지내역"/>
      <sheetName val="내역"/>
      <sheetName val="Drop Down Lists"/>
      <sheetName val="dt-tenaga"/>
      <sheetName val="Rate"/>
      <sheetName val="BQ"/>
      <sheetName val="Rekbk-bru"/>
      <sheetName val="Meto"/>
      <sheetName val="dwa-01"/>
      <sheetName val="Master 1.0"/>
      <sheetName val="A"/>
      <sheetName val="INDEKS"/>
      <sheetName val="JABATAN"/>
      <sheetName val="DATA"/>
      <sheetName val="main summary"/>
      <sheetName val="SITE-E"/>
      <sheetName val="Breakdown Architecture"/>
      <sheetName val="Breakdown Structure"/>
      <sheetName val="Clm"/>
      <sheetName val="GB"/>
      <sheetName val="Pile"/>
      <sheetName val="Ring Balok"/>
      <sheetName val="TB"/>
      <sheetName val="Slab"/>
      <sheetName val="FINISHING"/>
      <sheetName val="STRUKTUR"/>
      <sheetName val="Lantai I"/>
      <sheetName val="Material-mr"/>
      <sheetName val="REF.ONLY"/>
      <sheetName val="TAMKUR "/>
      <sheetName val="PileCap"/>
      <sheetName val="BQ ARS"/>
      <sheetName val="Analisa &amp; Upah"/>
      <sheetName val="Duct"/>
      <sheetName val="isian"/>
      <sheetName val="Mall"/>
      <sheetName val="Cover (x)"/>
      <sheetName val="Cor Apt"/>
      <sheetName val="An-Alat"/>
      <sheetName val="4"/>
      <sheetName val="Current IMP"/>
      <sheetName val="bq-kth"/>
      <sheetName val=""/>
      <sheetName val="REKAPITULASI"/>
      <sheetName val="BAG-2"/>
      <sheetName val="Peralatan"/>
      <sheetName val="Basic Price"/>
      <sheetName val="10"/>
      <sheetName val="8"/>
      <sheetName val="9"/>
      <sheetName val="DIV 2"/>
      <sheetName val="BASIC"/>
      <sheetName val="WF "/>
      <sheetName val="Sat Bah &amp; Up"/>
      <sheetName val="An HarSatPek"/>
      <sheetName val="FAKTOR"/>
      <sheetName val="DAF-2"/>
      <sheetName val="Mess"/>
      <sheetName val="Summary"/>
      <sheetName val="rab - persiapan &amp; lantai-1"/>
      <sheetName val="PaintBreak"/>
      <sheetName val="INSSUBCON"/>
      <sheetName val="HRG BHN"/>
      <sheetName val="prelim"/>
      <sheetName val="Skimcoat &amp; Gurinda"/>
      <sheetName val="DRWD"/>
      <sheetName val="Basement"/>
      <sheetName val="L15 Exec Offices"/>
      <sheetName val="Currency Rate"/>
      <sheetName val="Bahan "/>
      <sheetName val="Pekerjaan "/>
      <sheetName val="RAB AR&amp;STR"/>
      <sheetName val="prod1"/>
      <sheetName val="#REF"/>
      <sheetName val="Analisa Harga Satuan"/>
      <sheetName val="304-06"/>
      <sheetName val="Daftmat"/>
      <sheetName val="category"/>
      <sheetName val="kki"/>
      <sheetName val="fin pro centers"/>
      <sheetName val="AC-2"/>
      <sheetName val="??"/>
      <sheetName val="????????"/>
      <sheetName val="custom check"/>
      <sheetName val="BAG-III"/>
      <sheetName val="__"/>
      <sheetName val="________"/>
      <sheetName val="Sheet1"/>
      <sheetName val="DAF-5"/>
      <sheetName val="Foundation"/>
      <sheetName val="Material&amp;Alat"/>
      <sheetName val="D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otal"/>
      <sheetName val="DAF-1PRELIM"/>
      <sheetName val="DAF-2"/>
      <sheetName val="DAF-2 "/>
      <sheetName val="DAF-3"/>
      <sheetName val="DAF-4"/>
      <sheetName val="DAF-5"/>
      <sheetName val="DAF-6"/>
      <sheetName val="DAF-7"/>
      <sheetName val="DAF-8"/>
      <sheetName val="DAF-9"/>
      <sheetName val="harsat"/>
      <sheetName val="analisa"/>
      <sheetName val="DASH"/>
      <sheetName val="SUBKONT"/>
      <sheetName val="STR"/>
      <sheetName val="H.Satuan"/>
      <sheetName val="ch"/>
      <sheetName val="Harga ME "/>
      <sheetName val="RAB"/>
      <sheetName val="satuan_pek"/>
      <sheetName val="an. struktur"/>
      <sheetName val="Dashboard"/>
      <sheetName val="REQDELTA"/>
      <sheetName val="Analisa Upah &amp; Bahan Plum"/>
      <sheetName val="REF.ONLY"/>
      <sheetName val="mVAC"/>
      <sheetName val="LAMPIRAN -B"/>
      <sheetName val="UPL"/>
      <sheetName val="Struktur"/>
      <sheetName val="BHN-UPH-ALT"/>
      <sheetName val="FLAF&amp;PARTSI"/>
      <sheetName val="An_hrg"/>
      <sheetName val="ANALISA PEK.UMUM"/>
      <sheetName val="2"/>
      <sheetName val="Ana-ALAT"/>
      <sheetName val="4"/>
      <sheetName val="Hargam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26">
          <cell r="H26">
            <v>30000</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Elektrikal"/>
      <sheetName val="Elektronik"/>
      <sheetName val="AC"/>
      <sheetName val="Plumbing"/>
      <sheetName val="spek"/>
      <sheetName val="rekap.evals"/>
      <sheetName val="elec.evals"/>
      <sheetName val="elka.evals"/>
      <sheetName val="AC.evals"/>
      <sheetName val="Plum.evals"/>
      <sheetName val="Harsat"/>
      <sheetName val="#REF"/>
      <sheetName val="Analisa Upah &amp; Bahan Plum"/>
      <sheetName val="Harga ME "/>
      <sheetName val="Bill sipil"/>
      <sheetName val="Bill of Qty MEP"/>
      <sheetName val="Meto"/>
      <sheetName val="Master 1.0"/>
      <sheetName val="BQ"/>
      <sheetName val="Cover"/>
      <sheetName val="Met_Pas Batu"/>
      <sheetName val="Met_ Minor"/>
      <sheetName val="anal pipa"/>
      <sheetName val="Sat~Bahu"/>
      <sheetName val="SAT-UP"/>
      <sheetName val="HB "/>
      <sheetName val="Material"/>
      <sheetName val="REF.ONLY"/>
      <sheetName val="DSP"/>
      <sheetName val="Analisa Upah _ Bahan Plum"/>
      <sheetName val="REQDELTA"/>
      <sheetName val="Harga"/>
      <sheetName val="TAMKUR "/>
      <sheetName val="Fin-Bengkel"/>
      <sheetName val="Fin-Showroom"/>
      <sheetName val="Hal_Pagar"/>
      <sheetName val="Str-Bengkel"/>
      <sheetName val="Str-Showroom"/>
      <sheetName val="SEX"/>
      <sheetName val="ANALISA-A"/>
      <sheetName val="K"/>
      <sheetName val="AHS"/>
      <sheetName val="BAHAN &amp; UPAH"/>
      <sheetName val="Harga Bahan"/>
      <sheetName val="HSA &amp; PAB"/>
      <sheetName val="Harsat Upah"/>
      <sheetName val="Upah"/>
      <sheetName val="Tata Udara"/>
      <sheetName val="Analis Kusen 1 ESKALASI"/>
      <sheetName val="Mobilisasi"/>
      <sheetName val="Analisa SNI"/>
      <sheetName val="Analisa BOW"/>
      <sheetName val="Perm. Test"/>
      <sheetName val="Rab"/>
      <sheetName val="bhn FINAL"/>
      <sheetName val="Harga Satuan"/>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fico"/>
      <sheetName val="tifico[NO]"/>
      <sheetName val="tifico[Ext]"/>
      <sheetName val="Sheet1"/>
      <sheetName val="H-BHN"/>
      <sheetName val="A-BANTU"/>
      <sheetName val="ME-PLUMBING"/>
      <sheetName val="REKAP"/>
      <sheetName val="Tifico-newoffice,R1"/>
      <sheetName val="Material"/>
      <sheetName val="tifico_NO_"/>
      <sheetName val="tifico_Ext_"/>
      <sheetName val="Urai _Resap pengikat"/>
      <sheetName val="STAF"/>
      <sheetName val="Analisa HS"/>
      <sheetName val="SAT-BHN"/>
      <sheetName val="BOQ"/>
      <sheetName val="CH"/>
      <sheetName val="AC"/>
      <sheetName val="BAG-2"/>
      <sheetName val="D &amp; W sizes"/>
      <sheetName val="COVERUSRP"/>
      <sheetName val="SITE"/>
      <sheetName val="ESCOND"/>
      <sheetName val="BQUSRP"/>
      <sheetName val="BQ"/>
      <sheetName val="Cover Daf-2"/>
      <sheetName val="SEX"/>
      <sheetName val="Elektrikal"/>
      <sheetName val="mat-me pipa"/>
      <sheetName val="DAF_1"/>
      <sheetName val="Isolasi Luar Dalam"/>
      <sheetName val="Isolasi Luar"/>
      <sheetName val="Pipe"/>
      <sheetName val="Basic Price"/>
      <sheetName val="Form I"/>
      <sheetName val="Daf 1"/>
      <sheetName val="escon"/>
      <sheetName val="HRG BHN"/>
      <sheetName val="Currency Rate"/>
      <sheetName val="A"/>
      <sheetName val="PEF29_CD(IDR)"/>
      <sheetName val="Temporary"/>
      <sheetName val="Piping"/>
      <sheetName val="Elec-ins"/>
      <sheetName val="atap"/>
      <sheetName val="TOWN"/>
      <sheetName val="B _ Norelec"/>
      <sheetName val="Notes"/>
      <sheetName val="Bill No 6 Koord _ Attendance"/>
      <sheetName val="Pile"/>
      <sheetName val="Data"/>
      <sheetName val="Group"/>
      <sheetName val="DAF-1"/>
      <sheetName val="Rekap Direct Cost"/>
      <sheetName val="villa"/>
      <sheetName val="SPM062"/>
      <sheetName val="STR"/>
      <sheetName val="Analisa"/>
      <sheetName val="covere"/>
      <sheetName val="Slab"/>
      <sheetName val="WH-Rev"/>
      <sheetName val="WMS-INT"/>
      <sheetName val="Master"/>
      <sheetName val="2-Genset print"/>
      <sheetName val="Mob"/>
      <sheetName val="D7"/>
      <sheetName val="D_&amp;_W_sizes"/>
      <sheetName val="Urai__Resap_pengikat"/>
      <sheetName val="B___Norelec"/>
      <sheetName val="Cover_Daf-2"/>
      <sheetName val="Analisa_HS"/>
      <sheetName val="Currency_Rate"/>
      <sheetName val="mat-me_pipa"/>
      <sheetName val="Isolasi_Luar_Dalam"/>
      <sheetName val="Isolasi_Luar"/>
      <sheetName val="Rekap_Direct_Cost"/>
      <sheetName val="Bill_No_6_Koord___Attendance"/>
      <sheetName val="HRG_BHN"/>
      <sheetName val="COSTING Option 1"/>
      <sheetName val="Electrikal"/>
      <sheetName val="Elektronik"/>
      <sheetName val="Plumbing"/>
      <sheetName val="Fire Fighting"/>
      <sheetName val="Item Kompensasi"/>
      <sheetName val="I-KAMAR"/>
      <sheetName val="Sheet9"/>
      <sheetName val="PO-2"/>
      <sheetName val="H_BHN"/>
      <sheetName val="MOW 45%"/>
      <sheetName val="MOS 55%"/>
      <sheetName val="Duc-3"/>
      <sheetName val="January 2015"/>
      <sheetName val="Div3"/>
      <sheetName val="DAFT_ALAT,UPAH &amp; MAT"/>
      <sheetName val="Cover"/>
      <sheetName val="Cover Daf_2"/>
      <sheetName val="Master 1.0"/>
      <sheetName val="RAPlenk"/>
      <sheetName val="RAB"/>
      <sheetName val="Bahan"/>
      <sheetName val="Sal"/>
      <sheetName val="Harsat"/>
      <sheetName val="ANALIS"/>
      <sheetName val="BASIC"/>
      <sheetName val="FA"/>
      <sheetName val="Mobilisasi"/>
      <sheetName val="Upah&amp;Bahan"/>
      <sheetName val="H.Satuan"/>
      <sheetName val="Analisa Harga"/>
      <sheetName val="Upah"/>
      <sheetName val="Bill No 6 Koord &amp; Attendance"/>
      <sheetName val="#REF!"/>
      <sheetName val="Analisa Gabungan"/>
      <sheetName val="Sub"/>
      <sheetName val="Volume"/>
      <sheetName val="bahan "/>
      <sheetName val="SAP"/>
      <sheetName val="INDEKS"/>
      <sheetName val="JABATAN"/>
      <sheetName val="B - Norelec"/>
      <sheetName val="PKK"/>
      <sheetName val=" UPAH"/>
      <sheetName val="BAG_2"/>
      <sheetName val="Harga ME "/>
      <sheetName val="AnalisaSIPIL RIIL"/>
      <sheetName val="indirect"/>
      <sheetName val="D HARGA"/>
      <sheetName val="Panel,feeder,elek"/>
      <sheetName val="SITE-E"/>
      <sheetName val="BQ (by owner)"/>
      <sheetName val="rab me (fisik)"/>
      <sheetName val="rab me (by owner) "/>
      <sheetName val="304-06"/>
      <sheetName val="CONS."/>
      <sheetName val="負荷集計（断熱不燃）"/>
      <sheetName val="HARGA MATERIAL"/>
      <sheetName val="BQ ARS"/>
      <sheetName val="Steel-Twr"/>
      <sheetName val="DETAIL RAP"/>
      <sheetName val="BQ PENGURANGAN SALURAN"/>
      <sheetName val="Week9-Feb    "/>
      <sheetName val="01A- RAB"/>
      <sheetName val="I-ME"/>
      <sheetName val="L_TIGA"/>
      <sheetName val="L-TIGA"/>
      <sheetName val="Duc_3"/>
      <sheetName val="PERSIAPAN"/>
      <sheetName val="Pln Pdt"/>
      <sheetName val="Estimate"/>
      <sheetName val="FR"/>
      <sheetName val="AT 2"/>
      <sheetName val="HB "/>
      <sheetName val="REK"/>
      <sheetName val="Lt 1"/>
      <sheetName val="Upah_APBD1"/>
      <sheetName val="datbhn"/>
      <sheetName val="lamp2"/>
      <sheetName val="Har Sat"/>
      <sheetName val="Mat"/>
      <sheetName val="An.Ars"/>
      <sheetName val="WI"/>
      <sheetName val="Pas. Bata Trasram"/>
      <sheetName val="Pas. Bata"/>
      <sheetName val="Plstern dan Acian Trasram"/>
      <sheetName val="Railing Tangga Depan"/>
      <sheetName val="Railing Void"/>
      <sheetName val="Tanggul Janitor + Wudlu"/>
      <sheetName val="SALING"/>
      <sheetName val="UNIT_P"/>
      <sheetName val="F&amp;S"/>
      <sheetName val="TOSHIBA-Structure"/>
      <sheetName val=""/>
      <sheetName val="AC_C"/>
      <sheetName val="125x125"/>
      <sheetName val="Cac HS hieu chinh"/>
      <sheetName val="FitOutConfCentre"/>
      <sheetName val="Markup"/>
      <sheetName val="B1form (2)"/>
      <sheetName val="Earthwork"/>
      <sheetName val="Sheet2"/>
      <sheetName val="Koefisien"/>
      <sheetName val="D4"/>
      <sheetName val="D6"/>
      <sheetName val="D8"/>
      <sheetName val="Sum"/>
      <sheetName val="FAB별"/>
      <sheetName val="Steel Pipe"/>
      <sheetName val="External PVC, PPR, HDPE"/>
      <sheetName val="Internal PVC, PPR, HDPE"/>
      <sheetName val="GI Sheet"/>
      <sheetName val="外気負荷"/>
      <sheetName val="2.2"/>
      <sheetName val="Analisa Upah &amp; Bahan Plum"/>
      <sheetName val="kWINTANSI"/>
      <sheetName val="SPK"/>
      <sheetName val="CIVIL-1"/>
      <sheetName val="Analisa &amp; Upah"/>
      <sheetName val="ANAL.BOW"/>
      <sheetName val="D_&amp;_W_sizes1"/>
      <sheetName val="Cover_Daf-21"/>
      <sheetName val="Analisa_HS1"/>
      <sheetName val="Urai__Resap_pengikat1"/>
      <sheetName val="mat-me_pipa1"/>
      <sheetName val="Isolasi_Luar_Dalam1"/>
      <sheetName val="Isolasi_Luar1"/>
      <sheetName val="Currency_Rate1"/>
      <sheetName val="B___Norelec1"/>
      <sheetName val="Rekap_Direct_Cost1"/>
      <sheetName val="Bill_No_6_Koord___Attendance1"/>
      <sheetName val="HRG_BHN1"/>
      <sheetName val="2-Genset_print"/>
      <sheetName val="MOW_45%"/>
      <sheetName val="MOS_55%"/>
      <sheetName val="_UPAH"/>
      <sheetName val="B_-_Norelec"/>
      <sheetName val="DAFT_ALAT,UPAH_&amp;_MAT"/>
      <sheetName val="Harga_ME_"/>
      <sheetName val="CONS_"/>
      <sheetName val="January_2015"/>
      <sheetName val="Basic_Price"/>
      <sheetName val="H_Satuan"/>
      <sheetName val="HARGA_MATERIAL"/>
      <sheetName val="BQ_ARS"/>
      <sheetName val="DETAIL_RAP"/>
      <sheetName val="BQ_PENGURANGAN_SALURAN"/>
      <sheetName val="Week9-Feb____"/>
      <sheetName val="01A-_RAB"/>
      <sheetName val="D_HARGA"/>
      <sheetName val="Analisa_Harga"/>
      <sheetName val="Bill_No_6_Koord_&amp;_Attendance"/>
      <sheetName val="Analisa_Gabungan"/>
      <sheetName val="AnalisaSIPIL_RIIL"/>
      <sheetName val="概総括1"/>
      <sheetName val="____"/>
      <sheetName val=""/>
      <sheetName val="Summary"/>
      <sheetName val="Cac_HS_hieu_chinh"/>
      <sheetName val="Kuantitas &amp; Harga"/>
      <sheetName val="限界利益表(半期別)"/>
      <sheetName val="機種マスタ"/>
      <sheetName val="struktur"/>
      <sheetName val="Faktor"/>
      <sheetName val="Sheet"/>
      <sheetName val="Beam"/>
      <sheetName val="SUM-AIR-Submit"/>
      <sheetName val="Code"/>
      <sheetName val="Cash2"/>
      <sheetName val="Z"/>
      <sheetName val="LEGEND"/>
      <sheetName val="QMCT"/>
      <sheetName val="BG"/>
      <sheetName val="04 - XUONG DET B"/>
      <sheetName val="CTGX"/>
      <sheetName val="CTG-1"/>
      <sheetName val="264"/>
      <sheetName val="Div26 - Elect"/>
      <sheetName val="Quantity"/>
      <sheetName val="Str A"/>
      <sheetName val="Rekap Prelim"/>
      <sheetName val="Kolom UT"/>
      <sheetName val="ocean voyage"/>
      <sheetName val="Hargamat"/>
      <sheetName val="6_9D_W"/>
      <sheetName val="6_10__I"/>
      <sheetName val="2_12PA"/>
      <sheetName val="2_1P"/>
      <sheetName val="2_3C"/>
      <sheetName val="2_4F"/>
      <sheetName val="予算票"/>
      <sheetName val="kin_OLP_xxx"/>
      <sheetName val="Bill rekap"/>
      <sheetName val="Project Data"/>
      <sheetName val="실행철강하도"/>
      <sheetName val="집계표"/>
      <sheetName val="DCost"/>
      <sheetName val="Rates"/>
      <sheetName val="MEP SUM"/>
      <sheetName val="SGC-Rate"/>
      <sheetName val="Harga satuan"/>
      <sheetName val="配管単価"/>
      <sheetName val="D_&amp;_W_sizes2"/>
      <sheetName val="Cover_Daf-22"/>
      <sheetName val="Analisa_HS2"/>
      <sheetName val="Urai__Resap_pengikat2"/>
      <sheetName val="mat-me_pipa2"/>
      <sheetName val="Isolasi_Luar_Dalam2"/>
      <sheetName val="Isolasi_Luar2"/>
      <sheetName val="Currency_Rate2"/>
      <sheetName val="B___Norelec2"/>
      <sheetName val="Rekap_Direct_Cost2"/>
      <sheetName val="Bill_No_6_Koord___Attendance2"/>
      <sheetName val="HRG_BHN2"/>
      <sheetName val="2-Genset_print1"/>
      <sheetName val="MOW_45%1"/>
      <sheetName val="MOS_55%1"/>
      <sheetName val="_UPAH1"/>
      <sheetName val="B_-_Norelec1"/>
      <sheetName val="DAFT_ALAT,UPAH_&amp;_MAT1"/>
      <sheetName val="Harga_ME_1"/>
      <sheetName val="CONS_1"/>
      <sheetName val="January_20151"/>
      <sheetName val="Basic_Price1"/>
      <sheetName val="H_Satuan1"/>
      <sheetName val="HARGA_MATERIAL1"/>
      <sheetName val="BQ_ARS1"/>
      <sheetName val="DETAIL_RAP1"/>
      <sheetName val="BQ_PENGURANGAN_SALURAN1"/>
      <sheetName val="Week9-Feb____1"/>
      <sheetName val="01A-_RAB1"/>
      <sheetName val="AnalisaSIPIL_RIIL1"/>
      <sheetName val="D_HARGA1"/>
      <sheetName val="Analisa_Harga1"/>
      <sheetName val="Bill_No_6_Koord_&amp;_Attendance1"/>
      <sheetName val="Analisa_Gabungan1"/>
      <sheetName val="bahan_"/>
      <sheetName val="Cac_HS_hieu_chinh1"/>
      <sheetName val="Pln_Pdt"/>
      <sheetName val="Steel_Pipe"/>
      <sheetName val="External_PVC,_PPR,_HDPE"/>
      <sheetName val="Internal_PVC,_PPR,_HDPE"/>
      <sheetName val="GI_Sheet"/>
      <sheetName val="BQ_(by_owner)"/>
      <sheetName val="rab_me_(fisik)"/>
      <sheetName val="rab_me_(by_owner)_"/>
      <sheetName val="Form_I"/>
      <sheetName val="Cover_Daf_2"/>
      <sheetName val="B1form_(2)"/>
      <sheetName val="2_2"/>
      <sheetName val="Analisa_Upah_&amp;_Bahan_Plum"/>
      <sheetName val="Analisa_&amp;_Upah"/>
      <sheetName val="AT_2"/>
      <sheetName val="HB_"/>
      <sheetName val="ANAL_BOW"/>
      <sheetName val="Bill 2"/>
      <sheetName val="harga bahan"/>
      <sheetName val="Harga Upah"/>
      <sheetName val="ANALISA HARGA SATUAN"/>
      <sheetName val="基本ﾃﾞｰﾀ"/>
      <sheetName val="MTP"/>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sheetData sheetId="197" refreshError="1"/>
      <sheetData sheetId="198" refreshError="1"/>
      <sheetData sheetId="199" refreshError="1"/>
      <sheetData sheetId="200" refreshError="1"/>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sheetData sheetId="335" refreshError="1"/>
      <sheetData sheetId="336" refreshError="1"/>
      <sheetData sheetId="337" refreshError="1"/>
      <sheetData sheetId="338" refreshError="1"/>
      <sheetData sheetId="33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rug"/>
      <sheetName val="waterproofing"/>
      <sheetName val="Sheet3"/>
      <sheetName val="#REF"/>
    </sheetNames>
    <sheetDataSet>
      <sheetData sheetId="0" refreshError="1"/>
      <sheetData sheetId="1" refreshError="1"/>
      <sheetData sheetId="2" refreshError="1"/>
      <sheetData sheetId="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suara"/>
      <sheetName val="Titik kabel"/>
      <sheetName val="Tata Suara (4)"/>
      <sheetName val="Tata Suara (5)"/>
      <sheetName val="Tata Suara (6)"/>
      <sheetName val="chitimc"/>
      <sheetName val="THPDMoi  (2)"/>
      <sheetName val="dongia (2)"/>
      <sheetName val="gtrinh"/>
      <sheetName val="phuluc1"/>
      <sheetName val="TONG HOP VL-NC"/>
      <sheetName val="lam-moi"/>
      <sheetName val="chitiet"/>
      <sheetName val="TONGKE3p "/>
      <sheetName val="giathanh1"/>
      <sheetName val="TH VL, NC, DDHT Thanhphuoc"/>
      <sheetName val="#REF"/>
      <sheetName val="DONGIA"/>
      <sheetName val="thao-go"/>
      <sheetName val="DON GIA"/>
      <sheetName val="TONGKE-HT"/>
      <sheetName val="DG"/>
      <sheetName val="dtxl"/>
      <sheetName val="LKVL-CK-HT-GD1"/>
      <sheetName val="t-h HA THE"/>
      <sheetName val="CHITIET VL-NC-TT -1p"/>
      <sheetName val="TONG HOP VL-NC TT"/>
      <sheetName val="TNHCHINH"/>
      <sheetName val="TH XL"/>
      <sheetName val="CHITIET VL-NC"/>
      <sheetName val="VC"/>
      <sheetName val="Tiepdia"/>
      <sheetName val="CHITIET VL-NC-TT-3p"/>
      <sheetName val="TDTKP"/>
      <sheetName val="TDTKP1"/>
      <sheetName val="KPVC-BD "/>
      <sheetName val="VCV-BE-TONG"/>
      <sheetName val="GRAND REKAP"/>
      <sheetName val="I-KAMAR"/>
      <sheetName val="H.Satuan"/>
      <sheetName val="Calculations"/>
      <sheetName val="Struktur"/>
      <sheetName val="RAB"/>
      <sheetName val="Pipe"/>
      <sheetName val="A-11 Steel Str (2)"/>
      <sheetName val="HB "/>
      <sheetName val="FORM X COST"/>
      <sheetName val="Structure"/>
      <sheetName val="rek det 1-3"/>
      <sheetName val="Harga satuan"/>
      <sheetName val="Master 1.0"/>
      <sheetName val="Steel-Twr"/>
      <sheetName val="Isolasi Luar Dalam"/>
      <sheetName val="Isolasi Luar"/>
      <sheetName val="Bahan"/>
      <sheetName val="rekap.c"/>
      <sheetName val="Analisa Upah &amp; Bahan Plum"/>
      <sheetName val="iTEM hARSAT"/>
      <sheetName val="G_SUMMARY"/>
      <sheetName val="EK"/>
      <sheetName val="BAG-III"/>
      <sheetName val="DASH"/>
      <sheetName val="BQ ARS"/>
      <sheetName val="Scd_RAB"/>
      <sheetName val="Penwrn"/>
      <sheetName val="sched"/>
      <sheetName val="s"/>
      <sheetName val="4"/>
      <sheetName val="Hargamat"/>
      <sheetName val="IPL_SCHEDULE"/>
      <sheetName val="Material"/>
      <sheetName val="Analisa 2"/>
      <sheetName val="Daf 1"/>
      <sheetName val="index"/>
      <sheetName val="ch"/>
      <sheetName val="FAK"/>
      <sheetName val="KEBALAT"/>
      <sheetName val="FINAL"/>
      <sheetName val="CRUSER"/>
      <sheetName val="sph"/>
      <sheetName val="Titik_kabel"/>
      <sheetName val="Tata_Suara_(4)"/>
      <sheetName val="Tata_Suara_(5)"/>
      <sheetName val="Tata_Suara_(6)"/>
      <sheetName val="GRAND_REKAP"/>
      <sheetName val="THPDMoi__(2)"/>
      <sheetName val="dongia_(2)"/>
      <sheetName val="TONG_HOP_VL-NC"/>
      <sheetName val="TONGKE3p_"/>
      <sheetName val="TH_VL,_NC,_DDHT_Thanhphuoc"/>
      <sheetName val="DON_GIA"/>
      <sheetName val="t-h_HA_THE"/>
      <sheetName val="CHITIET_VL-NC-TT_-1p"/>
      <sheetName val="TONG_HOP_VL-NC_TT"/>
      <sheetName val="TH_XL"/>
      <sheetName val="CHITIET_VL-NC"/>
      <sheetName val="CHITIET_VL-NC-TT-3p"/>
      <sheetName val="KPVC-BD_"/>
      <sheetName val="H_Satuan"/>
      <sheetName val="FORM_X_COST"/>
      <sheetName val="HB_"/>
      <sheetName val="Harga_satuan"/>
      <sheetName val="Master_1_0"/>
      <sheetName val="A-11_Steel_Str_(2)"/>
      <sheetName val="Elektrikal"/>
      <sheetName val="304_06"/>
      <sheetName val="TOTAL"/>
      <sheetName val="DAFTAR 7"/>
      <sheetName val="DAFTAR_8"/>
      <sheetName val="HRG BHN"/>
      <sheetName val="DAF_1"/>
      <sheetName val="J"/>
      <sheetName val="DAF-4"/>
      <sheetName val="fin Villa A"/>
      <sheetName val="DAF-1"/>
      <sheetName val="FAKTOR"/>
      <sheetName val="escon"/>
      <sheetName val="4-MVAC"/>
      <sheetName val="SAP"/>
      <sheetName val="BM"/>
      <sheetName val="ANALISA"/>
      <sheetName val="AN-PIPA"/>
      <sheetName val="SAT EL"/>
      <sheetName val="Scedule"/>
      <sheetName val="D-1"/>
      <sheetName val="2.4~LISTRIK"/>
      <sheetName val="2.9~TLP&amp;DATA"/>
      <sheetName val="2.6~TS"/>
      <sheetName val="Analisa Upah _ Bahan Plum"/>
      <sheetName val="DAFTAR HARGA"/>
      <sheetName val="Rate"/>
      <sheetName val="BID_PRC"/>
      <sheetName val="PRC_COMP"/>
      <sheetName val="insentif"/>
      <sheetName val="CV"/>
      <sheetName val="6-MVAC"/>
      <sheetName val="an el"/>
      <sheetName val="ANALISA GRS TENGAH"/>
      <sheetName val="Analisa Harsat"/>
      <sheetName val="Rekap"/>
      <sheetName val="Bill of Qty"/>
      <sheetName val="HS_TRG"/>
      <sheetName val="L-Mechanical"/>
      <sheetName val="A"/>
      <sheetName val="SEX"/>
      <sheetName val="Harga Bahan"/>
      <sheetName val="HSA &amp; PAB"/>
      <sheetName val="Harga Upah "/>
      <sheetName val="RAB T-225 TP"/>
      <sheetName val="DAF_2"/>
      <sheetName val="INDEK_BQ"/>
      <sheetName val="formminat"/>
      <sheetName val="Supply Agrmnt"/>
      <sheetName val="ahas-ins"/>
      <sheetName val="I_KAMAR"/>
      <sheetName val="AN-KOLOM"/>
      <sheetName val="STR - 2B"/>
      <sheetName val="BAG-2"/>
      <sheetName val="PMK"/>
      <sheetName val="2.1"/>
      <sheetName val="DAF-3"/>
      <sheetName val="2.2"/>
      <sheetName val="NYATDOK"/>
      <sheetName val="Rkp"/>
      <sheetName val="FORM 7"/>
      <sheetName val="FORM 3A"/>
      <sheetName val="a.h ars sum"/>
      <sheetName val="a.h ars"/>
      <sheetName val="ANAL_HREZ"/>
      <sheetName val="RAB_HREZ"/>
      <sheetName val="H Satuan Dasar"/>
      <sheetName val="tknk"/>
      <sheetName val="D4"/>
      <sheetName val="D6"/>
      <sheetName val="D7"/>
      <sheetName val="D8"/>
      <sheetName val="TABEL_DETASIR"/>
      <sheetName val="bhn "/>
      <sheetName val="data"/>
      <sheetName val="HSD"/>
      <sheetName val="RAB RIIL kayu"/>
      <sheetName val="MINAT"/>
      <sheetName val="Item Kompensasi"/>
      <sheetName val="BQ-Tenis"/>
      <sheetName val="Arsitektur"/>
      <sheetName val="BOQ_Aula"/>
      <sheetName val="Prelim"/>
      <sheetName val="RAW MATERIALS "/>
      <sheetName val="PAD-F"/>
      <sheetName val="Analisa Tekhnis"/>
      <sheetName val="Meth"/>
      <sheetName val="AN-E"/>
      <sheetName val="srtberkas"/>
      <sheetName val="C &amp; G RHS"/>
      <sheetName val="HArga"/>
      <sheetName val="Nama"/>
      <sheetName val="L2"/>
      <sheetName val="harsat"/>
      <sheetName val="Als Struk"/>
      <sheetName val="NP"/>
      <sheetName val="HSTANAH.XLS"/>
      <sheetName val="Sheet3"/>
      <sheetName val="UMUM"/>
      <sheetName val="Rinc All"/>
      <sheetName val="basic"/>
      <sheetName val="R"/>
      <sheetName val="analisa el"/>
      <sheetName val="DAF_4"/>
      <sheetName val="TARIP"/>
      <sheetName val="rab me (by owner) "/>
      <sheetName val="MENU"/>
      <sheetName val="Pekerjaan"/>
      <sheetName val="Kuantitas &amp; Harga"/>
      <sheetName val="BOQ"/>
      <sheetName val="Hrg.Sat"/>
      <sheetName val="Mall"/>
      <sheetName val="prog-mgu"/>
      <sheetName val="upah_borong"/>
      <sheetName val="satuan_pek"/>
      <sheetName val="INDEKS"/>
      <sheetName val="SBDY Jemb Tayan"/>
      <sheetName val="ilch"/>
      <sheetName val="견"/>
      <sheetName val="HARGA MATERIAL"/>
      <sheetName val="Sheet1"/>
      <sheetName val="000000"/>
      <sheetName val="WEEKLY"/>
      <sheetName val="SP"/>
      <sheetName val="Harsat Pekerjaan"/>
      <sheetName val="SIMBOL"/>
      <sheetName val="An.Ars"/>
      <sheetName val="Material-mr"/>
      <sheetName val="PHU 05"/>
      <sheetName val="Sheet2"/>
      <sheetName val="HARG SAT"/>
      <sheetName val="II"/>
      <sheetName val="VII"/>
      <sheetName val="Rekapitulasi"/>
      <sheetName val="Master Edit"/>
      <sheetName val="KH-Q1,Q2,01"/>
      <sheetName val="lap-bulan"/>
      <sheetName val="Lap-Minggu"/>
      <sheetName val="DATA2009"/>
      <sheetName val="RincianQ3_Q4"/>
      <sheetName val="DataSAR_4Okt"/>
      <sheetName val="Kode Rekening Pdapatn Kab.kota"/>
      <sheetName val="Kode rekening Belanja"/>
      <sheetName val="Kode Rekening Pembiayaan"/>
      <sheetName val="Anal "/>
      <sheetName val="UPAH"/>
      <sheetName val="RAB 2007"/>
      <sheetName val="HITUNG"/>
      <sheetName val="IS"/>
      <sheetName val="DIV.2"/>
      <sheetName val="#REF!"/>
      <sheetName val="AHSbj"/>
      <sheetName val="Titik_kabel1"/>
      <sheetName val="Tata_Suara_(4)1"/>
      <sheetName val="Tata_Suara_(5)1"/>
      <sheetName val="Tata_Suara_(6)1"/>
      <sheetName val="GRAND_REKAP1"/>
      <sheetName val="THPDMoi__(2)1"/>
      <sheetName val="dongia_(2)1"/>
      <sheetName val="TONG_HOP_VL-NC1"/>
      <sheetName val="TONGKE3p_1"/>
      <sheetName val="TH_VL,_NC,_DDHT_Thanhphuoc1"/>
      <sheetName val="DON_GIA1"/>
      <sheetName val="t-h_HA_THE1"/>
      <sheetName val="CHITIET_VL-NC-TT_-1p1"/>
      <sheetName val="TONG_HOP_VL-NC_TT1"/>
      <sheetName val="TH_XL1"/>
      <sheetName val="CHITIET_VL-NC1"/>
      <sheetName val="CHITIET_VL-NC-TT-3p1"/>
      <sheetName val="KPVC-BD_1"/>
      <sheetName val="Master_1_01"/>
      <sheetName val="H_Satuan1"/>
      <sheetName val="FORM_X_COST1"/>
      <sheetName val="HB_1"/>
      <sheetName val="A-11_Steel_Str_(2)1"/>
      <sheetName val="Harga_satuan1"/>
      <sheetName val="Isolasi_Luar_Dalam"/>
      <sheetName val="Isolasi_Luar"/>
      <sheetName val="rek_det_1-3"/>
      <sheetName val="iTEM_hARSAT"/>
      <sheetName val="BQ_ARS"/>
      <sheetName val="rekap_c"/>
      <sheetName val="Analisa_Upah_&amp;_Bahan_Plum"/>
      <sheetName val="fin_Villa_A"/>
      <sheetName val="Analisa_2"/>
      <sheetName val="DAFTAR_7"/>
      <sheetName val="HRG_BHN"/>
      <sheetName val="DAFTAR_HARGA"/>
      <sheetName val="SAT_EL"/>
      <sheetName val="STR_-_2B"/>
      <sheetName val="2_1"/>
      <sheetName val="2_2"/>
      <sheetName val="Supply_Agrmnt"/>
      <sheetName val="Analisa_Harsat"/>
      <sheetName val="2_4~LISTRIK"/>
      <sheetName val="2_9~TLP&amp;DATA"/>
      <sheetName val="2_6~TS"/>
      <sheetName val="Analisa_Upah___Bahan_Plum"/>
      <sheetName val="FORM_7"/>
      <sheetName val="FORM_3A"/>
      <sheetName val="a_h_ars_sum"/>
      <sheetName val="a_h_ars"/>
      <sheetName val="H_Satuan_Dasar"/>
      <sheetName val="ANALISA_GRS_TENGAH"/>
      <sheetName val="Harga_Bahan"/>
      <sheetName val="HSA_&amp;_PAB"/>
      <sheetName val="Harga_Upah_"/>
      <sheetName val="RAB_T-225_TP"/>
      <sheetName val="Titik_kabel2"/>
      <sheetName val="Tata_Suara_(4)2"/>
      <sheetName val="Tata_Suara_(5)2"/>
      <sheetName val="Tata_Suara_(6)2"/>
      <sheetName val="GRAND_REKAP2"/>
      <sheetName val="THPDMoi__(2)2"/>
      <sheetName val="dongia_(2)2"/>
      <sheetName val="TONG_HOP_VL-NC2"/>
      <sheetName val="TONGKE3p_2"/>
      <sheetName val="TH_VL,_NC,_DDHT_Thanhphuoc2"/>
      <sheetName val="DON_GIA2"/>
      <sheetName val="t-h_HA_THE2"/>
      <sheetName val="CHITIET_VL-NC-TT_-1p2"/>
      <sheetName val="TONG_HOP_VL-NC_TT2"/>
      <sheetName val="TH_XL2"/>
      <sheetName val="CHITIET_VL-NC2"/>
      <sheetName val="CHITIET_VL-NC-TT-3p2"/>
      <sheetName val="KPVC-BD_2"/>
      <sheetName val="Master_1_02"/>
      <sheetName val="H_Satuan2"/>
      <sheetName val="FORM_X_COST2"/>
      <sheetName val="HB_2"/>
      <sheetName val="A-11_Steel_Str_(2)2"/>
      <sheetName val="Harga_satuan2"/>
      <sheetName val="Isolasi_Luar_Dalam1"/>
      <sheetName val="Isolasi_Luar1"/>
      <sheetName val="rek_det_1-31"/>
      <sheetName val="iTEM_hARSAT1"/>
      <sheetName val="BQ_ARS1"/>
      <sheetName val="rekap_c1"/>
      <sheetName val="Analisa_Upah_&amp;_Bahan_Plum1"/>
      <sheetName val="fin_Villa_A1"/>
      <sheetName val="Analisa_21"/>
      <sheetName val="DAFTAR_71"/>
      <sheetName val="HRG_BHN1"/>
      <sheetName val="DAFTAR_HARGA1"/>
      <sheetName val="SAT_EL1"/>
      <sheetName val="STR_-_2B1"/>
      <sheetName val="2_11"/>
      <sheetName val="2_21"/>
      <sheetName val="Supply_Agrmnt1"/>
      <sheetName val="Analisa_Harsat1"/>
      <sheetName val="2_4~LISTRIK1"/>
      <sheetName val="2_9~TLP&amp;DATA1"/>
      <sheetName val="2_6~TS1"/>
      <sheetName val="Analisa_Upah___Bahan_Plum1"/>
      <sheetName val="FORM_71"/>
      <sheetName val="FORM_3A1"/>
      <sheetName val="a_h_ars_sum1"/>
      <sheetName val="a_h_ars1"/>
      <sheetName val="H_Satuan_Dasar1"/>
      <sheetName val="ANALISA_GRS_TENGAH1"/>
      <sheetName val="Harga_Bahan1"/>
      <sheetName val="HSA_&amp;_PAB1"/>
      <sheetName val="Harga_Upah_1"/>
      <sheetName val="RAB_T-225_TP1"/>
      <sheetName val="NM"/>
      <sheetName val="Daf No.6 Tsuara"/>
      <sheetName val="HSUB"/>
      <sheetName val="analisa mek"/>
      <sheetName val="An.1"/>
      <sheetName val="An.3"/>
      <sheetName val="An.2"/>
      <sheetName val="ahs"/>
      <sheetName val="OP. PERJAM"/>
      <sheetName val="KAN. LOKAL"/>
      <sheetName val="B. PERSONIL"/>
      <sheetName val="Analisa RAB"/>
      <sheetName val="Lumpsu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refreshError="1"/>
      <sheetData sheetId="367" refreshError="1"/>
      <sheetData sheetId="368" refreshError="1"/>
      <sheetData sheetId="369"/>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F-8"/>
      <sheetName val="Titik kabel"/>
      <sheetName val="#REF"/>
      <sheetName val="UPH,BHN,ALT"/>
      <sheetName val="HRG BHN"/>
      <sheetName val="DAF-1"/>
      <sheetName val="Analisa"/>
      <sheetName val="DAF_1"/>
      <sheetName val="ch"/>
      <sheetName val="bhn-upah"/>
      <sheetName val="daf-3(OK)"/>
      <sheetName val="daf_3_OK_"/>
      <sheetName val="daf-7(OK)"/>
      <sheetName val="daf_7_OK_"/>
      <sheetName val="H.Satuan"/>
      <sheetName val="PO-2"/>
      <sheetName val="HARSAT"/>
      <sheetName val="Daf 1"/>
      <sheetName val="BAHAN"/>
      <sheetName val="_REF"/>
      <sheetName val="DAF-9"/>
      <sheetName val="Scedule"/>
      <sheetName val="Harga Bahan"/>
      <sheetName val="Upah"/>
      <sheetName val="prelim"/>
      <sheetName val="Rkp"/>
      <sheetName val="FORM 3A"/>
      <sheetName val="ALS-ARSITEK"/>
      <sheetName val="rab"/>
      <sheetName val="Titik_kabel"/>
      <sheetName val="HRG_BHN"/>
      <sheetName val="Hargamaterial"/>
      <sheetName val="PERSIAPAN"/>
      <sheetName val="GRAND REKAP"/>
      <sheetName val="koef-tanah"/>
      <sheetName val="ANALISA HARGA SNI 2014"/>
      <sheetName val="i-j. Pengalaman"/>
      <sheetName val="1"/>
      <sheetName val="div3"/>
      <sheetName val="Sheet1"/>
      <sheetName val="MINAT"/>
      <sheetName val="SAPON"/>
      <sheetName val="NP 7"/>
      <sheetName val="REKAP_STRUKTUR"/>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sat"/>
      <sheetName val="upah_harian"/>
      <sheetName val="upah_borong"/>
      <sheetName val="satuan_alat"/>
      <sheetName val="sewa_alat"/>
      <sheetName val="Analisa"/>
      <sheetName val="DAF_ALAT"/>
      <sheetName val="DAF_MAT"/>
      <sheetName val="S_CURVE"/>
      <sheetName val="Cover"/>
      <sheetName val="Hargamat"/>
      <sheetName val="Material"/>
      <sheetName val="anal.K"/>
      <sheetName val="UPAH"/>
      <sheetName val="#REF"/>
      <sheetName val="HRG BHN"/>
      <sheetName val="DAF-1"/>
      <sheetName val="Upah+Bahan"/>
      <sheetName val="REKAP_STRUKTUR"/>
      <sheetName val="AHS1"/>
      <sheetName val="Analisa Harga Satuan"/>
      <sheetName val="Meto"/>
      <sheetName val="Meth "/>
      <sheetName val="HB"/>
      <sheetName val="res200"/>
      <sheetName val="analisa (2)"/>
      <sheetName val="STR"/>
      <sheetName val="harga "/>
    </sheetNames>
    <sheetDataSet>
      <sheetData sheetId="0" refreshError="1">
        <row r="15">
          <cell r="H15">
            <v>57500</v>
          </cell>
        </row>
        <row r="18">
          <cell r="H18">
            <v>4550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P"/>
      <sheetName val="Biaya 2"/>
      <sheetName val="Metode"/>
      <sheetName val="Renc SAVE"/>
      <sheetName val="HSD"/>
    </sheetNames>
    <sheetDataSet>
      <sheetData sheetId="0"/>
      <sheetData sheetId="1"/>
      <sheetData sheetId="2"/>
      <sheetData sheetId="3"/>
      <sheetData sheetId="4"/>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SATUAN"/>
      <sheetName val="U.BORONG"/>
      <sheetName val="SAT.ALAT"/>
      <sheetName val="TNH-PERS"/>
      <sheetName val="besi"/>
      <sheetName val="BETON"/>
      <sheetName val="DIND"/>
      <sheetName val="LANT"/>
      <sheetName val="ATAP"/>
      <sheetName val="LUAR"/>
      <sheetName val="PINTU"/>
      <sheetName val="SANITER"/>
      <sheetName val="FLAF&amp;PARTSI"/>
      <sheetName val="CAT&amp;WTERPROOF"/>
      <sheetName val="FLAF_PARTSI"/>
      <sheetName val="Analisa"/>
      <sheetName val="Analisa STR"/>
      <sheetName val="CH"/>
      <sheetName val="MANHATTAN"/>
      <sheetName val="T.ABANG"/>
      <sheetName val="SENTUL"/>
      <sheetName val="SEMANAN"/>
      <sheetName val="ARTAGDING"/>
      <sheetName val="BKPM"/>
      <sheetName val="Analisa Harga"/>
      <sheetName val="Summary"/>
      <sheetName val="harsat"/>
      <sheetName val="Mekanikal"/>
      <sheetName val="Analisa Struktur Beton"/>
      <sheetName val="bau"/>
      <sheetName val="GAJI"/>
      <sheetName val="REKAP"/>
      <sheetName val="CV2"/>
      <sheetName val="HRG BTN SERBAGUNA "/>
      <sheetName val="Hargam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nga"/>
      <sheetName val="Rekap"/>
      <sheetName val="preliminaries"/>
      <sheetName val="Ana-sdm"/>
      <sheetName val="Ana-alat"/>
      <sheetName val="Str Atas"/>
      <sheetName val="Str"/>
      <sheetName val="Ars"/>
      <sheetName val="Add Ars"/>
      <sheetName val="pintu"/>
      <sheetName val="Analisa"/>
      <sheetName val="Analisa Struktur"/>
      <sheetName val="harsat"/>
      <sheetName val="dasboard"/>
      <sheetName val="Spek"/>
      <sheetName val="DAF-7"/>
      <sheetName val="DATA1"/>
      <sheetName val="Dashboard"/>
      <sheetName val="Harga"/>
      <sheetName val="hs-str"/>
      <sheetName val="anal"/>
      <sheetName val="MAPP"/>
      <sheetName val="rek det 1-3"/>
      <sheetName val="Sat Bah &amp; Up"/>
      <sheetName val="Daftar Harga Bahan"/>
      <sheetName val="Daftar Upah"/>
      <sheetName val="PileCap"/>
      <sheetName val="DATA"/>
      <sheetName val="Sat Bah _ Up"/>
      <sheetName val="Daf-harga"/>
      <sheetName val="DAF_7"/>
      <sheetName val="COST-SUM"/>
      <sheetName val="4-MVAC"/>
      <sheetName val="satuan_pek"/>
      <sheetName val="A-ars"/>
      <sheetName val="HARGA SATUAN"/>
      <sheetName val="UPAH"/>
      <sheetName val="BAHAN"/>
      <sheetName val="ANALISA PEK.UMUM"/>
      <sheetName val="upah_borong"/>
      <sheetName val="Str_Atas"/>
      <sheetName val="Add_Ars"/>
      <sheetName val="Analisa_Struktur"/>
      <sheetName val="BQ. AC"/>
      <sheetName val="RAB"/>
      <sheetName val="Harga Satuan Dasar"/>
      <sheetName val="Kuantitas &amp; Harga"/>
      <sheetName val="Rekap Biaya"/>
      <sheetName val="an. struktur"/>
      <sheetName val="Daf-Har-Pening"/>
      <sheetName val="HPSK"/>
      <sheetName val="Bahan "/>
      <sheetName val="Pekerjaan "/>
      <sheetName val="LISTRIK MEKANIKAL"/>
      <sheetName val="L_Mechanical"/>
      <sheetName val="Str_x0000__x0000_ﮤ౔_x0000__x0004__x0000__x0000__x0000__x0000__x0000__x0000_౔_x0000__x0000__x0000__x0000__x0000__x0000__x0000__x0000_﯌౔_x0000__x0000_Ã_x0000_"/>
      <sheetName val="Material"/>
      <sheetName val="L-Mechanical"/>
      <sheetName val="DAF-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Rekapi"/>
      <sheetName val="AHS"/>
      <sheetName val="Bul"/>
      <sheetName val="Alat"/>
      <sheetName val="Subkont"/>
      <sheetName val="Bahan"/>
      <sheetName val="Upah1"/>
      <sheetName val="Rekap"/>
      <sheetName val="Bang A"/>
      <sheetName val="Bang B"/>
      <sheetName val="Sarana"/>
      <sheetName val="Asrama"/>
      <sheetName val="Utility"/>
      <sheetName val="Kamar"/>
      <sheetName val="Material"/>
      <sheetName val="Upah"/>
      <sheetName val="Analisa"/>
      <sheetName val="NAME"/>
      <sheetName val="Pipe"/>
      <sheetName val="HRG BHN"/>
      <sheetName val="Surat"/>
      <sheetName val="Input"/>
      <sheetName val="hargaSatuan"/>
      <sheetName val="harsat"/>
      <sheetName val="A LIS"/>
      <sheetName val="A REKAP"/>
      <sheetName val="Cover"/>
      <sheetName val="Analisa Harga Satuan"/>
      <sheetName val="Rinc All"/>
      <sheetName val="TSS"/>
      <sheetName val="Harsat BHN AR,M"/>
      <sheetName val="daftar harga satuan"/>
      <sheetName val="SCH"/>
      <sheetName val="DAF_1"/>
      <sheetName val="DATA"/>
      <sheetName val="UPAH (2)"/>
      <sheetName val="struktur tdk dipakai"/>
      <sheetName val="DAF-1"/>
      <sheetName val="FLAF&amp;PARTSI"/>
      <sheetName val="ANLS_ BETON R. KELAS"/>
      <sheetName val="Daftar Upah"/>
      <sheetName val="SEX"/>
      <sheetName val="REKAP BQ"/>
      <sheetName val="HB "/>
      <sheetName val="Koefisien"/>
      <sheetName val="Isolasi Luar Dalam"/>
      <sheetName val="Isolasi Luar"/>
      <sheetName val="SAT EL"/>
      <sheetName val="MAIN BQ"/>
      <sheetName val="Daf-harga"/>
      <sheetName val="SAT-BHN"/>
      <sheetName val="Daf.Harga-Upah"/>
      <sheetName val="DATA1"/>
      <sheetName val="Nama"/>
      <sheetName val="L2"/>
      <sheetName val="LIST"/>
      <sheetName val="S.UPAH"/>
      <sheetName val="D-1"/>
      <sheetName val="COST-SUM"/>
      <sheetName val="Bang_A"/>
      <sheetName val="Bang_B"/>
      <sheetName val="#REF"/>
      <sheetName val="EE-PROP"/>
      <sheetName val="H.Satuan"/>
      <sheetName val="Bhn"/>
      <sheetName val="DAF-2"/>
      <sheetName val="Bill sipil"/>
      <sheetName val="Prelim"/>
      <sheetName val="DAF-7"/>
      <sheetName val="RAB"/>
      <sheetName val="DAF_7"/>
      <sheetName val="ES-aLL"/>
      <sheetName val="Hargamat"/>
      <sheetName val="daf-3(OK)"/>
      <sheetName val="daf-7(OK)"/>
      <sheetName val="rab me (by owner) "/>
      <sheetName val="BQ (by owner)"/>
      <sheetName val="rab me (fisik)"/>
      <sheetName val="DAF-9"/>
      <sheetName val="Ana"/>
      <sheetName val="FINISHING"/>
      <sheetName val="Coef"/>
      <sheetName val="HRG_BHN"/>
      <sheetName val="DAF_9"/>
      <sheetName val="DATA-PPC"/>
      <sheetName val="Analisa Upah _ Bahan Plum"/>
      <sheetName val="villa"/>
      <sheetName val="ESCON"/>
      <sheetName val="D2.2"/>
      <sheetName val="Plumbing"/>
      <sheetName val="STAFF"/>
      <sheetName val="mat&amp;upah"/>
      <sheetName val="Electrikal"/>
      <sheetName val="HARSAT_BAH"/>
      <sheetName val="SUM_Steel-Strc"/>
      <sheetName val="GRAND REKAP"/>
      <sheetName val="ANALISA SOFT"/>
      <sheetName val="BQ PLAMBING - SEMANAN"/>
      <sheetName val="BQ-RSUD1"/>
      <sheetName val="Bill rekap"/>
      <sheetName val="Bill of Qty"/>
      <sheetName val="SAT"/>
      <sheetName val="Anal"/>
      <sheetName val="REK"/>
      <sheetName val="Bahan "/>
      <sheetName val="Pekerjaan "/>
      <sheetName val="DivVII"/>
      <sheetName val="DAFTAR HARGA"/>
      <sheetName val="Rekap A"/>
      <sheetName val="Analisa Upah &amp; Bahan Plum"/>
      <sheetName val="dasboard"/>
      <sheetName val="TABEL-DETASIR"/>
      <sheetName val="RPP01 6"/>
      <sheetName val="EK"/>
      <sheetName val="UPAH _ ALAT"/>
      <sheetName val="D3.1"/>
      <sheetName val="Metode"/>
      <sheetName val="Hrg.Sat"/>
      <sheetName val="BQ ARS"/>
      <sheetName val="CORAT"/>
      <sheetName val="Man Power &amp; Comp"/>
      <sheetName val="Kolom UT"/>
      <sheetName val="DAFTAR HARGA SATUAN MATERIAL"/>
      <sheetName val="3-DIV4"/>
      <sheetName val="SITE-E"/>
      <sheetName val="Harga Satuan"/>
      <sheetName val="Bangunan Utama"/>
      <sheetName val="HARGA ALAT"/>
      <sheetName val="Analisa Gabungan"/>
      <sheetName val="Sub"/>
      <sheetName val="BQ_E20_02_Rp_"/>
      <sheetName val="Analisa DMPU"/>
      <sheetName val="RAB-NEGO"/>
      <sheetName val="rumus"/>
      <sheetName val="ELEC STIS"/>
      <sheetName val="REF.ONLY"/>
      <sheetName val="Bill of Qty MEP"/>
      <sheetName val="SAP"/>
      <sheetName val="RKP PLUMBING"/>
      <sheetName val="Kode Rekening Pdapatn Kab.kota"/>
      <sheetName val="Kode rekening Belanja"/>
      <sheetName val="Kode Rekening Pembiayaan"/>
      <sheetName val="gvl"/>
      <sheetName val="Analisa Alat"/>
      <sheetName val="STR - 2B"/>
      <sheetName val="AC"/>
      <sheetName val="Analisa ME"/>
      <sheetName val="Supply Agrmnt"/>
      <sheetName val="DAF_2"/>
      <sheetName val="Basic Price"/>
      <sheetName val="ch"/>
      <sheetName val="Reloc &amp; Living Cost"/>
      <sheetName val="Sal"/>
      <sheetName val="D &amp; W sizes"/>
      <sheetName val="I_KAMAR"/>
      <sheetName val="Harsat Bahan"/>
      <sheetName val="Sheet1"/>
      <sheetName val="Total"/>
      <sheetName val="FAKTOR"/>
      <sheetName val="POS 1"/>
      <sheetName val="POS 2"/>
      <sheetName val="Administration"/>
      <sheetName val="Ware House"/>
      <sheetName val="HELIPAD"/>
      <sheetName val="Hunian Staf"/>
      <sheetName val="Kantin"/>
      <sheetName val="Klinik"/>
      <sheetName val="Mosque"/>
      <sheetName val="Pemadam Kebakaran"/>
      <sheetName val="Gd. Rekreasi &amp; olah Raga"/>
      <sheetName val="Site Plan"/>
      <sheetName val="SPBU"/>
      <sheetName val="INDEX"/>
      <sheetName val="STR"/>
      <sheetName val="Price"/>
      <sheetName val="Harga ME "/>
      <sheetName val="D2.4"/>
      <sheetName val="D3-3"/>
      <sheetName val="D4.3 (TE)"/>
      <sheetName val="D5.3 (TF) "/>
      <sheetName val="D8.3 (TJ)"/>
      <sheetName val="Elektrikal"/>
      <sheetName val="HRG- UPAH"/>
      <sheetName val="RAPA"/>
      <sheetName val="BOQ+BTL+RAPI"/>
      <sheetName val="notasi"/>
      <sheetName val="Meth "/>
      <sheetName val="hb"/>
      <sheetName val="REKAP_STRUKTUR"/>
      <sheetName val="A-1"/>
      <sheetName val="A-3"/>
      <sheetName val="A-4"/>
      <sheetName val="A-5"/>
      <sheetName val="A-6"/>
      <sheetName val="A-8"/>
      <sheetName val="BQ-Structur"/>
      <sheetName val="Rekap RAP real (2)"/>
      <sheetName val="QTO-11P"/>
      <sheetName val="304_06"/>
      <sheetName val="BQ_PLAMBING_-_SEMANAN"/>
      <sheetName val="Bahan_"/>
      <sheetName val="Pekerjaan_"/>
      <sheetName val="8LT 12"/>
      <sheetName val="Bldg"/>
      <sheetName val="H-BHN"/>
      <sheetName val="chitimc"/>
      <sheetName val="dongia (2)"/>
      <sheetName val="giathanh1"/>
      <sheetName val="THPDMoi  (2)"/>
      <sheetName val="gtrinh"/>
      <sheetName val="phuluc1"/>
      <sheetName val="TONG HOP VL-NC"/>
      <sheetName val="lam-moi"/>
      <sheetName val="DONGIA"/>
      <sheetName val="chitiet"/>
      <sheetName val="thao-go"/>
      <sheetName val="DON GIA"/>
      <sheetName val="TONGKE-HT"/>
      <sheetName val="DG"/>
      <sheetName val="dtxl"/>
      <sheetName val="t-h HA THE"/>
      <sheetName val="CHITIET VL-NC-TT -1p"/>
      <sheetName val="TONG HOP VL-NC TT"/>
      <sheetName val="TH XL"/>
      <sheetName val="TONGKE3p "/>
      <sheetName val="VC"/>
      <sheetName val="CHITIET VL-NC-TT-3p"/>
      <sheetName val="TDTKP1"/>
      <sheetName val="KPVC-BD "/>
      <sheetName val="VCV-BE-TONG"/>
      <sheetName val="CHITIET VL-NC"/>
      <sheetName val="I-KAMAR"/>
      <sheetName val="Mall"/>
      <sheetName val="DAF-5"/>
      <sheetName val="harga"/>
      <sheetName val="KAS $"/>
      <sheetName val="SKAT"/>
      <sheetName val="STR(CANCEL)"/>
      <sheetName val="UPAHBAHAN"/>
      <sheetName val="REKAP ANALISA"/>
      <sheetName val="PEMBESIAN BALOK INDUK!"/>
      <sheetName val="STAF"/>
      <sheetName val="M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F-7"/>
      <sheetName val="DF-7 (2)"/>
      <sheetName val="H.Satuan"/>
      <sheetName val="NP (4)"/>
      <sheetName val="Bill of Qty MEP"/>
      <sheetName val="BAHAN"/>
      <sheetName val="SEX"/>
      <sheetName val="REF.ONLY"/>
      <sheetName val="Harsat_marina"/>
      <sheetName val="DAF-1"/>
      <sheetName val="HRG BHN"/>
      <sheetName val="Fin-Bengkel"/>
      <sheetName val="Fin-Showroom"/>
      <sheetName val="Hal_Pagar"/>
      <sheetName val="Str-Bengkel"/>
      <sheetName val="Str-Showroom"/>
      <sheetName val="Harsat"/>
      <sheetName val="box culvert"/>
      <sheetName val="BQ_Tenis"/>
      <sheetName val="Arsitektur"/>
      <sheetName val="Material"/>
      <sheetName val="BOQ_Aula"/>
      <sheetName val="Prelim"/>
      <sheetName val="rincian per proyek"/>
      <sheetName val="PC"/>
      <sheetName val="Balok"/>
      <sheetName val="Material-mr"/>
      <sheetName val="NP"/>
      <sheetName val="HSD"/>
      <sheetName val="MHPP"/>
      <sheetName val="hrg-dsr"/>
      <sheetName val="HB "/>
      <sheetName val="H.Material, Upah &amp; Alat"/>
      <sheetName val="Analisa H.Sat.Pek."/>
      <sheetName val="arab"/>
      <sheetName val="DIV7"/>
      <sheetName val="DIV3"/>
      <sheetName val="DIV2"/>
      <sheetName val="Upah"/>
      <sheetName val="H.SAT"/>
      <sheetName val="Analisa"/>
      <sheetName val="BD Div-2 sd 7.6"/>
      <sheetName val="Pricing"/>
      <sheetName val="7.PEK-STRUKTUR"/>
      <sheetName val="SW 6"/>
      <sheetName val="SW 5A"/>
      <sheetName val="CW 5"/>
      <sheetName val="CW 6"/>
      <sheetName val="DAFTAR HARGA"/>
      <sheetName val="BoQ C4"/>
      <sheetName val="List of Eqp"/>
      <sheetName val="UPA"/>
      <sheetName val="BOQ"/>
      <sheetName val="Anls teknis"/>
      <sheetName val="DIV-3"/>
      <sheetName val="DIV-7"/>
      <sheetName val="DIV-8"/>
      <sheetName val="bhn "/>
      <sheetName val="FORM 3A"/>
      <sheetName val="List Material"/>
      <sheetName val="Sheet1"/>
      <sheetName val="List H.Bahan&amp;Upah"/>
      <sheetName val="Sheet3"/>
      <sheetName val="TOWN"/>
      <sheetName val="Upah+Bahan"/>
      <sheetName val="Fill this out first..."/>
      <sheetName val="DAF-7"/>
      <sheetName val="Man_Power_Const"/>
      <sheetName val="COST-SUM"/>
      <sheetName val="name"/>
      <sheetName val="SCHEDULE"/>
      <sheetName val="STR"/>
      <sheetName val="BASIC"/>
      <sheetName val="ANALISA (2)"/>
      <sheetName val="PHU 05"/>
      <sheetName val="ganti rugi"/>
      <sheetName val="ANALISA 2"/>
      <sheetName val="ANALISA "/>
      <sheetName val="ANALISA 3"/>
      <sheetName val="ANALISA LS"/>
      <sheetName val="BAHAN "/>
      <sheetName val=" UPAH,ALAT"/>
      <sheetName val="3-DIV2"/>
      <sheetName val="Harga"/>
      <sheetName val="a"/>
      <sheetName val="upahbahan"/>
      <sheetName val="Upah Bahan"/>
      <sheetName val="Kuantitas &amp; Harga"/>
      <sheetName val="4-Basic Price"/>
      <sheetName val="D7(1)"/>
      <sheetName val="rab - persiapan &amp; lantai-1"/>
      <sheetName val="Bill Of Quantity"/>
      <sheetName val="Group"/>
      <sheetName val="ANALISA-A"/>
      <sheetName val="Sat Bah &amp; Up"/>
      <sheetName val="Mall"/>
      <sheetName val="Master 1.0"/>
      <sheetName val="Hargamat"/>
      <sheetName val="SAT"/>
      <sheetName val="K"/>
      <sheetName val="NP-7"/>
      <sheetName val="HSLAIN-LAIN"/>
      <sheetName val="Anl.2s.d4e"/>
      <sheetName val="REQDELTA"/>
      <sheetName val="Statprod gab"/>
      <sheetName val="RAB"/>
      <sheetName val="NP(2)"/>
      <sheetName val="Isolasi Luar Dalam"/>
      <sheetName val="Isolasi Luar"/>
      <sheetName val="CH"/>
      <sheetName val="@UpahBahan"/>
      <sheetName val="ahs"/>
      <sheetName val="metode"/>
      <sheetName val="01A- RAB"/>
      <sheetName val="DAF-2"/>
      <sheetName val="Du_lieu"/>
      <sheetName val="Pekerjaan Utama"/>
      <sheetName val="Rekap Biaya"/>
      <sheetName val="DU&amp;B"/>
      <sheetName val="DRUP (ASLI)"/>
      <sheetName val="Elektrikal"/>
      <sheetName val="REKAPE"/>
      <sheetName val="BGN PENUNJANG"/>
      <sheetName val="Bhn_upah"/>
      <sheetName val="SALURAN"/>
      <sheetName val="Div.7.7.2"/>
      <sheetName val="sATUAN"/>
      <sheetName val="anaUTama"/>
      <sheetName val="gvl"/>
      <sheetName val="Lamp2HS"/>
      <sheetName val="ISIAN"/>
      <sheetName val="D3"/>
      <sheetName val="D4"/>
      <sheetName val="D5"/>
      <sheetName val="D6"/>
      <sheetName val="D7"/>
      <sheetName val="D8"/>
      <sheetName val="IV.1,IV,2"/>
      <sheetName val="ANALISA PEK.UMUM"/>
      <sheetName val="rekap mekanikal"/>
      <sheetName val="analis"/>
      <sheetName val="ANL 2004"/>
      <sheetName val="3-DIV4"/>
      <sheetName val="ahs1"/>
      <sheetName val="ahs3"/>
      <sheetName val="DF-7_(2)1"/>
      <sheetName val="rincian_per_proyek1"/>
      <sheetName val="Bill_of_Qty_MEP1"/>
      <sheetName val="H_Material,_Upah_&amp;_Alat1"/>
      <sheetName val="Analisa_H_Sat_Pek_1"/>
      <sheetName val="H_Satuan1"/>
      <sheetName val="HB_1"/>
      <sheetName val="NP_(4)1"/>
      <sheetName val="BD_Div-2_sd_7_61"/>
      <sheetName val="REF_ONLY1"/>
      <sheetName val="SW_61"/>
      <sheetName val="SW_5A1"/>
      <sheetName val="CW_51"/>
      <sheetName val="CW_61"/>
      <sheetName val="7_PEK-STRUKTUR1"/>
      <sheetName val="DAFTAR_HARGA1"/>
      <sheetName val="BoQ_C41"/>
      <sheetName val="List_of_Eqp1"/>
      <sheetName val="HRG_BHN1"/>
      <sheetName val="Anls_teknis1"/>
      <sheetName val="rab_-_persiapan_&amp;_lantai-11"/>
      <sheetName val="Anl_2s_d4e1"/>
      <sheetName val="Bill_Of_Quantity1"/>
      <sheetName val="H_SAT1"/>
      <sheetName val="Statprod_gab1"/>
      <sheetName val="box_culvert1"/>
      <sheetName val="Isolasi_Luar_Dalam1"/>
      <sheetName val="Isolasi_Luar1"/>
      <sheetName val="DF-7_(2)"/>
      <sheetName val="rincian_per_proyek"/>
      <sheetName val="Bill_of_Qty_MEP"/>
      <sheetName val="H_Material,_Upah_&amp;_Alat"/>
      <sheetName val="Analisa_H_Sat_Pek_"/>
      <sheetName val="H_Satuan"/>
      <sheetName val="HB_"/>
      <sheetName val="NP_(4)"/>
      <sheetName val="BD_Div-2_sd_7_6"/>
      <sheetName val="REF_ONLY"/>
      <sheetName val="SW_6"/>
      <sheetName val="SW_5A"/>
      <sheetName val="CW_5"/>
      <sheetName val="CW_6"/>
      <sheetName val="7_PEK-STRUKTUR"/>
      <sheetName val="DAFTAR_HARGA"/>
      <sheetName val="BoQ_C4"/>
      <sheetName val="List_of_Eqp"/>
      <sheetName val="HRG_BHN"/>
      <sheetName val="Anls_teknis"/>
      <sheetName val="rab_-_persiapan_&amp;_lantai-1"/>
      <sheetName val="Anl_2s_d4e"/>
      <sheetName val="Bill_Of_Quantity"/>
      <sheetName val="H_SAT"/>
      <sheetName val="Statprod_gab"/>
      <sheetName val="box_culvert"/>
      <sheetName val="Isolasi_Luar_Dalam"/>
      <sheetName val="Isolasi_Luar"/>
      <sheetName val="DF-7_(2)2"/>
      <sheetName val="rincian_per_proyek2"/>
      <sheetName val="Bill_of_Qty_MEP2"/>
      <sheetName val="H_Material,_Upah_&amp;_Alat2"/>
      <sheetName val="Analisa_H_Sat_Pek_2"/>
      <sheetName val="H_Satuan2"/>
      <sheetName val="HB_2"/>
      <sheetName val="NP_(4)2"/>
      <sheetName val="BD_Div-2_sd_7_62"/>
      <sheetName val="REF_ONLY2"/>
      <sheetName val="SW_62"/>
      <sheetName val="SW_5A2"/>
      <sheetName val="CW_52"/>
      <sheetName val="CW_62"/>
      <sheetName val="7_PEK-STRUKTUR2"/>
      <sheetName val="DAFTAR_HARGA2"/>
      <sheetName val="BoQ_C42"/>
      <sheetName val="List_of_Eqp2"/>
      <sheetName val="HRG_BHN2"/>
      <sheetName val="Anls_teknis2"/>
      <sheetName val="rab_-_persiapan_&amp;_lantai-12"/>
      <sheetName val="Anl_2s_d4e2"/>
      <sheetName val="Bill_Of_Quantity2"/>
      <sheetName val="H_SAT2"/>
      <sheetName val="Statprod_gab2"/>
      <sheetName val="box_culvert2"/>
      <sheetName val="Isolasi_Luar_Dalam2"/>
      <sheetName val="Isolasi_Luar2"/>
      <sheetName val="DF-7_(2)3"/>
      <sheetName val="rincian_per_proyek3"/>
      <sheetName val="Bill_of_Qty_MEP3"/>
      <sheetName val="H_Material,_Upah_&amp;_Alat3"/>
      <sheetName val="Analisa_H_Sat_Pek_3"/>
      <sheetName val="H_Satuan3"/>
      <sheetName val="HB_3"/>
      <sheetName val="NP_(4)3"/>
      <sheetName val="BD_Div-2_sd_7_63"/>
      <sheetName val="REF_ONLY3"/>
      <sheetName val="SW_63"/>
      <sheetName val="SW_5A3"/>
      <sheetName val="CW_53"/>
      <sheetName val="CW_63"/>
      <sheetName val="7_PEK-STRUKTUR3"/>
      <sheetName val="DAFTAR_HARGA3"/>
      <sheetName val="BoQ_C43"/>
      <sheetName val="List_of_Eqp3"/>
      <sheetName val="HRG_BHN3"/>
      <sheetName val="Anls_teknis3"/>
      <sheetName val="rab_-_persiapan_&amp;_lantai-13"/>
      <sheetName val="Anl_2s_d4e3"/>
      <sheetName val="Bill_Of_Quantity3"/>
      <sheetName val="H_SAT3"/>
      <sheetName val="Statprod_gab3"/>
      <sheetName val="box_culvert3"/>
      <sheetName val="Isolasi_Luar_Dalam3"/>
      <sheetName val="Isolasi_Luar3"/>
      <sheetName val="AHSP"/>
      <sheetName val="PileCap"/>
      <sheetName val="Tie Beam GN"/>
      <sheetName val="DAF_2"/>
      <sheetName val="Blk-Mnl"/>
      <sheetName val="Klm-Mnl"/>
      <sheetName val="RAB T-175 TP"/>
      <sheetName val="Pipe"/>
      <sheetName val="I. Gen+Prelim"/>
      <sheetName val="Administrasi"/>
      <sheetName val="plumbing"/>
      <sheetName val="ANAL-1"/>
      <sheetName val="3-DIV5"/>
      <sheetName val="Rekap"/>
      <sheetName val="PHU_051"/>
      <sheetName val="ganti_rugi1"/>
      <sheetName val="ANALISA_21"/>
      <sheetName val="ANALISA_1"/>
      <sheetName val="ANALISA_31"/>
      <sheetName val="ANALISA_LS1"/>
      <sheetName val="BAHAN_1"/>
      <sheetName val="_UPAH,ALAT1"/>
      <sheetName val="Upah_Bahan1"/>
      <sheetName val="Kuantitas_&amp;_Harga1"/>
      <sheetName val="4-Basic_Price1"/>
      <sheetName val="PHU_05"/>
      <sheetName val="ganti_rugi"/>
      <sheetName val="ANALISA_2"/>
      <sheetName val="ANALISA_"/>
      <sheetName val="ANALISA_3"/>
      <sheetName val="ANALISA_LS"/>
      <sheetName val="BAHAN_"/>
      <sheetName val="_UPAH,ALAT"/>
      <sheetName val="Upah_Bahan"/>
      <sheetName val="Kuantitas_&amp;_Harga"/>
      <sheetName val="4-Basic_Price"/>
      <sheetName val="PHU_052"/>
      <sheetName val="ganti_rugi2"/>
      <sheetName val="ANALISA_22"/>
      <sheetName val="ANALISA_4"/>
      <sheetName val="ANALISA_32"/>
      <sheetName val="ANALISA_LS2"/>
      <sheetName val="BAHAN_2"/>
      <sheetName val="_UPAH,ALAT2"/>
      <sheetName val="Upah_Bahan2"/>
      <sheetName val="Kuantitas_&amp;_Harga2"/>
      <sheetName val="4-Basic_Price2"/>
      <sheetName val="PHU_053"/>
      <sheetName val="ganti_rugi3"/>
      <sheetName val="ANALISA_23"/>
      <sheetName val="ANALISA_5"/>
      <sheetName val="ANALISA_33"/>
      <sheetName val="ANALISA_LS3"/>
      <sheetName val="BAHAN_3"/>
      <sheetName val="_UPAH,ALAT3"/>
      <sheetName val="Upah_Bahan3"/>
      <sheetName val="Kuantitas_&amp;_Harga3"/>
      <sheetName val="4-Basic_Price3"/>
      <sheetName val="DF-7_(2)4"/>
      <sheetName val="Bill_of_Qty_MEP4"/>
      <sheetName val="rincian_per_proyek4"/>
      <sheetName val="H_Satuan4"/>
      <sheetName val="NP_(4)4"/>
      <sheetName val="REF_ONLY4"/>
      <sheetName val="HRG_BHN4"/>
      <sheetName val="HB_4"/>
      <sheetName val="H_SAT4"/>
      <sheetName val="H_Material,_Upah_&amp;_Alat4"/>
      <sheetName val="Analisa_H_Sat_Pek_4"/>
      <sheetName val="PHU_054"/>
      <sheetName val="ganti_rugi4"/>
      <sheetName val="ANALISA_24"/>
      <sheetName val="ANALISA_6"/>
      <sheetName val="ANALISA_34"/>
      <sheetName val="ANALISA_LS4"/>
      <sheetName val="BAHAN_4"/>
      <sheetName val="_UPAH,ALAT4"/>
      <sheetName val="Upah_Bahan4"/>
      <sheetName val="Kuantitas_&amp;_Harga4"/>
      <sheetName val="4-Basic_Price4"/>
      <sheetName val="BD_Div-2_sd_7_64"/>
      <sheetName val="SW_64"/>
      <sheetName val="SW_5A4"/>
      <sheetName val="CW_54"/>
      <sheetName val="CW_64"/>
      <sheetName val="Bill_Of_Quantity4"/>
      <sheetName val="7_PEK-STRUKTUR4"/>
      <sheetName val="DAFTAR_HARGA4"/>
      <sheetName val="Isolasi_Luar_Dalam4"/>
      <sheetName val="Isolasi_Luar4"/>
      <sheetName val="BoQ_C44"/>
      <sheetName val="List_of_Eqp4"/>
      <sheetName val="Anls_teknis4"/>
      <sheetName val="rab_-_persiapan_&amp;_lantai-14"/>
      <sheetName val="Anl_2s_d4e4"/>
      <sheetName val="hrg-sat.pek"/>
      <sheetName val="Item Baru"/>
      <sheetName val="Analisa Baku ME"/>
      <sheetName val="REKAP STR T"/>
      <sheetName val="Blk_TIPE"/>
      <sheetName val="Blk-Mnl.notype"/>
      <sheetName val="ddg &amp; lain2"/>
      <sheetName val="Pelat"/>
      <sheetName val="Tangga"/>
      <sheetName val="Tata Udara"/>
      <sheetName val="GRAND REKAP"/>
      <sheetName val="Factor"/>
      <sheetName val="DONGIA"/>
      <sheetName val="Alat"/>
      <sheetName val="Persiapan"/>
      <sheetName val="STRUKTUR"/>
      <sheetName val="LISTRIK"/>
      <sheetName val="RATE&amp;FCTR"/>
      <sheetName val="3-DIV3"/>
      <sheetName val="TSS"/>
      <sheetName val="hs_ars"/>
      <sheetName val="INDEKS"/>
      <sheetName val="JABATAN"/>
      <sheetName val="DATA"/>
      <sheetName val="Waktu"/>
      <sheetName val="Anls"/>
      <sheetName val="DAF.ALAT"/>
      <sheetName val="SITE-E"/>
      <sheetName val="anl"/>
      <sheetName val="Analisa Upah &amp; Bahan Plum"/>
      <sheetName val="Har-sat"/>
      <sheetName val="H_Dasar"/>
      <sheetName val="Rekapitulasi"/>
      <sheetName val="BAG-III"/>
      <sheetName val="analisa Harsat"/>
      <sheetName val="Anl-BM"/>
      <sheetName val="Daf.Harga-Upah"/>
      <sheetName val="DAF_7"/>
      <sheetName val="Rekap Prelim"/>
      <sheetName val="an. major"/>
      <sheetName val="BQ-4storey"/>
      <sheetName val="DIVI3"/>
      <sheetName val="BAHAN &amp; ALAT "/>
      <sheetName val="Sch1"/>
      <sheetName val="HARGA SAT"/>
      <sheetName val="PM"/>
      <sheetName val="Upah "/>
      <sheetName val="Peralatan"/>
      <sheetName val="2"/>
      <sheetName val="Basic Price"/>
      <sheetName val="Daf_ No_ _ 4_2"/>
      <sheetName val="coeff"/>
      <sheetName val="Cable 150kV Ref."/>
      <sheetName val="upah_borong"/>
      <sheetName val="sheet 2"/>
      <sheetName val="RAB ME"/>
      <sheetName val="데이타"/>
      <sheetName val="차액보증"/>
      <sheetName val="7.4.1"/>
      <sheetName val="Har Sat"/>
      <sheetName val="M.Geo"/>
      <sheetName val="KK2"/>
      <sheetName val="5-ALAT(1)"/>
      <sheetName val="Market"/>
      <sheetName val="notasi"/>
      <sheetName val="ANALISA GRS kota"/>
      <sheetName val="RAB_HREZ"/>
      <sheetName val="ANAL_HREZ"/>
      <sheetName val="B.T"/>
      <sheetName val="Harga Bahan Fabrikasi"/>
      <sheetName val="Harga Satuan"/>
      <sheetName val="ANALISA SNI'08(ubh bgsting)"/>
      <sheetName val="Sat Bah _ Up"/>
      <sheetName val="LEKAT1"/>
      <sheetName val="rab me (by owner) "/>
      <sheetName val="ANAL.BOW"/>
      <sheetName val="BQ (by owner)"/>
      <sheetName val="rab me (fisik)"/>
      <sheetName val="Analisa ME"/>
      <sheetName val="BAG-2"/>
      <sheetName val="T. Cs Log P III"/>
      <sheetName val="I-KAMAR"/>
      <sheetName val="I_KAMAR"/>
      <sheetName val="hardas"/>
      <sheetName val="own"/>
      <sheetName val="DIV7-BM"/>
      <sheetName val="G_SUMMARY"/>
      <sheetName val="Unit Rate"/>
      <sheetName val="NP (2)"/>
      <sheetName val="bhn FINAL"/>
      <sheetName val="Perm. Test"/>
      <sheetName val="ANALIS2"/>
      <sheetName val="DIV 3"/>
      <sheetName val="prog-mgu"/>
      <sheetName val="D.1.7"/>
      <sheetName val="D.1.5"/>
      <sheetName val="D.2.3"/>
      <sheetName val="D.2.2"/>
      <sheetName val="SAT-DAS"/>
      <sheetName val="Harga S Dasar UNTUK IDISI"/>
      <sheetName val="Analisa 2010"/>
      <sheetName val="a.4"/>
      <sheetName val="a.2"/>
      <sheetName val="Concrete"/>
      <sheetName val="map"/>
      <sheetName val="7.1(3)"/>
      <sheetName val="Rekap Direct Cost"/>
      <sheetName val="RAP"/>
      <sheetName val="SAT-BHN"/>
      <sheetName val="breakdown"/>
      <sheetName val="NAMES"/>
      <sheetName val="Harga Upah"/>
      <sheetName val="HRG BAHAN _ UPAH okk"/>
      <sheetName val="Analis Kusen okk"/>
      <sheetName val="harga bahan"/>
      <sheetName val="Rate"/>
      <sheetName val="HARDAS-ALAT"/>
      <sheetName val="HARDAS-UPAH"/>
      <sheetName val="HARDAS-MAT"/>
      <sheetName val="Basic P"/>
      <sheetName val="304-06"/>
      <sheetName val="Sheet2"/>
      <sheetName val="SCH"/>
      <sheetName val="OP.ALAT"/>
      <sheetName val="ANTEK"/>
      <sheetName val="2C"/>
      <sheetName val="Mayor"/>
      <sheetName val="SUB"/>
      <sheetName val="JMLH ALAT"/>
      <sheetName val="UPH,BHN,ALT"/>
      <sheetName val="Analis harga"/>
      <sheetName val="daf-3(OK)"/>
      <sheetName val="daf-7(OK)"/>
      <sheetName val="Hrg-Das"/>
      <sheetName val="PNT"/>
      <sheetName val="lampiran"/>
      <sheetName val="B"/>
      <sheetName val="GENERAL"/>
      <sheetName val="Antek1"/>
      <sheetName val="dasar"/>
      <sheetName val="LUMPSUM"/>
      <sheetName val="Contract-Data"/>
      <sheetName val="KINERJA-OPERASI CAB VIII"/>
      <sheetName val="agregat abc"/>
      <sheetName val="resap"/>
      <sheetName val="besi"/>
      <sheetName val="Rigid25"/>
      <sheetName val="gal biasa"/>
      <sheetName val="Tanah"/>
      <sheetName val="skejul"/>
      <sheetName val="ANALISA SOFT"/>
      <sheetName val="PEMBESIAN BALOK INDUK!"/>
      <sheetName val="S_perny &amp; CV_lama"/>
      <sheetName val="Penawaran"/>
      <sheetName val="Anal_Gorong2"/>
      <sheetName val="an.el"/>
      <sheetName val="An.AC &amp; Plb"/>
      <sheetName val="Daf-Har-Pening"/>
      <sheetName val="MASTER BAHAN ME"/>
      <sheetName val="HARGA MATERIAL"/>
      <sheetName val="BBM-03"/>
      <sheetName val="공사비 내역 (가)"/>
      <sheetName val="TBL_BANTU"/>
      <sheetName val="341271"/>
      <sheetName val="MING"/>
      <sheetName val="Beton"/>
      <sheetName val="B-PRICE"/>
      <sheetName val="KAS-T"/>
      <sheetName val="hasat"/>
      <sheetName val="TONG HOP VL-NC"/>
      <sheetName val="chitiet"/>
      <sheetName val="TONGKE3p "/>
      <sheetName val="TH VL, NC, DDHT Thanhphuoc"/>
      <sheetName val="#REF"/>
      <sheetName val="DON GIA"/>
      <sheetName val="DG"/>
      <sheetName val="TNHCHINH"/>
      <sheetName val="CHITIET VL-NC"/>
      <sheetName val="VCV-BE-TONG"/>
      <sheetName val="LEMBAR1"/>
      <sheetName val="TEKNIS SNI"/>
      <sheetName val="Analisa K"/>
      <sheetName val="DATA PROYEK"/>
      <sheetName val="HARSAT-lain"/>
      <sheetName val="HARSAT-tanah"/>
      <sheetName val="HARSAT-lhn"/>
      <sheetName val="ana_struktur"/>
      <sheetName val="Statprod_gab4"/>
      <sheetName val="box_culvert4"/>
      <sheetName val="Sat_Bah_&amp;_Up"/>
      <sheetName val="Tie_Beam_GN"/>
      <sheetName val="RAB_T-175_TP"/>
      <sheetName val="I__Gen+Prelim"/>
      <sheetName val="bhn_"/>
      <sheetName val="FORM_3A"/>
      <sheetName val="List_Material"/>
      <sheetName val="List_H_Bahan&amp;Upah"/>
      <sheetName val="Fill_this_out_first___"/>
      <sheetName val="Master_1_0"/>
      <sheetName val="Item_Baru"/>
      <sheetName val="Analisa_Baku_ME"/>
      <sheetName val="REKAP_STR_T"/>
      <sheetName val="Blk-Mnl_notype"/>
      <sheetName val="ddg_&amp;_lain2"/>
      <sheetName val="Tata_Udara"/>
      <sheetName val="GRAND_REKAP"/>
      <sheetName val="DAF_ALAT"/>
      <sheetName val="hrg-sat_pek"/>
      <sheetName val="DF-7_(2)5"/>
      <sheetName val="rincian_per_proyek5"/>
      <sheetName val="Bill_of_Qty_MEP5"/>
      <sheetName val="H_Material,_Upah_&amp;_Alat5"/>
      <sheetName val="Analisa_H_Sat_Pek_5"/>
      <sheetName val="H_Satuan5"/>
      <sheetName val="HB_5"/>
      <sheetName val="NP_(4)5"/>
      <sheetName val="BD_Div-2_sd_7_65"/>
      <sheetName val="REF_ONLY5"/>
      <sheetName val="SW_65"/>
      <sheetName val="SW_5A5"/>
      <sheetName val="CW_55"/>
      <sheetName val="CW_65"/>
      <sheetName val="7_PEK-STRUKTUR5"/>
      <sheetName val="DAFTAR_HARGA5"/>
      <sheetName val="BoQ_C45"/>
      <sheetName val="List_of_Eqp5"/>
      <sheetName val="HRG_BHN5"/>
      <sheetName val="Anls_teknis5"/>
      <sheetName val="rab_-_persiapan_&amp;_lantai-15"/>
      <sheetName val="Anl_2s_d4e5"/>
      <sheetName val="Bill_Of_Quantity5"/>
      <sheetName val="H_SAT5"/>
      <sheetName val="Statprod_gab5"/>
      <sheetName val="box_culvert5"/>
      <sheetName val="Isolasi_Luar_Dalam5"/>
      <sheetName val="Isolasi_Luar5"/>
      <sheetName val="Sat_Bah_&amp;_Up1"/>
      <sheetName val="Tie_Beam_GN1"/>
      <sheetName val="RAB_T-175_TP1"/>
      <sheetName val="I__Gen+Prelim1"/>
      <sheetName val="bhn_1"/>
      <sheetName val="FORM_3A1"/>
      <sheetName val="List_Material1"/>
      <sheetName val="List_H_Bahan&amp;Upah1"/>
      <sheetName val="Fill_this_out_first___1"/>
      <sheetName val="Master_1_01"/>
      <sheetName val="Item_Baru1"/>
      <sheetName val="Analisa_Baku_ME1"/>
      <sheetName val="REKAP_STR_T1"/>
      <sheetName val="Blk-Mnl_notype1"/>
      <sheetName val="ddg_&amp;_lain21"/>
      <sheetName val="Tata_Udara1"/>
      <sheetName val="GRAND_REKAP1"/>
      <sheetName val="DAF_ALAT1"/>
      <sheetName val="hrg-sat_pek1"/>
      <sheetName val="Sh.1"/>
      <sheetName val="DSP"/>
      <sheetName val="Prime"/>
      <sheetName val="GalSal"/>
      <sheetName val="PRY.02"/>
      <sheetName val="CalSheet"/>
      <sheetName val="Summary"/>
      <sheetName val="m schedule"/>
      <sheetName val="Gal tanah"/>
      <sheetName val="Pancang"/>
      <sheetName val="DF-7_(2)6"/>
      <sheetName val="rincian_per_proyek6"/>
      <sheetName val="Bill_of_Qty_MEP6"/>
      <sheetName val="H_Material,_Upah_&amp;_Alat6"/>
      <sheetName val="Analisa_H_Sat_Pek_6"/>
      <sheetName val="H_Satuan6"/>
      <sheetName val="HB_6"/>
      <sheetName val="NP_(4)6"/>
      <sheetName val="BD_Div-2_sd_7_66"/>
      <sheetName val="REF_ONLY6"/>
      <sheetName val="SW_66"/>
      <sheetName val="SW_5A6"/>
      <sheetName val="CW_56"/>
      <sheetName val="CW_66"/>
      <sheetName val="7_PEK-STRUKTUR6"/>
      <sheetName val="DAFTAR_HARGA6"/>
      <sheetName val="BoQ_C46"/>
      <sheetName val="List_of_Eqp6"/>
      <sheetName val="HRG_BHN6"/>
      <sheetName val="Anls_teknis6"/>
      <sheetName val="rab_-_persiapan_&amp;_lantai-16"/>
      <sheetName val="Anl_2s_d4e6"/>
      <sheetName val="Bill_Of_Quantity6"/>
      <sheetName val="H_SAT6"/>
      <sheetName val="Statprod_gab6"/>
      <sheetName val="box_culvert6"/>
      <sheetName val="Isolasi_Luar_Dalam6"/>
      <sheetName val="Isolasi_Luar6"/>
      <sheetName val="Sat_Bah_&amp;_Up2"/>
      <sheetName val="Tie_Beam_GN2"/>
      <sheetName val="RAB_T-175_TP2"/>
      <sheetName val="I__Gen+Prelim2"/>
      <sheetName val="bhn_2"/>
      <sheetName val="FORM_3A2"/>
      <sheetName val="List_Material2"/>
      <sheetName val="List_H_Bahan&amp;Upah2"/>
      <sheetName val="Fill_this_out_first___2"/>
      <sheetName val="Master_1_02"/>
      <sheetName val="Item_Baru2"/>
      <sheetName val="Analisa_Baku_ME2"/>
      <sheetName val="REKAP_STR_T2"/>
      <sheetName val="Blk-Mnl_notype2"/>
      <sheetName val="ddg_&amp;_lain22"/>
      <sheetName val="Tata_Udara2"/>
      <sheetName val="GRAND_REKAP2"/>
      <sheetName val="DAF_ALAT2"/>
      <sheetName val="hrg-sat_pek2"/>
      <sheetName val="공사비_내역_(가)"/>
      <sheetName val="Analisa_ME"/>
      <sheetName val="01A-_RAB"/>
      <sheetName val="BGN_PENUNJANG"/>
      <sheetName val="Sat_Bah___Up"/>
      <sheetName val="Sh_1"/>
      <sheetName val="rab_me_(by_owner)_"/>
      <sheetName val="BQ_(by_owner)"/>
      <sheetName val="rab_me_(fisik)"/>
      <sheetName val="Pekerjaan_Utama"/>
      <sheetName val="Rekap_Biaya"/>
      <sheetName val="analisa_Harsat"/>
      <sheetName val="PRY_02"/>
      <sheetName val="m_schedule"/>
      <sheetName val="Upah_"/>
      <sheetName val="Bhn-Lokal"/>
      <sheetName val="DIV.8"/>
      <sheetName val="ARP-10"/>
      <sheetName val="AKUN"/>
      <sheetName val="arp-3a"/>
      <sheetName val="FAK"/>
      <sheetName val="NRC_2"/>
      <sheetName val="TRBP"/>
      <sheetName val="Tariptunda"/>
      <sheetName val="J"/>
      <sheetName val="Ven"/>
      <sheetName val="Links"/>
      <sheetName val="Alat B"/>
      <sheetName val="Bahan B"/>
      <sheetName val="Upah B"/>
      <sheetName val="BQ Arsit"/>
      <sheetName val="An HarSatPek"/>
      <sheetName val="ahs_utama"/>
      <sheetName val="5-Peralatan"/>
      <sheetName val="GFA-20-N"/>
      <sheetName val="MB"/>
      <sheetName val="Energy Model"/>
      <sheetName val="rate2"/>
      <sheetName val="rate1"/>
      <sheetName val="DC"/>
      <sheetName val="sch mat"/>
      <sheetName val="3A7.1.Jln Insitu"/>
      <sheetName val="MAT"/>
      <sheetName val="ALT"/>
      <sheetName val="UPH"/>
      <sheetName val="bq"/>
      <sheetName val="OP. ALAT"/>
      <sheetName val="OP. PERJAM"/>
      <sheetName val="B. PERSONIL"/>
      <sheetName val="KAN. LOKAL"/>
      <sheetName val="HRG-DASAR"/>
      <sheetName val="price"/>
      <sheetName val="CONSUMABLE"/>
      <sheetName val="Currency Rate"/>
      <sheetName val="Break_down"/>
      <sheetName val="mp &amp; eq"/>
      <sheetName val="Daf 1"/>
      <sheetName val="ALEK"/>
      <sheetName val="Units"/>
      <sheetName val="WF "/>
      <sheetName val="Input monthly capex"/>
      <sheetName val="Rumus"/>
      <sheetName val="anal"/>
      <sheetName val="harsat sdy"/>
      <sheetName val="22"/>
      <sheetName val="S Curve"/>
      <sheetName val="Rekap S Curve (4)"/>
      <sheetName val="Rekap S Curve (3)"/>
      <sheetName val="Sheet15"/>
      <sheetName val="D-HARGA"/>
      <sheetName val="fitoutconfcentre"/>
      <sheetName val="RAP "/>
      <sheetName val="chitimc"/>
      <sheetName val="dongia (2)"/>
      <sheetName val="giathanh1"/>
      <sheetName val="THPDMoi  (2)"/>
      <sheetName val="gtrinh"/>
      <sheetName val="phuluc1"/>
      <sheetName val="lam-moi"/>
      <sheetName val="thao-go"/>
      <sheetName val="TONGKE-HT"/>
      <sheetName val="dtxl"/>
      <sheetName val="t-h HA THE"/>
      <sheetName val="CHITIET VL-NC-TT -1p"/>
      <sheetName val="TONG HOP VL-NC TT"/>
      <sheetName val="TH XL"/>
      <sheetName val="VC"/>
      <sheetName val="CHITIET VL-NC-TT-3p"/>
      <sheetName val="TDTKP1"/>
      <sheetName val="KPVC-BD "/>
      <sheetName val="TRNS-C1"/>
      <sheetName val="Met_ Minor"/>
      <sheetName val="R.A.B."/>
      <sheetName val="EQ_an"/>
      <sheetName val="Daftar"/>
      <sheetName val="tawar"/>
      <sheetName val="Det Str BT"/>
      <sheetName val="extern"/>
      <sheetName val="RAB (OK)"/>
      <sheetName val="BNAIII"/>
      <sheetName val="DIV 4"/>
      <sheetName val="DIV 6"/>
      <sheetName val="DIV 7c"/>
      <sheetName val="DIV 8"/>
      <sheetName val="Up Bhn5"/>
      <sheetName val="hsp-STR-ARS"/>
      <sheetName val="DIV8"/>
      <sheetName val="AGREGAT B"/>
      <sheetName val="HS-Divisi 3"/>
      <sheetName val="L-3(HRGSAT)"/>
      <sheetName val="HS-Divisi 2"/>
      <sheetName val="L-4(ANALISA)"/>
      <sheetName val="form"/>
      <sheetName val="sw-alat"/>
      <sheetName val="ANALISA HARGA SATUAN"/>
      <sheetName val="41,9&amp;36,3"/>
      <sheetName val="BasicPrice"/>
      <sheetName val="SDMTA"/>
      <sheetName val="Analisa Upah _ Bahan Plum"/>
      <sheetName val="KEDUNG GOONG"/>
      <sheetName val="CMS"/>
      <sheetName val="61004"/>
      <sheetName val="DB"/>
      <sheetName val="MAP-2"/>
      <sheetName val="Rekap Kec-Des"/>
      <sheetName val="Ahs_1"/>
      <sheetName val="Harga ME "/>
      <sheetName val="An. Alat"/>
      <sheetName val="Det_Str_BT"/>
      <sheetName val="An__Alat"/>
      <sheetName val="Harga Satuan Upah dan Bahan"/>
      <sheetName val="Traf&amp;Genst"/>
      <sheetName val="Besi2"/>
      <sheetName val="GE-1-2"/>
      <sheetName val="Input Data"/>
      <sheetName val="RENPEN"/>
      <sheetName val="struktur tdk dipakai"/>
      <sheetName val="R1. GREJA KATHOLIK"/>
      <sheetName val="HRG BAHAN &amp; UPAH okk"/>
      <sheetName val="Peernyataan Mengikuti"/>
      <sheetName val="PO-2"/>
      <sheetName val="Faktor Konversi"/>
      <sheetName val="analisa_gedung"/>
      <sheetName val="DAFTAR HARGA BAHAN "/>
      <sheetName val="ANALISA HARGA"/>
      <sheetName val="#REF!"/>
      <sheetName val="Analisa Alat"/>
      <sheetName val="RKP ARS"/>
      <sheetName val="MT_an"/>
      <sheetName val="MT"/>
      <sheetName val="BAHAN-S"/>
      <sheetName val="UPAH-S"/>
      <sheetName val="Cash2"/>
      <sheetName val="Agg Halus &amp; Kasar"/>
      <sheetName val="Ana. PU"/>
      <sheetName val="Luas-Tot"/>
      <sheetName val="Urai _ Guide Post"/>
      <sheetName val="Urai_Galian Tanah"/>
      <sheetName val="EQ"/>
      <sheetName val="DAFTAR ISI"/>
      <sheetName val="NP 7"/>
      <sheetName val="ANALISA KONST BTN"/>
      <sheetName val="4-Quarry"/>
      <sheetName val="MC0"/>
      <sheetName val="Daftar Upah_Material_Alat"/>
      <sheetName val="Quarry-rangas"/>
      <sheetName val="LAP (3)"/>
      <sheetName val="HDS"/>
      <sheetName val="RAB RIIL kayu"/>
      <sheetName val="MPEL"/>
      <sheetName val="HG-UPAH"/>
      <sheetName val="Alat-3"/>
      <sheetName val="Alat-2"/>
      <sheetName val="BOW"/>
      <sheetName val="HARGA ALAT"/>
      <sheetName val="harga-satuan"/>
      <sheetName val="REKAPAN"/>
      <sheetName val="An H.Sat Pek.Ut"/>
      <sheetName val=" AnaBah"/>
      <sheetName val="anal_alat"/>
      <sheetName val="Staff"/>
      <sheetName val="BUL"/>
      <sheetName val="Lain2"/>
      <sheetName val="RAB AR&amp;STR"/>
      <sheetName val="Prod 15-5"/>
      <sheetName val="AnAlat"/>
      <sheetName val="hargaSatuan"/>
      <sheetName val="Data Umum"/>
      <sheetName val="Terbilang"/>
      <sheetName val="HDasar"/>
      <sheetName val="JOB CODE"/>
      <sheetName val="BOQ INTERN"/>
      <sheetName val="daftar harga satuan"/>
      <sheetName val="6"/>
      <sheetName val="BQ-E20-02(Rp)"/>
      <sheetName val="MASTER"/>
      <sheetName val="jan"/>
      <sheetName val="dBase"/>
      <sheetName val="FEB"/>
      <sheetName val="Input Variables"/>
      <sheetName val="MAR"/>
      <sheetName val="TIDAK"/>
      <sheetName val="M+MC"/>
      <sheetName val="Jenjang_Eselon"/>
      <sheetName val="Scd_RAB"/>
      <sheetName val="Analis Kusen 1 ESKALASI"/>
      <sheetName val="analisa j91"/>
      <sheetName val="Bronjong"/>
      <sheetName val="An.K2-3-5"/>
      <sheetName val="An. K.7"/>
      <sheetName val="An. K-810"/>
      <sheetName val="REF-BOQ"/>
      <sheetName val="Informasi"/>
      <sheetName val="NSTD"/>
      <sheetName val="STD"/>
      <sheetName val="Harsat Bahan"/>
      <sheetName val="res200"/>
      <sheetName val="bahan upah"/>
      <sheetName val="Upah_bhn"/>
      <sheetName val="K.Lokal"/>
      <sheetName val="9"/>
      <sheetName val="Input"/>
      <sheetName val="Bahan1"/>
      <sheetName val="skenario"/>
      <sheetName val="2-AHSP"/>
      <sheetName val="REKAP Keb_Bahan"/>
      <sheetName val="Itungan Vol_"/>
      <sheetName val="FLAF&amp;PARTSI"/>
      <sheetName val="AC"/>
      <sheetName val="Analisa STR"/>
      <sheetName val="hs-str"/>
      <sheetName val="conc"/>
      <sheetName val="ALAT1"/>
      <sheetName val="L-Mechanical"/>
      <sheetName val="KP1590_E"/>
      <sheetName val="EQUIP LIST"/>
      <sheetName val="anaMob"/>
      <sheetName val="H-Dasar"/>
      <sheetName val="Analisa-H"/>
      <sheetName val="RAB_Str"/>
      <sheetName val="BAHAN~"/>
      <sheetName val="Koef"/>
      <sheetName val="HB"/>
      <sheetName val="UNIT PRICE"/>
      <sheetName val="lap bangsa 1"/>
      <sheetName val="RAB MCK"/>
      <sheetName val="RAB SMK K"/>
      <sheetName val="RAB BANGSAL"/>
      <sheetName val="rekap mgg 1"/>
      <sheetName val="lap mck 1"/>
      <sheetName val="R A B"/>
      <sheetName val="DIVI6"/>
      <sheetName val="SPH"/>
      <sheetName val="HSUB SARPRA"/>
      <sheetName val="D.78"/>
      <sheetName val="D.79"/>
      <sheetName val="D.80"/>
      <sheetName val="D.81"/>
      <sheetName val="D.82"/>
      <sheetName val="D.83"/>
      <sheetName val="D.84"/>
      <sheetName val="D.85"/>
      <sheetName val="D.86"/>
      <sheetName val="D.87"/>
      <sheetName val="D.88"/>
      <sheetName val="D.89"/>
      <sheetName val="D.91"/>
      <sheetName val="D.92"/>
      <sheetName val="D.93"/>
      <sheetName val="D.94"/>
      <sheetName val="D.95"/>
      <sheetName val="D.96"/>
      <sheetName val="Rekap "/>
      <sheetName val="duct"/>
      <sheetName val="Daftmat"/>
      <sheetName val="Analis Tambahan"/>
      <sheetName val="Analys"/>
      <sheetName val="pelita lapen"/>
      <sheetName val="BQ ARS"/>
      <sheetName val="BAB_5_2_BiaLang"/>
      <sheetName val="dwa-01"/>
      <sheetName val="REKAP PER BUILDING"/>
      <sheetName val="SUMDA"/>
      <sheetName val="Master Edit"/>
      <sheetName val="Rkp"/>
      <sheetName val="Cover1"/>
      <sheetName val="mu"/>
      <sheetName val="ana_str"/>
      <sheetName val="SP17"/>
      <sheetName val="anal SNI"/>
      <sheetName val="D-3 (M)"/>
      <sheetName val="D-7 (M)"/>
      <sheetName val="5RR"/>
      <sheetName val="harga Satua Dasar"/>
      <sheetName val="BIIL ASLI"/>
      <sheetName val="Sat Bahan"/>
      <sheetName val="Sat Alat"/>
      <sheetName val="Sat Upah"/>
      <sheetName val="VARIABL"/>
      <sheetName val="Tab"/>
      <sheetName val="Foundation"/>
      <sheetName val="UPAH DAN BAHAN"/>
      <sheetName val="H_S_BAHAN"/>
      <sheetName val="bill"/>
      <sheetName val="ANAK-Smb"/>
      <sheetName val="8LT 12"/>
      <sheetName val="cargo"/>
      <sheetName val="Civil Works"/>
      <sheetName val="analysis"/>
      <sheetName val="REKAP BQ"/>
      <sheetName val="Civil_Works"/>
      <sheetName val="REKAP_BQ"/>
      <sheetName val="Daf_Harga-Upah"/>
      <sheetName val="te ts fa lan matv"/>
      <sheetName val="dasboard"/>
      <sheetName val="Rekap DBAK"/>
      <sheetName val="ME UMY"/>
      <sheetName val="Harsat Upah"/>
      <sheetName val="info"/>
      <sheetName val="MSTREALVOL"/>
      <sheetName val="MSRENCVOL"/>
      <sheetName val="Volume"/>
      <sheetName val="Analisa RAP"/>
      <sheetName val="DAF-5"/>
      <sheetName val="BQSTR"/>
      <sheetName val="pasangan"/>
      <sheetName val="analisa ARS"/>
      <sheetName val="REKAP TOTAL"/>
      <sheetName val="struktur bang"/>
      <sheetName val="ANA1"/>
      <sheetName val="B - Norelec"/>
      <sheetName val="abrasi"/>
      <sheetName val="DIV 2"/>
      <sheetName val="UBA"/>
      <sheetName val="DIV 7"/>
      <sheetName val="sched pelaks"/>
      <sheetName val="DIV 1"/>
      <sheetName val="LAL - PASAR PAGI "/>
      <sheetName val="Bahan Bangun &amp; Konstruksi"/>
      <sheetName val="compaction"/>
      <sheetName val="Minat"/>
      <sheetName val="DAF-HARSAT"/>
      <sheetName val="ME_DOSEN"/>
      <sheetName val="DAFTAR HARGA UPAH"/>
      <sheetName val="Hrg Upah &amp; Bhn"/>
      <sheetName val="Bill-2"/>
      <sheetName val="LKVL-CK-HT-GD1"/>
      <sheetName val="Tiepdia"/>
      <sheetName val="TDTKP"/>
      <sheetName val="RAB.STR,ARS"/>
      <sheetName val="H_ Dasar"/>
      <sheetName val="Markup"/>
      <sheetName val="L3 An H Sat Mob"/>
      <sheetName val="PAD-F"/>
      <sheetName val="PRICE (2)"/>
      <sheetName val="JUNI"/>
      <sheetName val="AMP"/>
      <sheetName val="ANTEK-AGGA"/>
      <sheetName val="BURDA"/>
      <sheetName val="ANTEK-GAL"/>
      <sheetName val="HRS-ATB"/>
      <sheetName val="ANTEK-PRIME"/>
      <sheetName val="ANTEK-TIMB"/>
      <sheetName val="BD-LS"/>
      <sheetName val="BIA-LUMPSUM"/>
      <sheetName val="CRUSER"/>
      <sheetName val="FINAL"/>
      <sheetName val="KEBALAT"/>
      <sheetName val="AHS_Kusen"/>
      <sheetName val="SAP"/>
      <sheetName val="an. struktur"/>
      <sheetName val="ANALISA HARGA SAT."/>
      <sheetName val="SCHEDULE TENAGA"/>
      <sheetName val="CAPACITY"/>
      <sheetName val="REKAP STRUKTUR"/>
      <sheetName val="RAB_R. DNS. PENGLL T.54 (11.C.)"/>
      <sheetName val="RAB_R. DNS. PENGLL T.70_(12.A.)"/>
      <sheetName val="RAB_R. DNS. PENGLL T.70_(12.B.)"/>
      <sheetName val="RAB_R. DNS. PENGLL T.70_(12.C.)"/>
      <sheetName val="RAB_SPORT CLUB_(14)"/>
      <sheetName val="RAB_MASJID &amp; T.WUDLU_(15)"/>
      <sheetName val="RAB_LOUNDRY &amp; WORKSHOP_(16)"/>
      <sheetName val="RAB_MINIMARKET &amp; KANTIN_(17.)"/>
      <sheetName val="RAB_RMH. PENJAGA_(18)"/>
      <sheetName val="RAB_POS JAGA_(19. A.)"/>
      <sheetName val="RAB_POS JAGA_(19. B.)"/>
      <sheetName val="RAB_R. POMPA_(20)"/>
      <sheetName val="RAB_GARASI_(21)"/>
      <sheetName val="RAB_POLIKLINIK_(22)"/>
      <sheetName val="RAB_R. KELAS_(2.A)"/>
      <sheetName val="RAB_R. KELAS_(2.B)"/>
      <sheetName val="RAB_PERPUST_(4)"/>
      <sheetName val="RAB_AULA UTAMA_(5)"/>
      <sheetName val="RAB_AULA SEDANG_(6)"/>
      <sheetName val="RAB_ASRAMA_(7. B.)"/>
      <sheetName val="RAB_ASRAMA_(7. C.)"/>
      <sheetName val="RAB_ASRAMA_(7. D.)"/>
      <sheetName val="RAB_R. MAKAN_(8)"/>
      <sheetName val="RAB_GUEST HOUSE_(9. A.)"/>
      <sheetName val="RAB_GUEST HOUSE_(9. B.)"/>
      <sheetName val="H-BHN"/>
      <sheetName val="Fill this out first___"/>
      <sheetName val="RAW MATERIALS "/>
      <sheetName val="Div.3"/>
      <sheetName val="harsat&amp;upah"/>
      <sheetName val="RESUME"/>
      <sheetName val="HARVEST02"/>
      <sheetName val="kolom"/>
      <sheetName val="SGC-Rate"/>
      <sheetName val="Faktor"/>
      <sheetName val="Rekap _2_"/>
      <sheetName val="Met_Pas Batu"/>
      <sheetName val="tb"/>
      <sheetName val="MTa"/>
      <sheetName val="an me"/>
      <sheetName val="AHS_ALL"/>
      <sheetName val="finishing"/>
      <sheetName val="SNI 21-3-09"/>
      <sheetName val="hs_str"/>
      <sheetName val="D &amp; W sizes"/>
      <sheetName val="KET"/>
      <sheetName val="INF"/>
      <sheetName val="Superstruc"/>
      <sheetName val="Data Pendukung"/>
      <sheetName val="anal.K"/>
      <sheetName val="Hrg Readymix"/>
      <sheetName val="Engine"/>
      <sheetName val="umum"/>
      <sheetName val="Rupiah"/>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sheetData sheetId="177"/>
      <sheetData sheetId="178"/>
      <sheetData sheetId="179" refreshError="1"/>
      <sheetData sheetId="180"/>
      <sheetData sheetId="181"/>
      <sheetData sheetId="182"/>
      <sheetData sheetId="183" refreshError="1"/>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sheetData sheetId="269" refreshError="1"/>
      <sheetData sheetId="270" refreshError="1"/>
      <sheetData sheetId="271" refreshError="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sheetData sheetId="477"/>
      <sheetData sheetId="478"/>
      <sheetData sheetId="479"/>
      <sheetData sheetId="480"/>
      <sheetData sheetId="48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sheetData sheetId="542"/>
      <sheetData sheetId="543"/>
      <sheetData sheetId="544" refreshError="1"/>
      <sheetData sheetId="545" refreshError="1"/>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refreshError="1"/>
      <sheetData sheetId="592" refreshError="1"/>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sheetData sheetId="691"/>
      <sheetData sheetId="692" refreshError="1"/>
      <sheetData sheetId="693" refreshError="1"/>
      <sheetData sheetId="694" refreshError="1"/>
      <sheetData sheetId="695" refreshError="1"/>
      <sheetData sheetId="696" refreshError="1"/>
      <sheetData sheetId="697"/>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sheetData sheetId="794"/>
      <sheetData sheetId="795"/>
      <sheetData sheetId="796" refreshError="1"/>
      <sheetData sheetId="797"/>
      <sheetData sheetId="798"/>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sheetData sheetId="837"/>
      <sheetData sheetId="838"/>
      <sheetData sheetId="839"/>
      <sheetData sheetId="840"/>
      <sheetData sheetId="841"/>
      <sheetData sheetId="842"/>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sheetData sheetId="905"/>
      <sheetData sheetId="906"/>
      <sheetData sheetId="907"/>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sheetData sheetId="973"/>
      <sheetData sheetId="974"/>
      <sheetData sheetId="975"/>
      <sheetData sheetId="976"/>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Sheet7"/>
      <sheetName val="DAFTA KOMP"/>
      <sheetName val="Sch"/>
      <sheetName val="REKAP-TOTal"/>
      <sheetName val="REKAP mE"/>
      <sheetName val="BoQ"/>
      <sheetName val="BoQ-mE"/>
      <sheetName val="PEKERJAAN PERSIAPAN"/>
      <sheetName val="BANG.UTARA"/>
      <sheetName val="BANG. SELATAN"/>
      <sheetName val="Penghubung"/>
      <sheetName val="Daftar AHS"/>
      <sheetName val="AHS ARS"/>
      <sheetName val="UPAH &amp; BHN"/>
      <sheetName val="Ans Kom Precast"/>
      <sheetName val="Rekap (2)"/>
      <sheetName val="PJ"/>
      <sheetName val="PJ (2)"/>
      <sheetName val="Analisa MEP"/>
      <sheetName val="Analisa Beton"/>
      <sheetName val="Backup"/>
      <sheetName val="Casting Yard"/>
      <sheetName val="Pancang"/>
      <sheetName val="Besi "/>
      <sheetName val="Bekisting Pile Cap"/>
      <sheetName val="Bekisting Dinding"/>
      <sheetName val="Bekisting TB"/>
      <sheetName val="Bekisting Kolom"/>
      <sheetName val="Bekisting Balok "/>
      <sheetName val="Bekisting Plat"/>
      <sheetName val="Ready MixBo"/>
      <sheetName val="Ready Mix K-175"/>
      <sheetName val="Ready Mix K-275"/>
      <sheetName val="Ready Mix K-400"/>
      <sheetName val="Demould &amp; Stock Blk+klm"/>
      <sheetName val="Demould &amp; Stock Plat"/>
      <sheetName val="Erection Tie Beam"/>
      <sheetName val="Erection Balok"/>
      <sheetName val="Erection Kolom"/>
      <sheetName val="Erection Plat"/>
      <sheetName val="Grouting Stek klm"/>
      <sheetName val="Grouting Cap klm"/>
      <sheetName val="Sling 6mm"/>
      <sheetName val="Sling8 mm"/>
      <sheetName val="Sling12 mm"/>
      <sheetName val="Sling14 mm "/>
      <sheetName val="Sling16 mm  "/>
      <sheetName val="PETIR"/>
      <sheetName val="ANAK-Smb"/>
      <sheetName val="Analisa"/>
      <sheetName val="BQ-Tenis"/>
      <sheetName val="Arsitektur"/>
      <sheetName val="Material"/>
      <sheetName val="Prelim"/>
      <sheetName val="Sheet1"/>
      <sheetName val="FAK"/>
      <sheetName val="duct"/>
      <sheetName val="Daftmat"/>
      <sheetName val="Lt 1"/>
      <sheetName val="sort2"/>
      <sheetName val="gvl"/>
      <sheetName val="DIREKSI"/>
      <sheetName val="BOQ_Aula"/>
      <sheetName val="BOI+harga"/>
      <sheetName val="Meth"/>
      <sheetName val="Analisa Harga Satuan"/>
      <sheetName val="AN-E"/>
      <sheetName val="RAB_STR"/>
      <sheetName val="REKAP"/>
      <sheetName val="UpahBahan"/>
      <sheetName val="BQ_Tenis"/>
      <sheetName val="HARSAT-PERKIM"/>
      <sheetName val="ANAL-SIPIL"/>
      <sheetName val="Beton"/>
      <sheetName val="Isolasi Luar Dalam"/>
      <sheetName val="Isolasi Luar"/>
      <sheetName val="DONGIA"/>
      <sheetName val="TONGKE3p "/>
      <sheetName val="Harsat Upah"/>
      <sheetName val="Meth "/>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sheetData sheetId="9" refreshError="1"/>
      <sheetData sheetId="10" refreshError="1"/>
      <sheetData sheetId="11" refreshError="1"/>
      <sheetData sheetId="12" refreshError="1"/>
      <sheetData sheetId="13"/>
      <sheetData sheetId="14" refreshError="1">
        <row r="9">
          <cell r="H9" t="str">
            <v>Koef  :</v>
          </cell>
        </row>
        <row r="16">
          <cell r="D16" t="str">
            <v>JENIS PEKERJA BANGUNAN</v>
          </cell>
          <cell r="E16" t="str">
            <v>HARGA UPAH</v>
          </cell>
          <cell r="F16" t="str">
            <v>SATUAN WAKTU</v>
          </cell>
        </row>
        <row r="18">
          <cell r="D18" t="str">
            <v>Kenek Truk</v>
          </cell>
          <cell r="E18">
            <v>47500</v>
          </cell>
          <cell r="F18" t="str">
            <v>1 ORANG / HR / 8 JAM</v>
          </cell>
        </row>
        <row r="19">
          <cell r="D19" t="str">
            <v>Kepala Tukang</v>
          </cell>
          <cell r="E19">
            <v>81250</v>
          </cell>
          <cell r="F19" t="str">
            <v>1 ORANG / HR / 8 JAM</v>
          </cell>
        </row>
        <row r="20">
          <cell r="D20" t="str">
            <v>Kepala Tukang Batu</v>
          </cell>
          <cell r="E20">
            <v>58925</v>
          </cell>
          <cell r="F20" t="str">
            <v>1 ORANG / HR / 8 JAM</v>
          </cell>
        </row>
        <row r="21">
          <cell r="D21" t="str">
            <v>Kepala Tukang Besi</v>
          </cell>
          <cell r="E21">
            <v>58925</v>
          </cell>
          <cell r="F21" t="str">
            <v>1 ORANG / HR / 8 JAM</v>
          </cell>
        </row>
        <row r="22">
          <cell r="D22" t="str">
            <v>Kepala Tukang Cat</v>
          </cell>
          <cell r="E22">
            <v>58925</v>
          </cell>
          <cell r="F22" t="str">
            <v>1 ORANG / HR / 8 JAM</v>
          </cell>
        </row>
        <row r="23">
          <cell r="D23" t="str">
            <v>Kepala Tukang Kayu</v>
          </cell>
          <cell r="E23">
            <v>58925</v>
          </cell>
          <cell r="F23" t="str">
            <v>1 ORANG / HR / 8 JAM</v>
          </cell>
        </row>
        <row r="24">
          <cell r="D24" t="str">
            <v>Mandor</v>
          </cell>
          <cell r="E24">
            <v>66662.5</v>
          </cell>
          <cell r="F24" t="str">
            <v>1 ORANG / HR / 8 JAM</v>
          </cell>
        </row>
        <row r="25">
          <cell r="D25" t="str">
            <v>Operator Alat Besar</v>
          </cell>
          <cell r="E25">
            <v>125000</v>
          </cell>
          <cell r="F25" t="str">
            <v>1 ORANG / HR / 8 JAM</v>
          </cell>
        </row>
        <row r="26">
          <cell r="D26" t="str">
            <v>Pekerja</v>
          </cell>
          <cell r="E26">
            <v>43450</v>
          </cell>
          <cell r="F26" t="str">
            <v>1 ORANG / HR / 8 JAM</v>
          </cell>
        </row>
        <row r="27">
          <cell r="D27" t="str">
            <v>Pembantu Operator / Mekanik</v>
          </cell>
          <cell r="E27">
            <v>75000</v>
          </cell>
          <cell r="F27" t="str">
            <v>1 ORANG / HR / 8 JAM</v>
          </cell>
        </row>
        <row r="28">
          <cell r="D28" t="str">
            <v>Penjaga Malam</v>
          </cell>
          <cell r="E28">
            <v>37500</v>
          </cell>
          <cell r="F28" t="str">
            <v>1 ORANG / HR / 8 JAM</v>
          </cell>
        </row>
        <row r="29">
          <cell r="D29" t="str">
            <v>Supir Truk</v>
          </cell>
          <cell r="E29">
            <v>87500</v>
          </cell>
          <cell r="F29" t="str">
            <v>1 ORANG / HR / 8 JAM</v>
          </cell>
        </row>
        <row r="30">
          <cell r="D30" t="str">
            <v>Tukang</v>
          </cell>
          <cell r="E30">
            <v>51187.5</v>
          </cell>
          <cell r="F30" t="str">
            <v>1 ORANG / HR / 8 JAM</v>
          </cell>
        </row>
        <row r="31">
          <cell r="D31" t="str">
            <v>Tukang Batu</v>
          </cell>
          <cell r="E31">
            <v>51187.5</v>
          </cell>
          <cell r="F31" t="str">
            <v>1 ORANG / HR / 8 JAM</v>
          </cell>
        </row>
        <row r="32">
          <cell r="D32" t="str">
            <v>Tukang Besi</v>
          </cell>
          <cell r="E32">
            <v>58925</v>
          </cell>
          <cell r="F32" t="str">
            <v>1 ORANG / HR / 8 JAM</v>
          </cell>
        </row>
        <row r="33">
          <cell r="D33" t="str">
            <v>Tukang Cat</v>
          </cell>
          <cell r="E33">
            <v>87500</v>
          </cell>
          <cell r="F33" t="str">
            <v>1 ORANG / HR / 8 JAM</v>
          </cell>
        </row>
        <row r="34">
          <cell r="D34" t="str">
            <v>Tukang Gali</v>
          </cell>
          <cell r="E34">
            <v>51187.5</v>
          </cell>
          <cell r="F34" t="str">
            <v>1 ORANG / HR / 8 JAM</v>
          </cell>
        </row>
        <row r="35">
          <cell r="D35" t="str">
            <v>Tukang Kayu</v>
          </cell>
          <cell r="E35">
            <v>58925</v>
          </cell>
          <cell r="F35" t="str">
            <v>1 ORANG / HR / 8 JAM</v>
          </cell>
        </row>
        <row r="36">
          <cell r="D36" t="str">
            <v>Tukang Las</v>
          </cell>
          <cell r="E36">
            <v>51187.5</v>
          </cell>
          <cell r="F36" t="str">
            <v>1 ORANG / HR / 8 JAM</v>
          </cell>
        </row>
        <row r="39">
          <cell r="E39" t="str">
            <v>Jakarta , 31 Oktober 2007</v>
          </cell>
        </row>
        <row r="40">
          <cell r="E40" t="str">
            <v>PT. PAESA PASINDO ENGINEERING</v>
          </cell>
        </row>
        <row r="47">
          <cell r="E47" t="str">
            <v>Ir. Panal Banjarnahor</v>
          </cell>
        </row>
        <row r="48">
          <cell r="E48" t="str">
            <v>Presiden Direktur</v>
          </cell>
        </row>
        <row r="60">
          <cell r="D60" t="str">
            <v>Jenis Harga Bangunan</v>
          </cell>
          <cell r="E60" t="str">
            <v>Harga Satuan</v>
          </cell>
          <cell r="F60" t="str">
            <v>Satuan</v>
          </cell>
        </row>
        <row r="61">
          <cell r="D61">
            <v>2</v>
          </cell>
          <cell r="E61">
            <v>3</v>
          </cell>
          <cell r="F61">
            <v>4</v>
          </cell>
        </row>
        <row r="62">
          <cell r="D62" t="str">
            <v/>
          </cell>
          <cell r="E62" t="str">
            <v/>
          </cell>
          <cell r="F62" t="str">
            <v/>
          </cell>
        </row>
        <row r="63">
          <cell r="D63" t="str">
            <v>Abu batu</v>
          </cell>
          <cell r="E63">
            <v>156750</v>
          </cell>
          <cell r="F63" t="str">
            <v>m3</v>
          </cell>
          <cell r="H63">
            <v>125000</v>
          </cell>
        </row>
        <row r="64">
          <cell r="D64" t="str">
            <v>Amplas</v>
          </cell>
          <cell r="E64">
            <v>2758</v>
          </cell>
          <cell r="F64" t="str">
            <v>lbr</v>
          </cell>
          <cell r="H64">
            <v>2200</v>
          </cell>
        </row>
        <row r="65">
          <cell r="D65" t="str">
            <v>Angker Mur Baut dia. 25 / panjang 60 cm</v>
          </cell>
          <cell r="E65">
            <v>15048</v>
          </cell>
          <cell r="F65" t="str">
            <v>bh</v>
          </cell>
          <cell r="H65">
            <v>12000</v>
          </cell>
        </row>
        <row r="66">
          <cell r="D66" t="str">
            <v>angkur/skrup galbani pengikat atap</v>
          </cell>
          <cell r="E66">
            <v>1881</v>
          </cell>
          <cell r="F66" t="str">
            <v>bh</v>
          </cell>
          <cell r="H66">
            <v>1500</v>
          </cell>
        </row>
        <row r="67">
          <cell r="D67" t="str">
            <v>Atap Asbes Gel. Besar 5 mm 105 x 180</v>
          </cell>
          <cell r="E67">
            <v>31350</v>
          </cell>
          <cell r="F67" t="str">
            <v>lbr</v>
          </cell>
          <cell r="H67">
            <v>25000</v>
          </cell>
        </row>
        <row r="68">
          <cell r="D68" t="str">
            <v>Atap Asbes Gel. Kecil 4 mm 80 x 180</v>
          </cell>
          <cell r="E68">
            <v>37620</v>
          </cell>
          <cell r="F68" t="str">
            <v>lbr</v>
          </cell>
          <cell r="H68">
            <v>30000</v>
          </cell>
        </row>
        <row r="69">
          <cell r="D69" t="str">
            <v>Atap Thermoclear</v>
          </cell>
          <cell r="E69">
            <v>0</v>
          </cell>
          <cell r="F69" t="str">
            <v>m2</v>
          </cell>
        </row>
        <row r="70">
          <cell r="D70" t="str">
            <v>Atap Zink Allum natural 0.5 mm, lbr=0.935 m</v>
          </cell>
          <cell r="E70">
            <v>68970</v>
          </cell>
          <cell r="F70" t="str">
            <v>m2</v>
          </cell>
          <cell r="H70">
            <v>55000</v>
          </cell>
        </row>
        <row r="71">
          <cell r="D71" t="str">
            <v>Genteng metal</v>
          </cell>
          <cell r="E71">
            <v>94050</v>
          </cell>
          <cell r="F71" t="str">
            <v>m2</v>
          </cell>
          <cell r="H71">
            <v>75000</v>
          </cell>
        </row>
        <row r="72">
          <cell r="D72" t="str">
            <v>Genteng Nok Metal</v>
          </cell>
          <cell r="E72">
            <v>43890</v>
          </cell>
          <cell r="F72" t="str">
            <v>m2</v>
          </cell>
          <cell r="H72">
            <v>35000</v>
          </cell>
        </row>
        <row r="73">
          <cell r="D73" t="str">
            <v>Bata Merah Kelas I</v>
          </cell>
          <cell r="E73">
            <v>438</v>
          </cell>
          <cell r="F73" t="str">
            <v>bh</v>
          </cell>
          <cell r="H73">
            <v>350</v>
          </cell>
        </row>
        <row r="74">
          <cell r="D74" t="str">
            <v>Bata Merah Kelas II</v>
          </cell>
          <cell r="E74">
            <v>378</v>
          </cell>
          <cell r="F74" t="str">
            <v>bh</v>
          </cell>
          <cell r="H74">
            <v>302</v>
          </cell>
        </row>
        <row r="75">
          <cell r="D75" t="str">
            <v>Bata Rooster</v>
          </cell>
          <cell r="E75">
            <v>2000</v>
          </cell>
          <cell r="F75" t="str">
            <v>bh</v>
          </cell>
          <cell r="H75">
            <v>1600</v>
          </cell>
        </row>
        <row r="76">
          <cell r="D76" t="str">
            <v>Batako</v>
          </cell>
          <cell r="E76">
            <v>1755</v>
          </cell>
          <cell r="F76" t="str">
            <v>bh</v>
          </cell>
          <cell r="H76">
            <v>1400</v>
          </cell>
        </row>
        <row r="77">
          <cell r="D77" t="str">
            <v xml:space="preserve">Batu Belah </v>
          </cell>
          <cell r="E77">
            <v>100320</v>
          </cell>
          <cell r="F77" t="str">
            <v>m3</v>
          </cell>
          <cell r="H77">
            <v>80000</v>
          </cell>
        </row>
        <row r="78">
          <cell r="D78" t="str">
            <v>Batu Pecah Mesin 1/2</v>
          </cell>
          <cell r="E78">
            <v>181830</v>
          </cell>
          <cell r="F78" t="str">
            <v>m3</v>
          </cell>
          <cell r="H78">
            <v>145000</v>
          </cell>
        </row>
        <row r="79">
          <cell r="D79" t="str">
            <v>Batu Pecah Mesin 2/3</v>
          </cell>
          <cell r="E79">
            <v>150480</v>
          </cell>
          <cell r="F79" t="str">
            <v>m3</v>
          </cell>
          <cell r="H79">
            <v>120000</v>
          </cell>
        </row>
        <row r="80">
          <cell r="D80" t="str">
            <v>Batu Pecah Mesin 5/7</v>
          </cell>
          <cell r="E80">
            <v>144210</v>
          </cell>
          <cell r="F80" t="str">
            <v>m3</v>
          </cell>
          <cell r="H80">
            <v>115000</v>
          </cell>
        </row>
        <row r="81">
          <cell r="D81" t="str">
            <v>Batu Alam</v>
          </cell>
          <cell r="E81">
            <v>231990</v>
          </cell>
          <cell r="F81" t="str">
            <v>m2</v>
          </cell>
          <cell r="H81">
            <v>185000</v>
          </cell>
        </row>
        <row r="82">
          <cell r="D82" t="str">
            <v>Besi Beton U-24 Rata-rata</v>
          </cell>
          <cell r="E82">
            <v>7900</v>
          </cell>
          <cell r="F82" t="str">
            <v>kg</v>
          </cell>
          <cell r="H82">
            <v>6300</v>
          </cell>
        </row>
        <row r="83">
          <cell r="D83" t="str">
            <v>Besi Beton U-39 Rata-rata</v>
          </cell>
          <cell r="E83">
            <v>7900</v>
          </cell>
          <cell r="F83" t="str">
            <v>kg</v>
          </cell>
          <cell r="H83">
            <v>6300</v>
          </cell>
        </row>
        <row r="84">
          <cell r="D84" t="str">
            <v>Besi C Lip Chanel</v>
          </cell>
          <cell r="E84">
            <v>10408</v>
          </cell>
          <cell r="F84" t="str">
            <v>kg</v>
          </cell>
          <cell r="H84">
            <v>8300</v>
          </cell>
        </row>
        <row r="85">
          <cell r="D85" t="str">
            <v>Besi Mesh 8 x 8 cm</v>
          </cell>
          <cell r="E85">
            <v>9154</v>
          </cell>
          <cell r="F85" t="str">
            <v>m'</v>
          </cell>
          <cell r="H85">
            <v>7300</v>
          </cell>
        </row>
        <row r="86">
          <cell r="D86" t="str">
            <v>Besi Pipa BSP</v>
          </cell>
          <cell r="E86">
            <v>11913</v>
          </cell>
          <cell r="F86" t="str">
            <v>kg</v>
          </cell>
          <cell r="H86">
            <v>9500</v>
          </cell>
        </row>
        <row r="87">
          <cell r="D87" t="str">
            <v>Besi Pipa Galvanized</v>
          </cell>
          <cell r="E87">
            <v>119130</v>
          </cell>
          <cell r="F87" t="str">
            <v>btg</v>
          </cell>
          <cell r="H87">
            <v>95000</v>
          </cell>
        </row>
        <row r="88">
          <cell r="D88" t="str">
            <v>Besi Profil DN SII</v>
          </cell>
          <cell r="E88">
            <v>10408</v>
          </cell>
          <cell r="F88" t="str">
            <v>kg</v>
          </cell>
          <cell r="H88">
            <v>8300</v>
          </cell>
        </row>
        <row r="89">
          <cell r="D89" t="str">
            <v>Besi siku</v>
          </cell>
          <cell r="E89">
            <v>10408</v>
          </cell>
          <cell r="F89" t="str">
            <v>kg</v>
          </cell>
          <cell r="H89">
            <v>8300</v>
          </cell>
        </row>
        <row r="90">
          <cell r="D90" t="str">
            <v>Hollow 50.50</v>
          </cell>
          <cell r="E90">
            <v>21945</v>
          </cell>
          <cell r="F90" t="str">
            <v>m1</v>
          </cell>
          <cell r="H90">
            <v>17500</v>
          </cell>
        </row>
        <row r="91">
          <cell r="D91" t="str">
            <v>Hollow 30.30</v>
          </cell>
          <cell r="E91">
            <v>19855</v>
          </cell>
          <cell r="F91" t="str">
            <v>m1</v>
          </cell>
          <cell r="H91">
            <v>15833.333333333334</v>
          </cell>
        </row>
        <row r="92">
          <cell r="D92" t="str">
            <v>Biaya Pasang HCS</v>
          </cell>
          <cell r="E92">
            <v>20622</v>
          </cell>
          <cell r="F92" t="str">
            <v>M2</v>
          </cell>
          <cell r="H92">
            <v>16445</v>
          </cell>
        </row>
        <row r="93">
          <cell r="D93" t="str">
            <v>Biaya Pemancangan</v>
          </cell>
          <cell r="E93">
            <v>12540</v>
          </cell>
          <cell r="F93" t="str">
            <v>M'</v>
          </cell>
          <cell r="H93">
            <v>10000</v>
          </cell>
        </row>
        <row r="94">
          <cell r="D94" t="str">
            <v>Bondek</v>
          </cell>
          <cell r="E94">
            <v>97043</v>
          </cell>
          <cell r="F94" t="str">
            <v>m2</v>
          </cell>
          <cell r="H94">
            <v>77386.934673366835</v>
          </cell>
        </row>
        <row r="95">
          <cell r="D95" t="str">
            <v>Bubungan atap zink allum.  0,5 mm</v>
          </cell>
          <cell r="E95">
            <v>37620</v>
          </cell>
          <cell r="F95" t="str">
            <v>bh</v>
          </cell>
          <cell r="H95">
            <v>30000</v>
          </cell>
        </row>
        <row r="96">
          <cell r="D96" t="str">
            <v>Bubungan Genteng Palentong Jatiwangi</v>
          </cell>
          <cell r="E96">
            <v>5643</v>
          </cell>
          <cell r="F96" t="str">
            <v>bh</v>
          </cell>
          <cell r="H96">
            <v>4500</v>
          </cell>
        </row>
        <row r="97">
          <cell r="D97" t="str">
            <v>Buis Beton Ø 20 cm (1 m')</v>
          </cell>
          <cell r="E97">
            <v>43890</v>
          </cell>
          <cell r="F97" t="str">
            <v>m1</v>
          </cell>
          <cell r="H97">
            <v>35000</v>
          </cell>
        </row>
        <row r="98">
          <cell r="D98" t="str">
            <v>Buis Beton Ø 30 cm (1 m')</v>
          </cell>
          <cell r="E98">
            <v>56430</v>
          </cell>
          <cell r="F98" t="str">
            <v>m1</v>
          </cell>
          <cell r="H98">
            <v>45000</v>
          </cell>
        </row>
        <row r="99">
          <cell r="D99" t="str">
            <v>Buis Beton Ø 40 cm (1 m')</v>
          </cell>
          <cell r="E99">
            <v>75240</v>
          </cell>
          <cell r="F99" t="str">
            <v>m1</v>
          </cell>
          <cell r="H99">
            <v>60000</v>
          </cell>
        </row>
        <row r="100">
          <cell r="D100" t="str">
            <v>Cat Besi Seive</v>
          </cell>
          <cell r="E100">
            <v>22572</v>
          </cell>
          <cell r="F100" t="str">
            <v>kg</v>
          </cell>
          <cell r="H100">
            <v>18000</v>
          </cell>
        </row>
        <row r="101">
          <cell r="D101" t="str">
            <v>Cat Kayu Seive</v>
          </cell>
          <cell r="E101">
            <v>18810</v>
          </cell>
          <cell r="F101" t="str">
            <v>kg</v>
          </cell>
          <cell r="H101">
            <v>15000</v>
          </cell>
        </row>
        <row r="102">
          <cell r="D102" t="str">
            <v>Cat Meni</v>
          </cell>
          <cell r="E102">
            <v>9530</v>
          </cell>
          <cell r="F102" t="str">
            <v>kg</v>
          </cell>
          <cell r="H102">
            <v>7600</v>
          </cell>
        </row>
        <row r="103">
          <cell r="D103" t="str">
            <v>Cat Tembok Vinilex</v>
          </cell>
          <cell r="E103">
            <v>13794</v>
          </cell>
          <cell r="F103" t="str">
            <v>kg</v>
          </cell>
          <cell r="H103">
            <v>11000</v>
          </cell>
        </row>
        <row r="104">
          <cell r="D104" t="str">
            <v>Cermin 3 mm</v>
          </cell>
          <cell r="E104">
            <v>156750</v>
          </cell>
          <cell r="F104" t="str">
            <v>m2</v>
          </cell>
          <cell r="H104">
            <v>125000</v>
          </cell>
        </row>
        <row r="105">
          <cell r="D105" t="str">
            <v>Closet Jongkok Standard Putih Poslin INA</v>
          </cell>
          <cell r="E105">
            <v>112860</v>
          </cell>
          <cell r="F105" t="str">
            <v>unit</v>
          </cell>
          <cell r="H105">
            <v>90000</v>
          </cell>
        </row>
        <row r="106">
          <cell r="D106" t="str">
            <v>Combextra/MBT</v>
          </cell>
          <cell r="E106">
            <v>2382</v>
          </cell>
          <cell r="F106" t="str">
            <v>kg</v>
          </cell>
          <cell r="H106">
            <v>1900</v>
          </cell>
        </row>
        <row r="107">
          <cell r="D107" t="str">
            <v>Dempul Kayu</v>
          </cell>
          <cell r="E107">
            <v>14421</v>
          </cell>
          <cell r="F107" t="str">
            <v>kg</v>
          </cell>
          <cell r="H107">
            <v>11500</v>
          </cell>
        </row>
        <row r="108">
          <cell r="D108" t="str">
            <v>Dolken 5 s/d 7</v>
          </cell>
          <cell r="E108">
            <v>18810</v>
          </cell>
          <cell r="F108" t="str">
            <v>bt</v>
          </cell>
          <cell r="H108">
            <v>15000</v>
          </cell>
        </row>
        <row r="109">
          <cell r="D109" t="str">
            <v>Dolken 7 s/d 10</v>
          </cell>
          <cell r="E109">
            <v>18810</v>
          </cell>
          <cell r="F109" t="str">
            <v>bt</v>
          </cell>
          <cell r="H109">
            <v>15000</v>
          </cell>
        </row>
        <row r="110">
          <cell r="D110" t="str">
            <v>Dynabolt</v>
          </cell>
          <cell r="E110">
            <v>1254</v>
          </cell>
          <cell r="F110" t="str">
            <v>bh</v>
          </cell>
          <cell r="H110">
            <v>1000</v>
          </cell>
        </row>
        <row r="111">
          <cell r="D111" t="str">
            <v>Engsel</v>
          </cell>
          <cell r="E111">
            <v>10220</v>
          </cell>
          <cell r="F111" t="str">
            <v>bh</v>
          </cell>
          <cell r="H111">
            <v>8150</v>
          </cell>
        </row>
        <row r="112">
          <cell r="D112" t="str">
            <v>Espangolet</v>
          </cell>
          <cell r="E112">
            <v>0</v>
          </cell>
          <cell r="F112" t="str">
            <v>bh</v>
          </cell>
        </row>
        <row r="113">
          <cell r="D113" t="str">
            <v>Floor Drain Stainless Steel</v>
          </cell>
          <cell r="E113">
            <v>43890</v>
          </cell>
          <cell r="F113" t="str">
            <v>bh</v>
          </cell>
          <cell r="H113">
            <v>35000</v>
          </cell>
        </row>
        <row r="114">
          <cell r="D114" t="str">
            <v>Genteng Palentong Jatiwangi</v>
          </cell>
          <cell r="E114">
            <v>4389</v>
          </cell>
          <cell r="F114" t="str">
            <v>bh</v>
          </cell>
          <cell r="H114">
            <v>3500</v>
          </cell>
        </row>
        <row r="115">
          <cell r="D115" t="str">
            <v>Glass Block</v>
          </cell>
          <cell r="E115">
            <v>16302</v>
          </cell>
          <cell r="F115" t="str">
            <v>bh</v>
          </cell>
          <cell r="H115">
            <v>13000</v>
          </cell>
        </row>
        <row r="116">
          <cell r="D116" t="str">
            <v>Grass Block</v>
          </cell>
          <cell r="E116">
            <v>18810</v>
          </cell>
          <cell r="F116" t="str">
            <v>m2</v>
          </cell>
          <cell r="H116">
            <v>15000</v>
          </cell>
        </row>
        <row r="117">
          <cell r="D117" t="str">
            <v>Grendel 15 cm</v>
          </cell>
          <cell r="E117">
            <v>48153</v>
          </cell>
          <cell r="F117" t="str">
            <v>bh</v>
          </cell>
          <cell r="H117">
            <v>38400</v>
          </cell>
        </row>
        <row r="118">
          <cell r="D118" t="str">
            <v>Grendel 5 cm</v>
          </cell>
          <cell r="E118">
            <v>38522</v>
          </cell>
          <cell r="F118" t="str">
            <v>bh</v>
          </cell>
          <cell r="H118">
            <v>30720</v>
          </cell>
        </row>
        <row r="119">
          <cell r="D119" t="str">
            <v>Gypsum</v>
          </cell>
          <cell r="E119">
            <v>65208</v>
          </cell>
          <cell r="F119" t="str">
            <v>lbr</v>
          </cell>
          <cell r="H119">
            <v>52000</v>
          </cell>
        </row>
        <row r="120">
          <cell r="D120" t="str">
            <v>Handel pintu</v>
          </cell>
          <cell r="E120">
            <v>219450</v>
          </cell>
          <cell r="F120" t="str">
            <v>bh</v>
          </cell>
          <cell r="H120">
            <v>175000</v>
          </cell>
        </row>
        <row r="121">
          <cell r="D121" t="str">
            <v>IWF Ex DN SII</v>
          </cell>
          <cell r="E121">
            <v>10408</v>
          </cell>
          <cell r="F121" t="str">
            <v>kg</v>
          </cell>
          <cell r="H121">
            <v>8300</v>
          </cell>
        </row>
        <row r="122">
          <cell r="D122" t="str">
            <v>Kaca Es 5 mm (ASAHI)</v>
          </cell>
          <cell r="E122">
            <v>219450</v>
          </cell>
          <cell r="F122" t="str">
            <v>m2</v>
          </cell>
          <cell r="H122">
            <v>175000</v>
          </cell>
        </row>
        <row r="123">
          <cell r="D123" t="str">
            <v>Kaca Polos 4 mm</v>
          </cell>
          <cell r="E123">
            <v>75240</v>
          </cell>
          <cell r="F123" t="str">
            <v>m2</v>
          </cell>
          <cell r="H123">
            <v>60000</v>
          </cell>
        </row>
        <row r="124">
          <cell r="D124" t="str">
            <v>Kaca Polos 5 mm</v>
          </cell>
          <cell r="E124">
            <v>94050</v>
          </cell>
          <cell r="F124" t="str">
            <v>m2</v>
          </cell>
          <cell r="H124">
            <v>75000</v>
          </cell>
        </row>
        <row r="125">
          <cell r="D125" t="str">
            <v>Kansteen Beton Type K.o3.1 ( 15.18.40 )</v>
          </cell>
          <cell r="E125">
            <v>18810</v>
          </cell>
          <cell r="F125" t="str">
            <v>buah</v>
          </cell>
          <cell r="H125">
            <v>15000</v>
          </cell>
        </row>
        <row r="126">
          <cell r="D126" t="str">
            <v>Kanstin Paving Blok</v>
          </cell>
          <cell r="E126">
            <v>15048</v>
          </cell>
          <cell r="F126" t="str">
            <v>bh</v>
          </cell>
          <cell r="H126">
            <v>12000</v>
          </cell>
        </row>
        <row r="127">
          <cell r="D127" t="str">
            <v>Kawat Beton</v>
          </cell>
          <cell r="E127">
            <v>8778</v>
          </cell>
          <cell r="F127" t="str">
            <v>kg</v>
          </cell>
          <cell r="H127">
            <v>7000</v>
          </cell>
        </row>
        <row r="128">
          <cell r="D128" t="str">
            <v>Kawat Las Listrik</v>
          </cell>
          <cell r="E128">
            <v>31350</v>
          </cell>
          <cell r="F128" t="str">
            <v>kg</v>
          </cell>
          <cell r="H128">
            <v>25000</v>
          </cell>
        </row>
        <row r="129">
          <cell r="D129" t="str">
            <v>Kayu Albasia</v>
          </cell>
          <cell r="E129">
            <v>1881000</v>
          </cell>
          <cell r="F129" t="str">
            <v>m3</v>
          </cell>
          <cell r="H129">
            <v>1500000</v>
          </cell>
        </row>
        <row r="130">
          <cell r="D130" t="str">
            <v>Kayu Balok Borneo Super</v>
          </cell>
          <cell r="E130">
            <v>4514400</v>
          </cell>
          <cell r="F130" t="str">
            <v>m3</v>
          </cell>
          <cell r="H130">
            <v>3600000</v>
          </cell>
        </row>
        <row r="131">
          <cell r="D131" t="str">
            <v>Kayu Kaso 5/7 Borneo Super</v>
          </cell>
          <cell r="E131">
            <v>4012800</v>
          </cell>
          <cell r="F131" t="str">
            <v>m3</v>
          </cell>
          <cell r="H131">
            <v>3200000</v>
          </cell>
        </row>
        <row r="132">
          <cell r="D132" t="str">
            <v>Kayu Kaso 5/10 Borneo Super</v>
          </cell>
          <cell r="E132">
            <v>4012800</v>
          </cell>
          <cell r="F132" t="str">
            <v>m3</v>
          </cell>
          <cell r="H132">
            <v>3200000</v>
          </cell>
        </row>
        <row r="133">
          <cell r="D133" t="str">
            <v xml:space="preserve">Kayu Kruing / Kamper </v>
          </cell>
          <cell r="E133">
            <v>5016000</v>
          </cell>
          <cell r="F133" t="str">
            <v>m3</v>
          </cell>
          <cell r="H133">
            <v>4000000</v>
          </cell>
        </row>
        <row r="134">
          <cell r="D134" t="str">
            <v>Kayu Meranti</v>
          </cell>
          <cell r="E134">
            <v>4765200</v>
          </cell>
          <cell r="F134" t="str">
            <v>m3</v>
          </cell>
          <cell r="H134">
            <v>3800000</v>
          </cell>
        </row>
        <row r="135">
          <cell r="D135" t="str">
            <v>Kayu Papan Borneo Super</v>
          </cell>
          <cell r="E135">
            <v>4012800</v>
          </cell>
          <cell r="F135" t="str">
            <v>m3</v>
          </cell>
          <cell r="H135">
            <v>3200000</v>
          </cell>
        </row>
        <row r="136">
          <cell r="D136" t="str">
            <v>Keramik 10 x 20 KW I DN Corak / Warna / Anti Slip</v>
          </cell>
          <cell r="E136">
            <v>50160</v>
          </cell>
          <cell r="F136" t="str">
            <v>m2</v>
          </cell>
          <cell r="H136">
            <v>40000</v>
          </cell>
        </row>
        <row r="137">
          <cell r="D137" t="str">
            <v>Keramik 20 x 20 (KM) KW I DN Corak / Warna / Anti Slip</v>
          </cell>
          <cell r="E137">
            <v>38874</v>
          </cell>
          <cell r="F137" t="str">
            <v>m2</v>
          </cell>
          <cell r="H137">
            <v>31000</v>
          </cell>
        </row>
        <row r="138">
          <cell r="D138" t="str">
            <v>Keramik 20 x 20 (KM) KW I DN Putih Polos</v>
          </cell>
          <cell r="E138">
            <v>46398</v>
          </cell>
          <cell r="F138" t="str">
            <v>m2</v>
          </cell>
          <cell r="H138">
            <v>37000</v>
          </cell>
        </row>
        <row r="139">
          <cell r="D139" t="str">
            <v>Keramik 7x20 KW I DN Warna / Corak ( Step Noising )</v>
          </cell>
          <cell r="E139">
            <v>12540</v>
          </cell>
          <cell r="F139" t="str">
            <v>bh</v>
          </cell>
          <cell r="H139">
            <v>10000</v>
          </cell>
        </row>
        <row r="140">
          <cell r="D140" t="str">
            <v>Keramik 30 x 30 KW I DN Warna / Corak (ANTI SLIP)</v>
          </cell>
          <cell r="E140">
            <v>45144</v>
          </cell>
          <cell r="F140" t="str">
            <v>m2</v>
          </cell>
          <cell r="H140">
            <v>36000</v>
          </cell>
        </row>
        <row r="141">
          <cell r="D141" t="str">
            <v>Kolom H-Beam Type 260</v>
          </cell>
          <cell r="E141">
            <v>195624</v>
          </cell>
          <cell r="F141" t="str">
            <v>Btg</v>
          </cell>
          <cell r="H141">
            <v>156000</v>
          </cell>
        </row>
        <row r="142">
          <cell r="D142" t="str">
            <v>Kran Taman Sun Eui</v>
          </cell>
          <cell r="E142">
            <v>81510</v>
          </cell>
          <cell r="F142" t="str">
            <v>bh</v>
          </cell>
          <cell r="H142">
            <v>65000</v>
          </cell>
        </row>
        <row r="143">
          <cell r="D143" t="str">
            <v>Kran Tembok Sun Eui dia 1/2"</v>
          </cell>
          <cell r="E143">
            <v>75240</v>
          </cell>
          <cell r="F143" t="str">
            <v>bh</v>
          </cell>
          <cell r="H143">
            <v>60000</v>
          </cell>
        </row>
        <row r="144">
          <cell r="D144" t="str">
            <v>Kran Wastafel Sun Eui</v>
          </cell>
          <cell r="E144">
            <v>150480</v>
          </cell>
          <cell r="F144" t="str">
            <v>bh</v>
          </cell>
          <cell r="H144">
            <v>120000</v>
          </cell>
        </row>
        <row r="145">
          <cell r="D145" t="str">
            <v>Kunci 2 Slaag Silinder Utama Standard</v>
          </cell>
          <cell r="E145">
            <v>108533</v>
          </cell>
          <cell r="F145" t="str">
            <v>bh</v>
          </cell>
          <cell r="H145">
            <v>86550</v>
          </cell>
        </row>
        <row r="146">
          <cell r="D146" t="str">
            <v>Kunci pintu</v>
          </cell>
          <cell r="E146">
            <v>56430</v>
          </cell>
          <cell r="F146" t="str">
            <v>bh</v>
          </cell>
          <cell r="H146">
            <v>45000</v>
          </cell>
        </row>
        <row r="147">
          <cell r="D147" t="str">
            <v>Kunci Silinder ALFA untuk Pintu Alumunium</v>
          </cell>
          <cell r="E147">
            <v>70067</v>
          </cell>
          <cell r="F147" t="str">
            <v>bh</v>
          </cell>
          <cell r="H147">
            <v>55875</v>
          </cell>
        </row>
        <row r="148">
          <cell r="D148" t="str">
            <v>Kusen Alumunium Natural 3 mm</v>
          </cell>
          <cell r="E148">
            <v>43890</v>
          </cell>
          <cell r="F148" t="str">
            <v>m1</v>
          </cell>
          <cell r="H148">
            <v>35000</v>
          </cell>
        </row>
        <row r="149">
          <cell r="D149" t="str">
            <v>Kusen Alumunium Natural 4 mm</v>
          </cell>
          <cell r="E149">
            <v>56430</v>
          </cell>
          <cell r="F149" t="str">
            <v>m1</v>
          </cell>
          <cell r="H149">
            <v>45000</v>
          </cell>
        </row>
        <row r="150">
          <cell r="D150" t="str">
            <v>Kwas 3 "</v>
          </cell>
          <cell r="E150">
            <v>18810</v>
          </cell>
          <cell r="F150" t="str">
            <v>bh</v>
          </cell>
          <cell r="H150">
            <v>15000</v>
          </cell>
        </row>
        <row r="151">
          <cell r="D151" t="str">
            <v>Lem Fox</v>
          </cell>
          <cell r="E151">
            <v>31350</v>
          </cell>
          <cell r="F151" t="str">
            <v>kg</v>
          </cell>
          <cell r="H151">
            <v>25000</v>
          </cell>
        </row>
        <row r="152">
          <cell r="D152" t="str">
            <v>Meni Besi</v>
          </cell>
          <cell r="E152">
            <v>37620</v>
          </cell>
          <cell r="F152" t="str">
            <v>kg</v>
          </cell>
          <cell r="H152">
            <v>30000</v>
          </cell>
        </row>
        <row r="153">
          <cell r="D153" t="str">
            <v>Meni Kayu</v>
          </cell>
          <cell r="E153">
            <v>7524</v>
          </cell>
          <cell r="F153" t="str">
            <v>kg</v>
          </cell>
          <cell r="H153">
            <v>6000</v>
          </cell>
        </row>
        <row r="154">
          <cell r="D154" t="str">
            <v>Minyak Solar</v>
          </cell>
          <cell r="E154">
            <v>6897</v>
          </cell>
          <cell r="F154" t="str">
            <v>ltr</v>
          </cell>
          <cell r="H154">
            <v>5500</v>
          </cell>
        </row>
        <row r="155">
          <cell r="D155" t="str">
            <v xml:space="preserve">Multiplek 12 mm </v>
          </cell>
          <cell r="E155">
            <v>156750</v>
          </cell>
          <cell r="F155" t="str">
            <v>lbr</v>
          </cell>
          <cell r="H155">
            <v>125000</v>
          </cell>
        </row>
        <row r="156">
          <cell r="D156" t="str">
            <v>Multiplek 12 mm (phenol)</v>
          </cell>
          <cell r="E156">
            <v>300960</v>
          </cell>
          <cell r="F156" t="str">
            <v>lbr</v>
          </cell>
          <cell r="H156">
            <v>240000</v>
          </cell>
        </row>
        <row r="157">
          <cell r="D157" t="str">
            <v xml:space="preserve">Multiplek 9 mm </v>
          </cell>
          <cell r="E157">
            <v>131670</v>
          </cell>
          <cell r="F157" t="str">
            <v>lbr</v>
          </cell>
          <cell r="H157">
            <v>105000</v>
          </cell>
        </row>
        <row r="158">
          <cell r="D158" t="str">
            <v>Mur Baut HTB dia. 19 s/d 16 (5 cm)</v>
          </cell>
          <cell r="E158">
            <v>5643</v>
          </cell>
          <cell r="F158" t="str">
            <v>bh</v>
          </cell>
          <cell r="H158">
            <v>4500</v>
          </cell>
        </row>
        <row r="159">
          <cell r="D159" t="str">
            <v>Nok stil 105 cm</v>
          </cell>
          <cell r="E159">
            <v>43890</v>
          </cell>
          <cell r="F159" t="str">
            <v>m'</v>
          </cell>
          <cell r="H159">
            <v>35000</v>
          </cell>
        </row>
        <row r="160">
          <cell r="D160" t="str">
            <v>Paku 1 - 3</v>
          </cell>
          <cell r="E160">
            <v>10032</v>
          </cell>
          <cell r="F160" t="str">
            <v>kg</v>
          </cell>
          <cell r="H160">
            <v>8000</v>
          </cell>
        </row>
        <row r="161">
          <cell r="D161" t="str">
            <v>Paku 5 - 7</v>
          </cell>
          <cell r="E161">
            <v>8778</v>
          </cell>
          <cell r="F161" t="str">
            <v>kg</v>
          </cell>
          <cell r="H161">
            <v>7000</v>
          </cell>
        </row>
        <row r="162">
          <cell r="D162" t="str">
            <v>Paku 8 - 12</v>
          </cell>
          <cell r="E162">
            <v>8778</v>
          </cell>
          <cell r="F162" t="str">
            <v>kg</v>
          </cell>
          <cell r="H162">
            <v>7000</v>
          </cell>
        </row>
        <row r="163">
          <cell r="D163" t="str">
            <v>Paku atap</v>
          </cell>
          <cell r="E163">
            <v>156</v>
          </cell>
          <cell r="F163" t="str">
            <v>bh</v>
          </cell>
          <cell r="H163">
            <v>125</v>
          </cell>
        </row>
        <row r="164">
          <cell r="D164" t="str">
            <v>Panel Beton 240.40.5</v>
          </cell>
          <cell r="E164">
            <v>82764</v>
          </cell>
          <cell r="F164" t="str">
            <v>Lbr</v>
          </cell>
          <cell r="H164">
            <v>66000</v>
          </cell>
        </row>
        <row r="165">
          <cell r="D165" t="str">
            <v>Papan Kamper Singkil</v>
          </cell>
          <cell r="E165">
            <v>3135000</v>
          </cell>
          <cell r="F165" t="str">
            <v>m3</v>
          </cell>
          <cell r="H165">
            <v>2500000</v>
          </cell>
        </row>
        <row r="166">
          <cell r="D166" t="str">
            <v>Papan terentang 2/20</v>
          </cell>
          <cell r="E166">
            <v>2131800</v>
          </cell>
          <cell r="F166" t="str">
            <v>m3</v>
          </cell>
          <cell r="H166">
            <v>1700000</v>
          </cell>
        </row>
        <row r="167">
          <cell r="D167" t="str">
            <v>Pasir Beton I</v>
          </cell>
          <cell r="E167">
            <v>131670</v>
          </cell>
          <cell r="F167" t="str">
            <v>m3</v>
          </cell>
          <cell r="H167">
            <v>105000</v>
          </cell>
        </row>
        <row r="168">
          <cell r="D168" t="str">
            <v>Pasir Pasang Kali</v>
          </cell>
          <cell r="E168">
            <v>161338</v>
          </cell>
          <cell r="F168" t="str">
            <v>m3</v>
          </cell>
          <cell r="H168">
            <v>128659</v>
          </cell>
        </row>
        <row r="169">
          <cell r="D169" t="str">
            <v xml:space="preserve">Pasir urug </v>
          </cell>
          <cell r="E169">
            <v>119130</v>
          </cell>
          <cell r="F169" t="str">
            <v>m3</v>
          </cell>
          <cell r="H169">
            <v>95000</v>
          </cell>
        </row>
        <row r="170">
          <cell r="D170" t="str">
            <v>Paving Blok Natural 6 cm</v>
          </cell>
          <cell r="E170">
            <v>47652</v>
          </cell>
          <cell r="F170" t="str">
            <v>m2</v>
          </cell>
          <cell r="H170">
            <v>38000</v>
          </cell>
        </row>
        <row r="171">
          <cell r="D171" t="str">
            <v>Paving Blok Natural 8 cm</v>
          </cell>
          <cell r="E171">
            <v>56430</v>
          </cell>
          <cell r="F171" t="str">
            <v>m2</v>
          </cell>
          <cell r="H171">
            <v>45000</v>
          </cell>
        </row>
        <row r="172">
          <cell r="D172" t="str">
            <v>Pelumas / Oli Mesran 40 SAE</v>
          </cell>
          <cell r="E172">
            <v>30096</v>
          </cell>
          <cell r="F172" t="str">
            <v>ltr</v>
          </cell>
          <cell r="H172">
            <v>24000</v>
          </cell>
        </row>
        <row r="173">
          <cell r="D173" t="str">
            <v>Pipa gip medium</v>
          </cell>
          <cell r="E173">
            <v>504735</v>
          </cell>
          <cell r="F173" t="str">
            <v>Btg</v>
          </cell>
          <cell r="H173">
            <v>402500</v>
          </cell>
        </row>
        <row r="174">
          <cell r="D174" t="str">
            <v>Pipa PVC (AW) 11/4"</v>
          </cell>
          <cell r="E174">
            <v>31350</v>
          </cell>
          <cell r="F174" t="str">
            <v>Btg</v>
          </cell>
          <cell r="H174">
            <v>25000</v>
          </cell>
        </row>
        <row r="175">
          <cell r="D175" t="str">
            <v>Plafond Asbes 100 x 100</v>
          </cell>
          <cell r="E175">
            <v>42636</v>
          </cell>
          <cell r="F175" t="str">
            <v>lbr</v>
          </cell>
          <cell r="H175">
            <v>34000</v>
          </cell>
        </row>
        <row r="176">
          <cell r="D176" t="str">
            <v>Plamir Tembok</v>
          </cell>
          <cell r="E176">
            <v>13417</v>
          </cell>
          <cell r="F176" t="str">
            <v>kg</v>
          </cell>
          <cell r="H176">
            <v>10700</v>
          </cell>
        </row>
        <row r="177">
          <cell r="D177" t="str">
            <v>Plat besi</v>
          </cell>
          <cell r="E177">
            <v>7900</v>
          </cell>
          <cell r="F177" t="str">
            <v>kg</v>
          </cell>
          <cell r="H177">
            <v>6300</v>
          </cell>
        </row>
        <row r="178">
          <cell r="D178" t="str">
            <v>Plat Beton Berongga ( HCS ) Type 150.07.16</v>
          </cell>
          <cell r="E178">
            <v>274067</v>
          </cell>
          <cell r="F178" t="str">
            <v>m2</v>
          </cell>
          <cell r="H178">
            <v>218555</v>
          </cell>
        </row>
        <row r="179">
          <cell r="D179" t="str">
            <v>Plint keramik 10x30</v>
          </cell>
          <cell r="E179">
            <v>75240</v>
          </cell>
          <cell r="F179" t="str">
            <v>m'</v>
          </cell>
          <cell r="H179">
            <v>60000</v>
          </cell>
        </row>
        <row r="180">
          <cell r="D180" t="str">
            <v>Profil Gypsum</v>
          </cell>
          <cell r="E180">
            <v>15048</v>
          </cell>
          <cell r="F180" t="str">
            <v>m'</v>
          </cell>
          <cell r="H180">
            <v>12000</v>
          </cell>
        </row>
        <row r="181">
          <cell r="D181" t="str">
            <v>Readymix Beton K 125</v>
          </cell>
          <cell r="E181">
            <v>437019</v>
          </cell>
          <cell r="F181" t="str">
            <v>m3</v>
          </cell>
          <cell r="H181">
            <v>348500</v>
          </cell>
        </row>
        <row r="182">
          <cell r="D182" t="str">
            <v>Readymix Beton K 175</v>
          </cell>
          <cell r="E182">
            <v>507870</v>
          </cell>
          <cell r="F182" t="str">
            <v>m3</v>
          </cell>
          <cell r="H182">
            <v>405000</v>
          </cell>
        </row>
        <row r="183">
          <cell r="D183" t="str">
            <v>Readymix Beton K 275</v>
          </cell>
          <cell r="E183">
            <v>551760</v>
          </cell>
          <cell r="F183" t="str">
            <v>m3</v>
          </cell>
          <cell r="H183">
            <v>440000</v>
          </cell>
        </row>
        <row r="184">
          <cell r="D184" t="str">
            <v>Readymix Beton K 300</v>
          </cell>
          <cell r="E184">
            <v>583110</v>
          </cell>
          <cell r="F184" t="str">
            <v>m3</v>
          </cell>
          <cell r="H184">
            <v>465000</v>
          </cell>
        </row>
        <row r="185">
          <cell r="D185" t="str">
            <v>Readymix Beton K 350</v>
          </cell>
          <cell r="E185">
            <v>604428</v>
          </cell>
          <cell r="F185" t="str">
            <v>m3</v>
          </cell>
          <cell r="H185">
            <v>482000</v>
          </cell>
        </row>
        <row r="186">
          <cell r="D186" t="str">
            <v>Readymix Beton K 400</v>
          </cell>
          <cell r="E186">
            <v>618222</v>
          </cell>
          <cell r="F186" t="str">
            <v>m3</v>
          </cell>
          <cell r="H186">
            <v>493000</v>
          </cell>
        </row>
        <row r="187">
          <cell r="D187" t="str">
            <v>Reng Kayu 2/3 Borneo Super</v>
          </cell>
          <cell r="E187">
            <v>4514400</v>
          </cell>
          <cell r="F187" t="str">
            <v>m3</v>
          </cell>
          <cell r="H187">
            <v>3600000</v>
          </cell>
        </row>
        <row r="188">
          <cell r="D188" t="str">
            <v>Rol Cat Tembok</v>
          </cell>
          <cell r="E188">
            <v>20064</v>
          </cell>
          <cell r="F188" t="str">
            <v>bh</v>
          </cell>
          <cell r="H188">
            <v>16000</v>
          </cell>
        </row>
        <row r="189">
          <cell r="D189" t="str">
            <v>Roof Drain Stainless Steel</v>
          </cell>
          <cell r="E189">
            <v>43890</v>
          </cell>
          <cell r="F189" t="str">
            <v>bh</v>
          </cell>
          <cell r="H189">
            <v>35000</v>
          </cell>
        </row>
        <row r="190">
          <cell r="D190" t="str">
            <v>Saluran Air Kotor U-Ditch Uk. 300 x 400 mm</v>
          </cell>
          <cell r="E190">
            <v>216942</v>
          </cell>
          <cell r="F190" t="str">
            <v>buah</v>
          </cell>
          <cell r="H190">
            <v>173000</v>
          </cell>
        </row>
        <row r="191">
          <cell r="D191" t="str">
            <v>Saluran Air Kotor U-Ditch Uk. 400 x 600 mm</v>
          </cell>
          <cell r="E191">
            <v>388113</v>
          </cell>
          <cell r="F191" t="str">
            <v>buah</v>
          </cell>
          <cell r="H191">
            <v>309500</v>
          </cell>
        </row>
        <row r="192">
          <cell r="D192" t="str">
            <v>Saluran Air Kotor U-Ditch Uk. 600 x 800 mm</v>
          </cell>
          <cell r="E192">
            <v>559284</v>
          </cell>
          <cell r="F192" t="str">
            <v>buah</v>
          </cell>
          <cell r="H192">
            <v>446000</v>
          </cell>
        </row>
        <row r="193">
          <cell r="D193" t="str">
            <v>Screening/Psr Bangka</v>
          </cell>
          <cell r="E193">
            <v>163020</v>
          </cell>
          <cell r="F193" t="str">
            <v>m3</v>
          </cell>
          <cell r="H193">
            <v>130000</v>
          </cell>
        </row>
        <row r="194">
          <cell r="D194" t="str">
            <v>Sealent</v>
          </cell>
          <cell r="E194">
            <v>6270</v>
          </cell>
          <cell r="F194" t="str">
            <v>m'</v>
          </cell>
          <cell r="H194">
            <v>5000</v>
          </cell>
        </row>
        <row r="195">
          <cell r="D195" t="str">
            <v>Semen  @ (50 kg)</v>
          </cell>
          <cell r="E195">
            <v>48000</v>
          </cell>
          <cell r="F195" t="str">
            <v>zak</v>
          </cell>
          <cell r="H195">
            <v>39000</v>
          </cell>
        </row>
        <row r="196">
          <cell r="D196" t="str">
            <v>Semen Warna</v>
          </cell>
          <cell r="E196">
            <v>5643</v>
          </cell>
          <cell r="F196" t="str">
            <v>kg</v>
          </cell>
          <cell r="H196">
            <v>4500</v>
          </cell>
        </row>
        <row r="197">
          <cell r="D197" t="str">
            <v>Seng Glb BJLS 28 ( 80 x 180 cm )</v>
          </cell>
          <cell r="E197">
            <v>36366</v>
          </cell>
          <cell r="F197" t="str">
            <v>lbr</v>
          </cell>
          <cell r="H197">
            <v>29000</v>
          </cell>
        </row>
        <row r="198">
          <cell r="D198" t="str">
            <v>Sincromat</v>
          </cell>
          <cell r="E198">
            <v>32604</v>
          </cell>
          <cell r="F198" t="str">
            <v>kg</v>
          </cell>
          <cell r="H198">
            <v>26000</v>
          </cell>
        </row>
        <row r="199">
          <cell r="D199" t="str">
            <v>Sirtu</v>
          </cell>
          <cell r="E199">
            <v>119130</v>
          </cell>
          <cell r="F199" t="str">
            <v>m3</v>
          </cell>
          <cell r="H199">
            <v>95000</v>
          </cell>
        </row>
        <row r="200">
          <cell r="D200" t="str">
            <v>Sling 12mm</v>
          </cell>
          <cell r="E200">
            <v>6897</v>
          </cell>
          <cell r="F200" t="str">
            <v>m'</v>
          </cell>
          <cell r="H200">
            <v>5500</v>
          </cell>
        </row>
        <row r="201">
          <cell r="D201" t="str">
            <v>Sling 14mm</v>
          </cell>
          <cell r="E201">
            <v>8151</v>
          </cell>
          <cell r="F201" t="str">
            <v>m'</v>
          </cell>
          <cell r="H201">
            <v>6500</v>
          </cell>
        </row>
        <row r="202">
          <cell r="D202" t="str">
            <v>Sling 16mm</v>
          </cell>
          <cell r="E202">
            <v>12540</v>
          </cell>
          <cell r="F202" t="str">
            <v>m'</v>
          </cell>
          <cell r="H202">
            <v>10000</v>
          </cell>
        </row>
        <row r="203">
          <cell r="D203" t="str">
            <v>Sling 3/4"</v>
          </cell>
          <cell r="E203">
            <v>17556</v>
          </cell>
          <cell r="F203" t="str">
            <v>m'</v>
          </cell>
          <cell r="H203">
            <v>14000</v>
          </cell>
        </row>
        <row r="204">
          <cell r="D204" t="str">
            <v>Sling 6mm</v>
          </cell>
          <cell r="E204">
            <v>10032</v>
          </cell>
          <cell r="F204" t="str">
            <v>m'</v>
          </cell>
          <cell r="H204">
            <v>8000</v>
          </cell>
        </row>
        <row r="205">
          <cell r="D205" t="str">
            <v>Sling 8mm</v>
          </cell>
          <cell r="E205">
            <v>5016</v>
          </cell>
          <cell r="F205" t="str">
            <v>m'</v>
          </cell>
          <cell r="H205">
            <v>4000</v>
          </cell>
        </row>
        <row r="206">
          <cell r="D206" t="str">
            <v>Splite / Kerikil</v>
          </cell>
          <cell r="E206">
            <v>156750</v>
          </cell>
          <cell r="F206" t="str">
            <v>m3</v>
          </cell>
          <cell r="H206">
            <v>125000</v>
          </cell>
        </row>
        <row r="207">
          <cell r="D207" t="str">
            <v>Tanah urug</v>
          </cell>
          <cell r="E207">
            <v>43890</v>
          </cell>
          <cell r="F207" t="str">
            <v>m3</v>
          </cell>
          <cell r="H207">
            <v>35000</v>
          </cell>
        </row>
        <row r="208">
          <cell r="D208" t="str">
            <v>Tangki Air Fiber Glass 2 m3 (Excel)</v>
          </cell>
          <cell r="E208">
            <v>1379400</v>
          </cell>
          <cell r="F208" t="str">
            <v>bh</v>
          </cell>
          <cell r="H208">
            <v>1100000</v>
          </cell>
        </row>
        <row r="209">
          <cell r="D209" t="str">
            <v>Tarikan jendela alumunium</v>
          </cell>
          <cell r="E209">
            <v>48153</v>
          </cell>
          <cell r="F209" t="str">
            <v>bh</v>
          </cell>
          <cell r="H209">
            <v>38400</v>
          </cell>
        </row>
        <row r="210">
          <cell r="D210" t="str">
            <v>Tarikan Pintu Alumunium</v>
          </cell>
          <cell r="E210">
            <v>216315</v>
          </cell>
          <cell r="F210" t="str">
            <v>bh</v>
          </cell>
          <cell r="H210">
            <v>172500</v>
          </cell>
        </row>
        <row r="211">
          <cell r="D211" t="str">
            <v>Tempat Sabun Poslin</v>
          </cell>
          <cell r="E211">
            <v>68970</v>
          </cell>
          <cell r="F211" t="str">
            <v>bh</v>
          </cell>
          <cell r="H211">
            <v>55000</v>
          </cell>
        </row>
        <row r="212">
          <cell r="D212" t="str">
            <v>Terpentin</v>
          </cell>
          <cell r="E212">
            <v>31350</v>
          </cell>
          <cell r="F212" t="str">
            <v>lt</v>
          </cell>
          <cell r="H212">
            <v>25000</v>
          </cell>
        </row>
        <row r="213">
          <cell r="D213" t="str">
            <v>Thinner B</v>
          </cell>
          <cell r="E213">
            <v>9279</v>
          </cell>
          <cell r="F213" t="str">
            <v>kg</v>
          </cell>
          <cell r="H213">
            <v>7400</v>
          </cell>
        </row>
        <row r="214">
          <cell r="D214" t="str">
            <v>Tiang Pancang Beton Ø30cm</v>
          </cell>
          <cell r="E214">
            <v>119130</v>
          </cell>
          <cell r="F214" t="str">
            <v>m1</v>
          </cell>
          <cell r="H214">
            <v>95000</v>
          </cell>
        </row>
        <row r="215">
          <cell r="D215" t="str">
            <v>Tiang Pancang Beton Triple ( D 16 ) - 10 meter</v>
          </cell>
          <cell r="E215">
            <v>1191300</v>
          </cell>
          <cell r="F215" t="str">
            <v>Ttk</v>
          </cell>
          <cell r="H215">
            <v>950000</v>
          </cell>
        </row>
        <row r="216">
          <cell r="D216" t="str">
            <v xml:space="preserve">Triplek 3 mm </v>
          </cell>
          <cell r="E216">
            <v>46398</v>
          </cell>
          <cell r="F216" t="str">
            <v>lbr</v>
          </cell>
          <cell r="H216">
            <v>37000</v>
          </cell>
        </row>
        <row r="217">
          <cell r="D217" t="str">
            <v xml:space="preserve">Triplek 4 mm </v>
          </cell>
          <cell r="E217">
            <v>58938</v>
          </cell>
          <cell r="F217" t="str">
            <v>lbr</v>
          </cell>
          <cell r="H217">
            <v>47000</v>
          </cell>
        </row>
        <row r="218">
          <cell r="D218" t="str">
            <v>Urinoar Lengkap INA Warna Standard Lengkap</v>
          </cell>
          <cell r="E218">
            <v>1128600</v>
          </cell>
          <cell r="F218" t="str">
            <v>unit</v>
          </cell>
          <cell r="H218">
            <v>900000</v>
          </cell>
        </row>
        <row r="219">
          <cell r="D219" t="str">
            <v>Wastafel Lengkap INA</v>
          </cell>
          <cell r="E219">
            <v>840180</v>
          </cell>
          <cell r="F219" t="str">
            <v>unit</v>
          </cell>
          <cell r="H219">
            <v>670000</v>
          </cell>
        </row>
        <row r="220">
          <cell r="D220" t="str">
            <v>Water Proofing</v>
          </cell>
          <cell r="E220">
            <v>9405</v>
          </cell>
          <cell r="F220" t="str">
            <v>kg</v>
          </cell>
          <cell r="H220">
            <v>7500</v>
          </cell>
        </row>
        <row r="221">
          <cell r="D221" t="str">
            <v>Wiremesh 7x7 @ 3m</v>
          </cell>
          <cell r="E221">
            <v>10157</v>
          </cell>
          <cell r="F221" t="str">
            <v>m1</v>
          </cell>
          <cell r="H221">
            <v>8100</v>
          </cell>
        </row>
        <row r="222">
          <cell r="D222" t="str">
            <v>Wiremesh M10</v>
          </cell>
          <cell r="E222">
            <v>62700</v>
          </cell>
          <cell r="F222" t="str">
            <v>m2</v>
          </cell>
          <cell r="H222">
            <v>50000</v>
          </cell>
        </row>
        <row r="223">
          <cell r="D223" t="str">
            <v>Wiremesh M8</v>
          </cell>
          <cell r="E223">
            <v>43890</v>
          </cell>
          <cell r="F223" t="str">
            <v>m2</v>
          </cell>
          <cell r="H223">
            <v>35000</v>
          </cell>
        </row>
        <row r="226">
          <cell r="E226" t="str">
            <v>Jakarta , 31 Oktober 2007</v>
          </cell>
        </row>
        <row r="227">
          <cell r="E227" t="str">
            <v>PT. PAESA PASINDO ENGINEERING</v>
          </cell>
        </row>
        <row r="233">
          <cell r="E233" t="str">
            <v>Ir. Panal Banjarnahor</v>
          </cell>
        </row>
        <row r="234">
          <cell r="E234" t="str">
            <v>Presiden Direktur</v>
          </cell>
        </row>
        <row r="246">
          <cell r="D246" t="str">
            <v>Jenis Sewa Alat</v>
          </cell>
          <cell r="E246" t="str">
            <v>Harga Satuan</v>
          </cell>
          <cell r="F246" t="str">
            <v>Satuan</v>
          </cell>
        </row>
        <row r="248">
          <cell r="D248" t="str">
            <v>Arm lock</v>
          </cell>
          <cell r="E248">
            <v>3762</v>
          </cell>
          <cell r="F248" t="str">
            <v>bh/bln</v>
          </cell>
          <cell r="H248">
            <v>3000</v>
          </cell>
        </row>
        <row r="249">
          <cell r="D249" t="str">
            <v>Blender (Cutting) Equipment</v>
          </cell>
          <cell r="E249">
            <v>206910</v>
          </cell>
          <cell r="F249" t="str">
            <v>hr</v>
          </cell>
          <cell r="H249">
            <v>165000</v>
          </cell>
        </row>
        <row r="250">
          <cell r="D250" t="str">
            <v>Cat walk</v>
          </cell>
          <cell r="E250">
            <v>3762</v>
          </cell>
          <cell r="F250" t="str">
            <v>bh/bln</v>
          </cell>
          <cell r="H250">
            <v>3000</v>
          </cell>
        </row>
        <row r="251">
          <cell r="D251" t="str">
            <v>Concrete Mix 3/4 m3</v>
          </cell>
          <cell r="E251">
            <v>43890</v>
          </cell>
          <cell r="F251" t="str">
            <v>jam</v>
          </cell>
          <cell r="H251">
            <v>35000</v>
          </cell>
        </row>
        <row r="252">
          <cell r="D252" t="str">
            <v>Concrete Viberator</v>
          </cell>
          <cell r="E252">
            <v>156750</v>
          </cell>
          <cell r="F252" t="str">
            <v>hari</v>
          </cell>
          <cell r="H252">
            <v>125000</v>
          </cell>
        </row>
        <row r="253">
          <cell r="D253" t="str">
            <v>Tower Craine</v>
          </cell>
          <cell r="E253">
            <v>282150</v>
          </cell>
          <cell r="F253" t="str">
            <v>jam</v>
          </cell>
          <cell r="H253">
            <v>225000</v>
          </cell>
        </row>
        <row r="254">
          <cell r="D254" t="str">
            <v>Craine 45 ton</v>
          </cell>
          <cell r="E254">
            <v>407550</v>
          </cell>
          <cell r="F254" t="str">
            <v>jam</v>
          </cell>
          <cell r="H254">
            <v>325000</v>
          </cell>
        </row>
        <row r="255">
          <cell r="D255" t="str">
            <v>Cross brace</v>
          </cell>
          <cell r="E255">
            <v>10659</v>
          </cell>
          <cell r="F255" t="str">
            <v>bh/bln</v>
          </cell>
          <cell r="H255">
            <v>8500</v>
          </cell>
        </row>
        <row r="256">
          <cell r="D256" t="str">
            <v>Cutting Bar</v>
          </cell>
          <cell r="E256">
            <v>3448500</v>
          </cell>
          <cell r="F256" t="str">
            <v>bh</v>
          </cell>
          <cell r="H256">
            <v>2750000</v>
          </cell>
        </row>
        <row r="257">
          <cell r="D257" t="str">
            <v>Horizontal frame</v>
          </cell>
          <cell r="E257">
            <v>5643</v>
          </cell>
          <cell r="F257" t="str">
            <v>bh/bln</v>
          </cell>
          <cell r="H257">
            <v>4500</v>
          </cell>
        </row>
        <row r="258">
          <cell r="D258" t="str">
            <v>Jack Base</v>
          </cell>
          <cell r="E258">
            <v>2508</v>
          </cell>
          <cell r="F258" t="str">
            <v>bh/bln</v>
          </cell>
          <cell r="H258">
            <v>2000</v>
          </cell>
        </row>
        <row r="259">
          <cell r="D259" t="str">
            <v>Join pin</v>
          </cell>
          <cell r="E259">
            <v>1881</v>
          </cell>
          <cell r="F259" t="str">
            <v>bh/bln</v>
          </cell>
          <cell r="H259">
            <v>1500</v>
          </cell>
        </row>
        <row r="260">
          <cell r="D260" t="str">
            <v>Ladder Frame</v>
          </cell>
          <cell r="E260">
            <v>8778</v>
          </cell>
          <cell r="F260" t="str">
            <v>bh/bln</v>
          </cell>
          <cell r="H260">
            <v>7000</v>
          </cell>
        </row>
        <row r="261">
          <cell r="D261" t="str">
            <v>Main Frame</v>
          </cell>
          <cell r="E261">
            <v>10659</v>
          </cell>
          <cell r="F261" t="str">
            <v>bh/bln</v>
          </cell>
          <cell r="H261">
            <v>8500</v>
          </cell>
        </row>
        <row r="262">
          <cell r="D262" t="str">
            <v>Pipe Support</v>
          </cell>
          <cell r="E262">
            <v>10032</v>
          </cell>
          <cell r="F262" t="str">
            <v>bh/bln</v>
          </cell>
          <cell r="H262">
            <v>8000</v>
          </cell>
        </row>
        <row r="263">
          <cell r="D263" t="str">
            <v>Sabuk kolom</v>
          </cell>
          <cell r="E263">
            <v>31350</v>
          </cell>
          <cell r="F263" t="str">
            <v>bh</v>
          </cell>
          <cell r="H263">
            <v>25000</v>
          </cell>
        </row>
        <row r="264">
          <cell r="D264" t="str">
            <v>U-Head</v>
          </cell>
          <cell r="E264">
            <v>5329.5</v>
          </cell>
          <cell r="F264" t="str">
            <v>hr</v>
          </cell>
          <cell r="H264">
            <v>4250</v>
          </cell>
        </row>
        <row r="268">
          <cell r="E268" t="str">
            <v>Jakarta , 31 Oktober 2007</v>
          </cell>
        </row>
        <row r="269">
          <cell r="E269" t="str">
            <v>PT. PAESA PASINDO ENGINEERING</v>
          </cell>
        </row>
        <row r="275">
          <cell r="E275" t="str">
            <v>Ir. Panal Banjarnahor</v>
          </cell>
        </row>
        <row r="276">
          <cell r="E276" t="str">
            <v>Presiden Direktur</v>
          </cell>
        </row>
        <row r="278">
          <cell r="F278">
            <v>4261470409</v>
          </cell>
          <cell r="H278" t="e">
            <v>#REF!</v>
          </cell>
        </row>
        <row r="279">
          <cell r="D279" t="str">
            <v>Cat Minyak</v>
          </cell>
        </row>
        <row r="280">
          <cell r="D280" t="str">
            <v>Alat Bantu</v>
          </cell>
          <cell r="E280">
            <v>25080</v>
          </cell>
          <cell r="H280">
            <v>20000</v>
          </cell>
        </row>
        <row r="281">
          <cell r="D281" t="str">
            <v>Peralatan</v>
          </cell>
          <cell r="E281">
            <v>62700</v>
          </cell>
          <cell r="H281">
            <v>50000</v>
          </cell>
        </row>
        <row r="282">
          <cell r="D282" t="str">
            <v>Alat Bantu ( slang + tes Lab )</v>
          </cell>
          <cell r="E282">
            <v>627000</v>
          </cell>
          <cell r="H282">
            <v>500000</v>
          </cell>
        </row>
        <row r="283">
          <cell r="D283" t="str">
            <v>Peralatan, Spancer</v>
          </cell>
          <cell r="E283">
            <v>6270</v>
          </cell>
          <cell r="H283">
            <v>5000</v>
          </cell>
        </row>
        <row r="284">
          <cell r="D284" t="str">
            <v>Sewa alat</v>
          </cell>
          <cell r="E284">
            <v>501600</v>
          </cell>
          <cell r="H284">
            <v>400000</v>
          </cell>
        </row>
        <row r="285">
          <cell r="D285" t="str">
            <v>Peralatan ( Oksigen, Solar, Elpiji, Kawat las dll.)</v>
          </cell>
          <cell r="E285">
            <v>18810</v>
          </cell>
          <cell r="H285">
            <v>15000</v>
          </cell>
        </row>
        <row r="286">
          <cell r="D286" t="str">
            <v>Pekerjaan Honey</v>
          </cell>
          <cell r="E286">
            <v>2508</v>
          </cell>
          <cell r="H286">
            <v>2000</v>
          </cell>
        </row>
        <row r="287">
          <cell r="D287" t="str">
            <v>Shear Connector</v>
          </cell>
          <cell r="E287">
            <v>2508</v>
          </cell>
          <cell r="H287">
            <v>2000</v>
          </cell>
        </row>
        <row r="288">
          <cell r="D288" t="str">
            <v>Alat bantu ( Mesin Bor listrik )</v>
          </cell>
          <cell r="E288">
            <v>1254</v>
          </cell>
          <cell r="H288">
            <v>1000</v>
          </cell>
        </row>
        <row r="289">
          <cell r="D289" t="str">
            <v>Kaso 5/7 borneo sp ( 2 x pakai ) 50%</v>
          </cell>
          <cell r="E289">
            <v>2516025.6</v>
          </cell>
          <cell r="H289">
            <v>2006400</v>
          </cell>
        </row>
        <row r="290">
          <cell r="D290" t="str">
            <v>Kayu albasia ( 2 x pakai ) 75%</v>
          </cell>
          <cell r="E290">
            <v>1769080.5</v>
          </cell>
          <cell r="H290">
            <v>1410750</v>
          </cell>
        </row>
        <row r="291">
          <cell r="D291" t="str">
            <v>Multiplek 9 mm ( 2 x pakai ) 75 %</v>
          </cell>
          <cell r="E291">
            <v>8255.7090000000007</v>
          </cell>
          <cell r="H291">
            <v>6583.5</v>
          </cell>
        </row>
        <row r="292">
          <cell r="D292" t="str">
            <v>Multiplek 12 mm  ( 2 x pakai ) 75 %</v>
          </cell>
          <cell r="E292">
            <v>9435.0959999999995</v>
          </cell>
          <cell r="H292">
            <v>7524</v>
          </cell>
        </row>
        <row r="293">
          <cell r="D293" t="str">
            <v>Kayu stoot ( dinding 2 x pakai ) 50 %</v>
          </cell>
          <cell r="E293">
            <v>1179387</v>
          </cell>
          <cell r="H293">
            <v>940500</v>
          </cell>
        </row>
        <row r="294">
          <cell r="D294" t="str">
            <v>Tambahan upah</v>
          </cell>
          <cell r="E294">
            <v>627000</v>
          </cell>
          <cell r="H294">
            <v>500000</v>
          </cell>
        </row>
        <row r="295">
          <cell r="D295" t="str">
            <v>Steger Werk</v>
          </cell>
          <cell r="E295">
            <v>37620</v>
          </cell>
          <cell r="H295">
            <v>30000</v>
          </cell>
        </row>
        <row r="296">
          <cell r="D296" t="str">
            <v>Kayu 5/10 Borneo super</v>
          </cell>
          <cell r="E296">
            <v>165114.18</v>
          </cell>
          <cell r="H296">
            <v>131670</v>
          </cell>
        </row>
        <row r="297">
          <cell r="D297" t="str">
            <v>Bobokan Kepala Tiang</v>
          </cell>
          <cell r="E297">
            <v>37620</v>
          </cell>
          <cell r="H297">
            <v>30000</v>
          </cell>
        </row>
        <row r="298">
          <cell r="D298" t="str">
            <v>Mix Design</v>
          </cell>
          <cell r="E298">
            <v>627000</v>
          </cell>
          <cell r="H298">
            <v>500000</v>
          </cell>
        </row>
        <row r="299">
          <cell r="D299" t="str">
            <v>Tes Mutu Beton Silinder</v>
          </cell>
          <cell r="E299">
            <v>31350</v>
          </cell>
          <cell r="H299">
            <v>25000</v>
          </cell>
        </row>
        <row r="300">
          <cell r="D300" t="str">
            <v>Tes Mutu Beton Kubus</v>
          </cell>
          <cell r="E300">
            <v>31350</v>
          </cell>
          <cell r="H300">
            <v>25000</v>
          </cell>
        </row>
        <row r="301">
          <cell r="D301" t="str">
            <v>Tes Kuat Lentur Beton</v>
          </cell>
          <cell r="E301">
            <v>156750</v>
          </cell>
          <cell r="H301">
            <v>125000</v>
          </cell>
        </row>
        <row r="302">
          <cell r="D302" t="str">
            <v>Tes Kuat Beton Inti</v>
          </cell>
          <cell r="E302">
            <v>156750</v>
          </cell>
          <cell r="H302">
            <v>125000</v>
          </cell>
        </row>
        <row r="303">
          <cell r="D303" t="str">
            <v>Alat Pendukung</v>
          </cell>
          <cell r="E303">
            <v>62700</v>
          </cell>
          <cell r="H303">
            <v>50000</v>
          </cell>
        </row>
        <row r="304">
          <cell r="D304" t="str">
            <v>Akomodasi</v>
          </cell>
          <cell r="E304">
            <v>6270000</v>
          </cell>
          <cell r="H304">
            <v>5000000</v>
          </cell>
        </row>
        <row r="305">
          <cell r="D305" t="str">
            <v>Tangga Service GIP dia. 1"</v>
          </cell>
          <cell r="E305">
            <v>0</v>
          </cell>
        </row>
        <row r="306">
          <cell r="D306" t="str">
            <v>Manhole plat besi t. 4 mm rangka besi siku</v>
          </cell>
          <cell r="E306">
            <v>184181.25</v>
          </cell>
          <cell r="H306">
            <v>146875</v>
          </cell>
        </row>
        <row r="307">
          <cell r="D307" t="str">
            <v>Kusen + Pintu besi</v>
          </cell>
          <cell r="E307">
            <v>438900</v>
          </cell>
          <cell r="H307">
            <v>350000</v>
          </cell>
        </row>
        <row r="308">
          <cell r="D308" t="str">
            <v>buis beton 1/2 dia 30 cm</v>
          </cell>
          <cell r="E308">
            <v>216942</v>
          </cell>
          <cell r="H308">
            <v>173000</v>
          </cell>
        </row>
        <row r="309">
          <cell r="D309" t="str">
            <v>Ongkos pasang saluran air kotor</v>
          </cell>
          <cell r="E309">
            <v>54235.5</v>
          </cell>
          <cell r="H309">
            <v>43250</v>
          </cell>
        </row>
        <row r="310">
          <cell r="D310" t="str">
            <v>Pipa PVC dia. 1 1/2"</v>
          </cell>
          <cell r="E310">
            <v>10784.4</v>
          </cell>
          <cell r="H310">
            <v>8600</v>
          </cell>
        </row>
        <row r="311">
          <cell r="D311" t="str">
            <v xml:space="preserve">Reng Kayu 2/3 Borneo Super </v>
          </cell>
          <cell r="E311">
            <v>33.022835999999998</v>
          </cell>
          <cell r="H311">
            <v>26.334</v>
          </cell>
        </row>
      </sheetData>
      <sheetData sheetId="15" refreshError="1">
        <row r="26">
          <cell r="I26">
            <v>529</v>
          </cell>
        </row>
        <row r="27">
          <cell r="G27" t="str">
            <v>B1.2</v>
          </cell>
          <cell r="H27">
            <v>3524691.8253551861</v>
          </cell>
          <cell r="I27">
            <v>32</v>
          </cell>
          <cell r="J27">
            <v>3.74</v>
          </cell>
          <cell r="K27">
            <v>0.25</v>
          </cell>
          <cell r="L27">
            <v>0.35</v>
          </cell>
          <cell r="M27">
            <v>0.32724999999999999</v>
          </cell>
          <cell r="Q27">
            <v>72.967707000000004</v>
          </cell>
          <cell r="T27">
            <v>2.7930000000000001</v>
          </cell>
          <cell r="V27">
            <v>0</v>
          </cell>
          <cell r="W27">
            <v>0</v>
          </cell>
          <cell r="Y27">
            <v>6</v>
          </cell>
          <cell r="Z27">
            <v>0</v>
          </cell>
          <cell r="AA27">
            <v>0</v>
          </cell>
          <cell r="AB27">
            <v>25127.703409543265</v>
          </cell>
          <cell r="AC27">
            <v>88534.694400000008</v>
          </cell>
          <cell r="AD27">
            <v>731338.01640219137</v>
          </cell>
          <cell r="AE27">
            <v>231765.16746075</v>
          </cell>
          <cell r="AF27">
            <v>17436.328800000003</v>
          </cell>
          <cell r="AG27">
            <v>59253.489375000005</v>
          </cell>
          <cell r="AH27">
            <v>0</v>
          </cell>
          <cell r="AI27">
            <v>1153455.3998474847</v>
          </cell>
          <cell r="AK27">
            <v>1257266.3858337584</v>
          </cell>
        </row>
        <row r="28">
          <cell r="G28" t="str">
            <v>B1A.2</v>
          </cell>
          <cell r="H28">
            <v>3524691.8253551861</v>
          </cell>
          <cell r="I28">
            <v>15</v>
          </cell>
          <cell r="J28">
            <v>3.74</v>
          </cell>
          <cell r="K28">
            <v>0.25</v>
          </cell>
          <cell r="L28">
            <v>0.35</v>
          </cell>
          <cell r="M28">
            <v>0.32724999999999999</v>
          </cell>
          <cell r="Q28">
            <v>72.967707000000004</v>
          </cell>
          <cell r="T28">
            <v>2.7930000000000001</v>
          </cell>
          <cell r="V28">
            <v>0</v>
          </cell>
          <cell r="W28">
            <v>0</v>
          </cell>
          <cell r="Y28">
            <v>6</v>
          </cell>
          <cell r="Z28">
            <v>0</v>
          </cell>
          <cell r="AA28">
            <v>0</v>
          </cell>
          <cell r="AB28">
            <v>25127.703409543265</v>
          </cell>
          <cell r="AC28">
            <v>88534.694400000008</v>
          </cell>
          <cell r="AD28">
            <v>731338.01640219137</v>
          </cell>
          <cell r="AE28">
            <v>231765.16746075</v>
          </cell>
          <cell r="AF28">
            <v>17436.328800000003</v>
          </cell>
          <cell r="AG28">
            <v>59253.489375000005</v>
          </cell>
          <cell r="AH28">
            <v>0</v>
          </cell>
          <cell r="AI28">
            <v>1153455.3998474847</v>
          </cell>
          <cell r="AK28">
            <v>1257266.3858337584</v>
          </cell>
        </row>
        <row r="29">
          <cell r="G29" t="str">
            <v>B2.2</v>
          </cell>
          <cell r="H29">
            <v>3673855.6014275118</v>
          </cell>
          <cell r="I29">
            <v>21</v>
          </cell>
          <cell r="J29">
            <v>4.24</v>
          </cell>
          <cell r="K29">
            <v>0.25</v>
          </cell>
          <cell r="L29">
            <v>0.35</v>
          </cell>
          <cell r="M29">
            <v>0.371</v>
          </cell>
          <cell r="Q29">
            <v>86.031342000000009</v>
          </cell>
          <cell r="T29">
            <v>3.1429999999999998</v>
          </cell>
          <cell r="V29">
            <v>0</v>
          </cell>
          <cell r="W29">
            <v>0</v>
          </cell>
          <cell r="Y29">
            <v>9</v>
          </cell>
          <cell r="Z29">
            <v>0</v>
          </cell>
          <cell r="AA29">
            <v>0</v>
          </cell>
          <cell r="AB29">
            <v>28487.022047182742</v>
          </cell>
          <cell r="AC29">
            <v>132802.04160000003</v>
          </cell>
          <cell r="AD29">
            <v>862271.73079042393</v>
          </cell>
          <cell r="AE29">
            <v>262749.81551699998</v>
          </cell>
          <cell r="AF29">
            <v>17436.328800000003</v>
          </cell>
          <cell r="AG29">
            <v>59253.489375000005</v>
          </cell>
          <cell r="AH29">
            <v>0</v>
          </cell>
          <cell r="AI29">
            <v>1363000.4281296069</v>
          </cell>
          <cell r="AK29">
            <v>1485670.4666612716</v>
          </cell>
        </row>
        <row r="30">
          <cell r="G30" t="str">
            <v>BA.2</v>
          </cell>
          <cell r="H30">
            <v>2400931.9647867139</v>
          </cell>
          <cell r="I30">
            <v>2</v>
          </cell>
          <cell r="J30">
            <v>4.24</v>
          </cell>
          <cell r="K30">
            <v>0.25</v>
          </cell>
          <cell r="L30">
            <v>0.35</v>
          </cell>
          <cell r="M30">
            <v>0.66325000000000001</v>
          </cell>
          <cell r="Q30">
            <v>86.031341999999995</v>
          </cell>
          <cell r="T30">
            <v>3.1429999999999998</v>
          </cell>
          <cell r="V30">
            <v>0</v>
          </cell>
          <cell r="W30">
            <v>0</v>
          </cell>
          <cell r="Y30">
            <v>9</v>
          </cell>
          <cell r="Z30">
            <v>0</v>
          </cell>
          <cell r="AA30">
            <v>0</v>
          </cell>
          <cell r="AB30">
            <v>50927.270546614433</v>
          </cell>
          <cell r="AC30">
            <v>132802.04160000003</v>
          </cell>
          <cell r="AD30">
            <v>862271.73079042381</v>
          </cell>
          <cell r="AE30">
            <v>469727.26453275001</v>
          </cell>
          <cell r="AF30">
            <v>17436.328800000003</v>
          </cell>
          <cell r="AG30">
            <v>59253.489375000005</v>
          </cell>
          <cell r="AH30">
            <v>0</v>
          </cell>
          <cell r="AI30">
            <v>1592418.1256447881</v>
          </cell>
          <cell r="AK30">
            <v>1735735.7569528192</v>
          </cell>
        </row>
        <row r="31">
          <cell r="G31" t="str">
            <v>B3.2</v>
          </cell>
          <cell r="H31">
            <v>2136776.5760370232</v>
          </cell>
          <cell r="I31">
            <v>2</v>
          </cell>
          <cell r="J31">
            <v>3.74</v>
          </cell>
          <cell r="K31">
            <v>0.25</v>
          </cell>
          <cell r="L31">
            <v>0.35</v>
          </cell>
          <cell r="M31">
            <v>0.66325000000000001</v>
          </cell>
          <cell r="Q31">
            <v>72.967707000000004</v>
          </cell>
          <cell r="T31">
            <v>2.7930000000000001</v>
          </cell>
          <cell r="V31">
            <v>0</v>
          </cell>
          <cell r="W31">
            <v>0</v>
          </cell>
          <cell r="Y31">
            <v>6</v>
          </cell>
          <cell r="Z31">
            <v>0</v>
          </cell>
          <cell r="AA31">
            <v>0</v>
          </cell>
          <cell r="AB31">
            <v>50927.270546614433</v>
          </cell>
          <cell r="AC31">
            <v>88534.694400000008</v>
          </cell>
          <cell r="AD31">
            <v>731338.01640219137</v>
          </cell>
          <cell r="AE31">
            <v>469727.26453275001</v>
          </cell>
          <cell r="AF31">
            <v>17436.328800000003</v>
          </cell>
          <cell r="AG31">
            <v>59253.489375000005</v>
          </cell>
          <cell r="AH31">
            <v>0</v>
          </cell>
          <cell r="AI31">
            <v>1417217.0640565557</v>
          </cell>
          <cell r="AK31">
            <v>1544766.5998216458</v>
          </cell>
        </row>
        <row r="32">
          <cell r="G32" t="str">
            <v>B4.2</v>
          </cell>
          <cell r="H32">
            <v>3524691.8253551861</v>
          </cell>
          <cell r="I32">
            <v>15</v>
          </cell>
          <cell r="J32">
            <v>3.74</v>
          </cell>
          <cell r="K32">
            <v>0.25</v>
          </cell>
          <cell r="L32">
            <v>0.35</v>
          </cell>
          <cell r="M32">
            <v>0.32724999999999999</v>
          </cell>
          <cell r="Q32">
            <v>72.967707000000004</v>
          </cell>
          <cell r="T32">
            <v>2.7930000000000001</v>
          </cell>
          <cell r="V32">
            <v>0</v>
          </cell>
          <cell r="W32">
            <v>0</v>
          </cell>
          <cell r="Y32">
            <v>6</v>
          </cell>
          <cell r="Z32">
            <v>0</v>
          </cell>
          <cell r="AA32">
            <v>0</v>
          </cell>
          <cell r="AB32">
            <v>25127.703409543265</v>
          </cell>
          <cell r="AC32">
            <v>88534.694400000008</v>
          </cell>
          <cell r="AD32">
            <v>731338.01640219137</v>
          </cell>
          <cell r="AE32">
            <v>231765.16746075</v>
          </cell>
          <cell r="AF32">
            <v>17436.328800000003</v>
          </cell>
          <cell r="AG32">
            <v>59253.489375000005</v>
          </cell>
          <cell r="AH32">
            <v>0</v>
          </cell>
          <cell r="AI32">
            <v>1153455.3998474847</v>
          </cell>
          <cell r="AK32">
            <v>1257266.3858337584</v>
          </cell>
        </row>
        <row r="33">
          <cell r="G33" t="str">
            <v>B4'.2</v>
          </cell>
          <cell r="H33">
            <v>3524691.8253551861</v>
          </cell>
          <cell r="I33">
            <v>2</v>
          </cell>
          <cell r="J33">
            <v>3.74</v>
          </cell>
          <cell r="K33">
            <v>0.25</v>
          </cell>
          <cell r="L33">
            <v>0.35</v>
          </cell>
          <cell r="M33">
            <v>0.32724999999999999</v>
          </cell>
          <cell r="Q33">
            <v>72.967707000000004</v>
          </cell>
          <cell r="T33">
            <v>2.7930000000000001</v>
          </cell>
          <cell r="V33">
            <v>0</v>
          </cell>
          <cell r="W33">
            <v>0</v>
          </cell>
          <cell r="Y33">
            <v>6</v>
          </cell>
          <cell r="Z33">
            <v>0</v>
          </cell>
          <cell r="AA33">
            <v>0</v>
          </cell>
          <cell r="AB33">
            <v>25127.703409543265</v>
          </cell>
          <cell r="AC33">
            <v>88534.694400000008</v>
          </cell>
          <cell r="AD33">
            <v>731338.01640219137</v>
          </cell>
          <cell r="AE33">
            <v>231765.16746075</v>
          </cell>
          <cell r="AF33">
            <v>17436.328800000003</v>
          </cell>
          <cell r="AG33">
            <v>59253.489375000005</v>
          </cell>
          <cell r="AH33">
            <v>0</v>
          </cell>
          <cell r="AI33">
            <v>1153455.3998474847</v>
          </cell>
          <cell r="AK33">
            <v>1257266.3858337584</v>
          </cell>
        </row>
        <row r="34">
          <cell r="G34" t="str">
            <v>B4".2</v>
          </cell>
          <cell r="H34">
            <v>3524691.8253551861</v>
          </cell>
          <cell r="I34">
            <v>2</v>
          </cell>
          <cell r="J34">
            <v>3.74</v>
          </cell>
          <cell r="K34">
            <v>0.25</v>
          </cell>
          <cell r="L34">
            <v>0.35</v>
          </cell>
          <cell r="M34">
            <v>0.32724999999999999</v>
          </cell>
          <cell r="Q34">
            <v>72.967707000000004</v>
          </cell>
          <cell r="T34">
            <v>2.7930000000000001</v>
          </cell>
          <cell r="V34">
            <v>0</v>
          </cell>
          <cell r="W34">
            <v>0</v>
          </cell>
          <cell r="Y34">
            <v>6</v>
          </cell>
          <cell r="Z34">
            <v>0</v>
          </cell>
          <cell r="AA34">
            <v>0</v>
          </cell>
          <cell r="AB34">
            <v>25127.703409543265</v>
          </cell>
          <cell r="AC34">
            <v>88534.694400000008</v>
          </cell>
          <cell r="AD34">
            <v>731338.01640219137</v>
          </cell>
          <cell r="AE34">
            <v>231765.16746075</v>
          </cell>
          <cell r="AF34">
            <v>17436.328800000003</v>
          </cell>
          <cell r="AG34">
            <v>59253.489375000005</v>
          </cell>
          <cell r="AH34">
            <v>0</v>
          </cell>
          <cell r="AI34">
            <v>1153455.3998474847</v>
          </cell>
          <cell r="AK34">
            <v>1257266.3858337584</v>
          </cell>
        </row>
        <row r="35">
          <cell r="G35" t="str">
            <v>B5.2</v>
          </cell>
          <cell r="H35">
            <v>3199602.3591309367</v>
          </cell>
          <cell r="I35">
            <v>2</v>
          </cell>
          <cell r="J35">
            <v>1.34</v>
          </cell>
          <cell r="K35">
            <v>0.25</v>
          </cell>
          <cell r="L35">
            <v>0.35</v>
          </cell>
          <cell r="M35">
            <v>0.11724999999999999</v>
          </cell>
          <cell r="Q35">
            <v>20.595292200000003</v>
          </cell>
          <cell r="T35">
            <v>1.113</v>
          </cell>
          <cell r="V35">
            <v>0</v>
          </cell>
          <cell r="W35">
            <v>3</v>
          </cell>
          <cell r="Y35">
            <v>0</v>
          </cell>
          <cell r="Z35">
            <v>0</v>
          </cell>
          <cell r="AA35">
            <v>0</v>
          </cell>
          <cell r="AB35">
            <v>9002.9739488737905</v>
          </cell>
          <cell r="AC35">
            <v>0</v>
          </cell>
          <cell r="AD35">
            <v>206421.72769347849</v>
          </cell>
          <cell r="AE35">
            <v>83038.856790749996</v>
          </cell>
          <cell r="AF35">
            <v>17436.328800000003</v>
          </cell>
          <cell r="AG35">
            <v>59253.489375000005</v>
          </cell>
          <cell r="AH35">
            <v>0</v>
          </cell>
          <cell r="AI35">
            <v>375153.37660810229</v>
          </cell>
          <cell r="AK35">
            <v>408917.18050283153</v>
          </cell>
        </row>
        <row r="36">
          <cell r="G36" t="str">
            <v>B6.2</v>
          </cell>
          <cell r="H36">
            <v>3634790.7508797566</v>
          </cell>
          <cell r="I36">
            <v>2</v>
          </cell>
          <cell r="J36">
            <v>4.34</v>
          </cell>
          <cell r="K36">
            <v>0.25</v>
          </cell>
          <cell r="L36">
            <v>0.35</v>
          </cell>
          <cell r="M36">
            <v>0.37974999999999998</v>
          </cell>
          <cell r="Q36">
            <v>87.073227000000003</v>
          </cell>
          <cell r="T36">
            <v>3.2129999999999996</v>
          </cell>
          <cell r="V36">
            <v>0</v>
          </cell>
          <cell r="W36">
            <v>0</v>
          </cell>
          <cell r="Y36">
            <v>9</v>
          </cell>
          <cell r="Z36">
            <v>0</v>
          </cell>
          <cell r="AA36">
            <v>0</v>
          </cell>
          <cell r="AB36">
            <v>29158.885774710634</v>
          </cell>
          <cell r="AC36">
            <v>132802.04160000003</v>
          </cell>
          <cell r="AD36">
            <v>872714.29696862656</v>
          </cell>
          <cell r="AE36">
            <v>268946.74512824998</v>
          </cell>
          <cell r="AF36">
            <v>17436.328800000003</v>
          </cell>
          <cell r="AG36">
            <v>59253.489375000005</v>
          </cell>
          <cell r="AH36">
            <v>0</v>
          </cell>
          <cell r="AI36">
            <v>1380311.7876465875</v>
          </cell>
          <cell r="AK36">
            <v>1504539.8485347806</v>
          </cell>
        </row>
        <row r="37">
          <cell r="G37" t="str">
            <v>B6'.2</v>
          </cell>
          <cell r="H37">
            <v>3634790.7508797566</v>
          </cell>
          <cell r="I37">
            <v>2</v>
          </cell>
          <cell r="J37">
            <v>4.34</v>
          </cell>
          <cell r="K37">
            <v>0.25</v>
          </cell>
          <cell r="L37">
            <v>0.35</v>
          </cell>
          <cell r="M37">
            <v>0.37974999999999998</v>
          </cell>
          <cell r="Q37">
            <v>87.073227000000003</v>
          </cell>
          <cell r="T37">
            <v>3.2129999999999996</v>
          </cell>
          <cell r="V37">
            <v>0</v>
          </cell>
          <cell r="W37">
            <v>0</v>
          </cell>
          <cell r="Y37">
            <v>9</v>
          </cell>
          <cell r="Z37">
            <v>0</v>
          </cell>
          <cell r="AA37">
            <v>0</v>
          </cell>
          <cell r="AB37">
            <v>29158.885774710634</v>
          </cell>
          <cell r="AC37">
            <v>132802.04160000003</v>
          </cell>
          <cell r="AD37">
            <v>872714.29696862656</v>
          </cell>
          <cell r="AE37">
            <v>268946.74512824998</v>
          </cell>
          <cell r="AF37">
            <v>17436.328800000003</v>
          </cell>
          <cell r="AG37">
            <v>59253.489375000005</v>
          </cell>
          <cell r="AH37">
            <v>0</v>
          </cell>
          <cell r="AI37">
            <v>1380311.7876465875</v>
          </cell>
          <cell r="AK37">
            <v>1504539.8485347806</v>
          </cell>
        </row>
        <row r="38">
          <cell r="G38" t="str">
            <v>B6".2</v>
          </cell>
          <cell r="H38">
            <v>3634790.7508797566</v>
          </cell>
          <cell r="I38">
            <v>2</v>
          </cell>
          <cell r="J38">
            <v>4.34</v>
          </cell>
          <cell r="K38">
            <v>0.25</v>
          </cell>
          <cell r="L38">
            <v>0.35</v>
          </cell>
          <cell r="M38">
            <v>0.37974999999999998</v>
          </cell>
          <cell r="Q38">
            <v>87.073227000000003</v>
          </cell>
          <cell r="T38">
            <v>3.2129999999999996</v>
          </cell>
          <cell r="V38">
            <v>0</v>
          </cell>
          <cell r="W38">
            <v>0</v>
          </cell>
          <cell r="Y38">
            <v>9</v>
          </cell>
          <cell r="Z38">
            <v>0</v>
          </cell>
          <cell r="AA38">
            <v>0</v>
          </cell>
          <cell r="AB38">
            <v>29158.885774710634</v>
          </cell>
          <cell r="AC38">
            <v>132802.04160000003</v>
          </cell>
          <cell r="AD38">
            <v>872714.29696862656</v>
          </cell>
          <cell r="AE38">
            <v>268946.74512824998</v>
          </cell>
          <cell r="AF38">
            <v>17436.328800000003</v>
          </cell>
          <cell r="AG38">
            <v>59253.489375000005</v>
          </cell>
          <cell r="AH38">
            <v>0</v>
          </cell>
          <cell r="AI38">
            <v>1380311.7876465875</v>
          </cell>
          <cell r="AK38">
            <v>1504539.8485347806</v>
          </cell>
        </row>
        <row r="39">
          <cell r="G39" t="str">
            <v>B6A.2</v>
          </cell>
          <cell r="H39">
            <v>3673855.6014275104</v>
          </cell>
          <cell r="I39">
            <v>2</v>
          </cell>
          <cell r="J39">
            <v>4.24</v>
          </cell>
          <cell r="K39">
            <v>0.25</v>
          </cell>
          <cell r="L39">
            <v>0.35</v>
          </cell>
          <cell r="M39">
            <v>0.371</v>
          </cell>
          <cell r="Q39">
            <v>86.031341999999995</v>
          </cell>
          <cell r="T39">
            <v>3.1429999999999998</v>
          </cell>
          <cell r="V39">
            <v>0</v>
          </cell>
          <cell r="W39">
            <v>0</v>
          </cell>
          <cell r="Y39">
            <v>9</v>
          </cell>
          <cell r="Z39">
            <v>0</v>
          </cell>
          <cell r="AA39">
            <v>0</v>
          </cell>
          <cell r="AB39">
            <v>28487.022047182742</v>
          </cell>
          <cell r="AC39">
            <v>132802.04160000003</v>
          </cell>
          <cell r="AD39">
            <v>862271.73079042381</v>
          </cell>
          <cell r="AE39">
            <v>262749.81551699998</v>
          </cell>
          <cell r="AF39">
            <v>17436.328800000003</v>
          </cell>
          <cell r="AG39">
            <v>59253.489375000005</v>
          </cell>
          <cell r="AH39">
            <v>0</v>
          </cell>
          <cell r="AI39">
            <v>1363000.4281296064</v>
          </cell>
          <cell r="AK39">
            <v>1485670.4666612712</v>
          </cell>
        </row>
        <row r="40">
          <cell r="G40" t="str">
            <v>B7.2</v>
          </cell>
          <cell r="H40">
            <v>2826670.9936427353</v>
          </cell>
          <cell r="I40">
            <v>7</v>
          </cell>
          <cell r="J40">
            <v>1.99</v>
          </cell>
          <cell r="K40">
            <v>0.25</v>
          </cell>
          <cell r="L40">
            <v>0.35</v>
          </cell>
          <cell r="M40">
            <v>0.174125</v>
          </cell>
          <cell r="Q40">
            <v>27.818206200000002</v>
          </cell>
          <cell r="T40">
            <v>1.5680000000000001</v>
          </cell>
          <cell r="V40">
            <v>0</v>
          </cell>
          <cell r="W40">
            <v>3</v>
          </cell>
          <cell r="Y40">
            <v>0</v>
          </cell>
          <cell r="Z40">
            <v>0</v>
          </cell>
          <cell r="AA40">
            <v>0</v>
          </cell>
          <cell r="AB40">
            <v>13370.088177805108</v>
          </cell>
          <cell r="AC40">
            <v>0</v>
          </cell>
          <cell r="AD40">
            <v>278815.28115136112</v>
          </cell>
          <cell r="AE40">
            <v>123318.89926387501</v>
          </cell>
          <cell r="AF40">
            <v>17436.328800000003</v>
          </cell>
          <cell r="AG40">
            <v>59253.489375000005</v>
          </cell>
          <cell r="AH40">
            <v>0</v>
          </cell>
          <cell r="AI40">
            <v>492194.08676804125</v>
          </cell>
          <cell r="AK40">
            <v>536491.55457716505</v>
          </cell>
        </row>
        <row r="41">
          <cell r="G41" t="str">
            <v>B7A.2</v>
          </cell>
          <cell r="H41">
            <v>2826670.9936427353</v>
          </cell>
          <cell r="I41">
            <v>2</v>
          </cell>
          <cell r="J41">
            <v>1.99</v>
          </cell>
          <cell r="K41">
            <v>0.25</v>
          </cell>
          <cell r="L41">
            <v>0.35</v>
          </cell>
          <cell r="M41">
            <v>0.174125</v>
          </cell>
          <cell r="Q41">
            <v>27.818206200000002</v>
          </cell>
          <cell r="T41">
            <v>1.5680000000000001</v>
          </cell>
          <cell r="V41">
            <v>0</v>
          </cell>
          <cell r="W41">
            <v>3</v>
          </cell>
          <cell r="Y41">
            <v>0</v>
          </cell>
          <cell r="Z41">
            <v>0</v>
          </cell>
          <cell r="AA41">
            <v>0</v>
          </cell>
          <cell r="AB41">
            <v>13370.088177805108</v>
          </cell>
          <cell r="AC41">
            <v>0</v>
          </cell>
          <cell r="AD41">
            <v>278815.28115136112</v>
          </cell>
          <cell r="AE41">
            <v>123318.89926387501</v>
          </cell>
          <cell r="AF41">
            <v>17436.328800000003</v>
          </cell>
          <cell r="AG41">
            <v>59253.489375000005</v>
          </cell>
          <cell r="AH41">
            <v>0</v>
          </cell>
          <cell r="AI41">
            <v>492194.08676804125</v>
          </cell>
          <cell r="AK41">
            <v>536491.55457716505</v>
          </cell>
        </row>
        <row r="42">
          <cell r="G42" t="str">
            <v>B8.2</v>
          </cell>
          <cell r="H42">
            <v>3524691.8253551861</v>
          </cell>
          <cell r="I42">
            <v>13</v>
          </cell>
          <cell r="J42">
            <v>3.74</v>
          </cell>
          <cell r="K42">
            <v>0.25</v>
          </cell>
          <cell r="L42">
            <v>0.35</v>
          </cell>
          <cell r="M42">
            <v>0.32724999999999999</v>
          </cell>
          <cell r="Q42">
            <v>72.967707000000004</v>
          </cell>
          <cell r="T42">
            <v>2.7930000000000001</v>
          </cell>
          <cell r="V42">
            <v>0</v>
          </cell>
          <cell r="W42">
            <v>0</v>
          </cell>
          <cell r="Y42">
            <v>6</v>
          </cell>
          <cell r="Z42">
            <v>0</v>
          </cell>
          <cell r="AA42">
            <v>0</v>
          </cell>
          <cell r="AB42">
            <v>25127.703409543265</v>
          </cell>
          <cell r="AC42">
            <v>88534.694400000008</v>
          </cell>
          <cell r="AD42">
            <v>731338.01640219137</v>
          </cell>
          <cell r="AE42">
            <v>231765.16746075</v>
          </cell>
          <cell r="AF42">
            <v>17436.328800000003</v>
          </cell>
          <cell r="AG42">
            <v>59253.489375000005</v>
          </cell>
          <cell r="AH42">
            <v>0</v>
          </cell>
          <cell r="AI42">
            <v>1153455.3998474847</v>
          </cell>
          <cell r="AK42">
            <v>1257266.3858337584</v>
          </cell>
        </row>
        <row r="43">
          <cell r="G43" t="str">
            <v>B9.2</v>
          </cell>
          <cell r="H43">
            <v>3365741.6594049269</v>
          </cell>
          <cell r="I43">
            <v>2</v>
          </cell>
          <cell r="J43">
            <v>5.8900000000000006</v>
          </cell>
          <cell r="K43">
            <v>0.25</v>
          </cell>
          <cell r="L43">
            <v>0.35</v>
          </cell>
          <cell r="M43">
            <v>0.51537500000000003</v>
          </cell>
          <cell r="Q43">
            <v>111.80104200000002</v>
          </cell>
          <cell r="T43">
            <v>4.298</v>
          </cell>
          <cell r="V43">
            <v>0</v>
          </cell>
          <cell r="W43">
            <v>0</v>
          </cell>
          <cell r="Y43">
            <v>9</v>
          </cell>
          <cell r="Z43">
            <v>0</v>
          </cell>
          <cell r="AA43">
            <v>0</v>
          </cell>
          <cell r="AB43">
            <v>39572.773551393009</v>
          </cell>
          <cell r="AC43">
            <v>132802.04160000003</v>
          </cell>
          <cell r="AD43">
            <v>1120555.3202867962</v>
          </cell>
          <cell r="AE43">
            <v>364999.15410262503</v>
          </cell>
          <cell r="AF43">
            <v>17436.328800000003</v>
          </cell>
          <cell r="AG43">
            <v>59253.489375000005</v>
          </cell>
          <cell r="AH43">
            <v>0</v>
          </cell>
          <cell r="AI43">
            <v>1734619.1077158144</v>
          </cell>
          <cell r="AK43">
            <v>1890734.8274102379</v>
          </cell>
        </row>
        <row r="44">
          <cell r="G44" t="str">
            <v>B10.2</v>
          </cell>
          <cell r="H44">
            <v>2885817.3420645818</v>
          </cell>
          <cell r="I44">
            <v>2</v>
          </cell>
          <cell r="J44">
            <v>3.9400000000000004</v>
          </cell>
          <cell r="K44">
            <v>0.25</v>
          </cell>
          <cell r="L44">
            <v>0.35</v>
          </cell>
          <cell r="M44">
            <v>0.26249999999999996</v>
          </cell>
          <cell r="Q44">
            <v>47.369517299999998</v>
          </cell>
          <cell r="T44">
            <v>2.9330000000000003</v>
          </cell>
          <cell r="V44">
            <v>0</v>
          </cell>
          <cell r="W44">
            <v>6</v>
          </cell>
          <cell r="Y44">
            <v>0</v>
          </cell>
          <cell r="Z44">
            <v>0</v>
          </cell>
          <cell r="AA44">
            <v>0</v>
          </cell>
          <cell r="AB44">
            <v>20155.911825836843</v>
          </cell>
          <cell r="AC44">
            <v>0</v>
          </cell>
          <cell r="AD44">
            <v>474773.43395361572</v>
          </cell>
          <cell r="AE44">
            <v>185907.88833749996</v>
          </cell>
          <cell r="AF44">
            <v>17436.328800000003</v>
          </cell>
          <cell r="AG44">
            <v>59253.489375000005</v>
          </cell>
          <cell r="AH44">
            <v>0</v>
          </cell>
          <cell r="AI44">
            <v>757527.05229195254</v>
          </cell>
          <cell r="AK44">
            <v>825704.48699822836</v>
          </cell>
        </row>
        <row r="45">
          <cell r="G45" t="str">
            <v>B11.2</v>
          </cell>
          <cell r="H45">
            <v>3493364.3753246972</v>
          </cell>
          <cell r="I45">
            <v>1</v>
          </cell>
          <cell r="J45">
            <v>5.74</v>
          </cell>
          <cell r="K45">
            <v>0.25</v>
          </cell>
          <cell r="L45">
            <v>0.35</v>
          </cell>
          <cell r="M45">
            <v>0.44099999999999995</v>
          </cell>
          <cell r="Q45">
            <v>98.265784500000024</v>
          </cell>
          <cell r="T45">
            <v>4.1929999999999996</v>
          </cell>
          <cell r="V45">
            <v>0</v>
          </cell>
          <cell r="W45">
            <v>0</v>
          </cell>
          <cell r="Y45">
            <v>9</v>
          </cell>
          <cell r="Z45">
            <v>0</v>
          </cell>
          <cell r="AA45">
            <v>0</v>
          </cell>
          <cell r="AB45">
            <v>33861.931867405896</v>
          </cell>
          <cell r="AC45">
            <v>132802.04160000003</v>
          </cell>
          <cell r="AD45">
            <v>984894.64546878543</v>
          </cell>
          <cell r="AE45">
            <v>312325.25240699999</v>
          </cell>
          <cell r="AF45">
            <v>17436.328800000003</v>
          </cell>
          <cell r="AG45">
            <v>59253.489375000005</v>
          </cell>
          <cell r="AH45">
            <v>0</v>
          </cell>
          <cell r="AI45">
            <v>1540573.6895181914</v>
          </cell>
          <cell r="AK45">
            <v>1679225.3215748288</v>
          </cell>
        </row>
        <row r="46">
          <cell r="G46" t="str">
            <v>B12.2</v>
          </cell>
          <cell r="H46">
            <v>3493364.3753246972</v>
          </cell>
          <cell r="I46">
            <v>1</v>
          </cell>
          <cell r="J46">
            <v>5.74</v>
          </cell>
          <cell r="K46">
            <v>0.25</v>
          </cell>
          <cell r="L46">
            <v>0.35</v>
          </cell>
          <cell r="M46">
            <v>0.44099999999999995</v>
          </cell>
          <cell r="Q46">
            <v>98.265784500000024</v>
          </cell>
          <cell r="T46">
            <v>4.1929999999999996</v>
          </cell>
          <cell r="V46">
            <v>0</v>
          </cell>
          <cell r="W46">
            <v>0</v>
          </cell>
          <cell r="Y46">
            <v>9</v>
          </cell>
          <cell r="Z46">
            <v>0</v>
          </cell>
          <cell r="AA46">
            <v>0</v>
          </cell>
          <cell r="AB46">
            <v>33861.931867405896</v>
          </cell>
          <cell r="AC46">
            <v>132802.04160000003</v>
          </cell>
          <cell r="AD46">
            <v>984894.64546878543</v>
          </cell>
          <cell r="AE46">
            <v>312325.25240699999</v>
          </cell>
          <cell r="AF46">
            <v>17436.328800000003</v>
          </cell>
          <cell r="AG46">
            <v>59253.489375000005</v>
          </cell>
          <cell r="AH46">
            <v>0</v>
          </cell>
          <cell r="AI46">
            <v>1540573.6895181914</v>
          </cell>
          <cell r="AK46">
            <v>1679225.3215748288</v>
          </cell>
        </row>
        <row r="47">
          <cell r="G47" t="str">
            <v>B13.7</v>
          </cell>
          <cell r="H47">
            <v>3693230.0664239568</v>
          </cell>
          <cell r="I47">
            <v>5</v>
          </cell>
          <cell r="J47">
            <v>5.74</v>
          </cell>
          <cell r="K47">
            <v>0.25</v>
          </cell>
          <cell r="L47">
            <v>0.35</v>
          </cell>
          <cell r="M47">
            <v>0.36225000000000002</v>
          </cell>
          <cell r="Q47">
            <v>84.20958450000002</v>
          </cell>
          <cell r="T47">
            <v>4.1929999999999996</v>
          </cell>
          <cell r="V47">
            <v>0</v>
          </cell>
          <cell r="W47">
            <v>0</v>
          </cell>
          <cell r="Y47">
            <v>9</v>
          </cell>
          <cell r="Z47">
            <v>0</v>
          </cell>
          <cell r="AA47">
            <v>0</v>
          </cell>
          <cell r="AB47">
            <v>27815.158319654849</v>
          </cell>
          <cell r="AC47">
            <v>132802.04160000003</v>
          </cell>
          <cell r="AD47">
            <v>844012.68756167335</v>
          </cell>
          <cell r="AE47">
            <v>256552.88590575001</v>
          </cell>
          <cell r="AF47">
            <v>17436.328800000003</v>
          </cell>
          <cell r="AG47">
            <v>59253.489375000005</v>
          </cell>
          <cell r="AH47">
            <v>0</v>
          </cell>
          <cell r="AI47">
            <v>1337872.5915620783</v>
          </cell>
          <cell r="AK47">
            <v>1458281.1248026656</v>
          </cell>
        </row>
        <row r="48">
          <cell r="G48" t="str">
            <v>B13'.7</v>
          </cell>
          <cell r="H48">
            <v>3483905.7572465735</v>
          </cell>
          <cell r="I48">
            <v>1</v>
          </cell>
          <cell r="J48">
            <v>5.74</v>
          </cell>
          <cell r="K48">
            <v>0.25</v>
          </cell>
          <cell r="L48">
            <v>0.35</v>
          </cell>
          <cell r="M48">
            <v>0.34650000000000003</v>
          </cell>
          <cell r="Q48">
            <v>76.819599000000011</v>
          </cell>
          <cell r="T48">
            <v>4.1929999999999996</v>
          </cell>
          <cell r="V48">
            <v>0</v>
          </cell>
          <cell r="W48">
            <v>0</v>
          </cell>
          <cell r="Y48">
            <v>6</v>
          </cell>
          <cell r="Z48">
            <v>0</v>
          </cell>
          <cell r="AA48">
            <v>0</v>
          </cell>
          <cell r="AB48">
            <v>26605.803610104638</v>
          </cell>
          <cell r="AC48">
            <v>88534.694400000008</v>
          </cell>
          <cell r="AD48">
            <v>769944.61609533336</v>
          </cell>
          <cell r="AE48">
            <v>245398.41260550002</v>
          </cell>
          <cell r="AF48">
            <v>17436.328800000003</v>
          </cell>
          <cell r="AG48">
            <v>59253.489375000005</v>
          </cell>
          <cell r="AH48">
            <v>0</v>
          </cell>
          <cell r="AI48">
            <v>1207173.3448859379</v>
          </cell>
          <cell r="AK48">
            <v>1315818.9459256723</v>
          </cell>
        </row>
        <row r="49">
          <cell r="G49" t="str">
            <v>B14.7</v>
          </cell>
          <cell r="H49">
            <v>2857681.6175230057</v>
          </cell>
          <cell r="I49">
            <v>1</v>
          </cell>
          <cell r="J49">
            <v>5.74</v>
          </cell>
          <cell r="K49">
            <v>0.25</v>
          </cell>
          <cell r="L49">
            <v>0.35</v>
          </cell>
          <cell r="M49">
            <v>0.2769375</v>
          </cell>
          <cell r="Q49">
            <v>49.618262699999995</v>
          </cell>
          <cell r="T49">
            <v>4.1929999999999996</v>
          </cell>
          <cell r="V49">
            <v>0</v>
          </cell>
          <cell r="W49">
            <v>6</v>
          </cell>
          <cell r="Y49">
            <v>0</v>
          </cell>
          <cell r="Z49">
            <v>0</v>
          </cell>
          <cell r="AA49">
            <v>0</v>
          </cell>
          <cell r="AB49">
            <v>21264.486976257871</v>
          </cell>
          <cell r="AC49">
            <v>0</v>
          </cell>
          <cell r="AD49">
            <v>497312.07560545701</v>
          </cell>
          <cell r="AE49">
            <v>196132.82219606251</v>
          </cell>
          <cell r="AF49">
            <v>17436.328800000003</v>
          </cell>
          <cell r="AG49">
            <v>59253.489375000005</v>
          </cell>
          <cell r="AH49">
            <v>0</v>
          </cell>
          <cell r="AI49">
            <v>791399.20295277738</v>
          </cell>
          <cell r="AK49">
            <v>862625.13121852744</v>
          </cell>
        </row>
        <row r="50">
          <cell r="G50" t="str">
            <v>B15.7</v>
          </cell>
          <cell r="H50">
            <v>1451393.4226747924</v>
          </cell>
          <cell r="I50">
            <v>4</v>
          </cell>
          <cell r="J50">
            <v>5.74</v>
          </cell>
          <cell r="K50">
            <v>0.25</v>
          </cell>
          <cell r="L50">
            <v>0.35</v>
          </cell>
          <cell r="M50">
            <v>0.66325000000000001</v>
          </cell>
          <cell r="Q50">
            <v>36.446271660000008</v>
          </cell>
          <cell r="T50">
            <v>4.1929999999999996</v>
          </cell>
          <cell r="V50">
            <v>0</v>
          </cell>
          <cell r="W50">
            <v>6</v>
          </cell>
          <cell r="Y50">
            <v>0</v>
          </cell>
          <cell r="Z50">
            <v>0</v>
          </cell>
          <cell r="AA50">
            <v>0</v>
          </cell>
          <cell r="AB50">
            <v>50927.270546614433</v>
          </cell>
          <cell r="AC50">
            <v>0</v>
          </cell>
          <cell r="AD50">
            <v>365292.33433469146</v>
          </cell>
          <cell r="AE50">
            <v>469727.26453275001</v>
          </cell>
          <cell r="AF50">
            <v>17436.328800000003</v>
          </cell>
          <cell r="AG50">
            <v>59253.489375000005</v>
          </cell>
          <cell r="AH50">
            <v>0</v>
          </cell>
          <cell r="AI50">
            <v>962636.68758905597</v>
          </cell>
          <cell r="AK50">
            <v>1049273.9894720712</v>
          </cell>
        </row>
        <row r="51">
          <cell r="G51" t="str">
            <v>B15'.7</v>
          </cell>
          <cell r="H51">
            <v>1403608.2778538242</v>
          </cell>
          <cell r="I51">
            <v>1</v>
          </cell>
          <cell r="J51">
            <v>5.74</v>
          </cell>
          <cell r="K51">
            <v>0.25</v>
          </cell>
          <cell r="L51">
            <v>0.35</v>
          </cell>
          <cell r="M51">
            <v>0.66325000000000001</v>
          </cell>
          <cell r="Q51">
            <v>33.284119860000004</v>
          </cell>
          <cell r="T51">
            <v>4.1929999999999996</v>
          </cell>
          <cell r="V51">
            <v>0</v>
          </cell>
          <cell r="W51">
            <v>6</v>
          </cell>
          <cell r="Y51">
            <v>0</v>
          </cell>
          <cell r="Z51">
            <v>0</v>
          </cell>
          <cell r="AA51">
            <v>0</v>
          </cell>
          <cell r="AB51">
            <v>50927.270546614433</v>
          </cell>
          <cell r="AC51">
            <v>0</v>
          </cell>
          <cell r="AD51">
            <v>333598.83703218447</v>
          </cell>
          <cell r="AE51">
            <v>469727.26453275001</v>
          </cell>
          <cell r="AF51">
            <v>17436.328800000003</v>
          </cell>
          <cell r="AG51">
            <v>59253.489375000005</v>
          </cell>
          <cell r="AH51">
            <v>0</v>
          </cell>
          <cell r="AI51">
            <v>930943.19028654892</v>
          </cell>
          <cell r="AK51">
            <v>1014728.0774123383</v>
          </cell>
        </row>
        <row r="52">
          <cell r="G52" t="str">
            <v>B16.7</v>
          </cell>
          <cell r="H52">
            <v>2935171.7719542244</v>
          </cell>
          <cell r="I52">
            <v>2</v>
          </cell>
          <cell r="J52">
            <v>5.74</v>
          </cell>
          <cell r="K52">
            <v>0.25</v>
          </cell>
          <cell r="L52">
            <v>0.35</v>
          </cell>
          <cell r="M52">
            <v>0.24412499999999998</v>
          </cell>
          <cell r="Q52">
            <v>44.720170199999998</v>
          </cell>
          <cell r="T52">
            <v>4.1929999999999996</v>
          </cell>
          <cell r="V52">
            <v>0</v>
          </cell>
          <cell r="W52">
            <v>6</v>
          </cell>
          <cell r="Y52">
            <v>0</v>
          </cell>
          <cell r="Z52">
            <v>0</v>
          </cell>
          <cell r="AA52">
            <v>0</v>
          </cell>
          <cell r="AB52">
            <v>18744.997998028266</v>
          </cell>
          <cell r="AC52">
            <v>0</v>
          </cell>
          <cell r="AD52">
            <v>448219.6565014217</v>
          </cell>
          <cell r="AE52">
            <v>172894.33615387499</v>
          </cell>
          <cell r="AF52">
            <v>17436.328800000003</v>
          </cell>
          <cell r="AG52">
            <v>59253.489375000005</v>
          </cell>
          <cell r="AH52">
            <v>0</v>
          </cell>
          <cell r="AI52">
            <v>716548.80882832501</v>
          </cell>
          <cell r="AK52">
            <v>781038.20162287436</v>
          </cell>
        </row>
        <row r="53">
          <cell r="G53" t="str">
            <v>B17.7</v>
          </cell>
          <cell r="H53">
            <v>2924088.5105268219</v>
          </cell>
          <cell r="I53">
            <v>2</v>
          </cell>
          <cell r="J53">
            <v>3.2270000000000003</v>
          </cell>
          <cell r="K53">
            <v>0.25</v>
          </cell>
          <cell r="L53">
            <v>0.35</v>
          </cell>
          <cell r="M53">
            <v>0.15662499999999999</v>
          </cell>
          <cell r="Q53">
            <v>25.775741700000005</v>
          </cell>
          <cell r="T53">
            <v>2.4339</v>
          </cell>
          <cell r="V53">
            <v>0</v>
          </cell>
          <cell r="W53">
            <v>3</v>
          </cell>
          <cell r="Y53">
            <v>0</v>
          </cell>
          <cell r="Z53">
            <v>0</v>
          </cell>
          <cell r="AA53">
            <v>0</v>
          </cell>
          <cell r="AB53">
            <v>12026.360722749316</v>
          </cell>
          <cell r="AC53">
            <v>0</v>
          </cell>
          <cell r="AD53">
            <v>258344.14402213914</v>
          </cell>
          <cell r="AE53">
            <v>110925.04004137499</v>
          </cell>
          <cell r="AF53">
            <v>17436.328800000003</v>
          </cell>
          <cell r="AG53">
            <v>59253.489375000005</v>
          </cell>
          <cell r="AH53">
            <v>0</v>
          </cell>
          <cell r="AI53">
            <v>457985.36296126345</v>
          </cell>
          <cell r="AK53">
            <v>499204.04562777717</v>
          </cell>
        </row>
        <row r="54">
          <cell r="G54" t="str">
            <v>B18.7</v>
          </cell>
          <cell r="H54">
            <v>2850741.2056105654</v>
          </cell>
          <cell r="I54">
            <v>2</v>
          </cell>
          <cell r="J54">
            <v>0.67</v>
          </cell>
          <cell r="K54">
            <v>0.25</v>
          </cell>
          <cell r="L54">
            <v>0.35</v>
          </cell>
          <cell r="M54">
            <v>0.278775</v>
          </cell>
          <cell r="Q54">
            <v>49.805210160000001</v>
          </cell>
          <cell r="T54">
            <v>0.64400000000000002</v>
          </cell>
          <cell r="V54">
            <v>0</v>
          </cell>
          <cell r="W54">
            <v>6</v>
          </cell>
          <cell r="Y54">
            <v>0</v>
          </cell>
          <cell r="Z54">
            <v>0</v>
          </cell>
          <cell r="AA54">
            <v>0</v>
          </cell>
          <cell r="AB54">
            <v>21405.578359038729</v>
          </cell>
          <cell r="AC54">
            <v>0</v>
          </cell>
          <cell r="AD54">
            <v>499185.80564562161</v>
          </cell>
          <cell r="AE54">
            <v>197434.17741442501</v>
          </cell>
          <cell r="AF54">
            <v>17436.328800000003</v>
          </cell>
          <cell r="AG54">
            <v>59253.489375000005</v>
          </cell>
          <cell r="AH54">
            <v>0</v>
          </cell>
          <cell r="AI54">
            <v>794715.37959408539</v>
          </cell>
          <cell r="AK54">
            <v>866239.76375755318</v>
          </cell>
        </row>
        <row r="55">
          <cell r="G55" t="str">
            <v>B19.7</v>
          </cell>
          <cell r="H55">
            <v>2880019.3862203257</v>
          </cell>
          <cell r="I55">
            <v>6</v>
          </cell>
          <cell r="J55">
            <v>1.8474999999999999</v>
          </cell>
          <cell r="K55">
            <v>0.25</v>
          </cell>
          <cell r="L55">
            <v>0.35</v>
          </cell>
          <cell r="M55">
            <v>0.16165624999999997</v>
          </cell>
          <cell r="Q55">
            <v>26.138736899999998</v>
          </cell>
          <cell r="T55">
            <v>1.4682500000000001</v>
          </cell>
          <cell r="V55">
            <v>0</v>
          </cell>
          <cell r="W55">
            <v>3</v>
          </cell>
          <cell r="Y55">
            <v>0</v>
          </cell>
          <cell r="Z55">
            <v>0</v>
          </cell>
          <cell r="AA55">
            <v>0</v>
          </cell>
          <cell r="AB55">
            <v>12412.682366077855</v>
          </cell>
          <cell r="AC55">
            <v>0</v>
          </cell>
          <cell r="AD55">
            <v>261982.35879475781</v>
          </cell>
          <cell r="AE55">
            <v>114488.27456784373</v>
          </cell>
          <cell r="AF55">
            <v>17436.328800000003</v>
          </cell>
          <cell r="AG55">
            <v>59253.489375000005</v>
          </cell>
          <cell r="AH55">
            <v>0</v>
          </cell>
          <cell r="AI55">
            <v>465573.13390367944</v>
          </cell>
          <cell r="AK55">
            <v>507474.71595501062</v>
          </cell>
        </row>
        <row r="56">
          <cell r="G56" t="str">
            <v>B20.7</v>
          </cell>
          <cell r="H56">
            <v>3386432.2377098962</v>
          </cell>
          <cell r="I56">
            <v>1</v>
          </cell>
          <cell r="J56">
            <v>5.74</v>
          </cell>
          <cell r="K56">
            <v>0.25</v>
          </cell>
          <cell r="L56">
            <v>0.35</v>
          </cell>
          <cell r="M56">
            <v>0.50224999999999997</v>
          </cell>
          <cell r="Q56">
            <v>109.45834199999999</v>
          </cell>
          <cell r="T56">
            <v>4.1929999999999996</v>
          </cell>
          <cell r="V56">
            <v>0</v>
          </cell>
          <cell r="W56">
            <v>0</v>
          </cell>
          <cell r="Y56">
            <v>9</v>
          </cell>
          <cell r="Z56">
            <v>0</v>
          </cell>
          <cell r="AA56">
            <v>0</v>
          </cell>
          <cell r="AB56">
            <v>38564.977960101161</v>
          </cell>
          <cell r="AC56">
            <v>132802.04160000003</v>
          </cell>
          <cell r="AD56">
            <v>1097074.9939689438</v>
          </cell>
          <cell r="AE56">
            <v>355703.75968575</v>
          </cell>
          <cell r="AF56">
            <v>17436.328800000003</v>
          </cell>
          <cell r="AG56">
            <v>59253.489375000005</v>
          </cell>
          <cell r="AH56">
            <v>0</v>
          </cell>
          <cell r="AI56">
            <v>1700835.5913897953</v>
          </cell>
          <cell r="AK56">
            <v>1853910.7946148771</v>
          </cell>
        </row>
        <row r="57">
          <cell r="G57" t="str">
            <v>B20A.7</v>
          </cell>
          <cell r="H57">
            <v>3386432.2377098962</v>
          </cell>
          <cell r="I57">
            <v>1</v>
          </cell>
          <cell r="J57">
            <v>5.74</v>
          </cell>
          <cell r="K57">
            <v>0.25</v>
          </cell>
          <cell r="L57">
            <v>0.35</v>
          </cell>
          <cell r="M57">
            <v>0.50224999999999997</v>
          </cell>
          <cell r="Q57">
            <v>109.45834199999999</v>
          </cell>
          <cell r="T57">
            <v>4.1929999999999996</v>
          </cell>
          <cell r="V57">
            <v>0</v>
          </cell>
          <cell r="W57">
            <v>0</v>
          </cell>
          <cell r="Y57">
            <v>9</v>
          </cell>
          <cell r="Z57">
            <v>0</v>
          </cell>
          <cell r="AA57">
            <v>0</v>
          </cell>
          <cell r="AB57">
            <v>38564.977960101161</v>
          </cell>
          <cell r="AC57">
            <v>132802.04160000003</v>
          </cell>
          <cell r="AD57">
            <v>1097074.9939689438</v>
          </cell>
          <cell r="AE57">
            <v>355703.75968575</v>
          </cell>
          <cell r="AF57">
            <v>17436.328800000003</v>
          </cell>
          <cell r="AG57">
            <v>59253.489375000005</v>
          </cell>
          <cell r="AH57">
            <v>0</v>
          </cell>
          <cell r="AI57">
            <v>1700835.5913897953</v>
          </cell>
          <cell r="AK57">
            <v>1853910.7946148771</v>
          </cell>
        </row>
        <row r="58">
          <cell r="G58" t="str">
            <v>B20B.7</v>
          </cell>
          <cell r="H58">
            <v>3386432.2377098962</v>
          </cell>
          <cell r="I58">
            <v>1</v>
          </cell>
          <cell r="J58">
            <v>5.74</v>
          </cell>
          <cell r="K58">
            <v>0.25</v>
          </cell>
          <cell r="L58">
            <v>0.35</v>
          </cell>
          <cell r="M58">
            <v>0.50224999999999997</v>
          </cell>
          <cell r="Q58">
            <v>109.45834199999999</v>
          </cell>
          <cell r="T58">
            <v>4.1929999999999996</v>
          </cell>
          <cell r="V58">
            <v>0</v>
          </cell>
          <cell r="W58">
            <v>0</v>
          </cell>
          <cell r="Y58">
            <v>9</v>
          </cell>
          <cell r="Z58">
            <v>0</v>
          </cell>
          <cell r="AA58">
            <v>0</v>
          </cell>
          <cell r="AB58">
            <v>38564.977960101161</v>
          </cell>
          <cell r="AC58">
            <v>132802.04160000003</v>
          </cell>
          <cell r="AD58">
            <v>1097074.9939689438</v>
          </cell>
          <cell r="AE58">
            <v>355703.75968575</v>
          </cell>
          <cell r="AF58">
            <v>17436.328800000003</v>
          </cell>
          <cell r="AG58">
            <v>59253.489375000005</v>
          </cell>
          <cell r="AH58">
            <v>0</v>
          </cell>
          <cell r="AI58">
            <v>1700835.5913897953</v>
          </cell>
          <cell r="AK58">
            <v>1853910.7946148771</v>
          </cell>
        </row>
        <row r="59">
          <cell r="G59" t="str">
            <v>B21.7</v>
          </cell>
          <cell r="H59">
            <v>3243217.2963754633</v>
          </cell>
          <cell r="I59">
            <v>1</v>
          </cell>
          <cell r="J59">
            <v>6.9550000000000001</v>
          </cell>
          <cell r="K59">
            <v>0.25</v>
          </cell>
          <cell r="L59">
            <v>0.35</v>
          </cell>
          <cell r="M59">
            <v>0.60856250000000001</v>
          </cell>
          <cell r="Q59">
            <v>128.35622475</v>
          </cell>
          <cell r="T59">
            <v>5.0434999999999999</v>
          </cell>
          <cell r="V59">
            <v>0</v>
          </cell>
          <cell r="W59">
            <v>0</v>
          </cell>
          <cell r="Y59">
            <v>9</v>
          </cell>
          <cell r="Z59">
            <v>0</v>
          </cell>
          <cell r="AA59">
            <v>0</v>
          </cell>
          <cell r="AB59">
            <v>46728.122249565087</v>
          </cell>
          <cell r="AC59">
            <v>132802.04160000003</v>
          </cell>
          <cell r="AD59">
            <v>1286483.9894384902</v>
          </cell>
          <cell r="AE59">
            <v>430996.45446243748</v>
          </cell>
          <cell r="AF59">
            <v>17436.328800000003</v>
          </cell>
          <cell r="AG59">
            <v>59253.489375000005</v>
          </cell>
          <cell r="AH59">
            <v>0</v>
          </cell>
          <cell r="AI59">
            <v>1973700.4259254928</v>
          </cell>
          <cell r="AK59">
            <v>2151333.4642587872</v>
          </cell>
        </row>
        <row r="60">
          <cell r="G60" t="str">
            <v>B22.7</v>
          </cell>
          <cell r="H60">
            <v>3287038.9783113957</v>
          </cell>
          <cell r="I60">
            <v>1</v>
          </cell>
          <cell r="J60">
            <v>6.5173000000000005</v>
          </cell>
          <cell r="K60">
            <v>0.25</v>
          </cell>
          <cell r="L60">
            <v>0.35</v>
          </cell>
          <cell r="M60">
            <v>0.57026374999999996</v>
          </cell>
          <cell r="Q60">
            <v>121.45627660500001</v>
          </cell>
          <cell r="T60">
            <v>4.7371100000000004</v>
          </cell>
          <cell r="V60">
            <v>0</v>
          </cell>
          <cell r="W60">
            <v>0</v>
          </cell>
          <cell r="Y60">
            <v>9</v>
          </cell>
          <cell r="Z60">
            <v>0</v>
          </cell>
          <cell r="AA60">
            <v>0</v>
          </cell>
          <cell r="AB60">
            <v>43787.374714175487</v>
          </cell>
          <cell r="AC60">
            <v>132802.04160000003</v>
          </cell>
          <cell r="AD60">
            <v>1217327.4461248533</v>
          </cell>
          <cell r="AE60">
            <v>403872.4935539962</v>
          </cell>
          <cell r="AF60">
            <v>17436.328800000003</v>
          </cell>
          <cell r="AG60">
            <v>59253.489375000005</v>
          </cell>
          <cell r="AH60">
            <v>0</v>
          </cell>
          <cell r="AI60">
            <v>1874479.1741680251</v>
          </cell>
          <cell r="AK60">
            <v>2043182.2998431476</v>
          </cell>
        </row>
        <row r="61">
          <cell r="G61" t="str">
            <v>B1.3</v>
          </cell>
          <cell r="H61">
            <v>3524691.8253551861</v>
          </cell>
          <cell r="I61">
            <v>32</v>
          </cell>
          <cell r="J61">
            <v>3.74</v>
          </cell>
          <cell r="K61">
            <v>0.25</v>
          </cell>
          <cell r="L61">
            <v>0.35</v>
          </cell>
          <cell r="M61">
            <v>0.32724999999999999</v>
          </cell>
          <cell r="Q61">
            <v>72.967707000000004</v>
          </cell>
          <cell r="T61">
            <v>2.7930000000000001</v>
          </cell>
          <cell r="V61">
            <v>0</v>
          </cell>
          <cell r="W61">
            <v>0</v>
          </cell>
          <cell r="Y61">
            <v>6</v>
          </cell>
          <cell r="Z61">
            <v>0</v>
          </cell>
          <cell r="AA61">
            <v>0</v>
          </cell>
          <cell r="AB61">
            <v>25127.703409543265</v>
          </cell>
          <cell r="AC61">
            <v>88534.694400000008</v>
          </cell>
          <cell r="AD61">
            <v>731338.01640219137</v>
          </cell>
          <cell r="AE61">
            <v>231765.16746075</v>
          </cell>
          <cell r="AF61">
            <v>17436.328800000003</v>
          </cell>
          <cell r="AG61">
            <v>59253.489375000005</v>
          </cell>
          <cell r="AH61">
            <v>0</v>
          </cell>
          <cell r="AI61">
            <v>1153455.3998474847</v>
          </cell>
          <cell r="AL61">
            <v>1291870.0478291831</v>
          </cell>
        </row>
        <row r="62">
          <cell r="G62" t="str">
            <v>B1A.3</v>
          </cell>
          <cell r="H62">
            <v>3524691.8253551861</v>
          </cell>
          <cell r="I62">
            <v>15</v>
          </cell>
          <cell r="J62">
            <v>3.74</v>
          </cell>
          <cell r="K62">
            <v>0.25</v>
          </cell>
          <cell r="L62">
            <v>0.35</v>
          </cell>
          <cell r="M62">
            <v>0.32724999999999999</v>
          </cell>
          <cell r="Q62">
            <v>72.967707000000004</v>
          </cell>
          <cell r="T62">
            <v>2.7930000000000001</v>
          </cell>
          <cell r="V62">
            <v>0</v>
          </cell>
          <cell r="W62">
            <v>0</v>
          </cell>
          <cell r="Y62">
            <v>6</v>
          </cell>
          <cell r="Z62">
            <v>0</v>
          </cell>
          <cell r="AA62">
            <v>0</v>
          </cell>
          <cell r="AB62">
            <v>25127.703409543265</v>
          </cell>
          <cell r="AC62">
            <v>88534.694400000008</v>
          </cell>
          <cell r="AD62">
            <v>731338.01640219137</v>
          </cell>
          <cell r="AE62">
            <v>231765.16746075</v>
          </cell>
          <cell r="AF62">
            <v>17436.328800000003</v>
          </cell>
          <cell r="AG62">
            <v>59253.489375000005</v>
          </cell>
          <cell r="AH62">
            <v>0</v>
          </cell>
          <cell r="AI62">
            <v>1153455.3998474847</v>
          </cell>
          <cell r="AL62">
            <v>1291870.0478291831</v>
          </cell>
        </row>
        <row r="63">
          <cell r="G63" t="str">
            <v>B2.3</v>
          </cell>
          <cell r="H63">
            <v>3673855.6014275118</v>
          </cell>
          <cell r="I63">
            <v>21</v>
          </cell>
          <cell r="J63">
            <v>4.24</v>
          </cell>
          <cell r="K63">
            <v>0.25</v>
          </cell>
          <cell r="L63">
            <v>0.35</v>
          </cell>
          <cell r="M63">
            <v>0.371</v>
          </cell>
          <cell r="Q63">
            <v>86.031342000000009</v>
          </cell>
          <cell r="T63">
            <v>3.1429999999999998</v>
          </cell>
          <cell r="V63">
            <v>0</v>
          </cell>
          <cell r="W63">
            <v>0</v>
          </cell>
          <cell r="Y63">
            <v>9</v>
          </cell>
          <cell r="Z63">
            <v>0</v>
          </cell>
          <cell r="AA63">
            <v>0</v>
          </cell>
          <cell r="AB63">
            <v>28487.022047182742</v>
          </cell>
          <cell r="AC63">
            <v>132802.04160000003</v>
          </cell>
          <cell r="AD63">
            <v>862271.73079042393</v>
          </cell>
          <cell r="AE63">
            <v>262749.81551699998</v>
          </cell>
          <cell r="AF63">
            <v>17436.328800000003</v>
          </cell>
          <cell r="AG63">
            <v>59253.489375000005</v>
          </cell>
          <cell r="AH63">
            <v>0</v>
          </cell>
          <cell r="AI63">
            <v>1363000.4281296069</v>
          </cell>
          <cell r="AL63">
            <v>1526560.4795051599</v>
          </cell>
        </row>
        <row r="64">
          <cell r="G64" t="str">
            <v>BA.3</v>
          </cell>
          <cell r="H64">
            <v>3673855.6014275104</v>
          </cell>
          <cell r="I64">
            <v>2</v>
          </cell>
          <cell r="J64">
            <v>4.24</v>
          </cell>
          <cell r="K64">
            <v>0.25</v>
          </cell>
          <cell r="L64">
            <v>0.35</v>
          </cell>
          <cell r="M64">
            <v>0.371</v>
          </cell>
          <cell r="Q64">
            <v>86.031341999999995</v>
          </cell>
          <cell r="T64">
            <v>3.1429999999999998</v>
          </cell>
          <cell r="V64">
            <v>0</v>
          </cell>
          <cell r="W64">
            <v>0</v>
          </cell>
          <cell r="Y64">
            <v>9</v>
          </cell>
          <cell r="Z64">
            <v>0</v>
          </cell>
          <cell r="AA64">
            <v>0</v>
          </cell>
          <cell r="AB64">
            <v>28487.022047182742</v>
          </cell>
          <cell r="AC64">
            <v>132802.04160000003</v>
          </cell>
          <cell r="AD64">
            <v>862271.73079042381</v>
          </cell>
          <cell r="AE64">
            <v>262749.81551699998</v>
          </cell>
          <cell r="AF64">
            <v>17436.328800000003</v>
          </cell>
          <cell r="AG64">
            <v>59253.489375000005</v>
          </cell>
          <cell r="AH64">
            <v>0</v>
          </cell>
          <cell r="AI64">
            <v>1363000.4281296064</v>
          </cell>
          <cell r="AL64">
            <v>1526560.4795051594</v>
          </cell>
        </row>
        <row r="65">
          <cell r="G65" t="str">
            <v>B3.3</v>
          </cell>
          <cell r="H65">
            <v>3524691.8253551861</v>
          </cell>
          <cell r="I65">
            <v>4</v>
          </cell>
          <cell r="J65">
            <v>3.74</v>
          </cell>
          <cell r="K65">
            <v>0.25</v>
          </cell>
          <cell r="L65">
            <v>0.35</v>
          </cell>
          <cell r="M65">
            <v>0.32724999999999999</v>
          </cell>
          <cell r="Q65">
            <v>72.967707000000004</v>
          </cell>
          <cell r="T65">
            <v>2.7930000000000001</v>
          </cell>
          <cell r="V65">
            <v>0</v>
          </cell>
          <cell r="W65">
            <v>0</v>
          </cell>
          <cell r="Y65">
            <v>6</v>
          </cell>
          <cell r="Z65">
            <v>0</v>
          </cell>
          <cell r="AA65">
            <v>0</v>
          </cell>
          <cell r="AB65">
            <v>25127.703409543265</v>
          </cell>
          <cell r="AC65">
            <v>88534.694400000008</v>
          </cell>
          <cell r="AD65">
            <v>731338.01640219137</v>
          </cell>
          <cell r="AE65">
            <v>231765.16746075</v>
          </cell>
          <cell r="AF65">
            <v>17436.328800000003</v>
          </cell>
          <cell r="AG65">
            <v>59253.489375000005</v>
          </cell>
          <cell r="AH65">
            <v>0</v>
          </cell>
          <cell r="AI65">
            <v>1153455.3998474847</v>
          </cell>
          <cell r="AL65">
            <v>1291870.0478291831</v>
          </cell>
        </row>
        <row r="66">
          <cell r="G66" t="str">
            <v>B4.3</v>
          </cell>
          <cell r="H66">
            <v>3524691.8253551861</v>
          </cell>
          <cell r="I66">
            <v>4</v>
          </cell>
          <cell r="J66">
            <v>3.74</v>
          </cell>
          <cell r="K66">
            <v>0.25</v>
          </cell>
          <cell r="L66">
            <v>0.35</v>
          </cell>
          <cell r="M66">
            <v>0.32724999999999999</v>
          </cell>
          <cell r="Q66">
            <v>72.967707000000004</v>
          </cell>
          <cell r="T66">
            <v>2.7930000000000001</v>
          </cell>
          <cell r="V66">
            <v>0</v>
          </cell>
          <cell r="W66">
            <v>0</v>
          </cell>
          <cell r="Y66">
            <v>6</v>
          </cell>
          <cell r="Z66">
            <v>0</v>
          </cell>
          <cell r="AA66">
            <v>0</v>
          </cell>
          <cell r="AB66">
            <v>25127.703409543265</v>
          </cell>
          <cell r="AC66">
            <v>88534.694400000008</v>
          </cell>
          <cell r="AD66">
            <v>731338.01640219137</v>
          </cell>
          <cell r="AE66">
            <v>231765.16746075</v>
          </cell>
          <cell r="AF66">
            <v>17436.328800000003</v>
          </cell>
          <cell r="AG66">
            <v>59253.489375000005</v>
          </cell>
          <cell r="AH66">
            <v>0</v>
          </cell>
          <cell r="AI66">
            <v>1153455.3998474847</v>
          </cell>
          <cell r="AL66">
            <v>1291870.0478291831</v>
          </cell>
        </row>
        <row r="67">
          <cell r="G67" t="str">
            <v>B4'.3</v>
          </cell>
          <cell r="H67">
            <v>3524691.8253551861</v>
          </cell>
          <cell r="I67">
            <v>4</v>
          </cell>
          <cell r="J67">
            <v>3.74</v>
          </cell>
          <cell r="K67">
            <v>0.25</v>
          </cell>
          <cell r="L67">
            <v>0.35</v>
          </cell>
          <cell r="M67">
            <v>0.32724999999999999</v>
          </cell>
          <cell r="Q67">
            <v>72.967707000000004</v>
          </cell>
          <cell r="T67">
            <v>2.7930000000000001</v>
          </cell>
          <cell r="V67">
            <v>0</v>
          </cell>
          <cell r="W67">
            <v>0</v>
          </cell>
          <cell r="Y67">
            <v>6</v>
          </cell>
          <cell r="Z67">
            <v>0</v>
          </cell>
          <cell r="AA67">
            <v>0</v>
          </cell>
          <cell r="AB67">
            <v>25127.703409543265</v>
          </cell>
          <cell r="AC67">
            <v>88534.694400000008</v>
          </cell>
          <cell r="AD67">
            <v>731338.01640219137</v>
          </cell>
          <cell r="AE67">
            <v>231765.16746075</v>
          </cell>
          <cell r="AF67">
            <v>17436.328800000003</v>
          </cell>
          <cell r="AG67">
            <v>59253.489375000005</v>
          </cell>
          <cell r="AH67">
            <v>0</v>
          </cell>
          <cell r="AI67">
            <v>1153455.3998474847</v>
          </cell>
          <cell r="AL67">
            <v>1291870.0478291831</v>
          </cell>
        </row>
        <row r="68">
          <cell r="G68" t="str">
            <v>B4".3</v>
          </cell>
          <cell r="H68">
            <v>3524691.8253551861</v>
          </cell>
          <cell r="I68">
            <v>4</v>
          </cell>
          <cell r="J68">
            <v>3.74</v>
          </cell>
          <cell r="K68">
            <v>0.25</v>
          </cell>
          <cell r="L68">
            <v>0.35</v>
          </cell>
          <cell r="M68">
            <v>0.32724999999999999</v>
          </cell>
          <cell r="Q68">
            <v>72.967707000000004</v>
          </cell>
          <cell r="T68">
            <v>2.7930000000000001</v>
          </cell>
          <cell r="V68">
            <v>0</v>
          </cell>
          <cell r="W68">
            <v>0</v>
          </cell>
          <cell r="Y68">
            <v>6</v>
          </cell>
          <cell r="Z68">
            <v>0</v>
          </cell>
          <cell r="AA68">
            <v>0</v>
          </cell>
          <cell r="AB68">
            <v>25127.703409543265</v>
          </cell>
          <cell r="AC68">
            <v>88534.694400000008</v>
          </cell>
          <cell r="AD68">
            <v>731338.01640219137</v>
          </cell>
          <cell r="AE68">
            <v>231765.16746075</v>
          </cell>
          <cell r="AF68">
            <v>17436.328800000003</v>
          </cell>
          <cell r="AG68">
            <v>59253.489375000005</v>
          </cell>
          <cell r="AH68">
            <v>0</v>
          </cell>
          <cell r="AI68">
            <v>1153455.3998474847</v>
          </cell>
          <cell r="AL68">
            <v>1291870.0478291831</v>
          </cell>
        </row>
        <row r="69">
          <cell r="G69" t="str">
            <v>B5.3</v>
          </cell>
          <cell r="H69">
            <v>3199602.3591309367</v>
          </cell>
          <cell r="I69">
            <v>2</v>
          </cell>
          <cell r="J69">
            <v>1.34</v>
          </cell>
          <cell r="K69">
            <v>0.25</v>
          </cell>
          <cell r="L69">
            <v>0.35</v>
          </cell>
          <cell r="M69">
            <v>0.11724999999999999</v>
          </cell>
          <cell r="Q69">
            <v>20.595292200000003</v>
          </cell>
          <cell r="T69">
            <v>1.113</v>
          </cell>
          <cell r="V69">
            <v>0</v>
          </cell>
          <cell r="W69">
            <v>6</v>
          </cell>
          <cell r="Y69">
            <v>0</v>
          </cell>
          <cell r="Z69">
            <v>0</v>
          </cell>
          <cell r="AA69">
            <v>0</v>
          </cell>
          <cell r="AB69">
            <v>9002.9739488737905</v>
          </cell>
          <cell r="AC69">
            <v>0</v>
          </cell>
          <cell r="AD69">
            <v>206421.72769347849</v>
          </cell>
          <cell r="AE69">
            <v>83038.856790749996</v>
          </cell>
          <cell r="AF69">
            <v>17436.328800000003</v>
          </cell>
          <cell r="AG69">
            <v>59253.489375000005</v>
          </cell>
          <cell r="AH69">
            <v>0</v>
          </cell>
          <cell r="AI69">
            <v>375153.37660810229</v>
          </cell>
          <cell r="AL69">
            <v>420171.78180107463</v>
          </cell>
        </row>
        <row r="70">
          <cell r="G70" t="str">
            <v>B6.3</v>
          </cell>
          <cell r="H70">
            <v>3285081.622242495</v>
          </cell>
          <cell r="I70">
            <v>2</v>
          </cell>
          <cell r="J70">
            <v>4.34</v>
          </cell>
          <cell r="K70">
            <v>0.25</v>
          </cell>
          <cell r="L70">
            <v>0.35</v>
          </cell>
          <cell r="M70">
            <v>0.37974999999999998</v>
          </cell>
          <cell r="Q70">
            <v>87.073227000000003</v>
          </cell>
          <cell r="T70">
            <v>3.2129999999999996</v>
          </cell>
          <cell r="V70">
            <v>0</v>
          </cell>
          <cell r="W70">
            <v>0</v>
          </cell>
          <cell r="Y70">
            <v>9</v>
          </cell>
          <cell r="Z70">
            <v>0</v>
          </cell>
          <cell r="AA70">
            <v>0</v>
          </cell>
          <cell r="AB70">
            <v>29158.885774710634</v>
          </cell>
          <cell r="AC70">
            <v>0</v>
          </cell>
          <cell r="AD70">
            <v>872714.29696862656</v>
          </cell>
          <cell r="AE70">
            <v>268946.74512824998</v>
          </cell>
          <cell r="AF70">
            <v>17436.328800000003</v>
          </cell>
          <cell r="AG70">
            <v>59253.489375000005</v>
          </cell>
          <cell r="AH70">
            <v>0</v>
          </cell>
          <cell r="AI70">
            <v>1247509.7460465874</v>
          </cell>
          <cell r="AL70">
            <v>1397210.9155721781</v>
          </cell>
        </row>
        <row r="71">
          <cell r="G71" t="str">
            <v>B6'.3</v>
          </cell>
          <cell r="H71">
            <v>3285081.622242495</v>
          </cell>
          <cell r="I71">
            <v>2</v>
          </cell>
          <cell r="J71">
            <v>4.34</v>
          </cell>
          <cell r="K71">
            <v>0.25</v>
          </cell>
          <cell r="L71">
            <v>0.35</v>
          </cell>
          <cell r="M71">
            <v>0.37974999999999998</v>
          </cell>
          <cell r="Q71">
            <v>87.073227000000003</v>
          </cell>
          <cell r="T71">
            <v>3.2129999999999996</v>
          </cell>
          <cell r="V71">
            <v>0</v>
          </cell>
          <cell r="W71">
            <v>0</v>
          </cell>
          <cell r="Y71">
            <v>9</v>
          </cell>
          <cell r="Z71">
            <v>0</v>
          </cell>
          <cell r="AA71">
            <v>0</v>
          </cell>
          <cell r="AB71">
            <v>29158.885774710634</v>
          </cell>
          <cell r="AC71">
            <v>0</v>
          </cell>
          <cell r="AD71">
            <v>872714.29696862656</v>
          </cell>
          <cell r="AE71">
            <v>268946.74512824998</v>
          </cell>
          <cell r="AF71">
            <v>17436.328800000003</v>
          </cell>
          <cell r="AG71">
            <v>59253.489375000005</v>
          </cell>
          <cell r="AH71">
            <v>0</v>
          </cell>
          <cell r="AI71">
            <v>1247509.7460465874</v>
          </cell>
          <cell r="AL71">
            <v>1397210.9155721781</v>
          </cell>
        </row>
        <row r="72">
          <cell r="G72" t="str">
            <v>B6".3</v>
          </cell>
          <cell r="H72">
            <v>3634790.7508797566</v>
          </cell>
          <cell r="I72">
            <v>2</v>
          </cell>
          <cell r="J72">
            <v>4.34</v>
          </cell>
          <cell r="K72">
            <v>0.25</v>
          </cell>
          <cell r="L72">
            <v>0.35</v>
          </cell>
          <cell r="M72">
            <v>0.37974999999999998</v>
          </cell>
          <cell r="Q72">
            <v>87.073227000000003</v>
          </cell>
          <cell r="T72">
            <v>3.2129999999999996</v>
          </cell>
          <cell r="V72">
            <v>0</v>
          </cell>
          <cell r="W72">
            <v>0</v>
          </cell>
          <cell r="Y72">
            <v>9</v>
          </cell>
          <cell r="Z72">
            <v>0</v>
          </cell>
          <cell r="AA72">
            <v>0</v>
          </cell>
          <cell r="AB72">
            <v>29158.885774710634</v>
          </cell>
          <cell r="AC72">
            <v>132802.04160000003</v>
          </cell>
          <cell r="AD72">
            <v>872714.29696862656</v>
          </cell>
          <cell r="AE72">
            <v>268946.74512824998</v>
          </cell>
          <cell r="AF72">
            <v>17436.328800000003</v>
          </cell>
          <cell r="AG72">
            <v>59253.489375000005</v>
          </cell>
          <cell r="AH72">
            <v>0</v>
          </cell>
          <cell r="AI72">
            <v>1380311.7876465875</v>
          </cell>
          <cell r="AL72">
            <v>1545949.202164178</v>
          </cell>
        </row>
        <row r="73">
          <cell r="G73" t="str">
            <v>B6A.3</v>
          </cell>
          <cell r="H73">
            <v>3315898.6159827677</v>
          </cell>
          <cell r="I73">
            <v>2</v>
          </cell>
          <cell r="J73">
            <v>4.24</v>
          </cell>
          <cell r="K73">
            <v>0.25</v>
          </cell>
          <cell r="L73">
            <v>0.35</v>
          </cell>
          <cell r="M73">
            <v>0.371</v>
          </cell>
          <cell r="Q73">
            <v>86.031341999999995</v>
          </cell>
          <cell r="T73">
            <v>3.1429999999999998</v>
          </cell>
          <cell r="V73">
            <v>0</v>
          </cell>
          <cell r="W73">
            <v>0</v>
          </cell>
          <cell r="Y73">
            <v>9</v>
          </cell>
          <cell r="Z73">
            <v>0</v>
          </cell>
          <cell r="AA73">
            <v>0</v>
          </cell>
          <cell r="AB73">
            <v>28487.022047182742</v>
          </cell>
          <cell r="AC73">
            <v>0</v>
          </cell>
          <cell r="AD73">
            <v>862271.73079042381</v>
          </cell>
          <cell r="AE73">
            <v>262749.81551699998</v>
          </cell>
          <cell r="AF73">
            <v>17436.328800000003</v>
          </cell>
          <cell r="AG73">
            <v>59253.489375000005</v>
          </cell>
          <cell r="AH73">
            <v>0</v>
          </cell>
          <cell r="AI73">
            <v>1230198.3865296068</v>
          </cell>
          <cell r="AL73">
            <v>1377822.1929131597</v>
          </cell>
        </row>
        <row r="74">
          <cell r="G74" t="str">
            <v>B7.3</v>
          </cell>
          <cell r="H74">
            <v>3132823.6494934172</v>
          </cell>
          <cell r="I74">
            <v>7</v>
          </cell>
          <cell r="J74">
            <v>1.99</v>
          </cell>
          <cell r="K74">
            <v>0.25</v>
          </cell>
          <cell r="L74">
            <v>0.35</v>
          </cell>
          <cell r="M74">
            <v>0.174125</v>
          </cell>
          <cell r="Q74">
            <v>27.818206200000002</v>
          </cell>
          <cell r="T74">
            <v>1.5680000000000001</v>
          </cell>
          <cell r="V74">
            <v>0</v>
          </cell>
          <cell r="W74">
            <v>6</v>
          </cell>
          <cell r="Y74">
            <v>0</v>
          </cell>
          <cell r="Z74">
            <v>0</v>
          </cell>
          <cell r="AA74">
            <v>0</v>
          </cell>
          <cell r="AB74">
            <v>13370.088177805108</v>
          </cell>
          <cell r="AC74">
            <v>53308.831200000001</v>
          </cell>
          <cell r="AD74">
            <v>278815.28115136112</v>
          </cell>
          <cell r="AE74">
            <v>123318.89926387501</v>
          </cell>
          <cell r="AF74">
            <v>17436.328800000003</v>
          </cell>
          <cell r="AG74">
            <v>59253.489375000005</v>
          </cell>
          <cell r="AH74">
            <v>0</v>
          </cell>
          <cell r="AI74">
            <v>545502.91796804126</v>
          </cell>
          <cell r="AL74">
            <v>610963.26812420622</v>
          </cell>
        </row>
        <row r="75">
          <cell r="G75" t="str">
            <v>B7A.3</v>
          </cell>
          <cell r="H75">
            <v>3132823.6494934172</v>
          </cell>
          <cell r="I75">
            <v>2</v>
          </cell>
          <cell r="J75">
            <v>1.99</v>
          </cell>
          <cell r="K75">
            <v>0.25</v>
          </cell>
          <cell r="L75">
            <v>0.35</v>
          </cell>
          <cell r="M75">
            <v>0.174125</v>
          </cell>
          <cell r="Q75">
            <v>27.818206200000002</v>
          </cell>
          <cell r="T75">
            <v>1.5680000000000001</v>
          </cell>
          <cell r="V75">
            <v>0</v>
          </cell>
          <cell r="W75">
            <v>6</v>
          </cell>
          <cell r="Y75">
            <v>0</v>
          </cell>
          <cell r="Z75">
            <v>0</v>
          </cell>
          <cell r="AA75">
            <v>0</v>
          </cell>
          <cell r="AB75">
            <v>13370.088177805108</v>
          </cell>
          <cell r="AC75">
            <v>53308.831200000001</v>
          </cell>
          <cell r="AD75">
            <v>278815.28115136112</v>
          </cell>
          <cell r="AE75">
            <v>123318.89926387501</v>
          </cell>
          <cell r="AF75">
            <v>17436.328800000003</v>
          </cell>
          <cell r="AG75">
            <v>59253.489375000005</v>
          </cell>
          <cell r="AH75">
            <v>0</v>
          </cell>
          <cell r="AI75">
            <v>545502.91796804126</v>
          </cell>
          <cell r="AL75">
            <v>610963.26812420622</v>
          </cell>
        </row>
        <row r="76">
          <cell r="G76" t="str">
            <v>B8.3</v>
          </cell>
          <cell r="H76">
            <v>3254150.3604201218</v>
          </cell>
          <cell r="I76">
            <v>13</v>
          </cell>
          <cell r="J76">
            <v>3.74</v>
          </cell>
          <cell r="K76">
            <v>0.25</v>
          </cell>
          <cell r="L76">
            <v>0.35</v>
          </cell>
          <cell r="M76">
            <v>0.32724999999999999</v>
          </cell>
          <cell r="Q76">
            <v>72.967707000000004</v>
          </cell>
          <cell r="T76">
            <v>2.7930000000000001</v>
          </cell>
          <cell r="V76">
            <v>0</v>
          </cell>
          <cell r="W76">
            <v>0</v>
          </cell>
          <cell r="Y76">
            <v>6</v>
          </cell>
          <cell r="Z76">
            <v>0</v>
          </cell>
          <cell r="AA76">
            <v>0</v>
          </cell>
          <cell r="AB76">
            <v>25127.703409543265</v>
          </cell>
          <cell r="AC76">
            <v>0</v>
          </cell>
          <cell r="AD76">
            <v>731338.01640219137</v>
          </cell>
          <cell r="AE76">
            <v>231765.16746075</v>
          </cell>
          <cell r="AF76">
            <v>17436.328800000003</v>
          </cell>
          <cell r="AG76">
            <v>59253.489375000005</v>
          </cell>
          <cell r="AH76">
            <v>0</v>
          </cell>
          <cell r="AI76">
            <v>1064920.7054474847</v>
          </cell>
          <cell r="AL76">
            <v>1192711.190101183</v>
          </cell>
        </row>
        <row r="77">
          <cell r="G77" t="str">
            <v>B9.3</v>
          </cell>
          <cell r="H77">
            <v>3108061.2488301028</v>
          </cell>
          <cell r="I77">
            <v>2</v>
          </cell>
          <cell r="J77">
            <v>5.8900000000000006</v>
          </cell>
          <cell r="K77">
            <v>0.25</v>
          </cell>
          <cell r="L77">
            <v>0.35</v>
          </cell>
          <cell r="M77">
            <v>0.51537500000000003</v>
          </cell>
          <cell r="Q77">
            <v>111.80104200000002</v>
          </cell>
          <cell r="T77">
            <v>4.298</v>
          </cell>
          <cell r="V77">
            <v>0</v>
          </cell>
          <cell r="W77">
            <v>0</v>
          </cell>
          <cell r="Y77">
            <v>9</v>
          </cell>
          <cell r="Z77">
            <v>0</v>
          </cell>
          <cell r="AA77">
            <v>0</v>
          </cell>
          <cell r="AB77">
            <v>39572.773551393009</v>
          </cell>
          <cell r="AC77">
            <v>0</v>
          </cell>
          <cell r="AD77">
            <v>1120555.3202867962</v>
          </cell>
          <cell r="AE77">
            <v>364999.15410262503</v>
          </cell>
          <cell r="AF77">
            <v>17436.328800000003</v>
          </cell>
          <cell r="AG77">
            <v>59253.489375000005</v>
          </cell>
          <cell r="AH77">
            <v>0</v>
          </cell>
          <cell r="AI77">
            <v>1601817.0661158143</v>
          </cell>
          <cell r="AL77">
            <v>1794035.1140497122</v>
          </cell>
        </row>
        <row r="78">
          <cell r="G78" t="str">
            <v>B10.3</v>
          </cell>
          <cell r="H78">
            <v>3088898.6037788675</v>
          </cell>
          <cell r="I78">
            <v>2</v>
          </cell>
          <cell r="J78">
            <v>3</v>
          </cell>
          <cell r="K78">
            <v>0.25</v>
          </cell>
          <cell r="L78">
            <v>0.35</v>
          </cell>
          <cell r="M78">
            <v>0.26249999999999996</v>
          </cell>
          <cell r="Q78">
            <v>47.369517299999998</v>
          </cell>
          <cell r="T78">
            <v>2.2749999999999999</v>
          </cell>
          <cell r="V78">
            <v>0</v>
          </cell>
          <cell r="W78">
            <v>6</v>
          </cell>
          <cell r="Y78">
            <v>0</v>
          </cell>
          <cell r="Z78">
            <v>0</v>
          </cell>
          <cell r="AA78">
            <v>0</v>
          </cell>
          <cell r="AB78">
            <v>20155.911825836843</v>
          </cell>
          <cell r="AC78">
            <v>53308.831200000001</v>
          </cell>
          <cell r="AD78">
            <v>474773.43395361572</v>
          </cell>
          <cell r="AE78">
            <v>185907.88833749996</v>
          </cell>
          <cell r="AF78">
            <v>17436.328800000003</v>
          </cell>
          <cell r="AG78">
            <v>59253.489375000005</v>
          </cell>
          <cell r="AH78">
            <v>0</v>
          </cell>
          <cell r="AI78">
            <v>810835.88349195255</v>
          </cell>
          <cell r="AL78">
            <v>908136.18951098691</v>
          </cell>
        </row>
        <row r="79">
          <cell r="G79" t="str">
            <v>B11.3</v>
          </cell>
          <cell r="H79">
            <v>3192225.9589981665</v>
          </cell>
          <cell r="I79">
            <v>1</v>
          </cell>
          <cell r="J79">
            <v>5.04</v>
          </cell>
          <cell r="K79">
            <v>0.25</v>
          </cell>
          <cell r="L79">
            <v>0.35</v>
          </cell>
          <cell r="M79">
            <v>0.44099999999999995</v>
          </cell>
          <cell r="Q79">
            <v>98.265784500000024</v>
          </cell>
          <cell r="T79">
            <v>3.7029999999999998</v>
          </cell>
          <cell r="V79">
            <v>0</v>
          </cell>
          <cell r="W79">
            <v>0</v>
          </cell>
          <cell r="Y79">
            <v>9</v>
          </cell>
          <cell r="Z79">
            <v>0</v>
          </cell>
          <cell r="AA79">
            <v>0</v>
          </cell>
          <cell r="AB79">
            <v>33861.931867405896</v>
          </cell>
          <cell r="AC79">
            <v>0</v>
          </cell>
          <cell r="AD79">
            <v>984894.64546878543</v>
          </cell>
          <cell r="AE79">
            <v>312325.25240699999</v>
          </cell>
          <cell r="AF79">
            <v>17436.328800000003</v>
          </cell>
          <cell r="AG79">
            <v>59253.489375000005</v>
          </cell>
          <cell r="AH79">
            <v>0</v>
          </cell>
          <cell r="AI79">
            <v>1407771.6479181913</v>
          </cell>
          <cell r="AL79">
            <v>1576704.2456683745</v>
          </cell>
        </row>
        <row r="80">
          <cell r="G80" t="str">
            <v>B12.3</v>
          </cell>
          <cell r="H80">
            <v>3192225.9589981665</v>
          </cell>
          <cell r="I80">
            <v>1</v>
          </cell>
          <cell r="J80">
            <v>5.04</v>
          </cell>
          <cell r="K80">
            <v>0.25</v>
          </cell>
          <cell r="L80">
            <v>0.35</v>
          </cell>
          <cell r="M80">
            <v>0.44099999999999995</v>
          </cell>
          <cell r="Q80">
            <v>98.265784500000024</v>
          </cell>
          <cell r="T80">
            <v>3.7029999999999998</v>
          </cell>
          <cell r="V80">
            <v>0</v>
          </cell>
          <cell r="W80">
            <v>0</v>
          </cell>
          <cell r="Y80">
            <v>9</v>
          </cell>
          <cell r="Z80">
            <v>0</v>
          </cell>
          <cell r="AA80">
            <v>0</v>
          </cell>
          <cell r="AB80">
            <v>33861.931867405896</v>
          </cell>
          <cell r="AC80">
            <v>0</v>
          </cell>
          <cell r="AD80">
            <v>984894.64546878543</v>
          </cell>
          <cell r="AE80">
            <v>312325.25240699999</v>
          </cell>
          <cell r="AF80">
            <v>17436.328800000003</v>
          </cell>
          <cell r="AG80">
            <v>59253.489375000005</v>
          </cell>
          <cell r="AH80">
            <v>0</v>
          </cell>
          <cell r="AI80">
            <v>1407771.6479181913</v>
          </cell>
          <cell r="AL80">
            <v>1576704.2456683745</v>
          </cell>
        </row>
        <row r="81">
          <cell r="G81" t="str">
            <v>B1.4</v>
          </cell>
          <cell r="H81">
            <v>3254150.3604201218</v>
          </cell>
          <cell r="I81">
            <v>32</v>
          </cell>
          <cell r="J81">
            <v>3.74</v>
          </cell>
          <cell r="K81">
            <v>0.25</v>
          </cell>
          <cell r="L81">
            <v>0.35</v>
          </cell>
          <cell r="M81">
            <v>0.32724999999999999</v>
          </cell>
          <cell r="Q81">
            <v>72.967707000000004</v>
          </cell>
          <cell r="T81">
            <v>2.7930000000000001</v>
          </cell>
          <cell r="V81">
            <v>0</v>
          </cell>
          <cell r="W81">
            <v>0</v>
          </cell>
          <cell r="Y81">
            <v>6</v>
          </cell>
          <cell r="Z81">
            <v>0</v>
          </cell>
          <cell r="AA81">
            <v>0</v>
          </cell>
          <cell r="AB81">
            <v>25127.703409543265</v>
          </cell>
          <cell r="AC81">
            <v>0</v>
          </cell>
          <cell r="AD81">
            <v>731338.01640219137</v>
          </cell>
          <cell r="AE81">
            <v>231765.16746075</v>
          </cell>
          <cell r="AF81">
            <v>17436.328800000003</v>
          </cell>
          <cell r="AG81">
            <v>59253.489375000005</v>
          </cell>
          <cell r="AH81">
            <v>0</v>
          </cell>
          <cell r="AI81">
            <v>1064920.7054474847</v>
          </cell>
          <cell r="AM81">
            <v>1208685.0006828953</v>
          </cell>
        </row>
        <row r="82">
          <cell r="G82" t="str">
            <v>B1A.4</v>
          </cell>
          <cell r="H82">
            <v>3254150.3604201218</v>
          </cell>
          <cell r="I82">
            <v>15</v>
          </cell>
          <cell r="J82">
            <v>3.74</v>
          </cell>
          <cell r="K82">
            <v>0.25</v>
          </cell>
          <cell r="L82">
            <v>0.35</v>
          </cell>
          <cell r="M82">
            <v>0.32724999999999999</v>
          </cell>
          <cell r="Q82">
            <v>72.967707000000004</v>
          </cell>
          <cell r="T82">
            <v>2.7930000000000001</v>
          </cell>
          <cell r="V82">
            <v>0</v>
          </cell>
          <cell r="W82">
            <v>0</v>
          </cell>
          <cell r="Y82">
            <v>6</v>
          </cell>
          <cell r="Z82">
            <v>0</v>
          </cell>
          <cell r="AA82">
            <v>0</v>
          </cell>
          <cell r="AB82">
            <v>25127.703409543265</v>
          </cell>
          <cell r="AC82">
            <v>0</v>
          </cell>
          <cell r="AD82">
            <v>731338.01640219137</v>
          </cell>
          <cell r="AE82">
            <v>231765.16746075</v>
          </cell>
          <cell r="AF82">
            <v>17436.328800000003</v>
          </cell>
          <cell r="AG82">
            <v>59253.489375000005</v>
          </cell>
          <cell r="AH82">
            <v>0</v>
          </cell>
          <cell r="AI82">
            <v>1064920.7054474847</v>
          </cell>
          <cell r="AM82">
            <v>1208685.0006828953</v>
          </cell>
        </row>
        <row r="83">
          <cell r="G83" t="str">
            <v>B2.4</v>
          </cell>
          <cell r="H83">
            <v>3315898.6159827677</v>
          </cell>
          <cell r="I83">
            <v>21</v>
          </cell>
          <cell r="J83">
            <v>4.24</v>
          </cell>
          <cell r="K83">
            <v>0.25</v>
          </cell>
          <cell r="L83">
            <v>0.35</v>
          </cell>
          <cell r="M83">
            <v>0.371</v>
          </cell>
          <cell r="Q83">
            <v>86.031342000000009</v>
          </cell>
          <cell r="T83">
            <v>3.1429999999999998</v>
          </cell>
          <cell r="V83">
            <v>0</v>
          </cell>
          <cell r="W83">
            <v>0</v>
          </cell>
          <cell r="Y83">
            <v>9</v>
          </cell>
          <cell r="Z83">
            <v>0</v>
          </cell>
          <cell r="AA83">
            <v>0</v>
          </cell>
          <cell r="AB83">
            <v>28487.022047182742</v>
          </cell>
          <cell r="AC83">
            <v>0</v>
          </cell>
          <cell r="AD83">
            <v>862271.73079042393</v>
          </cell>
          <cell r="AE83">
            <v>262749.81551699998</v>
          </cell>
          <cell r="AF83">
            <v>17436.328800000003</v>
          </cell>
          <cell r="AG83">
            <v>59253.489375000005</v>
          </cell>
          <cell r="AH83">
            <v>0</v>
          </cell>
          <cell r="AI83">
            <v>1230198.3865296068</v>
          </cell>
          <cell r="AM83">
            <v>1396275.1687111037</v>
          </cell>
        </row>
        <row r="84">
          <cell r="G84" t="str">
            <v>BA.4</v>
          </cell>
          <cell r="H84">
            <v>3315898.6159827677</v>
          </cell>
          <cell r="I84">
            <v>2</v>
          </cell>
          <cell r="J84">
            <v>4.24</v>
          </cell>
          <cell r="K84">
            <v>0.25</v>
          </cell>
          <cell r="L84">
            <v>0.35</v>
          </cell>
          <cell r="M84">
            <v>0.371</v>
          </cell>
          <cell r="Q84">
            <v>86.031341999999995</v>
          </cell>
          <cell r="T84">
            <v>3.1429999999999998</v>
          </cell>
          <cell r="V84">
            <v>0</v>
          </cell>
          <cell r="W84">
            <v>0</v>
          </cell>
          <cell r="Y84">
            <v>9</v>
          </cell>
          <cell r="Z84">
            <v>0</v>
          </cell>
          <cell r="AA84">
            <v>0</v>
          </cell>
          <cell r="AB84">
            <v>28487.022047182742</v>
          </cell>
          <cell r="AC84">
            <v>0</v>
          </cell>
          <cell r="AD84">
            <v>862271.73079042381</v>
          </cell>
          <cell r="AE84">
            <v>262749.81551699998</v>
          </cell>
          <cell r="AF84">
            <v>17436.328800000003</v>
          </cell>
          <cell r="AG84">
            <v>59253.489375000005</v>
          </cell>
          <cell r="AH84">
            <v>0</v>
          </cell>
          <cell r="AI84">
            <v>1230198.3865296068</v>
          </cell>
          <cell r="AM84">
            <v>1396275.1687111037</v>
          </cell>
        </row>
        <row r="85">
          <cell r="G85" t="str">
            <v>B3.4</v>
          </cell>
          <cell r="H85">
            <v>3254150.3604201218</v>
          </cell>
          <cell r="I85">
            <v>4</v>
          </cell>
          <cell r="J85">
            <v>3.74</v>
          </cell>
          <cell r="K85">
            <v>0.25</v>
          </cell>
          <cell r="L85">
            <v>0.35</v>
          </cell>
          <cell r="M85">
            <v>0.32724999999999999</v>
          </cell>
          <cell r="Q85">
            <v>72.967707000000004</v>
          </cell>
          <cell r="T85">
            <v>2.7930000000000001</v>
          </cell>
          <cell r="V85">
            <v>0</v>
          </cell>
          <cell r="W85">
            <v>0</v>
          </cell>
          <cell r="Y85">
            <v>6</v>
          </cell>
          <cell r="Z85">
            <v>0</v>
          </cell>
          <cell r="AA85">
            <v>0</v>
          </cell>
          <cell r="AB85">
            <v>25127.703409543265</v>
          </cell>
          <cell r="AC85">
            <v>0</v>
          </cell>
          <cell r="AD85">
            <v>731338.01640219137</v>
          </cell>
          <cell r="AE85">
            <v>231765.16746075</v>
          </cell>
          <cell r="AF85">
            <v>17436.328800000003</v>
          </cell>
          <cell r="AG85">
            <v>59253.489375000005</v>
          </cell>
          <cell r="AH85">
            <v>0</v>
          </cell>
          <cell r="AI85">
            <v>1064920.7054474847</v>
          </cell>
          <cell r="AM85">
            <v>1208685.0006828953</v>
          </cell>
        </row>
        <row r="86">
          <cell r="G86" t="str">
            <v>B4.4</v>
          </cell>
          <cell r="H86">
            <v>3254150.3604201218</v>
          </cell>
          <cell r="I86">
            <v>4</v>
          </cell>
          <cell r="J86">
            <v>3.74</v>
          </cell>
          <cell r="K86">
            <v>0.25</v>
          </cell>
          <cell r="L86">
            <v>0.35</v>
          </cell>
          <cell r="M86">
            <v>0.32724999999999999</v>
          </cell>
          <cell r="Q86">
            <v>72.967707000000004</v>
          </cell>
          <cell r="T86">
            <v>2.7930000000000001</v>
          </cell>
          <cell r="V86">
            <v>0</v>
          </cell>
          <cell r="W86">
            <v>0</v>
          </cell>
          <cell r="Y86">
            <v>6</v>
          </cell>
          <cell r="Z86">
            <v>0</v>
          </cell>
          <cell r="AA86">
            <v>0</v>
          </cell>
          <cell r="AB86">
            <v>25127.703409543265</v>
          </cell>
          <cell r="AC86">
            <v>0</v>
          </cell>
          <cell r="AD86">
            <v>731338.01640219137</v>
          </cell>
          <cell r="AE86">
            <v>231765.16746075</v>
          </cell>
          <cell r="AF86">
            <v>17436.328800000003</v>
          </cell>
          <cell r="AG86">
            <v>59253.489375000005</v>
          </cell>
          <cell r="AH86">
            <v>0</v>
          </cell>
          <cell r="AI86">
            <v>1064920.7054474847</v>
          </cell>
          <cell r="AM86">
            <v>1208685.0006828953</v>
          </cell>
        </row>
        <row r="87">
          <cell r="G87" t="str">
            <v>B4'.4</v>
          </cell>
          <cell r="H87">
            <v>3254150.3604201218</v>
          </cell>
          <cell r="I87">
            <v>4</v>
          </cell>
          <cell r="J87">
            <v>3.74</v>
          </cell>
          <cell r="K87">
            <v>0.25</v>
          </cell>
          <cell r="L87">
            <v>0.35</v>
          </cell>
          <cell r="M87">
            <v>0.32724999999999999</v>
          </cell>
          <cell r="Q87">
            <v>72.967707000000004</v>
          </cell>
          <cell r="T87">
            <v>2.7930000000000001</v>
          </cell>
          <cell r="V87">
            <v>0</v>
          </cell>
          <cell r="W87">
            <v>0</v>
          </cell>
          <cell r="Y87">
            <v>6</v>
          </cell>
          <cell r="Z87">
            <v>0</v>
          </cell>
          <cell r="AA87">
            <v>0</v>
          </cell>
          <cell r="AB87">
            <v>25127.703409543265</v>
          </cell>
          <cell r="AC87">
            <v>0</v>
          </cell>
          <cell r="AD87">
            <v>731338.01640219137</v>
          </cell>
          <cell r="AE87">
            <v>231765.16746075</v>
          </cell>
          <cell r="AF87">
            <v>17436.328800000003</v>
          </cell>
          <cell r="AG87">
            <v>59253.489375000005</v>
          </cell>
          <cell r="AH87">
            <v>0</v>
          </cell>
          <cell r="AI87">
            <v>1064920.7054474847</v>
          </cell>
          <cell r="AM87">
            <v>1208685.0006828953</v>
          </cell>
        </row>
        <row r="88">
          <cell r="G88" t="str">
            <v>B4".4</v>
          </cell>
          <cell r="H88">
            <v>3254150.3604201218</v>
          </cell>
          <cell r="I88">
            <v>4</v>
          </cell>
          <cell r="J88">
            <v>3.74</v>
          </cell>
          <cell r="K88">
            <v>0.25</v>
          </cell>
          <cell r="L88">
            <v>0.35</v>
          </cell>
          <cell r="M88">
            <v>0.32724999999999999</v>
          </cell>
          <cell r="Q88">
            <v>72.967707000000004</v>
          </cell>
          <cell r="T88">
            <v>2.7930000000000001</v>
          </cell>
          <cell r="V88">
            <v>0</v>
          </cell>
          <cell r="W88">
            <v>0</v>
          </cell>
          <cell r="Y88">
            <v>6</v>
          </cell>
          <cell r="Z88">
            <v>0</v>
          </cell>
          <cell r="AA88">
            <v>0</v>
          </cell>
          <cell r="AB88">
            <v>25127.703409543265</v>
          </cell>
          <cell r="AC88">
            <v>0</v>
          </cell>
          <cell r="AD88">
            <v>731338.01640219137</v>
          </cell>
          <cell r="AE88">
            <v>231765.16746075</v>
          </cell>
          <cell r="AF88">
            <v>17436.328800000003</v>
          </cell>
          <cell r="AG88">
            <v>59253.489375000005</v>
          </cell>
          <cell r="AH88">
            <v>0</v>
          </cell>
          <cell r="AI88">
            <v>1064920.7054474847</v>
          </cell>
          <cell r="AM88">
            <v>1208685.0006828953</v>
          </cell>
        </row>
        <row r="89">
          <cell r="G89" t="str">
            <v>B5.4</v>
          </cell>
          <cell r="H89">
            <v>3199602.3591309367</v>
          </cell>
          <cell r="I89">
            <v>2</v>
          </cell>
          <cell r="J89">
            <v>1.34</v>
          </cell>
          <cell r="K89">
            <v>0.25</v>
          </cell>
          <cell r="L89">
            <v>0.35</v>
          </cell>
          <cell r="M89">
            <v>0.11724999999999999</v>
          </cell>
          <cell r="Q89">
            <v>20.595292200000003</v>
          </cell>
          <cell r="T89">
            <v>1.113</v>
          </cell>
          <cell r="V89">
            <v>0</v>
          </cell>
          <cell r="W89">
            <v>6</v>
          </cell>
          <cell r="Y89">
            <v>0</v>
          </cell>
          <cell r="Z89">
            <v>0</v>
          </cell>
          <cell r="AA89">
            <v>0</v>
          </cell>
          <cell r="AB89">
            <v>9002.9739488737905</v>
          </cell>
          <cell r="AC89">
            <v>0</v>
          </cell>
          <cell r="AD89">
            <v>206421.72769347849</v>
          </cell>
          <cell r="AE89">
            <v>83038.856790749996</v>
          </cell>
          <cell r="AF89">
            <v>17436.328800000003</v>
          </cell>
          <cell r="AG89">
            <v>59253.489375000005</v>
          </cell>
          <cell r="AH89">
            <v>0</v>
          </cell>
          <cell r="AI89">
            <v>375153.37660810229</v>
          </cell>
          <cell r="AM89">
            <v>425799.08245019609</v>
          </cell>
        </row>
        <row r="90">
          <cell r="G90" t="str">
            <v>B6.4</v>
          </cell>
          <cell r="H90">
            <v>3285081.622242495</v>
          </cell>
          <cell r="I90">
            <v>2</v>
          </cell>
          <cell r="J90">
            <v>4.34</v>
          </cell>
          <cell r="K90">
            <v>0.25</v>
          </cell>
          <cell r="L90">
            <v>0.35</v>
          </cell>
          <cell r="M90">
            <v>0.37974999999999998</v>
          </cell>
          <cell r="Q90">
            <v>87.073227000000003</v>
          </cell>
          <cell r="T90">
            <v>3.2129999999999996</v>
          </cell>
          <cell r="V90">
            <v>0</v>
          </cell>
          <cell r="W90">
            <v>0</v>
          </cell>
          <cell r="Y90">
            <v>9</v>
          </cell>
          <cell r="Z90">
            <v>0</v>
          </cell>
          <cell r="AA90">
            <v>0</v>
          </cell>
          <cell r="AB90">
            <v>29158.885774710634</v>
          </cell>
          <cell r="AC90">
            <v>0</v>
          </cell>
          <cell r="AD90">
            <v>872714.29696862656</v>
          </cell>
          <cell r="AE90">
            <v>268946.74512824998</v>
          </cell>
          <cell r="AF90">
            <v>17436.328800000003</v>
          </cell>
          <cell r="AG90">
            <v>59253.489375000005</v>
          </cell>
          <cell r="AH90">
            <v>0</v>
          </cell>
          <cell r="AI90">
            <v>1247509.7460465874</v>
          </cell>
          <cell r="AM90">
            <v>1415923.5617628766</v>
          </cell>
        </row>
        <row r="91">
          <cell r="G91" t="str">
            <v>B6'.4</v>
          </cell>
          <cell r="H91">
            <v>3285081.622242495</v>
          </cell>
          <cell r="I91">
            <v>2</v>
          </cell>
          <cell r="J91">
            <v>4.34</v>
          </cell>
          <cell r="K91">
            <v>0.25</v>
          </cell>
          <cell r="L91">
            <v>0.35</v>
          </cell>
          <cell r="M91">
            <v>0.37974999999999998</v>
          </cell>
          <cell r="Q91">
            <v>87.073227000000003</v>
          </cell>
          <cell r="T91">
            <v>3.2129999999999996</v>
          </cell>
          <cell r="V91">
            <v>0</v>
          </cell>
          <cell r="W91">
            <v>0</v>
          </cell>
          <cell r="Y91">
            <v>9</v>
          </cell>
          <cell r="Z91">
            <v>0</v>
          </cell>
          <cell r="AA91">
            <v>0</v>
          </cell>
          <cell r="AB91">
            <v>29158.885774710634</v>
          </cell>
          <cell r="AC91">
            <v>0</v>
          </cell>
          <cell r="AD91">
            <v>872714.29696862656</v>
          </cell>
          <cell r="AE91">
            <v>268946.74512824998</v>
          </cell>
          <cell r="AF91">
            <v>17436.328800000003</v>
          </cell>
          <cell r="AG91">
            <v>59253.489375000005</v>
          </cell>
          <cell r="AH91">
            <v>0</v>
          </cell>
          <cell r="AI91">
            <v>1247509.7460465874</v>
          </cell>
          <cell r="AM91">
            <v>1415923.5617628766</v>
          </cell>
        </row>
        <row r="92">
          <cell r="G92" t="str">
            <v>B6".4</v>
          </cell>
          <cell r="H92">
            <v>3285081.622242495</v>
          </cell>
          <cell r="I92">
            <v>2</v>
          </cell>
          <cell r="J92">
            <v>4.34</v>
          </cell>
          <cell r="K92">
            <v>0.25</v>
          </cell>
          <cell r="L92">
            <v>0.35</v>
          </cell>
          <cell r="M92">
            <v>0.37974999999999998</v>
          </cell>
          <cell r="Q92">
            <v>87.073227000000003</v>
          </cell>
          <cell r="T92">
            <v>3.2129999999999996</v>
          </cell>
          <cell r="V92">
            <v>0</v>
          </cell>
          <cell r="W92">
            <v>0</v>
          </cell>
          <cell r="Y92">
            <v>9</v>
          </cell>
          <cell r="Z92">
            <v>0</v>
          </cell>
          <cell r="AA92">
            <v>0</v>
          </cell>
          <cell r="AB92">
            <v>29158.885774710634</v>
          </cell>
          <cell r="AC92">
            <v>0</v>
          </cell>
          <cell r="AD92">
            <v>872714.29696862656</v>
          </cell>
          <cell r="AE92">
            <v>268946.74512824998</v>
          </cell>
          <cell r="AF92">
            <v>17436.328800000003</v>
          </cell>
          <cell r="AG92">
            <v>59253.489375000005</v>
          </cell>
          <cell r="AH92">
            <v>0</v>
          </cell>
          <cell r="AI92">
            <v>1247509.7460465874</v>
          </cell>
          <cell r="AM92">
            <v>1415923.5617628766</v>
          </cell>
        </row>
        <row r="93">
          <cell r="G93" t="str">
            <v>B6A.4</v>
          </cell>
          <cell r="H93">
            <v>3315898.6159827677</v>
          </cell>
          <cell r="I93">
            <v>2</v>
          </cell>
          <cell r="J93">
            <v>4.24</v>
          </cell>
          <cell r="K93">
            <v>0.25</v>
          </cell>
          <cell r="L93">
            <v>0.35</v>
          </cell>
          <cell r="M93">
            <v>0.371</v>
          </cell>
          <cell r="Q93">
            <v>86.031341999999995</v>
          </cell>
          <cell r="T93">
            <v>3.1429999999999998</v>
          </cell>
          <cell r="V93">
            <v>0</v>
          </cell>
          <cell r="W93">
            <v>0</v>
          </cell>
          <cell r="Y93">
            <v>9</v>
          </cell>
          <cell r="Z93">
            <v>0</v>
          </cell>
          <cell r="AA93">
            <v>0</v>
          </cell>
          <cell r="AB93">
            <v>28487.022047182742</v>
          </cell>
          <cell r="AC93">
            <v>0</v>
          </cell>
          <cell r="AD93">
            <v>862271.73079042381</v>
          </cell>
          <cell r="AE93">
            <v>262749.81551699998</v>
          </cell>
          <cell r="AF93">
            <v>17436.328800000003</v>
          </cell>
          <cell r="AG93">
            <v>59253.489375000005</v>
          </cell>
          <cell r="AH93">
            <v>0</v>
          </cell>
          <cell r="AI93">
            <v>1230198.3865296068</v>
          </cell>
          <cell r="AM93">
            <v>1396275.1687111037</v>
          </cell>
        </row>
        <row r="94">
          <cell r="G94" t="str">
            <v>B7.4</v>
          </cell>
          <cell r="H94">
            <v>3132823.6494934172</v>
          </cell>
          <cell r="I94">
            <v>7</v>
          </cell>
          <cell r="J94">
            <v>1.99</v>
          </cell>
          <cell r="K94">
            <v>0.25</v>
          </cell>
          <cell r="L94">
            <v>0.35</v>
          </cell>
          <cell r="M94">
            <v>0.174125</v>
          </cell>
          <cell r="Q94">
            <v>27.818206200000002</v>
          </cell>
          <cell r="T94">
            <v>1.5680000000000001</v>
          </cell>
          <cell r="V94">
            <v>0</v>
          </cell>
          <cell r="W94">
            <v>6</v>
          </cell>
          <cell r="Y94">
            <v>0</v>
          </cell>
          <cell r="Z94">
            <v>0</v>
          </cell>
          <cell r="AA94">
            <v>0</v>
          </cell>
          <cell r="AB94">
            <v>13370.088177805108</v>
          </cell>
          <cell r="AC94">
            <v>53308.831200000001</v>
          </cell>
          <cell r="AD94">
            <v>278815.28115136112</v>
          </cell>
          <cell r="AE94">
            <v>123318.89926387501</v>
          </cell>
          <cell r="AF94">
            <v>17436.328800000003</v>
          </cell>
          <cell r="AG94">
            <v>59253.489375000005</v>
          </cell>
          <cell r="AH94">
            <v>0</v>
          </cell>
          <cell r="AI94">
            <v>545502.91796804126</v>
          </cell>
          <cell r="AM94">
            <v>619145.81189372682</v>
          </cell>
        </row>
        <row r="95">
          <cell r="G95" t="str">
            <v>B7A.4</v>
          </cell>
          <cell r="H95">
            <v>3132823.6494934172</v>
          </cell>
          <cell r="I95">
            <v>2</v>
          </cell>
          <cell r="J95">
            <v>1.99</v>
          </cell>
          <cell r="K95">
            <v>0.25</v>
          </cell>
          <cell r="L95">
            <v>0.35</v>
          </cell>
          <cell r="M95">
            <v>0.174125</v>
          </cell>
          <cell r="Q95">
            <v>27.818206200000002</v>
          </cell>
          <cell r="T95">
            <v>1.5680000000000001</v>
          </cell>
          <cell r="V95">
            <v>0</v>
          </cell>
          <cell r="W95">
            <v>6</v>
          </cell>
          <cell r="Y95">
            <v>0</v>
          </cell>
          <cell r="Z95">
            <v>0</v>
          </cell>
          <cell r="AA95">
            <v>0</v>
          </cell>
          <cell r="AB95">
            <v>13370.088177805108</v>
          </cell>
          <cell r="AC95">
            <v>53308.831200000001</v>
          </cell>
          <cell r="AD95">
            <v>278815.28115136112</v>
          </cell>
          <cell r="AE95">
            <v>123318.89926387501</v>
          </cell>
          <cell r="AF95">
            <v>17436.328800000003</v>
          </cell>
          <cell r="AG95">
            <v>59253.489375000005</v>
          </cell>
          <cell r="AH95">
            <v>0</v>
          </cell>
          <cell r="AI95">
            <v>545502.91796804126</v>
          </cell>
          <cell r="AM95">
            <v>619145.81189372682</v>
          </cell>
        </row>
        <row r="96">
          <cell r="G96" t="str">
            <v>B8.4</v>
          </cell>
          <cell r="H96">
            <v>3254150.3604201218</v>
          </cell>
          <cell r="I96">
            <v>13</v>
          </cell>
          <cell r="J96">
            <v>3.74</v>
          </cell>
          <cell r="K96">
            <v>0.25</v>
          </cell>
          <cell r="L96">
            <v>0.35</v>
          </cell>
          <cell r="M96">
            <v>0.32724999999999999</v>
          </cell>
          <cell r="Q96">
            <v>72.967707000000004</v>
          </cell>
          <cell r="T96">
            <v>2.7930000000000001</v>
          </cell>
          <cell r="V96">
            <v>0</v>
          </cell>
          <cell r="W96">
            <v>0</v>
          </cell>
          <cell r="Y96">
            <v>6</v>
          </cell>
          <cell r="Z96">
            <v>0</v>
          </cell>
          <cell r="AA96">
            <v>0</v>
          </cell>
          <cell r="AB96">
            <v>25127.703409543265</v>
          </cell>
          <cell r="AC96">
            <v>0</v>
          </cell>
          <cell r="AD96">
            <v>731338.01640219137</v>
          </cell>
          <cell r="AE96">
            <v>231765.16746075</v>
          </cell>
          <cell r="AF96">
            <v>17436.328800000003</v>
          </cell>
          <cell r="AG96">
            <v>59253.489375000005</v>
          </cell>
          <cell r="AH96">
            <v>0</v>
          </cell>
          <cell r="AI96">
            <v>1064920.7054474847</v>
          </cell>
          <cell r="AM96">
            <v>1208685.0006828953</v>
          </cell>
        </row>
        <row r="97">
          <cell r="G97" t="str">
            <v>B9.4</v>
          </cell>
          <cell r="H97">
            <v>3108061.2488301028</v>
          </cell>
          <cell r="I97">
            <v>2</v>
          </cell>
          <cell r="J97">
            <v>5.8900000000000006</v>
          </cell>
          <cell r="K97">
            <v>0.25</v>
          </cell>
          <cell r="L97">
            <v>0.35</v>
          </cell>
          <cell r="M97">
            <v>0.51537500000000003</v>
          </cell>
          <cell r="Q97">
            <v>111.80104200000002</v>
          </cell>
          <cell r="T97">
            <v>4.298</v>
          </cell>
          <cell r="V97">
            <v>0</v>
          </cell>
          <cell r="W97">
            <v>0</v>
          </cell>
          <cell r="Y97">
            <v>9</v>
          </cell>
          <cell r="Z97">
            <v>0</v>
          </cell>
          <cell r="AA97">
            <v>0</v>
          </cell>
          <cell r="AB97">
            <v>39572.773551393009</v>
          </cell>
          <cell r="AC97">
            <v>0</v>
          </cell>
          <cell r="AD97">
            <v>1120555.3202867962</v>
          </cell>
          <cell r="AE97">
            <v>364999.15410262503</v>
          </cell>
          <cell r="AF97">
            <v>17436.328800000003</v>
          </cell>
          <cell r="AG97">
            <v>59253.489375000005</v>
          </cell>
          <cell r="AH97">
            <v>0</v>
          </cell>
          <cell r="AI97">
            <v>1601817.0661158143</v>
          </cell>
          <cell r="AM97">
            <v>1818062.3700414491</v>
          </cell>
        </row>
        <row r="98">
          <cell r="G98" t="str">
            <v>B10.4</v>
          </cell>
          <cell r="H98">
            <v>3088898.6037788675</v>
          </cell>
          <cell r="I98">
            <v>2</v>
          </cell>
          <cell r="J98">
            <v>3</v>
          </cell>
          <cell r="K98">
            <v>0.25</v>
          </cell>
          <cell r="L98">
            <v>0.35</v>
          </cell>
          <cell r="M98">
            <v>0.26249999999999996</v>
          </cell>
          <cell r="Q98">
            <v>47.369517299999998</v>
          </cell>
          <cell r="T98">
            <v>2.2749999999999999</v>
          </cell>
          <cell r="V98">
            <v>0</v>
          </cell>
          <cell r="W98">
            <v>6</v>
          </cell>
          <cell r="Y98">
            <v>0</v>
          </cell>
          <cell r="Z98">
            <v>0</v>
          </cell>
          <cell r="AA98">
            <v>0</v>
          </cell>
          <cell r="AB98">
            <v>20155.911825836843</v>
          </cell>
          <cell r="AC98">
            <v>53308.831200000001</v>
          </cell>
          <cell r="AD98">
            <v>474773.43395361572</v>
          </cell>
          <cell r="AE98">
            <v>185907.88833749996</v>
          </cell>
          <cell r="AF98">
            <v>17436.328800000003</v>
          </cell>
          <cell r="AG98">
            <v>59253.489375000005</v>
          </cell>
          <cell r="AH98">
            <v>0</v>
          </cell>
          <cell r="AI98">
            <v>810835.88349195255</v>
          </cell>
          <cell r="AM98">
            <v>920298.72776336619</v>
          </cell>
        </row>
        <row r="99">
          <cell r="G99" t="str">
            <v>B11.4</v>
          </cell>
          <cell r="H99">
            <v>3192225.9589981665</v>
          </cell>
          <cell r="I99">
            <v>1</v>
          </cell>
          <cell r="J99">
            <v>5.04</v>
          </cell>
          <cell r="K99">
            <v>0.25</v>
          </cell>
          <cell r="L99">
            <v>0.35</v>
          </cell>
          <cell r="M99">
            <v>0.44099999999999995</v>
          </cell>
          <cell r="Q99">
            <v>98.265784500000024</v>
          </cell>
          <cell r="T99">
            <v>3.7029999999999998</v>
          </cell>
          <cell r="V99">
            <v>0</v>
          </cell>
          <cell r="W99">
            <v>0</v>
          </cell>
          <cell r="Y99">
            <v>9</v>
          </cell>
          <cell r="Z99">
            <v>0</v>
          </cell>
          <cell r="AA99">
            <v>0</v>
          </cell>
          <cell r="AB99">
            <v>33861.931867405896</v>
          </cell>
          <cell r="AC99">
            <v>0</v>
          </cell>
          <cell r="AD99">
            <v>984894.64546878543</v>
          </cell>
          <cell r="AE99">
            <v>312325.25240699999</v>
          </cell>
          <cell r="AF99">
            <v>17436.328800000003</v>
          </cell>
          <cell r="AG99">
            <v>59253.489375000005</v>
          </cell>
          <cell r="AH99">
            <v>0</v>
          </cell>
          <cell r="AI99">
            <v>1407771.6479181913</v>
          </cell>
          <cell r="AM99">
            <v>1597820.8203871471</v>
          </cell>
        </row>
        <row r="100">
          <cell r="G100" t="str">
            <v>B12.4</v>
          </cell>
          <cell r="H100">
            <v>3192225.9589981665</v>
          </cell>
          <cell r="I100">
            <v>1</v>
          </cell>
          <cell r="J100">
            <v>5.04</v>
          </cell>
          <cell r="K100">
            <v>0.25</v>
          </cell>
          <cell r="L100">
            <v>0.35</v>
          </cell>
          <cell r="M100">
            <v>0.44099999999999995</v>
          </cell>
          <cell r="Q100">
            <v>98.265784500000024</v>
          </cell>
          <cell r="T100">
            <v>3.7029999999999998</v>
          </cell>
          <cell r="V100">
            <v>0</v>
          </cell>
          <cell r="W100">
            <v>0</v>
          </cell>
          <cell r="Y100">
            <v>9</v>
          </cell>
          <cell r="Z100">
            <v>0</v>
          </cell>
          <cell r="AA100">
            <v>0</v>
          </cell>
          <cell r="AB100">
            <v>33861.931867405896</v>
          </cell>
          <cell r="AC100">
            <v>0</v>
          </cell>
          <cell r="AD100">
            <v>984894.64546878543</v>
          </cell>
          <cell r="AE100">
            <v>312325.25240699999</v>
          </cell>
          <cell r="AF100">
            <v>17436.328800000003</v>
          </cell>
          <cell r="AG100">
            <v>59253.489375000005</v>
          </cell>
          <cell r="AH100">
            <v>0</v>
          </cell>
          <cell r="AI100">
            <v>1407771.6479181913</v>
          </cell>
          <cell r="AM100">
            <v>1597820.8203871471</v>
          </cell>
        </row>
        <row r="101">
          <cell r="G101" t="str">
            <v>B1.5</v>
          </cell>
          <cell r="H101">
            <v>3254150.3604201218</v>
          </cell>
          <cell r="I101">
            <v>33</v>
          </cell>
          <cell r="J101">
            <v>3.74</v>
          </cell>
          <cell r="K101">
            <v>0.25</v>
          </cell>
          <cell r="L101">
            <v>0.35</v>
          </cell>
          <cell r="M101">
            <v>0.32724999999999999</v>
          </cell>
          <cell r="Q101">
            <v>72.967707000000004</v>
          </cell>
          <cell r="T101">
            <v>2.7930000000000001</v>
          </cell>
          <cell r="V101">
            <v>0</v>
          </cell>
          <cell r="W101">
            <v>0</v>
          </cell>
          <cell r="Y101">
            <v>6</v>
          </cell>
          <cell r="Z101">
            <v>0</v>
          </cell>
          <cell r="AA101">
            <v>0</v>
          </cell>
          <cell r="AB101">
            <v>25127.703409543265</v>
          </cell>
          <cell r="AC101">
            <v>0</v>
          </cell>
          <cell r="AD101">
            <v>731338.01640219137</v>
          </cell>
          <cell r="AE101">
            <v>231765.16746075</v>
          </cell>
          <cell r="AF101">
            <v>17436.328800000003</v>
          </cell>
          <cell r="AG101">
            <v>59253.489375000005</v>
          </cell>
          <cell r="AH101">
            <v>0</v>
          </cell>
          <cell r="AI101">
            <v>1064920.7054474847</v>
          </cell>
          <cell r="AP101">
            <v>1346082.4516220146</v>
          </cell>
        </row>
        <row r="102">
          <cell r="G102" t="str">
            <v>B1A.5</v>
          </cell>
          <cell r="H102">
            <v>3524691.8253551861</v>
          </cell>
          <cell r="I102">
            <v>17</v>
          </cell>
          <cell r="J102">
            <v>3.74</v>
          </cell>
          <cell r="K102">
            <v>0.25</v>
          </cell>
          <cell r="L102">
            <v>0.35</v>
          </cell>
          <cell r="M102">
            <v>0.32724999999999999</v>
          </cell>
          <cell r="Q102">
            <v>72.967707000000004</v>
          </cell>
          <cell r="T102">
            <v>2.7930000000000001</v>
          </cell>
          <cell r="V102">
            <v>0</v>
          </cell>
          <cell r="W102">
            <v>0</v>
          </cell>
          <cell r="Y102">
            <v>6</v>
          </cell>
          <cell r="Z102">
            <v>0</v>
          </cell>
          <cell r="AA102">
            <v>0</v>
          </cell>
          <cell r="AB102">
            <v>25127.703409543265</v>
          </cell>
          <cell r="AC102">
            <v>88534.694400000008</v>
          </cell>
          <cell r="AD102">
            <v>731338.01640219137</v>
          </cell>
          <cell r="AE102">
            <v>231765.16746075</v>
          </cell>
          <cell r="AF102">
            <v>17436.328800000003</v>
          </cell>
          <cell r="AG102">
            <v>59253.489375000005</v>
          </cell>
          <cell r="AH102">
            <v>0</v>
          </cell>
          <cell r="AI102">
            <v>1153455.3998474847</v>
          </cell>
          <cell r="AP102">
            <v>1435641.5170800511</v>
          </cell>
        </row>
        <row r="103">
          <cell r="G103" t="str">
            <v>B2.5</v>
          </cell>
          <cell r="H103">
            <v>3315898.6159827677</v>
          </cell>
          <cell r="I103">
            <v>21</v>
          </cell>
          <cell r="J103">
            <v>4.24</v>
          </cell>
          <cell r="K103">
            <v>0.25</v>
          </cell>
          <cell r="L103">
            <v>0.35</v>
          </cell>
          <cell r="M103">
            <v>0.371</v>
          </cell>
          <cell r="Q103">
            <v>86.031342000000009</v>
          </cell>
          <cell r="T103">
            <v>3.1429999999999998</v>
          </cell>
          <cell r="V103">
            <v>0</v>
          </cell>
          <cell r="W103">
            <v>0</v>
          </cell>
          <cell r="Y103">
            <v>9</v>
          </cell>
          <cell r="Z103">
            <v>0</v>
          </cell>
          <cell r="AA103">
            <v>0</v>
          </cell>
          <cell r="AB103">
            <v>28487.022047182742</v>
          </cell>
          <cell r="AC103">
            <v>0</v>
          </cell>
          <cell r="AD103">
            <v>862271.73079042393</v>
          </cell>
          <cell r="AE103">
            <v>262749.81551699998</v>
          </cell>
          <cell r="AF103">
            <v>17436.328800000003</v>
          </cell>
          <cell r="AG103">
            <v>59253.489375000005</v>
          </cell>
          <cell r="AH103">
            <v>0</v>
          </cell>
          <cell r="AI103">
            <v>1230198.3865296068</v>
          </cell>
          <cell r="AP103">
            <v>1242762.4632572148</v>
          </cell>
        </row>
        <row r="104">
          <cell r="G104" t="str">
            <v>B3.5</v>
          </cell>
          <cell r="H104">
            <v>3254150.3604201218</v>
          </cell>
          <cell r="I104">
            <v>2</v>
          </cell>
          <cell r="J104">
            <v>3.74</v>
          </cell>
          <cell r="K104">
            <v>0.25</v>
          </cell>
          <cell r="L104">
            <v>0.35</v>
          </cell>
          <cell r="M104">
            <v>0.32724999999999999</v>
          </cell>
          <cell r="Q104">
            <v>72.967707000000004</v>
          </cell>
          <cell r="T104">
            <v>2.7930000000000001</v>
          </cell>
          <cell r="V104">
            <v>0</v>
          </cell>
          <cell r="W104">
            <v>0</v>
          </cell>
          <cell r="Y104">
            <v>6</v>
          </cell>
          <cell r="Z104">
            <v>0</v>
          </cell>
          <cell r="AA104">
            <v>0</v>
          </cell>
          <cell r="AB104">
            <v>25127.703409543265</v>
          </cell>
          <cell r="AC104">
            <v>0</v>
          </cell>
          <cell r="AD104">
            <v>731338.01640219137</v>
          </cell>
          <cell r="AE104">
            <v>231765.16746075</v>
          </cell>
          <cell r="AF104">
            <v>17436.328800000003</v>
          </cell>
          <cell r="AG104">
            <v>59253.489375000005</v>
          </cell>
          <cell r="AH104">
            <v>0</v>
          </cell>
          <cell r="AI104">
            <v>1064920.7054474847</v>
          </cell>
          <cell r="AP104">
            <v>1242762.4632572148</v>
          </cell>
        </row>
        <row r="105">
          <cell r="G105" t="str">
            <v>B4.5</v>
          </cell>
          <cell r="H105">
            <v>3254150.3604201218</v>
          </cell>
          <cell r="I105">
            <v>16</v>
          </cell>
          <cell r="J105">
            <v>3.74</v>
          </cell>
          <cell r="K105">
            <v>0.25</v>
          </cell>
          <cell r="L105">
            <v>0.35</v>
          </cell>
          <cell r="M105">
            <v>0.32724999999999999</v>
          </cell>
          <cell r="Q105">
            <v>72.967707000000004</v>
          </cell>
          <cell r="T105">
            <v>2.7930000000000001</v>
          </cell>
          <cell r="V105">
            <v>0</v>
          </cell>
          <cell r="W105">
            <v>0</v>
          </cell>
          <cell r="Y105">
            <v>6</v>
          </cell>
          <cell r="Z105">
            <v>0</v>
          </cell>
          <cell r="AA105">
            <v>0</v>
          </cell>
          <cell r="AB105">
            <v>25127.703409543265</v>
          </cell>
          <cell r="AC105">
            <v>0</v>
          </cell>
          <cell r="AD105">
            <v>731338.01640219137</v>
          </cell>
          <cell r="AE105">
            <v>231765.16746075</v>
          </cell>
          <cell r="AF105">
            <v>17436.328800000003</v>
          </cell>
          <cell r="AG105">
            <v>59253.489375000005</v>
          </cell>
          <cell r="AH105">
            <v>0</v>
          </cell>
          <cell r="AI105">
            <v>1064920.7054474847</v>
          </cell>
          <cell r="AP105">
            <v>1346082.4516220146</v>
          </cell>
        </row>
        <row r="106">
          <cell r="G106" t="str">
            <v>B4'.5</v>
          </cell>
          <cell r="H106">
            <v>3524691.8253551861</v>
          </cell>
          <cell r="I106">
            <v>3</v>
          </cell>
          <cell r="J106">
            <v>3.74</v>
          </cell>
          <cell r="K106">
            <v>0.25</v>
          </cell>
          <cell r="L106">
            <v>0.35</v>
          </cell>
          <cell r="M106">
            <v>0.32724999999999999</v>
          </cell>
          <cell r="Q106">
            <v>72.967707000000004</v>
          </cell>
          <cell r="T106">
            <v>2.7930000000000001</v>
          </cell>
          <cell r="V106">
            <v>0</v>
          </cell>
          <cell r="W106">
            <v>0</v>
          </cell>
          <cell r="Y106">
            <v>6</v>
          </cell>
          <cell r="Z106">
            <v>0</v>
          </cell>
          <cell r="AA106">
            <v>0</v>
          </cell>
          <cell r="AB106">
            <v>25127.703409543265</v>
          </cell>
          <cell r="AC106">
            <v>88534.694400000008</v>
          </cell>
          <cell r="AD106">
            <v>731338.01640219137</v>
          </cell>
          <cell r="AE106">
            <v>231765.16746075</v>
          </cell>
          <cell r="AF106">
            <v>17436.328800000003</v>
          </cell>
          <cell r="AG106">
            <v>59253.489375000005</v>
          </cell>
          <cell r="AH106">
            <v>0</v>
          </cell>
          <cell r="AI106">
            <v>1153455.3998474847</v>
          </cell>
          <cell r="AP106">
            <v>500015.39651205542</v>
          </cell>
        </row>
        <row r="107">
          <cell r="G107" t="str">
            <v>B5.5</v>
          </cell>
          <cell r="H107">
            <v>3654261.9002823224</v>
          </cell>
          <cell r="I107">
            <v>2</v>
          </cell>
          <cell r="J107">
            <v>1.34</v>
          </cell>
          <cell r="K107">
            <v>0.25</v>
          </cell>
          <cell r="L107">
            <v>0.35</v>
          </cell>
          <cell r="M107">
            <v>0.11724999999999999</v>
          </cell>
          <cell r="Q107">
            <v>20.595292200000003</v>
          </cell>
          <cell r="T107">
            <v>1.113</v>
          </cell>
          <cell r="V107">
            <v>0</v>
          </cell>
          <cell r="W107">
            <v>6</v>
          </cell>
          <cell r="Y107">
            <v>0</v>
          </cell>
          <cell r="Z107">
            <v>0</v>
          </cell>
          <cell r="AA107">
            <v>0</v>
          </cell>
          <cell r="AB107">
            <v>9002.9739488737905</v>
          </cell>
          <cell r="AC107">
            <v>53308.831200000001</v>
          </cell>
          <cell r="AD107">
            <v>206421.72769347849</v>
          </cell>
          <cell r="AE107">
            <v>83038.856790749996</v>
          </cell>
          <cell r="AF107">
            <v>17436.328800000003</v>
          </cell>
          <cell r="AG107">
            <v>59253.489375000005</v>
          </cell>
          <cell r="AH107">
            <v>0</v>
          </cell>
          <cell r="AI107">
            <v>428462.20780810231</v>
          </cell>
          <cell r="AP107">
            <v>1455843.8736363675</v>
          </cell>
        </row>
        <row r="108">
          <cell r="G108" t="str">
            <v>B6.5</v>
          </cell>
          <cell r="H108">
            <v>3285081.622242495</v>
          </cell>
          <cell r="I108">
            <v>3</v>
          </cell>
          <cell r="J108">
            <v>4.34</v>
          </cell>
          <cell r="K108">
            <v>0.25</v>
          </cell>
          <cell r="L108">
            <v>0.35</v>
          </cell>
          <cell r="M108">
            <v>0.37974999999999998</v>
          </cell>
          <cell r="Q108">
            <v>87.073227000000003</v>
          </cell>
          <cell r="T108">
            <v>3.2129999999999996</v>
          </cell>
          <cell r="V108">
            <v>0</v>
          </cell>
          <cell r="W108">
            <v>0</v>
          </cell>
          <cell r="Y108">
            <v>9</v>
          </cell>
          <cell r="Z108">
            <v>0</v>
          </cell>
          <cell r="AA108">
            <v>0</v>
          </cell>
          <cell r="AB108">
            <v>29158.885774710634</v>
          </cell>
          <cell r="AC108">
            <v>0</v>
          </cell>
          <cell r="AD108">
            <v>872714.29696862656</v>
          </cell>
          <cell r="AE108">
            <v>268946.74512824998</v>
          </cell>
          <cell r="AF108">
            <v>17436.328800000003</v>
          </cell>
          <cell r="AG108">
            <v>59253.489375000005</v>
          </cell>
          <cell r="AH108">
            <v>0</v>
          </cell>
          <cell r="AI108">
            <v>1247509.7460465874</v>
          </cell>
          <cell r="AP108">
            <v>1455843.8736363675</v>
          </cell>
        </row>
        <row r="109">
          <cell r="G109" t="str">
            <v>B6'.5</v>
          </cell>
          <cell r="H109">
            <v>3285081.622242495</v>
          </cell>
          <cell r="I109">
            <v>2</v>
          </cell>
          <cell r="J109">
            <v>4.34</v>
          </cell>
          <cell r="K109">
            <v>0.25</v>
          </cell>
          <cell r="L109">
            <v>0.35</v>
          </cell>
          <cell r="M109">
            <v>0.37974999999999998</v>
          </cell>
          <cell r="Q109">
            <v>87.073227000000003</v>
          </cell>
          <cell r="T109">
            <v>3.2129999999999996</v>
          </cell>
          <cell r="V109">
            <v>0</v>
          </cell>
          <cell r="W109">
            <v>0</v>
          </cell>
          <cell r="Y109">
            <v>9</v>
          </cell>
          <cell r="Z109">
            <v>0</v>
          </cell>
          <cell r="AA109">
            <v>0</v>
          </cell>
          <cell r="AB109">
            <v>29158.885774710634</v>
          </cell>
          <cell r="AC109">
            <v>0</v>
          </cell>
          <cell r="AD109">
            <v>872714.29696862656</v>
          </cell>
          <cell r="AE109">
            <v>268946.74512824998</v>
          </cell>
          <cell r="AF109">
            <v>17436.328800000003</v>
          </cell>
          <cell r="AG109">
            <v>59253.489375000005</v>
          </cell>
          <cell r="AH109">
            <v>0</v>
          </cell>
          <cell r="AI109">
            <v>1247509.7460465874</v>
          </cell>
          <cell r="AP109">
            <v>636601.90526870417</v>
          </cell>
        </row>
        <row r="110">
          <cell r="G110" t="str">
            <v>B7.5</v>
          </cell>
          <cell r="H110">
            <v>3132823.6494934172</v>
          </cell>
          <cell r="I110">
            <v>7</v>
          </cell>
          <cell r="J110">
            <v>1.99</v>
          </cell>
          <cell r="K110">
            <v>0.25</v>
          </cell>
          <cell r="L110">
            <v>0.35</v>
          </cell>
          <cell r="M110">
            <v>0.174125</v>
          </cell>
          <cell r="Q110">
            <v>27.818206200000002</v>
          </cell>
          <cell r="T110">
            <v>1.5680000000000001</v>
          </cell>
          <cell r="V110">
            <v>0</v>
          </cell>
          <cell r="W110">
            <v>6</v>
          </cell>
          <cell r="Y110">
            <v>0</v>
          </cell>
          <cell r="Z110">
            <v>0</v>
          </cell>
          <cell r="AA110">
            <v>0</v>
          </cell>
          <cell r="AB110">
            <v>13370.088177805108</v>
          </cell>
          <cell r="AC110">
            <v>53308.831200000001</v>
          </cell>
          <cell r="AD110">
            <v>278815.28115136112</v>
          </cell>
          <cell r="AE110">
            <v>123318.89926387501</v>
          </cell>
          <cell r="AF110">
            <v>17436.328800000003</v>
          </cell>
          <cell r="AG110">
            <v>59253.489375000005</v>
          </cell>
          <cell r="AH110">
            <v>0</v>
          </cell>
          <cell r="AI110">
            <v>545502.91796804126</v>
          </cell>
          <cell r="AP110">
            <v>1242762.4632572148</v>
          </cell>
        </row>
        <row r="111">
          <cell r="G111" t="str">
            <v>B8.5</v>
          </cell>
          <cell r="H111">
            <v>3254150.3604201218</v>
          </cell>
          <cell r="I111">
            <v>13</v>
          </cell>
          <cell r="J111">
            <v>3.74</v>
          </cell>
          <cell r="K111">
            <v>0.25</v>
          </cell>
          <cell r="L111">
            <v>0.35</v>
          </cell>
          <cell r="M111">
            <v>0.32724999999999999</v>
          </cell>
          <cell r="Q111">
            <v>72.967707000000004</v>
          </cell>
          <cell r="T111">
            <v>2.7930000000000001</v>
          </cell>
          <cell r="V111">
            <v>0</v>
          </cell>
          <cell r="W111">
            <v>0</v>
          </cell>
          <cell r="Y111">
            <v>6</v>
          </cell>
          <cell r="Z111">
            <v>0</v>
          </cell>
          <cell r="AA111">
            <v>0</v>
          </cell>
          <cell r="AB111">
            <v>25127.703409543265</v>
          </cell>
          <cell r="AC111">
            <v>0</v>
          </cell>
          <cell r="AD111">
            <v>731338.01640219137</v>
          </cell>
          <cell r="AE111">
            <v>231765.16746075</v>
          </cell>
          <cell r="AF111">
            <v>17436.328800000003</v>
          </cell>
          <cell r="AG111">
            <v>59253.489375000005</v>
          </cell>
          <cell r="AH111">
            <v>0</v>
          </cell>
          <cell r="AI111">
            <v>1064920.7054474847</v>
          </cell>
          <cell r="AP111">
            <v>1869320.5161571554</v>
          </cell>
        </row>
        <row r="112">
          <cell r="G112" t="str">
            <v>B9.5</v>
          </cell>
          <cell r="H112">
            <v>3108061.2488301028</v>
          </cell>
          <cell r="I112">
            <v>2</v>
          </cell>
          <cell r="J112">
            <v>5.8900000000000006</v>
          </cell>
          <cell r="K112">
            <v>0.25</v>
          </cell>
          <cell r="L112">
            <v>0.35</v>
          </cell>
          <cell r="M112">
            <v>0.51537500000000003</v>
          </cell>
          <cell r="Q112">
            <v>111.80104200000002</v>
          </cell>
          <cell r="T112">
            <v>4.298</v>
          </cell>
          <cell r="V112">
            <v>0</v>
          </cell>
          <cell r="W112">
            <v>0</v>
          </cell>
          <cell r="Y112">
            <v>9</v>
          </cell>
          <cell r="Z112">
            <v>0</v>
          </cell>
          <cell r="AA112">
            <v>0</v>
          </cell>
          <cell r="AB112">
            <v>39572.773551393009</v>
          </cell>
          <cell r="AC112">
            <v>0</v>
          </cell>
          <cell r="AD112">
            <v>1120555.3202867962</v>
          </cell>
          <cell r="AE112">
            <v>364999.15410262503</v>
          </cell>
          <cell r="AF112">
            <v>17436.328800000003</v>
          </cell>
          <cell r="AG112">
            <v>59253.489375000005</v>
          </cell>
          <cell r="AH112">
            <v>0</v>
          </cell>
          <cell r="AI112">
            <v>1601817.0661158143</v>
          </cell>
          <cell r="AP112">
            <v>946245.47603510867</v>
          </cell>
        </row>
        <row r="113">
          <cell r="G113" t="str">
            <v>B10.5</v>
          </cell>
          <cell r="H113">
            <v>3088898.6037788675</v>
          </cell>
          <cell r="I113">
            <v>2</v>
          </cell>
          <cell r="J113">
            <v>3</v>
          </cell>
          <cell r="K113">
            <v>0.25</v>
          </cell>
          <cell r="L113">
            <v>0.35</v>
          </cell>
          <cell r="M113">
            <v>0.26249999999999996</v>
          </cell>
          <cell r="Q113">
            <v>47.369517299999998</v>
          </cell>
          <cell r="T113">
            <v>2.2749999999999999</v>
          </cell>
          <cell r="V113">
            <v>0</v>
          </cell>
          <cell r="W113">
            <v>6</v>
          </cell>
          <cell r="Y113">
            <v>0</v>
          </cell>
          <cell r="Z113">
            <v>0</v>
          </cell>
          <cell r="AA113">
            <v>0</v>
          </cell>
          <cell r="AB113">
            <v>20155.911825836843</v>
          </cell>
          <cell r="AC113">
            <v>53308.831200000001</v>
          </cell>
          <cell r="AD113">
            <v>474773.43395361572</v>
          </cell>
          <cell r="AE113">
            <v>185907.88833749996</v>
          </cell>
          <cell r="AF113">
            <v>17436.328800000003</v>
          </cell>
          <cell r="AG113">
            <v>59253.489375000005</v>
          </cell>
          <cell r="AH113">
            <v>0</v>
          </cell>
          <cell r="AI113">
            <v>810835.88349195255</v>
          </cell>
          <cell r="AP113">
            <v>946245.47603510867</v>
          </cell>
        </row>
        <row r="115">
          <cell r="I115">
            <v>281</v>
          </cell>
          <cell r="AB115">
            <v>2.3974653503532437E-2</v>
          </cell>
          <cell r="AC115">
            <v>4.3690151478926402E-2</v>
          </cell>
          <cell r="AD115">
            <v>0.64320497354721096</v>
          </cell>
          <cell r="AF115">
            <v>1.5460642378519773E-2</v>
          </cell>
          <cell r="AG115">
            <v>5.2539558035077545E-2</v>
          </cell>
          <cell r="AH115">
            <v>0</v>
          </cell>
        </row>
        <row r="116">
          <cell r="G116" t="str">
            <v>K.1</v>
          </cell>
          <cell r="H116">
            <v>2954940.1133421599</v>
          </cell>
          <cell r="I116">
            <v>66</v>
          </cell>
          <cell r="J116">
            <v>0.34</v>
          </cell>
          <cell r="K116">
            <v>0.34</v>
          </cell>
          <cell r="L116">
            <v>2.9</v>
          </cell>
          <cell r="M116">
            <v>0.33524000000000004</v>
          </cell>
          <cell r="Q116">
            <v>35.135814600000003</v>
          </cell>
          <cell r="T116">
            <v>3.944</v>
          </cell>
          <cell r="V116">
            <v>4.1399999999999997</v>
          </cell>
          <cell r="W116">
            <v>5.85</v>
          </cell>
          <cell r="Y116">
            <v>0</v>
          </cell>
          <cell r="Z116">
            <v>4.6874999999999998E-3</v>
          </cell>
          <cell r="AA116">
            <v>5.3999999999999999E-2</v>
          </cell>
          <cell r="AB116">
            <v>27507.346377201513</v>
          </cell>
          <cell r="AC116">
            <v>79884.891062999988</v>
          </cell>
          <cell r="AD116">
            <v>352157.93411514431</v>
          </cell>
          <cell r="AE116">
            <v>237423.84947148003</v>
          </cell>
          <cell r="AF116">
            <v>17436.328800000003</v>
          </cell>
          <cell r="AG116">
            <v>105300.36937499999</v>
          </cell>
          <cell r="AH116">
            <v>170903.40439499999</v>
          </cell>
          <cell r="AI116">
            <v>990614.12359682587</v>
          </cell>
          <cell r="AJ116">
            <v>990614.12359682587</v>
          </cell>
        </row>
        <row r="117">
          <cell r="G117" t="str">
            <v>K.2</v>
          </cell>
          <cell r="H117">
            <v>3271511.950811456</v>
          </cell>
          <cell r="I117">
            <v>66</v>
          </cell>
          <cell r="J117">
            <v>0.34</v>
          </cell>
          <cell r="K117">
            <v>0.34</v>
          </cell>
          <cell r="L117">
            <v>2.5299999999999998</v>
          </cell>
          <cell r="M117">
            <v>0.29246800000000006</v>
          </cell>
          <cell r="Q117">
            <v>35.135814600000003</v>
          </cell>
          <cell r="T117">
            <v>3.4407999999999999</v>
          </cell>
          <cell r="V117">
            <v>4.1399999999999997</v>
          </cell>
          <cell r="W117">
            <v>5.85</v>
          </cell>
          <cell r="Y117">
            <v>0</v>
          </cell>
          <cell r="Z117">
            <v>4.6874999999999998E-3</v>
          </cell>
          <cell r="AA117">
            <v>5.3999999999999999E-2</v>
          </cell>
          <cell r="AB117">
            <v>23997.788391144772</v>
          </cell>
          <cell r="AC117">
            <v>79884.891062999988</v>
          </cell>
          <cell r="AD117">
            <v>352157.93411514431</v>
          </cell>
          <cell r="AE117">
            <v>207131.84109063604</v>
          </cell>
          <cell r="AF117">
            <v>17436.328800000003</v>
          </cell>
          <cell r="AG117">
            <v>105300.36937499999</v>
          </cell>
          <cell r="AH117">
            <v>170903.40439499999</v>
          </cell>
          <cell r="AI117">
            <v>956812.55722992506</v>
          </cell>
          <cell r="AK117">
            <v>1042925.6873806184</v>
          </cell>
        </row>
        <row r="118">
          <cell r="G118" t="str">
            <v>K.3</v>
          </cell>
          <cell r="H118">
            <v>3271511.950811456</v>
          </cell>
          <cell r="I118">
            <v>66</v>
          </cell>
          <cell r="J118">
            <v>0.34</v>
          </cell>
          <cell r="K118">
            <v>0.34</v>
          </cell>
          <cell r="L118">
            <v>2.5299999999999998</v>
          </cell>
          <cell r="M118">
            <v>0.29246800000000006</v>
          </cell>
          <cell r="Q118">
            <v>35.135814600000003</v>
          </cell>
          <cell r="T118">
            <v>3.4407999999999999</v>
          </cell>
          <cell r="V118">
            <v>4.1399999999999997</v>
          </cell>
          <cell r="W118">
            <v>5.85</v>
          </cell>
          <cell r="Y118">
            <v>0</v>
          </cell>
          <cell r="Z118">
            <v>4.6874999999999998E-3</v>
          </cell>
          <cell r="AA118">
            <v>5.3999999999999999E-2</v>
          </cell>
          <cell r="AB118">
            <v>23997.788391144772</v>
          </cell>
          <cell r="AC118">
            <v>79884.891062999988</v>
          </cell>
          <cell r="AD118">
            <v>352157.93411514431</v>
          </cell>
          <cell r="AE118">
            <v>207131.84109063604</v>
          </cell>
          <cell r="AF118">
            <v>17436.328800000003</v>
          </cell>
          <cell r="AG118">
            <v>105300.36937499999</v>
          </cell>
          <cell r="AH118">
            <v>170903.40439499999</v>
          </cell>
          <cell r="AI118">
            <v>956812.55722992506</v>
          </cell>
          <cell r="AL118">
            <v>1071630.0640975162</v>
          </cell>
        </row>
        <row r="119">
          <cell r="G119" t="str">
            <v>K.4</v>
          </cell>
          <cell r="H119">
            <v>3271511.950811456</v>
          </cell>
          <cell r="I119">
            <v>66</v>
          </cell>
          <cell r="J119">
            <v>0.34</v>
          </cell>
          <cell r="K119">
            <v>0.34</v>
          </cell>
          <cell r="L119">
            <v>2.5299999999999998</v>
          </cell>
          <cell r="M119">
            <v>0.29246800000000006</v>
          </cell>
          <cell r="Q119">
            <v>35.135814600000003</v>
          </cell>
          <cell r="T119">
            <v>3.4407999999999999</v>
          </cell>
          <cell r="V119">
            <v>4.1399999999999997</v>
          </cell>
          <cell r="W119">
            <v>5.85</v>
          </cell>
          <cell r="Y119">
            <v>0</v>
          </cell>
          <cell r="Z119">
            <v>4.6874999999999998E-3</v>
          </cell>
          <cell r="AA119">
            <v>5.3999999999999999E-2</v>
          </cell>
          <cell r="AB119">
            <v>23997.788391144772</v>
          </cell>
          <cell r="AC119">
            <v>79884.891062999988</v>
          </cell>
          <cell r="AD119">
            <v>352157.93411514431</v>
          </cell>
          <cell r="AE119">
            <v>207131.84109063604</v>
          </cell>
          <cell r="AF119">
            <v>17436.328800000003</v>
          </cell>
          <cell r="AG119">
            <v>105300.36937499999</v>
          </cell>
          <cell r="AH119">
            <v>170903.40439499999</v>
          </cell>
          <cell r="AI119">
            <v>956812.55722992506</v>
          </cell>
          <cell r="AM119">
            <v>1085982.2524559649</v>
          </cell>
        </row>
        <row r="120">
          <cell r="G120" t="str">
            <v>K.5</v>
          </cell>
          <cell r="H120">
            <v>3271511.950811456</v>
          </cell>
          <cell r="I120">
            <v>17</v>
          </cell>
          <cell r="J120">
            <v>0.34</v>
          </cell>
          <cell r="K120">
            <v>0.34</v>
          </cell>
          <cell r="L120">
            <v>2.5299999999999998</v>
          </cell>
          <cell r="M120">
            <v>0.29246800000000006</v>
          </cell>
          <cell r="Q120">
            <v>35.135814600000003</v>
          </cell>
          <cell r="T120">
            <v>3.4407999999999999</v>
          </cell>
          <cell r="V120">
            <v>4.1399999999999997</v>
          </cell>
          <cell r="W120">
            <v>5.85</v>
          </cell>
          <cell r="Y120">
            <v>0</v>
          </cell>
          <cell r="Z120">
            <v>4.6874999999999998E-3</v>
          </cell>
          <cell r="AA120">
            <v>5.3999999999999999E-2</v>
          </cell>
          <cell r="AB120">
            <v>23997.788391144772</v>
          </cell>
          <cell r="AC120">
            <v>79884.891062999988</v>
          </cell>
          <cell r="AD120">
            <v>352157.93411514431</v>
          </cell>
          <cell r="AE120">
            <v>207131.84109063604</v>
          </cell>
          <cell r="AF120">
            <v>17436.328800000003</v>
          </cell>
          <cell r="AG120">
            <v>105300.36937499999</v>
          </cell>
          <cell r="AH120">
            <v>170903.40439499999</v>
          </cell>
          <cell r="AI120">
            <v>956812.55722992506</v>
          </cell>
          <cell r="AJ120">
            <v>956812.55722992506</v>
          </cell>
        </row>
        <row r="122">
          <cell r="I122">
            <v>528</v>
          </cell>
          <cell r="AB122">
            <v>2.5633453104023846E-2</v>
          </cell>
          <cell r="AC122">
            <v>8.2904877781867725E-2</v>
          </cell>
          <cell r="AD122">
            <v>0.36547099331595012</v>
          </cell>
          <cell r="AF122">
            <v>1.8095495767634518E-2</v>
          </cell>
          <cell r="AG122">
            <v>0.10928116865722692</v>
          </cell>
          <cell r="AH122">
            <v>0.17736427583907755</v>
          </cell>
        </row>
        <row r="123">
          <cell r="G123" t="str">
            <v>S1.2</v>
          </cell>
          <cell r="H123">
            <v>2298682.3212327668</v>
          </cell>
          <cell r="I123">
            <v>30</v>
          </cell>
          <cell r="J123">
            <v>3.9</v>
          </cell>
          <cell r="K123">
            <v>1.4670000000000001</v>
          </cell>
          <cell r="L123">
            <v>0.12</v>
          </cell>
          <cell r="M123">
            <v>0.68655600000000006</v>
          </cell>
          <cell r="Q123">
            <v>79.018038000000004</v>
          </cell>
          <cell r="T123">
            <v>5.7213000000000003</v>
          </cell>
          <cell r="V123">
            <v>0</v>
          </cell>
          <cell r="W123">
            <v>0</v>
          </cell>
          <cell r="Y123">
            <v>0</v>
          </cell>
          <cell r="Z123">
            <v>0</v>
          </cell>
          <cell r="AA123">
            <v>0</v>
          </cell>
          <cell r="AB123">
            <v>87010.866495177994</v>
          </cell>
          <cell r="AD123">
            <v>791979.04863466485</v>
          </cell>
          <cell r="AE123">
            <v>486233.05213501205</v>
          </cell>
          <cell r="AF123">
            <v>22194.506399999998</v>
          </cell>
          <cell r="AG123">
            <v>190756.66607142857</v>
          </cell>
          <cell r="AH123">
            <v>0</v>
          </cell>
          <cell r="AI123">
            <v>1578174.1397362836</v>
          </cell>
          <cell r="AK123">
            <v>1720209.8123125492</v>
          </cell>
        </row>
        <row r="124">
          <cell r="G124" t="str">
            <v>S1A.2</v>
          </cell>
          <cell r="H124">
            <v>2298682.3212327668</v>
          </cell>
          <cell r="I124">
            <v>15</v>
          </cell>
          <cell r="J124">
            <v>3.9</v>
          </cell>
          <cell r="K124">
            <v>1.4670000000000001</v>
          </cell>
          <cell r="L124">
            <v>0.12</v>
          </cell>
          <cell r="M124">
            <v>0.68655600000000006</v>
          </cell>
          <cell r="Q124">
            <v>79.018038000000004</v>
          </cell>
          <cell r="T124">
            <v>5.7213000000000003</v>
          </cell>
          <cell r="V124">
            <v>0</v>
          </cell>
          <cell r="W124">
            <v>0</v>
          </cell>
          <cell r="Y124">
            <v>0</v>
          </cell>
          <cell r="Z124">
            <v>0</v>
          </cell>
          <cell r="AA124">
            <v>0</v>
          </cell>
          <cell r="AB124">
            <v>87010.866495177994</v>
          </cell>
          <cell r="AD124">
            <v>791979.04863466485</v>
          </cell>
          <cell r="AE124">
            <v>486233.05213501205</v>
          </cell>
          <cell r="AF124">
            <v>22194.506399999998</v>
          </cell>
          <cell r="AG124">
            <v>190756.66607142857</v>
          </cell>
          <cell r="AH124">
            <v>0</v>
          </cell>
          <cell r="AI124">
            <v>1578174.1397362836</v>
          </cell>
          <cell r="AK124">
            <v>1720209.8123125492</v>
          </cell>
        </row>
        <row r="125">
          <cell r="G125" t="str">
            <v>S2.2</v>
          </cell>
          <cell r="H125">
            <v>2583915.614708567</v>
          </cell>
          <cell r="I125">
            <v>4</v>
          </cell>
          <cell r="J125">
            <v>2.15</v>
          </cell>
          <cell r="K125">
            <v>1.4670000000000001</v>
          </cell>
          <cell r="L125">
            <v>0.12</v>
          </cell>
          <cell r="M125">
            <v>0.37848599999999999</v>
          </cell>
          <cell r="Q125">
            <v>44.798589</v>
          </cell>
          <cell r="T125">
            <v>3.1540500000000002</v>
          </cell>
          <cell r="V125">
            <v>0</v>
          </cell>
          <cell r="W125">
            <v>0</v>
          </cell>
          <cell r="Y125">
            <v>0</v>
          </cell>
          <cell r="Z125">
            <v>0</v>
          </cell>
          <cell r="AA125">
            <v>0</v>
          </cell>
          <cell r="AB125">
            <v>47967.528965290425</v>
          </cell>
          <cell r="AD125">
            <v>449005.62952974561</v>
          </cell>
          <cell r="AE125">
            <v>268051.55438212201</v>
          </cell>
          <cell r="AF125">
            <v>22194.506399999998</v>
          </cell>
          <cell r="AG125">
            <v>190756.66607142857</v>
          </cell>
          <cell r="AH125">
            <v>0</v>
          </cell>
          <cell r="AI125">
            <v>977975.8853485866</v>
          </cell>
          <cell r="AK125">
            <v>1065993.7150299596</v>
          </cell>
        </row>
        <row r="126">
          <cell r="G126" t="str">
            <v>S2A.2</v>
          </cell>
          <cell r="H126">
            <v>2583915.614708567</v>
          </cell>
          <cell r="I126">
            <v>2</v>
          </cell>
          <cell r="J126">
            <v>2.15</v>
          </cell>
          <cell r="K126">
            <v>1.4670000000000001</v>
          </cell>
          <cell r="L126">
            <v>0.12</v>
          </cell>
          <cell r="M126">
            <v>0.37848599999999999</v>
          </cell>
          <cell r="Q126">
            <v>44.798589</v>
          </cell>
          <cell r="T126">
            <v>3.1540500000000002</v>
          </cell>
          <cell r="V126">
            <v>0</v>
          </cell>
          <cell r="W126">
            <v>0</v>
          </cell>
          <cell r="Y126">
            <v>0</v>
          </cell>
          <cell r="Z126">
            <v>0</v>
          </cell>
          <cell r="AA126">
            <v>0</v>
          </cell>
          <cell r="AB126">
            <v>47967.528965290425</v>
          </cell>
          <cell r="AD126">
            <v>449005.62952974561</v>
          </cell>
          <cell r="AE126">
            <v>268051.55438212201</v>
          </cell>
          <cell r="AF126">
            <v>22194.506399999998</v>
          </cell>
          <cell r="AG126">
            <v>190756.66607142857</v>
          </cell>
          <cell r="AH126">
            <v>0</v>
          </cell>
          <cell r="AI126">
            <v>977975.8853485866</v>
          </cell>
          <cell r="AK126">
            <v>1065993.7150299596</v>
          </cell>
        </row>
        <row r="127">
          <cell r="G127" t="str">
            <v>S3.2</v>
          </cell>
          <cell r="H127">
            <v>2461468.3891050401</v>
          </cell>
          <cell r="I127">
            <v>4</v>
          </cell>
          <cell r="J127">
            <v>2.2599999999999998</v>
          </cell>
          <cell r="K127">
            <v>1.825</v>
          </cell>
          <cell r="L127">
            <v>0.12</v>
          </cell>
          <cell r="M127">
            <v>0.49493999999999994</v>
          </cell>
          <cell r="Q127">
            <v>59.07303000000001</v>
          </cell>
          <cell r="T127">
            <v>4.1244999999999994</v>
          </cell>
          <cell r="V127">
            <v>0</v>
          </cell>
          <cell r="W127">
            <v>0</v>
          </cell>
          <cell r="Y127">
            <v>0</v>
          </cell>
          <cell r="Z127">
            <v>0</v>
          </cell>
          <cell r="AA127">
            <v>0</v>
          </cell>
          <cell r="AB127">
            <v>62726.359194477052</v>
          </cell>
          <cell r="AD127">
            <v>592074.96520436287</v>
          </cell>
          <cell r="AE127">
            <v>350526.66763337998</v>
          </cell>
          <cell r="AF127">
            <v>22194.506399999998</v>
          </cell>
          <cell r="AG127">
            <v>190756.66607142857</v>
          </cell>
          <cell r="AH127">
            <v>0</v>
          </cell>
          <cell r="AI127">
            <v>1218279.1645036484</v>
          </cell>
          <cell r="AK127">
            <v>1327924.2893089768</v>
          </cell>
        </row>
        <row r="128">
          <cell r="G128" t="str">
            <v>S4.2</v>
          </cell>
          <cell r="H128">
            <v>2415672.7864276101</v>
          </cell>
          <cell r="I128">
            <v>2</v>
          </cell>
          <cell r="J128">
            <v>3.9</v>
          </cell>
          <cell r="K128">
            <v>1</v>
          </cell>
          <cell r="L128">
            <v>0.12</v>
          </cell>
          <cell r="M128">
            <v>0.46799999999999997</v>
          </cell>
          <cell r="Q128">
            <v>52.562790000000007</v>
          </cell>
          <cell r="T128">
            <v>3.9</v>
          </cell>
          <cell r="V128">
            <v>0</v>
          </cell>
          <cell r="W128">
            <v>0</v>
          </cell>
          <cell r="Y128">
            <v>0</v>
          </cell>
          <cell r="Z128">
            <v>0</v>
          </cell>
          <cell r="AA128">
            <v>0</v>
          </cell>
          <cell r="AB128">
            <v>59312.11076699249</v>
          </cell>
          <cell r="AD128">
            <v>526824.37417370046</v>
          </cell>
          <cell r="AE128">
            <v>331447.20663599996</v>
          </cell>
          <cell r="AF128">
            <v>22194.506399999998</v>
          </cell>
          <cell r="AG128">
            <v>190756.66607142857</v>
          </cell>
          <cell r="AH128">
            <v>0</v>
          </cell>
          <cell r="AI128">
            <v>1130534.8640481215</v>
          </cell>
          <cell r="AK128">
            <v>1232283.0018124525</v>
          </cell>
        </row>
        <row r="129">
          <cell r="G129" t="str">
            <v>S5.2</v>
          </cell>
          <cell r="H129">
            <v>2692069.3427485619</v>
          </cell>
          <cell r="I129">
            <v>2</v>
          </cell>
          <cell r="J129">
            <v>2.625</v>
          </cell>
          <cell r="K129">
            <v>1</v>
          </cell>
          <cell r="L129">
            <v>0.12</v>
          </cell>
          <cell r="M129">
            <v>0.315</v>
          </cell>
          <cell r="Q129">
            <v>37.119465000000005</v>
          </cell>
          <cell r="T129">
            <v>2.625</v>
          </cell>
          <cell r="V129">
            <v>0</v>
          </cell>
          <cell r="W129">
            <v>0</v>
          </cell>
          <cell r="Y129">
            <v>0</v>
          </cell>
          <cell r="Z129">
            <v>0</v>
          </cell>
          <cell r="AA129">
            <v>0</v>
          </cell>
          <cell r="AB129">
            <v>39921.613016244948</v>
          </cell>
          <cell r="AD129">
            <v>372039.59147312347</v>
          </cell>
          <cell r="AE129">
            <v>223089.46600499999</v>
          </cell>
          <cell r="AF129">
            <v>22194.506399999998</v>
          </cell>
          <cell r="AG129">
            <v>190756.66607142857</v>
          </cell>
          <cell r="AH129">
            <v>0</v>
          </cell>
          <cell r="AI129">
            <v>848001.84296579694</v>
          </cell>
          <cell r="AK129">
            <v>924322.00883271871</v>
          </cell>
        </row>
        <row r="130">
          <cell r="G130" t="str">
            <v>S6.2</v>
          </cell>
          <cell r="H130">
            <v>2385222.6772477757</v>
          </cell>
          <cell r="I130">
            <v>2</v>
          </cell>
          <cell r="J130">
            <v>2.15</v>
          </cell>
          <cell r="K130">
            <v>1.95</v>
          </cell>
          <cell r="L130">
            <v>0.12</v>
          </cell>
          <cell r="M130">
            <v>0.50309999999999999</v>
          </cell>
          <cell r="Q130">
            <v>56.570040000000006</v>
          </cell>
          <cell r="T130">
            <v>4.1924999999999999</v>
          </cell>
          <cell r="V130">
            <v>0</v>
          </cell>
          <cell r="W130">
            <v>0</v>
          </cell>
          <cell r="Y130">
            <v>0</v>
          </cell>
          <cell r="Z130">
            <v>0</v>
          </cell>
          <cell r="AA130">
            <v>0</v>
          </cell>
          <cell r="AB130">
            <v>63760.519074516924</v>
          </cell>
          <cell r="AD130">
            <v>566988.09024371044</v>
          </cell>
          <cell r="AE130">
            <v>356305.7471337</v>
          </cell>
          <cell r="AF130">
            <v>22194.506399999998</v>
          </cell>
          <cell r="AG130">
            <v>190756.66607142857</v>
          </cell>
          <cell r="AH130">
            <v>0</v>
          </cell>
          <cell r="AI130">
            <v>1200005.528923356</v>
          </cell>
          <cell r="AK130">
            <v>1308006.0265264581</v>
          </cell>
        </row>
        <row r="131">
          <cell r="G131" t="str">
            <v>S7.2</v>
          </cell>
          <cell r="H131">
            <v>2554922.5964596714</v>
          </cell>
          <cell r="I131">
            <v>2</v>
          </cell>
          <cell r="J131">
            <v>2.15</v>
          </cell>
          <cell r="K131">
            <v>1.5</v>
          </cell>
          <cell r="L131">
            <v>0.12</v>
          </cell>
          <cell r="M131">
            <v>0.38699999999999996</v>
          </cell>
          <cell r="Q131">
            <v>45.164790000000004</v>
          </cell>
          <cell r="T131">
            <v>3.2249999999999996</v>
          </cell>
          <cell r="V131">
            <v>0</v>
          </cell>
          <cell r="W131">
            <v>0</v>
          </cell>
          <cell r="Y131">
            <v>0</v>
          </cell>
          <cell r="Z131">
            <v>0</v>
          </cell>
          <cell r="AA131">
            <v>0</v>
          </cell>
          <cell r="AB131">
            <v>49046.553134243783</v>
          </cell>
          <cell r="AD131">
            <v>452675.97527522041</v>
          </cell>
          <cell r="AE131">
            <v>274081.34394899994</v>
          </cell>
          <cell r="AF131">
            <v>22194.506399999998</v>
          </cell>
          <cell r="AG131">
            <v>190756.66607142857</v>
          </cell>
          <cell r="AH131">
            <v>0</v>
          </cell>
          <cell r="AI131">
            <v>988755.04482989269</v>
          </cell>
          <cell r="AK131">
            <v>1077742.9988645832</v>
          </cell>
        </row>
        <row r="132">
          <cell r="G132" t="str">
            <v>S8.2</v>
          </cell>
          <cell r="H132">
            <v>2171671.1576250526</v>
          </cell>
          <cell r="I132">
            <v>15</v>
          </cell>
          <cell r="J132">
            <v>3.9</v>
          </cell>
          <cell r="K132">
            <v>1.95</v>
          </cell>
          <cell r="L132">
            <v>0.12</v>
          </cell>
          <cell r="M132">
            <v>0.91259999999999986</v>
          </cell>
          <cell r="Q132">
            <v>100.46484000000002</v>
          </cell>
          <cell r="T132">
            <v>7.6049999999999995</v>
          </cell>
          <cell r="V132">
            <v>0</v>
          </cell>
          <cell r="W132">
            <v>0</v>
          </cell>
          <cell r="Y132">
            <v>0</v>
          </cell>
          <cell r="Z132">
            <v>0</v>
          </cell>
          <cell r="AA132">
            <v>0</v>
          </cell>
          <cell r="AB132">
            <v>115658.61599563534</v>
          </cell>
          <cell r="AD132">
            <v>1006935.2570413586</v>
          </cell>
          <cell r="AE132">
            <v>646322.05294019985</v>
          </cell>
          <cell r="AF132">
            <v>22194.506399999998</v>
          </cell>
          <cell r="AG132">
            <v>190756.66607142857</v>
          </cell>
          <cell r="AH132">
            <v>0</v>
          </cell>
          <cell r="AI132">
            <v>1981867.0984486225</v>
          </cell>
          <cell r="AK132">
            <v>2160235.1373089985</v>
          </cell>
        </row>
        <row r="133">
          <cell r="G133" t="str">
            <v>S8A.2</v>
          </cell>
          <cell r="H133">
            <v>2158619.5651726406</v>
          </cell>
          <cell r="I133">
            <v>15</v>
          </cell>
          <cell r="J133">
            <v>3.9</v>
          </cell>
          <cell r="K133">
            <v>1.98</v>
          </cell>
          <cell r="L133">
            <v>0.12</v>
          </cell>
          <cell r="M133">
            <v>0.92663999999999991</v>
          </cell>
          <cell r="Q133">
            <v>101.13066000000001</v>
          </cell>
          <cell r="T133">
            <v>7.7219999999999995</v>
          </cell>
          <cell r="V133">
            <v>0</v>
          </cell>
          <cell r="W133">
            <v>0</v>
          </cell>
          <cell r="Y133">
            <v>0</v>
          </cell>
          <cell r="Z133">
            <v>0</v>
          </cell>
          <cell r="AA133">
            <v>0</v>
          </cell>
          <cell r="AB133">
            <v>117437.97931864511</v>
          </cell>
          <cell r="AD133">
            <v>1013608.6129422216</v>
          </cell>
          <cell r="AE133">
            <v>656265.46913927991</v>
          </cell>
          <cell r="AF133">
            <v>22194.506399999998</v>
          </cell>
          <cell r="AG133">
            <v>190756.66607142857</v>
          </cell>
          <cell r="AH133">
            <v>0</v>
          </cell>
          <cell r="AI133">
            <v>2000263.2338715754</v>
          </cell>
          <cell r="AK133">
            <v>2180286.9249200174</v>
          </cell>
        </row>
        <row r="134">
          <cell r="G134" t="str">
            <v>S9.2</v>
          </cell>
          <cell r="H134">
            <v>2276937.1633924954</v>
          </cell>
          <cell r="I134">
            <v>8</v>
          </cell>
          <cell r="J134">
            <v>3.9</v>
          </cell>
          <cell r="K134">
            <v>1.5</v>
          </cell>
          <cell r="L134">
            <v>0.12</v>
          </cell>
          <cell r="M134">
            <v>0.70199999999999996</v>
          </cell>
          <cell r="Q134">
            <v>79.750439999999998</v>
          </cell>
          <cell r="T134">
            <v>5.85</v>
          </cell>
          <cell r="V134">
            <v>0</v>
          </cell>
          <cell r="W134">
            <v>0</v>
          </cell>
          <cell r="Y134">
            <v>0</v>
          </cell>
          <cell r="Z134">
            <v>0</v>
          </cell>
          <cell r="AA134">
            <v>0</v>
          </cell>
          <cell r="AB134">
            <v>88968.166150488731</v>
          </cell>
          <cell r="AD134">
            <v>799319.74012561433</v>
          </cell>
          <cell r="AE134">
            <v>497170.809954</v>
          </cell>
          <cell r="AF134">
            <v>22194.506399999998</v>
          </cell>
          <cell r="AG134">
            <v>190756.66607142857</v>
          </cell>
          <cell r="AH134">
            <v>0</v>
          </cell>
          <cell r="AI134">
            <v>1598409.8887015316</v>
          </cell>
          <cell r="AK134">
            <v>1742266.7786846696</v>
          </cell>
        </row>
        <row r="135">
          <cell r="G135" t="str">
            <v>S9A.2</v>
          </cell>
          <cell r="H135">
            <v>2276937.1633924958</v>
          </cell>
          <cell r="I135">
            <v>7</v>
          </cell>
          <cell r="J135">
            <v>3.9</v>
          </cell>
          <cell r="K135">
            <v>1.5</v>
          </cell>
          <cell r="L135">
            <v>0.12</v>
          </cell>
          <cell r="M135">
            <v>0.70199999999999996</v>
          </cell>
          <cell r="Q135">
            <v>79.750440000000012</v>
          </cell>
          <cell r="T135">
            <v>5.85</v>
          </cell>
          <cell r="V135">
            <v>0</v>
          </cell>
          <cell r="W135">
            <v>0</v>
          </cell>
          <cell r="Y135">
            <v>0</v>
          </cell>
          <cell r="Z135">
            <v>0</v>
          </cell>
          <cell r="AA135">
            <v>0</v>
          </cell>
          <cell r="AB135">
            <v>88968.166150488731</v>
          </cell>
          <cell r="AD135">
            <v>799319.74012561445</v>
          </cell>
          <cell r="AE135">
            <v>497170.809954</v>
          </cell>
          <cell r="AF135">
            <v>22194.506399999998</v>
          </cell>
          <cell r="AG135">
            <v>190756.66607142857</v>
          </cell>
          <cell r="AH135">
            <v>0</v>
          </cell>
          <cell r="AI135">
            <v>1598409.888701532</v>
          </cell>
          <cell r="AK135">
            <v>1742266.7786846701</v>
          </cell>
        </row>
        <row r="136">
          <cell r="G136" t="str">
            <v>S10.2</v>
          </cell>
          <cell r="H136">
            <v>2134275.1106044445</v>
          </cell>
          <cell r="I136">
            <v>2</v>
          </cell>
          <cell r="J136">
            <v>4.5</v>
          </cell>
          <cell r="K136">
            <v>1.95</v>
          </cell>
          <cell r="L136">
            <v>0.12</v>
          </cell>
          <cell r="M136">
            <v>1.0529999999999999</v>
          </cell>
          <cell r="Q136">
            <v>115.26084</v>
          </cell>
          <cell r="T136">
            <v>8.7750000000000004</v>
          </cell>
          <cell r="V136">
            <v>0</v>
          </cell>
          <cell r="W136">
            <v>0</v>
          </cell>
          <cell r="Y136">
            <v>0</v>
          </cell>
          <cell r="Z136">
            <v>0</v>
          </cell>
          <cell r="AA136">
            <v>0</v>
          </cell>
          <cell r="AB136">
            <v>133452.2492257331</v>
          </cell>
          <cell r="AD136">
            <v>1155232.0548383184</v>
          </cell>
          <cell r="AE136">
            <v>745756.21493099991</v>
          </cell>
          <cell r="AF136">
            <v>22194.506399999998</v>
          </cell>
          <cell r="AG136">
            <v>190756.66607142857</v>
          </cell>
          <cell r="AH136">
            <v>0</v>
          </cell>
          <cell r="AI136">
            <v>2247391.69146648</v>
          </cell>
          <cell r="AK136">
            <v>2449656.9436984635</v>
          </cell>
        </row>
        <row r="137">
          <cell r="G137" t="str">
            <v>S10A.2</v>
          </cell>
          <cell r="H137">
            <v>2134275.1106044445</v>
          </cell>
          <cell r="I137">
            <v>2</v>
          </cell>
          <cell r="J137">
            <v>4.5</v>
          </cell>
          <cell r="K137">
            <v>1.95</v>
          </cell>
          <cell r="L137">
            <v>0.12</v>
          </cell>
          <cell r="M137">
            <v>1.0529999999999999</v>
          </cell>
          <cell r="Q137">
            <v>115.26084</v>
          </cell>
          <cell r="T137">
            <v>8.7750000000000004</v>
          </cell>
          <cell r="V137">
            <v>0</v>
          </cell>
          <cell r="W137">
            <v>0</v>
          </cell>
          <cell r="Y137">
            <v>0</v>
          </cell>
          <cell r="Z137">
            <v>0</v>
          </cell>
          <cell r="AA137">
            <v>0</v>
          </cell>
          <cell r="AB137">
            <v>133452.2492257331</v>
          </cell>
          <cell r="AD137">
            <v>1155232.0548383184</v>
          </cell>
          <cell r="AE137">
            <v>745756.21493099991</v>
          </cell>
          <cell r="AF137">
            <v>22194.506399999998</v>
          </cell>
          <cell r="AG137">
            <v>190756.66607142857</v>
          </cell>
          <cell r="AH137">
            <v>0</v>
          </cell>
          <cell r="AI137">
            <v>2247391.69146648</v>
          </cell>
          <cell r="AK137">
            <v>2449656.9436984635</v>
          </cell>
        </row>
        <row r="138">
          <cell r="G138" t="str">
            <v>S11.2</v>
          </cell>
          <cell r="H138">
            <v>2247489.2644385821</v>
          </cell>
          <cell r="I138">
            <v>2</v>
          </cell>
          <cell r="J138">
            <v>4.5</v>
          </cell>
          <cell r="K138">
            <v>1.47</v>
          </cell>
          <cell r="L138">
            <v>0.12</v>
          </cell>
          <cell r="M138">
            <v>0.79379999999999995</v>
          </cell>
          <cell r="Q138">
            <v>90.625500000000017</v>
          </cell>
          <cell r="T138">
            <v>6.6150000000000002</v>
          </cell>
          <cell r="V138">
            <v>0</v>
          </cell>
          <cell r="W138">
            <v>0</v>
          </cell>
          <cell r="Y138">
            <v>0</v>
          </cell>
          <cell r="Z138">
            <v>0</v>
          </cell>
          <cell r="AA138">
            <v>0</v>
          </cell>
          <cell r="AB138">
            <v>100602.46480093726</v>
          </cell>
          <cell r="AD138">
            <v>908317.88650638016</v>
          </cell>
          <cell r="AE138">
            <v>562185.4543326</v>
          </cell>
          <cell r="AF138">
            <v>22194.506399999998</v>
          </cell>
          <cell r="AG138">
            <v>190756.66607142857</v>
          </cell>
          <cell r="AH138">
            <v>0</v>
          </cell>
          <cell r="AI138">
            <v>1784056.9781113463</v>
          </cell>
          <cell r="AK138">
            <v>1944622.1061413675</v>
          </cell>
        </row>
        <row r="139">
          <cell r="G139" t="str">
            <v>S12.2</v>
          </cell>
          <cell r="H139">
            <v>2221123.4592413376</v>
          </cell>
          <cell r="I139">
            <v>13</v>
          </cell>
          <cell r="J139">
            <v>3.1440000000000001</v>
          </cell>
          <cell r="K139">
            <v>2.2229999999999999</v>
          </cell>
          <cell r="L139">
            <v>0.12</v>
          </cell>
          <cell r="M139">
            <v>0.8386934399999999</v>
          </cell>
          <cell r="Q139">
            <v>94.746185999999994</v>
          </cell>
          <cell r="T139">
            <v>6.9891119999999995</v>
          </cell>
          <cell r="V139">
            <v>0</v>
          </cell>
          <cell r="W139">
            <v>0</v>
          </cell>
          <cell r="Y139">
            <v>0</v>
          </cell>
          <cell r="Z139">
            <v>0</v>
          </cell>
          <cell r="AA139">
            <v>0</v>
          </cell>
          <cell r="AB139">
            <v>106292.04746331189</v>
          </cell>
          <cell r="AD139">
            <v>949618.54469283333</v>
          </cell>
          <cell r="AE139">
            <v>593979.91006824281</v>
          </cell>
          <cell r="AF139">
            <v>22194.506399999998</v>
          </cell>
          <cell r="AG139">
            <v>190756.66607142857</v>
          </cell>
          <cell r="AH139">
            <v>0</v>
          </cell>
          <cell r="AI139">
            <v>1862841.6746958168</v>
          </cell>
          <cell r="AK139">
            <v>2030497.4254184405</v>
          </cell>
        </row>
        <row r="140">
          <cell r="G140" t="str">
            <v>S13.2</v>
          </cell>
          <cell r="H140">
            <v>3553417.02981222</v>
          </cell>
          <cell r="I140">
            <v>13</v>
          </cell>
          <cell r="J140">
            <v>2.5590000000000002</v>
          </cell>
          <cell r="K140">
            <v>0.50700000000000001</v>
          </cell>
          <cell r="L140">
            <v>0.12</v>
          </cell>
          <cell r="M140">
            <v>0.15568956</v>
          </cell>
          <cell r="Q140">
            <v>20.980727999999999</v>
          </cell>
          <cell r="T140">
            <v>1.2974130000000001</v>
          </cell>
          <cell r="V140">
            <v>0</v>
          </cell>
          <cell r="W140">
            <v>0</v>
          </cell>
          <cell r="Y140">
            <v>0</v>
          </cell>
          <cell r="Z140">
            <v>0</v>
          </cell>
          <cell r="AA140">
            <v>0</v>
          </cell>
          <cell r="AB140">
            <v>19731.359888855393</v>
          </cell>
          <cell r="AD140">
            <v>210284.85927608926</v>
          </cell>
          <cell r="AE140">
            <v>110262.54223159813</v>
          </cell>
          <cell r="AF140">
            <v>22194.506399999998</v>
          </cell>
          <cell r="AG140">
            <v>190756.66607142857</v>
          </cell>
          <cell r="AH140">
            <v>0</v>
          </cell>
          <cell r="AI140">
            <v>553229.93386797141</v>
          </cell>
          <cell r="AK140">
            <v>603020.62791608891</v>
          </cell>
        </row>
        <row r="141">
          <cell r="G141" t="str">
            <v>S14.2</v>
          </cell>
          <cell r="H141">
            <v>2669199.4960177504</v>
          </cell>
          <cell r="I141">
            <v>2</v>
          </cell>
          <cell r="J141">
            <v>1.925</v>
          </cell>
          <cell r="K141">
            <v>1.4670000000000001</v>
          </cell>
          <cell r="L141">
            <v>0.12</v>
          </cell>
          <cell r="M141">
            <v>0.33887700000000004</v>
          </cell>
          <cell r="Q141">
            <v>40.770378000000008</v>
          </cell>
          <cell r="T141">
            <v>2.8239750000000003</v>
          </cell>
          <cell r="V141">
            <v>0</v>
          </cell>
          <cell r="W141">
            <v>0</v>
          </cell>
          <cell r="Y141">
            <v>0</v>
          </cell>
          <cell r="Z141">
            <v>0</v>
          </cell>
          <cell r="AA141">
            <v>0</v>
          </cell>
          <cell r="AB141">
            <v>42947.671282876319</v>
          </cell>
          <cell r="AD141">
            <v>408631.82632952335</v>
          </cell>
          <cell r="AE141">
            <v>239999.64752817902</v>
          </cell>
          <cell r="AF141">
            <v>22194.506399999998</v>
          </cell>
          <cell r="AG141">
            <v>190756.66607142857</v>
          </cell>
          <cell r="AH141">
            <v>0</v>
          </cell>
          <cell r="AI141">
            <v>904530.31761200726</v>
          </cell>
          <cell r="AK141">
            <v>985938.04619708797</v>
          </cell>
        </row>
        <row r="142">
          <cell r="G142" t="str">
            <v>S14A.2</v>
          </cell>
          <cell r="H142">
            <v>2666329.5802969867</v>
          </cell>
          <cell r="I142">
            <v>1</v>
          </cell>
          <cell r="J142">
            <v>1.925</v>
          </cell>
          <cell r="K142">
            <v>1.47</v>
          </cell>
          <cell r="L142">
            <v>0.12</v>
          </cell>
          <cell r="M142">
            <v>0.33957000000000004</v>
          </cell>
          <cell r="Q142">
            <v>40.799970000000002</v>
          </cell>
          <cell r="T142">
            <v>2.8297500000000002</v>
          </cell>
          <cell r="V142">
            <v>0</v>
          </cell>
          <cell r="W142">
            <v>0</v>
          </cell>
          <cell r="Y142">
            <v>0</v>
          </cell>
          <cell r="Z142">
            <v>0</v>
          </cell>
          <cell r="AA142">
            <v>0</v>
          </cell>
          <cell r="AB142">
            <v>43035.498831512057</v>
          </cell>
          <cell r="AD142">
            <v>408928.41992511722</v>
          </cell>
          <cell r="AE142">
            <v>240490.44435339002</v>
          </cell>
          <cell r="AF142">
            <v>22194.506399999998</v>
          </cell>
          <cell r="AG142">
            <v>190756.66607142857</v>
          </cell>
          <cell r="AH142">
            <v>0</v>
          </cell>
          <cell r="AI142">
            <v>905405.53558144788</v>
          </cell>
          <cell r="AK142">
            <v>986892.03378377832</v>
          </cell>
        </row>
        <row r="143">
          <cell r="G143" t="str">
            <v>S15.2</v>
          </cell>
          <cell r="H143">
            <v>2615715.5584544078</v>
          </cell>
          <cell r="I143">
            <v>1</v>
          </cell>
          <cell r="J143">
            <v>1.925</v>
          </cell>
          <cell r="K143">
            <v>1.5249999999999999</v>
          </cell>
          <cell r="L143">
            <v>0.12</v>
          </cell>
          <cell r="M143">
            <v>0.352275</v>
          </cell>
          <cell r="Q143">
            <v>41.342490000000005</v>
          </cell>
          <cell r="T143">
            <v>2.9356249999999999</v>
          </cell>
          <cell r="V143">
            <v>0</v>
          </cell>
          <cell r="W143">
            <v>0</v>
          </cell>
          <cell r="Y143">
            <v>0</v>
          </cell>
          <cell r="Z143">
            <v>0</v>
          </cell>
          <cell r="AA143">
            <v>0</v>
          </cell>
          <cell r="AB143">
            <v>44645.670556500598</v>
          </cell>
          <cell r="AD143">
            <v>414365.96917767241</v>
          </cell>
          <cell r="AE143">
            <v>249488.386148925</v>
          </cell>
          <cell r="AF143">
            <v>22194.506399999998</v>
          </cell>
          <cell r="AG143">
            <v>190756.66607142857</v>
          </cell>
          <cell r="AH143">
            <v>0</v>
          </cell>
          <cell r="AI143">
            <v>921451.19835452654</v>
          </cell>
          <cell r="AK143">
            <v>1004381.806206434</v>
          </cell>
        </row>
        <row r="144">
          <cell r="G144" t="str">
            <v>S16.2</v>
          </cell>
          <cell r="H144">
            <v>2436154.7691714726</v>
          </cell>
          <cell r="I144">
            <v>2</v>
          </cell>
          <cell r="J144">
            <v>1.9750000000000001</v>
          </cell>
          <cell r="K144">
            <v>1.925</v>
          </cell>
          <cell r="L144">
            <v>0.12</v>
          </cell>
          <cell r="M144">
            <v>0.45622500000000005</v>
          </cell>
          <cell r="Q144">
            <v>51.638040000000004</v>
          </cell>
          <cell r="T144">
            <v>3.8018750000000003</v>
          </cell>
          <cell r="V144">
            <v>0</v>
          </cell>
          <cell r="W144">
            <v>0</v>
          </cell>
          <cell r="Y144">
            <v>0</v>
          </cell>
          <cell r="Z144">
            <v>0</v>
          </cell>
          <cell r="AA144">
            <v>0</v>
          </cell>
          <cell r="AB144">
            <v>57819.802851861437</v>
          </cell>
          <cell r="AD144">
            <v>517555.8243113904</v>
          </cell>
          <cell r="AE144">
            <v>323107.90993057506</v>
          </cell>
          <cell r="AF144">
            <v>22194.506399999998</v>
          </cell>
          <cell r="AG144">
            <v>190756.66607142857</v>
          </cell>
          <cell r="AH144">
            <v>0</v>
          </cell>
          <cell r="AI144">
            <v>1111434.7095652553</v>
          </cell>
          <cell r="AK144">
            <v>1211463.8334261284</v>
          </cell>
        </row>
        <row r="145">
          <cell r="G145" t="str">
            <v>S17.2</v>
          </cell>
          <cell r="H145">
            <v>3004837.3338809367</v>
          </cell>
          <cell r="I145">
            <v>1</v>
          </cell>
          <cell r="J145">
            <v>2.15</v>
          </cell>
          <cell r="K145">
            <v>0.89700000000000002</v>
          </cell>
          <cell r="L145">
            <v>0.12</v>
          </cell>
          <cell r="M145">
            <v>0.23142599999999999</v>
          </cell>
          <cell r="Q145">
            <v>28.855899000000001</v>
          </cell>
          <cell r="T145">
            <v>1.92855</v>
          </cell>
          <cell r="V145">
            <v>0</v>
          </cell>
          <cell r="W145">
            <v>0</v>
          </cell>
          <cell r="Y145">
            <v>0</v>
          </cell>
          <cell r="Z145">
            <v>0</v>
          </cell>
          <cell r="AA145">
            <v>0</v>
          </cell>
          <cell r="AB145">
            <v>29329.838774277785</v>
          </cell>
          <cell r="AD145">
            <v>289215.82990352123</v>
          </cell>
          <cell r="AE145">
            <v>163900.643681502</v>
          </cell>
          <cell r="AF145">
            <v>22194.506399999998</v>
          </cell>
          <cell r="AG145">
            <v>190756.66607142857</v>
          </cell>
          <cell r="AH145">
            <v>0</v>
          </cell>
          <cell r="AI145">
            <v>695397.48483072966</v>
          </cell>
          <cell r="AK145">
            <v>757983.25846549543</v>
          </cell>
        </row>
        <row r="146">
          <cell r="G146" t="str">
            <v>SA.1</v>
          </cell>
          <cell r="H146">
            <v>2375643.6800505263</v>
          </cell>
          <cell r="I146">
            <v>3</v>
          </cell>
          <cell r="J146">
            <v>3.3460000000000001</v>
          </cell>
          <cell r="K146">
            <v>1.4330000000000001</v>
          </cell>
          <cell r="L146">
            <v>0.12</v>
          </cell>
          <cell r="M146">
            <v>0.57537815999999997</v>
          </cell>
          <cell r="Q146">
            <v>67.199733000000009</v>
          </cell>
          <cell r="T146">
            <v>4.7948180000000002</v>
          </cell>
          <cell r="V146">
            <v>0</v>
          </cell>
          <cell r="W146">
            <v>0</v>
          </cell>
          <cell r="Y146">
            <v>0</v>
          </cell>
          <cell r="Z146">
            <v>0</v>
          </cell>
          <cell r="AA146">
            <v>0</v>
          </cell>
          <cell r="AB146">
            <v>72920.711877838301</v>
          </cell>
          <cell r="AD146">
            <v>673526.98139434319</v>
          </cell>
          <cell r="AE146">
            <v>407494.62369949033</v>
          </cell>
          <cell r="AF146">
            <v>22194.506399999998</v>
          </cell>
          <cell r="AG146">
            <v>190756.66607142857</v>
          </cell>
          <cell r="AH146">
            <v>0</v>
          </cell>
          <cell r="AI146">
            <v>1366893.4894431005</v>
          </cell>
          <cell r="AK146">
            <v>1489913.9034929797</v>
          </cell>
        </row>
        <row r="147">
          <cell r="G147" t="str">
            <v>SA'.1</v>
          </cell>
          <cell r="H147">
            <v>2375643.6800505263</v>
          </cell>
          <cell r="I147">
            <v>2</v>
          </cell>
          <cell r="J147">
            <v>3.3460000000000001</v>
          </cell>
          <cell r="K147">
            <v>1.4330000000000001</v>
          </cell>
          <cell r="L147">
            <v>0.12</v>
          </cell>
          <cell r="M147">
            <v>0.57537815999999997</v>
          </cell>
          <cell r="Q147">
            <v>67.199733000000009</v>
          </cell>
          <cell r="T147">
            <v>4.7948180000000002</v>
          </cell>
          <cell r="V147">
            <v>0</v>
          </cell>
          <cell r="W147">
            <v>0</v>
          </cell>
          <cell r="Y147">
            <v>0</v>
          </cell>
          <cell r="Z147">
            <v>0</v>
          </cell>
          <cell r="AA147">
            <v>0</v>
          </cell>
          <cell r="AB147">
            <v>72920.711877838301</v>
          </cell>
          <cell r="AD147">
            <v>673526.98139434319</v>
          </cell>
          <cell r="AE147">
            <v>407494.62369949033</v>
          </cell>
          <cell r="AF147">
            <v>22194.506399999998</v>
          </cell>
          <cell r="AG147">
            <v>190756.66607142857</v>
          </cell>
          <cell r="AH147">
            <v>0</v>
          </cell>
          <cell r="AI147">
            <v>1366893.4894431005</v>
          </cell>
          <cell r="AK147">
            <v>1489913.9034929797</v>
          </cell>
        </row>
        <row r="148">
          <cell r="G148" t="str">
            <v>SA".1</v>
          </cell>
          <cell r="H148">
            <v>4227039.9387736805</v>
          </cell>
          <cell r="I148">
            <v>1</v>
          </cell>
          <cell r="J148">
            <v>3.3460000000000001</v>
          </cell>
          <cell r="K148">
            <v>1.4330000000000001</v>
          </cell>
          <cell r="L148">
            <v>0.12</v>
          </cell>
          <cell r="M148">
            <v>0.57537815999999997</v>
          </cell>
          <cell r="Q148">
            <v>173.48310000000001</v>
          </cell>
          <cell r="T148">
            <v>4.7948180000000002</v>
          </cell>
          <cell r="V148">
            <v>0</v>
          </cell>
          <cell r="W148">
            <v>0</v>
          </cell>
          <cell r="Y148">
            <v>0</v>
          </cell>
          <cell r="Z148">
            <v>0</v>
          </cell>
          <cell r="AA148">
            <v>0</v>
          </cell>
          <cell r="AB148">
            <v>72920.711877838301</v>
          </cell>
          <cell r="AD148">
            <v>1738779.954169356</v>
          </cell>
          <cell r="AE148">
            <v>407494.62369949033</v>
          </cell>
          <cell r="AF148">
            <v>22194.506399999998</v>
          </cell>
          <cell r="AG148">
            <v>190756.66607142857</v>
          </cell>
          <cell r="AH148">
            <v>0</v>
          </cell>
          <cell r="AI148">
            <v>2432146.4622181128</v>
          </cell>
          <cell r="AK148">
            <v>2651039.6438177433</v>
          </cell>
        </row>
        <row r="149">
          <cell r="G149" t="str">
            <v>SB.1</v>
          </cell>
          <cell r="H149">
            <v>2081130.2929975372</v>
          </cell>
          <cell r="I149">
            <v>4</v>
          </cell>
          <cell r="J149">
            <v>2.008</v>
          </cell>
          <cell r="K149">
            <v>1.4330000000000001</v>
          </cell>
          <cell r="L149">
            <v>0.12</v>
          </cell>
          <cell r="M149">
            <v>0.34529567999999999</v>
          </cell>
          <cell r="Q149">
            <v>21.685387500000001</v>
          </cell>
          <cell r="T149">
            <v>2.8774640000000002</v>
          </cell>
          <cell r="V149">
            <v>0</v>
          </cell>
          <cell r="W149">
            <v>0</v>
          </cell>
          <cell r="Y149">
            <v>0</v>
          </cell>
          <cell r="Z149">
            <v>0</v>
          </cell>
          <cell r="AA149">
            <v>0</v>
          </cell>
          <cell r="AB149">
            <v>43761.144486162382</v>
          </cell>
          <cell r="AD149">
            <v>217347.4942711695</v>
          </cell>
          <cell r="AE149">
            <v>244545.48846042337</v>
          </cell>
          <cell r="AF149">
            <v>22194.506399999998</v>
          </cell>
          <cell r="AG149">
            <v>190756.66607142857</v>
          </cell>
          <cell r="AH149">
            <v>0</v>
          </cell>
          <cell r="AI149">
            <v>718605.29968918383</v>
          </cell>
          <cell r="AK149">
            <v>783279.77666121046</v>
          </cell>
        </row>
        <row r="150">
          <cell r="G150" t="str">
            <v>SB'.1</v>
          </cell>
          <cell r="H150">
            <v>4891721.8994419454</v>
          </cell>
          <cell r="I150">
            <v>2</v>
          </cell>
          <cell r="J150">
            <v>2.008</v>
          </cell>
          <cell r="K150">
            <v>1.4330000000000001</v>
          </cell>
          <cell r="L150">
            <v>0.12</v>
          </cell>
          <cell r="M150">
            <v>0.34529567999999999</v>
          </cell>
          <cell r="Q150">
            <v>118.51349400000001</v>
          </cell>
          <cell r="T150">
            <v>2.8774640000000002</v>
          </cell>
          <cell r="V150">
            <v>0</v>
          </cell>
          <cell r="W150">
            <v>0</v>
          </cell>
          <cell r="Y150">
            <v>0</v>
          </cell>
          <cell r="Z150">
            <v>0</v>
          </cell>
          <cell r="AA150">
            <v>0</v>
          </cell>
          <cell r="AB150">
            <v>43761.144486162382</v>
          </cell>
          <cell r="AD150">
            <v>1187832.6342206835</v>
          </cell>
          <cell r="AE150">
            <v>244545.48846042337</v>
          </cell>
          <cell r="AF150">
            <v>22194.506399999998</v>
          </cell>
          <cell r="AG150">
            <v>190756.66607142857</v>
          </cell>
          <cell r="AH150">
            <v>0</v>
          </cell>
          <cell r="AI150">
            <v>1689090.439638698</v>
          </cell>
          <cell r="AK150">
            <v>1841108.579206181</v>
          </cell>
        </row>
        <row r="151">
          <cell r="G151" t="str">
            <v>SC.1</v>
          </cell>
          <cell r="H151">
            <v>1857465.7145480511</v>
          </cell>
          <cell r="I151">
            <v>4</v>
          </cell>
          <cell r="J151">
            <v>2.9</v>
          </cell>
          <cell r="K151">
            <v>1.4330000000000001</v>
          </cell>
          <cell r="L151">
            <v>0.12</v>
          </cell>
          <cell r="M151">
            <v>0.49868400000000002</v>
          </cell>
          <cell r="Q151">
            <v>29.628373500000002</v>
          </cell>
          <cell r="T151">
            <v>4.1557000000000004</v>
          </cell>
          <cell r="V151">
            <v>0</v>
          </cell>
          <cell r="W151">
            <v>0</v>
          </cell>
          <cell r="Y151">
            <v>0</v>
          </cell>
          <cell r="Z151">
            <v>0</v>
          </cell>
          <cell r="AA151">
            <v>0</v>
          </cell>
          <cell r="AB151">
            <v>63200.856080612997</v>
          </cell>
          <cell r="AD151">
            <v>296958.15855517087</v>
          </cell>
          <cell r="AE151">
            <v>353178.24528646801</v>
          </cell>
          <cell r="AF151">
            <v>22194.506399999998</v>
          </cell>
          <cell r="AG151">
            <v>190756.66607142857</v>
          </cell>
          <cell r="AH151">
            <v>0</v>
          </cell>
          <cell r="AI151">
            <v>926288.43239368033</v>
          </cell>
          <cell r="AK151">
            <v>1009654.3913091116</v>
          </cell>
        </row>
        <row r="152">
          <cell r="G152" t="str">
            <v>SC'.1</v>
          </cell>
          <cell r="H152">
            <v>2586520.8614927535</v>
          </cell>
          <cell r="I152">
            <v>2</v>
          </cell>
          <cell r="J152">
            <v>2.9</v>
          </cell>
          <cell r="K152">
            <v>1.4330000000000001</v>
          </cell>
          <cell r="L152">
            <v>0.12</v>
          </cell>
          <cell r="M152">
            <v>0.49868400000000002</v>
          </cell>
          <cell r="Q152">
            <v>65.902617000000006</v>
          </cell>
          <cell r="T152">
            <v>4.1557000000000004</v>
          </cell>
          <cell r="V152">
            <v>0</v>
          </cell>
          <cell r="W152">
            <v>0</v>
          </cell>
          <cell r="Y152">
            <v>0</v>
          </cell>
          <cell r="Z152">
            <v>0</v>
          </cell>
          <cell r="AA152">
            <v>0</v>
          </cell>
          <cell r="AB152">
            <v>63200.856080612997</v>
          </cell>
          <cell r="AD152">
            <v>660526.29545414296</v>
          </cell>
          <cell r="AE152">
            <v>353178.24528646801</v>
          </cell>
          <cell r="AF152">
            <v>22194.506399999998</v>
          </cell>
          <cell r="AG152">
            <v>190756.66607142857</v>
          </cell>
          <cell r="AH152">
            <v>0</v>
          </cell>
          <cell r="AI152">
            <v>1289856.5692926524</v>
          </cell>
          <cell r="AK152">
            <v>1405943.6605289911</v>
          </cell>
        </row>
        <row r="153">
          <cell r="G153" t="str">
            <v>SD.1</v>
          </cell>
          <cell r="H153">
            <v>2363842.1378055122</v>
          </cell>
          <cell r="I153">
            <v>2</v>
          </cell>
          <cell r="J153">
            <v>2.371</v>
          </cell>
          <cell r="K153">
            <v>2.008</v>
          </cell>
          <cell r="L153">
            <v>0.12</v>
          </cell>
          <cell r="M153">
            <v>0.57131615999999996</v>
          </cell>
          <cell r="Q153">
            <v>65.902617000000006</v>
          </cell>
          <cell r="T153">
            <v>4.7609680000000001</v>
          </cell>
          <cell r="V153">
            <v>0</v>
          </cell>
          <cell r="W153">
            <v>0</v>
          </cell>
          <cell r="Y153">
            <v>0</v>
          </cell>
          <cell r="Z153">
            <v>0</v>
          </cell>
          <cell r="AA153">
            <v>0</v>
          </cell>
          <cell r="AB153">
            <v>72405.913172847868</v>
          </cell>
          <cell r="AD153">
            <v>660526.29545414296</v>
          </cell>
          <cell r="AE153">
            <v>404617.83191881632</v>
          </cell>
          <cell r="AF153">
            <v>22194.506399999998</v>
          </cell>
          <cell r="AG153">
            <v>190756.66607142857</v>
          </cell>
          <cell r="AH153">
            <v>0</v>
          </cell>
          <cell r="AI153">
            <v>1350501.213017236</v>
          </cell>
          <cell r="AK153">
            <v>1472046.3221887874</v>
          </cell>
        </row>
        <row r="154">
          <cell r="G154" t="str">
            <v>SE.1</v>
          </cell>
          <cell r="H154">
            <v>2266949.9960071221</v>
          </cell>
          <cell r="I154">
            <v>1</v>
          </cell>
          <cell r="J154">
            <v>2.4700000000000002</v>
          </cell>
          <cell r="K154">
            <v>2.35</v>
          </cell>
          <cell r="L154">
            <v>0.12</v>
          </cell>
          <cell r="M154">
            <v>0.69654000000000005</v>
          </cell>
          <cell r="Q154">
            <v>78.270840000000007</v>
          </cell>
          <cell r="T154">
            <v>5.8045000000000009</v>
          </cell>
          <cell r="V154">
            <v>0</v>
          </cell>
          <cell r="W154">
            <v>0</v>
          </cell>
          <cell r="Y154">
            <v>0</v>
          </cell>
          <cell r="Z154">
            <v>0</v>
          </cell>
          <cell r="AA154">
            <v>0</v>
          </cell>
          <cell r="AB154">
            <v>88276.191524873837</v>
          </cell>
          <cell r="AD154">
            <v>784490.06034591841</v>
          </cell>
          <cell r="AE154">
            <v>493303.92587658006</v>
          </cell>
          <cell r="AF154">
            <v>22194.506399999998</v>
          </cell>
          <cell r="AG154">
            <v>190756.66607142857</v>
          </cell>
          <cell r="AH154">
            <v>0</v>
          </cell>
          <cell r="AI154">
            <v>1579021.3502188008</v>
          </cell>
          <cell r="AK154">
            <v>1721133.2717384931</v>
          </cell>
        </row>
        <row r="155">
          <cell r="G155" t="str">
            <v>SF.1</v>
          </cell>
          <cell r="H155">
            <v>2493158.5275016376</v>
          </cell>
          <cell r="I155">
            <v>4</v>
          </cell>
          <cell r="J155">
            <v>2.9</v>
          </cell>
          <cell r="K155">
            <v>1.1859999999999999</v>
          </cell>
          <cell r="L155">
            <v>0.12</v>
          </cell>
          <cell r="M155">
            <v>0.41272799999999993</v>
          </cell>
          <cell r="Q155">
            <v>47.036484000000002</v>
          </cell>
          <cell r="T155">
            <v>3.4393999999999996</v>
          </cell>
          <cell r="V155">
            <v>0</v>
          </cell>
          <cell r="W155">
            <v>0</v>
          </cell>
          <cell r="Y155">
            <v>0</v>
          </cell>
          <cell r="Z155">
            <v>0</v>
          </cell>
          <cell r="AA155">
            <v>0</v>
          </cell>
          <cell r="AB155">
            <v>52307.198403075367</v>
          </cell>
          <cell r="AD155">
            <v>471435.52019653586</v>
          </cell>
          <cell r="AE155">
            <v>292302.44166765595</v>
          </cell>
          <cell r="AF155">
            <v>22194.506399999998</v>
          </cell>
          <cell r="AG155">
            <v>190756.66607142857</v>
          </cell>
          <cell r="AH155">
            <v>0</v>
          </cell>
          <cell r="AI155">
            <v>1028996.3327386957</v>
          </cell>
          <cell r="AK155">
            <v>1121606.0026851783</v>
          </cell>
        </row>
        <row r="156">
          <cell r="G156" t="str">
            <v>SG.1</v>
          </cell>
          <cell r="H156">
            <v>2318279.1075536581</v>
          </cell>
          <cell r="I156">
            <v>1</v>
          </cell>
          <cell r="J156">
            <v>2.3460000000000001</v>
          </cell>
          <cell r="K156">
            <v>2.2349999999999999</v>
          </cell>
          <cell r="L156">
            <v>0.12</v>
          </cell>
          <cell r="M156">
            <v>0.62919720000000001</v>
          </cell>
          <cell r="Q156">
            <v>71.871570000000006</v>
          </cell>
          <cell r="T156">
            <v>5.2433100000000001</v>
          </cell>
          <cell r="V156">
            <v>0</v>
          </cell>
          <cell r="W156">
            <v>0</v>
          </cell>
          <cell r="Y156">
            <v>0</v>
          </cell>
          <cell r="Z156">
            <v>0</v>
          </cell>
          <cell r="AA156">
            <v>0</v>
          </cell>
          <cell r="AB156">
            <v>79741.482950174206</v>
          </cell>
          <cell r="AD156">
            <v>720351.69529873319</v>
          </cell>
          <cell r="AE156">
            <v>445610.3725709244</v>
          </cell>
          <cell r="AF156">
            <v>22194.506399999998</v>
          </cell>
          <cell r="AG156">
            <v>190756.66607142857</v>
          </cell>
          <cell r="AH156">
            <v>0</v>
          </cell>
          <cell r="AI156">
            <v>1458654.7232912607</v>
          </cell>
          <cell r="AK156">
            <v>1589933.6483874742</v>
          </cell>
        </row>
        <row r="157">
          <cell r="G157" t="str">
            <v>SH.1</v>
          </cell>
          <cell r="H157">
            <v>2076596.4618099486</v>
          </cell>
          <cell r="I157">
            <v>1</v>
          </cell>
          <cell r="J157">
            <v>5.9</v>
          </cell>
          <cell r="K157">
            <v>1.95</v>
          </cell>
          <cell r="L157">
            <v>0.12</v>
          </cell>
          <cell r="M157">
            <v>1.3806</v>
          </cell>
          <cell r="Q157">
            <v>149.78484000000003</v>
          </cell>
          <cell r="T157">
            <v>11.505000000000001</v>
          </cell>
          <cell r="V157">
            <v>0</v>
          </cell>
          <cell r="W157">
            <v>0</v>
          </cell>
          <cell r="Y157">
            <v>0</v>
          </cell>
          <cell r="Z157">
            <v>0</v>
          </cell>
          <cell r="AA157">
            <v>0</v>
          </cell>
          <cell r="AB157">
            <v>174970.72676262786</v>
          </cell>
          <cell r="AD157">
            <v>1501257.9163645587</v>
          </cell>
          <cell r="AE157">
            <v>977769.25957620004</v>
          </cell>
          <cell r="AF157">
            <v>22194.506399999998</v>
          </cell>
          <cell r="AG157">
            <v>190756.66607142857</v>
          </cell>
          <cell r="AH157">
            <v>0</v>
          </cell>
          <cell r="AI157">
            <v>2866949.075174815</v>
          </cell>
          <cell r="AK157">
            <v>3124974.4919405486</v>
          </cell>
        </row>
        <row r="158">
          <cell r="G158" t="str">
            <v>SI.1</v>
          </cell>
          <cell r="H158">
            <v>2009236.9331043924</v>
          </cell>
          <cell r="I158">
            <v>1</v>
          </cell>
          <cell r="J158">
            <v>5.9</v>
          </cell>
          <cell r="K158">
            <v>2.95</v>
          </cell>
          <cell r="L158">
            <v>0.12</v>
          </cell>
          <cell r="M158">
            <v>2.0886</v>
          </cell>
          <cell r="Q158">
            <v>223.45659000000006</v>
          </cell>
          <cell r="T158">
            <v>17.405000000000001</v>
          </cell>
          <cell r="V158">
            <v>0</v>
          </cell>
          <cell r="W158">
            <v>0</v>
          </cell>
          <cell r="Y158">
            <v>0</v>
          </cell>
          <cell r="Z158">
            <v>0</v>
          </cell>
          <cell r="AA158">
            <v>0</v>
          </cell>
          <cell r="AB158">
            <v>264699.30458961648</v>
          </cell>
          <cell r="AD158">
            <v>2239652.3887285888</v>
          </cell>
          <cell r="AE158">
            <v>1479189.3926921999</v>
          </cell>
          <cell r="AF158">
            <v>22194.506399999998</v>
          </cell>
          <cell r="AG158">
            <v>190756.66607142857</v>
          </cell>
          <cell r="AH158">
            <v>0</v>
          </cell>
          <cell r="AI158">
            <v>4196492.2584818341</v>
          </cell>
          <cell r="AK158">
            <v>4574176.5617451994</v>
          </cell>
        </row>
        <row r="159">
          <cell r="G159" t="str">
            <v>S1.3</v>
          </cell>
          <cell r="H159">
            <v>2298682.3212327668</v>
          </cell>
          <cell r="I159">
            <v>30</v>
          </cell>
          <cell r="J159">
            <v>3.9</v>
          </cell>
          <cell r="K159">
            <v>1.4670000000000001</v>
          </cell>
          <cell r="L159">
            <v>0.12</v>
          </cell>
          <cell r="M159">
            <v>0.68655600000000006</v>
          </cell>
          <cell r="Q159">
            <v>79.018038000000004</v>
          </cell>
          <cell r="T159">
            <v>5.7213000000000003</v>
          </cell>
          <cell r="V159">
            <v>0</v>
          </cell>
          <cell r="W159">
            <v>0</v>
          </cell>
          <cell r="Y159">
            <v>0</v>
          </cell>
          <cell r="Z159">
            <v>0</v>
          </cell>
          <cell r="AA159">
            <v>0</v>
          </cell>
          <cell r="AB159">
            <v>87010.866495177994</v>
          </cell>
          <cell r="AD159">
            <v>791979.04863466485</v>
          </cell>
          <cell r="AE159">
            <v>486233.05213501205</v>
          </cell>
          <cell r="AF159">
            <v>22194.506399999998</v>
          </cell>
          <cell r="AG159">
            <v>190756.66607142857</v>
          </cell>
          <cell r="AH159">
            <v>0</v>
          </cell>
          <cell r="AI159">
            <v>1578174.1397362836</v>
          </cell>
          <cell r="AL159">
            <v>1767555.0365046377</v>
          </cell>
        </row>
        <row r="160">
          <cell r="G160" t="str">
            <v>S1A.3</v>
          </cell>
          <cell r="H160">
            <v>2298682.3212327668</v>
          </cell>
          <cell r="I160">
            <v>15</v>
          </cell>
          <cell r="J160">
            <v>3.9</v>
          </cell>
          <cell r="K160">
            <v>1.4670000000000001</v>
          </cell>
          <cell r="L160">
            <v>0.12</v>
          </cell>
          <cell r="M160">
            <v>0.68655600000000006</v>
          </cell>
          <cell r="Q160">
            <v>79.018038000000004</v>
          </cell>
          <cell r="T160">
            <v>5.7213000000000003</v>
          </cell>
          <cell r="V160">
            <v>0</v>
          </cell>
          <cell r="W160">
            <v>0</v>
          </cell>
          <cell r="Y160">
            <v>0</v>
          </cell>
          <cell r="Z160">
            <v>0</v>
          </cell>
          <cell r="AA160">
            <v>0</v>
          </cell>
          <cell r="AB160">
            <v>87010.866495177994</v>
          </cell>
          <cell r="AD160">
            <v>791979.04863466485</v>
          </cell>
          <cell r="AE160">
            <v>486233.05213501205</v>
          </cell>
          <cell r="AF160">
            <v>22194.506399999998</v>
          </cell>
          <cell r="AG160">
            <v>190756.66607142857</v>
          </cell>
          <cell r="AH160">
            <v>0</v>
          </cell>
          <cell r="AI160">
            <v>1578174.1397362836</v>
          </cell>
          <cell r="AL160">
            <v>1767555.0365046377</v>
          </cell>
        </row>
        <row r="161">
          <cell r="G161" t="str">
            <v>S2.3</v>
          </cell>
          <cell r="H161">
            <v>2583915.614708567</v>
          </cell>
          <cell r="I161">
            <v>4</v>
          </cell>
          <cell r="J161">
            <v>2.15</v>
          </cell>
          <cell r="K161">
            <v>1.4670000000000001</v>
          </cell>
          <cell r="L161">
            <v>0.12</v>
          </cell>
          <cell r="M161">
            <v>0.37848599999999999</v>
          </cell>
          <cell r="Q161">
            <v>44.798589</v>
          </cell>
          <cell r="T161">
            <v>3.1540500000000002</v>
          </cell>
          <cell r="V161">
            <v>0</v>
          </cell>
          <cell r="W161">
            <v>0</v>
          </cell>
          <cell r="Y161">
            <v>0</v>
          </cell>
          <cell r="Z161">
            <v>0</v>
          </cell>
          <cell r="AA161">
            <v>0</v>
          </cell>
          <cell r="AB161">
            <v>47967.528965290425</v>
          </cell>
          <cell r="AD161">
            <v>449005.62952974561</v>
          </cell>
          <cell r="AE161">
            <v>268051.55438212201</v>
          </cell>
          <cell r="AF161">
            <v>22194.506399999998</v>
          </cell>
          <cell r="AG161">
            <v>190756.66607142857</v>
          </cell>
          <cell r="AH161">
            <v>0</v>
          </cell>
          <cell r="AI161">
            <v>977975.8853485866</v>
          </cell>
          <cell r="AL161">
            <v>1095332.991590417</v>
          </cell>
        </row>
        <row r="162">
          <cell r="G162" t="str">
            <v>S2A.3</v>
          </cell>
          <cell r="H162">
            <v>2583915.614708567</v>
          </cell>
          <cell r="I162">
            <v>2</v>
          </cell>
          <cell r="J162">
            <v>2.15</v>
          </cell>
          <cell r="K162">
            <v>1.4670000000000001</v>
          </cell>
          <cell r="L162">
            <v>0.12</v>
          </cell>
          <cell r="M162">
            <v>0.37848599999999999</v>
          </cell>
          <cell r="Q162">
            <v>44.798589</v>
          </cell>
          <cell r="T162">
            <v>3.1540500000000002</v>
          </cell>
          <cell r="V162">
            <v>0</v>
          </cell>
          <cell r="W162">
            <v>0</v>
          </cell>
          <cell r="Y162">
            <v>0</v>
          </cell>
          <cell r="Z162">
            <v>0</v>
          </cell>
          <cell r="AA162">
            <v>0</v>
          </cell>
          <cell r="AB162">
            <v>47967.528965290425</v>
          </cell>
          <cell r="AD162">
            <v>449005.62952974561</v>
          </cell>
          <cell r="AE162">
            <v>268051.55438212201</v>
          </cell>
          <cell r="AF162">
            <v>22194.506399999998</v>
          </cell>
          <cell r="AG162">
            <v>190756.66607142857</v>
          </cell>
          <cell r="AH162">
            <v>0</v>
          </cell>
          <cell r="AI162">
            <v>977975.8853485866</v>
          </cell>
          <cell r="AL162">
            <v>1095332.991590417</v>
          </cell>
        </row>
        <row r="163">
          <cell r="G163" t="str">
            <v>S3.3</v>
          </cell>
          <cell r="H163">
            <v>2461468.3891050401</v>
          </cell>
          <cell r="I163">
            <v>4</v>
          </cell>
          <cell r="J163">
            <v>2.2599999999999998</v>
          </cell>
          <cell r="K163">
            <v>1.825</v>
          </cell>
          <cell r="L163">
            <v>0.12</v>
          </cell>
          <cell r="M163">
            <v>0.49493999999999994</v>
          </cell>
          <cell r="Q163">
            <v>59.07303000000001</v>
          </cell>
          <cell r="T163">
            <v>4.1244999999999994</v>
          </cell>
          <cell r="V163">
            <v>0</v>
          </cell>
          <cell r="W163">
            <v>0</v>
          </cell>
          <cell r="Y163">
            <v>0</v>
          </cell>
          <cell r="Z163">
            <v>0</v>
          </cell>
          <cell r="AA163">
            <v>0</v>
          </cell>
          <cell r="AB163">
            <v>62726.359194477052</v>
          </cell>
          <cell r="AD163">
            <v>592074.96520436287</v>
          </cell>
          <cell r="AE163">
            <v>350526.66763337998</v>
          </cell>
          <cell r="AF163">
            <v>22194.506399999998</v>
          </cell>
          <cell r="AG163">
            <v>190756.66607142857</v>
          </cell>
          <cell r="AH163">
            <v>0</v>
          </cell>
          <cell r="AI163">
            <v>1218279.1645036484</v>
          </cell>
          <cell r="AL163">
            <v>1364472.6642440862</v>
          </cell>
        </row>
        <row r="164">
          <cell r="G164" t="str">
            <v>S4.3</v>
          </cell>
          <cell r="H164">
            <v>2415672.7864276101</v>
          </cell>
          <cell r="I164">
            <v>2</v>
          </cell>
          <cell r="J164">
            <v>3.9</v>
          </cell>
          <cell r="K164">
            <v>1</v>
          </cell>
          <cell r="L164">
            <v>0.12</v>
          </cell>
          <cell r="M164">
            <v>0.46799999999999997</v>
          </cell>
          <cell r="Q164">
            <v>52.562790000000007</v>
          </cell>
          <cell r="T164">
            <v>3.9</v>
          </cell>
          <cell r="V164">
            <v>0</v>
          </cell>
          <cell r="W164">
            <v>0</v>
          </cell>
          <cell r="Y164">
            <v>0</v>
          </cell>
          <cell r="Z164">
            <v>0</v>
          </cell>
          <cell r="AA164">
            <v>0</v>
          </cell>
          <cell r="AB164">
            <v>59312.11076699249</v>
          </cell>
          <cell r="AD164">
            <v>526824.37417370046</v>
          </cell>
          <cell r="AE164">
            <v>331447.20663599996</v>
          </cell>
          <cell r="AF164">
            <v>22194.506399999998</v>
          </cell>
          <cell r="AG164">
            <v>190756.66607142857</v>
          </cell>
          <cell r="AH164">
            <v>0</v>
          </cell>
          <cell r="AI164">
            <v>1130534.8640481215</v>
          </cell>
          <cell r="AL164">
            <v>1266199.0477338962</v>
          </cell>
        </row>
        <row r="165">
          <cell r="G165" t="str">
            <v>S5.3</v>
          </cell>
          <cell r="H165">
            <v>2692069.3427485619</v>
          </cell>
          <cell r="I165">
            <v>2</v>
          </cell>
          <cell r="J165">
            <v>2.625</v>
          </cell>
          <cell r="K165">
            <v>1</v>
          </cell>
          <cell r="L165">
            <v>0.12</v>
          </cell>
          <cell r="M165">
            <v>0.315</v>
          </cell>
          <cell r="Q165">
            <v>37.119465000000005</v>
          </cell>
          <cell r="T165">
            <v>2.625</v>
          </cell>
          <cell r="V165">
            <v>0</v>
          </cell>
          <cell r="W165">
            <v>0</v>
          </cell>
          <cell r="Y165">
            <v>0</v>
          </cell>
          <cell r="Z165">
            <v>0</v>
          </cell>
          <cell r="AA165">
            <v>0</v>
          </cell>
          <cell r="AB165">
            <v>39921.613016244948</v>
          </cell>
          <cell r="AD165">
            <v>372039.59147312347</v>
          </cell>
          <cell r="AE165">
            <v>223089.46600499999</v>
          </cell>
          <cell r="AF165">
            <v>22194.506399999998</v>
          </cell>
          <cell r="AG165">
            <v>190756.66607142857</v>
          </cell>
          <cell r="AH165">
            <v>0</v>
          </cell>
          <cell r="AI165">
            <v>848001.84296579694</v>
          </cell>
          <cell r="AL165">
            <v>949762.06412169267</v>
          </cell>
        </row>
        <row r="166">
          <cell r="G166" t="str">
            <v>S6.3</v>
          </cell>
          <cell r="H166">
            <v>2385222.6772477757</v>
          </cell>
          <cell r="I166">
            <v>2</v>
          </cell>
          <cell r="J166">
            <v>2.15</v>
          </cell>
          <cell r="K166">
            <v>1.95</v>
          </cell>
          <cell r="L166">
            <v>0.12</v>
          </cell>
          <cell r="M166">
            <v>0.50309999999999999</v>
          </cell>
          <cell r="Q166">
            <v>56.570040000000006</v>
          </cell>
          <cell r="T166">
            <v>4.1924999999999999</v>
          </cell>
          <cell r="V166">
            <v>0</v>
          </cell>
          <cell r="W166">
            <v>0</v>
          </cell>
          <cell r="Y166">
            <v>0</v>
          </cell>
          <cell r="Z166">
            <v>0</v>
          </cell>
          <cell r="AA166">
            <v>0</v>
          </cell>
          <cell r="AB166">
            <v>63760.519074516924</v>
          </cell>
          <cell r="AD166">
            <v>566988.09024371044</v>
          </cell>
          <cell r="AE166">
            <v>356305.7471337</v>
          </cell>
          <cell r="AF166">
            <v>22194.506399999998</v>
          </cell>
          <cell r="AG166">
            <v>190756.66607142857</v>
          </cell>
          <cell r="AH166">
            <v>0</v>
          </cell>
          <cell r="AI166">
            <v>1200005.528923356</v>
          </cell>
          <cell r="AL166">
            <v>1344006.1923941588</v>
          </cell>
        </row>
        <row r="167">
          <cell r="G167" t="str">
            <v>S7.3</v>
          </cell>
          <cell r="H167">
            <v>2554922.5964596714</v>
          </cell>
          <cell r="I167">
            <v>2</v>
          </cell>
          <cell r="J167">
            <v>2.15</v>
          </cell>
          <cell r="K167">
            <v>1.5</v>
          </cell>
          <cell r="L167">
            <v>0.12</v>
          </cell>
          <cell r="M167">
            <v>0.38699999999999996</v>
          </cell>
          <cell r="Q167">
            <v>45.164790000000004</v>
          </cell>
          <cell r="T167">
            <v>3.2249999999999996</v>
          </cell>
          <cell r="V167">
            <v>0</v>
          </cell>
          <cell r="W167">
            <v>0</v>
          </cell>
          <cell r="Y167">
            <v>0</v>
          </cell>
          <cell r="Z167">
            <v>0</v>
          </cell>
          <cell r="AA167">
            <v>0</v>
          </cell>
          <cell r="AB167">
            <v>49046.553134243783</v>
          </cell>
          <cell r="AD167">
            <v>452675.97527522041</v>
          </cell>
          <cell r="AE167">
            <v>274081.34394899994</v>
          </cell>
          <cell r="AF167">
            <v>22194.506399999998</v>
          </cell>
          <cell r="AG167">
            <v>190756.66607142857</v>
          </cell>
          <cell r="AH167">
            <v>0</v>
          </cell>
          <cell r="AI167">
            <v>988755.04482989269</v>
          </cell>
          <cell r="AL167">
            <v>1107405.65020948</v>
          </cell>
        </row>
        <row r="168">
          <cell r="G168" t="str">
            <v>S8.3</v>
          </cell>
          <cell r="H168">
            <v>2171671.1576250526</v>
          </cell>
          <cell r="I168">
            <v>15</v>
          </cell>
          <cell r="J168">
            <v>3.9</v>
          </cell>
          <cell r="K168">
            <v>1.95</v>
          </cell>
          <cell r="L168">
            <v>0.12</v>
          </cell>
          <cell r="M168">
            <v>0.91259999999999986</v>
          </cell>
          <cell r="Q168">
            <v>100.46484000000002</v>
          </cell>
          <cell r="T168">
            <v>7.6049999999999995</v>
          </cell>
          <cell r="V168">
            <v>0</v>
          </cell>
          <cell r="W168">
            <v>0</v>
          </cell>
          <cell r="Y168">
            <v>0</v>
          </cell>
          <cell r="Z168">
            <v>0</v>
          </cell>
          <cell r="AA168">
            <v>0</v>
          </cell>
          <cell r="AB168">
            <v>115658.61599563534</v>
          </cell>
          <cell r="AD168">
            <v>1006935.2570413586</v>
          </cell>
          <cell r="AE168">
            <v>646322.05294019985</v>
          </cell>
          <cell r="AF168">
            <v>22194.506399999998</v>
          </cell>
          <cell r="AG168">
            <v>190756.66607142857</v>
          </cell>
          <cell r="AH168">
            <v>0</v>
          </cell>
          <cell r="AI168">
            <v>1981867.0984486225</v>
          </cell>
          <cell r="AL168">
            <v>2219691.1502624573</v>
          </cell>
        </row>
        <row r="169">
          <cell r="G169" t="str">
            <v>S8A.3</v>
          </cell>
          <cell r="H169">
            <v>2158619.5651726406</v>
          </cell>
          <cell r="I169">
            <v>15</v>
          </cell>
          <cell r="J169">
            <v>3.9</v>
          </cell>
          <cell r="K169">
            <v>1.98</v>
          </cell>
          <cell r="L169">
            <v>0.12</v>
          </cell>
          <cell r="M169">
            <v>0.92663999999999991</v>
          </cell>
          <cell r="Q169">
            <v>101.13066000000001</v>
          </cell>
          <cell r="T169">
            <v>7.7219999999999995</v>
          </cell>
          <cell r="V169">
            <v>0</v>
          </cell>
          <cell r="W169">
            <v>0</v>
          </cell>
          <cell r="Y169">
            <v>0</v>
          </cell>
          <cell r="Z169">
            <v>0</v>
          </cell>
          <cell r="AA169">
            <v>0</v>
          </cell>
          <cell r="AB169">
            <v>117437.97931864511</v>
          </cell>
          <cell r="AD169">
            <v>1013608.6129422216</v>
          </cell>
          <cell r="AE169">
            <v>656265.46913927991</v>
          </cell>
          <cell r="AF169">
            <v>22194.506399999998</v>
          </cell>
          <cell r="AG169">
            <v>190756.66607142857</v>
          </cell>
          <cell r="AH169">
            <v>0</v>
          </cell>
          <cell r="AI169">
            <v>2000263.2338715754</v>
          </cell>
          <cell r="AL169">
            <v>2240294.8219361645</v>
          </cell>
        </row>
        <row r="170">
          <cell r="G170" t="str">
            <v>S9.3</v>
          </cell>
          <cell r="H170">
            <v>2276937.1633924954</v>
          </cell>
          <cell r="I170">
            <v>8</v>
          </cell>
          <cell r="J170">
            <v>3.9</v>
          </cell>
          <cell r="K170">
            <v>1.5</v>
          </cell>
          <cell r="L170">
            <v>0.12</v>
          </cell>
          <cell r="M170">
            <v>0.70199999999999996</v>
          </cell>
          <cell r="Q170">
            <v>79.750439999999998</v>
          </cell>
          <cell r="T170">
            <v>5.85</v>
          </cell>
          <cell r="V170">
            <v>0</v>
          </cell>
          <cell r="W170">
            <v>0</v>
          </cell>
          <cell r="Y170">
            <v>0</v>
          </cell>
          <cell r="Z170">
            <v>0</v>
          </cell>
          <cell r="AA170">
            <v>0</v>
          </cell>
          <cell r="AB170">
            <v>88968.166150488731</v>
          </cell>
          <cell r="AD170">
            <v>799319.74012561433</v>
          </cell>
          <cell r="AE170">
            <v>497170.809954</v>
          </cell>
          <cell r="AF170">
            <v>22194.506399999998</v>
          </cell>
          <cell r="AG170">
            <v>190756.66607142857</v>
          </cell>
          <cell r="AH170">
            <v>0</v>
          </cell>
          <cell r="AI170">
            <v>1598409.8887015316</v>
          </cell>
          <cell r="AL170">
            <v>1790219.0753457155</v>
          </cell>
        </row>
        <row r="171">
          <cell r="G171" t="str">
            <v>S9A.3</v>
          </cell>
          <cell r="H171">
            <v>2276937.1633924958</v>
          </cell>
          <cell r="I171">
            <v>7</v>
          </cell>
          <cell r="J171">
            <v>3.9</v>
          </cell>
          <cell r="K171">
            <v>1.5</v>
          </cell>
          <cell r="L171">
            <v>0.12</v>
          </cell>
          <cell r="M171">
            <v>0.70199999999999996</v>
          </cell>
          <cell r="Q171">
            <v>79.750440000000012</v>
          </cell>
          <cell r="T171">
            <v>5.85</v>
          </cell>
          <cell r="V171">
            <v>0</v>
          </cell>
          <cell r="W171">
            <v>0</v>
          </cell>
          <cell r="Y171">
            <v>0</v>
          </cell>
          <cell r="Z171">
            <v>0</v>
          </cell>
          <cell r="AA171">
            <v>0</v>
          </cell>
          <cell r="AB171">
            <v>88968.166150488731</v>
          </cell>
          <cell r="AD171">
            <v>799319.74012561445</v>
          </cell>
          <cell r="AE171">
            <v>497170.809954</v>
          </cell>
          <cell r="AF171">
            <v>22194.506399999998</v>
          </cell>
          <cell r="AG171">
            <v>190756.66607142857</v>
          </cell>
          <cell r="AH171">
            <v>0</v>
          </cell>
          <cell r="AI171">
            <v>1598409.888701532</v>
          </cell>
          <cell r="AL171">
            <v>1790219.075345716</v>
          </cell>
        </row>
        <row r="172">
          <cell r="G172" t="str">
            <v>S10.3</v>
          </cell>
          <cell r="H172">
            <v>2134275.1106044445</v>
          </cell>
          <cell r="I172">
            <v>2</v>
          </cell>
          <cell r="J172">
            <v>4.5</v>
          </cell>
          <cell r="K172">
            <v>1.95</v>
          </cell>
          <cell r="L172">
            <v>0.12</v>
          </cell>
          <cell r="M172">
            <v>1.0529999999999999</v>
          </cell>
          <cell r="Q172">
            <v>115.26084</v>
          </cell>
          <cell r="T172">
            <v>8.7750000000000004</v>
          </cell>
          <cell r="V172">
            <v>0</v>
          </cell>
          <cell r="W172">
            <v>0</v>
          </cell>
          <cell r="Y172">
            <v>0</v>
          </cell>
          <cell r="Z172">
            <v>0</v>
          </cell>
          <cell r="AA172">
            <v>0</v>
          </cell>
          <cell r="AB172">
            <v>133452.2492257331</v>
          </cell>
          <cell r="AD172">
            <v>1155232.0548383184</v>
          </cell>
          <cell r="AE172">
            <v>745756.21493099991</v>
          </cell>
          <cell r="AF172">
            <v>22194.506399999998</v>
          </cell>
          <cell r="AG172">
            <v>190756.66607142857</v>
          </cell>
          <cell r="AH172">
            <v>0</v>
          </cell>
          <cell r="AI172">
            <v>2247391.69146648</v>
          </cell>
          <cell r="AL172">
            <v>2517078.694442458</v>
          </cell>
        </row>
        <row r="173">
          <cell r="G173" t="str">
            <v>S10A.3</v>
          </cell>
          <cell r="H173">
            <v>2134275.1106044445</v>
          </cell>
          <cell r="I173">
            <v>2</v>
          </cell>
          <cell r="J173">
            <v>4.5</v>
          </cell>
          <cell r="K173">
            <v>1.95</v>
          </cell>
          <cell r="L173">
            <v>0.12</v>
          </cell>
          <cell r="M173">
            <v>1.0529999999999999</v>
          </cell>
          <cell r="Q173">
            <v>115.26084</v>
          </cell>
          <cell r="T173">
            <v>8.7750000000000004</v>
          </cell>
          <cell r="V173">
            <v>0</v>
          </cell>
          <cell r="W173">
            <v>0</v>
          </cell>
          <cell r="Y173">
            <v>0</v>
          </cell>
          <cell r="Z173">
            <v>0</v>
          </cell>
          <cell r="AA173">
            <v>0</v>
          </cell>
          <cell r="AB173">
            <v>133452.2492257331</v>
          </cell>
          <cell r="AD173">
            <v>1155232.0548383184</v>
          </cell>
          <cell r="AE173">
            <v>745756.21493099991</v>
          </cell>
          <cell r="AF173">
            <v>22194.506399999998</v>
          </cell>
          <cell r="AG173">
            <v>190756.66607142857</v>
          </cell>
          <cell r="AH173">
            <v>0</v>
          </cell>
          <cell r="AI173">
            <v>2247391.69146648</v>
          </cell>
          <cell r="AL173">
            <v>2517078.694442458</v>
          </cell>
        </row>
        <row r="174">
          <cell r="G174" t="str">
            <v>S11.3</v>
          </cell>
          <cell r="H174">
            <v>2247489.2644385821</v>
          </cell>
          <cell r="I174">
            <v>2</v>
          </cell>
          <cell r="J174">
            <v>4.5</v>
          </cell>
          <cell r="K174">
            <v>1.47</v>
          </cell>
          <cell r="L174">
            <v>0.12</v>
          </cell>
          <cell r="M174">
            <v>0.79379999999999995</v>
          </cell>
          <cell r="Q174">
            <v>90.625500000000017</v>
          </cell>
          <cell r="T174">
            <v>6.6150000000000002</v>
          </cell>
          <cell r="V174">
            <v>0</v>
          </cell>
          <cell r="W174">
            <v>0</v>
          </cell>
          <cell r="Y174">
            <v>0</v>
          </cell>
          <cell r="Z174">
            <v>0</v>
          </cell>
          <cell r="AA174">
            <v>0</v>
          </cell>
          <cell r="AB174">
            <v>100602.46480093726</v>
          </cell>
          <cell r="AD174">
            <v>908317.88650638016</v>
          </cell>
          <cell r="AE174">
            <v>562185.4543326</v>
          </cell>
          <cell r="AF174">
            <v>22194.506399999998</v>
          </cell>
          <cell r="AG174">
            <v>190756.66607142857</v>
          </cell>
          <cell r="AH174">
            <v>0</v>
          </cell>
          <cell r="AI174">
            <v>1784056.9781113463</v>
          </cell>
          <cell r="AL174">
            <v>1998143.8154847079</v>
          </cell>
        </row>
        <row r="175">
          <cell r="G175" t="str">
            <v>S12.3</v>
          </cell>
          <cell r="H175">
            <v>2221123.4592413376</v>
          </cell>
          <cell r="I175">
            <v>13</v>
          </cell>
          <cell r="J175">
            <v>3.1440000000000001</v>
          </cell>
          <cell r="K175">
            <v>2.2229999999999999</v>
          </cell>
          <cell r="L175">
            <v>0.12</v>
          </cell>
          <cell r="M175">
            <v>0.8386934399999999</v>
          </cell>
          <cell r="Q175">
            <v>94.746185999999994</v>
          </cell>
          <cell r="T175">
            <v>6.9891119999999995</v>
          </cell>
          <cell r="V175">
            <v>0</v>
          </cell>
          <cell r="W175">
            <v>0</v>
          </cell>
          <cell r="Y175">
            <v>0</v>
          </cell>
          <cell r="Z175">
            <v>0</v>
          </cell>
          <cell r="AA175">
            <v>0</v>
          </cell>
          <cell r="AB175">
            <v>106292.04746331189</v>
          </cell>
          <cell r="AD175">
            <v>949618.54469283333</v>
          </cell>
          <cell r="AE175">
            <v>593979.91006824281</v>
          </cell>
          <cell r="AF175">
            <v>22194.506399999998</v>
          </cell>
          <cell r="AG175">
            <v>190756.66607142857</v>
          </cell>
          <cell r="AH175">
            <v>0</v>
          </cell>
          <cell r="AI175">
            <v>1862841.6746958168</v>
          </cell>
          <cell r="AL175">
            <v>2086382.675659315</v>
          </cell>
        </row>
        <row r="176">
          <cell r="G176" t="str">
            <v>S13.3</v>
          </cell>
          <cell r="H176">
            <v>3553417.02981222</v>
          </cell>
          <cell r="I176">
            <v>13</v>
          </cell>
          <cell r="J176">
            <v>2.5590000000000002</v>
          </cell>
          <cell r="K176">
            <v>0.50700000000000001</v>
          </cell>
          <cell r="L176">
            <v>0.12</v>
          </cell>
          <cell r="M176">
            <v>0.15568956</v>
          </cell>
          <cell r="Q176">
            <v>20.980727999999999</v>
          </cell>
          <cell r="T176">
            <v>1.2974130000000001</v>
          </cell>
          <cell r="AB176">
            <v>19731.359888855393</v>
          </cell>
          <cell r="AD176">
            <v>210284.85927608926</v>
          </cell>
          <cell r="AE176">
            <v>110262.54223159813</v>
          </cell>
          <cell r="AF176">
            <v>22194.506399999998</v>
          </cell>
          <cell r="AG176">
            <v>190756.66607142857</v>
          </cell>
          <cell r="AH176">
            <v>0</v>
          </cell>
          <cell r="AI176">
            <v>553229.93386797141</v>
          </cell>
          <cell r="AL176">
            <v>619617.52593212808</v>
          </cell>
        </row>
        <row r="177">
          <cell r="G177" t="str">
            <v>S14.3</v>
          </cell>
          <cell r="H177">
            <v>2669199.4960177504</v>
          </cell>
          <cell r="I177">
            <v>2</v>
          </cell>
          <cell r="J177">
            <v>1.925</v>
          </cell>
          <cell r="K177">
            <v>1.4670000000000001</v>
          </cell>
          <cell r="L177">
            <v>0.12</v>
          </cell>
          <cell r="M177">
            <v>0.33887700000000004</v>
          </cell>
          <cell r="Q177">
            <v>40.770378000000008</v>
          </cell>
          <cell r="T177">
            <v>2.8239750000000003</v>
          </cell>
          <cell r="AB177">
            <v>42947.671282876319</v>
          </cell>
          <cell r="AD177">
            <v>408631.82632952335</v>
          </cell>
          <cell r="AE177">
            <v>239999.64752817902</v>
          </cell>
          <cell r="AF177">
            <v>22194.506399999998</v>
          </cell>
          <cell r="AG177">
            <v>190756.66607142857</v>
          </cell>
          <cell r="AH177">
            <v>0</v>
          </cell>
          <cell r="AI177">
            <v>904530.31761200726</v>
          </cell>
          <cell r="AL177">
            <v>1013073.9557254482</v>
          </cell>
        </row>
        <row r="178">
          <cell r="G178" t="str">
            <v>S14A.3</v>
          </cell>
          <cell r="H178">
            <v>2666329.5802969867</v>
          </cell>
          <cell r="I178">
            <v>1</v>
          </cell>
          <cell r="J178">
            <v>1.925</v>
          </cell>
          <cell r="K178">
            <v>1.47</v>
          </cell>
          <cell r="L178">
            <v>0.12</v>
          </cell>
          <cell r="M178">
            <v>0.33957000000000004</v>
          </cell>
          <cell r="Q178">
            <v>40.799970000000002</v>
          </cell>
          <cell r="T178">
            <v>2.8297500000000002</v>
          </cell>
          <cell r="AB178">
            <v>43035.498831512057</v>
          </cell>
          <cell r="AD178">
            <v>408928.41992511722</v>
          </cell>
          <cell r="AE178">
            <v>240490.44435339002</v>
          </cell>
          <cell r="AF178">
            <v>22194.506399999998</v>
          </cell>
          <cell r="AG178">
            <v>190756.66607142857</v>
          </cell>
          <cell r="AH178">
            <v>0</v>
          </cell>
          <cell r="AI178">
            <v>905405.53558144788</v>
          </cell>
          <cell r="AL178">
            <v>1014054.1998512218</v>
          </cell>
        </row>
        <row r="179">
          <cell r="G179" t="str">
            <v>S15.3</v>
          </cell>
          <cell r="H179">
            <v>2615715.5584544078</v>
          </cell>
          <cell r="I179">
            <v>1</v>
          </cell>
          <cell r="J179">
            <v>1.925</v>
          </cell>
          <cell r="K179">
            <v>1.5249999999999999</v>
          </cell>
          <cell r="L179">
            <v>0.12</v>
          </cell>
          <cell r="M179">
            <v>0.352275</v>
          </cell>
          <cell r="Q179">
            <v>41.342490000000005</v>
          </cell>
          <cell r="T179">
            <v>2.9356249999999999</v>
          </cell>
          <cell r="AB179">
            <v>44645.670556500598</v>
          </cell>
          <cell r="AD179">
            <v>414365.96917767241</v>
          </cell>
          <cell r="AE179">
            <v>249488.386148925</v>
          </cell>
          <cell r="AF179">
            <v>22194.506399999998</v>
          </cell>
          <cell r="AG179">
            <v>190756.66607142857</v>
          </cell>
          <cell r="AH179">
            <v>0</v>
          </cell>
          <cell r="AI179">
            <v>921451.19835452654</v>
          </cell>
          <cell r="AL179">
            <v>1032025.3421570698</v>
          </cell>
        </row>
        <row r="180">
          <cell r="G180" t="str">
            <v>S16.3</v>
          </cell>
          <cell r="H180">
            <v>2436154.7691714726</v>
          </cell>
          <cell r="I180">
            <v>2</v>
          </cell>
          <cell r="J180">
            <v>1.9750000000000001</v>
          </cell>
          <cell r="K180">
            <v>1.925</v>
          </cell>
          <cell r="L180">
            <v>0.12</v>
          </cell>
          <cell r="M180">
            <v>0.45622500000000005</v>
          </cell>
          <cell r="Q180">
            <v>51.638040000000004</v>
          </cell>
          <cell r="T180">
            <v>3.8018750000000003</v>
          </cell>
          <cell r="AB180">
            <v>57819.802851861437</v>
          </cell>
          <cell r="AD180">
            <v>517555.8243113904</v>
          </cell>
          <cell r="AE180">
            <v>323107.90993057506</v>
          </cell>
          <cell r="AF180">
            <v>22194.506399999998</v>
          </cell>
          <cell r="AG180">
            <v>190756.66607142857</v>
          </cell>
          <cell r="AH180">
            <v>0</v>
          </cell>
          <cell r="AI180">
            <v>1111434.7095652553</v>
          </cell>
          <cell r="AL180">
            <v>1244806.8747130861</v>
          </cell>
        </row>
        <row r="181">
          <cell r="G181" t="str">
            <v>S17.3</v>
          </cell>
          <cell r="H181">
            <v>3004837.3338809367</v>
          </cell>
          <cell r="I181">
            <v>1</v>
          </cell>
          <cell r="J181">
            <v>2.15</v>
          </cell>
          <cell r="K181">
            <v>0.89700000000000002</v>
          </cell>
          <cell r="L181">
            <v>0.12</v>
          </cell>
          <cell r="M181">
            <v>0.23142599999999999</v>
          </cell>
          <cell r="Q181">
            <v>28.855899000000001</v>
          </cell>
          <cell r="T181">
            <v>1.92855</v>
          </cell>
          <cell r="AB181">
            <v>29329.838774277785</v>
          </cell>
          <cell r="AD181">
            <v>289215.82990352123</v>
          </cell>
          <cell r="AE181">
            <v>163900.643681502</v>
          </cell>
          <cell r="AF181">
            <v>22194.506399999998</v>
          </cell>
          <cell r="AG181">
            <v>190756.66607142857</v>
          </cell>
          <cell r="AH181">
            <v>0</v>
          </cell>
          <cell r="AI181">
            <v>695397.48483072966</v>
          </cell>
          <cell r="AL181">
            <v>778845.18301041727</v>
          </cell>
        </row>
        <row r="182">
          <cell r="G182" t="str">
            <v>S1.4</v>
          </cell>
          <cell r="H182">
            <v>2298682.3212327668</v>
          </cell>
          <cell r="I182">
            <v>30</v>
          </cell>
          <cell r="J182">
            <v>3.9</v>
          </cell>
          <cell r="K182">
            <v>1.4670000000000001</v>
          </cell>
          <cell r="L182">
            <v>0.12</v>
          </cell>
          <cell r="M182">
            <v>0.68655600000000006</v>
          </cell>
          <cell r="Q182">
            <v>79.018038000000004</v>
          </cell>
          <cell r="T182">
            <v>5.7213000000000003</v>
          </cell>
          <cell r="AB182">
            <v>87010.866495177994</v>
          </cell>
          <cell r="AD182">
            <v>791979.04863466485</v>
          </cell>
          <cell r="AE182">
            <v>486233.05213501205</v>
          </cell>
          <cell r="AF182">
            <v>22194.506399999998</v>
          </cell>
          <cell r="AG182">
            <v>190756.66607142857</v>
          </cell>
          <cell r="AH182">
            <v>0</v>
          </cell>
          <cell r="AI182">
            <v>1578174.1397362836</v>
          </cell>
          <cell r="AM182">
            <v>1791227.6486006819</v>
          </cell>
          <cell r="AN182">
            <v>0</v>
          </cell>
        </row>
        <row r="183">
          <cell r="G183" t="str">
            <v>S1A.4</v>
          </cell>
          <cell r="H183">
            <v>2298682.3212327668</v>
          </cell>
          <cell r="I183">
            <v>15</v>
          </cell>
          <cell r="J183">
            <v>3.9</v>
          </cell>
          <cell r="K183">
            <v>1.4670000000000001</v>
          </cell>
          <cell r="L183">
            <v>0.12</v>
          </cell>
          <cell r="M183">
            <v>0.68655600000000006</v>
          </cell>
          <cell r="Q183">
            <v>79.018038000000004</v>
          </cell>
          <cell r="T183">
            <v>5.7213000000000003</v>
          </cell>
          <cell r="AB183">
            <v>87010.866495177994</v>
          </cell>
          <cell r="AD183">
            <v>791979.04863466485</v>
          </cell>
          <cell r="AE183">
            <v>486233.05213501205</v>
          </cell>
          <cell r="AF183">
            <v>22194.506399999998</v>
          </cell>
          <cell r="AG183">
            <v>190756.66607142857</v>
          </cell>
          <cell r="AH183">
            <v>0</v>
          </cell>
          <cell r="AI183">
            <v>1578174.1397362836</v>
          </cell>
          <cell r="AM183">
            <v>1791227.6486006819</v>
          </cell>
          <cell r="AN183">
            <v>0</v>
          </cell>
        </row>
        <row r="184">
          <cell r="G184" t="str">
            <v>S2.4</v>
          </cell>
          <cell r="H184">
            <v>2583915.614708567</v>
          </cell>
          <cell r="I184">
            <v>4</v>
          </cell>
          <cell r="J184">
            <v>2.15</v>
          </cell>
          <cell r="K184">
            <v>1.4670000000000001</v>
          </cell>
          <cell r="L184">
            <v>0.12</v>
          </cell>
          <cell r="M184">
            <v>0.37848599999999999</v>
          </cell>
          <cell r="Q184">
            <v>44.798589</v>
          </cell>
          <cell r="T184">
            <v>3.1540500000000002</v>
          </cell>
          <cell r="AB184">
            <v>47967.528965290425</v>
          </cell>
          <cell r="AD184">
            <v>449005.62952974561</v>
          </cell>
          <cell r="AE184">
            <v>268051.55438212201</v>
          </cell>
          <cell r="AF184">
            <v>22194.506399999998</v>
          </cell>
          <cell r="AG184">
            <v>190756.66607142857</v>
          </cell>
          <cell r="AH184">
            <v>0</v>
          </cell>
          <cell r="AI184">
            <v>977975.8853485866</v>
          </cell>
          <cell r="AM184">
            <v>1110002.6298706457</v>
          </cell>
        </row>
        <row r="185">
          <cell r="G185" t="str">
            <v>S2A.4</v>
          </cell>
          <cell r="H185">
            <v>2583915.614708567</v>
          </cell>
          <cell r="I185">
            <v>2</v>
          </cell>
          <cell r="J185">
            <v>2.15</v>
          </cell>
          <cell r="K185">
            <v>1.4670000000000001</v>
          </cell>
          <cell r="L185">
            <v>0.12</v>
          </cell>
          <cell r="M185">
            <v>0.37848599999999999</v>
          </cell>
          <cell r="Q185">
            <v>44.798589</v>
          </cell>
          <cell r="T185">
            <v>3.1540500000000002</v>
          </cell>
          <cell r="AB185">
            <v>47967.528965290425</v>
          </cell>
          <cell r="AD185">
            <v>449005.62952974561</v>
          </cell>
          <cell r="AE185">
            <v>268051.55438212201</v>
          </cell>
          <cell r="AF185">
            <v>22194.506399999998</v>
          </cell>
          <cell r="AG185">
            <v>190756.66607142857</v>
          </cell>
          <cell r="AH185">
            <v>0</v>
          </cell>
          <cell r="AI185">
            <v>977975.8853485866</v>
          </cell>
          <cell r="AM185">
            <v>1110002.6298706457</v>
          </cell>
        </row>
        <row r="186">
          <cell r="G186" t="str">
            <v>S3.4</v>
          </cell>
          <cell r="H186">
            <v>2461468.3891050401</v>
          </cell>
          <cell r="I186">
            <v>4</v>
          </cell>
          <cell r="J186">
            <v>2.2599999999999998</v>
          </cell>
          <cell r="K186">
            <v>1.825</v>
          </cell>
          <cell r="L186">
            <v>0.12</v>
          </cell>
          <cell r="M186">
            <v>0.49493999999999994</v>
          </cell>
          <cell r="Q186">
            <v>59.07303000000001</v>
          </cell>
          <cell r="T186">
            <v>4.1244999999999994</v>
          </cell>
          <cell r="AB186">
            <v>62726.359194477052</v>
          </cell>
          <cell r="AD186">
            <v>592074.96520436287</v>
          </cell>
          <cell r="AE186">
            <v>350526.66763337998</v>
          </cell>
          <cell r="AF186">
            <v>22194.506399999998</v>
          </cell>
          <cell r="AG186">
            <v>190756.66607142857</v>
          </cell>
          <cell r="AH186">
            <v>0</v>
          </cell>
          <cell r="AI186">
            <v>1218279.1645036484</v>
          </cell>
          <cell r="AM186">
            <v>1382746.8517116411</v>
          </cell>
        </row>
        <row r="187">
          <cell r="G187" t="str">
            <v>S4.4</v>
          </cell>
          <cell r="H187">
            <v>2415672.7864276101</v>
          </cell>
          <cell r="I187">
            <v>2</v>
          </cell>
          <cell r="J187">
            <v>3.9</v>
          </cell>
          <cell r="K187">
            <v>1</v>
          </cell>
          <cell r="L187">
            <v>0.12</v>
          </cell>
          <cell r="M187">
            <v>0.46799999999999997</v>
          </cell>
          <cell r="Q187">
            <v>52.562790000000007</v>
          </cell>
          <cell r="T187">
            <v>3.9</v>
          </cell>
          <cell r="AB187">
            <v>59312.11076699249</v>
          </cell>
          <cell r="AD187">
            <v>526824.37417370046</v>
          </cell>
          <cell r="AE187">
            <v>331447.20663599996</v>
          </cell>
          <cell r="AF187">
            <v>22194.506399999998</v>
          </cell>
          <cell r="AG187">
            <v>190756.66607142857</v>
          </cell>
          <cell r="AH187">
            <v>0</v>
          </cell>
          <cell r="AI187">
            <v>1130534.8640481215</v>
          </cell>
          <cell r="AM187">
            <v>1283157.0706946179</v>
          </cell>
        </row>
        <row r="188">
          <cell r="G188" t="str">
            <v>S5.4</v>
          </cell>
          <cell r="H188">
            <v>2692069.3427485619</v>
          </cell>
          <cell r="I188">
            <v>2</v>
          </cell>
          <cell r="J188">
            <v>2.625</v>
          </cell>
          <cell r="K188">
            <v>1</v>
          </cell>
          <cell r="L188">
            <v>0.12</v>
          </cell>
          <cell r="M188">
            <v>0.315</v>
          </cell>
          <cell r="Q188">
            <v>37.119465000000005</v>
          </cell>
          <cell r="T188">
            <v>2.625</v>
          </cell>
          <cell r="AB188">
            <v>39921.613016244948</v>
          </cell>
          <cell r="AD188">
            <v>372039.59147312347</v>
          </cell>
          <cell r="AE188">
            <v>223089.46600499999</v>
          </cell>
          <cell r="AF188">
            <v>22194.506399999998</v>
          </cell>
          <cell r="AG188">
            <v>190756.66607142857</v>
          </cell>
          <cell r="AH188">
            <v>0</v>
          </cell>
          <cell r="AI188">
            <v>848001.84296579694</v>
          </cell>
          <cell r="AM188">
            <v>962482.09176617954</v>
          </cell>
        </row>
        <row r="189">
          <cell r="G189" t="str">
            <v>S6.4</v>
          </cell>
          <cell r="H189">
            <v>2385222.6772477757</v>
          </cell>
          <cell r="I189">
            <v>2</v>
          </cell>
          <cell r="J189">
            <v>2.15</v>
          </cell>
          <cell r="K189">
            <v>1.95</v>
          </cell>
          <cell r="L189">
            <v>0.12</v>
          </cell>
          <cell r="M189">
            <v>0.50309999999999999</v>
          </cell>
          <cell r="Q189">
            <v>56.570040000000006</v>
          </cell>
          <cell r="T189">
            <v>4.1924999999999999</v>
          </cell>
          <cell r="AB189">
            <v>63760.519074516924</v>
          </cell>
          <cell r="AD189">
            <v>566988.09024371044</v>
          </cell>
          <cell r="AE189">
            <v>356305.7471337</v>
          </cell>
          <cell r="AF189">
            <v>22194.506399999998</v>
          </cell>
          <cell r="AG189">
            <v>190756.66607142857</v>
          </cell>
          <cell r="AH189">
            <v>0</v>
          </cell>
          <cell r="AI189">
            <v>1200005.528923356</v>
          </cell>
          <cell r="AM189">
            <v>1362006.2753280092</v>
          </cell>
        </row>
        <row r="190">
          <cell r="G190" t="str">
            <v>S7.4</v>
          </cell>
          <cell r="H190">
            <v>2554922.5964596714</v>
          </cell>
          <cell r="I190">
            <v>2</v>
          </cell>
          <cell r="J190">
            <v>2.15</v>
          </cell>
          <cell r="K190">
            <v>1.5</v>
          </cell>
          <cell r="L190">
            <v>0.12</v>
          </cell>
          <cell r="M190">
            <v>0.38699999999999996</v>
          </cell>
          <cell r="Q190">
            <v>45.164790000000004</v>
          </cell>
          <cell r="T190">
            <v>3.2249999999999996</v>
          </cell>
          <cell r="AB190">
            <v>49046.553134243783</v>
          </cell>
          <cell r="AD190">
            <v>452675.97527522041</v>
          </cell>
          <cell r="AE190">
            <v>274081.34394899994</v>
          </cell>
          <cell r="AF190">
            <v>22194.506399999998</v>
          </cell>
          <cell r="AG190">
            <v>190756.66607142857</v>
          </cell>
          <cell r="AH190">
            <v>0</v>
          </cell>
          <cell r="AI190">
            <v>988755.04482989269</v>
          </cell>
          <cell r="AM190">
            <v>1122236.9758819281</v>
          </cell>
        </row>
        <row r="191">
          <cell r="G191" t="str">
            <v>S8.4</v>
          </cell>
          <cell r="H191">
            <v>2171671.1576250526</v>
          </cell>
          <cell r="I191">
            <v>15</v>
          </cell>
          <cell r="J191">
            <v>3.9</v>
          </cell>
          <cell r="K191">
            <v>1.95</v>
          </cell>
          <cell r="L191">
            <v>0.12</v>
          </cell>
          <cell r="M191">
            <v>0.91259999999999986</v>
          </cell>
          <cell r="Q191">
            <v>100.46484000000002</v>
          </cell>
          <cell r="T191">
            <v>7.6049999999999995</v>
          </cell>
          <cell r="AB191">
            <v>115658.61599563534</v>
          </cell>
          <cell r="AD191">
            <v>1006935.2570413586</v>
          </cell>
          <cell r="AE191">
            <v>646322.05294019985</v>
          </cell>
          <cell r="AF191">
            <v>22194.506399999998</v>
          </cell>
          <cell r="AG191">
            <v>190756.66607142857</v>
          </cell>
          <cell r="AH191">
            <v>0</v>
          </cell>
          <cell r="AI191">
            <v>1981867.0984486225</v>
          </cell>
          <cell r="AM191">
            <v>2249419.1567391865</v>
          </cell>
        </row>
        <row r="192">
          <cell r="G192" t="str">
            <v>S8A.4</v>
          </cell>
          <cell r="H192">
            <v>2158619.5651726406</v>
          </cell>
          <cell r="I192">
            <v>15</v>
          </cell>
          <cell r="J192">
            <v>3.9</v>
          </cell>
          <cell r="K192">
            <v>1.98</v>
          </cell>
          <cell r="L192">
            <v>0.12</v>
          </cell>
          <cell r="M192">
            <v>0.92663999999999991</v>
          </cell>
          <cell r="Q192">
            <v>101.13066000000001</v>
          </cell>
          <cell r="T192">
            <v>7.7219999999999995</v>
          </cell>
          <cell r="AB192">
            <v>117437.97931864511</v>
          </cell>
          <cell r="AD192">
            <v>1013608.6129422216</v>
          </cell>
          <cell r="AE192">
            <v>656265.46913927991</v>
          </cell>
          <cell r="AF192">
            <v>22194.506399999998</v>
          </cell>
          <cell r="AG192">
            <v>190756.66607142857</v>
          </cell>
          <cell r="AH192">
            <v>0</v>
          </cell>
          <cell r="AI192">
            <v>2000263.2338715754</v>
          </cell>
          <cell r="AM192">
            <v>2270298.7704442381</v>
          </cell>
        </row>
        <row r="193">
          <cell r="G193" t="str">
            <v>S9.4</v>
          </cell>
          <cell r="H193">
            <v>2276937.1633924954</v>
          </cell>
          <cell r="I193">
            <v>8</v>
          </cell>
          <cell r="J193">
            <v>3.9</v>
          </cell>
          <cell r="K193">
            <v>1.5</v>
          </cell>
          <cell r="L193">
            <v>0.12</v>
          </cell>
          <cell r="M193">
            <v>0.70199999999999996</v>
          </cell>
          <cell r="Q193">
            <v>79.750439999999998</v>
          </cell>
          <cell r="T193">
            <v>5.85</v>
          </cell>
          <cell r="V193">
            <v>0</v>
          </cell>
          <cell r="W193">
            <v>0</v>
          </cell>
          <cell r="Y193">
            <v>0</v>
          </cell>
          <cell r="Z193">
            <v>0</v>
          </cell>
          <cell r="AA193">
            <v>0</v>
          </cell>
          <cell r="AB193">
            <v>88968.166150488731</v>
          </cell>
          <cell r="AD193">
            <v>799319.74012561433</v>
          </cell>
          <cell r="AE193">
            <v>497170.809954</v>
          </cell>
          <cell r="AF193">
            <v>22194.506399999998</v>
          </cell>
          <cell r="AG193">
            <v>190756.66607142857</v>
          </cell>
          <cell r="AH193">
            <v>0</v>
          </cell>
          <cell r="AI193">
            <v>1598409.8887015316</v>
          </cell>
          <cell r="AM193">
            <v>1814195.2236762384</v>
          </cell>
        </row>
        <row r="194">
          <cell r="G194" t="str">
            <v>S9A.4</v>
          </cell>
          <cell r="H194">
            <v>2276937.1633924958</v>
          </cell>
          <cell r="I194">
            <v>7</v>
          </cell>
          <cell r="J194">
            <v>3.9</v>
          </cell>
          <cell r="K194">
            <v>1.5</v>
          </cell>
          <cell r="L194">
            <v>0.12</v>
          </cell>
          <cell r="M194">
            <v>0.70199999999999996</v>
          </cell>
          <cell r="Q194">
            <v>79.750440000000012</v>
          </cell>
          <cell r="T194">
            <v>5.85</v>
          </cell>
          <cell r="AB194">
            <v>88968.166150488731</v>
          </cell>
          <cell r="AD194">
            <v>799319.74012561445</v>
          </cell>
          <cell r="AE194">
            <v>497170.809954</v>
          </cell>
          <cell r="AF194">
            <v>22194.506399999998</v>
          </cell>
          <cell r="AG194">
            <v>190756.66607142857</v>
          </cell>
          <cell r="AH194">
            <v>0</v>
          </cell>
          <cell r="AI194">
            <v>1598409.888701532</v>
          </cell>
          <cell r="AM194">
            <v>1814195.2236762389</v>
          </cell>
        </row>
        <row r="195">
          <cell r="G195" t="str">
            <v>S10.4</v>
          </cell>
          <cell r="H195">
            <v>2134275.1106044445</v>
          </cell>
          <cell r="I195">
            <v>2</v>
          </cell>
          <cell r="J195">
            <v>4.5</v>
          </cell>
          <cell r="K195">
            <v>1.95</v>
          </cell>
          <cell r="L195">
            <v>0.12</v>
          </cell>
          <cell r="M195">
            <v>1.0529999999999999</v>
          </cell>
          <cell r="Q195">
            <v>115.26084</v>
          </cell>
          <cell r="T195">
            <v>8.7750000000000004</v>
          </cell>
          <cell r="AB195">
            <v>133452.2492257331</v>
          </cell>
          <cell r="AD195">
            <v>1155232.0548383184</v>
          </cell>
          <cell r="AE195">
            <v>745756.21493099991</v>
          </cell>
          <cell r="AF195">
            <v>22194.506399999998</v>
          </cell>
          <cell r="AG195">
            <v>190756.66607142857</v>
          </cell>
          <cell r="AH195">
            <v>0</v>
          </cell>
          <cell r="AI195">
            <v>2247391.69146648</v>
          </cell>
          <cell r="AM195">
            <v>2550789.5698144548</v>
          </cell>
        </row>
        <row r="196">
          <cell r="G196" t="str">
            <v>S10A.4</v>
          </cell>
          <cell r="H196">
            <v>2134275.1106044445</v>
          </cell>
          <cell r="I196">
            <v>2</v>
          </cell>
          <cell r="J196">
            <v>4.5</v>
          </cell>
          <cell r="K196">
            <v>1.95</v>
          </cell>
          <cell r="L196">
            <v>0.12</v>
          </cell>
          <cell r="M196">
            <v>1.0529999999999999</v>
          </cell>
          <cell r="Q196">
            <v>115.26084</v>
          </cell>
          <cell r="T196">
            <v>8.7750000000000004</v>
          </cell>
          <cell r="AB196">
            <v>133452.2492257331</v>
          </cell>
          <cell r="AD196">
            <v>1155232.0548383184</v>
          </cell>
          <cell r="AE196">
            <v>745756.21493099991</v>
          </cell>
          <cell r="AF196">
            <v>22194.506399999998</v>
          </cell>
          <cell r="AG196">
            <v>190756.66607142857</v>
          </cell>
          <cell r="AH196">
            <v>0</v>
          </cell>
          <cell r="AI196">
            <v>2247391.69146648</v>
          </cell>
          <cell r="AM196">
            <v>2550789.5698144548</v>
          </cell>
        </row>
        <row r="197">
          <cell r="G197" t="str">
            <v>S11.4</v>
          </cell>
          <cell r="H197">
            <v>2247489.2644385821</v>
          </cell>
          <cell r="I197">
            <v>2</v>
          </cell>
          <cell r="J197">
            <v>4.5</v>
          </cell>
          <cell r="K197">
            <v>1.47</v>
          </cell>
          <cell r="L197">
            <v>0.12</v>
          </cell>
          <cell r="M197">
            <v>0.79379999999999995</v>
          </cell>
          <cell r="Q197">
            <v>90.625500000000017</v>
          </cell>
          <cell r="T197">
            <v>6.6150000000000002</v>
          </cell>
          <cell r="AB197">
            <v>100602.46480093726</v>
          </cell>
          <cell r="AD197">
            <v>908317.88650638016</v>
          </cell>
          <cell r="AE197">
            <v>562185.4543326</v>
          </cell>
          <cell r="AF197">
            <v>22194.506399999998</v>
          </cell>
          <cell r="AG197">
            <v>190756.66607142857</v>
          </cell>
          <cell r="AH197">
            <v>0</v>
          </cell>
          <cell r="AI197">
            <v>1784056.9781113463</v>
          </cell>
          <cell r="AM197">
            <v>2024904.6701563781</v>
          </cell>
        </row>
        <row r="198">
          <cell r="G198" t="str">
            <v>S12.4</v>
          </cell>
          <cell r="H198">
            <v>2221123.4592413376</v>
          </cell>
          <cell r="I198">
            <v>13</v>
          </cell>
          <cell r="J198">
            <v>3.1440000000000001</v>
          </cell>
          <cell r="K198">
            <v>2.2229999999999999</v>
          </cell>
          <cell r="L198">
            <v>0.12</v>
          </cell>
          <cell r="M198">
            <v>0.8386934399999999</v>
          </cell>
          <cell r="Q198">
            <v>94.746185999999994</v>
          </cell>
          <cell r="T198">
            <v>6.9891119999999995</v>
          </cell>
          <cell r="AB198">
            <v>106292.04746331189</v>
          </cell>
          <cell r="AD198">
            <v>949618.54469283333</v>
          </cell>
          <cell r="AE198">
            <v>593979.91006824281</v>
          </cell>
          <cell r="AF198">
            <v>22194.506399999998</v>
          </cell>
          <cell r="AG198">
            <v>190756.66607142857</v>
          </cell>
          <cell r="AH198">
            <v>0</v>
          </cell>
          <cell r="AI198">
            <v>1862841.6746958168</v>
          </cell>
          <cell r="AM198">
            <v>2114325.300779752</v>
          </cell>
        </row>
        <row r="199">
          <cell r="G199" t="str">
            <v>S13.4</v>
          </cell>
          <cell r="H199">
            <v>3553417.02981222</v>
          </cell>
          <cell r="I199">
            <v>13</v>
          </cell>
          <cell r="J199">
            <v>2.5590000000000002</v>
          </cell>
          <cell r="K199">
            <v>0.50700000000000001</v>
          </cell>
          <cell r="L199">
            <v>0.12</v>
          </cell>
          <cell r="M199">
            <v>0.15568956</v>
          </cell>
          <cell r="Q199">
            <v>20.980727999999999</v>
          </cell>
          <cell r="T199">
            <v>1.2974130000000001</v>
          </cell>
          <cell r="AB199">
            <v>19731.359888855393</v>
          </cell>
          <cell r="AD199">
            <v>210284.85927608926</v>
          </cell>
          <cell r="AE199">
            <v>110262.54223159813</v>
          </cell>
          <cell r="AF199">
            <v>22194.506399999998</v>
          </cell>
          <cell r="AG199">
            <v>190756.66607142857</v>
          </cell>
          <cell r="AH199">
            <v>0</v>
          </cell>
          <cell r="AI199">
            <v>553229.93386797141</v>
          </cell>
          <cell r="AM199">
            <v>627915.9749401476</v>
          </cell>
        </row>
        <row r="200">
          <cell r="G200" t="str">
            <v>S14.4</v>
          </cell>
          <cell r="H200">
            <v>2669199.4960177504</v>
          </cell>
          <cell r="I200">
            <v>2</v>
          </cell>
          <cell r="J200">
            <v>1.925</v>
          </cell>
          <cell r="K200">
            <v>1.4670000000000001</v>
          </cell>
          <cell r="L200">
            <v>0.12</v>
          </cell>
          <cell r="M200">
            <v>0.33887700000000004</v>
          </cell>
          <cell r="Q200">
            <v>40.770378000000008</v>
          </cell>
          <cell r="T200">
            <v>2.8239750000000003</v>
          </cell>
          <cell r="AB200">
            <v>42947.671282876319</v>
          </cell>
          <cell r="AD200">
            <v>408631.82632952335</v>
          </cell>
          <cell r="AE200">
            <v>239999.64752817902</v>
          </cell>
          <cell r="AF200">
            <v>22194.506399999998</v>
          </cell>
          <cell r="AG200">
            <v>190756.66607142857</v>
          </cell>
          <cell r="AH200">
            <v>0</v>
          </cell>
          <cell r="AI200">
            <v>904530.31761200726</v>
          </cell>
          <cell r="AM200">
            <v>1026641.9104896282</v>
          </cell>
        </row>
        <row r="201">
          <cell r="G201" t="str">
            <v>S14A.4</v>
          </cell>
          <cell r="H201">
            <v>2666329.5802969867</v>
          </cell>
          <cell r="I201">
            <v>1</v>
          </cell>
          <cell r="J201">
            <v>1.925</v>
          </cell>
          <cell r="K201">
            <v>1.47</v>
          </cell>
          <cell r="L201">
            <v>0.12</v>
          </cell>
          <cell r="M201">
            <v>0.33957000000000004</v>
          </cell>
          <cell r="Q201">
            <v>40.799970000000002</v>
          </cell>
          <cell r="T201">
            <v>2.8297500000000002</v>
          </cell>
          <cell r="AB201">
            <v>43035.498831512057</v>
          </cell>
          <cell r="AD201">
            <v>408928.41992511722</v>
          </cell>
          <cell r="AE201">
            <v>240490.44435339002</v>
          </cell>
          <cell r="AF201">
            <v>22194.506399999998</v>
          </cell>
          <cell r="AG201">
            <v>190756.66607142857</v>
          </cell>
          <cell r="AH201">
            <v>0</v>
          </cell>
          <cell r="AI201">
            <v>905405.53558144788</v>
          </cell>
          <cell r="AM201">
            <v>1027635.2828849433</v>
          </cell>
        </row>
        <row r="202">
          <cell r="G202" t="str">
            <v>S15.4</v>
          </cell>
          <cell r="H202">
            <v>2615715.5584544078</v>
          </cell>
          <cell r="I202">
            <v>1</v>
          </cell>
          <cell r="J202">
            <v>1.925</v>
          </cell>
          <cell r="K202">
            <v>1.5249999999999999</v>
          </cell>
          <cell r="L202">
            <v>0.12</v>
          </cell>
          <cell r="M202">
            <v>0.352275</v>
          </cell>
          <cell r="Q202">
            <v>41.342490000000005</v>
          </cell>
          <cell r="T202">
            <v>2.9356249999999999</v>
          </cell>
          <cell r="AB202">
            <v>44645.670556500598</v>
          </cell>
          <cell r="AD202">
            <v>414365.96917767241</v>
          </cell>
          <cell r="AE202">
            <v>249488.386148925</v>
          </cell>
          <cell r="AF202">
            <v>22194.506399999998</v>
          </cell>
          <cell r="AG202">
            <v>190756.66607142857</v>
          </cell>
          <cell r="AH202">
            <v>0</v>
          </cell>
          <cell r="AI202">
            <v>921451.19835452654</v>
          </cell>
          <cell r="AM202">
            <v>1045847.1101323876</v>
          </cell>
        </row>
        <row r="203">
          <cell r="G203" t="str">
            <v>S16.4</v>
          </cell>
          <cell r="H203">
            <v>2436154.7691714726</v>
          </cell>
          <cell r="I203">
            <v>2</v>
          </cell>
          <cell r="J203">
            <v>1.9750000000000001</v>
          </cell>
          <cell r="K203">
            <v>1.925</v>
          </cell>
          <cell r="L203">
            <v>0.12</v>
          </cell>
          <cell r="M203">
            <v>0.45622500000000005</v>
          </cell>
          <cell r="Q203">
            <v>51.638040000000004</v>
          </cell>
          <cell r="T203">
            <v>3.8018750000000003</v>
          </cell>
          <cell r="AB203">
            <v>57819.802851861437</v>
          </cell>
          <cell r="AD203">
            <v>517555.8243113904</v>
          </cell>
          <cell r="AE203">
            <v>323107.90993057506</v>
          </cell>
          <cell r="AF203">
            <v>22194.506399999998</v>
          </cell>
          <cell r="AG203">
            <v>190756.66607142857</v>
          </cell>
          <cell r="AH203">
            <v>0</v>
          </cell>
          <cell r="AI203">
            <v>1111434.7095652553</v>
          </cell>
          <cell r="AM203">
            <v>1261478.3953565648</v>
          </cell>
        </row>
        <row r="204">
          <cell r="G204" t="str">
            <v>S17.4</v>
          </cell>
          <cell r="H204">
            <v>3004837.3338809367</v>
          </cell>
          <cell r="I204">
            <v>1</v>
          </cell>
          <cell r="J204">
            <v>2.15</v>
          </cell>
          <cell r="K204">
            <v>0.89700000000000002</v>
          </cell>
          <cell r="L204">
            <v>0.12</v>
          </cell>
          <cell r="M204">
            <v>0.23142599999999999</v>
          </cell>
          <cell r="Q204">
            <v>28.855899000000001</v>
          </cell>
          <cell r="T204">
            <v>1.92855</v>
          </cell>
          <cell r="AB204">
            <v>29329.838774277785</v>
          </cell>
          <cell r="AD204">
            <v>289215.82990352123</v>
          </cell>
          <cell r="AE204">
            <v>163900.643681502</v>
          </cell>
          <cell r="AF204">
            <v>22194.506399999998</v>
          </cell>
          <cell r="AG204">
            <v>190756.66607142857</v>
          </cell>
          <cell r="AH204">
            <v>0</v>
          </cell>
          <cell r="AI204">
            <v>695397.48483072966</v>
          </cell>
          <cell r="AM204">
            <v>789276.14528287819</v>
          </cell>
        </row>
        <row r="205">
          <cell r="G205" t="str">
            <v>S2.5</v>
          </cell>
          <cell r="H205">
            <v>2298424.580888107</v>
          </cell>
          <cell r="I205">
            <v>4</v>
          </cell>
          <cell r="J205">
            <v>3.2</v>
          </cell>
          <cell r="K205">
            <v>1.67</v>
          </cell>
          <cell r="L205">
            <v>0.12</v>
          </cell>
          <cell r="M205">
            <v>0.64127999999999996</v>
          </cell>
          <cell r="Q205">
            <v>72.389430000000004</v>
          </cell>
          <cell r="T205">
            <v>5.3440000000000003</v>
          </cell>
          <cell r="AB205">
            <v>81272.799984309706</v>
          </cell>
          <cell r="AD205">
            <v>725542.08322162682</v>
          </cell>
          <cell r="AE205">
            <v>454167.65955455997</v>
          </cell>
          <cell r="AF205">
            <v>22194.506399999998</v>
          </cell>
          <cell r="AG205">
            <v>190756.66607142857</v>
          </cell>
          <cell r="AH205">
            <v>0</v>
          </cell>
          <cell r="AI205">
            <v>1473933.7152319252</v>
          </cell>
          <cell r="AP205">
            <v>1720080.6456756569</v>
          </cell>
        </row>
        <row r="206">
          <cell r="G206" t="str">
            <v>S2A.5</v>
          </cell>
          <cell r="H206">
            <v>2560909.2057970944</v>
          </cell>
          <cell r="I206">
            <v>2</v>
          </cell>
          <cell r="J206">
            <v>3.2</v>
          </cell>
          <cell r="K206">
            <v>1.05</v>
          </cell>
          <cell r="L206">
            <v>0.12</v>
          </cell>
          <cell r="M206">
            <v>0.4032</v>
          </cell>
          <cell r="Q206">
            <v>48.185640000000006</v>
          </cell>
          <cell r="T206">
            <v>3.3600000000000003</v>
          </cell>
          <cell r="AB206">
            <v>51099.664660793533</v>
          </cell>
          <cell r="AD206">
            <v>482953.23815876647</v>
          </cell>
          <cell r="AE206">
            <v>285554.51648639998</v>
          </cell>
          <cell r="AF206">
            <v>22194.506399999998</v>
          </cell>
          <cell r="AG206">
            <v>190756.66607142857</v>
          </cell>
          <cell r="AH206">
            <v>0</v>
          </cell>
          <cell r="AI206">
            <v>1032558.5917773885</v>
          </cell>
          <cell r="AP206">
            <v>1204995.8766042124</v>
          </cell>
        </row>
        <row r="207">
          <cell r="G207" t="str">
            <v>S4.5</v>
          </cell>
          <cell r="H207">
            <v>2319800.5973015591</v>
          </cell>
          <cell r="I207">
            <v>2</v>
          </cell>
          <cell r="J207">
            <v>4.0999999999999996</v>
          </cell>
          <cell r="K207">
            <v>1.41</v>
          </cell>
          <cell r="L207">
            <v>0.12</v>
          </cell>
          <cell r="M207">
            <v>0.69371999999999978</v>
          </cell>
          <cell r="Q207">
            <v>81.525960000000012</v>
          </cell>
          <cell r="T207">
            <v>5.7809999999999988</v>
          </cell>
          <cell r="AB207">
            <v>87918.798036918844</v>
          </cell>
          <cell r="AD207">
            <v>817115.35586124973</v>
          </cell>
          <cell r="AE207">
            <v>491306.74399043986</v>
          </cell>
          <cell r="AF207">
            <v>22194.506399999998</v>
          </cell>
          <cell r="AG207">
            <v>190756.66607142857</v>
          </cell>
          <cell r="AH207">
            <v>0</v>
          </cell>
          <cell r="AI207">
            <v>1609292.070360037</v>
          </cell>
          <cell r="AP207">
            <v>1878043.8461101633</v>
          </cell>
        </row>
        <row r="208">
          <cell r="G208" t="str">
            <v>S5.5</v>
          </cell>
          <cell r="H208">
            <v>2331125.8782910961</v>
          </cell>
          <cell r="I208">
            <v>2</v>
          </cell>
          <cell r="J208">
            <v>4.0999999999999996</v>
          </cell>
          <cell r="K208">
            <v>1.17</v>
          </cell>
          <cell r="L208">
            <v>0.12</v>
          </cell>
          <cell r="M208">
            <v>0.57563999999999993</v>
          </cell>
          <cell r="Q208">
            <v>64.683180000000007</v>
          </cell>
          <cell r="T208">
            <v>4.7969999999999997</v>
          </cell>
          <cell r="V208">
            <v>0</v>
          </cell>
          <cell r="W208">
            <v>0</v>
          </cell>
          <cell r="Y208">
            <v>0</v>
          </cell>
          <cell r="Z208">
            <v>0</v>
          </cell>
          <cell r="AA208">
            <v>0</v>
          </cell>
          <cell r="AB208">
            <v>72953.896243400755</v>
          </cell>
          <cell r="AD208">
            <v>648304.16770237684</v>
          </cell>
          <cell r="AE208">
            <v>407680.06416227994</v>
          </cell>
          <cell r="AF208">
            <v>22194.506399999998</v>
          </cell>
          <cell r="AG208">
            <v>190756.66607142857</v>
          </cell>
          <cell r="AH208">
            <v>0</v>
          </cell>
          <cell r="AI208">
            <v>1341889.3005794864</v>
          </cell>
          <cell r="AP208">
            <v>1565984.8137762607</v>
          </cell>
        </row>
        <row r="209">
          <cell r="G209" t="str">
            <v>S6.5</v>
          </cell>
          <cell r="H209">
            <v>2331125.8782910961</v>
          </cell>
          <cell r="I209">
            <v>4</v>
          </cell>
          <cell r="J209">
            <v>4.0999999999999996</v>
          </cell>
          <cell r="K209">
            <v>1.17</v>
          </cell>
          <cell r="L209">
            <v>0.12</v>
          </cell>
          <cell r="M209">
            <v>0.57563999999999993</v>
          </cell>
          <cell r="Q209">
            <v>64.683180000000007</v>
          </cell>
          <cell r="T209">
            <v>4.7969999999999997</v>
          </cell>
          <cell r="AB209">
            <v>72953.896243400755</v>
          </cell>
          <cell r="AD209">
            <v>648304.16770237684</v>
          </cell>
          <cell r="AE209">
            <v>407680.06416227994</v>
          </cell>
          <cell r="AF209">
            <v>22194.506399999998</v>
          </cell>
          <cell r="AG209">
            <v>190756.66607142857</v>
          </cell>
          <cell r="AH209">
            <v>0</v>
          </cell>
          <cell r="AI209">
            <v>1341889.3005794864</v>
          </cell>
          <cell r="AP209">
            <v>1565984.8137762607</v>
          </cell>
        </row>
        <row r="210">
          <cell r="G210" t="str">
            <v>S7.5</v>
          </cell>
          <cell r="H210">
            <v>2331125.8782910961</v>
          </cell>
          <cell r="I210">
            <v>2</v>
          </cell>
          <cell r="J210">
            <v>4.0999999999999996</v>
          </cell>
          <cell r="K210">
            <v>1.17</v>
          </cell>
          <cell r="L210">
            <v>0.12</v>
          </cell>
          <cell r="M210">
            <v>0.57563999999999993</v>
          </cell>
          <cell r="Q210">
            <v>64.683180000000007</v>
          </cell>
          <cell r="T210">
            <v>4.7969999999999997</v>
          </cell>
          <cell r="AB210">
            <v>72953.896243400755</v>
          </cell>
          <cell r="AD210">
            <v>648304.16770237684</v>
          </cell>
          <cell r="AE210">
            <v>407680.06416227994</v>
          </cell>
          <cell r="AF210">
            <v>22194.506399999998</v>
          </cell>
          <cell r="AG210">
            <v>190756.66607142857</v>
          </cell>
          <cell r="AH210">
            <v>0</v>
          </cell>
          <cell r="AI210">
            <v>1341889.3005794864</v>
          </cell>
          <cell r="AP210">
            <v>1565984.8137762607</v>
          </cell>
        </row>
        <row r="211">
          <cell r="G211" t="str">
            <v>S9.5</v>
          </cell>
          <cell r="H211">
            <v>2420312.9208257543</v>
          </cell>
          <cell r="I211">
            <v>8</v>
          </cell>
          <cell r="J211">
            <v>2.2999999999999998</v>
          </cell>
          <cell r="K211">
            <v>1.75</v>
          </cell>
          <cell r="L211">
            <v>0.12</v>
          </cell>
          <cell r="M211">
            <v>0.48299999999999993</v>
          </cell>
          <cell r="Q211">
            <v>55.152090000000008</v>
          </cell>
          <cell r="T211">
            <v>4.0249999999999995</v>
          </cell>
          <cell r="AB211">
            <v>61213.139958242238</v>
          </cell>
          <cell r="AD211">
            <v>552776.31378816848</v>
          </cell>
          <cell r="AE211">
            <v>342070.51454099995</v>
          </cell>
          <cell r="AF211">
            <v>22194.506399999998</v>
          </cell>
          <cell r="AG211">
            <v>190756.66607142857</v>
          </cell>
          <cell r="AH211">
            <v>0</v>
          </cell>
          <cell r="AI211">
            <v>1169011.1407588392</v>
          </cell>
          <cell r="AP211">
            <v>1364236.0012655654</v>
          </cell>
        </row>
        <row r="212">
          <cell r="G212" t="str">
            <v>S9A.5</v>
          </cell>
          <cell r="H212">
            <v>2528809.0360022536</v>
          </cell>
          <cell r="I212">
            <v>7</v>
          </cell>
          <cell r="J212">
            <v>2.2999999999999998</v>
          </cell>
          <cell r="K212">
            <v>1.4</v>
          </cell>
          <cell r="L212">
            <v>0.12</v>
          </cell>
          <cell r="M212">
            <v>0.38639999999999997</v>
          </cell>
          <cell r="Q212">
            <v>44.05509</v>
          </cell>
          <cell r="T212">
            <v>3.2199999999999998</v>
          </cell>
          <cell r="AB212">
            <v>48970.511966593796</v>
          </cell>
          <cell r="AD212">
            <v>441553.71544044837</v>
          </cell>
          <cell r="AE212">
            <v>273656.41163279995</v>
          </cell>
          <cell r="AF212">
            <v>22194.506399999998</v>
          </cell>
          <cell r="AG212">
            <v>190756.66607142857</v>
          </cell>
          <cell r="AH212">
            <v>0</v>
          </cell>
          <cell r="AI212">
            <v>977131.8115112707</v>
          </cell>
          <cell r="AP212">
            <v>1140312.8240336529</v>
          </cell>
        </row>
        <row r="213">
          <cell r="G213" t="str">
            <v>S11.5</v>
          </cell>
          <cell r="H213">
            <v>2712278.7183292797</v>
          </cell>
          <cell r="I213">
            <v>2</v>
          </cell>
          <cell r="J213">
            <v>1.75</v>
          </cell>
          <cell r="K213">
            <v>1.4</v>
          </cell>
          <cell r="L213">
            <v>0.12</v>
          </cell>
          <cell r="M213">
            <v>0.29399999999999998</v>
          </cell>
          <cell r="Q213">
            <v>33.821190000000001</v>
          </cell>
          <cell r="T213">
            <v>2.4499999999999997</v>
          </cell>
          <cell r="AB213">
            <v>37260.17214849528</v>
          </cell>
          <cell r="AD213">
            <v>338981.76363088441</v>
          </cell>
          <cell r="AE213">
            <v>208216.83493799999</v>
          </cell>
          <cell r="AF213">
            <v>22194.506399999998</v>
          </cell>
          <cell r="AG213">
            <v>190756.66607142857</v>
          </cell>
          <cell r="AH213">
            <v>0</v>
          </cell>
          <cell r="AI213">
            <v>797409.94318880816</v>
          </cell>
          <cell r="AP213">
            <v>930577.40370133915</v>
          </cell>
        </row>
        <row r="214">
          <cell r="G214" t="str">
            <v>S12.5</v>
          </cell>
          <cell r="H214">
            <v>2507213.1538874763</v>
          </cell>
          <cell r="I214">
            <v>13</v>
          </cell>
          <cell r="J214">
            <v>3.2</v>
          </cell>
          <cell r="K214">
            <v>1</v>
          </cell>
          <cell r="L214">
            <v>0.12</v>
          </cell>
          <cell r="M214">
            <v>0.38400000000000001</v>
          </cell>
          <cell r="Q214">
            <v>42.82209000000001</v>
          </cell>
          <cell r="T214">
            <v>3.2</v>
          </cell>
          <cell r="AB214">
            <v>48666.347295993837</v>
          </cell>
          <cell r="AD214">
            <v>429195.64895736851</v>
          </cell>
          <cell r="AE214">
            <v>271956.68236799998</v>
          </cell>
          <cell r="AF214">
            <v>22194.506399999998</v>
          </cell>
          <cell r="AG214">
            <v>190756.66607142857</v>
          </cell>
          <cell r="AH214">
            <v>0</v>
          </cell>
          <cell r="AI214">
            <v>962769.85109279084</v>
          </cell>
          <cell r="AP214">
            <v>1123552.4162252869</v>
          </cell>
        </row>
        <row r="215">
          <cell r="G215" t="str">
            <v>S13.5</v>
          </cell>
          <cell r="H215">
            <v>2269323.3322571372</v>
          </cell>
          <cell r="I215">
            <v>13</v>
          </cell>
          <cell r="J215">
            <v>3.2</v>
          </cell>
          <cell r="K215">
            <v>1.6</v>
          </cell>
          <cell r="L215">
            <v>0.12</v>
          </cell>
          <cell r="M215">
            <v>0.61440000000000006</v>
          </cell>
          <cell r="Q215">
            <v>66.680640000000011</v>
          </cell>
          <cell r="T215">
            <v>5.120000000000001</v>
          </cell>
          <cell r="AB215">
            <v>77866.155673590154</v>
          </cell>
          <cell r="AD215">
            <v>668324.23540496652</v>
          </cell>
          <cell r="AE215">
            <v>435130.69178880006</v>
          </cell>
          <cell r="AF215">
            <v>22194.506399999998</v>
          </cell>
          <cell r="AG215">
            <v>190756.66607142857</v>
          </cell>
          <cell r="AH215">
            <v>0</v>
          </cell>
          <cell r="AI215">
            <v>1394272.2553387852</v>
          </cell>
          <cell r="AP215">
            <v>1627115.7219803624</v>
          </cell>
        </row>
        <row r="217">
          <cell r="I217">
            <v>0</v>
          </cell>
          <cell r="AB217">
            <v>0.11306336830681799</v>
          </cell>
          <cell r="AC217">
            <v>1.7207806554072827E-8</v>
          </cell>
          <cell r="AD217">
            <v>1.0362626161448794</v>
          </cell>
          <cell r="AF217">
            <v>4.1460398442135393E-2</v>
          </cell>
          <cell r="AG217">
            <v>0.35634255726342312</v>
          </cell>
          <cell r="AH217">
            <v>3.6813879109409637E-8</v>
          </cell>
        </row>
        <row r="218">
          <cell r="Q218">
            <v>0</v>
          </cell>
          <cell r="V218">
            <v>0</v>
          </cell>
          <cell r="W218">
            <v>0</v>
          </cell>
          <cell r="Y218">
            <v>0</v>
          </cell>
          <cell r="Z218">
            <v>0</v>
          </cell>
          <cell r="AA218">
            <v>0</v>
          </cell>
          <cell r="AB218">
            <v>0</v>
          </cell>
          <cell r="AD218">
            <v>0</v>
          </cell>
          <cell r="AE218">
            <v>0</v>
          </cell>
          <cell r="AF218">
            <v>22194.506399999998</v>
          </cell>
          <cell r="AG218">
            <v>190756.66607142857</v>
          </cell>
          <cell r="AH218">
            <v>0</v>
          </cell>
          <cell r="AI218">
            <v>212951.17247142858</v>
          </cell>
          <cell r="AJ218">
            <v>212951.17247142858</v>
          </cell>
        </row>
        <row r="219">
          <cell r="Q219">
            <v>0</v>
          </cell>
          <cell r="V219">
            <v>0</v>
          </cell>
          <cell r="W219">
            <v>0</v>
          </cell>
          <cell r="Y219">
            <v>0</v>
          </cell>
          <cell r="Z219">
            <v>0</v>
          </cell>
          <cell r="AA219">
            <v>0</v>
          </cell>
          <cell r="AB219">
            <v>0</v>
          </cell>
          <cell r="AD219">
            <v>0</v>
          </cell>
          <cell r="AE219">
            <v>0</v>
          </cell>
          <cell r="AF219">
            <v>22194.506399999998</v>
          </cell>
          <cell r="AG219">
            <v>190756.66607142857</v>
          </cell>
          <cell r="AH219">
            <v>0</v>
          </cell>
          <cell r="AI219">
            <v>212951.17247142858</v>
          </cell>
          <cell r="AJ219">
            <v>212951.17247142858</v>
          </cell>
          <cell r="AK219">
            <v>232116.77799385716</v>
          </cell>
          <cell r="AL219">
            <v>238505.31316800002</v>
          </cell>
          <cell r="AM219">
            <v>241699.58075507145</v>
          </cell>
          <cell r="AN219">
            <v>247449.26241179998</v>
          </cell>
        </row>
        <row r="220">
          <cell r="Q220">
            <v>0</v>
          </cell>
          <cell r="V220">
            <v>0</v>
          </cell>
          <cell r="W220">
            <v>0</v>
          </cell>
          <cell r="Y220">
            <v>0</v>
          </cell>
          <cell r="Z220">
            <v>0</v>
          </cell>
          <cell r="AA220">
            <v>0</v>
          </cell>
          <cell r="AB220">
            <v>0</v>
          </cell>
          <cell r="AD220">
            <v>0</v>
          </cell>
          <cell r="AE220">
            <v>0</v>
          </cell>
          <cell r="AF220">
            <v>22194.506399999998</v>
          </cell>
          <cell r="AG220">
            <v>190756.66607142857</v>
          </cell>
          <cell r="AH220">
            <v>0</v>
          </cell>
          <cell r="AI220">
            <v>212951.17247142858</v>
          </cell>
          <cell r="AK220">
            <v>232116.77799385716</v>
          </cell>
          <cell r="AL220">
            <v>238505.31316800002</v>
          </cell>
          <cell r="AM220">
            <v>241699.58075507145</v>
          </cell>
          <cell r="AN220">
            <v>247449.26241179998</v>
          </cell>
        </row>
        <row r="221">
          <cell r="Q221">
            <v>0</v>
          </cell>
          <cell r="V221">
            <v>0</v>
          </cell>
          <cell r="W221">
            <v>0</v>
          </cell>
          <cell r="Y221">
            <v>0</v>
          </cell>
          <cell r="Z221">
            <v>0</v>
          </cell>
          <cell r="AA221">
            <v>0</v>
          </cell>
          <cell r="AB221">
            <v>0</v>
          </cell>
          <cell r="AD221">
            <v>0</v>
          </cell>
          <cell r="AE221">
            <v>0</v>
          </cell>
          <cell r="AF221">
            <v>22194.506399999998</v>
          </cell>
          <cell r="AG221">
            <v>190756.66607142857</v>
          </cell>
          <cell r="AH221">
            <v>0</v>
          </cell>
          <cell r="AI221">
            <v>212951.17247142858</v>
          </cell>
          <cell r="AJ221">
            <v>212951.17247142858</v>
          </cell>
        </row>
        <row r="222">
          <cell r="Q222">
            <v>0</v>
          </cell>
          <cell r="V222">
            <v>0</v>
          </cell>
          <cell r="W222">
            <v>0</v>
          </cell>
          <cell r="Y222">
            <v>0</v>
          </cell>
          <cell r="Z222">
            <v>0</v>
          </cell>
          <cell r="AA222">
            <v>0</v>
          </cell>
          <cell r="AB222">
            <v>0</v>
          </cell>
          <cell r="AD222">
            <v>0</v>
          </cell>
          <cell r="AE222">
            <v>0</v>
          </cell>
          <cell r="AF222">
            <v>22194.506399999998</v>
          </cell>
          <cell r="AG222">
            <v>190756.66607142857</v>
          </cell>
          <cell r="AH222">
            <v>0</v>
          </cell>
          <cell r="AI222">
            <v>212951.17247142858</v>
          </cell>
          <cell r="AJ222">
            <v>212951.17247142858</v>
          </cell>
          <cell r="AK222">
            <v>232116.77799385716</v>
          </cell>
          <cell r="AL222">
            <v>238505.31316800002</v>
          </cell>
          <cell r="AM222">
            <v>241699.58075507145</v>
          </cell>
          <cell r="AN222">
            <v>247449.26241179998</v>
          </cell>
        </row>
        <row r="223">
          <cell r="Q223">
            <v>0</v>
          </cell>
          <cell r="V223">
            <v>0</v>
          </cell>
          <cell r="W223">
            <v>0</v>
          </cell>
          <cell r="Y223">
            <v>0</v>
          </cell>
          <cell r="Z223">
            <v>0</v>
          </cell>
          <cell r="AA223">
            <v>0</v>
          </cell>
          <cell r="AB223">
            <v>0</v>
          </cell>
          <cell r="AD223">
            <v>0</v>
          </cell>
          <cell r="AE223">
            <v>0</v>
          </cell>
          <cell r="AF223">
            <v>22194.506399999998</v>
          </cell>
          <cell r="AG223">
            <v>190756.66607142857</v>
          </cell>
          <cell r="AH223">
            <v>0</v>
          </cell>
          <cell r="AI223">
            <v>212951.17247142858</v>
          </cell>
          <cell r="AK223">
            <v>232116.77799385716</v>
          </cell>
          <cell r="AL223">
            <v>238505.31316800002</v>
          </cell>
          <cell r="AM223">
            <v>241699.58075507145</v>
          </cell>
          <cell r="AN223">
            <v>247449.26241179998</v>
          </cell>
        </row>
        <row r="224">
          <cell r="Q224">
            <v>0</v>
          </cell>
          <cell r="V224">
            <v>0</v>
          </cell>
          <cell r="W224">
            <v>0</v>
          </cell>
          <cell r="Y224">
            <v>0</v>
          </cell>
          <cell r="Z224">
            <v>0</v>
          </cell>
          <cell r="AA224">
            <v>0</v>
          </cell>
          <cell r="AB224">
            <v>0</v>
          </cell>
          <cell r="AD224">
            <v>0</v>
          </cell>
          <cell r="AE224">
            <v>0</v>
          </cell>
          <cell r="AF224">
            <v>22194.506399999998</v>
          </cell>
          <cell r="AG224">
            <v>190756.66607142857</v>
          </cell>
          <cell r="AH224">
            <v>0</v>
          </cell>
          <cell r="AI224">
            <v>212951.17247142858</v>
          </cell>
          <cell r="AJ224">
            <v>212951.17247142858</v>
          </cell>
          <cell r="AK224">
            <v>232116.77799385716</v>
          </cell>
          <cell r="AL224">
            <v>238505.31316800002</v>
          </cell>
          <cell r="AM224">
            <v>241699.58075507145</v>
          </cell>
        </row>
        <row r="225">
          <cell r="Q225">
            <v>0</v>
          </cell>
          <cell r="V225">
            <v>0</v>
          </cell>
          <cell r="W225">
            <v>0</v>
          </cell>
          <cell r="Y225">
            <v>0</v>
          </cell>
          <cell r="Z225">
            <v>0</v>
          </cell>
          <cell r="AA225">
            <v>0</v>
          </cell>
          <cell r="AB225">
            <v>0</v>
          </cell>
          <cell r="AD225">
            <v>0</v>
          </cell>
          <cell r="AE225">
            <v>0</v>
          </cell>
          <cell r="AF225">
            <v>22194.506399999998</v>
          </cell>
          <cell r="AG225">
            <v>190756.66607142857</v>
          </cell>
          <cell r="AH225">
            <v>0</v>
          </cell>
          <cell r="AI225">
            <v>212951.17247142858</v>
          </cell>
          <cell r="AJ225">
            <v>212951.17247142858</v>
          </cell>
        </row>
        <row r="226">
          <cell r="Q226">
            <v>0</v>
          </cell>
          <cell r="V226">
            <v>0</v>
          </cell>
          <cell r="W226">
            <v>0</v>
          </cell>
          <cell r="Y226">
            <v>0</v>
          </cell>
          <cell r="Z226">
            <v>0</v>
          </cell>
          <cell r="AA226">
            <v>0</v>
          </cell>
          <cell r="AB226">
            <v>0</v>
          </cell>
          <cell r="AD226">
            <v>0</v>
          </cell>
          <cell r="AE226">
            <v>0</v>
          </cell>
          <cell r="AF226">
            <v>22194.506399999998</v>
          </cell>
          <cell r="AG226">
            <v>190756.66607142857</v>
          </cell>
          <cell r="AH226">
            <v>0</v>
          </cell>
          <cell r="AI226">
            <v>212951.17247142858</v>
          </cell>
          <cell r="AJ226">
            <v>212951.17247142858</v>
          </cell>
        </row>
        <row r="227">
          <cell r="Q227">
            <v>0</v>
          </cell>
          <cell r="V227">
            <v>0</v>
          </cell>
          <cell r="W227">
            <v>0</v>
          </cell>
          <cell r="Y227">
            <v>0</v>
          </cell>
          <cell r="Z227">
            <v>0</v>
          </cell>
          <cell r="AA227">
            <v>0</v>
          </cell>
          <cell r="AB227">
            <v>0</v>
          </cell>
          <cell r="AD227">
            <v>0</v>
          </cell>
          <cell r="AE227">
            <v>0</v>
          </cell>
          <cell r="AF227">
            <v>22194.506399999998</v>
          </cell>
          <cell r="AG227">
            <v>190756.66607142857</v>
          </cell>
          <cell r="AH227">
            <v>0</v>
          </cell>
          <cell r="AI227">
            <v>212951.17247142858</v>
          </cell>
          <cell r="AK227">
            <v>232116.77799385716</v>
          </cell>
          <cell r="AL227">
            <v>238505.31316800002</v>
          </cell>
          <cell r="AM227">
            <v>241699.58075507145</v>
          </cell>
          <cell r="AN227">
            <v>247449.26241179998</v>
          </cell>
        </row>
        <row r="228">
          <cell r="Q228">
            <v>0</v>
          </cell>
          <cell r="V228">
            <v>0</v>
          </cell>
          <cell r="W228">
            <v>0</v>
          </cell>
          <cell r="Y228">
            <v>0</v>
          </cell>
          <cell r="Z228">
            <v>0</v>
          </cell>
          <cell r="AA228">
            <v>0</v>
          </cell>
          <cell r="AB228">
            <v>0</v>
          </cell>
          <cell r="AD228">
            <v>0</v>
          </cell>
          <cell r="AE228">
            <v>0</v>
          </cell>
          <cell r="AF228">
            <v>22194.506399999998</v>
          </cell>
          <cell r="AG228">
            <v>190756.66607142857</v>
          </cell>
          <cell r="AH228">
            <v>0</v>
          </cell>
          <cell r="AI228">
            <v>212951.17247142858</v>
          </cell>
          <cell r="AK228">
            <v>232116.77799385716</v>
          </cell>
          <cell r="AL228">
            <v>238505.31316800002</v>
          </cell>
          <cell r="AM228">
            <v>241699.58075507145</v>
          </cell>
          <cell r="AN228">
            <v>247449.26241179998</v>
          </cell>
        </row>
        <row r="229">
          <cell r="Q229">
            <v>0</v>
          </cell>
          <cell r="V229">
            <v>0</v>
          </cell>
          <cell r="W229">
            <v>0</v>
          </cell>
          <cell r="Y229">
            <v>0</v>
          </cell>
          <cell r="Z229">
            <v>0</v>
          </cell>
          <cell r="AA229">
            <v>0</v>
          </cell>
          <cell r="AB229">
            <v>0</v>
          </cell>
          <cell r="AD229">
            <v>0</v>
          </cell>
          <cell r="AE229">
            <v>0</v>
          </cell>
          <cell r="AF229">
            <v>22194.506399999998</v>
          </cell>
          <cell r="AG229">
            <v>190756.66607142857</v>
          </cell>
          <cell r="AH229">
            <v>0</v>
          </cell>
          <cell r="AI229">
            <v>212951.17247142858</v>
          </cell>
          <cell r="AK229">
            <v>232116.77799385716</v>
          </cell>
          <cell r="AL229">
            <v>238505.31316800002</v>
          </cell>
          <cell r="AM229">
            <v>241699.58075507145</v>
          </cell>
          <cell r="AN229">
            <v>247449.26241179998</v>
          </cell>
        </row>
        <row r="230">
          <cell r="Q230">
            <v>0</v>
          </cell>
          <cell r="V230">
            <v>0</v>
          </cell>
          <cell r="W230">
            <v>0</v>
          </cell>
          <cell r="Y230">
            <v>0</v>
          </cell>
          <cell r="Z230">
            <v>0</v>
          </cell>
          <cell r="AA230">
            <v>0</v>
          </cell>
          <cell r="AB230">
            <v>0</v>
          </cell>
          <cell r="AD230">
            <v>0</v>
          </cell>
          <cell r="AE230">
            <v>0</v>
          </cell>
          <cell r="AF230">
            <v>22194.506399999998</v>
          </cell>
          <cell r="AG230">
            <v>190756.66607142857</v>
          </cell>
          <cell r="AH230">
            <v>0</v>
          </cell>
          <cell r="AI230">
            <v>212951.17247142858</v>
          </cell>
          <cell r="AL230">
            <v>238505.31316800002</v>
          </cell>
          <cell r="AM230">
            <v>241699.58075507145</v>
          </cell>
          <cell r="AN230">
            <v>247449.26241179998</v>
          </cell>
        </row>
        <row r="231">
          <cell r="Q231">
            <v>0</v>
          </cell>
          <cell r="V231">
            <v>0</v>
          </cell>
          <cell r="W231">
            <v>0</v>
          </cell>
          <cell r="Y231">
            <v>0</v>
          </cell>
          <cell r="Z231">
            <v>0</v>
          </cell>
          <cell r="AA231">
            <v>0</v>
          </cell>
          <cell r="AB231">
            <v>0</v>
          </cell>
          <cell r="AD231">
            <v>0</v>
          </cell>
          <cell r="AE231">
            <v>0</v>
          </cell>
          <cell r="AF231">
            <v>22194.506399999998</v>
          </cell>
          <cell r="AG231">
            <v>190756.66607142857</v>
          </cell>
          <cell r="AH231">
            <v>0</v>
          </cell>
          <cell r="AI231">
            <v>212951.17247142858</v>
          </cell>
          <cell r="AL231">
            <v>238505.31316800002</v>
          </cell>
          <cell r="AM231">
            <v>241699.58075507145</v>
          </cell>
          <cell r="AN231">
            <v>247449.26241179998</v>
          </cell>
        </row>
        <row r="232">
          <cell r="Q232">
            <v>0</v>
          </cell>
          <cell r="V232">
            <v>0</v>
          </cell>
          <cell r="W232">
            <v>0</v>
          </cell>
          <cell r="Y232">
            <v>0</v>
          </cell>
          <cell r="Z232">
            <v>0</v>
          </cell>
          <cell r="AA232">
            <v>0</v>
          </cell>
          <cell r="AB232">
            <v>0</v>
          </cell>
          <cell r="AD232">
            <v>0</v>
          </cell>
          <cell r="AE232">
            <v>0</v>
          </cell>
          <cell r="AF232">
            <v>22194.506399999998</v>
          </cell>
          <cell r="AG232">
            <v>190756.66607142857</v>
          </cell>
          <cell r="AH232">
            <v>0</v>
          </cell>
          <cell r="AI232">
            <v>212951.17247142858</v>
          </cell>
          <cell r="AL232">
            <v>238505.31316800002</v>
          </cell>
          <cell r="AM232">
            <v>241699.58075507145</v>
          </cell>
          <cell r="AN232">
            <v>247449.26241179998</v>
          </cell>
        </row>
        <row r="233">
          <cell r="Q233">
            <v>0</v>
          </cell>
          <cell r="V233">
            <v>0</v>
          </cell>
          <cell r="W233">
            <v>0</v>
          </cell>
          <cell r="Y233">
            <v>0</v>
          </cell>
          <cell r="Z233">
            <v>0</v>
          </cell>
          <cell r="AA233">
            <v>0</v>
          </cell>
          <cell r="AB233">
            <v>0</v>
          </cell>
          <cell r="AD233">
            <v>0</v>
          </cell>
          <cell r="AE233">
            <v>0</v>
          </cell>
          <cell r="AF233">
            <v>22194.506399999998</v>
          </cell>
          <cell r="AG233">
            <v>190756.66607142857</v>
          </cell>
          <cell r="AH233">
            <v>0</v>
          </cell>
          <cell r="AI233">
            <v>212951.17247142858</v>
          </cell>
          <cell r="AJ233">
            <v>212951.17247142858</v>
          </cell>
          <cell r="AK233">
            <v>232116.77799385716</v>
          </cell>
          <cell r="AL233">
            <v>238505.31316800002</v>
          </cell>
          <cell r="AM233">
            <v>241699.58075507145</v>
          </cell>
          <cell r="AN233">
            <v>247449.26241179998</v>
          </cell>
        </row>
        <row r="234">
          <cell r="Q234">
            <v>0</v>
          </cell>
          <cell r="V234">
            <v>0</v>
          </cell>
          <cell r="W234">
            <v>0</v>
          </cell>
          <cell r="Y234">
            <v>0</v>
          </cell>
          <cell r="Z234">
            <v>0</v>
          </cell>
          <cell r="AA234">
            <v>0</v>
          </cell>
          <cell r="AB234">
            <v>0</v>
          </cell>
          <cell r="AD234">
            <v>0</v>
          </cell>
          <cell r="AE234">
            <v>0</v>
          </cell>
          <cell r="AF234">
            <v>22194.506399999998</v>
          </cell>
          <cell r="AG234">
            <v>190756.66607142857</v>
          </cell>
          <cell r="AH234">
            <v>0</v>
          </cell>
          <cell r="AI234">
            <v>212951.17247142858</v>
          </cell>
          <cell r="AJ234">
            <v>212951.17247142858</v>
          </cell>
        </row>
        <row r="235">
          <cell r="Q235">
            <v>0</v>
          </cell>
          <cell r="V235">
            <v>0</v>
          </cell>
          <cell r="W235">
            <v>0</v>
          </cell>
          <cell r="Y235">
            <v>0</v>
          </cell>
          <cell r="Z235">
            <v>0</v>
          </cell>
          <cell r="AA235">
            <v>0</v>
          </cell>
          <cell r="AB235">
            <v>0</v>
          </cell>
          <cell r="AD235">
            <v>0</v>
          </cell>
          <cell r="AE235">
            <v>0</v>
          </cell>
          <cell r="AF235">
            <v>22194.506399999998</v>
          </cell>
          <cell r="AG235">
            <v>190756.66607142857</v>
          </cell>
          <cell r="AH235">
            <v>0</v>
          </cell>
          <cell r="AI235">
            <v>212951.17247142858</v>
          </cell>
          <cell r="AJ235">
            <v>212951.17247142858</v>
          </cell>
        </row>
        <row r="236">
          <cell r="Q236">
            <v>0</v>
          </cell>
          <cell r="V236">
            <v>0</v>
          </cell>
          <cell r="W236">
            <v>0</v>
          </cell>
          <cell r="Y236">
            <v>0</v>
          </cell>
          <cell r="Z236">
            <v>0</v>
          </cell>
          <cell r="AA236">
            <v>0</v>
          </cell>
          <cell r="AB236">
            <v>0</v>
          </cell>
          <cell r="AD236">
            <v>0</v>
          </cell>
          <cell r="AE236">
            <v>0</v>
          </cell>
          <cell r="AF236">
            <v>22194.506399999998</v>
          </cell>
          <cell r="AG236">
            <v>190756.66607142857</v>
          </cell>
          <cell r="AH236">
            <v>0</v>
          </cell>
          <cell r="AI236">
            <v>212951.17247142858</v>
          </cell>
          <cell r="AJ236">
            <v>212951.17247142858</v>
          </cell>
          <cell r="AK236">
            <v>232116.77799385716</v>
          </cell>
          <cell r="AL236">
            <v>238505.31316800002</v>
          </cell>
          <cell r="AM236">
            <v>241699.58075507145</v>
          </cell>
          <cell r="AN236">
            <v>247449.26241179998</v>
          </cell>
        </row>
        <row r="237">
          <cell r="Q237">
            <v>0</v>
          </cell>
          <cell r="V237">
            <v>0</v>
          </cell>
          <cell r="W237">
            <v>0</v>
          </cell>
          <cell r="Y237">
            <v>0</v>
          </cell>
          <cell r="Z237">
            <v>0</v>
          </cell>
          <cell r="AA237">
            <v>0</v>
          </cell>
          <cell r="AB237">
            <v>0</v>
          </cell>
          <cell r="AD237">
            <v>0</v>
          </cell>
          <cell r="AE237">
            <v>0</v>
          </cell>
          <cell r="AF237">
            <v>22194.506399999998</v>
          </cell>
          <cell r="AG237">
            <v>190756.66607142857</v>
          </cell>
          <cell r="AH237">
            <v>0</v>
          </cell>
          <cell r="AI237">
            <v>212951.17247142858</v>
          </cell>
          <cell r="AJ237">
            <v>212951.17247142858</v>
          </cell>
          <cell r="AK237">
            <v>232116.77799385716</v>
          </cell>
          <cell r="AL237">
            <v>238505.31316800002</v>
          </cell>
          <cell r="AM237">
            <v>241699.58075507145</v>
          </cell>
          <cell r="AN237">
            <v>247449.26241179998</v>
          </cell>
        </row>
        <row r="238">
          <cell r="Q238">
            <v>0</v>
          </cell>
          <cell r="V238">
            <v>0</v>
          </cell>
          <cell r="W238">
            <v>0</v>
          </cell>
          <cell r="Y238">
            <v>0</v>
          </cell>
          <cell r="Z238">
            <v>0</v>
          </cell>
          <cell r="AA238">
            <v>0</v>
          </cell>
          <cell r="AB238">
            <v>0</v>
          </cell>
          <cell r="AD238">
            <v>0</v>
          </cell>
          <cell r="AE238">
            <v>0</v>
          </cell>
          <cell r="AF238">
            <v>22194.506399999998</v>
          </cell>
          <cell r="AG238">
            <v>190756.66607142857</v>
          </cell>
          <cell r="AH238">
            <v>0</v>
          </cell>
          <cell r="AI238">
            <v>212951.17247142858</v>
          </cell>
          <cell r="AJ238">
            <v>212951.17247142858</v>
          </cell>
          <cell r="AK238">
            <v>232116.77799385716</v>
          </cell>
          <cell r="AL238">
            <v>238505.31316800002</v>
          </cell>
          <cell r="AM238">
            <v>241699.58075507145</v>
          </cell>
          <cell r="AN238">
            <v>247449.26241179998</v>
          </cell>
        </row>
        <row r="239">
          <cell r="Q239">
            <v>0</v>
          </cell>
          <cell r="V239">
            <v>0</v>
          </cell>
          <cell r="W239">
            <v>0</v>
          </cell>
          <cell r="Y239">
            <v>0</v>
          </cell>
          <cell r="Z239">
            <v>0</v>
          </cell>
          <cell r="AA239">
            <v>0</v>
          </cell>
          <cell r="AB239">
            <v>0</v>
          </cell>
          <cell r="AD239">
            <v>0</v>
          </cell>
          <cell r="AE239">
            <v>0</v>
          </cell>
          <cell r="AF239">
            <v>22194.506399999998</v>
          </cell>
          <cell r="AG239">
            <v>190756.66607142857</v>
          </cell>
          <cell r="AH239">
            <v>0</v>
          </cell>
          <cell r="AI239">
            <v>212951.17247142858</v>
          </cell>
          <cell r="AK239">
            <v>232116.77799385716</v>
          </cell>
          <cell r="AL239">
            <v>238505.31316800002</v>
          </cell>
          <cell r="AM239">
            <v>241699.58075507145</v>
          </cell>
          <cell r="AN239">
            <v>247449.26241179998</v>
          </cell>
        </row>
        <row r="240">
          <cell r="Q240">
            <v>0</v>
          </cell>
          <cell r="V240">
            <v>0</v>
          </cell>
          <cell r="W240">
            <v>0</v>
          </cell>
          <cell r="Y240">
            <v>0</v>
          </cell>
          <cell r="Z240">
            <v>0</v>
          </cell>
          <cell r="AA240">
            <v>0</v>
          </cell>
          <cell r="AB240">
            <v>0</v>
          </cell>
          <cell r="AD240">
            <v>0</v>
          </cell>
          <cell r="AE240">
            <v>0</v>
          </cell>
          <cell r="AF240">
            <v>22194.506399999998</v>
          </cell>
          <cell r="AG240">
            <v>190756.66607142857</v>
          </cell>
          <cell r="AH240">
            <v>0</v>
          </cell>
          <cell r="AI240">
            <v>212951.17247142858</v>
          </cell>
          <cell r="AK240">
            <v>232116.77799385716</v>
          </cell>
          <cell r="AL240">
            <v>238505.31316800002</v>
          </cell>
          <cell r="AM240">
            <v>241699.58075507145</v>
          </cell>
          <cell r="AN240">
            <v>247449.26241179998</v>
          </cell>
        </row>
        <row r="241">
          <cell r="Q241">
            <v>0</v>
          </cell>
          <cell r="V241">
            <v>0</v>
          </cell>
          <cell r="W241">
            <v>0</v>
          </cell>
          <cell r="Y241">
            <v>0</v>
          </cell>
          <cell r="Z241">
            <v>0</v>
          </cell>
          <cell r="AA241">
            <v>0</v>
          </cell>
          <cell r="AB241">
            <v>0</v>
          </cell>
          <cell r="AD241">
            <v>0</v>
          </cell>
          <cell r="AE241">
            <v>0</v>
          </cell>
          <cell r="AF241">
            <v>22194.506399999998</v>
          </cell>
          <cell r="AG241">
            <v>190756.66607142857</v>
          </cell>
          <cell r="AH241">
            <v>0</v>
          </cell>
          <cell r="AI241">
            <v>212951.17247142858</v>
          </cell>
          <cell r="AK241">
            <v>232116.77799385716</v>
          </cell>
          <cell r="AL241">
            <v>238505.31316800002</v>
          </cell>
          <cell r="AM241">
            <v>241699.58075507145</v>
          </cell>
          <cell r="AN241">
            <v>247449.26241179998</v>
          </cell>
          <cell r="AO241">
            <v>270880.27991883131</v>
          </cell>
          <cell r="AP241">
            <v>278335.70046705601</v>
          </cell>
        </row>
        <row r="242">
          <cell r="AB242">
            <v>5.071612008262559E-2</v>
          </cell>
          <cell r="AC242">
            <v>0</v>
          </cell>
          <cell r="AD242">
            <v>0.46508749706656166</v>
          </cell>
          <cell r="AF242">
            <v>2.0926525230136363E-2</v>
          </cell>
          <cell r="AG242">
            <v>0.17985866022055111</v>
          </cell>
          <cell r="AH242">
            <v>0</v>
          </cell>
        </row>
        <row r="243">
          <cell r="O243" t="str">
            <v>Beton</v>
          </cell>
          <cell r="Q243" t="str">
            <v>Besi</v>
          </cell>
        </row>
        <row r="244">
          <cell r="I244">
            <v>86494.902621974979</v>
          </cell>
          <cell r="S244" t="str">
            <v>Pile Cap</v>
          </cell>
        </row>
        <row r="245">
          <cell r="S245" t="str">
            <v>Tie Beam</v>
          </cell>
        </row>
        <row r="246">
          <cell r="S246" t="str">
            <v>Balok</v>
          </cell>
        </row>
        <row r="247">
          <cell r="S247" t="str">
            <v>Kolom</v>
          </cell>
        </row>
        <row r="248">
          <cell r="S248" t="str">
            <v>Pelat</v>
          </cell>
        </row>
        <row r="249">
          <cell r="M249">
            <v>0</v>
          </cell>
          <cell r="P249">
            <v>0</v>
          </cell>
          <cell r="S249" t="str">
            <v>Tangga</v>
          </cell>
        </row>
        <row r="250">
          <cell r="M250">
            <v>0</v>
          </cell>
          <cell r="P250">
            <v>0</v>
          </cell>
        </row>
      </sheetData>
      <sheetData sheetId="16" refreshError="1"/>
      <sheetData sheetId="17">
        <row r="2">
          <cell r="C2" t="str">
            <v>Al 3mm (m )</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TKDN"/>
      <sheetName val="Target"/>
      <sheetName val="Rekap"/>
      <sheetName val="BOQ"/>
      <sheetName val="MPU"/>
      <sheetName val="subkon"/>
      <sheetName val="MOB"/>
      <sheetName val="ALAT"/>
      <sheetName val="man lau lintas"/>
      <sheetName val="AnalisaAlat"/>
      <sheetName val="MAN LALU LINTAS"/>
      <sheetName val="Aggregat"/>
      <sheetName val="Quarry"/>
      <sheetName val="ANALISA"/>
      <sheetName val="METHODE"/>
      <sheetName val="skedul iNDUK"/>
      <sheetName val="skedul mOBILISASI"/>
      <sheetName val="skedul PEMEL RUTIN"/>
      <sheetName val="skedul PEMEL RUTIN KONDISI"/>
      <sheetName val="skedul PEMEL RUTIN JEMBATAN"/>
      <sheetName val="skedul Pelebaran Jalan"/>
      <sheetName val="peralatan"/>
      <sheetName val="personil"/>
      <sheetName val="DaftarHarga"/>
      <sheetName val="Divisi 2"/>
      <sheetName val="Analisa DIVISI 2"/>
      <sheetName val="Divisi 3"/>
      <sheetName val="Analisa DIVISI 3"/>
      <sheetName val="Divisi 4"/>
      <sheetName val="Analisa DIVISI 4"/>
      <sheetName val="Divisi 6"/>
      <sheetName val="Analisa DIVISI 6"/>
      <sheetName val="Divisi 7"/>
      <sheetName val="Analisa DIVISI 7"/>
      <sheetName val="Divisi 8"/>
      <sheetName val="Analisa DIVISI 8"/>
      <sheetName val="Divisi Skh.1.10"/>
      <sheetName val="Analisa Skh. 1.10"/>
      <sheetName val="Peralatan Minimal"/>
      <sheetName val="Personil Inti"/>
    </sheetNames>
    <sheetDataSet>
      <sheetData sheetId="0">
        <row r="4">
          <cell r="D4" t="str">
            <v>Nama Paket</v>
          </cell>
        </row>
      </sheetData>
      <sheetData sheetId="1"/>
      <sheetData sheetId="2"/>
      <sheetData sheetId="3">
        <row r="5">
          <cell r="C5" t="str">
            <v>Nama Paket</v>
          </cell>
        </row>
      </sheetData>
      <sheetData sheetId="4">
        <row r="4">
          <cell r="B4" t="str">
            <v>Nama Paket</v>
          </cell>
        </row>
      </sheetData>
      <sheetData sheetId="5"/>
      <sheetData sheetId="6"/>
      <sheetData sheetId="7">
        <row r="119">
          <cell r="L119">
            <v>221980000</v>
          </cell>
        </row>
      </sheetData>
      <sheetData sheetId="8"/>
      <sheetData sheetId="9">
        <row r="57">
          <cell r="L57">
            <v>152787500</v>
          </cell>
        </row>
      </sheetData>
      <sheetData sheetId="10"/>
      <sheetData sheetId="11"/>
      <sheetData sheetId="12"/>
      <sheetData sheetId="13"/>
      <sheetData sheetId="14"/>
      <sheetData sheetId="15">
        <row r="114">
          <cell r="F114">
            <v>1</v>
          </cell>
        </row>
      </sheetData>
      <sheetData sheetId="16">
        <row r="138">
          <cell r="I138">
            <v>0</v>
          </cell>
        </row>
      </sheetData>
      <sheetData sheetId="17">
        <row r="15">
          <cell r="J15">
            <v>0.24087389095829209</v>
          </cell>
        </row>
      </sheetData>
      <sheetData sheetId="18">
        <row r="12">
          <cell r="H12" t="str">
            <v>(Rupiah)</v>
          </cell>
        </row>
      </sheetData>
      <sheetData sheetId="19">
        <row r="12">
          <cell r="H12" t="str">
            <v>(Rupiah)</v>
          </cell>
        </row>
      </sheetData>
      <sheetData sheetId="20">
        <row r="12">
          <cell r="H12" t="str">
            <v>(Rupiah)</v>
          </cell>
        </row>
      </sheetData>
      <sheetData sheetId="21">
        <row r="15">
          <cell r="J15">
            <v>0.24087389095829209</v>
          </cell>
        </row>
      </sheetData>
      <sheetData sheetId="22"/>
      <sheetData sheetId="23"/>
      <sheetData sheetId="24">
        <row r="12">
          <cell r="G12">
            <v>8500</v>
          </cell>
        </row>
      </sheetData>
      <sheetData sheetId="25">
        <row r="303">
          <cell r="N303">
            <v>10242</v>
          </cell>
        </row>
      </sheetData>
      <sheetData sheetId="26">
        <row r="96">
          <cell r="J96">
            <v>605878</v>
          </cell>
        </row>
      </sheetData>
      <sheetData sheetId="27">
        <row r="100">
          <cell r="I100">
            <v>68</v>
          </cell>
        </row>
      </sheetData>
      <sheetData sheetId="28">
        <row r="44">
          <cell r="J44">
            <v>22775</v>
          </cell>
        </row>
      </sheetData>
      <sheetData sheetId="29">
        <row r="133">
          <cell r="I133">
            <v>35.015625</v>
          </cell>
        </row>
      </sheetData>
      <sheetData sheetId="30">
        <row r="47">
          <cell r="J47">
            <v>327341</v>
          </cell>
        </row>
      </sheetData>
      <sheetData sheetId="31">
        <row r="60">
          <cell r="I60">
            <v>324</v>
          </cell>
        </row>
      </sheetData>
      <sheetData sheetId="32">
        <row r="46">
          <cell r="J46">
            <v>14145</v>
          </cell>
        </row>
      </sheetData>
      <sheetData sheetId="33">
        <row r="88">
          <cell r="I88">
            <v>11</v>
          </cell>
        </row>
      </sheetData>
      <sheetData sheetId="34">
        <row r="47">
          <cell r="J47">
            <v>566279</v>
          </cell>
        </row>
      </sheetData>
      <sheetData sheetId="35">
        <row r="69">
          <cell r="I69">
            <v>8.6399999999999988</v>
          </cell>
        </row>
      </sheetData>
      <sheetData sheetId="36">
        <row r="47">
          <cell r="J47">
            <v>634177</v>
          </cell>
        </row>
      </sheetData>
      <sheetData sheetId="37"/>
      <sheetData sheetId="38">
        <row r="47">
          <cell r="J47">
            <v>566279</v>
          </cell>
        </row>
      </sheetData>
      <sheetData sheetId="39"/>
      <sheetData sheetId="40"/>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1"/>
      <sheetName val="S2"/>
      <sheetName val="S2A"/>
      <sheetName val="S3B1"/>
      <sheetName val="S3B11"/>
      <sheetName val="S3B11L"/>
      <sheetName val="S3B1A"/>
      <sheetName val="S3C"/>
      <sheetName val="S3A"/>
      <sheetName val="S3B3"/>
      <sheetName val="S3B2"/>
      <sheetName val="S3B4"/>
      <sheetName val="S3B"/>
      <sheetName val="S3"/>
      <sheetName val="Rincian"/>
      <sheetName val="DASKPenerimaan"/>
      <sheetName val="DASKPengeluaranR"/>
      <sheetName val="DASKPenerimaanR"/>
      <sheetName val="DASKPengeluaran"/>
      <sheetName val="DASKPendapatan"/>
      <sheetName val="DASKBeras"/>
      <sheetName val="DASKGolongan"/>
      <sheetName val="DASKGaji"/>
      <sheetName val="DASKBAUB"/>
      <sheetName val="DASKBAU"/>
      <sheetName val="DASKPendapatanR"/>
      <sheetName val="S3R"/>
      <sheetName val="S3AR"/>
      <sheetName val="S3BR"/>
      <sheetName val="S3B11R"/>
      <sheetName val="S3B1R"/>
      <sheetName val="S3B11LR"/>
      <sheetName val="S3B2R"/>
      <sheetName val="S3B3R"/>
      <sheetName val="S3B4R"/>
      <sheetName val="S3CR"/>
      <sheetName val="RincianR"/>
      <sheetName val="DASKBTT"/>
      <sheetName val="DASKBHBKR"/>
      <sheetName val="DASKBTTR"/>
      <sheetName val="DASKBOBM"/>
      <sheetName val="DASKBHBK"/>
      <sheetName val="DASKPENJABARANR"/>
      <sheetName val="DASKBOBMR"/>
      <sheetName val="DASKPENJABARAN"/>
      <sheetName val="AKB"/>
      <sheetName val="XLR_NoRangeSheet"/>
      <sheetName val="Kuantitas &amp; Harga"/>
      <sheetName val="[RAPBD1_x0000__x0000_3B1"/>
      <sheetName val="resume"/>
      <sheetName val="anaUTama"/>
      <sheetName val="B-01(contoh)"/>
      <sheetName val="B-02(Contoh)"/>
      <sheetName val="B-03(contoh)"/>
      <sheetName val="B-11(Contoh)"/>
      <sheetName val="B-12(Contoh)"/>
      <sheetName val="B-14(Contoh)"/>
      <sheetName val="honorarium"/>
      <sheetName val="H S D"/>
      <sheetName val="KOEFISIEN TEKNIS"/>
      <sheetName val="Lembar 1"/>
      <sheetName val="Harga Satuan"/>
      <sheetName val="BAHAN~"/>
      <sheetName val="Bahan"/>
      <sheetName val="bahan+upah"/>
      <sheetName val="DASAR BAHAN"/>
      <sheetName val="Price List"/>
      <sheetName val="HARGA MATERIAL"/>
      <sheetName val="SUB"/>
      <sheetName val="TS"/>
      <sheetName val="Daf-harg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row r="6">
          <cell r="B6">
            <v>2004</v>
          </cell>
          <cell r="C6" t="str">
            <v>01</v>
          </cell>
          <cell r="D6" t="str">
            <v>Bidang Administrasi Umum Pemerintahan</v>
          </cell>
          <cell r="G6" t="str">
            <v>0343</v>
          </cell>
          <cell r="H6" t="str">
            <v>Biro Keuangan</v>
          </cell>
        </row>
      </sheetData>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1,9&amp;36,3"/>
      <sheetName val="Sch vs Vol"/>
      <sheetName val="Sch vs Vol (2)"/>
      <sheetName val="Sch vs Vol (3)"/>
      <sheetName val="Sch vs Vol (4)"/>
      <sheetName val="SDM"/>
      <sheetName val="Equip"/>
      <sheetName val="Mat"/>
      <sheetName val="Sub"/>
      <sheetName val="CashFlow"/>
      <sheetName val="41_9_36_3"/>
      <sheetName val="ANALISA HARGA SATUAN"/>
      <sheetName val="UPAH"/>
      <sheetName val="harsat"/>
      <sheetName val="4"/>
      <sheetName val="DIV.2"/>
      <sheetName val="UPAH PEKERJA"/>
      <sheetName val="bahan"/>
      <sheetName val="DATA1"/>
      <sheetName val="DAFTAR HARGA BAHAN "/>
      <sheetName val="Material"/>
      <sheetName val="BQ"/>
      <sheetName val="SUM"/>
      <sheetName val="Analisa"/>
      <sheetName val="Cover"/>
      <sheetName val="URAIAN EE Jembatan Penghubung"/>
      <sheetName val="Notes"/>
      <sheetName val="An_Basic"/>
      <sheetName val="rkpm 2003"/>
      <sheetName val="Ans Kom Precast"/>
      <sheetName val="UPAH &amp; BHN"/>
      <sheetName val="Meth "/>
      <sheetName val="hargaSatuan"/>
      <sheetName val="ANALISA PEK.UMUM"/>
      <sheetName val="dasar"/>
      <sheetName val="HB"/>
      <sheetName val="AC"/>
      <sheetName val="Summary"/>
      <sheetName val="ANALISA GRS TENGAH"/>
      <sheetName val="DRUP (ASLI)"/>
      <sheetName val="ANLS_ BETON R. KELAS"/>
      <sheetName val="AHSbj"/>
      <sheetName val="RAB ME"/>
      <sheetName val="DIVI6"/>
      <sheetName val="XLR_NoRangeSheet"/>
      <sheetName val="견적기준"/>
      <sheetName val="price"/>
      <sheetName val="Volume 1"/>
      <sheetName val="ANPRELIM"/>
      <sheetName val="B - Norelec"/>
      <sheetName val="Sch_vs_Vol1"/>
      <sheetName val="Sch_vs_Vol_(2)1"/>
      <sheetName val="Sch_vs_Vol_(3)1"/>
      <sheetName val="Sch_vs_Vol_(4)1"/>
      <sheetName val="Volume_11"/>
      <sheetName val="B_-_Norelec1"/>
      <sheetName val="DIV_21"/>
      <sheetName val="UPAH_PEKERJA1"/>
      <sheetName val="RAB_ME1"/>
      <sheetName val="Sch_vs_Vol"/>
      <sheetName val="Sch_vs_Vol_(2)"/>
      <sheetName val="Sch_vs_Vol_(3)"/>
      <sheetName val="Sch_vs_Vol_(4)"/>
      <sheetName val="Volume_1"/>
      <sheetName val="B_-_Norelec"/>
      <sheetName val="DIV_2"/>
      <sheetName val="UPAH_PEKERJA"/>
      <sheetName val="RAB_ME"/>
      <sheetName val="HRG BHN"/>
      <sheetName val="Sch_vs_Vol2"/>
      <sheetName val="Sch_vs_Vol_(2)2"/>
      <sheetName val="Sch_vs_Vol_(3)2"/>
      <sheetName val="Sch_vs_Vol_(4)2"/>
      <sheetName val="Volume_12"/>
      <sheetName val="B_-_Norelec2"/>
      <sheetName val="DIV_22"/>
      <sheetName val="UPAH_PEKERJA2"/>
      <sheetName val="RAB_ME2"/>
      <sheetName val="Sch_vs_Vol3"/>
      <sheetName val="Sch_vs_Vol_(2)3"/>
      <sheetName val="Sch_vs_Vol_(3)3"/>
      <sheetName val="Sch_vs_Vol_(4)3"/>
      <sheetName val="Volume_13"/>
      <sheetName val="B_-_Norelec3"/>
      <sheetName val="DIV_23"/>
      <sheetName val="UPAH_PEKERJA3"/>
      <sheetName val="RAB_ME3"/>
      <sheetName val="SPARP"/>
      <sheetName val="Fin Sum"/>
      <sheetName val="Bill 8.1"/>
      <sheetName val="lap-bulan"/>
      <sheetName val="labor1"/>
      <sheetName val="DAF-7"/>
      <sheetName val="PRY02"/>
      <sheetName val="Harsat Upah"/>
      <sheetName val="L_10"/>
      <sheetName val="L_11"/>
      <sheetName val="L_13"/>
      <sheetName val="plant"/>
      <sheetName val="LAMP-7"/>
      <sheetName val="LAMP-5"/>
      <sheetName val="L_9"/>
      <sheetName val="SMP"/>
      <sheetName val="H-BHN"/>
      <sheetName val="STRUKTUR"/>
      <sheetName val="ARSITEKTUR"/>
      <sheetName val="ana_str"/>
      <sheetName val="A"/>
      <sheetName val="SAT-BHN"/>
      <sheetName val="HrgSat"/>
      <sheetName val="Input"/>
      <sheetName val="rekap.c"/>
      <sheetName val="Bahan1"/>
      <sheetName val="Upah1"/>
      <sheetName val="DATA"/>
      <sheetName val="PJ"/>
      <sheetName val="ITB COST"/>
      <sheetName val="Prog.9(DGI)"/>
      <sheetName val="FINISHING"/>
      <sheetName val="Supl.X"/>
      <sheetName val="Analis Tambahan"/>
      <sheetName val="Analys"/>
      <sheetName val="pelita lapen"/>
      <sheetName val="Umum"/>
      <sheetName val="D &amp; W sizes"/>
      <sheetName val="1"/>
      <sheetName val="NP"/>
      <sheetName val="Unit Rate"/>
      <sheetName val="DU-5"/>
      <sheetName val="Mall"/>
      <sheetName val="Project_P"/>
      <sheetName val="REKAP  (1)"/>
      <sheetName val="공조기설계(게파트)"/>
      <sheetName val="Analisa "/>
      <sheetName val="STR(CANCEL)"/>
      <sheetName val="HHARGA SAT. MATERIAL"/>
      <sheetName val="Analisis Lumsum"/>
      <sheetName val="ISBL-CIV"/>
      <sheetName val="FORM"/>
      <sheetName val="bhn+Alat"/>
      <sheetName val="RE-BAR"/>
      <sheetName val="FORM 3A"/>
      <sheetName val="Rekap Anl"/>
      <sheetName val=" UPAH BAHAN"/>
      <sheetName val="Ahs"/>
      <sheetName val="Sheet2"/>
      <sheetName val="TSS"/>
      <sheetName val="PERSIAPAN"/>
      <sheetName val="Hrg Sat"/>
      <sheetName val="HARGA MATERIAL"/>
      <sheetName val="BQ-E20-02(Rp)"/>
      <sheetName val="BAG-III"/>
      <sheetName val="Schedule 11a"/>
      <sheetName val="Temporary"/>
      <sheetName val="Septick tank"/>
      <sheetName val="Subkon"/>
      <sheetName val="OUT"/>
      <sheetName val="Harga"/>
      <sheetName val="Sheet1"/>
      <sheetName val="BSC LOG"/>
      <sheetName val="RKP MINGGU"/>
      <sheetName val="hrg dsr"/>
      <sheetName val="DAF-1"/>
      <sheetName val="STR"/>
      <sheetName val="Chiet tinh"/>
      <sheetName val="XL4Poppy"/>
      <sheetName val="PhaDoMong"/>
      <sheetName val="REKAP"/>
      <sheetName val="A-BANTU"/>
      <sheetName val="Hargamat"/>
      <sheetName val="DI-ESTI"/>
      <sheetName val="QMS2007"/>
      <sheetName val="Parameters"/>
      <sheetName val="Hrg.Sat"/>
      <sheetName val="Resume-Analisa"/>
      <sheetName val="Sts"/>
      <sheetName val="DTCT"/>
      <sheetName val="Pile径1m･27"/>
      <sheetName val="BQ ARS"/>
      <sheetName val="GRAND REKAP"/>
      <sheetName val="DG "/>
      <sheetName val="Tra_bang"/>
      <sheetName val="Sheet3"/>
      <sheetName val="Tai khoan"/>
      <sheetName val="PEDESB"/>
      <sheetName val="Other"/>
      <sheetName val="Unit"/>
      <sheetName val="Schedule Intern Rev 01"/>
      <sheetName val="VL,NC,MTC"/>
      <sheetName val="Tabel-tabel"/>
      <sheetName val="dghn"/>
      <sheetName val="Isolasi Luar Dalam"/>
      <sheetName val="Isolasi Luar"/>
      <sheetName val="Upah asli"/>
      <sheetName val="Upah&amp;Bahan"/>
      <sheetName val="H.Satuan"/>
      <sheetName val="Informasi"/>
      <sheetName val="terbilang"/>
      <sheetName val="BOQ and Estimation Sheet 100330"/>
      <sheetName val="HARGA SAT."/>
      <sheetName val="Upah_Bahan"/>
      <sheetName val="Ana-ALAT"/>
      <sheetName val="bahan+upah"/>
      <sheetName val="lt.I"/>
      <sheetName val="rINCIAN_mE (2)"/>
      <sheetName val="Metodee"/>
      <sheetName val="Form-CV-PU_BDG"/>
      <sheetName val="PERSON"/>
      <sheetName val="pQ2"/>
      <sheetName val="RPP01 6"/>
      <sheetName val="Master Edit"/>
      <sheetName val="Data Proyek CAB V"/>
      <sheetName val="Data Proyek CAB VI"/>
      <sheetName val="Data Proyek CAB VII"/>
      <sheetName val="Data Proyek CAB VIII"/>
      <sheetName val="WP"/>
      <sheetName val="BTL-Bau"/>
      <sheetName val="Rekap Direct Cost"/>
      <sheetName val="rek det 1-3"/>
      <sheetName val="B _ Norelec"/>
      <sheetName val="@UpahBahan"/>
      <sheetName val="A-StdUpah"/>
      <sheetName val="daf-3(OK)"/>
      <sheetName val="daf-7(OK)"/>
      <sheetName val="AHS_Kusen"/>
      <sheetName val="Bill of Qty MEP"/>
      <sheetName val="Pipe"/>
      <sheetName val="Analisa HSP"/>
      <sheetName val="Bill rekap"/>
      <sheetName val="Bahan B"/>
      <sheetName val="RAP"/>
      <sheetName val="Telusur"/>
      <sheetName val="Upah B"/>
      <sheetName val="Analisa RAB"/>
      <sheetName val="4-Basic Price"/>
      <sheetName val="STAF"/>
      <sheetName val="FAKTUR"/>
      <sheetName val="daf_7"/>
      <sheetName val="RJBR"/>
    </sheetNames>
    <sheetDataSet>
      <sheetData sheetId="0">
        <row r="1">
          <cell r="A1">
            <v>0</v>
          </cell>
        </row>
        <row r="11">
          <cell r="B11" t="str">
            <v>CHORD</v>
          </cell>
          <cell r="E11">
            <v>30</v>
          </cell>
          <cell r="F11">
            <v>12778</v>
          </cell>
          <cell r="G11">
            <v>178892</v>
          </cell>
          <cell r="H11">
            <v>420</v>
          </cell>
          <cell r="I11">
            <v>34</v>
          </cell>
          <cell r="J11">
            <v>15646</v>
          </cell>
          <cell r="K11">
            <v>31292</v>
          </cell>
          <cell r="L11">
            <v>68</v>
          </cell>
          <cell r="M11">
            <v>38</v>
          </cell>
          <cell r="N11">
            <v>20288</v>
          </cell>
          <cell r="O11">
            <v>162304</v>
          </cell>
          <cell r="P11">
            <v>304</v>
          </cell>
          <cell r="Q11">
            <v>1.05</v>
          </cell>
          <cell r="R11">
            <v>13416.900000000001</v>
          </cell>
          <cell r="S11">
            <v>26833.800000000003</v>
          </cell>
          <cell r="T11">
            <v>28063.476064109378</v>
          </cell>
          <cell r="U11">
            <v>0.91</v>
          </cell>
          <cell r="V11">
            <v>11627.98</v>
          </cell>
          <cell r="W11">
            <v>23255.96</v>
          </cell>
          <cell r="X11">
            <v>24321.679255561459</v>
          </cell>
        </row>
        <row r="12">
          <cell r="B12" t="str">
            <v>CM1A</v>
          </cell>
          <cell r="C12" t="str">
            <v>H294x302x12x12 - 4740</v>
          </cell>
          <cell r="D12">
            <v>401</v>
          </cell>
          <cell r="E12">
            <v>8</v>
          </cell>
          <cell r="F12">
            <v>3208</v>
          </cell>
          <cell r="G12">
            <v>44912</v>
          </cell>
          <cell r="H12">
            <v>112</v>
          </cell>
          <cell r="I12">
            <v>8</v>
          </cell>
          <cell r="J12">
            <v>3208</v>
          </cell>
          <cell r="K12">
            <v>6416</v>
          </cell>
          <cell r="L12">
            <v>16</v>
          </cell>
          <cell r="M12">
            <v>8</v>
          </cell>
          <cell r="N12">
            <v>3208</v>
          </cell>
          <cell r="O12">
            <v>25664</v>
          </cell>
          <cell r="P12">
            <v>64</v>
          </cell>
          <cell r="Y12">
            <v>192</v>
          </cell>
          <cell r="Z12" t="str">
            <v>H294x302x12x12 - 9500</v>
          </cell>
          <cell r="AA12">
            <v>802.8</v>
          </cell>
          <cell r="AB12">
            <v>84.505263157894731</v>
          </cell>
          <cell r="AC12">
            <v>96</v>
          </cell>
          <cell r="AD12">
            <v>0</v>
          </cell>
          <cell r="AE12">
            <v>0</v>
          </cell>
          <cell r="AF12">
            <v>1.9999999999999574E-2</v>
          </cell>
          <cell r="AG12">
            <v>0</v>
          </cell>
          <cell r="AH12">
            <v>1.6901052631578586</v>
          </cell>
          <cell r="AI12">
            <v>0</v>
          </cell>
          <cell r="AJ12">
            <v>0</v>
          </cell>
          <cell r="AK12">
            <v>0</v>
          </cell>
        </row>
        <row r="13">
          <cell r="B13" t="str">
            <v>CM1</v>
          </cell>
          <cell r="C13" t="str">
            <v>H294x302x12x12 - 4930</v>
          </cell>
          <cell r="D13">
            <v>417</v>
          </cell>
          <cell r="E13">
            <v>16</v>
          </cell>
          <cell r="F13">
            <v>6672</v>
          </cell>
          <cell r="G13">
            <v>93408</v>
          </cell>
          <cell r="H13">
            <v>224</v>
          </cell>
          <cell r="I13">
            <v>12</v>
          </cell>
          <cell r="J13">
            <v>5004</v>
          </cell>
          <cell r="K13">
            <v>10008</v>
          </cell>
          <cell r="L13">
            <v>24</v>
          </cell>
          <cell r="M13">
            <v>8</v>
          </cell>
          <cell r="N13">
            <v>3336</v>
          </cell>
          <cell r="O13">
            <v>26688</v>
          </cell>
          <cell r="P13">
            <v>64</v>
          </cell>
          <cell r="Y13">
            <v>312</v>
          </cell>
          <cell r="Z13" t="str">
            <v>H294x302x12x12 - 10000</v>
          </cell>
          <cell r="AA13">
            <v>845</v>
          </cell>
          <cell r="AB13">
            <v>84.5</v>
          </cell>
          <cell r="AC13">
            <v>204</v>
          </cell>
          <cell r="AD13">
            <v>48</v>
          </cell>
          <cell r="AE13">
            <v>0</v>
          </cell>
          <cell r="AF13">
            <v>0.14000000000000057</v>
          </cell>
          <cell r="AG13">
            <v>0</v>
          </cell>
          <cell r="AH13">
            <v>405611.83</v>
          </cell>
          <cell r="AI13">
            <v>0</v>
          </cell>
          <cell r="AJ13">
            <v>0</v>
          </cell>
          <cell r="AK13">
            <v>0</v>
          </cell>
        </row>
        <row r="14">
          <cell r="B14" t="str">
            <v>CM2</v>
          </cell>
          <cell r="C14" t="str">
            <v>H300x300x10x15 - 4930</v>
          </cell>
          <cell r="D14">
            <v>463</v>
          </cell>
          <cell r="E14">
            <v>4</v>
          </cell>
          <cell r="F14">
            <v>1852</v>
          </cell>
          <cell r="G14">
            <v>25928</v>
          </cell>
          <cell r="H14">
            <v>56</v>
          </cell>
          <cell r="I14">
            <v>6</v>
          </cell>
          <cell r="J14">
            <v>2778</v>
          </cell>
          <cell r="K14">
            <v>5556</v>
          </cell>
          <cell r="L14">
            <v>12</v>
          </cell>
          <cell r="M14">
            <v>4</v>
          </cell>
          <cell r="N14">
            <v>1852</v>
          </cell>
          <cell r="O14">
            <v>14816</v>
          </cell>
          <cell r="P14">
            <v>32</v>
          </cell>
          <cell r="Y14">
            <v>100</v>
          </cell>
          <cell r="Z14" t="str">
            <v>H300x300x10x15 - 10000</v>
          </cell>
          <cell r="AA14">
            <v>940</v>
          </cell>
          <cell r="AB14">
            <v>94</v>
          </cell>
          <cell r="AC14">
            <v>60</v>
          </cell>
          <cell r="AD14">
            <v>10</v>
          </cell>
          <cell r="AE14">
            <v>0</v>
          </cell>
          <cell r="AF14">
            <v>0.14000000000000057</v>
          </cell>
          <cell r="AG14">
            <v>0</v>
          </cell>
          <cell r="AH14">
            <v>94013.16</v>
          </cell>
          <cell r="AI14">
            <v>0</v>
          </cell>
          <cell r="AJ14">
            <v>0</v>
          </cell>
          <cell r="AK14">
            <v>0</v>
          </cell>
        </row>
        <row r="15">
          <cell r="B15" t="str">
            <v>CM3</v>
          </cell>
          <cell r="C15" t="str">
            <v>H304x301x11x17 - 4930</v>
          </cell>
          <cell r="D15">
            <v>523</v>
          </cell>
          <cell r="E15">
            <v>2</v>
          </cell>
          <cell r="F15">
            <v>1046</v>
          </cell>
          <cell r="G15">
            <v>14644</v>
          </cell>
          <cell r="H15">
            <v>28</v>
          </cell>
          <cell r="I15">
            <v>4</v>
          </cell>
          <cell r="J15">
            <v>2092</v>
          </cell>
          <cell r="K15">
            <v>4184</v>
          </cell>
          <cell r="L15">
            <v>8</v>
          </cell>
          <cell r="M15">
            <v>0</v>
          </cell>
          <cell r="N15">
            <v>0</v>
          </cell>
          <cell r="O15">
            <v>0</v>
          </cell>
          <cell r="P15">
            <v>0</v>
          </cell>
          <cell r="Y15">
            <v>36</v>
          </cell>
          <cell r="Z15" t="str">
            <v>H304x301x11x17 - 10000</v>
          </cell>
          <cell r="AA15">
            <v>1060</v>
          </cell>
          <cell r="AB15">
            <v>106</v>
          </cell>
          <cell r="AC15">
            <v>24</v>
          </cell>
          <cell r="AD15">
            <v>6</v>
          </cell>
          <cell r="AE15">
            <v>0</v>
          </cell>
          <cell r="AF15">
            <v>0.14000000000000057</v>
          </cell>
          <cell r="AG15">
            <v>0</v>
          </cell>
          <cell r="AH15">
            <v>63614.84</v>
          </cell>
          <cell r="AI15">
            <v>0</v>
          </cell>
          <cell r="AJ15">
            <v>0</v>
          </cell>
          <cell r="AK15">
            <v>0</v>
          </cell>
        </row>
        <row r="16">
          <cell r="B16" t="str">
            <v>CM4</v>
          </cell>
          <cell r="C16" t="str">
            <v>H310x305x15x20 - 4930</v>
          </cell>
          <cell r="D16">
            <v>641</v>
          </cell>
          <cell r="E16">
            <v>0</v>
          </cell>
          <cell r="F16">
            <v>0</v>
          </cell>
          <cell r="G16">
            <v>0</v>
          </cell>
          <cell r="H16">
            <v>0</v>
          </cell>
          <cell r="I16">
            <v>4</v>
          </cell>
          <cell r="J16">
            <v>2564</v>
          </cell>
          <cell r="K16">
            <v>5128</v>
          </cell>
          <cell r="L16">
            <v>8</v>
          </cell>
          <cell r="M16">
            <v>12</v>
          </cell>
          <cell r="N16">
            <v>7692</v>
          </cell>
          <cell r="O16">
            <v>61536</v>
          </cell>
          <cell r="P16">
            <v>96</v>
          </cell>
          <cell r="Y16">
            <v>104</v>
          </cell>
          <cell r="Z16" t="str">
            <v>H310x305x15x20 - 10000</v>
          </cell>
          <cell r="AA16">
            <v>1300</v>
          </cell>
          <cell r="AB16">
            <v>130</v>
          </cell>
          <cell r="AC16">
            <v>56</v>
          </cell>
          <cell r="AD16">
            <v>6</v>
          </cell>
          <cell r="AF16">
            <v>0.14000000000000057</v>
          </cell>
          <cell r="AG16">
            <v>0</v>
          </cell>
          <cell r="AH16">
            <v>63614.84</v>
          </cell>
          <cell r="AI16">
            <v>0</v>
          </cell>
          <cell r="AJ16">
            <v>0</v>
          </cell>
          <cell r="AK16">
            <v>0</v>
          </cell>
        </row>
        <row r="17">
          <cell r="B17" t="str">
            <v>CM5</v>
          </cell>
          <cell r="C17" t="str">
            <v>H310x310x20x20 - 4930</v>
          </cell>
          <cell r="D17">
            <v>700</v>
          </cell>
          <cell r="E17">
            <v>0</v>
          </cell>
          <cell r="F17">
            <v>0</v>
          </cell>
          <cell r="G17">
            <v>0</v>
          </cell>
          <cell r="H17">
            <v>0</v>
          </cell>
          <cell r="I17">
            <v>0</v>
          </cell>
          <cell r="J17">
            <v>0</v>
          </cell>
          <cell r="K17">
            <v>0</v>
          </cell>
          <cell r="L17">
            <v>0</v>
          </cell>
          <cell r="M17">
            <v>6</v>
          </cell>
          <cell r="N17">
            <v>4200</v>
          </cell>
          <cell r="O17">
            <v>33600</v>
          </cell>
          <cell r="P17">
            <v>48</v>
          </cell>
          <cell r="Y17">
            <v>48</v>
          </cell>
        </row>
        <row r="19">
          <cell r="B19" t="str">
            <v>DIAGONAL</v>
          </cell>
          <cell r="E19">
            <v>24</v>
          </cell>
          <cell r="F19">
            <v>10592</v>
          </cell>
          <cell r="G19">
            <v>148288</v>
          </cell>
          <cell r="H19">
            <v>336</v>
          </cell>
          <cell r="I19">
            <v>28</v>
          </cell>
          <cell r="J19">
            <v>12516</v>
          </cell>
          <cell r="K19">
            <v>25032</v>
          </cell>
          <cell r="L19">
            <v>56</v>
          </cell>
          <cell r="M19">
            <v>32</v>
          </cell>
          <cell r="N19">
            <v>14864</v>
          </cell>
          <cell r="O19">
            <v>118912</v>
          </cell>
          <cell r="P19">
            <v>256</v>
          </cell>
          <cell r="Q19">
            <v>1.05</v>
          </cell>
          <cell r="R19">
            <v>11121.6</v>
          </cell>
          <cell r="S19">
            <v>22243.200000000001</v>
          </cell>
          <cell r="T19">
            <v>23262.508880188332</v>
          </cell>
          <cell r="U19">
            <v>0.91</v>
          </cell>
          <cell r="V19">
            <v>9638.7200000000012</v>
          </cell>
          <cell r="W19">
            <v>19277.440000000002</v>
          </cell>
          <cell r="X19">
            <v>20160.841029496558</v>
          </cell>
        </row>
        <row r="20">
          <cell r="B20" t="str">
            <v>DM1</v>
          </cell>
          <cell r="C20" t="str">
            <v>H294x200x8x12 - 6139</v>
          </cell>
          <cell r="D20">
            <v>349</v>
          </cell>
          <cell r="E20">
            <v>16</v>
          </cell>
          <cell r="F20">
            <v>5584</v>
          </cell>
          <cell r="G20">
            <v>78176</v>
          </cell>
          <cell r="H20">
            <v>224</v>
          </cell>
          <cell r="I20">
            <v>16</v>
          </cell>
          <cell r="J20">
            <v>5584</v>
          </cell>
          <cell r="K20">
            <v>11168</v>
          </cell>
          <cell r="L20">
            <v>32</v>
          </cell>
          <cell r="M20">
            <v>16</v>
          </cell>
          <cell r="N20">
            <v>5584</v>
          </cell>
          <cell r="O20">
            <v>44672</v>
          </cell>
          <cell r="P20">
            <v>128</v>
          </cell>
          <cell r="Y20">
            <v>384</v>
          </cell>
          <cell r="Z20" t="str">
            <v>H294x200x8x12 - 12500</v>
          </cell>
          <cell r="AA20">
            <v>710</v>
          </cell>
          <cell r="AB20">
            <v>56.8</v>
          </cell>
          <cell r="AC20">
            <v>234</v>
          </cell>
        </row>
        <row r="21">
          <cell r="B21" t="str">
            <v>DM1X</v>
          </cell>
          <cell r="C21" t="str">
            <v>H294x200x8x12 - 6139</v>
          </cell>
          <cell r="D21">
            <v>349</v>
          </cell>
          <cell r="E21">
            <v>0</v>
          </cell>
          <cell r="F21">
            <v>0</v>
          </cell>
          <cell r="G21">
            <v>0</v>
          </cell>
          <cell r="H21">
            <v>0</v>
          </cell>
          <cell r="I21">
            <v>4</v>
          </cell>
          <cell r="J21">
            <v>1396</v>
          </cell>
          <cell r="K21">
            <v>2792</v>
          </cell>
          <cell r="L21">
            <v>8</v>
          </cell>
          <cell r="M21">
            <v>0</v>
          </cell>
          <cell r="N21">
            <v>0</v>
          </cell>
          <cell r="O21">
            <v>0</v>
          </cell>
          <cell r="P21">
            <v>0</v>
          </cell>
          <cell r="Y21">
            <v>8</v>
          </cell>
        </row>
        <row r="22">
          <cell r="B22" t="str">
            <v>DM2X</v>
          </cell>
          <cell r="C22" t="str">
            <v>H298x201x9x14 - 6139</v>
          </cell>
          <cell r="D22">
            <v>402</v>
          </cell>
          <cell r="E22">
            <v>4</v>
          </cell>
          <cell r="F22">
            <v>1608</v>
          </cell>
          <cell r="G22">
            <v>22512</v>
          </cell>
          <cell r="H22">
            <v>56</v>
          </cell>
          <cell r="I22">
            <v>0</v>
          </cell>
          <cell r="J22">
            <v>0</v>
          </cell>
          <cell r="K22">
            <v>0</v>
          </cell>
          <cell r="L22">
            <v>0</v>
          </cell>
          <cell r="M22">
            <v>4</v>
          </cell>
          <cell r="N22">
            <v>1608</v>
          </cell>
          <cell r="O22">
            <v>12864</v>
          </cell>
          <cell r="P22">
            <v>32</v>
          </cell>
          <cell r="Y22">
            <v>88</v>
          </cell>
          <cell r="Z22" t="str">
            <v>H298x201x9x14 - 12500</v>
          </cell>
          <cell r="AA22">
            <v>817.5</v>
          </cell>
          <cell r="AB22">
            <v>65.400000000000006</v>
          </cell>
          <cell r="AC22">
            <v>37</v>
          </cell>
        </row>
        <row r="23">
          <cell r="B23" t="str">
            <v>DM4X</v>
          </cell>
          <cell r="C23" t="str">
            <v>H298x299x9x14 - 6139</v>
          </cell>
          <cell r="D23">
            <v>534</v>
          </cell>
          <cell r="E23">
            <v>0</v>
          </cell>
          <cell r="F23">
            <v>0</v>
          </cell>
          <cell r="G23">
            <v>0</v>
          </cell>
          <cell r="H23">
            <v>0</v>
          </cell>
          <cell r="I23">
            <v>4</v>
          </cell>
          <cell r="J23">
            <v>2136</v>
          </cell>
          <cell r="K23">
            <v>4272</v>
          </cell>
          <cell r="L23">
            <v>8</v>
          </cell>
          <cell r="M23">
            <v>8</v>
          </cell>
          <cell r="N23">
            <v>4272</v>
          </cell>
          <cell r="O23">
            <v>34176</v>
          </cell>
          <cell r="P23">
            <v>64</v>
          </cell>
          <cell r="Y23">
            <v>72</v>
          </cell>
        </row>
        <row r="24">
          <cell r="B24" t="str">
            <v>DM5</v>
          </cell>
          <cell r="C24" t="str">
            <v>H310x305x15x20 - 6468</v>
          </cell>
          <cell r="D24">
            <v>850</v>
          </cell>
          <cell r="E24">
            <v>4</v>
          </cell>
          <cell r="F24">
            <v>3400</v>
          </cell>
          <cell r="G24">
            <v>47600</v>
          </cell>
          <cell r="H24">
            <v>56</v>
          </cell>
          <cell r="I24">
            <v>4</v>
          </cell>
          <cell r="J24">
            <v>3400</v>
          </cell>
          <cell r="K24">
            <v>6800</v>
          </cell>
          <cell r="L24">
            <v>8</v>
          </cell>
          <cell r="M24">
            <v>4</v>
          </cell>
          <cell r="N24">
            <v>3400</v>
          </cell>
          <cell r="O24">
            <v>27200</v>
          </cell>
          <cell r="P24">
            <v>32</v>
          </cell>
          <cell r="Y24">
            <v>96</v>
          </cell>
          <cell r="Z24" t="str">
            <v>H310x305x15x20 - 6500</v>
          </cell>
          <cell r="AA24">
            <v>845</v>
          </cell>
          <cell r="AB24">
            <v>130</v>
          </cell>
          <cell r="AC24">
            <v>112</v>
          </cell>
        </row>
        <row r="26">
          <cell r="B26" t="str">
            <v>CROSS GIRDER</v>
          </cell>
          <cell r="E26">
            <v>9</v>
          </cell>
          <cell r="F26">
            <v>6841</v>
          </cell>
          <cell r="G26">
            <v>95774</v>
          </cell>
          <cell r="H26">
            <v>126</v>
          </cell>
          <cell r="I26">
            <v>10</v>
          </cell>
          <cell r="J26">
            <v>7584</v>
          </cell>
          <cell r="K26">
            <v>15168</v>
          </cell>
          <cell r="L26">
            <v>20</v>
          </cell>
          <cell r="M26">
            <v>11</v>
          </cell>
          <cell r="N26">
            <v>8327</v>
          </cell>
          <cell r="O26">
            <v>66616</v>
          </cell>
          <cell r="P26">
            <v>88</v>
          </cell>
          <cell r="Q26">
            <v>1.05</v>
          </cell>
          <cell r="R26">
            <v>7183.05</v>
          </cell>
          <cell r="S26">
            <v>14366.1</v>
          </cell>
          <cell r="T26">
            <v>15024.435729736442</v>
          </cell>
          <cell r="U26">
            <v>0.91</v>
          </cell>
          <cell r="V26">
            <v>6225.31</v>
          </cell>
          <cell r="W26">
            <v>12450.62</v>
          </cell>
          <cell r="X26">
            <v>13021.17763243825</v>
          </cell>
        </row>
        <row r="27">
          <cell r="B27" t="str">
            <v>XB1M</v>
          </cell>
          <cell r="C27" t="str">
            <v>H500x200x10x16 - 7180</v>
          </cell>
          <cell r="D27">
            <v>743</v>
          </cell>
          <cell r="E27">
            <v>7</v>
          </cell>
          <cell r="F27">
            <v>5201</v>
          </cell>
          <cell r="G27">
            <v>72814</v>
          </cell>
          <cell r="H27">
            <v>98</v>
          </cell>
          <cell r="I27">
            <v>8</v>
          </cell>
          <cell r="J27">
            <v>5944</v>
          </cell>
          <cell r="K27">
            <v>11888</v>
          </cell>
          <cell r="L27">
            <v>16</v>
          </cell>
          <cell r="M27">
            <v>9</v>
          </cell>
          <cell r="N27">
            <v>6687</v>
          </cell>
          <cell r="O27">
            <v>53496</v>
          </cell>
          <cell r="P27">
            <v>72</v>
          </cell>
          <cell r="Y27">
            <v>186</v>
          </cell>
          <cell r="Z27" t="str">
            <v>H500x200x10x16 - 7500</v>
          </cell>
          <cell r="AA27">
            <v>672</v>
          </cell>
          <cell r="AB27">
            <v>89.6</v>
          </cell>
          <cell r="AC27">
            <v>279</v>
          </cell>
        </row>
        <row r="28">
          <cell r="B28" t="str">
            <v>XB2M</v>
          </cell>
          <cell r="C28" t="str">
            <v>H500x200x10x16 - 7164</v>
          </cell>
          <cell r="D28">
            <v>820</v>
          </cell>
          <cell r="E28">
            <v>2</v>
          </cell>
          <cell r="F28">
            <v>1640</v>
          </cell>
          <cell r="G28">
            <v>22960</v>
          </cell>
          <cell r="H28">
            <v>28</v>
          </cell>
          <cell r="I28">
            <v>2</v>
          </cell>
          <cell r="J28">
            <v>1640</v>
          </cell>
          <cell r="K28">
            <v>3280</v>
          </cell>
          <cell r="L28">
            <v>4</v>
          </cell>
          <cell r="M28">
            <v>2</v>
          </cell>
          <cell r="N28">
            <v>1640</v>
          </cell>
          <cell r="O28">
            <v>13120</v>
          </cell>
          <cell r="P28">
            <v>16</v>
          </cell>
          <cell r="Y28">
            <v>48</v>
          </cell>
        </row>
        <row r="30">
          <cell r="B30" t="str">
            <v>STRINGER</v>
          </cell>
          <cell r="E30">
            <v>200</v>
          </cell>
          <cell r="F30">
            <v>11038</v>
          </cell>
          <cell r="G30">
            <v>154532</v>
          </cell>
          <cell r="H30">
            <v>2800</v>
          </cell>
          <cell r="I30">
            <v>225</v>
          </cell>
          <cell r="J30">
            <v>12418</v>
          </cell>
          <cell r="K30">
            <v>24836</v>
          </cell>
          <cell r="L30">
            <v>450</v>
          </cell>
          <cell r="M30">
            <v>250</v>
          </cell>
          <cell r="N30">
            <v>13798</v>
          </cell>
          <cell r="O30">
            <v>110384</v>
          </cell>
          <cell r="P30">
            <v>2000</v>
          </cell>
          <cell r="Q30">
            <v>1.05</v>
          </cell>
          <cell r="R30">
            <v>11589.9</v>
          </cell>
          <cell r="S30">
            <v>23179.8</v>
          </cell>
          <cell r="T30">
            <v>24242.029174803512</v>
          </cell>
          <cell r="U30">
            <v>0.91</v>
          </cell>
          <cell r="V30">
            <v>10044.58</v>
          </cell>
          <cell r="W30">
            <v>20089.16</v>
          </cell>
          <cell r="X30">
            <v>21009.758618163047</v>
          </cell>
        </row>
        <row r="31">
          <cell r="B31" t="str">
            <v>SB1</v>
          </cell>
          <cell r="C31" t="str">
            <v>H396x199x7x11 - 4962</v>
          </cell>
          <cell r="D31">
            <v>281</v>
          </cell>
          <cell r="E31">
            <v>24</v>
          </cell>
          <cell r="F31">
            <v>6744</v>
          </cell>
          <cell r="G31">
            <v>94416</v>
          </cell>
          <cell r="H31">
            <v>336</v>
          </cell>
          <cell r="I31">
            <v>27</v>
          </cell>
          <cell r="J31">
            <v>7587</v>
          </cell>
          <cell r="K31">
            <v>15174</v>
          </cell>
          <cell r="L31">
            <v>54</v>
          </cell>
          <cell r="M31">
            <v>30</v>
          </cell>
          <cell r="N31">
            <v>8430</v>
          </cell>
          <cell r="O31">
            <v>67440</v>
          </cell>
          <cell r="P31">
            <v>240</v>
          </cell>
          <cell r="Y31">
            <v>630</v>
          </cell>
          <cell r="Z31" t="str">
            <v>H396x199x7x11 - 10000</v>
          </cell>
          <cell r="AA31">
            <v>566</v>
          </cell>
          <cell r="AB31">
            <v>56.6</v>
          </cell>
          <cell r="AC31">
            <v>353</v>
          </cell>
        </row>
        <row r="32">
          <cell r="B32" t="str">
            <v>SB2</v>
          </cell>
          <cell r="C32" t="str">
            <v>H350x175x7x11 - 4962</v>
          </cell>
          <cell r="D32">
            <v>246</v>
          </cell>
          <cell r="E32">
            <v>16</v>
          </cell>
          <cell r="F32">
            <v>3936</v>
          </cell>
          <cell r="G32">
            <v>55104</v>
          </cell>
          <cell r="H32">
            <v>224</v>
          </cell>
          <cell r="I32">
            <v>18</v>
          </cell>
          <cell r="J32">
            <v>4428</v>
          </cell>
          <cell r="K32">
            <v>8856</v>
          </cell>
          <cell r="L32">
            <v>36</v>
          </cell>
          <cell r="M32">
            <v>20</v>
          </cell>
          <cell r="N32">
            <v>4920</v>
          </cell>
          <cell r="O32">
            <v>39360</v>
          </cell>
          <cell r="P32">
            <v>160</v>
          </cell>
          <cell r="Y32">
            <v>420</v>
          </cell>
          <cell r="Z32" t="str">
            <v>H350x175x7x11 - 10000</v>
          </cell>
          <cell r="AA32">
            <v>496</v>
          </cell>
          <cell r="AB32">
            <v>49.6</v>
          </cell>
          <cell r="AC32">
            <v>248</v>
          </cell>
        </row>
        <row r="33">
          <cell r="B33" t="str">
            <v>CA1</v>
          </cell>
          <cell r="C33" t="str">
            <v>L90x90x6 - 320</v>
          </cell>
          <cell r="D33">
            <v>2.4</v>
          </cell>
          <cell r="E33">
            <v>96</v>
          </cell>
          <cell r="F33">
            <v>230</v>
          </cell>
          <cell r="G33">
            <v>3220</v>
          </cell>
          <cell r="H33">
            <v>1344</v>
          </cell>
          <cell r="I33">
            <v>108</v>
          </cell>
          <cell r="J33">
            <v>259</v>
          </cell>
          <cell r="K33">
            <v>518</v>
          </cell>
          <cell r="L33">
            <v>216</v>
          </cell>
          <cell r="M33">
            <v>120</v>
          </cell>
          <cell r="N33">
            <v>288</v>
          </cell>
          <cell r="O33">
            <v>2304</v>
          </cell>
          <cell r="P33">
            <v>960</v>
          </cell>
          <cell r="Y33">
            <v>2520</v>
          </cell>
          <cell r="Z33" t="str">
            <v>L90x90x6 - 7000</v>
          </cell>
          <cell r="AA33">
            <v>58</v>
          </cell>
          <cell r="AB33">
            <v>8.2857142857142865</v>
          </cell>
          <cell r="AC33">
            <v>219</v>
          </cell>
        </row>
        <row r="34">
          <cell r="B34" t="str">
            <v>CA2</v>
          </cell>
          <cell r="C34" t="str">
            <v>L90x90x6 - 275</v>
          </cell>
          <cell r="D34">
            <v>2</v>
          </cell>
          <cell r="E34">
            <v>64</v>
          </cell>
          <cell r="F34">
            <v>128</v>
          </cell>
          <cell r="G34">
            <v>1792</v>
          </cell>
          <cell r="H34">
            <v>896</v>
          </cell>
          <cell r="I34">
            <v>72</v>
          </cell>
          <cell r="J34">
            <v>144</v>
          </cell>
          <cell r="K34">
            <v>288</v>
          </cell>
          <cell r="L34">
            <v>144</v>
          </cell>
          <cell r="M34">
            <v>80</v>
          </cell>
          <cell r="N34">
            <v>160</v>
          </cell>
          <cell r="O34">
            <v>1280</v>
          </cell>
          <cell r="P34">
            <v>640</v>
          </cell>
          <cell r="Y34">
            <v>1680</v>
          </cell>
        </row>
        <row r="36">
          <cell r="B36" t="str">
            <v>BRACING</v>
          </cell>
          <cell r="E36">
            <v>37</v>
          </cell>
          <cell r="F36">
            <v>3594</v>
          </cell>
          <cell r="G36">
            <v>50316</v>
          </cell>
          <cell r="H36">
            <v>518</v>
          </cell>
          <cell r="I36">
            <v>42</v>
          </cell>
          <cell r="J36">
            <v>4000</v>
          </cell>
          <cell r="K36">
            <v>8000</v>
          </cell>
          <cell r="L36">
            <v>84</v>
          </cell>
          <cell r="M36">
            <v>47</v>
          </cell>
          <cell r="N36">
            <v>4406</v>
          </cell>
          <cell r="O36">
            <v>35248</v>
          </cell>
          <cell r="P36">
            <v>376</v>
          </cell>
          <cell r="Q36">
            <v>1.05</v>
          </cell>
          <cell r="R36">
            <v>3773.7000000000003</v>
          </cell>
          <cell r="S36">
            <v>7547.4000000000005</v>
          </cell>
          <cell r="T36">
            <v>7893.2644368765932</v>
          </cell>
          <cell r="U36">
            <v>0.91</v>
          </cell>
          <cell r="V36">
            <v>3270.54</v>
          </cell>
          <cell r="W36">
            <v>6541.08</v>
          </cell>
          <cell r="X36">
            <v>6840.8291786263799</v>
          </cell>
        </row>
        <row r="37">
          <cell r="B37" t="str">
            <v>BB2</v>
          </cell>
          <cell r="C37" t="str">
            <v>H200x100x5.5x8 - 7140</v>
          </cell>
          <cell r="D37">
            <v>166</v>
          </cell>
          <cell r="E37">
            <v>6</v>
          </cell>
          <cell r="F37">
            <v>996</v>
          </cell>
          <cell r="G37">
            <v>13944</v>
          </cell>
          <cell r="H37">
            <v>84</v>
          </cell>
          <cell r="I37">
            <v>7</v>
          </cell>
          <cell r="J37">
            <v>1162</v>
          </cell>
          <cell r="K37">
            <v>2324</v>
          </cell>
          <cell r="L37">
            <v>14</v>
          </cell>
          <cell r="M37">
            <v>8</v>
          </cell>
          <cell r="N37">
            <v>1328</v>
          </cell>
          <cell r="O37">
            <v>10624</v>
          </cell>
          <cell r="P37">
            <v>64</v>
          </cell>
          <cell r="Y37">
            <v>162</v>
          </cell>
          <cell r="Z37" t="str">
            <v>H200x100x5.5x8 - 7500</v>
          </cell>
          <cell r="AA37">
            <v>159.80000000000001</v>
          </cell>
          <cell r="AB37">
            <v>21.306666666666668</v>
          </cell>
          <cell r="AC37">
            <v>188</v>
          </cell>
        </row>
        <row r="38">
          <cell r="B38" t="str">
            <v>BB3M</v>
          </cell>
          <cell r="C38" t="str">
            <v>H346x174x6x9 - 7124</v>
          </cell>
          <cell r="D38">
            <v>410</v>
          </cell>
          <cell r="E38">
            <v>2</v>
          </cell>
          <cell r="F38">
            <v>820</v>
          </cell>
          <cell r="G38">
            <v>11480</v>
          </cell>
          <cell r="H38">
            <v>28</v>
          </cell>
          <cell r="I38">
            <v>2</v>
          </cell>
          <cell r="J38">
            <v>820</v>
          </cell>
          <cell r="K38">
            <v>1640</v>
          </cell>
          <cell r="L38">
            <v>4</v>
          </cell>
          <cell r="M38">
            <v>2</v>
          </cell>
          <cell r="N38">
            <v>820</v>
          </cell>
          <cell r="O38">
            <v>6560</v>
          </cell>
          <cell r="P38">
            <v>16</v>
          </cell>
          <cell r="Y38">
            <v>48</v>
          </cell>
          <cell r="Z38" t="str">
            <v>H346x174x6x9 - 9500</v>
          </cell>
          <cell r="AA38">
            <v>393.3</v>
          </cell>
          <cell r="AB38">
            <v>41.4</v>
          </cell>
          <cell r="AC38">
            <v>57</v>
          </cell>
        </row>
        <row r="39">
          <cell r="B39" t="str">
            <v>BB5</v>
          </cell>
          <cell r="C39" t="str">
            <v>L150x90x9 - 5865</v>
          </cell>
          <cell r="D39">
            <v>96</v>
          </cell>
          <cell r="E39">
            <v>14</v>
          </cell>
          <cell r="F39">
            <v>1344</v>
          </cell>
          <cell r="G39">
            <v>18816</v>
          </cell>
          <cell r="H39">
            <v>196</v>
          </cell>
          <cell r="I39">
            <v>16</v>
          </cell>
          <cell r="J39">
            <v>1536</v>
          </cell>
          <cell r="K39">
            <v>3072</v>
          </cell>
          <cell r="L39">
            <v>32</v>
          </cell>
          <cell r="M39">
            <v>18</v>
          </cell>
          <cell r="N39">
            <v>1728</v>
          </cell>
          <cell r="O39">
            <v>13824</v>
          </cell>
          <cell r="P39">
            <v>144</v>
          </cell>
          <cell r="Y39">
            <v>372</v>
          </cell>
          <cell r="Z39" t="str">
            <v>L150x90x9 - 6000</v>
          </cell>
          <cell r="AA39">
            <v>98.4</v>
          </cell>
          <cell r="AB39">
            <v>16.400000000000002</v>
          </cell>
          <cell r="AC39">
            <v>444</v>
          </cell>
        </row>
        <row r="40">
          <cell r="B40" t="str">
            <v>BB6</v>
          </cell>
          <cell r="C40" t="str">
            <v>L90x90x6 - 2949</v>
          </cell>
          <cell r="D40">
            <v>24</v>
          </cell>
          <cell r="E40">
            <v>14</v>
          </cell>
          <cell r="F40">
            <v>336</v>
          </cell>
          <cell r="G40">
            <v>4704</v>
          </cell>
          <cell r="H40">
            <v>196</v>
          </cell>
          <cell r="I40">
            <v>16</v>
          </cell>
          <cell r="J40">
            <v>384</v>
          </cell>
          <cell r="K40">
            <v>768</v>
          </cell>
          <cell r="L40">
            <v>32</v>
          </cell>
          <cell r="M40">
            <v>18</v>
          </cell>
          <cell r="N40">
            <v>432</v>
          </cell>
          <cell r="O40">
            <v>3456</v>
          </cell>
          <cell r="P40">
            <v>144</v>
          </cell>
          <cell r="Y40">
            <v>372</v>
          </cell>
          <cell r="Z40" t="str">
            <v>L90x90x6 - 7000</v>
          </cell>
          <cell r="AA40">
            <v>58</v>
          </cell>
          <cell r="AB40">
            <v>8.2857142857142865</v>
          </cell>
          <cell r="AC40">
            <v>186</v>
          </cell>
        </row>
        <row r="41">
          <cell r="B41" t="str">
            <v>BB7</v>
          </cell>
          <cell r="C41" t="str">
            <v>L130x130x9 - 4858</v>
          </cell>
          <cell r="D41">
            <v>98</v>
          </cell>
          <cell r="E41">
            <v>1</v>
          </cell>
          <cell r="F41">
            <v>98</v>
          </cell>
          <cell r="G41">
            <v>1372</v>
          </cell>
          <cell r="H41">
            <v>14</v>
          </cell>
          <cell r="I41">
            <v>1</v>
          </cell>
          <cell r="J41">
            <v>98</v>
          </cell>
          <cell r="K41">
            <v>196</v>
          </cell>
          <cell r="L41">
            <v>2</v>
          </cell>
          <cell r="M41">
            <v>1</v>
          </cell>
          <cell r="N41">
            <v>98</v>
          </cell>
          <cell r="O41">
            <v>784</v>
          </cell>
          <cell r="P41">
            <v>8</v>
          </cell>
          <cell r="Y41">
            <v>24</v>
          </cell>
          <cell r="Z41" t="str">
            <v>L130x130x9 - 10500</v>
          </cell>
          <cell r="AA41">
            <v>188</v>
          </cell>
          <cell r="AB41">
            <v>17.904761904761905</v>
          </cell>
          <cell r="AC41">
            <v>15</v>
          </cell>
        </row>
        <row r="43">
          <cell r="B43" t="str">
            <v>GUSSET PL</v>
          </cell>
          <cell r="E43">
            <v>68</v>
          </cell>
          <cell r="F43">
            <v>5160</v>
          </cell>
          <cell r="G43">
            <v>72240</v>
          </cell>
          <cell r="H43">
            <v>952</v>
          </cell>
          <cell r="I43">
            <v>76</v>
          </cell>
          <cell r="J43">
            <v>5450</v>
          </cell>
          <cell r="K43">
            <v>10900</v>
          </cell>
          <cell r="L43">
            <v>152</v>
          </cell>
          <cell r="M43">
            <v>84</v>
          </cell>
          <cell r="N43">
            <v>5740</v>
          </cell>
          <cell r="O43">
            <v>45920</v>
          </cell>
          <cell r="P43">
            <v>672</v>
          </cell>
          <cell r="Q43">
            <v>1</v>
          </cell>
          <cell r="R43">
            <v>5160</v>
          </cell>
          <cell r="S43">
            <v>10320</v>
          </cell>
          <cell r="T43">
            <v>10320</v>
          </cell>
          <cell r="U43">
            <v>1</v>
          </cell>
          <cell r="V43">
            <v>5160</v>
          </cell>
          <cell r="W43">
            <v>10320</v>
          </cell>
          <cell r="X43">
            <v>10320</v>
          </cell>
        </row>
        <row r="44">
          <cell r="B44" t="str">
            <v>MBA 2</v>
          </cell>
          <cell r="C44" t="str">
            <v>1334x1196xPL18</v>
          </cell>
          <cell r="D44">
            <v>178</v>
          </cell>
          <cell r="E44">
            <v>4</v>
          </cell>
          <cell r="F44">
            <v>712</v>
          </cell>
          <cell r="G44">
            <v>9968</v>
          </cell>
          <cell r="H44">
            <v>56</v>
          </cell>
          <cell r="I44">
            <v>4</v>
          </cell>
          <cell r="J44">
            <v>712</v>
          </cell>
          <cell r="K44">
            <v>1424</v>
          </cell>
          <cell r="L44">
            <v>8</v>
          </cell>
          <cell r="M44">
            <v>4</v>
          </cell>
          <cell r="N44">
            <v>712</v>
          </cell>
          <cell r="O44">
            <v>5696</v>
          </cell>
          <cell r="P44">
            <v>32</v>
          </cell>
          <cell r="Y44">
            <v>96</v>
          </cell>
          <cell r="Z44" t="str">
            <v>1334x1196xPL18</v>
          </cell>
          <cell r="AA44">
            <v>178</v>
          </cell>
          <cell r="AC44">
            <v>178</v>
          </cell>
        </row>
        <row r="45">
          <cell r="B45" t="str">
            <v>MBA 1/L</v>
          </cell>
          <cell r="D45">
            <v>360</v>
          </cell>
          <cell r="E45">
            <v>2</v>
          </cell>
          <cell r="F45">
            <v>720</v>
          </cell>
          <cell r="G45">
            <v>10080</v>
          </cell>
          <cell r="H45">
            <v>28</v>
          </cell>
          <cell r="I45">
            <v>2</v>
          </cell>
          <cell r="J45">
            <v>720</v>
          </cell>
          <cell r="K45">
            <v>1440</v>
          </cell>
          <cell r="L45">
            <v>4</v>
          </cell>
          <cell r="M45">
            <v>2</v>
          </cell>
          <cell r="N45">
            <v>720</v>
          </cell>
          <cell r="O45">
            <v>5760</v>
          </cell>
          <cell r="P45">
            <v>16</v>
          </cell>
          <cell r="Y45">
            <v>48</v>
          </cell>
          <cell r="Z45">
            <v>0</v>
          </cell>
          <cell r="AA45">
            <v>360</v>
          </cell>
          <cell r="AC45">
            <v>360</v>
          </cell>
        </row>
        <row r="46">
          <cell r="B46" t="str">
            <v>MBA 1/R</v>
          </cell>
          <cell r="D46">
            <v>360</v>
          </cell>
          <cell r="E46">
            <v>2</v>
          </cell>
          <cell r="F46">
            <v>720</v>
          </cell>
          <cell r="G46">
            <v>10080</v>
          </cell>
          <cell r="H46">
            <v>28</v>
          </cell>
          <cell r="I46">
            <v>2</v>
          </cell>
          <cell r="J46">
            <v>720</v>
          </cell>
          <cell r="K46">
            <v>1440</v>
          </cell>
          <cell r="L46">
            <v>4</v>
          </cell>
          <cell r="M46">
            <v>2</v>
          </cell>
          <cell r="N46">
            <v>720</v>
          </cell>
          <cell r="O46">
            <v>5760</v>
          </cell>
          <cell r="P46">
            <v>16</v>
          </cell>
          <cell r="Y46">
            <v>48</v>
          </cell>
          <cell r="Z46">
            <v>0</v>
          </cell>
          <cell r="AA46">
            <v>360</v>
          </cell>
          <cell r="AC46">
            <v>360</v>
          </cell>
        </row>
        <row r="47">
          <cell r="B47" t="str">
            <v>MG 1</v>
          </cell>
          <cell r="C47" t="str">
            <v>848x690xPL10</v>
          </cell>
          <cell r="D47">
            <v>45</v>
          </cell>
          <cell r="E47">
            <v>12</v>
          </cell>
          <cell r="F47">
            <v>540</v>
          </cell>
          <cell r="G47">
            <v>7560</v>
          </cell>
          <cell r="H47">
            <v>168</v>
          </cell>
          <cell r="I47">
            <v>14</v>
          </cell>
          <cell r="J47">
            <v>630</v>
          </cell>
          <cell r="K47">
            <v>1260</v>
          </cell>
          <cell r="L47">
            <v>28</v>
          </cell>
          <cell r="M47">
            <v>16</v>
          </cell>
          <cell r="N47">
            <v>720</v>
          </cell>
          <cell r="O47">
            <v>5760</v>
          </cell>
          <cell r="P47">
            <v>128</v>
          </cell>
          <cell r="Y47">
            <v>324</v>
          </cell>
          <cell r="Z47" t="str">
            <v>848x690xPL10</v>
          </cell>
          <cell r="AA47">
            <v>45</v>
          </cell>
          <cell r="AC47">
            <v>45</v>
          </cell>
        </row>
        <row r="48">
          <cell r="B48" t="str">
            <v>MG 2/L</v>
          </cell>
          <cell r="C48" t="str">
            <v>848x690xPL10</v>
          </cell>
          <cell r="D48">
            <v>50</v>
          </cell>
          <cell r="E48">
            <v>6</v>
          </cell>
          <cell r="F48">
            <v>300</v>
          </cell>
          <cell r="G48">
            <v>4200</v>
          </cell>
          <cell r="H48">
            <v>84</v>
          </cell>
          <cell r="I48">
            <v>7</v>
          </cell>
          <cell r="J48">
            <v>350</v>
          </cell>
          <cell r="K48">
            <v>700</v>
          </cell>
          <cell r="L48">
            <v>14</v>
          </cell>
          <cell r="M48">
            <v>8</v>
          </cell>
          <cell r="N48">
            <v>400</v>
          </cell>
          <cell r="O48">
            <v>3200</v>
          </cell>
          <cell r="P48">
            <v>64</v>
          </cell>
          <cell r="Y48">
            <v>162</v>
          </cell>
          <cell r="Z48" t="str">
            <v>848x690xPL10</v>
          </cell>
          <cell r="AA48">
            <v>50</v>
          </cell>
          <cell r="AC48">
            <v>50</v>
          </cell>
        </row>
        <row r="49">
          <cell r="B49" t="str">
            <v>MG 2/R</v>
          </cell>
          <cell r="C49" t="str">
            <v>848x690xPL10</v>
          </cell>
          <cell r="D49">
            <v>50</v>
          </cell>
          <cell r="E49">
            <v>6</v>
          </cell>
          <cell r="F49">
            <v>300</v>
          </cell>
          <cell r="G49">
            <v>4200</v>
          </cell>
          <cell r="H49">
            <v>84</v>
          </cell>
          <cell r="I49">
            <v>7</v>
          </cell>
          <cell r="J49">
            <v>350</v>
          </cell>
          <cell r="K49">
            <v>700</v>
          </cell>
          <cell r="L49">
            <v>14</v>
          </cell>
          <cell r="M49">
            <v>8</v>
          </cell>
          <cell r="N49">
            <v>400</v>
          </cell>
          <cell r="O49">
            <v>3200</v>
          </cell>
          <cell r="P49">
            <v>64</v>
          </cell>
          <cell r="Y49">
            <v>162</v>
          </cell>
          <cell r="Z49" t="str">
            <v>848x690xPL10</v>
          </cell>
          <cell r="AA49">
            <v>50</v>
          </cell>
          <cell r="AC49">
            <v>50</v>
          </cell>
        </row>
        <row r="50">
          <cell r="B50" t="str">
            <v>MG 3</v>
          </cell>
          <cell r="C50" t="str">
            <v>906x712xPL10</v>
          </cell>
          <cell r="D50">
            <v>50</v>
          </cell>
          <cell r="E50">
            <v>14</v>
          </cell>
          <cell r="F50">
            <v>700</v>
          </cell>
          <cell r="G50">
            <v>9800</v>
          </cell>
          <cell r="H50">
            <v>196</v>
          </cell>
          <cell r="I50">
            <v>16</v>
          </cell>
          <cell r="J50">
            <v>800</v>
          </cell>
          <cell r="K50">
            <v>1600</v>
          </cell>
          <cell r="L50">
            <v>32</v>
          </cell>
          <cell r="M50">
            <v>18</v>
          </cell>
          <cell r="N50">
            <v>900</v>
          </cell>
          <cell r="O50">
            <v>7200</v>
          </cell>
          <cell r="P50">
            <v>144</v>
          </cell>
          <cell r="Y50">
            <v>372</v>
          </cell>
          <cell r="Z50" t="str">
            <v>906x712xPL10</v>
          </cell>
          <cell r="AA50">
            <v>50</v>
          </cell>
          <cell r="AC50">
            <v>50</v>
          </cell>
        </row>
        <row r="51">
          <cell r="B51" t="str">
            <v>MG 4</v>
          </cell>
          <cell r="C51" t="str">
            <v>1353x949xPL18</v>
          </cell>
          <cell r="D51">
            <v>146</v>
          </cell>
          <cell r="E51">
            <v>8</v>
          </cell>
          <cell r="F51">
            <v>1168</v>
          </cell>
          <cell r="G51">
            <v>16352</v>
          </cell>
          <cell r="H51">
            <v>112</v>
          </cell>
          <cell r="I51">
            <v>8</v>
          </cell>
          <cell r="J51">
            <v>1168</v>
          </cell>
          <cell r="K51">
            <v>2336</v>
          </cell>
          <cell r="L51">
            <v>16</v>
          </cell>
          <cell r="M51">
            <v>8</v>
          </cell>
          <cell r="N51">
            <v>1168</v>
          </cell>
          <cell r="O51">
            <v>9344</v>
          </cell>
          <cell r="P51">
            <v>64</v>
          </cell>
          <cell r="Y51">
            <v>192</v>
          </cell>
          <cell r="Z51" t="str">
            <v>1353x949xPL18</v>
          </cell>
          <cell r="AA51">
            <v>146</v>
          </cell>
          <cell r="AC51">
            <v>146</v>
          </cell>
        </row>
        <row r="52">
          <cell r="B52" t="str">
            <v>XB1M</v>
          </cell>
          <cell r="C52" t="str">
            <v>906x712xPL10</v>
          </cell>
          <cell r="D52">
            <v>0</v>
          </cell>
          <cell r="E52">
            <v>14</v>
          </cell>
          <cell r="F52">
            <v>0</v>
          </cell>
          <cell r="G52">
            <v>0</v>
          </cell>
          <cell r="H52">
            <v>196</v>
          </cell>
          <cell r="I52">
            <v>16</v>
          </cell>
          <cell r="J52">
            <v>0</v>
          </cell>
          <cell r="K52">
            <v>0</v>
          </cell>
          <cell r="L52">
            <v>32</v>
          </cell>
          <cell r="M52">
            <v>18</v>
          </cell>
          <cell r="N52">
            <v>0</v>
          </cell>
          <cell r="O52">
            <v>0</v>
          </cell>
          <cell r="P52">
            <v>144</v>
          </cell>
          <cell r="Y52">
            <v>372</v>
          </cell>
          <cell r="Z52" t="str">
            <v>906x712xPL10</v>
          </cell>
          <cell r="AA52">
            <v>0</v>
          </cell>
          <cell r="AC52">
            <v>0</v>
          </cell>
        </row>
        <row r="54">
          <cell r="B54" t="str">
            <v>SPLICE PL</v>
          </cell>
          <cell r="E54">
            <v>172</v>
          </cell>
          <cell r="F54">
            <v>1096</v>
          </cell>
          <cell r="G54">
            <v>15344</v>
          </cell>
          <cell r="H54">
            <v>2408</v>
          </cell>
          <cell r="I54">
            <v>212</v>
          </cell>
          <cell r="J54">
            <v>1522</v>
          </cell>
          <cell r="K54">
            <v>3044</v>
          </cell>
          <cell r="L54">
            <v>424</v>
          </cell>
          <cell r="M54">
            <v>252</v>
          </cell>
          <cell r="N54">
            <v>2019</v>
          </cell>
          <cell r="O54">
            <v>16152</v>
          </cell>
          <cell r="P54">
            <v>2016</v>
          </cell>
          <cell r="Q54">
            <v>1</v>
          </cell>
          <cell r="R54">
            <v>1096</v>
          </cell>
          <cell r="S54">
            <v>2192</v>
          </cell>
          <cell r="T54">
            <v>2192</v>
          </cell>
          <cell r="U54">
            <v>1</v>
          </cell>
          <cell r="V54">
            <v>1096</v>
          </cell>
          <cell r="W54">
            <v>2192</v>
          </cell>
          <cell r="X54">
            <v>2192</v>
          </cell>
        </row>
        <row r="55">
          <cell r="B55" t="str">
            <v>MS 1</v>
          </cell>
          <cell r="C55" t="str">
            <v>690x125xPL12</v>
          </cell>
          <cell r="D55">
            <v>8.1</v>
          </cell>
          <cell r="E55">
            <v>16</v>
          </cell>
          <cell r="F55">
            <v>130</v>
          </cell>
          <cell r="G55">
            <v>1820</v>
          </cell>
          <cell r="H55">
            <v>224</v>
          </cell>
          <cell r="I55">
            <v>40</v>
          </cell>
          <cell r="J55">
            <v>324</v>
          </cell>
          <cell r="K55">
            <v>648</v>
          </cell>
          <cell r="L55">
            <v>80</v>
          </cell>
          <cell r="M55">
            <v>48</v>
          </cell>
          <cell r="N55">
            <v>389</v>
          </cell>
          <cell r="O55">
            <v>3112</v>
          </cell>
          <cell r="P55">
            <v>384</v>
          </cell>
          <cell r="Y55">
            <v>688</v>
          </cell>
          <cell r="Z55" t="str">
            <v>690x125xPL12</v>
          </cell>
          <cell r="AA55">
            <v>8.1</v>
          </cell>
          <cell r="AC55">
            <v>8.1</v>
          </cell>
        </row>
        <row r="56">
          <cell r="B56" t="str">
            <v>MS 2</v>
          </cell>
          <cell r="C56" t="str">
            <v>690x125xPL10</v>
          </cell>
          <cell r="D56">
            <v>6.8</v>
          </cell>
          <cell r="E56">
            <v>32</v>
          </cell>
          <cell r="F56">
            <v>218</v>
          </cell>
          <cell r="G56">
            <v>3052</v>
          </cell>
          <cell r="H56">
            <v>448</v>
          </cell>
          <cell r="I56">
            <v>16</v>
          </cell>
          <cell r="J56">
            <v>109</v>
          </cell>
          <cell r="K56">
            <v>218</v>
          </cell>
          <cell r="L56">
            <v>32</v>
          </cell>
          <cell r="M56">
            <v>16</v>
          </cell>
          <cell r="N56">
            <v>109</v>
          </cell>
          <cell r="O56">
            <v>872</v>
          </cell>
          <cell r="P56">
            <v>128</v>
          </cell>
          <cell r="Y56">
            <v>608</v>
          </cell>
          <cell r="Z56" t="str">
            <v>690x125xPL10</v>
          </cell>
          <cell r="AA56">
            <v>6.8</v>
          </cell>
          <cell r="AC56">
            <v>6.8</v>
          </cell>
        </row>
        <row r="57">
          <cell r="B57" t="str">
            <v>MS 3A</v>
          </cell>
          <cell r="C57" t="str">
            <v>638x190xPL12</v>
          </cell>
          <cell r="D57">
            <v>11</v>
          </cell>
          <cell r="E57">
            <v>0</v>
          </cell>
          <cell r="F57">
            <v>0</v>
          </cell>
          <cell r="G57">
            <v>0</v>
          </cell>
          <cell r="H57">
            <v>0</v>
          </cell>
          <cell r="I57">
            <v>4</v>
          </cell>
          <cell r="J57">
            <v>44</v>
          </cell>
          <cell r="K57">
            <v>88</v>
          </cell>
          <cell r="L57">
            <v>8</v>
          </cell>
          <cell r="M57">
            <v>16</v>
          </cell>
          <cell r="N57">
            <v>176</v>
          </cell>
          <cell r="O57">
            <v>1408</v>
          </cell>
          <cell r="P57">
            <v>128</v>
          </cell>
          <cell r="Y57">
            <v>136</v>
          </cell>
          <cell r="Z57" t="str">
            <v>638x190xPL12</v>
          </cell>
          <cell r="AA57">
            <v>11</v>
          </cell>
          <cell r="AC57">
            <v>11</v>
          </cell>
        </row>
        <row r="58">
          <cell r="B58" t="str">
            <v>MS 3B</v>
          </cell>
          <cell r="C58" t="str">
            <v>488x190xPL8</v>
          </cell>
          <cell r="D58">
            <v>5.8</v>
          </cell>
          <cell r="E58">
            <v>0</v>
          </cell>
          <cell r="F58">
            <v>0</v>
          </cell>
          <cell r="G58">
            <v>0</v>
          </cell>
          <cell r="H58">
            <v>0</v>
          </cell>
          <cell r="I58">
            <v>8</v>
          </cell>
          <cell r="J58">
            <v>46</v>
          </cell>
          <cell r="K58">
            <v>92</v>
          </cell>
          <cell r="L58">
            <v>16</v>
          </cell>
          <cell r="M58">
            <v>8</v>
          </cell>
          <cell r="N58">
            <v>46</v>
          </cell>
          <cell r="O58">
            <v>368</v>
          </cell>
          <cell r="P58">
            <v>64</v>
          </cell>
          <cell r="Y58">
            <v>80</v>
          </cell>
          <cell r="Z58" t="str">
            <v>488x190xPL8</v>
          </cell>
          <cell r="AA58">
            <v>5.8</v>
          </cell>
          <cell r="AC58">
            <v>5.8</v>
          </cell>
        </row>
        <row r="59">
          <cell r="B59" t="str">
            <v>MS 3C</v>
          </cell>
          <cell r="C59" t="str">
            <v>338x190xPL8</v>
          </cell>
          <cell r="D59">
            <v>4</v>
          </cell>
          <cell r="E59">
            <v>24</v>
          </cell>
          <cell r="F59">
            <v>96</v>
          </cell>
          <cell r="G59">
            <v>1344</v>
          </cell>
          <cell r="H59">
            <v>336</v>
          </cell>
          <cell r="I59">
            <v>16</v>
          </cell>
          <cell r="J59">
            <v>64</v>
          </cell>
          <cell r="K59">
            <v>128</v>
          </cell>
          <cell r="L59">
            <v>32</v>
          </cell>
          <cell r="M59">
            <v>8</v>
          </cell>
          <cell r="N59">
            <v>32</v>
          </cell>
          <cell r="O59">
            <v>256</v>
          </cell>
          <cell r="P59">
            <v>64</v>
          </cell>
          <cell r="Y59">
            <v>432</v>
          </cell>
          <cell r="Z59" t="str">
            <v>338x190xPL8</v>
          </cell>
          <cell r="AA59">
            <v>4</v>
          </cell>
          <cell r="AC59">
            <v>4</v>
          </cell>
        </row>
        <row r="60">
          <cell r="B60" t="str">
            <v>MS 4</v>
          </cell>
          <cell r="C60" t="str">
            <v>674x125xPL16</v>
          </cell>
          <cell r="D60">
            <v>11</v>
          </cell>
          <cell r="E60">
            <v>0</v>
          </cell>
          <cell r="F60">
            <v>0</v>
          </cell>
          <cell r="G60">
            <v>0</v>
          </cell>
          <cell r="H60">
            <v>0</v>
          </cell>
          <cell r="I60">
            <v>32</v>
          </cell>
          <cell r="J60">
            <v>352</v>
          </cell>
          <cell r="K60">
            <v>704</v>
          </cell>
          <cell r="L60">
            <v>64</v>
          </cell>
          <cell r="M60">
            <v>40</v>
          </cell>
          <cell r="N60">
            <v>440</v>
          </cell>
          <cell r="O60">
            <v>3520</v>
          </cell>
          <cell r="P60">
            <v>320</v>
          </cell>
          <cell r="Y60">
            <v>384</v>
          </cell>
          <cell r="Z60" t="str">
            <v>674x125xPL16</v>
          </cell>
          <cell r="AA60">
            <v>11</v>
          </cell>
          <cell r="AC60">
            <v>11</v>
          </cell>
        </row>
        <row r="61">
          <cell r="B61" t="str">
            <v>MS 5</v>
          </cell>
          <cell r="C61" t="str">
            <v>674x125xPL12</v>
          </cell>
          <cell r="D61">
            <v>7.9</v>
          </cell>
          <cell r="E61">
            <v>56</v>
          </cell>
          <cell r="F61">
            <v>442</v>
          </cell>
          <cell r="G61">
            <v>6188</v>
          </cell>
          <cell r="H61">
            <v>784</v>
          </cell>
          <cell r="I61">
            <v>32</v>
          </cell>
          <cell r="J61">
            <v>253</v>
          </cell>
          <cell r="K61">
            <v>506</v>
          </cell>
          <cell r="L61">
            <v>64</v>
          </cell>
          <cell r="M61">
            <v>32</v>
          </cell>
          <cell r="N61">
            <v>253</v>
          </cell>
          <cell r="O61">
            <v>2024</v>
          </cell>
          <cell r="P61">
            <v>256</v>
          </cell>
          <cell r="Y61">
            <v>1104</v>
          </cell>
          <cell r="Z61" t="str">
            <v>674x125xPL12</v>
          </cell>
          <cell r="AA61">
            <v>7.9</v>
          </cell>
          <cell r="AC61">
            <v>7.9</v>
          </cell>
        </row>
        <row r="62">
          <cell r="B62" t="str">
            <v>MS 6A</v>
          </cell>
          <cell r="C62" t="str">
            <v>622x190xPL14</v>
          </cell>
          <cell r="D62">
            <v>13</v>
          </cell>
          <cell r="E62">
            <v>0</v>
          </cell>
          <cell r="F62">
            <v>0</v>
          </cell>
          <cell r="G62">
            <v>0</v>
          </cell>
          <cell r="H62">
            <v>0</v>
          </cell>
          <cell r="I62">
            <v>0</v>
          </cell>
          <cell r="J62">
            <v>0</v>
          </cell>
          <cell r="K62">
            <v>0</v>
          </cell>
          <cell r="L62">
            <v>0</v>
          </cell>
          <cell r="M62">
            <v>12</v>
          </cell>
          <cell r="N62">
            <v>156</v>
          </cell>
          <cell r="O62">
            <v>1248</v>
          </cell>
          <cell r="P62">
            <v>96</v>
          </cell>
          <cell r="Y62">
            <v>96</v>
          </cell>
          <cell r="Z62" t="str">
            <v>622x190xPL14</v>
          </cell>
          <cell r="AA62">
            <v>13</v>
          </cell>
          <cell r="AC62">
            <v>13</v>
          </cell>
        </row>
        <row r="63">
          <cell r="B63" t="str">
            <v>MS 6B</v>
          </cell>
          <cell r="C63" t="str">
            <v>672x190xPL8</v>
          </cell>
          <cell r="D63">
            <v>5.6</v>
          </cell>
          <cell r="E63">
            <v>0</v>
          </cell>
          <cell r="F63">
            <v>0</v>
          </cell>
          <cell r="G63">
            <v>0</v>
          </cell>
          <cell r="H63">
            <v>0</v>
          </cell>
          <cell r="I63">
            <v>0</v>
          </cell>
          <cell r="J63">
            <v>0</v>
          </cell>
          <cell r="K63">
            <v>0</v>
          </cell>
          <cell r="L63">
            <v>0</v>
          </cell>
          <cell r="M63">
            <v>8</v>
          </cell>
          <cell r="N63">
            <v>45</v>
          </cell>
          <cell r="O63">
            <v>360</v>
          </cell>
          <cell r="P63">
            <v>64</v>
          </cell>
          <cell r="Y63">
            <v>64</v>
          </cell>
          <cell r="Z63" t="str">
            <v>672x190xPL8</v>
          </cell>
          <cell r="AA63">
            <v>5.6</v>
          </cell>
          <cell r="AC63">
            <v>5.6</v>
          </cell>
        </row>
        <row r="64">
          <cell r="B64" t="str">
            <v>MS 6C</v>
          </cell>
          <cell r="C64" t="str">
            <v>322x190xPL8</v>
          </cell>
          <cell r="D64">
            <v>3.8</v>
          </cell>
          <cell r="E64">
            <v>28</v>
          </cell>
          <cell r="F64">
            <v>106</v>
          </cell>
          <cell r="G64">
            <v>1484</v>
          </cell>
          <cell r="H64">
            <v>392</v>
          </cell>
          <cell r="I64">
            <v>32</v>
          </cell>
          <cell r="J64">
            <v>122</v>
          </cell>
          <cell r="K64">
            <v>244</v>
          </cell>
          <cell r="L64">
            <v>64</v>
          </cell>
          <cell r="M64">
            <v>16</v>
          </cell>
          <cell r="N64">
            <v>61</v>
          </cell>
          <cell r="O64">
            <v>488</v>
          </cell>
          <cell r="P64">
            <v>128</v>
          </cell>
          <cell r="Y64">
            <v>584</v>
          </cell>
          <cell r="Z64" t="str">
            <v>322x190xPL8</v>
          </cell>
          <cell r="AA64">
            <v>3.8</v>
          </cell>
          <cell r="AC64">
            <v>3.8</v>
          </cell>
        </row>
        <row r="65">
          <cell r="B65" t="str">
            <v>MS 7</v>
          </cell>
          <cell r="C65" t="str">
            <v>463x180xPL10</v>
          </cell>
          <cell r="D65">
            <v>6.5</v>
          </cell>
          <cell r="E65">
            <v>16</v>
          </cell>
          <cell r="F65">
            <v>104</v>
          </cell>
          <cell r="G65">
            <v>1456</v>
          </cell>
          <cell r="H65">
            <v>224</v>
          </cell>
          <cell r="I65">
            <v>32</v>
          </cell>
          <cell r="J65">
            <v>208</v>
          </cell>
          <cell r="K65">
            <v>416</v>
          </cell>
          <cell r="L65">
            <v>64</v>
          </cell>
          <cell r="M65">
            <v>48</v>
          </cell>
          <cell r="N65">
            <v>312</v>
          </cell>
          <cell r="O65">
            <v>2496</v>
          </cell>
          <cell r="P65">
            <v>384</v>
          </cell>
          <cell r="Y65">
            <v>672</v>
          </cell>
          <cell r="Z65" t="str">
            <v>463x180xPL10</v>
          </cell>
          <cell r="AA65">
            <v>6.5</v>
          </cell>
          <cell r="AC65">
            <v>6.5</v>
          </cell>
        </row>
        <row r="67">
          <cell r="B67" t="str">
            <v>PACK/FILLER</v>
          </cell>
          <cell r="E67">
            <v>256</v>
          </cell>
          <cell r="F67">
            <v>1347</v>
          </cell>
          <cell r="G67">
            <v>18858</v>
          </cell>
          <cell r="H67">
            <v>3584</v>
          </cell>
          <cell r="I67">
            <v>296</v>
          </cell>
          <cell r="J67">
            <v>1488</v>
          </cell>
          <cell r="K67">
            <v>2976</v>
          </cell>
          <cell r="L67">
            <v>592</v>
          </cell>
          <cell r="M67">
            <v>304</v>
          </cell>
          <cell r="N67">
            <v>1443</v>
          </cell>
          <cell r="O67">
            <v>11544</v>
          </cell>
          <cell r="P67">
            <v>2432</v>
          </cell>
          <cell r="Q67">
            <v>1</v>
          </cell>
          <cell r="R67">
            <v>1347</v>
          </cell>
          <cell r="S67">
            <v>2694</v>
          </cell>
          <cell r="T67">
            <v>2694</v>
          </cell>
          <cell r="U67">
            <v>1</v>
          </cell>
          <cell r="V67">
            <v>1347</v>
          </cell>
          <cell r="W67">
            <v>2694</v>
          </cell>
          <cell r="X67">
            <v>2694</v>
          </cell>
        </row>
        <row r="68">
          <cell r="B68" t="str">
            <v>MS 10</v>
          </cell>
          <cell r="C68" t="str">
            <v>306x304xPL3,2</v>
          </cell>
          <cell r="D68">
            <v>2.2999999999999998</v>
          </cell>
          <cell r="E68">
            <v>8</v>
          </cell>
          <cell r="F68">
            <v>18</v>
          </cell>
          <cell r="G68">
            <v>252</v>
          </cell>
          <cell r="H68">
            <v>112</v>
          </cell>
          <cell r="I68">
            <v>16</v>
          </cell>
          <cell r="J68">
            <v>37</v>
          </cell>
          <cell r="K68">
            <v>74</v>
          </cell>
          <cell r="L68">
            <v>32</v>
          </cell>
          <cell r="M68">
            <v>0</v>
          </cell>
          <cell r="N68">
            <v>0</v>
          </cell>
          <cell r="O68">
            <v>0</v>
          </cell>
          <cell r="P68">
            <v>0</v>
          </cell>
          <cell r="Y68">
            <v>144</v>
          </cell>
          <cell r="Z68" t="str">
            <v>306x304xPL3,2</v>
          </cell>
          <cell r="AA68">
            <v>2.2999999999999998</v>
          </cell>
          <cell r="AC68">
            <v>2.2999999999999998</v>
          </cell>
        </row>
        <row r="69">
          <cell r="B69" t="str">
            <v>MS 11</v>
          </cell>
          <cell r="C69" t="str">
            <v>306x304xPL5</v>
          </cell>
          <cell r="D69">
            <v>3.7</v>
          </cell>
          <cell r="E69">
            <v>16</v>
          </cell>
          <cell r="F69">
            <v>59</v>
          </cell>
          <cell r="G69">
            <v>826</v>
          </cell>
          <cell r="H69">
            <v>224</v>
          </cell>
          <cell r="I69">
            <v>24</v>
          </cell>
          <cell r="J69">
            <v>89</v>
          </cell>
          <cell r="K69">
            <v>178</v>
          </cell>
          <cell r="L69">
            <v>48</v>
          </cell>
          <cell r="M69">
            <v>16</v>
          </cell>
          <cell r="N69">
            <v>59</v>
          </cell>
          <cell r="O69">
            <v>472</v>
          </cell>
          <cell r="P69">
            <v>128</v>
          </cell>
          <cell r="Y69">
            <v>400</v>
          </cell>
          <cell r="Z69" t="str">
            <v>306x304xPL5</v>
          </cell>
          <cell r="AA69">
            <v>3.7</v>
          </cell>
          <cell r="AC69">
            <v>3.7</v>
          </cell>
        </row>
        <row r="70">
          <cell r="B70" t="str">
            <v>MS 12</v>
          </cell>
          <cell r="C70" t="str">
            <v>306x304xPL8</v>
          </cell>
          <cell r="D70">
            <v>5.8</v>
          </cell>
          <cell r="E70">
            <v>80</v>
          </cell>
          <cell r="F70">
            <v>464</v>
          </cell>
          <cell r="G70">
            <v>6496</v>
          </cell>
          <cell r="H70">
            <v>1120</v>
          </cell>
          <cell r="I70">
            <v>64</v>
          </cell>
          <cell r="J70">
            <v>371</v>
          </cell>
          <cell r="K70">
            <v>742</v>
          </cell>
          <cell r="L70">
            <v>128</v>
          </cell>
          <cell r="M70">
            <v>48</v>
          </cell>
          <cell r="N70">
            <v>278</v>
          </cell>
          <cell r="O70">
            <v>2224</v>
          </cell>
          <cell r="P70">
            <v>384</v>
          </cell>
          <cell r="Y70">
            <v>1632</v>
          </cell>
          <cell r="Z70" t="str">
            <v>306x304xPL8</v>
          </cell>
          <cell r="AA70">
            <v>5.8</v>
          </cell>
          <cell r="AC70">
            <v>5.8</v>
          </cell>
        </row>
        <row r="71">
          <cell r="B71" t="str">
            <v>MS 13</v>
          </cell>
          <cell r="C71" t="str">
            <v>406x304xPL8</v>
          </cell>
          <cell r="D71">
            <v>7.8</v>
          </cell>
          <cell r="E71">
            <v>16</v>
          </cell>
          <cell r="F71">
            <v>125</v>
          </cell>
          <cell r="G71">
            <v>1750</v>
          </cell>
          <cell r="H71">
            <v>224</v>
          </cell>
          <cell r="I71">
            <v>16</v>
          </cell>
          <cell r="J71">
            <v>125</v>
          </cell>
          <cell r="K71">
            <v>250</v>
          </cell>
          <cell r="L71">
            <v>32</v>
          </cell>
          <cell r="M71">
            <v>16</v>
          </cell>
          <cell r="N71">
            <v>125</v>
          </cell>
          <cell r="O71">
            <v>1000</v>
          </cell>
          <cell r="P71">
            <v>128</v>
          </cell>
          <cell r="Y71">
            <v>384</v>
          </cell>
          <cell r="Z71" t="str">
            <v>406x304xPL8</v>
          </cell>
          <cell r="AA71">
            <v>7.8</v>
          </cell>
          <cell r="AC71">
            <v>7.8</v>
          </cell>
        </row>
        <row r="72">
          <cell r="B72" t="str">
            <v>MS 18</v>
          </cell>
          <cell r="C72" t="str">
            <v>190x130xPL1,2</v>
          </cell>
          <cell r="D72">
            <v>0.2</v>
          </cell>
          <cell r="E72">
            <v>8</v>
          </cell>
          <cell r="F72">
            <v>2</v>
          </cell>
          <cell r="G72">
            <v>28</v>
          </cell>
          <cell r="H72">
            <v>112</v>
          </cell>
          <cell r="I72">
            <v>8</v>
          </cell>
          <cell r="J72">
            <v>2</v>
          </cell>
          <cell r="K72">
            <v>4</v>
          </cell>
          <cell r="L72">
            <v>16</v>
          </cell>
          <cell r="M72">
            <v>16</v>
          </cell>
          <cell r="N72">
            <v>3</v>
          </cell>
          <cell r="O72">
            <v>24</v>
          </cell>
          <cell r="P72">
            <v>128</v>
          </cell>
          <cell r="Y72">
            <v>256</v>
          </cell>
          <cell r="Z72" t="str">
            <v>190x130xPL1,2</v>
          </cell>
          <cell r="AA72">
            <v>0.2</v>
          </cell>
          <cell r="AC72">
            <v>0.2</v>
          </cell>
        </row>
        <row r="73">
          <cell r="B73" t="str">
            <v>MS 19</v>
          </cell>
          <cell r="C73" t="str">
            <v>190x130xPL2</v>
          </cell>
          <cell r="D73">
            <v>0.4</v>
          </cell>
          <cell r="E73">
            <v>0</v>
          </cell>
          <cell r="F73">
            <v>0</v>
          </cell>
          <cell r="G73">
            <v>0</v>
          </cell>
          <cell r="H73">
            <v>0</v>
          </cell>
          <cell r="I73">
            <v>8</v>
          </cell>
          <cell r="J73">
            <v>3</v>
          </cell>
          <cell r="K73">
            <v>6</v>
          </cell>
          <cell r="L73">
            <v>16</v>
          </cell>
          <cell r="M73">
            <v>8</v>
          </cell>
          <cell r="N73">
            <v>3</v>
          </cell>
          <cell r="O73">
            <v>24</v>
          </cell>
          <cell r="P73">
            <v>64</v>
          </cell>
          <cell r="Y73">
            <v>80</v>
          </cell>
          <cell r="Z73" t="str">
            <v>190x130xPL2</v>
          </cell>
          <cell r="AA73">
            <v>0.4</v>
          </cell>
          <cell r="AC73">
            <v>0.4</v>
          </cell>
        </row>
        <row r="74">
          <cell r="B74" t="str">
            <v>MS 20</v>
          </cell>
          <cell r="C74" t="str">
            <v>280x190xPL2</v>
          </cell>
          <cell r="D74">
            <v>0.8</v>
          </cell>
          <cell r="E74">
            <v>0</v>
          </cell>
          <cell r="F74">
            <v>0</v>
          </cell>
          <cell r="G74">
            <v>0</v>
          </cell>
          <cell r="H74">
            <v>0</v>
          </cell>
          <cell r="I74">
            <v>0</v>
          </cell>
          <cell r="J74">
            <v>0</v>
          </cell>
          <cell r="K74">
            <v>0</v>
          </cell>
          <cell r="L74">
            <v>0</v>
          </cell>
          <cell r="M74">
            <v>8</v>
          </cell>
          <cell r="N74">
            <v>6</v>
          </cell>
          <cell r="O74">
            <v>48</v>
          </cell>
          <cell r="P74">
            <v>64</v>
          </cell>
          <cell r="Y74">
            <v>64</v>
          </cell>
          <cell r="Z74" t="str">
            <v>280x190xPL2</v>
          </cell>
          <cell r="AA74">
            <v>0.8</v>
          </cell>
          <cell r="AC74">
            <v>0.8</v>
          </cell>
        </row>
        <row r="75">
          <cell r="B75" t="str">
            <v>MS 23</v>
          </cell>
          <cell r="C75" t="str">
            <v>224x180xPL18</v>
          </cell>
          <cell r="D75">
            <v>5.7</v>
          </cell>
          <cell r="E75">
            <v>8</v>
          </cell>
          <cell r="F75">
            <v>46</v>
          </cell>
          <cell r="G75">
            <v>644</v>
          </cell>
          <cell r="H75">
            <v>112</v>
          </cell>
          <cell r="I75">
            <v>8</v>
          </cell>
          <cell r="J75">
            <v>46</v>
          </cell>
          <cell r="K75">
            <v>92</v>
          </cell>
          <cell r="L75">
            <v>16</v>
          </cell>
          <cell r="M75">
            <v>8</v>
          </cell>
          <cell r="N75">
            <v>46</v>
          </cell>
          <cell r="O75">
            <v>368</v>
          </cell>
          <cell r="P75">
            <v>64</v>
          </cell>
          <cell r="Y75">
            <v>192</v>
          </cell>
          <cell r="Z75" t="str">
            <v>224x180xPL18</v>
          </cell>
          <cell r="AA75">
            <v>5.7</v>
          </cell>
          <cell r="AC75">
            <v>5.7</v>
          </cell>
        </row>
        <row r="76">
          <cell r="B76" t="str">
            <v>MS 24</v>
          </cell>
          <cell r="C76" t="str">
            <v>224x180xPL10</v>
          </cell>
          <cell r="D76">
            <v>3.2</v>
          </cell>
          <cell r="E76">
            <v>8</v>
          </cell>
          <cell r="F76">
            <v>26</v>
          </cell>
          <cell r="G76">
            <v>364</v>
          </cell>
          <cell r="H76">
            <v>112</v>
          </cell>
          <cell r="I76">
            <v>24</v>
          </cell>
          <cell r="J76">
            <v>77</v>
          </cell>
          <cell r="K76">
            <v>154</v>
          </cell>
          <cell r="L76">
            <v>48</v>
          </cell>
          <cell r="M76">
            <v>40</v>
          </cell>
          <cell r="N76">
            <v>128</v>
          </cell>
          <cell r="O76">
            <v>1024</v>
          </cell>
          <cell r="P76">
            <v>320</v>
          </cell>
          <cell r="Y76">
            <v>480</v>
          </cell>
          <cell r="Z76" t="str">
            <v>224x180xPL10</v>
          </cell>
          <cell r="AA76">
            <v>3.2</v>
          </cell>
          <cell r="AC76">
            <v>3.2</v>
          </cell>
        </row>
        <row r="77">
          <cell r="B77" t="str">
            <v>MS 26</v>
          </cell>
          <cell r="C77" t="str">
            <v>466x200xPL8</v>
          </cell>
          <cell r="D77">
            <v>5.9</v>
          </cell>
          <cell r="E77">
            <v>32</v>
          </cell>
          <cell r="F77">
            <v>189</v>
          </cell>
          <cell r="G77">
            <v>2646</v>
          </cell>
          <cell r="H77">
            <v>448</v>
          </cell>
          <cell r="I77">
            <v>40</v>
          </cell>
          <cell r="J77">
            <v>236</v>
          </cell>
          <cell r="K77">
            <v>472</v>
          </cell>
          <cell r="L77">
            <v>80</v>
          </cell>
          <cell r="M77">
            <v>32</v>
          </cell>
          <cell r="N77">
            <v>189</v>
          </cell>
          <cell r="O77">
            <v>1512</v>
          </cell>
          <cell r="P77">
            <v>256</v>
          </cell>
          <cell r="Y77">
            <v>784</v>
          </cell>
          <cell r="Z77" t="str">
            <v>466x200xPL8</v>
          </cell>
          <cell r="AA77">
            <v>5.9</v>
          </cell>
          <cell r="AC77">
            <v>5.9</v>
          </cell>
        </row>
        <row r="78">
          <cell r="B78" t="str">
            <v>MS 27</v>
          </cell>
          <cell r="C78" t="str">
            <v>371x200xPL6</v>
          </cell>
          <cell r="D78">
            <v>3.5</v>
          </cell>
          <cell r="E78">
            <v>16</v>
          </cell>
          <cell r="F78">
            <v>56</v>
          </cell>
          <cell r="G78">
            <v>784</v>
          </cell>
          <cell r="H78">
            <v>224</v>
          </cell>
          <cell r="I78">
            <v>16</v>
          </cell>
          <cell r="J78">
            <v>56</v>
          </cell>
          <cell r="K78">
            <v>112</v>
          </cell>
          <cell r="L78">
            <v>32</v>
          </cell>
          <cell r="M78">
            <v>16</v>
          </cell>
          <cell r="N78">
            <v>56</v>
          </cell>
          <cell r="O78">
            <v>448</v>
          </cell>
          <cell r="P78">
            <v>128</v>
          </cell>
          <cell r="Y78">
            <v>384</v>
          </cell>
          <cell r="Z78" t="str">
            <v>371x200xPL6</v>
          </cell>
          <cell r="AA78">
            <v>3.5</v>
          </cell>
          <cell r="AC78">
            <v>3.5</v>
          </cell>
        </row>
        <row r="79">
          <cell r="B79" t="str">
            <v>MS 29</v>
          </cell>
          <cell r="C79" t="str">
            <v>610x200xPL6</v>
          </cell>
          <cell r="D79">
            <v>5.7</v>
          </cell>
          <cell r="E79">
            <v>8</v>
          </cell>
          <cell r="F79">
            <v>46</v>
          </cell>
          <cell r="G79">
            <v>644</v>
          </cell>
          <cell r="H79">
            <v>112</v>
          </cell>
          <cell r="I79">
            <v>8</v>
          </cell>
          <cell r="J79">
            <v>46</v>
          </cell>
          <cell r="K79">
            <v>92</v>
          </cell>
          <cell r="L79">
            <v>16</v>
          </cell>
          <cell r="M79">
            <v>24</v>
          </cell>
          <cell r="N79">
            <v>137</v>
          </cell>
          <cell r="O79">
            <v>1096</v>
          </cell>
          <cell r="P79">
            <v>192</v>
          </cell>
          <cell r="Y79">
            <v>320</v>
          </cell>
          <cell r="Z79" t="str">
            <v>610x200xPL6</v>
          </cell>
          <cell r="AA79">
            <v>5.7</v>
          </cell>
          <cell r="AC79">
            <v>5.7</v>
          </cell>
        </row>
        <row r="80">
          <cell r="B80" t="str">
            <v>MS 30</v>
          </cell>
          <cell r="C80" t="str">
            <v>506x200xPL8</v>
          </cell>
          <cell r="D80">
            <v>6.4</v>
          </cell>
          <cell r="E80">
            <v>32</v>
          </cell>
          <cell r="F80">
            <v>205</v>
          </cell>
          <cell r="G80">
            <v>2870</v>
          </cell>
          <cell r="H80">
            <v>448</v>
          </cell>
          <cell r="I80">
            <v>32</v>
          </cell>
          <cell r="J80">
            <v>205</v>
          </cell>
          <cell r="K80">
            <v>410</v>
          </cell>
          <cell r="L80">
            <v>64</v>
          </cell>
          <cell r="M80">
            <v>32</v>
          </cell>
          <cell r="N80">
            <v>205</v>
          </cell>
          <cell r="O80">
            <v>1640</v>
          </cell>
          <cell r="P80">
            <v>256</v>
          </cell>
          <cell r="Y80">
            <v>768</v>
          </cell>
          <cell r="Z80" t="str">
            <v>506x200xPL8</v>
          </cell>
          <cell r="AA80">
            <v>6.4</v>
          </cell>
          <cell r="AC80">
            <v>6.4</v>
          </cell>
        </row>
        <row r="81">
          <cell r="B81" t="str">
            <v>MS 31</v>
          </cell>
          <cell r="C81" t="str">
            <v>411x200xPL6</v>
          </cell>
          <cell r="D81">
            <v>3.9</v>
          </cell>
          <cell r="E81">
            <v>16</v>
          </cell>
          <cell r="F81">
            <v>62</v>
          </cell>
          <cell r="G81">
            <v>868</v>
          </cell>
          <cell r="H81">
            <v>224</v>
          </cell>
          <cell r="I81">
            <v>8</v>
          </cell>
          <cell r="J81">
            <v>31</v>
          </cell>
          <cell r="K81">
            <v>62</v>
          </cell>
          <cell r="L81">
            <v>16</v>
          </cell>
          <cell r="M81">
            <v>16</v>
          </cell>
          <cell r="N81">
            <v>62</v>
          </cell>
          <cell r="O81">
            <v>496</v>
          </cell>
          <cell r="P81">
            <v>128</v>
          </cell>
          <cell r="Y81">
            <v>368</v>
          </cell>
          <cell r="Z81" t="str">
            <v>411x200xPL6</v>
          </cell>
          <cell r="AA81">
            <v>3.9</v>
          </cell>
          <cell r="AC81">
            <v>3.9</v>
          </cell>
        </row>
        <row r="82">
          <cell r="B82" t="str">
            <v>MS 32</v>
          </cell>
          <cell r="C82" t="str">
            <v>650x200xPL8</v>
          </cell>
          <cell r="D82">
            <v>8.1999999999999993</v>
          </cell>
          <cell r="E82">
            <v>0</v>
          </cell>
          <cell r="F82">
            <v>0</v>
          </cell>
          <cell r="G82">
            <v>0</v>
          </cell>
          <cell r="H82">
            <v>0</v>
          </cell>
          <cell r="I82">
            <v>8</v>
          </cell>
          <cell r="J82">
            <v>66</v>
          </cell>
          <cell r="K82">
            <v>132</v>
          </cell>
          <cell r="L82">
            <v>16</v>
          </cell>
          <cell r="M82">
            <v>0</v>
          </cell>
          <cell r="N82">
            <v>0</v>
          </cell>
          <cell r="O82">
            <v>0</v>
          </cell>
          <cell r="P82">
            <v>0</v>
          </cell>
          <cell r="Y82">
            <v>16</v>
          </cell>
          <cell r="Z82" t="str">
            <v>650x200xPL8</v>
          </cell>
          <cell r="AA82">
            <v>8.1999999999999993</v>
          </cell>
          <cell r="AC82">
            <v>8.1999999999999993</v>
          </cell>
        </row>
        <row r="83">
          <cell r="B83" t="str">
            <v>MS 33</v>
          </cell>
          <cell r="C83" t="str">
            <v>650x200xPL6</v>
          </cell>
          <cell r="D83">
            <v>6.1</v>
          </cell>
          <cell r="E83">
            <v>8</v>
          </cell>
          <cell r="F83">
            <v>49</v>
          </cell>
          <cell r="G83">
            <v>686</v>
          </cell>
          <cell r="H83">
            <v>112</v>
          </cell>
          <cell r="I83">
            <v>16</v>
          </cell>
          <cell r="J83">
            <v>98</v>
          </cell>
          <cell r="K83">
            <v>196</v>
          </cell>
          <cell r="L83">
            <v>32</v>
          </cell>
          <cell r="M83">
            <v>24</v>
          </cell>
          <cell r="N83">
            <v>146</v>
          </cell>
          <cell r="O83">
            <v>1168</v>
          </cell>
          <cell r="P83">
            <v>192</v>
          </cell>
          <cell r="Y83">
            <v>336</v>
          </cell>
          <cell r="Z83" t="str">
            <v>650x200xPL6</v>
          </cell>
          <cell r="AA83">
            <v>6.1</v>
          </cell>
          <cell r="AC83">
            <v>6.1</v>
          </cell>
        </row>
        <row r="85">
          <cell r="B85" t="str">
            <v>ASSEMBLING</v>
          </cell>
          <cell r="E85">
            <v>18</v>
          </cell>
          <cell r="F85">
            <v>506</v>
          </cell>
          <cell r="G85">
            <v>7084</v>
          </cell>
          <cell r="H85">
            <v>252</v>
          </cell>
          <cell r="I85">
            <v>18</v>
          </cell>
          <cell r="J85">
            <v>506</v>
          </cell>
          <cell r="K85">
            <v>1012</v>
          </cell>
          <cell r="L85">
            <v>36</v>
          </cell>
          <cell r="M85">
            <v>18</v>
          </cell>
          <cell r="N85">
            <v>506</v>
          </cell>
          <cell r="O85">
            <v>4048</v>
          </cell>
          <cell r="P85">
            <v>144</v>
          </cell>
          <cell r="Q85">
            <v>1</v>
          </cell>
          <cell r="R85">
            <v>506</v>
          </cell>
          <cell r="S85">
            <v>1012</v>
          </cell>
          <cell r="T85">
            <v>1012</v>
          </cell>
          <cell r="U85">
            <v>1</v>
          </cell>
          <cell r="V85">
            <v>506</v>
          </cell>
          <cell r="W85">
            <v>1012</v>
          </cell>
          <cell r="X85">
            <v>1012</v>
          </cell>
        </row>
        <row r="86">
          <cell r="B86" t="str">
            <v>MBA 3</v>
          </cell>
          <cell r="C86">
            <v>0</v>
          </cell>
          <cell r="D86">
            <v>50</v>
          </cell>
          <cell r="E86">
            <v>4</v>
          </cell>
          <cell r="F86">
            <v>200</v>
          </cell>
          <cell r="G86">
            <v>2800</v>
          </cell>
          <cell r="H86">
            <v>56</v>
          </cell>
          <cell r="I86">
            <v>4</v>
          </cell>
          <cell r="J86">
            <v>200</v>
          </cell>
          <cell r="K86">
            <v>400</v>
          </cell>
          <cell r="L86">
            <v>8</v>
          </cell>
          <cell r="M86">
            <v>4</v>
          </cell>
          <cell r="N86">
            <v>200</v>
          </cell>
          <cell r="O86">
            <v>1600</v>
          </cell>
          <cell r="P86">
            <v>32</v>
          </cell>
          <cell r="Y86">
            <v>96</v>
          </cell>
          <cell r="Z86">
            <v>0</v>
          </cell>
          <cell r="AA86">
            <v>50</v>
          </cell>
          <cell r="AC86">
            <v>50</v>
          </cell>
        </row>
        <row r="87">
          <cell r="B87" t="str">
            <v>MBA 4</v>
          </cell>
          <cell r="C87" t="str">
            <v>360x230xPL10</v>
          </cell>
          <cell r="D87">
            <v>6.5</v>
          </cell>
          <cell r="E87">
            <v>8</v>
          </cell>
          <cell r="F87">
            <v>52</v>
          </cell>
          <cell r="G87">
            <v>728</v>
          </cell>
          <cell r="H87">
            <v>112</v>
          </cell>
          <cell r="I87">
            <v>8</v>
          </cell>
          <cell r="J87">
            <v>52</v>
          </cell>
          <cell r="K87">
            <v>104</v>
          </cell>
          <cell r="L87">
            <v>16</v>
          </cell>
          <cell r="M87">
            <v>8</v>
          </cell>
          <cell r="N87">
            <v>52</v>
          </cell>
          <cell r="O87">
            <v>416</v>
          </cell>
          <cell r="P87">
            <v>64</v>
          </cell>
          <cell r="Y87">
            <v>192</v>
          </cell>
          <cell r="Z87" t="str">
            <v>360x230xPL10</v>
          </cell>
          <cell r="AA87">
            <v>6.5</v>
          </cell>
          <cell r="AC87">
            <v>6.5</v>
          </cell>
        </row>
        <row r="88">
          <cell r="B88" t="str">
            <v>MTP</v>
          </cell>
          <cell r="C88" t="str">
            <v>699x440xPL10</v>
          </cell>
          <cell r="D88">
            <v>24</v>
          </cell>
          <cell r="E88">
            <v>4</v>
          </cell>
          <cell r="F88">
            <v>96</v>
          </cell>
          <cell r="G88">
            <v>1344</v>
          </cell>
          <cell r="H88">
            <v>56</v>
          </cell>
          <cell r="I88">
            <v>4</v>
          </cell>
          <cell r="J88">
            <v>96</v>
          </cell>
          <cell r="K88">
            <v>192</v>
          </cell>
          <cell r="L88">
            <v>8</v>
          </cell>
          <cell r="M88">
            <v>4</v>
          </cell>
          <cell r="N88">
            <v>96</v>
          </cell>
          <cell r="O88">
            <v>768</v>
          </cell>
          <cell r="P88">
            <v>32</v>
          </cell>
          <cell r="Y88">
            <v>96</v>
          </cell>
          <cell r="Z88" t="str">
            <v>699x440xPL10</v>
          </cell>
          <cell r="AA88">
            <v>24</v>
          </cell>
          <cell r="AC88">
            <v>24</v>
          </cell>
        </row>
        <row r="89">
          <cell r="B89" t="str">
            <v>LS</v>
          </cell>
          <cell r="C89" t="str">
            <v>350x175x7x11 - 804</v>
          </cell>
          <cell r="D89">
            <v>79</v>
          </cell>
          <cell r="E89">
            <v>2</v>
          </cell>
          <cell r="F89">
            <v>158</v>
          </cell>
          <cell r="G89">
            <v>2212</v>
          </cell>
          <cell r="H89">
            <v>28</v>
          </cell>
          <cell r="I89">
            <v>2</v>
          </cell>
          <cell r="J89">
            <v>158</v>
          </cell>
          <cell r="K89">
            <v>316</v>
          </cell>
          <cell r="L89">
            <v>4</v>
          </cell>
          <cell r="M89">
            <v>2</v>
          </cell>
          <cell r="N89">
            <v>158</v>
          </cell>
          <cell r="O89">
            <v>1264</v>
          </cell>
          <cell r="P89">
            <v>16</v>
          </cell>
          <cell r="Y89">
            <v>48</v>
          </cell>
          <cell r="Z89" t="str">
            <v>350x175x7x11 - 804</v>
          </cell>
          <cell r="AA89">
            <v>79</v>
          </cell>
          <cell r="AC89">
            <v>79</v>
          </cell>
        </row>
        <row r="91">
          <cell r="B91" t="str">
            <v>SUB TOTAL I</v>
          </cell>
          <cell r="E91">
            <v>814</v>
          </cell>
          <cell r="F91">
            <v>52952</v>
          </cell>
          <cell r="G91">
            <v>741328</v>
          </cell>
          <cell r="H91">
            <v>11396</v>
          </cell>
          <cell r="I91">
            <v>941</v>
          </cell>
          <cell r="J91">
            <v>61130</v>
          </cell>
          <cell r="K91">
            <v>122260</v>
          </cell>
          <cell r="L91">
            <v>1882</v>
          </cell>
          <cell r="M91">
            <v>1036</v>
          </cell>
          <cell r="N91">
            <v>71391</v>
          </cell>
          <cell r="O91">
            <v>571128</v>
          </cell>
          <cell r="P91">
            <v>8288</v>
          </cell>
          <cell r="R91">
            <v>55194.149999999994</v>
          </cell>
          <cell r="S91">
            <v>110388.29999999999</v>
          </cell>
          <cell r="T91">
            <v>114703.71428571426</v>
          </cell>
          <cell r="V91">
            <v>48916.130000000005</v>
          </cell>
          <cell r="W91">
            <v>97832.260000000009</v>
          </cell>
          <cell r="X91">
            <v>101572.28571428571</v>
          </cell>
        </row>
        <row r="93">
          <cell r="B93" t="str">
            <v>WELDED</v>
          </cell>
          <cell r="E93">
            <v>8</v>
          </cell>
          <cell r="F93">
            <v>3536</v>
          </cell>
          <cell r="G93">
            <v>49504</v>
          </cell>
          <cell r="H93">
            <v>112</v>
          </cell>
          <cell r="I93">
            <v>8</v>
          </cell>
          <cell r="J93">
            <v>3536</v>
          </cell>
          <cell r="K93">
            <v>7072</v>
          </cell>
          <cell r="L93">
            <v>16</v>
          </cell>
          <cell r="M93">
            <v>8</v>
          </cell>
          <cell r="N93">
            <v>3536</v>
          </cell>
          <cell r="O93">
            <v>28288</v>
          </cell>
          <cell r="P93">
            <v>64</v>
          </cell>
          <cell r="Q93">
            <v>1</v>
          </cell>
          <cell r="R93">
            <v>3536</v>
          </cell>
          <cell r="S93">
            <v>7072</v>
          </cell>
          <cell r="T93">
            <v>7072</v>
          </cell>
          <cell r="U93">
            <v>1</v>
          </cell>
          <cell r="V93">
            <v>3536</v>
          </cell>
          <cell r="W93">
            <v>7072</v>
          </cell>
          <cell r="X93">
            <v>7072</v>
          </cell>
        </row>
        <row r="94">
          <cell r="B94" t="str">
            <v>DM3</v>
          </cell>
          <cell r="C94" t="str">
            <v>H298x250x8x14 - 6139</v>
          </cell>
          <cell r="D94">
            <v>442</v>
          </cell>
          <cell r="E94">
            <v>8</v>
          </cell>
          <cell r="F94">
            <v>3536</v>
          </cell>
          <cell r="G94">
            <v>49504</v>
          </cell>
          <cell r="H94">
            <v>112</v>
          </cell>
          <cell r="I94">
            <v>4</v>
          </cell>
          <cell r="J94">
            <v>1768</v>
          </cell>
          <cell r="K94">
            <v>3536</v>
          </cell>
          <cell r="L94">
            <v>8</v>
          </cell>
          <cell r="M94">
            <v>8</v>
          </cell>
          <cell r="N94">
            <v>3536</v>
          </cell>
          <cell r="O94">
            <v>28288</v>
          </cell>
          <cell r="P94">
            <v>64</v>
          </cell>
          <cell r="Y94">
            <v>184</v>
          </cell>
          <cell r="Z94" t="str">
            <v>H298x250x8x14 - 6139</v>
          </cell>
          <cell r="AA94">
            <v>442</v>
          </cell>
          <cell r="AC94">
            <v>442</v>
          </cell>
        </row>
        <row r="95">
          <cell r="B95" t="str">
            <v>DM3X</v>
          </cell>
          <cell r="C95" t="str">
            <v>H298x250x8x14 - 6139</v>
          </cell>
          <cell r="D95">
            <v>442</v>
          </cell>
          <cell r="E95">
            <v>0</v>
          </cell>
          <cell r="F95">
            <v>0</v>
          </cell>
          <cell r="G95">
            <v>0</v>
          </cell>
          <cell r="H95">
            <v>0</v>
          </cell>
          <cell r="I95">
            <v>4</v>
          </cell>
          <cell r="J95">
            <v>1768</v>
          </cell>
          <cell r="K95">
            <v>3536</v>
          </cell>
          <cell r="L95">
            <v>8</v>
          </cell>
          <cell r="M95">
            <v>0</v>
          </cell>
          <cell r="N95">
            <v>0</v>
          </cell>
          <cell r="O95">
            <v>0</v>
          </cell>
          <cell r="P95">
            <v>0</v>
          </cell>
          <cell r="Y95">
            <v>8</v>
          </cell>
          <cell r="Z95" t="str">
            <v>H298x250x8x14 - 6139</v>
          </cell>
          <cell r="AA95">
            <v>442</v>
          </cell>
          <cell r="AC95">
            <v>442</v>
          </cell>
        </row>
      </sheetData>
      <sheetData sheetId="1">
        <row r="1">
          <cell r="A1">
            <v>0</v>
          </cell>
        </row>
      </sheetData>
      <sheetData sheetId="2">
        <row r="11">
          <cell r="B11" t="str">
            <v>CHORD</v>
          </cell>
        </row>
      </sheetData>
      <sheetData sheetId="3"/>
      <sheetData sheetId="4"/>
      <sheetData sheetId="5"/>
      <sheetData sheetId="6"/>
      <sheetData sheetId="7"/>
      <sheetData sheetId="8"/>
      <sheetData sheetId="9">
        <row r="11">
          <cell r="B11" t="str">
            <v>CHORD</v>
          </cell>
        </row>
      </sheetData>
      <sheetData sheetId="10">
        <row r="1">
          <cell r="A1">
            <v>0</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refreshError="1"/>
      <sheetData sheetId="79" refreshError="1"/>
      <sheetData sheetId="80" refreshError="1"/>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a.rekap"/>
      <sheetName val="1b.bill"/>
      <sheetName val="14.met"/>
      <sheetName val="5.anmpu"/>
      <sheetName val="3.hsd"/>
      <sheetName val="7.rutin"/>
      <sheetName val="4.dafmpu"/>
      <sheetName val="2.jadual"/>
      <sheetName val="8.alat"/>
      <sheetName val="9.staf"/>
      <sheetName val="10.sub"/>
      <sheetName val="6.Mob"/>
      <sheetName val="M"/>
      <sheetName val="lali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Elektrikal"/>
      <sheetName val="Elektronik"/>
      <sheetName val="AC"/>
      <sheetName val="Plumbing"/>
      <sheetName val="spek"/>
      <sheetName val="rekap.evals"/>
      <sheetName val="elec.evals"/>
      <sheetName val="elka.evals"/>
      <sheetName val="AC.evals"/>
      <sheetName val="Plum.evals"/>
      <sheetName val="BQ"/>
      <sheetName val="ana_str"/>
      <sheetName val="REF.ONLY"/>
      <sheetName val="Rekap Direct Cost"/>
      <sheetName val="analisa"/>
      <sheetName val="price"/>
      <sheetName val="HB"/>
      <sheetName val="OFFICE 2 LT"/>
      <sheetName val="Pag_hal"/>
      <sheetName val="Daf 1"/>
      <sheetName val="DAF-2"/>
      <sheetName val="TOWN"/>
      <sheetName val="Bill sipil"/>
      <sheetName val="A+Supl."/>
      <sheetName val="7"/>
      <sheetName val="COA"/>
      <sheetName val="B - Norelec"/>
      <sheetName val="Harga Satuan"/>
      <sheetName val="Meto"/>
      <sheetName val="Bahan"/>
      <sheetName val="har-sat"/>
      <sheetName val="Panel,feeder,elek"/>
      <sheetName val="DAF_2"/>
      <sheetName val="TENAGA"/>
      <sheetName val="main summary"/>
      <sheetName val="anal"/>
      <sheetName val="Bunga"/>
      <sheetName val="harsat"/>
      <sheetName val="Hrg.Sat"/>
      <sheetName val="Harga ME "/>
      <sheetName val="Pt"/>
      <sheetName val="dia-in"/>
      <sheetName val="Upah"/>
      <sheetName val="ahas-ins"/>
      <sheetName val="Bill No.13.1"/>
      <sheetName val="Pipe"/>
      <sheetName val="Rekap Prelim"/>
      <sheetName val="Plmbg "/>
      <sheetName val="Electronic"/>
      <sheetName val="HARGA MATERIAL"/>
      <sheetName val="satuan_pek_ars"/>
      <sheetName val="Koefisien"/>
      <sheetName val="41,9&amp;36,3"/>
      <sheetName val="DAF-1"/>
      <sheetName val="Meth "/>
      <sheetName val="ANALISA HARGA SATUAN"/>
      <sheetName val="Analisa Upah &amp; Bahan Plum"/>
      <sheetName val="ARSUtM "/>
      <sheetName val="REQDELTA"/>
      <sheetName val="NAME"/>
      <sheetName val="Master 1.0"/>
      <sheetName val="Markup"/>
      <sheetName val="Cover Daf-2"/>
      <sheetName val="BQNSC"/>
      <sheetName val="Analisa -Baku"/>
      <sheetName val="Alat"/>
      <sheetName val="Analisa Gabungan"/>
      <sheetName val="Sub"/>
      <sheetName val="Koef"/>
      <sheetName val="Analisa  (2)"/>
      <sheetName val="an. struktur"/>
      <sheetName val="Dashboard"/>
      <sheetName val="BAG-2"/>
      <sheetName val="Prelim"/>
      <sheetName val="Analisa ME "/>
      <sheetName val="Direct Cost"/>
      <sheetName val="category"/>
      <sheetName val="satuan_pek_str"/>
      <sheetName val="Balok_1"/>
      <sheetName val="Cover"/>
      <sheetName val="Analisa Upah _ Bahan Plum"/>
      <sheetName val="harga"/>
      <sheetName val="RAB"/>
      <sheetName val="coeff"/>
      <sheetName val="upah bahan"/>
      <sheetName val="Hargamat"/>
      <sheetName val="Bill of Quantity"/>
      <sheetName val="PileCap"/>
      <sheetName val="Kolom"/>
      <sheetName val="TB"/>
      <sheetName val="FORM X COST"/>
      <sheetName val="LAL - PASAR PAGI "/>
      <sheetName val="TABLE"/>
      <sheetName val="DFT_ HRG BHN _ UPAH"/>
      <sheetName val="Ind.MP Sch."/>
      <sheetName val="Tata Udara"/>
      <sheetName val="Diameter"/>
      <sheetName val="Pek.Luar"/>
      <sheetName val="TABEL-DETASIR"/>
      <sheetName val="Analisa 2"/>
      <sheetName val="I-KAMAR"/>
      <sheetName val="BQ INTERN"/>
      <sheetName val="PORSI"/>
      <sheetName val="Bill of Qty MEP"/>
      <sheetName val="DIV.2"/>
      <sheetName val="An.Ars"/>
      <sheetName val="HDasar"/>
      <sheetName val="BQ1"/>
      <sheetName val="PORSI AMD4"/>
      <sheetName val="BQ Ak"/>
      <sheetName val="BQ Hk2"/>
      <sheetName val="Analisa &amp; Upah"/>
      <sheetName val="Data"/>
      <sheetName val="Daftar Harga Material"/>
      <sheetName val="Hrg"/>
      <sheetName val="H-BHN"/>
      <sheetName val="HSP"/>
      <sheetName val="304-06"/>
      <sheetName val="DAF-9"/>
      <sheetName val="Fill this out first___"/>
      <sheetName val="data-centre"/>
      <sheetName val="Isolasi Luar Dalam"/>
      <sheetName val="Isolasi Luar"/>
      <sheetName val="TE TS FA LAN MATV"/>
      <sheetName val="ES_aLL"/>
      <sheetName val="AHS"/>
      <sheetName val="BAHAN &amp; UPAH"/>
      <sheetName val="REKAP STRUKTUR"/>
      <sheetName val="BQ-E20-02(Rp)"/>
      <sheetName val="FINISHING"/>
      <sheetName val="an_ struktur"/>
      <sheetName val="struktur tdk dipakai"/>
      <sheetName val="REMUNERASISTANDAR"/>
      <sheetName val="Mall"/>
      <sheetName val="OH-10BLN"/>
      <sheetName val="Budget"/>
      <sheetName val="5"/>
      <sheetName val="5-1"/>
      <sheetName val="7.2"/>
      <sheetName val="WF "/>
      <sheetName val="Du_lieu"/>
      <sheetName val="BALI"/>
      <sheetName val="PENJUALAN PB 2013"/>
      <sheetName val="Sort RKAPK"/>
      <sheetName val="HRG BHN"/>
      <sheetName val="Foundation"/>
      <sheetName val="NS GD.UGD"/>
      <sheetName val="STD GD.UG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hboard"/>
      <sheetName val="Kurva-s"/>
      <sheetName val="REKAPITULASI"/>
      <sheetName val="STRUKTUR"/>
      <sheetName val="Add Arsitektur"/>
      <sheetName val="ARSITEKTUR"/>
      <sheetName val="tambah"/>
      <sheetName val="M&amp;E"/>
      <sheetName val="Material"/>
      <sheetName val="Upah"/>
      <sheetName val="analisa Str"/>
      <sheetName val="Analisa"/>
      <sheetName val="Ana Beton"/>
      <sheetName val="Ana Sanitair"/>
      <sheetName val="Material-List"/>
      <sheetName val="REKAP"/>
      <sheetName val="H-BHN"/>
      <sheetName val="Bill No 6 Koord &amp; Attendance"/>
      <sheetName val="Elektrikal"/>
      <sheetName val="BQ BNI BEKASI"/>
      <sheetName val="D HARGA"/>
      <sheetName val="Metod TWR"/>
      <sheetName val="Hrg. Sat"/>
      <sheetName val="HARGA BAHAN 2016"/>
      <sheetName val="Harga satuan"/>
      <sheetName val="Meth"/>
      <sheetName val="AN-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8">
          <cell r="J8">
            <v>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Ana-prel"/>
      <sheetName val="Prelim"/>
      <sheetName val="Ratio"/>
      <sheetName val="326BQSMB"/>
      <sheetName val="326BQSCC"/>
      <sheetName val="326BQSCF"/>
      <sheetName val="Dashboard"/>
      <sheetName val="Analisa"/>
      <sheetName val="Hargamat"/>
      <sheetName val="APPENDIX-G"/>
      <sheetName val="APPENDIX-G table 2"/>
      <sheetName val="Upah+Bahan"/>
      <sheetName val="Ind.MP Sch."/>
      <sheetName val="Analisa Harga Satuan"/>
      <sheetName val="Alat"/>
      <sheetName val="Bahan"/>
      <sheetName val="Upah"/>
      <sheetName val="prog-mgu"/>
      <sheetName val="Pipe"/>
      <sheetName val="Material"/>
      <sheetName val="Man Power"/>
      <sheetName val="ana_str"/>
      <sheetName val="HARGA MATERIAL"/>
      <sheetName val="HARSAT-lain"/>
      <sheetName val="HARSAT-tanah"/>
      <sheetName val="HARSAT-lhn"/>
      <sheetName val="REQDELTA"/>
      <sheetName val="Cover"/>
      <sheetName val="HS_TRG"/>
      <sheetName val="Elektrikal"/>
      <sheetName val="DIV.2"/>
      <sheetName val="Harga ME "/>
      <sheetName val="#REF"/>
      <sheetName val="Meth"/>
      <sheetName val="AN-E"/>
      <sheetName val="DAF-1"/>
      <sheetName val="FORM X COST"/>
      <sheetName val="input"/>
      <sheetName val="RAB"/>
      <sheetName val="HRG BHN"/>
      <sheetName val="BQ"/>
      <sheetName val="TSS"/>
      <sheetName val="Upah&amp; Bahan"/>
      <sheetName val="BUL"/>
      <sheetName val="Sat Bah &amp; Up"/>
      <sheetName val="Arsitektur"/>
      <sheetName val="CH"/>
      <sheetName val="Koefisien"/>
      <sheetName val="도급양식"/>
      <sheetName val="Daf 1"/>
      <sheetName val="Analisa Upah &amp; Bahan Plum"/>
      <sheetName val="Sheet3"/>
      <sheetName val="HGB DUMAI"/>
      <sheetName val="Hrg"/>
      <sheetName val="NP"/>
      <sheetName val="ALL SUM"/>
      <sheetName val="PileCap"/>
      <sheetName val="Tie Beam GN"/>
      <sheetName val="HARGA BHN"/>
      <sheetName val="ANALISA HARGA 3"/>
      <sheetName val="H_BHN"/>
      <sheetName val="harsat"/>
      <sheetName val="S.UPAH"/>
      <sheetName val="BTL-Bau"/>
      <sheetName val="BTL-Persiapan"/>
      <sheetName val="CONS."/>
      <sheetName val="Panel,feeder,elek"/>
      <sheetName val="WF "/>
      <sheetName val="Analisa 2"/>
      <sheetName val="HSA &amp; PAB"/>
      <sheetName val="CPar"/>
      <sheetName val="Parameter"/>
      <sheetName val="HARGA SATUAN"/>
      <sheetName val="Sat~Bahu"/>
      <sheetName val="Mobilisasi"/>
      <sheetName val="tifico"/>
      <sheetName val="SAP"/>
      <sheetName val="main summary"/>
      <sheetName val="HRPar"/>
      <sheetName val="Hargamaterial"/>
      <sheetName val="hafele"/>
      <sheetName val="Fin-Bengkel"/>
      <sheetName val="Fin-Showroom"/>
      <sheetName val="Hal_Pagar"/>
      <sheetName val="Str-Bengkel"/>
      <sheetName val="Str-Showroom"/>
      <sheetName val="Klm-Mnl"/>
      <sheetName val="Tangga GN"/>
      <sheetName val="Data Grafik"/>
      <sheetName val="Rekap Direct Cost"/>
      <sheetName val="HARGA DASAR"/>
      <sheetName val="D.BOARD LAMA"/>
      <sheetName val="ANALIS2"/>
      <sheetName val="analisa ARS"/>
      <sheetName val="HARGA BAHAN (2015)"/>
      <sheetName val="HS"/>
      <sheetName val="H.Satuan"/>
      <sheetName val="BAHAN 2017"/>
      <sheetName val="BAHAN 2018"/>
      <sheetName val="Analisa Upah _ Bahan Plum"/>
      <sheetName val="index"/>
      <sheetName val="변화치수"/>
      <sheetName val="PropSum"/>
      <sheetName val="OrgRates2000"/>
      <sheetName val="Eng_Hrs _HO_"/>
      <sheetName val="Fill this out first___"/>
      <sheetName val="Harga dasr pek Betn"/>
      <sheetName val="boq"/>
      <sheetName val="Harga"/>
      <sheetName val="단중표"/>
      <sheetName val="H_Satuan"/>
      <sheetName val="data"/>
      <sheetName val="ANALISA BEA CUKAI"/>
      <sheetName val="STR"/>
      <sheetName val="bhn "/>
      <sheetName val="01A- RAB"/>
      <sheetName val="HSPK"/>
      <sheetName val="DIV.1"/>
      <sheetName val="RASK ALL"/>
      <sheetName val="Daft-HSD"/>
      <sheetName val="차액보증"/>
      <sheetName val="DU&amp;B"/>
      <sheetName val="RAB &amp; RCO OWNER VERS."/>
      <sheetName val="Upah _ Harga"/>
      <sheetName val="Surat"/>
      <sheetName val="DFT_ HRG BHN _ UPAH"/>
      <sheetName val="ANALISA STR _ ARS"/>
      <sheetName val="ANALISA-SNI"/>
      <sheetName val="Cover Daf-2"/>
      <sheetName val="Petunjuk Ngisi (2)"/>
      <sheetName val="A"/>
      <sheetName val="2-AHSP"/>
      <sheetName val="BQ ARS"/>
      <sheetName val="harga "/>
      <sheetName val="bhn-upah"/>
      <sheetName val="Analisa RAB"/>
      <sheetName val="BQ OE"/>
      <sheetName val="RekapEE"/>
      <sheetName val="RAB2EE"/>
      <sheetName val="Sheet1"/>
      <sheetName val="Analisa &amp; Upah"/>
      <sheetName val="PhaDoMong"/>
      <sheetName val="PEDESB"/>
      <sheetName val="TT35"/>
      <sheetName val="CTDZ6kv (gd1) "/>
      <sheetName val="CTDZ 0.4+cto (GD1)"/>
      <sheetName val="CTTBA (gd1)"/>
      <sheetName val="XL4Poppy"/>
      <sheetName val="Struktur"/>
      <sheetName val="Resume-Analisa"/>
      <sheetName val="共機J"/>
      <sheetName val="DAF-7"/>
      <sheetName val="TOWN"/>
      <sheetName val="Quantity"/>
      <sheetName val="DG "/>
      <sheetName val="NEW-PANEL"/>
      <sheetName val="GVL"/>
      <sheetName val="41,9&amp;36,3"/>
      <sheetName val="B - Norelec"/>
      <sheetName val="N"/>
      <sheetName val="Fill this out first..."/>
      <sheetName val="dghn"/>
      <sheetName val="BQ-Tenis"/>
      <sheetName val="A6"/>
      <sheetName val="BOQ_Aula"/>
      <sheetName val="Chiet tinh"/>
      <sheetName val="NC"/>
      <sheetName val="Rumus2"/>
      <sheetName val="CALCULATION"/>
      <sheetName val="PO."/>
      <sheetName val="TABEL ORDER"/>
      <sheetName val="TABEL BOOK"/>
      <sheetName val="tuong"/>
      <sheetName val="GRAND REKAP"/>
      <sheetName val="plumbing"/>
      <sheetName val="U,B"/>
      <sheetName val="AC-WC dan LAPIS PEREKAT"/>
      <sheetName val="beton k-350"/>
      <sheetName val="besi"/>
      <sheetName val="HSatuan"/>
      <sheetName val="Harsat Bahan"/>
      <sheetName val="Rkp_Anl"/>
      <sheetName val="compaction"/>
      <sheetName val="Meto"/>
      <sheetName val="SK"/>
      <sheetName val="Tunduk Panitia"/>
      <sheetName val="Scurve"/>
      <sheetName val="anaUTama"/>
      <sheetName val="TABLE"/>
      <sheetName val="Lumpsum"/>
      <sheetName val="URAIAN TEKNIS"/>
      <sheetName val="ANA-SDA"/>
      <sheetName val="(D) PERSIAPAN&amp;DEwatering"/>
      <sheetName val="(F)Tiang Pancang"/>
      <sheetName val="ANA-SUNGAI"/>
      <sheetName val="(H)Pintu Air"/>
      <sheetName val="(L) Pembersihan"/>
      <sheetName val="ANA-OP2"/>
      <sheetName val="ANA-CAT"/>
      <sheetName val="PIPA PVC"/>
      <sheetName val="ANA-TROTOAR"/>
      <sheetName val="ANA-SNI 2008"/>
      <sheetName val="ANA-OP"/>
      <sheetName val="Hit-O&amp;P"/>
      <sheetName val="DAF_1"/>
      <sheetName val="REKAP_MEKANIKAL"/>
      <sheetName val="Master Edit"/>
      <sheetName val="APP-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1">
          <cell r="O1">
            <v>1.1819999999999999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dayu-pandak"/>
      <sheetName val="BIAYA 2"/>
      <sheetName val="HSD"/>
      <sheetName val="ANAL"/>
      <sheetName val="SEWA ALAT"/>
      <sheetName val="met"/>
      <sheetName val="metode sentolo"/>
      <sheetName val="metode piyungan"/>
      <sheetName val="RUT"/>
      <sheetName val="PRUTIN"/>
    </sheetNames>
    <sheetDataSet>
      <sheetData sheetId="0" refreshError="1"/>
      <sheetData sheetId="1" refreshError="1"/>
      <sheetData sheetId="2" refreshError="1">
        <row r="45">
          <cell r="H45">
            <v>15000</v>
          </cell>
        </row>
        <row r="46">
          <cell r="H46">
            <v>3571.4285714285716</v>
          </cell>
        </row>
        <row r="47">
          <cell r="H47">
            <v>2857.1428571428573</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overed_Sheet1"/>
      <sheetName val="XXXXXX"/>
      <sheetName val="XXXXX0"/>
      <sheetName val="Cover&amp;Lamp."/>
      <sheetName val="DFTR HRG sat br"/>
      <sheetName val="METODE"/>
      <sheetName val="AHS"/>
      <sheetName val="REKAP"/>
      <sheetName val="BQ"/>
      <sheetName val="XXXXXXXX"/>
      <sheetName val="XL4Test5"/>
    </sheetNames>
    <sheetDataSet>
      <sheetData sheetId="0"/>
      <sheetData sheetId="1"/>
      <sheetData sheetId="2"/>
      <sheetData sheetId="3"/>
      <sheetData sheetId="4"/>
      <sheetData sheetId="5"/>
      <sheetData sheetId="6"/>
      <sheetData sheetId="7"/>
      <sheetData sheetId="8"/>
      <sheetData sheetId="9"/>
      <sheetData sheetId="10">
        <row r="15">
          <cell r="C15" t="b">
            <v>1</v>
          </cell>
        </row>
        <row r="33">
          <cell r="A33" t="b">
            <v>0</v>
          </cell>
        </row>
      </sheetData>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bq"/>
      <sheetName val="AHS Lapon Klas A"/>
      <sheetName val="Met_LPA"/>
      <sheetName val="AHS HRS-WC"/>
      <sheetName val="Met-HRS AC"/>
      <sheetName val="AHS HRS-BASE"/>
      <sheetName val="Urai_(HRS-BASE) "/>
      <sheetName val="AHS Ps Batu"/>
      <sheetName val="Urai Pas Batu"/>
      <sheetName val="On Site_Semen"/>
      <sheetName val="On Site_aspal"/>
      <sheetName val="On Site_Batu pecah"/>
      <sheetName val="On Site_Pasir"/>
      <sheetName val="On Site_Pasir Beton"/>
      <sheetName val="On Site_Besi ulir"/>
      <sheetName val="On Site_Agregat B"/>
      <sheetName val="On Site_Besi"/>
      <sheetName val="STAF"/>
      <sheetName val="ALAT"/>
      <sheetName val="SUB KON"/>
      <sheetName val="Komponen"/>
      <sheetName val="Ahs LPB"/>
      <sheetName val="Urai_LPB)"/>
      <sheetName val="Upah, Bahan dan Alat "/>
      <sheetName val="Ahs Resap Pengikat"/>
      <sheetName val="Urai _Resap pengikat"/>
      <sheetName val="Ahs Resap Perekat "/>
      <sheetName val="Urai _Lapis Perekat"/>
      <sheetName val="Schdl"/>
      <sheetName val="Sheet1"/>
      <sheetName val="Sheet2"/>
      <sheetName val="Sheet3"/>
      <sheetName val="Met_Hrs base"/>
      <sheetName val="Met Pas Batu"/>
      <sheetName val="BAG-2"/>
      <sheetName val="Material"/>
      <sheetName val="Currency Rate"/>
      <sheetName val="BQ (by owner)"/>
      <sheetName val="rab me (fisik)"/>
      <sheetName val="rab me (by owner) "/>
      <sheetName val="tifico"/>
      <sheetName val="Bill 2"/>
      <sheetName val="Metod TWR"/>
      <sheetName val="analisa"/>
      <sheetName val="SAT-BHN"/>
      <sheetName val="PERSIAPAN"/>
      <sheetName val="STRUKTUR"/>
      <sheetName val="BOQ"/>
      <sheetName val="C"/>
      <sheetName val="Rekap Direct Cost"/>
      <sheetName val="MT"/>
      <sheetName val="LOADDAT"/>
      <sheetName val="Basic Price"/>
      <sheetName val="Anls"/>
      <sheetName val="K"/>
      <sheetName val="H-BHN"/>
      <sheetName val="Hargamat"/>
      <sheetName val="Elektrikal"/>
      <sheetName val="Cover Daf-2"/>
      <sheetName val="Cover Daf_2"/>
      <sheetName val="Cover"/>
      <sheetName val="Rek-Mec"/>
      <sheetName val="unit_rate"/>
      <sheetName val="DAF-MATERIAL"/>
      <sheetName val="SEX"/>
      <sheetName val="ANA"/>
      <sheetName val="Hrg Mat dasar"/>
      <sheetName val="Analisa STR"/>
      <sheetName val="ESCON"/>
      <sheetName val="MVC"/>
      <sheetName val="H.Satuan"/>
      <sheetName val="rekap1"/>
      <sheetName val="Kuantitas &amp; Harga"/>
      <sheetName val="RAB"/>
      <sheetName val="S_DAYA"/>
      <sheetName val="Met_Pas Batu"/>
      <sheetName val="Met_ Minor"/>
      <sheetName val="Mobilisasi"/>
      <sheetName val="Harsat"/>
      <sheetName val="main summary"/>
      <sheetName val="FINISHING"/>
      <sheetName val="AC"/>
      <sheetName val="I-KAMAR"/>
      <sheetName val="I_KAMAR"/>
      <sheetName val="MT-C"/>
      <sheetName val="Bahan"/>
      <sheetName val="UPAH"/>
      <sheetName val="Harsat Rek"/>
      <sheetName val="SAT"/>
      <sheetName val="Anal"/>
      <sheetName val="REK"/>
      <sheetName val="Analisa Biaya Alat"/>
      <sheetName val="RAPlenk"/>
      <sheetName val="Koefisien"/>
      <sheetName val="HB"/>
      <sheetName val="Ch"/>
      <sheetName val="Indirect_Const"/>
      <sheetName val="RAB AR&amp;STR"/>
      <sheetName val="bahan upah"/>
      <sheetName val="NP"/>
      <sheetName val="LAMA-3"/>
      <sheetName val="LAMA-4"/>
      <sheetName val="Resources"/>
      <sheetName val="CV"/>
      <sheetName val="BAG_2"/>
      <sheetName val="Div3"/>
      <sheetName val="Perm. Test"/>
      <sheetName val="DATA"/>
      <sheetName val="IN OUT"/>
      <sheetName val="DATA1"/>
      <sheetName val="CONS."/>
      <sheetName val="Panel,feeder,elek"/>
    </sheetNames>
    <sheetDataSet>
      <sheetData sheetId="0">
        <row r="1">
          <cell r="A1" t="str">
            <v>ITEM PEMBAYARAN NO.</v>
          </cell>
        </row>
      </sheetData>
      <sheetData sheetId="1" refreshError="1"/>
      <sheetData sheetId="2" refreshError="1"/>
      <sheetData sheetId="3">
        <row r="1">
          <cell r="A1" t="str">
            <v>ITEM PEMBAYARAN NO.</v>
          </cell>
        </row>
      </sheetData>
      <sheetData sheetId="4">
        <row r="1">
          <cell r="A1" t="str">
            <v>ITEM PEMBAYARAN NO.</v>
          </cell>
        </row>
      </sheetData>
      <sheetData sheetId="5">
        <row r="1">
          <cell r="A1" t="str">
            <v>ITEM PEMBAYARAN NO.</v>
          </cell>
        </row>
      </sheetData>
      <sheetData sheetId="6">
        <row r="1">
          <cell r="A1" t="str">
            <v>ITEM PEMBAYARAN NO.</v>
          </cell>
        </row>
      </sheetData>
      <sheetData sheetId="7">
        <row r="1">
          <cell r="A1" t="str">
            <v>ITEM PEMBAYARAN NO.</v>
          </cell>
        </row>
      </sheetData>
      <sheetData sheetId="8">
        <row r="1">
          <cell r="A1" t="str">
            <v>ITEM PEMBAYARAN NO.</v>
          </cell>
        </row>
      </sheetData>
      <sheetData sheetId="9">
        <row r="1">
          <cell r="A1" t="str">
            <v>ITEM PEMBAYARAN NO.</v>
          </cell>
        </row>
      </sheetData>
      <sheetData sheetId="10">
        <row r="1">
          <cell r="A1" t="str">
            <v>ITEM PEMBAYARAN NO.</v>
          </cell>
        </row>
      </sheetData>
      <sheetData sheetId="11">
        <row r="1">
          <cell r="A1" t="str">
            <v>ITEM PEMBAYARAN NO.</v>
          </cell>
        </row>
      </sheetData>
      <sheetData sheetId="12">
        <row r="1">
          <cell r="A1" t="str">
            <v>ITEM PEMBAYARAN NO.</v>
          </cell>
        </row>
      </sheetData>
      <sheetData sheetId="13">
        <row r="1">
          <cell r="A1" t="str">
            <v>ITEM PEMBAYARAN NO.</v>
          </cell>
        </row>
      </sheetData>
      <sheetData sheetId="14">
        <row r="1">
          <cell r="A1" t="str">
            <v>ITEM PEMBAYARAN NO.</v>
          </cell>
        </row>
      </sheetData>
      <sheetData sheetId="15">
        <row r="1">
          <cell r="A1" t="str">
            <v>ITEM PEMBAYARAN NO.</v>
          </cell>
        </row>
      </sheetData>
      <sheetData sheetId="16">
        <row r="1">
          <cell r="A1" t="str">
            <v>ITEM PEMBAYARAN NO.</v>
          </cell>
        </row>
      </sheetData>
      <sheetData sheetId="17">
        <row r="1">
          <cell r="A1" t="str">
            <v>ITEM PEMBAYARAN NO.</v>
          </cell>
        </row>
      </sheetData>
      <sheetData sheetId="18">
        <row r="1">
          <cell r="A1" t="str">
            <v>ITEM PEMBAYARAN NO.</v>
          </cell>
        </row>
      </sheetData>
      <sheetData sheetId="19">
        <row r="1">
          <cell r="A1" t="str">
            <v>ITEM PEMBAYARAN NO.</v>
          </cell>
        </row>
      </sheetData>
      <sheetData sheetId="20">
        <row r="1">
          <cell r="A1" t="str">
            <v>ITEM PEMBAYARAN NO.</v>
          </cell>
        </row>
      </sheetData>
      <sheetData sheetId="21">
        <row r="1">
          <cell r="A1" t="str">
            <v>ITEM PEMBAYARAN NO.</v>
          </cell>
        </row>
      </sheetData>
      <sheetData sheetId="22">
        <row r="1">
          <cell r="A1" t="str">
            <v>ITEM PEMBAYARAN NO.</v>
          </cell>
        </row>
      </sheetData>
      <sheetData sheetId="23">
        <row r="1">
          <cell r="A1" t="str">
            <v>ITEM PEMBAYARAN NO.</v>
          </cell>
        </row>
      </sheetData>
      <sheetData sheetId="24">
        <row r="1">
          <cell r="A1" t="str">
            <v>ITEM PEMBAYARAN NO.</v>
          </cell>
        </row>
      </sheetData>
      <sheetData sheetId="25">
        <row r="1">
          <cell r="A1" t="str">
            <v>ITEM PEMBAYARAN NO.</v>
          </cell>
        </row>
      </sheetData>
      <sheetData sheetId="26" refreshError="1"/>
      <sheetData sheetId="27">
        <row r="1">
          <cell r="A1" t="str">
            <v>ITEM PEMBAYARAN NO.</v>
          </cell>
        </row>
      </sheetData>
      <sheetData sheetId="28">
        <row r="1">
          <cell r="A1" t="str">
            <v>ITEM PEMBAYARAN NO.</v>
          </cell>
        </row>
      </sheetData>
      <sheetData sheetId="29">
        <row r="1">
          <cell r="A1" t="str">
            <v>ITEM PEMBAYARAN NO.</v>
          </cell>
        </row>
      </sheetData>
      <sheetData sheetId="30">
        <row r="1">
          <cell r="A1" t="str">
            <v>ITEM PEMBAYARAN NO.</v>
          </cell>
        </row>
      </sheetData>
      <sheetData sheetId="31">
        <row r="1">
          <cell r="A1" t="str">
            <v>ITEM PEMBAYARAN NO.</v>
          </cell>
        </row>
      </sheetData>
      <sheetData sheetId="32">
        <row r="1">
          <cell r="A1" t="str">
            <v>ITEM PEMBAYARAN NO.</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CLAIMER"/>
      <sheetName val="MAJOR"/>
      <sheetName val="%"/>
      <sheetName val="Peta Quarry"/>
      <sheetName val="Rekap"/>
      <sheetName val="Mobilisasi"/>
      <sheetName val="Perhitungan Mobilisasi Alat"/>
      <sheetName val="Lalu Lintas"/>
      <sheetName val="Jembatan Sementara"/>
      <sheetName val="Informasi"/>
      <sheetName val="BOQ"/>
      <sheetName val="Analisa K3"/>
      <sheetName val="4-Basic Price (Pak.Maksum)"/>
      <sheetName val="Harga Satuan Dasar"/>
      <sheetName val="4-Analisa Quarry"/>
      <sheetName val="4-formulir harga bahan"/>
      <sheetName val="5-ALAT (2)"/>
      <sheetName val="Agg Halus &amp; Kasar"/>
      <sheetName val="Agg A"/>
      <sheetName val="Agg B"/>
      <sheetName val="Agg C"/>
      <sheetName val="Sheet1"/>
      <sheetName val="5-ALAT(1)"/>
      <sheetName val="4-Basic Price"/>
      <sheetName val="Cafer OE (9)"/>
      <sheetName val="Rekap (ALL)"/>
      <sheetName val="BOQ (ALL)"/>
      <sheetName val="Mobilisasi (PISAH)"/>
      <sheetName val="D2"/>
      <sheetName val="D3"/>
      <sheetName val="D4"/>
      <sheetName val="5.6(1)"/>
      <sheetName val="D5"/>
      <sheetName val="D6"/>
      <sheetName val="D6 ASBT"/>
      <sheetName val="D7(1)"/>
      <sheetName val="D7(2)"/>
      <sheetName val="D7(3)"/>
      <sheetName val="D8(1)"/>
      <sheetName val="D8(2)"/>
      <sheetName val="D9"/>
      <sheetName val="D10 LS-Rutin"/>
      <sheetName val="D10 Kuantitas"/>
      <sheetName val="D10 Analisa HS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rat Penawaran"/>
      <sheetName val="schedule"/>
      <sheetName val="Rekap"/>
      <sheetName val="Analisa batu kali"/>
      <sheetName val="Uraian Analisa"/>
      <sheetName val="harga Satua Dasar"/>
      <sheetName val="BIIL ASLI"/>
      <sheetName val="Usulan Alat"/>
      <sheetName val="biodata"/>
      <sheetName val="PERSONIL INTI"/>
      <sheetName val="METODE"/>
      <sheetName val="Komponen Dagri"/>
      <sheetName val="SPTA"/>
      <sheetName val="bill"/>
      <sheetName val="Daftar Harga"/>
      <sheetName val="Daftar Upah"/>
      <sheetName val="BQ"/>
      <sheetName val="HRG BHN"/>
      <sheetName val="analisa"/>
      <sheetName val="Analisa STR"/>
      <sheetName val="UPAH &amp; BHN ARS"/>
      <sheetName val="AHS ARS"/>
      <sheetName val="daf-3(OK)"/>
      <sheetName val="daf-7(OK)"/>
      <sheetName val="STAF"/>
      <sheetName val="Mgg-an"/>
      <sheetName val="Fill this out first___"/>
      <sheetName val="HARGA"/>
      <sheetName val="Analisa Struktur Beton"/>
      <sheetName val="L-Mechanical"/>
      <sheetName val="Lt 1"/>
      <sheetName val="Rekap Direct Cost"/>
      <sheetName val="Lt I"/>
      <sheetName val="ANALISA PEK.UMUM"/>
      <sheetName val="DATA"/>
      <sheetName val="BAHAN"/>
      <sheetName val="UPAH"/>
      <sheetName val="01A- RAB"/>
      <sheetName val="prelim"/>
      <sheetName val="Material"/>
      <sheetName val="rab me (by owner) "/>
      <sheetName val="BQ (by owner)"/>
      <sheetName val="rab me (fisik)"/>
    </sheetNames>
    <sheetDataSet>
      <sheetData sheetId="0"/>
      <sheetData sheetId="1"/>
      <sheetData sheetId="2"/>
      <sheetData sheetId="3">
        <row r="45">
          <cell r="H45">
            <v>352537.83399999992</v>
          </cell>
        </row>
      </sheetData>
      <sheetData sheetId="4"/>
      <sheetData sheetId="5">
        <row r="41">
          <cell r="I41">
            <v>0.996</v>
          </cell>
        </row>
      </sheetData>
      <sheetData sheetId="6">
        <row r="45">
          <cell r="M45">
            <v>1</v>
          </cell>
        </row>
        <row r="46">
          <cell r="M46">
            <v>-1</v>
          </cell>
        </row>
        <row r="48">
          <cell r="M48">
            <v>0.996</v>
          </cell>
        </row>
      </sheetData>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Estimate"/>
      <sheetName val="D2"/>
      <sheetName val="D3"/>
      <sheetName val="D4"/>
      <sheetName val="D5"/>
      <sheetName val="D6"/>
      <sheetName val="D7"/>
      <sheetName val="D8"/>
      <sheetName val="rutin"/>
      <sheetName val="10.1(1)"/>
      <sheetName val="10.1(2)"/>
      <sheetName val="10.1(3)"/>
      <sheetName val="10.1(4)"/>
      <sheetName val="10.1(5)"/>
      <sheetName val="DATA UMUM"/>
      <sheetName val="Harga S Dasar"/>
      <sheetName val="alat"/>
      <sheetName val="MPU"/>
      <sheetName val="D9"/>
      <sheetName val="HSD BPT BM JATENG"/>
      <sheetName val="mobilisas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ga Jasa dan Material"/>
    </sheetNames>
    <sheetDataSet>
      <sheetData sheetId="0"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at"/>
      <sheetName val="upah"/>
      <sheetName val="bahan"/>
      <sheetName val="divII"/>
      <sheetName val="divIII"/>
      <sheetName val="DivIV"/>
      <sheetName val="DivV"/>
      <sheetName val="DivVI"/>
      <sheetName val="DivVII"/>
      <sheetName val="DivVIII"/>
      <sheetName val="DivIX"/>
      <sheetName val="DivX"/>
      <sheetName val="REKTOT"/>
      <sheetName val="rekI"/>
      <sheetName val="bqI"/>
      <sheetName val="rek2"/>
      <sheetName val="bq2"/>
      <sheetName val="rek3"/>
      <sheetName val="bq3"/>
      <sheetName val="rek4"/>
      <sheetName val="bq4"/>
      <sheetName val="umum"/>
      <sheetName val="divI"/>
      <sheetName val="metoda"/>
      <sheetName val="Jadwal"/>
    </sheetNames>
    <sheetDataSet>
      <sheetData sheetId="0" refreshError="1"/>
      <sheetData sheetId="1" refreshError="1"/>
      <sheetData sheetId="2" refreshError="1"/>
      <sheetData sheetId="3" refreshError="1">
        <row r="1">
          <cell r="I1">
            <v>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ondisi SPH"/>
      <sheetName val="Persiapan"/>
      <sheetName val="Bill Of Quantity"/>
      <sheetName val="Tab Kolom GN"/>
      <sheetName val="PileCap"/>
      <sheetName val="Tie Beam GN"/>
      <sheetName val="Kolom "/>
      <sheetName val="Plat GN"/>
      <sheetName val="Tangga GN"/>
      <sheetName val="Balok L.2 GN"/>
      <sheetName val="Balok L.3 GN "/>
      <sheetName val="Balok L.Atap GN "/>
      <sheetName val="Balok L.4 GN"/>
      <sheetName val="Waterproofing"/>
      <sheetName val="Sheet2"/>
      <sheetName val="Sheet5"/>
      <sheetName val="Sheet4"/>
      <sheetName val="Sheet3"/>
      <sheetName val="Sheet1"/>
      <sheetName val="Perbandingan For tender BQ"/>
      <sheetName val="Review Spesifikasi"/>
      <sheetName val="PAD-F"/>
      <sheetName val="Rekap Direct Cost"/>
      <sheetName val="Analisa -Baku"/>
      <sheetName val="hrgsat"/>
      <sheetName val="Hrg.Sat"/>
      <sheetName val="Material"/>
      <sheetName val="HARGA MATERIAL"/>
      <sheetName val="Data"/>
      <sheetName val="BQNSC"/>
      <sheetName val="rekap"/>
      <sheetName val="BQ"/>
      <sheetName val="Analisa _Baku"/>
      <sheetName val="Asrama Lt.1"/>
      <sheetName val="Rekap 70"/>
      <sheetName val="res200"/>
      <sheetName val="Daftar Harga"/>
      <sheetName val="D3.1"/>
      <sheetName val="Satuan"/>
      <sheetName val="EK-JAN-07"/>
      <sheetName val="TU"/>
      <sheetName val="anal"/>
      <sheetName val="harsat"/>
      <sheetName val="Elektrikal"/>
      <sheetName val="#REF"/>
      <sheetName val="Rekap Tahap 1"/>
      <sheetName val="ANALISA PEK.UMUM"/>
      <sheetName val="UPAH"/>
      <sheetName val="Evaluasi"/>
      <sheetName val="h-013211-2"/>
      <sheetName val="huruf"/>
      <sheetName val="Df-Kuan"/>
      <sheetName val="Div-1"/>
      <sheetName val="TANJUNG-CONV"/>
      <sheetName val="gvl"/>
    </sheetNames>
    <sheetDataSet>
      <sheetData sheetId="0" refreshError="1"/>
      <sheetData sheetId="1" refreshError="1"/>
      <sheetData sheetId="2" refreshError="1"/>
      <sheetData sheetId="3" refreshError="1"/>
      <sheetData sheetId="4" refreshError="1">
        <row r="1">
          <cell r="S1">
            <v>0</v>
          </cell>
        </row>
      </sheetData>
      <sheetData sheetId="5" refreshError="1">
        <row r="4">
          <cell r="O4">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M "/>
      <sheetName val="SLAB"/>
      <sheetName val="T-BEAM"/>
      <sheetName val="PAD-F"/>
      <sheetName val="kOLOm"/>
      <sheetName val="K_+"/>
      <sheetName val="luar bangunan"/>
      <sheetName val="bq sipil"/>
      <sheetName val="bq arsitektur"/>
      <sheetName val="PAD_F"/>
      <sheetName val="Tie Beam GN"/>
      <sheetName val="PileCap"/>
      <sheetName val="DAF-1"/>
      <sheetName val="HARGA MATERIAL"/>
      <sheetName val="Rekap Direct Cost"/>
      <sheetName val="Analisa -Baku"/>
      <sheetName val="RAB"/>
      <sheetName val="Asrama Lt.1"/>
      <sheetName val="Hargamaterial"/>
      <sheetName val="harsat"/>
      <sheetName val="D3.1"/>
      <sheetName val="REKAP_VOLUME"/>
      <sheetName val="Sat Bah &amp; Up"/>
      <sheetName val="hrgsat"/>
      <sheetName val="res200"/>
      <sheetName val="rekap"/>
      <sheetName val="#REF"/>
      <sheetName val="Daftar Harga Bahan"/>
      <sheetName val="List Plant"/>
      <sheetName val="Elektrikal"/>
      <sheetName val="TU"/>
      <sheetName val="REKAP.VOLUME"/>
      <sheetName val="HARGA SAT"/>
      <sheetName val="ch"/>
      <sheetName val="NP"/>
      <sheetName val="Okt Mg3"/>
      <sheetName val="PENJUMLAHAN"/>
      <sheetName val="Daftar Harga"/>
      <sheetName val="Df-Kuan"/>
      <sheetName val="An.Ars"/>
      <sheetName val="S_Suramadu"/>
      <sheetName val="KEB-MAT"/>
    </sheetNames>
    <sheetDataSet>
      <sheetData sheetId="0" refreshError="1"/>
      <sheetData sheetId="1" refreshError="1"/>
      <sheetData sheetId="2" refreshError="1"/>
      <sheetData sheetId="3" refreshError="1">
        <row r="10">
          <cell r="B10" t="str">
            <v>S1</v>
          </cell>
          <cell r="C10">
            <v>11</v>
          </cell>
          <cell r="D10">
            <v>0.7</v>
          </cell>
          <cell r="E10">
            <v>0.7</v>
          </cell>
          <cell r="F10">
            <v>0.75</v>
          </cell>
        </row>
        <row r="11">
          <cell r="B11" t="str">
            <v>S2</v>
          </cell>
          <cell r="C11">
            <v>22</v>
          </cell>
          <cell r="D11">
            <v>0.6</v>
          </cell>
          <cell r="E11">
            <v>1.6</v>
          </cell>
          <cell r="F11">
            <v>0.75</v>
          </cell>
        </row>
        <row r="12">
          <cell r="B12" t="str">
            <v>S3</v>
          </cell>
          <cell r="C12">
            <v>16</v>
          </cell>
          <cell r="D12">
            <v>0.7</v>
          </cell>
          <cell r="E12">
            <v>1.9</v>
          </cell>
          <cell r="F12">
            <v>0.75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P"/>
      <sheetName val="Additional"/>
      <sheetName val="Gal_Cold Milling"/>
      <sheetName val="Gal_Jack Hammer"/>
      <sheetName val="ASPAL (14)"/>
      <sheetName val="REKAPITULASI"/>
      <sheetName val="RAB"/>
      <sheetName val="HARGA SATUAN "/>
      <sheetName val="ANALISA"/>
      <sheetName val="HARGA BAHAN"/>
      <sheetName val="A"/>
      <sheetName val="Current"/>
      <sheetName val="Basic Price"/>
      <sheetName val="Kuantitas &amp; Harga"/>
      <sheetName val="HSP swk"/>
      <sheetName val="Upah"/>
      <sheetName val="Analisa &amp; Upah"/>
      <sheetName val="S3B11"/>
      <sheetName val="analis 2005"/>
      <sheetName val="AnBayarUtama"/>
      <sheetName val="DAFTAR HARGA"/>
      <sheetName val="analis"/>
      <sheetName val="II"/>
      <sheetName val="III"/>
      <sheetName val="H.Satuan"/>
      <sheetName val="Rekap"/>
      <sheetName val="HRGSAT"/>
      <sheetName val="Bhn&amp;upah"/>
      <sheetName val="Paving"/>
      <sheetName val="NP (2)"/>
      <sheetName val="NP (3)"/>
      <sheetName val="Kuantitas &amp; Harga "/>
      <sheetName val="D3 (modif1mekanis) (2)"/>
      <sheetName val="D3 (modif2manual) (pasir urug)"/>
      <sheetName val="D3 (modif1tamper)"/>
      <sheetName val="D3 (modif2manual) (stmpt)"/>
      <sheetName val="D3 (modif2manual) (2)"/>
      <sheetName val="D3 (modif2manual)"/>
      <sheetName val="D3 (modif1mekanis) (cutnfill)"/>
      <sheetName val="D3 (modif1mekanis)"/>
      <sheetName val="D3"/>
      <sheetName val="D7"/>
      <sheetName val="Harga Bahan &amp; Upah "/>
      <sheetName val="GALIAN MEK TDK BUANG"/>
      <sheetName val="gal manual KERAS (2)"/>
      <sheetName val="galian perkerasan"/>
      <sheetName val="timb galian"/>
      <sheetName val="galian struktur manual"/>
      <sheetName val="gal manual struktur"/>
      <sheetName val="gal manual setempat)"/>
      <sheetName val="gal manual buang"/>
      <sheetName val="galian manual"/>
      <sheetName val="timb manual (pasir)"/>
      <sheetName val="timb manual"/>
      <sheetName val="timb pil ( manual )"/>
      <sheetName val="timb sirtu ( man )"/>
      <sheetName val="bdn jln"/>
      <sheetName val="D3 (modif1mekanis) (tebing)"/>
      <sheetName val="bdn jln (stamper)"/>
      <sheetName val="timb sirtu ( manual )"/>
      <sheetName val="timb manual (2)"/>
      <sheetName val="Summary"/>
      <sheetName val="Satuan Dasar"/>
      <sheetName val="Hargamaterial"/>
      <sheetName val="3-DIV3"/>
      <sheetName val="Path"/>
      <sheetName val="3-DIV7"/>
      <sheetName val="pro ra op"/>
      <sheetName val="SCHEDULE"/>
      <sheetName val="Sumber Daya"/>
      <sheetName val="HRPar"/>
      <sheetName val="data"/>
      <sheetName val="UMUM"/>
      <sheetName val="Tindak Lanjut"/>
      <sheetName val="GE-1-2"/>
      <sheetName val="TSS"/>
      <sheetName val="NLsimpro"/>
      <sheetName val="B"/>
      <sheetName val="HB"/>
      <sheetName val="Manrisk vs Klaim"/>
      <sheetName val="M+MC"/>
      <sheetName val="ANALISA (2)"/>
      <sheetName val="REKAP_ARSITEKTUR."/>
      <sheetName val="B D_AHS6"/>
      <sheetName val="perkerasan rigid"/>
      <sheetName val="bahan"/>
      <sheetName val="An_Konstruksi"/>
      <sheetName val="ANALISA GEDUNG"/>
      <sheetName val="HARGA MATERIAL"/>
      <sheetName val="harsat"/>
      <sheetName val="Harga Satuan Bahan"/>
      <sheetName val="KBL"/>
      <sheetName val="PENAWARAN"/>
      <sheetName val="mat&amp;upah"/>
      <sheetName val="data-pendukung"/>
      <sheetName val="Gal Tnp Cold Mllng"/>
      <sheetName val="Gal Cold Milling"/>
      <sheetName val="Pekrjaan Pk Jack Hammer"/>
      <sheetName val="NP(1)"/>
      <sheetName val="GEOTEKSTIL"/>
      <sheetName val="Gal Biasa Buldozer"/>
      <sheetName val="Gal Bull+Exc"/>
      <sheetName val="Gal Bull+Exc (2)"/>
      <sheetName val="gal batu cadas"/>
      <sheetName val="gal struktur manual"/>
      <sheetName val="PBJ Manual"/>
      <sheetName val="SPEK KHUSUS"/>
      <sheetName val="metode "/>
      <sheetName val="CH"/>
      <sheetName val="nlisa_STU&amp;BC"/>
      <sheetName val="SCH (2)"/>
      <sheetName val="rab me (by owner) "/>
      <sheetName val="BQ (by owner)"/>
      <sheetName val="rab me (fisik)"/>
      <sheetName val="01A- RAB"/>
      <sheetName val="5-Peralatan"/>
      <sheetName val="cargo"/>
      <sheetName val="L. Hr"/>
      <sheetName val="Time schedulle"/>
      <sheetName val="OwnEq"/>
      <sheetName val="Harga"/>
      <sheetName val="SCHEDULE "/>
      <sheetName val="Bhn"/>
      <sheetName val="rab (2)"/>
      <sheetName val="BHN-UPH-ALT"/>
      <sheetName val="REKAP."/>
      <sheetName val="Hrg Upah Bhn"/>
      <sheetName val="Rekap total"/>
      <sheetName val="H_Satuan"/>
      <sheetName val="Uraian"/>
      <sheetName val="BQ1"/>
      <sheetName val="b1"/>
      <sheetName val="BOQ"/>
      <sheetName val="4-Basic Price"/>
      <sheetName val="5-ALAT(1)"/>
      <sheetName val="FORM BQ TL PRATU 4cct"/>
      <sheetName val="HARGA "/>
      <sheetName val="Upah Bahan"/>
    </sheetNames>
    <sheetDataSet>
      <sheetData sheetId="0" refreshError="1">
        <row r="54">
          <cell r="U54">
            <v>45165.046578312911</v>
          </cell>
        </row>
        <row r="841">
          <cell r="L841">
            <v>4</v>
          </cell>
          <cell r="N841" t="str">
            <v>Biaya satuan sudah termasuk pengeluaran untuk seluruh pajak yang berkaitan (tetapi tidak termasuk PPN</v>
          </cell>
          <cell r="T841" t="str">
            <v>Analisa EI-322</v>
          </cell>
        </row>
        <row r="842">
          <cell r="N842" t="str">
            <v>yang dibayar dari kontrak) dan biaya-biaya lainnya.</v>
          </cell>
        </row>
        <row r="843">
          <cell r="L843" t="str">
            <v>FORMULIR STANDAR UNTUK</v>
          </cell>
        </row>
        <row r="844">
          <cell r="L844" t="str">
            <v>PEREKAMAN ANALISA MASING-MASING HARGA SATUAN</v>
          </cell>
        </row>
        <row r="845">
          <cell r="L845" t="str">
            <v/>
          </cell>
        </row>
        <row r="848">
          <cell r="L848" t="str">
            <v>PROYEK</v>
          </cell>
          <cell r="O848" t="str">
            <v>: Proyek Pembangunan Jalan Pantai Utara  Jawa Barat</v>
          </cell>
        </row>
        <row r="849">
          <cell r="L849" t="str">
            <v>No. PAKET KONTRAK</v>
          </cell>
          <cell r="O849" t="str">
            <v xml:space="preserve">: </v>
          </cell>
        </row>
        <row r="850">
          <cell r="L850" t="str">
            <v>NAMA PAKET</v>
          </cell>
          <cell r="O850" t="str">
            <v>:  Flyover  Pamanukan</v>
          </cell>
        </row>
        <row r="851">
          <cell r="L851" t="str">
            <v>PROP / KAB / KODYA</v>
          </cell>
          <cell r="O851" t="str">
            <v>: Jawa Barat</v>
          </cell>
        </row>
        <row r="852">
          <cell r="L852" t="str">
            <v>ITEM PEMBAYARAN NO.</v>
          </cell>
          <cell r="O852" t="str">
            <v>:  3.2 (2)</v>
          </cell>
          <cell r="R852" t="str">
            <v>PERKIRAAN VOL. PEK.</v>
          </cell>
          <cell r="T852" t="str">
            <v>:</v>
          </cell>
          <cell r="U852">
            <v>6571.2013500000003</v>
          </cell>
        </row>
        <row r="853">
          <cell r="L853" t="str">
            <v>JENIS PEKERJAAN</v>
          </cell>
          <cell r="O853" t="str">
            <v>:  Timbunan Pilihan</v>
          </cell>
          <cell r="R853" t="str">
            <v>TOTAL HARGA (Rp.)</v>
          </cell>
          <cell r="T853" t="str">
            <v>:</v>
          </cell>
          <cell r="U853">
            <v>359628773.19481355</v>
          </cell>
        </row>
        <row r="854">
          <cell r="L854" t="str">
            <v>SATUAN PEMBAYARAN</v>
          </cell>
          <cell r="O854" t="str">
            <v>:  M3</v>
          </cell>
          <cell r="R854" t="str">
            <v>% THD. BIAYA PROYEK</v>
          </cell>
          <cell r="T854" t="str">
            <v>:</v>
          </cell>
          <cell r="U854">
            <v>0.70465720727372594</v>
          </cell>
        </row>
        <row r="857">
          <cell r="Q857" t="str">
            <v>PERKIRAAN</v>
          </cell>
          <cell r="R857" t="str">
            <v>HARGA</v>
          </cell>
          <cell r="S857" t="str">
            <v>JUMLAH</v>
          </cell>
        </row>
        <row r="858">
          <cell r="L858" t="str">
            <v>NO.</v>
          </cell>
          <cell r="N858" t="str">
            <v>KOMPONEN</v>
          </cell>
          <cell r="P858" t="str">
            <v>SATUAN</v>
          </cell>
          <cell r="Q858" t="str">
            <v>KUANTITAS</v>
          </cell>
          <cell r="R858" t="str">
            <v>SATUAN</v>
          </cell>
          <cell r="S858" t="str">
            <v>HARGA</v>
          </cell>
        </row>
        <row r="859">
          <cell r="R859" t="str">
            <v>(Rp.)</v>
          </cell>
          <cell r="S859" t="str">
            <v>(Rp.)</v>
          </cell>
        </row>
        <row r="862">
          <cell r="L862" t="str">
            <v>A.</v>
          </cell>
          <cell r="N862" t="str">
            <v>TENAGA</v>
          </cell>
        </row>
        <row r="864">
          <cell r="L864" t="str">
            <v>1.</v>
          </cell>
          <cell r="N864" t="str">
            <v>Pekerja</v>
          </cell>
          <cell r="O864" t="str">
            <v>(L01)</v>
          </cell>
          <cell r="P864" t="str">
            <v>Jam</v>
          </cell>
          <cell r="Q864">
            <v>7.1396697902721989E-2</v>
          </cell>
          <cell r="R864">
            <v>2750</v>
          </cell>
          <cell r="U864">
            <v>196.34091923248548</v>
          </cell>
        </row>
        <row r="865">
          <cell r="L865" t="str">
            <v>2.</v>
          </cell>
          <cell r="N865" t="str">
            <v>Mandor</v>
          </cell>
          <cell r="O865" t="str">
            <v>(L03)</v>
          </cell>
          <cell r="P865" t="str">
            <v>Jam</v>
          </cell>
          <cell r="Q865">
            <v>1.7849174475680497E-2</v>
          </cell>
          <cell r="R865">
            <v>4000</v>
          </cell>
          <cell r="U865">
            <v>71.396697902721996</v>
          </cell>
        </row>
        <row r="868">
          <cell r="Q868" t="str">
            <v xml:space="preserve">JUMLAH HARGA TENAGA   </v>
          </cell>
          <cell r="U868">
            <v>267.73761713520747</v>
          </cell>
        </row>
        <row r="870">
          <cell r="L870" t="str">
            <v>B.</v>
          </cell>
          <cell r="N870" t="str">
            <v>BAHAN</v>
          </cell>
        </row>
        <row r="872">
          <cell r="L872" t="str">
            <v>1.</v>
          </cell>
          <cell r="N872" t="str">
            <v>Bahan pilihan   (M09)</v>
          </cell>
          <cell r="O872" t="str">
            <v>(M09)</v>
          </cell>
          <cell r="P872" t="str">
            <v>M3</v>
          </cell>
          <cell r="Q872">
            <v>1.2</v>
          </cell>
          <cell r="R872">
            <v>21000</v>
          </cell>
          <cell r="U872">
            <v>25200</v>
          </cell>
        </row>
        <row r="878">
          <cell r="Q878" t="str">
            <v xml:space="preserve">JUMLAH HARGA BAHAN   </v>
          </cell>
          <cell r="U878">
            <v>25200</v>
          </cell>
        </row>
        <row r="880">
          <cell r="L880" t="str">
            <v>C.</v>
          </cell>
          <cell r="N880" t="str">
            <v>PERALATAN</v>
          </cell>
        </row>
        <row r="881">
          <cell r="L881" t="str">
            <v>1.</v>
          </cell>
          <cell r="N881" t="str">
            <v>Wheel  Loader</v>
          </cell>
          <cell r="O881" t="str">
            <v>(E15)</v>
          </cell>
          <cell r="P881" t="str">
            <v>Jam</v>
          </cell>
          <cell r="Q881">
            <v>1.7849174475680497E-2</v>
          </cell>
          <cell r="R881">
            <v>181182.97084330328</v>
          </cell>
          <cell r="U881">
            <v>3233.9664586042527</v>
          </cell>
        </row>
        <row r="882">
          <cell r="L882" t="str">
            <v>2.</v>
          </cell>
          <cell r="N882" t="str">
            <v>Dump Truck</v>
          </cell>
          <cell r="O882" t="str">
            <v>(E08)</v>
          </cell>
          <cell r="P882" t="str">
            <v>Jam</v>
          </cell>
          <cell r="Q882">
            <v>0.16265060240963855</v>
          </cell>
          <cell r="R882">
            <v>90902.327191025077</v>
          </cell>
          <cell r="U882">
            <v>14785.318278058296</v>
          </cell>
        </row>
        <row r="883">
          <cell r="L883" t="str">
            <v>3.</v>
          </cell>
          <cell r="N883" t="str">
            <v>Motor Grader</v>
          </cell>
          <cell r="O883" t="str">
            <v>(E13)</v>
          </cell>
          <cell r="P883" t="str">
            <v>Jam</v>
          </cell>
          <cell r="Q883">
            <v>1.5618027666220438E-2</v>
          </cell>
          <cell r="R883">
            <v>249349.23784774702</v>
          </cell>
          <cell r="U883">
            <v>3894.3432952570934</v>
          </cell>
        </row>
        <row r="884">
          <cell r="L884" t="str">
            <v>3.</v>
          </cell>
          <cell r="N884" t="str">
            <v>Vibro Roller</v>
          </cell>
          <cell r="O884" t="str">
            <v>(E19)</v>
          </cell>
          <cell r="P884" t="str">
            <v>Jam</v>
          </cell>
          <cell r="Q884">
            <v>1.6064257028112448E-2</v>
          </cell>
          <cell r="R884">
            <v>105030.97519263501</v>
          </cell>
          <cell r="U884">
            <v>1687.2445814077912</v>
          </cell>
        </row>
        <row r="885">
          <cell r="L885" t="str">
            <v>4.</v>
          </cell>
          <cell r="N885" t="str">
            <v>Water Tanker</v>
          </cell>
          <cell r="O885" t="str">
            <v>(E23)</v>
          </cell>
          <cell r="P885" t="str">
            <v>Jam</v>
          </cell>
          <cell r="Q885">
            <v>7.0281124497991983E-3</v>
          </cell>
          <cell r="R885">
            <v>85958.879632794691</v>
          </cell>
          <cell r="U885">
            <v>604.12867211803507</v>
          </cell>
        </row>
        <row r="886">
          <cell r="L886" t="str">
            <v>5.</v>
          </cell>
          <cell r="N886" t="str">
            <v>Alat  Bantu</v>
          </cell>
          <cell r="P886" t="str">
            <v>Ls</v>
          </cell>
          <cell r="Q886">
            <v>1</v>
          </cell>
          <cell r="R886">
            <v>80</v>
          </cell>
          <cell r="U886">
            <v>80</v>
          </cell>
        </row>
        <row r="890">
          <cell r="Q890" t="str">
            <v xml:space="preserve">JUMLAH HARGA PERALATAN   </v>
          </cell>
          <cell r="U890">
            <v>24285.001285445473</v>
          </cell>
        </row>
        <row r="892">
          <cell r="L892" t="str">
            <v>D.</v>
          </cell>
          <cell r="N892" t="str">
            <v>JUMLAH HARGA TENAGA, BAHAN DAN PERALATAN  ( A + B + C )</v>
          </cell>
          <cell r="U892">
            <v>49752.738902580677</v>
          </cell>
        </row>
        <row r="893">
          <cell r="L893" t="str">
            <v>E.</v>
          </cell>
          <cell r="N893" t="str">
            <v>OVERHEAD &amp; PROFIT</v>
          </cell>
          <cell r="P893">
            <v>10</v>
          </cell>
          <cell r="Q893" t="str">
            <v>%  x  D</v>
          </cell>
          <cell r="U893">
            <v>4975.2738902580677</v>
          </cell>
        </row>
        <row r="894">
          <cell r="L894" t="str">
            <v>F.</v>
          </cell>
          <cell r="N894" t="str">
            <v>HARGA SATUAN PEKERJAAN  ( D + E )</v>
          </cell>
          <cell r="U894">
            <v>54728.012792838745</v>
          </cell>
        </row>
        <row r="895">
          <cell r="L895" t="str">
            <v>Note: 1</v>
          </cell>
          <cell r="N895" t="str">
            <v>SATUAN dapat berdasarkan atas jam operasi untuk Tenaga Kerja dan Peralatan, volume dan/atau ukuran</v>
          </cell>
        </row>
        <row r="896">
          <cell r="N896" t="str">
            <v>berat untuk bahan-bahan.</v>
          </cell>
        </row>
        <row r="897">
          <cell r="L897">
            <v>2</v>
          </cell>
          <cell r="N897" t="str">
            <v>Kuantitas satuan adalah kuantitas setiap komponen untuk menyelesaikan satu satuan pekerjaan dari nomor</v>
          </cell>
        </row>
        <row r="898">
          <cell r="N898" t="str">
            <v>mata pembayaran.</v>
          </cell>
        </row>
        <row r="899">
          <cell r="L899">
            <v>3</v>
          </cell>
          <cell r="N899" t="str">
            <v>Biaya satuan untuk peralatan sudah termasuk bahan bakar, bahan habis dipakai dan operator.</v>
          </cell>
        </row>
        <row r="900">
          <cell r="L900">
            <v>4</v>
          </cell>
          <cell r="N900" t="str">
            <v>Biaya satuan sudah termasuk pengeluaran untuk seluruh pajak yang berkaitan (tetapi tidak termasuk PPN</v>
          </cell>
        </row>
        <row r="901">
          <cell r="N901" t="str">
            <v>yang dibayar dari kontrak) dan biaya-biaya lainnya.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ow r="6">
          <cell r="C6" t="str">
            <v>Galian Biasa ( Mekanis ) - cut and fill</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ow r="6">
          <cell r="C6" t="str">
            <v>Galian Biasa ( Mekanis ) - cut and fill</v>
          </cell>
        </row>
      </sheetData>
      <sheetData sheetId="44">
        <row r="6">
          <cell r="C6" t="str">
            <v>Galian Biasa ( Mekanis ) - cut and fill</v>
          </cell>
        </row>
      </sheetData>
      <sheetData sheetId="45">
        <row r="6">
          <cell r="C6" t="str">
            <v>Galian Biasa ( Mekanis ) - cut and fill</v>
          </cell>
        </row>
      </sheetData>
      <sheetData sheetId="46">
        <row r="6">
          <cell r="C6" t="str">
            <v>Galian Biasa ( Mekanis ) - cut and fill</v>
          </cell>
        </row>
      </sheetData>
      <sheetData sheetId="47">
        <row r="6">
          <cell r="C6" t="str">
            <v>Galian Biasa ( Mekanis ) - cut and fill</v>
          </cell>
        </row>
      </sheetData>
      <sheetData sheetId="48">
        <row r="6">
          <cell r="C6" t="str">
            <v>Galian Biasa ( Mekanis ) - cut and fill</v>
          </cell>
        </row>
      </sheetData>
      <sheetData sheetId="49">
        <row r="6">
          <cell r="C6" t="str">
            <v>Galian Biasa ( Mekanis ) - cut and fill</v>
          </cell>
        </row>
      </sheetData>
      <sheetData sheetId="50">
        <row r="6">
          <cell r="C6" t="str">
            <v>Galian Biasa ( Mekanis ) - cut and fill</v>
          </cell>
        </row>
      </sheetData>
      <sheetData sheetId="51">
        <row r="475">
          <cell r="U475">
            <v>534698.58765836433</v>
          </cell>
        </row>
      </sheetData>
      <sheetData sheetId="52">
        <row r="475">
          <cell r="U475">
            <v>534698.58765836433</v>
          </cell>
        </row>
      </sheetData>
      <sheetData sheetId="53">
        <row r="475">
          <cell r="U475">
            <v>534698.58765836433</v>
          </cell>
        </row>
      </sheetData>
      <sheetData sheetId="54">
        <row r="475">
          <cell r="U475">
            <v>534698.58765836433</v>
          </cell>
        </row>
      </sheetData>
      <sheetData sheetId="55">
        <row r="475">
          <cell r="U475">
            <v>534698.58765836433</v>
          </cell>
        </row>
      </sheetData>
      <sheetData sheetId="56">
        <row r="475">
          <cell r="U475">
            <v>534698.58765836433</v>
          </cell>
        </row>
      </sheetData>
      <sheetData sheetId="57">
        <row r="54">
          <cell r="U54">
            <v>4136.2733333333335</v>
          </cell>
        </row>
      </sheetData>
      <sheetData sheetId="58">
        <row r="54">
          <cell r="U54">
            <v>4136.2733333333335</v>
          </cell>
        </row>
      </sheetData>
      <sheetData sheetId="59">
        <row r="54">
          <cell r="U54">
            <v>4136.2733333333335</v>
          </cell>
        </row>
      </sheetData>
      <sheetData sheetId="60" refreshError="1"/>
      <sheetData sheetId="61">
        <row r="54">
          <cell r="U54">
            <v>4136.2733333333335</v>
          </cell>
        </row>
      </sheetData>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sheetData sheetId="98"/>
      <sheetData sheetId="99"/>
      <sheetData sheetId="100"/>
      <sheetData sheetId="101"/>
      <sheetData sheetId="102" refreshError="1"/>
      <sheetData sheetId="103" refreshError="1"/>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E"/>
      <sheetName val="ANALISA"/>
      <sheetName val="HS"/>
      <sheetName val="uraianaspal"/>
      <sheetName val="uraianII_VIII"/>
      <sheetName val="uraianIX"/>
      <sheetName val="UraianX"/>
      <sheetName val="Upah"/>
      <sheetName val="bahan"/>
      <sheetName val="alat"/>
      <sheetName val="kaputama"/>
      <sheetName val="PRODBAHAN"/>
      <sheetName val="quarry"/>
      <sheetName val="satbahan"/>
      <sheetName val="Sheet2"/>
      <sheetName val="satalat"/>
    </sheetNames>
    <sheetDataSet>
      <sheetData sheetId="0"/>
      <sheetData sheetId="1"/>
      <sheetData sheetId="2"/>
      <sheetData sheetId="3"/>
      <sheetData sheetId="4"/>
      <sheetData sheetId="5"/>
      <sheetData sheetId="6"/>
      <sheetData sheetId="7" refreshError="1">
        <row r="13">
          <cell r="G13">
            <v>3000</v>
          </cell>
        </row>
        <row r="14">
          <cell r="G14">
            <v>2000</v>
          </cell>
        </row>
      </sheetData>
      <sheetData sheetId="8" refreshError="1"/>
      <sheetData sheetId="9"/>
      <sheetData sheetId="10"/>
      <sheetData sheetId="11"/>
      <sheetData sheetId="12"/>
      <sheetData sheetId="13"/>
      <sheetData sheetId="14"/>
      <sheetData sheetId="15"/>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surat"/>
      <sheetName val="rekap"/>
      <sheetName val="BOQ"/>
      <sheetName val="BOQ (3)"/>
      <sheetName val="utama"/>
      <sheetName val="harsat"/>
      <sheetName val="MOS"/>
      <sheetName val="ANALISA"/>
      <sheetName val="metod"/>
      <sheetName val="MOB"/>
      <sheetName val="perincian"/>
      <sheetName val="KONF"/>
      <sheetName val="SUB"/>
      <sheetName val="DN"/>
      <sheetName val="PEGAWAI"/>
      <sheetName val="jadwal BAHAN"/>
      <sheetName val="jadwal alat"/>
      <sheetName val="jadwal "/>
      <sheetName val="JDW-1"/>
      <sheetName val="JDW"/>
      <sheetName val="uraian teknis"/>
      <sheetName val="ipl"/>
      <sheetName val="IND"/>
      <sheetName val="BALT"/>
      <sheetName val="lamp.10"/>
      <sheetName val="sorter"/>
      <sheetName val="sort-1"/>
      <sheetName val="BOQ (2)"/>
      <sheetName val="80"/>
      <sheetName val="Perhitungan RAB"/>
      <sheetName val="Mobilisasi"/>
      <sheetName val="Galian drainase.sal."/>
      <sheetName val="Pas.Batu Mortar"/>
      <sheetName val="Galian Biasa"/>
      <sheetName val="Penyiapa Badan Jln"/>
      <sheetName val="LPA Klas B Bahu.Jln"/>
      <sheetName val="LPA Klas B."/>
      <sheetName val="LPA Klas A "/>
      <sheetName val="Lap.Resap Ikat"/>
      <sheetName val="Lapis Perekat"/>
      <sheetName val="Laston ACWC"/>
      <sheetName val="Laston AC-BC"/>
      <sheetName val="Ac Bc Levelling"/>
      <sheetName val="gambar"/>
      <sheetName val="GRAND REKAP"/>
      <sheetName val="NP"/>
      <sheetName val="prog-mgu"/>
      <sheetName val="SCH  (2)"/>
      <sheetName val="surat "/>
      <sheetName val="alat mob"/>
      <sheetName val="Sipil"/>
      <sheetName val="LUAR NEGERI"/>
      <sheetName val="SIMAK"/>
      <sheetName val="Hitung"/>
      <sheetName val="HSD "/>
      <sheetName val="REK"/>
      <sheetName val="DPU"/>
      <sheetName val="BQ"/>
      <sheetName val="BAB2 "/>
      <sheetName val="GALI DRAIN"/>
      <sheetName val="PAS BATU MOR "/>
      <sheetName val="GORONG2 50"/>
      <sheetName val="GORONG2 100"/>
      <sheetName val="GEOTEXT"/>
      <sheetName val="PIPA POROUS"/>
      <sheetName val="BAB 3"/>
      <sheetName val="GALI BT"/>
      <sheetName val="GALI BIASA"/>
      <sheetName val="GORONG2 20"/>
      <sheetName val="GALI STR 0-2M"/>
      <sheetName val="GALI STR 2-4M"/>
      <sheetName val="COLD MILL"/>
      <sheetName val="TANPA COLD MILL"/>
      <sheetName val="TMBH ANGK"/>
      <sheetName val="TIMB"/>
      <sheetName val="TIMB PIL"/>
      <sheetName val="TIMB RAWA"/>
      <sheetName val="SUBGRADE"/>
      <sheetName val="BAB 4"/>
      <sheetName val="AGG A BAHU"/>
      <sheetName val="AGG B BAHU"/>
      <sheetName val="BAB 5"/>
      <sheetName val="AGG A"/>
      <sheetName val="AGG B"/>
      <sheetName val="BAB 6"/>
      <sheetName val="PRIME CT"/>
      <sheetName val="TACK CT"/>
      <sheetName val="ACWC"/>
      <sheetName val="ACWC MOD"/>
      <sheetName val="ACWC LEV"/>
      <sheetName val="ACWC LEV MOD"/>
      <sheetName val="ACBC"/>
      <sheetName val="ACBC MOD"/>
      <sheetName val="ACBC LEV"/>
      <sheetName val="ACBC LEV MOD"/>
      <sheetName val="ACBase"/>
      <sheetName val="ACBase MOD"/>
      <sheetName val="ACBase LEV"/>
      <sheetName val="ACBase LEV MOD"/>
      <sheetName val="MACADAM"/>
      <sheetName val="BAB 7"/>
      <sheetName val="BETON K500"/>
      <sheetName val="BETON K400"/>
      <sheetName val="BETON K350"/>
      <sheetName val="BETON K250"/>
      <sheetName val="BETON K175"/>
      <sheetName val="BETON SIKLOP K175"/>
      <sheetName val="BETON K125"/>
      <sheetName val="U24 "/>
      <sheetName val="U24 MEKANIK"/>
      <sheetName val="U32"/>
      <sheetName val="U32 MEKANIK"/>
      <sheetName val="D32"/>
      <sheetName val="D32 MEKANIK"/>
      <sheetName val="D39"/>
      <sheetName val="D39 MEKANIK"/>
      <sheetName val="D48"/>
      <sheetName val="D48 MEKANIK"/>
      <sheetName val="PENY.TIANG PANCANG BAJA"/>
      <sheetName val="PENY. TIANG PANCANG BETON"/>
      <sheetName val="PEMAN TIANG PANCANG BAJA"/>
      <sheetName val="PEMAN TIANG PANCANG BETON"/>
      <sheetName val="TIANG BOR BETON"/>
      <sheetName val="PAS BATU MANUAL"/>
      <sheetName val="PAS BATU MEKANIK"/>
      <sheetName val="PAS BATU KOS DIISI"/>
      <sheetName val="PAS BATU KOS"/>
      <sheetName val="BRONJONG"/>
      <sheetName val="PERK JLN BETON"/>
      <sheetName val="BAB 8"/>
      <sheetName val="AGG A MINOR"/>
      <sheetName val="AGG B MINOR "/>
      <sheetName val="CAMP ASP PANAS"/>
      <sheetName val="MACADAM MINOR"/>
      <sheetName val="GALIAN BH MINOR"/>
      <sheetName val="MARKA NON THERMPL"/>
      <sheetName val="MARKA THERMPL"/>
      <sheetName val="RAMBU JLN ENG"/>
      <sheetName val="RAMBU JLN HIGH GRADE"/>
      <sheetName val="PATOK PENGARAH"/>
      <sheetName val="PATOK KILOMETER"/>
      <sheetName val="REL PENGAMAN"/>
      <sheetName val="ITUNGAN"/>
      <sheetName val="Als Struk"/>
      <sheetName val="A"/>
      <sheetName val="rab"/>
      <sheetName val="Upah"/>
      <sheetName val="Hargamaterial"/>
      <sheetName val="FAK"/>
      <sheetName val="ES STG"/>
      <sheetName val="index"/>
      <sheetName val="Hargamat"/>
      <sheetName val="MATERIAL ANALISA"/>
      <sheetName val="An.Ars"/>
      <sheetName val="Analisa Harga Satuan"/>
      <sheetName val="SP17"/>
      <sheetName val="Meth"/>
      <sheetName val="REKAP  (1)"/>
      <sheetName val="rek det 1-3"/>
      <sheetName val="HRG BHN"/>
      <sheetName val="Cover"/>
      <sheetName val="4"/>
      <sheetName val="prelim"/>
      <sheetName val="ENG-101"/>
      <sheetName val="H.Satuan"/>
      <sheetName val="UPH &amp; BHN"/>
      <sheetName val="Harsat Pekerjaan"/>
      <sheetName val="Indirect_Const"/>
      <sheetName val="bahan"/>
      <sheetName val="Analisa Upah &amp; Bahan Plum"/>
      <sheetName val="Daftar Harga Bahan"/>
      <sheetName val="Anal"/>
      <sheetName val="3-DIV3"/>
      <sheetName val="BREAKDOWN"/>
      <sheetName val="BOQ_(3)1"/>
      <sheetName val="jadwal_BAHAN1"/>
      <sheetName val="jadwal_alat1"/>
      <sheetName val="jadwal_1"/>
      <sheetName val="uraian_teknis1"/>
      <sheetName val="lamp_101"/>
      <sheetName val="BOQ_(2)1"/>
      <sheetName val="Perhitungan_RAB1"/>
      <sheetName val="Galian_drainase_sal_1"/>
      <sheetName val="Pas_Batu_Mortar1"/>
      <sheetName val="Galian_Biasa1"/>
      <sheetName val="Penyiapa_Badan_Jln1"/>
      <sheetName val="LPA_Klas_B_Bahu_Jln1"/>
      <sheetName val="LPA_Klas_B_1"/>
      <sheetName val="LPA_Klas_A_1"/>
      <sheetName val="Lap_Resap_Ikat1"/>
      <sheetName val="Lapis_Perekat1"/>
      <sheetName val="Laston_ACWC1"/>
      <sheetName val="Laston_AC-BC1"/>
      <sheetName val="Ac_Bc_Levelling1"/>
      <sheetName val="SCH__(2)1"/>
      <sheetName val="surat_1"/>
      <sheetName val="alat_mob1"/>
      <sheetName val="LUAR_NEGERI1"/>
      <sheetName val="HSD_1"/>
      <sheetName val="BAB2_1"/>
      <sheetName val="GALI_DRAIN1"/>
      <sheetName val="PAS_BATU_MOR_1"/>
      <sheetName val="GORONG2_501"/>
      <sheetName val="GORONG2_1001"/>
      <sheetName val="PIPA_POROUS1"/>
      <sheetName val="BAB_31"/>
      <sheetName val="GALI_BT1"/>
      <sheetName val="GALI_BIASA1"/>
      <sheetName val="GORONG2_201"/>
      <sheetName val="GALI_STR_0-2M1"/>
      <sheetName val="GALI_STR_2-4M1"/>
      <sheetName val="COLD_MILL1"/>
      <sheetName val="TANPA_COLD_MILL1"/>
      <sheetName val="TMBH_ANGK1"/>
      <sheetName val="TIMB_PIL1"/>
      <sheetName val="TIMB_RAWA1"/>
      <sheetName val="BAB_41"/>
      <sheetName val="AGG_A_BAHU1"/>
      <sheetName val="AGG_B_BAHU1"/>
      <sheetName val="BAB_51"/>
      <sheetName val="AGG_A1"/>
      <sheetName val="AGG_B1"/>
      <sheetName val="BAB_61"/>
      <sheetName val="PRIME_CT1"/>
      <sheetName val="TACK_CT1"/>
      <sheetName val="ACWC_MOD1"/>
      <sheetName val="ACWC_LEV1"/>
      <sheetName val="ACWC_LEV_MOD1"/>
      <sheetName val="ACBC_MOD1"/>
      <sheetName val="ACBC_LEV1"/>
      <sheetName val="ACBC_LEV_MOD1"/>
      <sheetName val="ACBase_MOD1"/>
      <sheetName val="ACBase_LEV1"/>
      <sheetName val="ACBase_LEV_MOD1"/>
      <sheetName val="BAB_71"/>
      <sheetName val="BETON_K5001"/>
      <sheetName val="BETON_K4001"/>
      <sheetName val="BETON_K3501"/>
      <sheetName val="BETON_K2501"/>
      <sheetName val="BETON_K1751"/>
      <sheetName val="BETON_SIKLOP_K1751"/>
      <sheetName val="BETON_K1251"/>
      <sheetName val="U24_1"/>
      <sheetName val="U24_MEKANIK1"/>
      <sheetName val="U32_MEKANIK1"/>
      <sheetName val="D32_MEKANIK1"/>
      <sheetName val="D39_MEKANIK1"/>
      <sheetName val="D48_MEKANIK1"/>
      <sheetName val="PENY_TIANG_PANCANG_BAJA1"/>
      <sheetName val="PENY__TIANG_PANCANG_BETON1"/>
      <sheetName val="PEMAN_TIANG_PANCANG_BAJA1"/>
      <sheetName val="PEMAN_TIANG_PANCANG_BETON1"/>
      <sheetName val="TIANG_BOR_BETON1"/>
      <sheetName val="PAS_BATU_MANUAL1"/>
      <sheetName val="PAS_BATU_MEKANIK1"/>
      <sheetName val="PAS_BATU_KOS_DIISI1"/>
      <sheetName val="PAS_BATU_KOS1"/>
      <sheetName val="PERK_JLN_BETON1"/>
      <sheetName val="BAB_81"/>
      <sheetName val="AGG_A_MINOR1"/>
      <sheetName val="AGG_B_MINOR_1"/>
      <sheetName val="CAMP_ASP_PANAS1"/>
      <sheetName val="MACADAM_MINOR1"/>
      <sheetName val="GALIAN_BH_MINOR1"/>
      <sheetName val="MARKA_NON_THERMPL1"/>
      <sheetName val="MARKA_THERMPL1"/>
      <sheetName val="RAMBU_JLN_ENG1"/>
      <sheetName val="RAMBU_JLN_HIGH_GRADE1"/>
      <sheetName val="PATOK_PENGARAH1"/>
      <sheetName val="PATOK_KILOMETER1"/>
      <sheetName val="REL_PENGAMAN1"/>
      <sheetName val="BOQ_(3)"/>
      <sheetName val="jadwal_BAHAN"/>
      <sheetName val="jadwal_alat"/>
      <sheetName val="jadwal_"/>
      <sheetName val="uraian_teknis"/>
      <sheetName val="lamp_10"/>
      <sheetName val="BOQ_(2)"/>
      <sheetName val="Perhitungan_RAB"/>
      <sheetName val="Galian_drainase_sal_"/>
      <sheetName val="Pas_Batu_Mortar"/>
      <sheetName val="Galian_Biasa"/>
      <sheetName val="Penyiapa_Badan_Jln"/>
      <sheetName val="LPA_Klas_B_Bahu_Jln"/>
      <sheetName val="LPA_Klas_B_"/>
      <sheetName val="LPA_Klas_A_"/>
      <sheetName val="Lap_Resap_Ikat"/>
      <sheetName val="Lapis_Perekat"/>
      <sheetName val="Laston_ACWC"/>
      <sheetName val="Laston_AC-BC"/>
      <sheetName val="Ac_Bc_Levelling"/>
      <sheetName val="SCH__(2)"/>
      <sheetName val="surat_"/>
      <sheetName val="alat_mob"/>
      <sheetName val="LUAR_NEGERI"/>
      <sheetName val="HSD_"/>
      <sheetName val="BAB2_"/>
      <sheetName val="GALI_DRAIN"/>
      <sheetName val="PAS_BATU_MOR_"/>
      <sheetName val="GORONG2_50"/>
      <sheetName val="GORONG2_100"/>
      <sheetName val="PIPA_POROUS"/>
      <sheetName val="BAB_3"/>
      <sheetName val="GALI_BT"/>
      <sheetName val="GALI_BIASA"/>
      <sheetName val="GORONG2_20"/>
      <sheetName val="GALI_STR_0-2M"/>
      <sheetName val="GALI_STR_2-4M"/>
      <sheetName val="COLD_MILL"/>
      <sheetName val="TANPA_COLD_MILL"/>
      <sheetName val="TMBH_ANGK"/>
      <sheetName val="TIMB_PIL"/>
      <sheetName val="TIMB_RAWA"/>
      <sheetName val="BAB_4"/>
      <sheetName val="AGG_A_BAHU"/>
      <sheetName val="AGG_B_BAHU"/>
      <sheetName val="BAB_5"/>
      <sheetName val="AGG_A"/>
      <sheetName val="AGG_B"/>
      <sheetName val="BAB_6"/>
      <sheetName val="PRIME_CT"/>
      <sheetName val="TACK_CT"/>
      <sheetName val="ACWC_MOD"/>
      <sheetName val="ACWC_LEV"/>
      <sheetName val="ACWC_LEV_MOD"/>
      <sheetName val="ACBC_MOD"/>
      <sheetName val="ACBC_LEV"/>
      <sheetName val="ACBC_LEV_MOD"/>
      <sheetName val="ACBase_MOD"/>
      <sheetName val="ACBase_LEV"/>
      <sheetName val="ACBase_LEV_MOD"/>
      <sheetName val="BAB_7"/>
      <sheetName val="BETON_K500"/>
      <sheetName val="BETON_K400"/>
      <sheetName val="BETON_K350"/>
      <sheetName val="BETON_K250"/>
      <sheetName val="BETON_K175"/>
      <sheetName val="BETON_SIKLOP_K175"/>
      <sheetName val="BETON_K125"/>
      <sheetName val="U24_"/>
      <sheetName val="U24_MEKANIK"/>
      <sheetName val="U32_MEKANIK"/>
      <sheetName val="D32_MEKANIK"/>
      <sheetName val="D39_MEKANIK"/>
      <sheetName val="D48_MEKANIK"/>
      <sheetName val="PENY_TIANG_PANCANG_BAJA"/>
      <sheetName val="PENY__TIANG_PANCANG_BETON"/>
      <sheetName val="PEMAN_TIANG_PANCANG_BAJA"/>
      <sheetName val="PEMAN_TIANG_PANCANG_BETON"/>
      <sheetName val="TIANG_BOR_BETON"/>
      <sheetName val="PAS_BATU_MANUAL"/>
      <sheetName val="PAS_BATU_MEKANIK"/>
      <sheetName val="PAS_BATU_KOS_DIISI"/>
      <sheetName val="PAS_BATU_KOS"/>
      <sheetName val="PERK_JLN_BETON"/>
      <sheetName val="BAB_8"/>
      <sheetName val="AGG_A_MINOR"/>
      <sheetName val="AGG_B_MINOR_"/>
      <sheetName val="CAMP_ASP_PANAS"/>
      <sheetName val="MACADAM_MINOR"/>
      <sheetName val="GALIAN_BH_MINOR"/>
      <sheetName val="MARKA_NON_THERMPL"/>
      <sheetName val="MARKA_THERMPL"/>
      <sheetName val="RAMBU_JLN_ENG"/>
      <sheetName val="RAMBU_JLN_HIGH_GRADE"/>
      <sheetName val="PATOK_PENGARAH"/>
      <sheetName val="PATOK_KILOMETER"/>
      <sheetName val="REL_PENGAMAN"/>
      <sheetName val="BOQ_(3)2"/>
      <sheetName val="jadwal_BAHAN2"/>
      <sheetName val="jadwal_alat2"/>
      <sheetName val="jadwal_2"/>
      <sheetName val="uraian_teknis2"/>
      <sheetName val="lamp_102"/>
      <sheetName val="BOQ_(2)2"/>
      <sheetName val="Perhitungan_RAB2"/>
      <sheetName val="Galian_drainase_sal_2"/>
      <sheetName val="Pas_Batu_Mortar2"/>
      <sheetName val="Galian_Biasa2"/>
      <sheetName val="Penyiapa_Badan_Jln2"/>
      <sheetName val="LPA_Klas_B_Bahu_Jln2"/>
      <sheetName val="LPA_Klas_B_2"/>
      <sheetName val="LPA_Klas_A_2"/>
      <sheetName val="Lap_Resap_Ikat2"/>
      <sheetName val="Lapis_Perekat2"/>
      <sheetName val="Laston_ACWC2"/>
      <sheetName val="Laston_AC-BC2"/>
      <sheetName val="Ac_Bc_Levelling2"/>
      <sheetName val="SCH__(2)2"/>
      <sheetName val="surat_2"/>
      <sheetName val="alat_mob2"/>
      <sheetName val="LUAR_NEGERI2"/>
      <sheetName val="HSD_2"/>
      <sheetName val="BAB2_2"/>
      <sheetName val="GALI_DRAIN2"/>
      <sheetName val="PAS_BATU_MOR_2"/>
      <sheetName val="GORONG2_502"/>
      <sheetName val="GORONG2_1002"/>
      <sheetName val="PIPA_POROUS2"/>
      <sheetName val="BAB_32"/>
      <sheetName val="GALI_BT2"/>
      <sheetName val="GALI_BIASA2"/>
      <sheetName val="GORONG2_202"/>
      <sheetName val="GALI_STR_0-2M2"/>
      <sheetName val="GALI_STR_2-4M2"/>
      <sheetName val="COLD_MILL2"/>
      <sheetName val="TANPA_COLD_MILL2"/>
      <sheetName val="TMBH_ANGK2"/>
      <sheetName val="TIMB_PIL2"/>
      <sheetName val="TIMB_RAWA2"/>
      <sheetName val="BAB_42"/>
      <sheetName val="AGG_A_BAHU2"/>
      <sheetName val="AGG_B_BAHU2"/>
      <sheetName val="BAB_52"/>
      <sheetName val="AGG_A2"/>
      <sheetName val="AGG_B2"/>
      <sheetName val="BAB_62"/>
      <sheetName val="PRIME_CT2"/>
      <sheetName val="TACK_CT2"/>
      <sheetName val="ACWC_MOD2"/>
      <sheetName val="ACWC_LEV2"/>
      <sheetName val="ACWC_LEV_MOD2"/>
      <sheetName val="ACBC_MOD2"/>
      <sheetName val="ACBC_LEV2"/>
      <sheetName val="ACBC_LEV_MOD2"/>
      <sheetName val="ACBase_MOD2"/>
      <sheetName val="ACBase_LEV2"/>
      <sheetName val="ACBase_LEV_MOD2"/>
      <sheetName val="BAB_72"/>
      <sheetName val="BETON_K5002"/>
      <sheetName val="BETON_K4002"/>
      <sheetName val="BETON_K3502"/>
      <sheetName val="BETON_K2502"/>
      <sheetName val="BETON_K1752"/>
      <sheetName val="BETON_SIKLOP_K1752"/>
      <sheetName val="BETON_K1252"/>
      <sheetName val="U24_2"/>
      <sheetName val="U24_MEKANIK2"/>
      <sheetName val="U32_MEKANIK2"/>
      <sheetName val="D32_MEKANIK2"/>
      <sheetName val="D39_MEKANIK2"/>
      <sheetName val="D48_MEKANIK2"/>
      <sheetName val="PENY_TIANG_PANCANG_BAJA2"/>
      <sheetName val="PENY__TIANG_PANCANG_BETON2"/>
      <sheetName val="PEMAN_TIANG_PANCANG_BAJA2"/>
      <sheetName val="PEMAN_TIANG_PANCANG_BETON2"/>
      <sheetName val="TIANG_BOR_BETON2"/>
      <sheetName val="PAS_BATU_MANUAL2"/>
      <sheetName val="PAS_BATU_MEKANIK2"/>
      <sheetName val="PAS_BATU_KOS_DIISI2"/>
      <sheetName val="PAS_BATU_KOS2"/>
      <sheetName val="PERK_JLN_BETON2"/>
      <sheetName val="BAB_82"/>
      <sheetName val="AGG_A_MINOR2"/>
      <sheetName val="AGG_B_MINOR_2"/>
      <sheetName val="CAMP_ASP_PANAS2"/>
      <sheetName val="MACADAM_MINOR2"/>
      <sheetName val="GALIAN_BH_MINOR2"/>
      <sheetName val="MARKA_NON_THERMPL2"/>
      <sheetName val="MARKA_THERMPL2"/>
      <sheetName val="RAMBU_JLN_ENG2"/>
      <sheetName val="RAMBU_JLN_HIGH_GRADE2"/>
      <sheetName val="PATOK_PENGARAH2"/>
      <sheetName val="PATOK_KILOMETER2"/>
      <sheetName val="REL_PENGAMAN2"/>
      <sheetName val="BOQ_(3)3"/>
      <sheetName val="jadwal_BAHAN3"/>
      <sheetName val="jadwal_alat3"/>
      <sheetName val="jadwal_3"/>
      <sheetName val="uraian_teknis3"/>
      <sheetName val="lamp_103"/>
      <sheetName val="BOQ_(2)3"/>
      <sheetName val="Perhitungan_RAB3"/>
      <sheetName val="Galian_drainase_sal_3"/>
      <sheetName val="Pas_Batu_Mortar3"/>
      <sheetName val="Galian_Biasa3"/>
      <sheetName val="Penyiapa_Badan_Jln3"/>
      <sheetName val="LPA_Klas_B_Bahu_Jln3"/>
      <sheetName val="LPA_Klas_B_3"/>
      <sheetName val="LPA_Klas_A_3"/>
      <sheetName val="Lap_Resap_Ikat3"/>
      <sheetName val="Lapis_Perekat3"/>
      <sheetName val="Laston_ACWC3"/>
      <sheetName val="Laston_AC-BC3"/>
      <sheetName val="Ac_Bc_Levelling3"/>
      <sheetName val="SCH__(2)3"/>
      <sheetName val="surat_3"/>
      <sheetName val="alat_mob3"/>
      <sheetName val="LUAR_NEGERI3"/>
      <sheetName val="HSD_3"/>
      <sheetName val="BAB2_3"/>
      <sheetName val="GALI_DRAIN3"/>
      <sheetName val="PAS_BATU_MOR_3"/>
      <sheetName val="GORONG2_503"/>
      <sheetName val="GORONG2_1003"/>
      <sheetName val="PIPA_POROUS3"/>
      <sheetName val="BAB_33"/>
      <sheetName val="GALI_BT3"/>
      <sheetName val="GALI_BIASA3"/>
      <sheetName val="GORONG2_203"/>
      <sheetName val="GALI_STR_0-2M3"/>
      <sheetName val="GALI_STR_2-4M3"/>
      <sheetName val="COLD_MILL3"/>
      <sheetName val="TANPA_COLD_MILL3"/>
      <sheetName val="TMBH_ANGK3"/>
      <sheetName val="TIMB_PIL3"/>
      <sheetName val="TIMB_RAWA3"/>
      <sheetName val="BAB_43"/>
      <sheetName val="AGG_A_BAHU3"/>
      <sheetName val="AGG_B_BAHU3"/>
      <sheetName val="BAB_53"/>
      <sheetName val="AGG_A3"/>
      <sheetName val="AGG_B3"/>
      <sheetName val="BAB_63"/>
      <sheetName val="PRIME_CT3"/>
      <sheetName val="TACK_CT3"/>
      <sheetName val="ACWC_MOD3"/>
      <sheetName val="ACWC_LEV3"/>
      <sheetName val="ACWC_LEV_MOD3"/>
      <sheetName val="ACBC_MOD3"/>
      <sheetName val="ACBC_LEV3"/>
      <sheetName val="ACBC_LEV_MOD3"/>
      <sheetName val="ACBase_MOD3"/>
      <sheetName val="ACBase_LEV3"/>
      <sheetName val="ACBase_LEV_MOD3"/>
      <sheetName val="BAB_73"/>
      <sheetName val="BETON_K5003"/>
      <sheetName val="BETON_K4003"/>
      <sheetName val="BETON_K3503"/>
      <sheetName val="BETON_K2503"/>
      <sheetName val="BETON_K1753"/>
      <sheetName val="BETON_SIKLOP_K1753"/>
      <sheetName val="BETON_K1253"/>
      <sheetName val="U24_3"/>
      <sheetName val="U24_MEKANIK3"/>
      <sheetName val="U32_MEKANIK3"/>
      <sheetName val="D32_MEKANIK3"/>
      <sheetName val="D39_MEKANIK3"/>
      <sheetName val="D48_MEKANIK3"/>
      <sheetName val="PENY_TIANG_PANCANG_BAJA3"/>
      <sheetName val="PENY__TIANG_PANCANG_BETON3"/>
      <sheetName val="PEMAN_TIANG_PANCANG_BAJA3"/>
      <sheetName val="PEMAN_TIANG_PANCANG_BETON3"/>
      <sheetName val="TIANG_BOR_BETON3"/>
      <sheetName val="PAS_BATU_MANUAL3"/>
      <sheetName val="PAS_BATU_MEKANIK3"/>
      <sheetName val="PAS_BATU_KOS_DIISI3"/>
      <sheetName val="PAS_BATU_KOS3"/>
      <sheetName val="PERK_JLN_BETON3"/>
      <sheetName val="BAB_83"/>
      <sheetName val="AGG_A_MINOR3"/>
      <sheetName val="AGG_B_MINOR_3"/>
      <sheetName val="CAMP_ASP_PANAS3"/>
      <sheetName val="MACADAM_MINOR3"/>
      <sheetName val="GALIAN_BH_MINOR3"/>
      <sheetName val="MARKA_NON_THERMPL3"/>
      <sheetName val="MARKA_THERMPL3"/>
      <sheetName val="RAMBU_JLN_ENG3"/>
      <sheetName val="RAMBU_JLN_HIGH_GRADE3"/>
      <sheetName val="PATOK_PENGARAH3"/>
      <sheetName val="PATOK_KILOMETER3"/>
      <sheetName val="REL_PENGAMAN3"/>
      <sheetName val="HSLAIN-LAIN"/>
      <sheetName val="FORM 3A"/>
      <sheetName val="HSTANAH.XLS"/>
      <sheetName val="AN-E"/>
    </sheetNames>
    <sheetDataSet>
      <sheetData sheetId="0" refreshError="1">
        <row r="6">
          <cell r="D6" t="str">
            <v>PT.Seneca Indonesia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6">
          <cell r="D6" t="str">
            <v>PT.Seneca Indonesia</v>
          </cell>
        </row>
      </sheetData>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nge"/>
      <sheetName val="Daftar"/>
      <sheetName val="SRT"/>
      <sheetName val="Sipil"/>
      <sheetName val="Rkp"/>
      <sheetName val="BOQ"/>
      <sheetName val="Ana"/>
      <sheetName val="SDY"/>
      <sheetName val="Meto"/>
      <sheetName val="Mos"/>
      <sheetName val="Lamp 1"/>
      <sheetName val="Lamp.12"/>
      <sheetName val="Lamp.11"/>
      <sheetName val="Sche"/>
      <sheetName val="u_Alat"/>
      <sheetName val="Inti"/>
      <sheetName val="Hitung"/>
      <sheetName val="Agg.A"/>
      <sheetName val="Ana .A"/>
      <sheetName val="Sheet1"/>
      <sheetName val="Alat"/>
      <sheetName val="Staf"/>
      <sheetName val="PAD-F"/>
      <sheetName val="Hargamat"/>
      <sheetName val="H-BHN"/>
      <sheetName val="Metod TWR"/>
      <sheetName val="ANSAT K'AYI"/>
      <sheetName val="Rekap"/>
      <sheetName val="Isolasi Luar Dalam"/>
      <sheetName val="Isolasi Luar"/>
      <sheetName val="NP (2)"/>
      <sheetName val="Resume_Analisa"/>
      <sheetName val="ana_str"/>
      <sheetName val="Harga ME "/>
      <sheetName val="Traf&amp;Genst"/>
      <sheetName val="Rekap Direct Cost"/>
      <sheetName val="Mat"/>
      <sheetName val="main summary"/>
      <sheetName val="Rekap Prelim"/>
      <sheetName val="Hargamaterial"/>
      <sheetName val="Material"/>
      <sheetName val="Lt 1"/>
      <sheetName val="NP"/>
      <sheetName val="41,9&amp;36,3"/>
      <sheetName val="HSBU "/>
      <sheetName val="Upah+Bahan"/>
      <sheetName val="ANALISA HARGA SATUAN"/>
      <sheetName val="UPAH"/>
      <sheetName val="D4"/>
      <sheetName val="D6"/>
      <sheetName val="D7"/>
      <sheetName val="D8"/>
      <sheetName val="Analisa batu kali"/>
      <sheetName val="Surat Penawaran"/>
      <sheetName val="harga Satua Dasar"/>
      <sheetName val="BIIL ASLI"/>
      <sheetName val="BASIC"/>
      <sheetName val="DIV_2"/>
      <sheetName val="DIV_4"/>
      <sheetName val="DIV_8"/>
      <sheetName val="ANALISA"/>
      <sheetName val="RAB"/>
      <sheetName val="SAT"/>
      <sheetName val="Fill this out first___"/>
      <sheetName val="Galian batu"/>
      <sheetName val="Ch"/>
      <sheetName val="B - Norelec"/>
      <sheetName val="DAF-1"/>
      <sheetName val="OFFICE 2 LT"/>
      <sheetName val="HRG BHN"/>
      <sheetName val="Meth "/>
      <sheetName val="BAHAN"/>
      <sheetName val="Analisa Upah &amp; Bahan Plum"/>
      <sheetName val="Harga Satuan"/>
      <sheetName val="Anal-1"/>
      <sheetName val="Analisa Upah _ Bahan Plum"/>
      <sheetName val="Bill of Qty MEP"/>
      <sheetName val="BQ-E20-02(Rp)"/>
      <sheetName val="Perhitungan RAB"/>
      <sheetName val="DAFTAR HARGA BAHAN "/>
      <sheetName val="hargaSatuan"/>
      <sheetName val="DIVI6"/>
      <sheetName val="DAFTAR ANALISA HARGA SATUAN"/>
      <sheetName val="at r pkt"/>
      <sheetName val="Upah Bahan"/>
      <sheetName val="DivVII"/>
      <sheetName val="DUB"/>
      <sheetName val="DU&amp;B"/>
      <sheetName val="Harsat"/>
      <sheetName val="TAB"/>
      <sheetName val="DH"/>
      <sheetName val="4-Basic Price"/>
      <sheetName val="dt"/>
      <sheetName val="SEX"/>
      <sheetName val="Bangunan Utama"/>
      <sheetName val="DAFTAR HARGA"/>
      <sheetName val="Harga"/>
      <sheetName val="MU"/>
      <sheetName val="5-ALAT(1)"/>
      <sheetName val="Har Sat"/>
      <sheetName val="Daftar Upah"/>
      <sheetName val="MORTAR "/>
      <sheetName val="Pen Macadam"/>
      <sheetName val="D3"/>
      <sheetName val="Basic Price"/>
      <sheetName val="Komponen"/>
      <sheetName val="K210"/>
      <sheetName val="Upah_Bah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ckup"/>
      <sheetName val="Rekap"/>
      <sheetName val="Rekap (2)"/>
      <sheetName val="Meto"/>
      <sheetName val="PAD-F"/>
      <sheetName val="MATERIAL ANALISA"/>
      <sheetName val="Hargamaterial"/>
      <sheetName val="UPAH"/>
      <sheetName val="Analisa"/>
      <sheetName val="TOWN"/>
      <sheetName val="Volume"/>
      <sheetName val="HarSat"/>
      <sheetName val="Material"/>
      <sheetName val="RAB"/>
      <sheetName val="Lamp. Bahan"/>
      <sheetName val="UPH BHN"/>
      <sheetName val="dt"/>
    </sheetNames>
    <sheetDataSet>
      <sheetData sheetId="0" refreshError="1"/>
      <sheetData sheetId="1" refreshError="1">
        <row r="14">
          <cell r="E14" t="str">
            <v>Square</v>
          </cell>
          <cell r="F14">
            <v>0.25</v>
          </cell>
          <cell r="G14">
            <v>0.25</v>
          </cell>
          <cell r="H14">
            <v>0</v>
          </cell>
          <cell r="L14">
            <v>154</v>
          </cell>
          <cell r="S14">
            <v>154</v>
          </cell>
        </row>
        <row r="16">
          <cell r="E16" t="str">
            <v>P1</v>
          </cell>
          <cell r="F16">
            <v>0.8</v>
          </cell>
          <cell r="G16">
            <v>0.8</v>
          </cell>
          <cell r="H16">
            <v>0.5</v>
          </cell>
          <cell r="I16">
            <v>0.76800000000000013</v>
          </cell>
          <cell r="J16">
            <v>217.65054712499997</v>
          </cell>
          <cell r="L16">
            <v>14</v>
          </cell>
          <cell r="S16">
            <v>14</v>
          </cell>
          <cell r="T16">
            <v>0.32000000000000006</v>
          </cell>
          <cell r="U16">
            <v>4.4800000000000004</v>
          </cell>
          <cell r="V16">
            <v>0</v>
          </cell>
          <cell r="W16">
            <v>0</v>
          </cell>
          <cell r="X16">
            <v>6.9294600000000015</v>
          </cell>
          <cell r="Y16">
            <v>0</v>
          </cell>
          <cell r="Z16">
            <v>18.087123599999998</v>
          </cell>
          <cell r="AA16">
            <v>30.049689600000001</v>
          </cell>
          <cell r="AB16">
            <v>14.58190188</v>
          </cell>
          <cell r="AC16">
            <v>0</v>
          </cell>
          <cell r="AD16">
            <v>0</v>
          </cell>
          <cell r="AE16">
            <v>0</v>
          </cell>
          <cell r="AF16">
            <v>0</v>
          </cell>
          <cell r="AG16">
            <v>0</v>
          </cell>
          <cell r="AH16">
            <v>97.012440000000026</v>
          </cell>
          <cell r="AI16">
            <v>0</v>
          </cell>
          <cell r="AJ16">
            <v>253.21973039999997</v>
          </cell>
          <cell r="AK16">
            <v>420.69565440000002</v>
          </cell>
          <cell r="AL16">
            <v>204.14662632</v>
          </cell>
          <cell r="AM16">
            <v>0</v>
          </cell>
          <cell r="AN16">
            <v>0</v>
          </cell>
          <cell r="AO16">
            <v>0</v>
          </cell>
        </row>
        <row r="17">
          <cell r="E17" t="str">
            <v>P2</v>
          </cell>
          <cell r="F17">
            <v>1.6</v>
          </cell>
          <cell r="G17">
            <v>0.8</v>
          </cell>
          <cell r="H17">
            <v>0.75</v>
          </cell>
          <cell r="I17">
            <v>2.3040000000000003</v>
          </cell>
          <cell r="J17">
            <v>128.76046893749998</v>
          </cell>
          <cell r="L17">
            <v>70</v>
          </cell>
          <cell r="S17">
            <v>70</v>
          </cell>
          <cell r="T17">
            <v>0.96000000000000019</v>
          </cell>
          <cell r="U17">
            <v>67.200000000000017</v>
          </cell>
          <cell r="V17">
            <v>0</v>
          </cell>
          <cell r="W17">
            <v>0</v>
          </cell>
          <cell r="X17">
            <v>12.058740000000002</v>
          </cell>
          <cell r="Y17">
            <v>0</v>
          </cell>
          <cell r="Z17">
            <v>35.528278499999999</v>
          </cell>
          <cell r="AA17">
            <v>59.215564800000003</v>
          </cell>
          <cell r="AB17">
            <v>16.80746688</v>
          </cell>
          <cell r="AC17">
            <v>0</v>
          </cell>
          <cell r="AD17">
            <v>0</v>
          </cell>
          <cell r="AE17">
            <v>0</v>
          </cell>
          <cell r="AF17">
            <v>0</v>
          </cell>
          <cell r="AG17">
            <v>0</v>
          </cell>
          <cell r="AH17">
            <v>844.11180000000013</v>
          </cell>
          <cell r="AI17">
            <v>0</v>
          </cell>
          <cell r="AJ17">
            <v>2486.979495</v>
          </cell>
          <cell r="AK17">
            <v>4145.0895360000004</v>
          </cell>
          <cell r="AL17">
            <v>1176.5226815999999</v>
          </cell>
          <cell r="AM17">
            <v>0</v>
          </cell>
          <cell r="AN17">
            <v>0</v>
          </cell>
          <cell r="AO17">
            <v>0</v>
          </cell>
        </row>
        <row r="18">
          <cell r="L18">
            <v>84</v>
          </cell>
          <cell r="M18">
            <v>0</v>
          </cell>
          <cell r="N18">
            <v>0</v>
          </cell>
          <cell r="O18">
            <v>0</v>
          </cell>
          <cell r="P18">
            <v>0</v>
          </cell>
          <cell r="Q18">
            <v>0</v>
          </cell>
          <cell r="R18">
            <v>0</v>
          </cell>
          <cell r="S18">
            <v>84</v>
          </cell>
          <cell r="U18">
            <v>71.680000000000021</v>
          </cell>
          <cell r="AF18">
            <v>0</v>
          </cell>
          <cell r="AG18">
            <v>0</v>
          </cell>
          <cell r="AH18">
            <v>941.1242400000001</v>
          </cell>
          <cell r="AI18">
            <v>0</v>
          </cell>
          <cell r="AJ18">
            <v>2740.1992254000002</v>
          </cell>
          <cell r="AK18">
            <v>4565.7851904000008</v>
          </cell>
          <cell r="AL18">
            <v>1380.6693079199999</v>
          </cell>
          <cell r="AM18">
            <v>0</v>
          </cell>
          <cell r="AN18">
            <v>0</v>
          </cell>
          <cell r="AO18">
            <v>0</v>
          </cell>
        </row>
        <row r="20">
          <cell r="E20" t="str">
            <v>TB.1</v>
          </cell>
          <cell r="F20">
            <v>4.0999999999999996</v>
          </cell>
          <cell r="G20">
            <v>0.25</v>
          </cell>
          <cell r="H20">
            <v>0.5</v>
          </cell>
          <cell r="I20">
            <v>1.2299999999999998</v>
          </cell>
          <cell r="J20">
            <v>110.17236327804879</v>
          </cell>
          <cell r="L20">
            <v>32</v>
          </cell>
          <cell r="S20">
            <v>32</v>
          </cell>
          <cell r="T20">
            <v>0.51249999999999996</v>
          </cell>
          <cell r="U20">
            <v>16.399999999999999</v>
          </cell>
          <cell r="V20">
            <v>0</v>
          </cell>
          <cell r="W20">
            <v>0</v>
          </cell>
          <cell r="X20">
            <v>20.113312499999999</v>
          </cell>
          <cell r="Y20">
            <v>0</v>
          </cell>
          <cell r="Z20">
            <v>0</v>
          </cell>
          <cell r="AA20">
            <v>36.35002368</v>
          </cell>
          <cell r="AB20">
            <v>0</v>
          </cell>
          <cell r="AC20">
            <v>0</v>
          </cell>
          <cell r="AD20">
            <v>0</v>
          </cell>
          <cell r="AE20">
            <v>0</v>
          </cell>
          <cell r="AF20">
            <v>0</v>
          </cell>
          <cell r="AG20">
            <v>0</v>
          </cell>
          <cell r="AH20">
            <v>643.62599999999998</v>
          </cell>
          <cell r="AI20">
            <v>0</v>
          </cell>
          <cell r="AJ20">
            <v>0</v>
          </cell>
          <cell r="AK20">
            <v>1163.20075776</v>
          </cell>
          <cell r="AL20">
            <v>0</v>
          </cell>
          <cell r="AM20">
            <v>0</v>
          </cell>
          <cell r="AN20">
            <v>0</v>
          </cell>
          <cell r="AO20">
            <v>0</v>
          </cell>
        </row>
        <row r="21">
          <cell r="E21" t="str">
            <v>TB.2</v>
          </cell>
          <cell r="F21">
            <v>2.5</v>
          </cell>
          <cell r="G21">
            <v>0.25</v>
          </cell>
          <cell r="H21">
            <v>0.5</v>
          </cell>
          <cell r="I21">
            <v>0.75</v>
          </cell>
          <cell r="J21">
            <v>125.55475257600001</v>
          </cell>
          <cell r="L21">
            <v>62</v>
          </cell>
          <cell r="S21">
            <v>62</v>
          </cell>
          <cell r="T21">
            <v>0.3125</v>
          </cell>
          <cell r="U21">
            <v>19.375</v>
          </cell>
          <cell r="V21">
            <v>0</v>
          </cell>
          <cell r="W21">
            <v>0</v>
          </cell>
          <cell r="X21">
            <v>12.986572500000003</v>
          </cell>
          <cell r="Y21">
            <v>0</v>
          </cell>
          <cell r="Z21">
            <v>0</v>
          </cell>
          <cell r="AA21">
            <v>26.249287680000002</v>
          </cell>
          <cell r="AB21">
            <v>0</v>
          </cell>
          <cell r="AC21">
            <v>0</v>
          </cell>
          <cell r="AD21">
            <v>0</v>
          </cell>
          <cell r="AE21">
            <v>0</v>
          </cell>
          <cell r="AF21">
            <v>0</v>
          </cell>
          <cell r="AG21">
            <v>0</v>
          </cell>
          <cell r="AH21">
            <v>805.16749500000014</v>
          </cell>
          <cell r="AI21">
            <v>0</v>
          </cell>
          <cell r="AJ21">
            <v>0</v>
          </cell>
          <cell r="AK21">
            <v>1627.4558361600002</v>
          </cell>
          <cell r="AL21">
            <v>0</v>
          </cell>
          <cell r="AM21">
            <v>0</v>
          </cell>
          <cell r="AN21">
            <v>0</v>
          </cell>
          <cell r="AO21">
            <v>0</v>
          </cell>
        </row>
        <row r="22">
          <cell r="E22" t="str">
            <v>TB.2A</v>
          </cell>
          <cell r="F22">
            <v>4.9450000000000003</v>
          </cell>
          <cell r="G22">
            <v>0.25</v>
          </cell>
          <cell r="H22">
            <v>0.5</v>
          </cell>
          <cell r="I22">
            <v>1.4835</v>
          </cell>
          <cell r="J22">
            <v>107.18220405257836</v>
          </cell>
          <cell r="L22">
            <v>1</v>
          </cell>
          <cell r="S22">
            <v>1</v>
          </cell>
          <cell r="T22">
            <v>0.61812500000000004</v>
          </cell>
          <cell r="U22">
            <v>0.61812500000000004</v>
          </cell>
          <cell r="V22">
            <v>0</v>
          </cell>
          <cell r="W22">
            <v>0</v>
          </cell>
          <cell r="X22">
            <v>24.567525</v>
          </cell>
          <cell r="Y22">
            <v>0</v>
          </cell>
          <cell r="Z22">
            <v>0</v>
          </cell>
          <cell r="AA22">
            <v>41.684474880000003</v>
          </cell>
          <cell r="AB22">
            <v>0</v>
          </cell>
          <cell r="AC22">
            <v>0</v>
          </cell>
          <cell r="AD22">
            <v>0</v>
          </cell>
          <cell r="AE22">
            <v>0</v>
          </cell>
          <cell r="AF22">
            <v>0</v>
          </cell>
          <cell r="AG22">
            <v>0</v>
          </cell>
          <cell r="AH22">
            <v>24.567525</v>
          </cell>
          <cell r="AI22">
            <v>0</v>
          </cell>
          <cell r="AJ22">
            <v>0</v>
          </cell>
          <cell r="AK22">
            <v>41.684474880000003</v>
          </cell>
          <cell r="AL22">
            <v>0</v>
          </cell>
          <cell r="AM22">
            <v>0</v>
          </cell>
          <cell r="AN22">
            <v>0</v>
          </cell>
          <cell r="AO22">
            <v>0</v>
          </cell>
        </row>
        <row r="23">
          <cell r="E23" t="str">
            <v>TB.2A'</v>
          </cell>
          <cell r="F23">
            <v>4.9450000000000003</v>
          </cell>
          <cell r="G23">
            <v>0.25</v>
          </cell>
          <cell r="H23">
            <v>0.5</v>
          </cell>
          <cell r="I23">
            <v>1.4835</v>
          </cell>
          <cell r="J23">
            <v>107.18220405257836</v>
          </cell>
          <cell r="L23">
            <v>1</v>
          </cell>
          <cell r="S23">
            <v>1</v>
          </cell>
          <cell r="T23">
            <v>0.61812500000000004</v>
          </cell>
          <cell r="U23">
            <v>0.61812500000000004</v>
          </cell>
          <cell r="V23">
            <v>0</v>
          </cell>
          <cell r="W23">
            <v>0</v>
          </cell>
          <cell r="X23">
            <v>24.567525</v>
          </cell>
          <cell r="Y23">
            <v>0</v>
          </cell>
          <cell r="Z23">
            <v>0</v>
          </cell>
          <cell r="AA23">
            <v>41.684474880000003</v>
          </cell>
          <cell r="AB23">
            <v>0</v>
          </cell>
          <cell r="AC23">
            <v>0</v>
          </cell>
          <cell r="AD23">
            <v>0</v>
          </cell>
          <cell r="AE23">
            <v>0</v>
          </cell>
          <cell r="AF23">
            <v>0</v>
          </cell>
          <cell r="AG23">
            <v>0</v>
          </cell>
          <cell r="AH23">
            <v>24.567525</v>
          </cell>
          <cell r="AI23">
            <v>0</v>
          </cell>
          <cell r="AJ23">
            <v>0</v>
          </cell>
          <cell r="AK23">
            <v>41.684474880000003</v>
          </cell>
          <cell r="AL23">
            <v>0</v>
          </cell>
          <cell r="AM23">
            <v>0</v>
          </cell>
          <cell r="AN23">
            <v>0</v>
          </cell>
          <cell r="AO23">
            <v>0</v>
          </cell>
        </row>
        <row r="24">
          <cell r="E24" t="str">
            <v>TB.3</v>
          </cell>
          <cell r="F24">
            <v>1.2250000000000001</v>
          </cell>
          <cell r="G24">
            <v>0.25</v>
          </cell>
          <cell r="H24">
            <v>0.5</v>
          </cell>
          <cell r="I24">
            <v>0.36749999999999999</v>
          </cell>
          <cell r="J24">
            <v>168.76265260408161</v>
          </cell>
          <cell r="L24">
            <v>4</v>
          </cell>
          <cell r="S24">
            <v>4</v>
          </cell>
          <cell r="T24">
            <v>0.15312500000000001</v>
          </cell>
          <cell r="U24">
            <v>0.61250000000000004</v>
          </cell>
          <cell r="V24">
            <v>0</v>
          </cell>
          <cell r="W24">
            <v>0</v>
          </cell>
          <cell r="X24">
            <v>7.6415175000000009</v>
          </cell>
          <cell r="Y24">
            <v>0</v>
          </cell>
          <cell r="Z24">
            <v>0</v>
          </cell>
          <cell r="AA24">
            <v>18.200263679999999</v>
          </cell>
          <cell r="AB24">
            <v>0</v>
          </cell>
          <cell r="AC24">
            <v>0</v>
          </cell>
          <cell r="AD24">
            <v>0</v>
          </cell>
          <cell r="AE24">
            <v>0</v>
          </cell>
          <cell r="AF24">
            <v>0</v>
          </cell>
          <cell r="AG24">
            <v>0</v>
          </cell>
          <cell r="AH24">
            <v>30.566070000000003</v>
          </cell>
          <cell r="AI24">
            <v>0</v>
          </cell>
          <cell r="AJ24">
            <v>0</v>
          </cell>
          <cell r="AK24">
            <v>72.801054719999996</v>
          </cell>
          <cell r="AL24">
            <v>0</v>
          </cell>
          <cell r="AM24">
            <v>0</v>
          </cell>
          <cell r="AN24">
            <v>0</v>
          </cell>
          <cell r="AO24">
            <v>0</v>
          </cell>
        </row>
        <row r="25">
          <cell r="E25" t="str">
            <v>TB.4</v>
          </cell>
          <cell r="F25">
            <v>3.25</v>
          </cell>
          <cell r="G25">
            <v>0.25</v>
          </cell>
          <cell r="H25">
            <v>0.5</v>
          </cell>
          <cell r="I25">
            <v>0.97499999999999998</v>
          </cell>
          <cell r="J25">
            <v>117.00664659692309</v>
          </cell>
          <cell r="L25">
            <v>3</v>
          </cell>
          <cell r="S25">
            <v>3</v>
          </cell>
          <cell r="T25">
            <v>0.40625</v>
          </cell>
          <cell r="U25">
            <v>1.21875</v>
          </cell>
          <cell r="V25">
            <v>0</v>
          </cell>
          <cell r="W25">
            <v>0</v>
          </cell>
          <cell r="X25">
            <v>16.5499425</v>
          </cell>
          <cell r="Y25">
            <v>0</v>
          </cell>
          <cell r="Z25">
            <v>0</v>
          </cell>
          <cell r="AA25">
            <v>30.984007680000001</v>
          </cell>
          <cell r="AB25">
            <v>0</v>
          </cell>
          <cell r="AC25">
            <v>0</v>
          </cell>
          <cell r="AD25">
            <v>0</v>
          </cell>
          <cell r="AE25">
            <v>0</v>
          </cell>
          <cell r="AF25">
            <v>0</v>
          </cell>
          <cell r="AG25">
            <v>0</v>
          </cell>
          <cell r="AH25">
            <v>49.649827500000001</v>
          </cell>
          <cell r="AI25">
            <v>0</v>
          </cell>
          <cell r="AJ25">
            <v>0</v>
          </cell>
          <cell r="AK25">
            <v>92.95202304</v>
          </cell>
          <cell r="AL25">
            <v>0</v>
          </cell>
          <cell r="AM25">
            <v>0</v>
          </cell>
          <cell r="AN25">
            <v>0</v>
          </cell>
          <cell r="AO25">
            <v>0</v>
          </cell>
        </row>
        <row r="26">
          <cell r="E26" t="str">
            <v>TB.5</v>
          </cell>
          <cell r="F26">
            <v>2.375</v>
          </cell>
          <cell r="G26">
            <v>0.25</v>
          </cell>
          <cell r="H26">
            <v>0.5</v>
          </cell>
          <cell r="I26">
            <v>0.71250000000000002</v>
          </cell>
          <cell r="J26">
            <v>129.50480902736845</v>
          </cell>
          <cell r="L26">
            <v>8</v>
          </cell>
          <cell r="S26">
            <v>8</v>
          </cell>
          <cell r="T26">
            <v>0.296875</v>
          </cell>
          <cell r="U26">
            <v>2.375</v>
          </cell>
          <cell r="V26">
            <v>0</v>
          </cell>
          <cell r="W26">
            <v>0</v>
          </cell>
          <cell r="X26">
            <v>12.986572500000001</v>
          </cell>
          <cell r="Y26">
            <v>0</v>
          </cell>
          <cell r="Z26">
            <v>0</v>
          </cell>
          <cell r="AA26">
            <v>25.460167680000001</v>
          </cell>
          <cell r="AB26">
            <v>0</v>
          </cell>
          <cell r="AC26">
            <v>0</v>
          </cell>
          <cell r="AD26">
            <v>0</v>
          </cell>
          <cell r="AE26">
            <v>0</v>
          </cell>
          <cell r="AF26">
            <v>0</v>
          </cell>
          <cell r="AG26">
            <v>0</v>
          </cell>
          <cell r="AH26">
            <v>103.89258000000001</v>
          </cell>
          <cell r="AI26">
            <v>0</v>
          </cell>
          <cell r="AJ26">
            <v>0</v>
          </cell>
          <cell r="AK26">
            <v>203.68134144000001</v>
          </cell>
          <cell r="AL26">
            <v>0</v>
          </cell>
          <cell r="AM26">
            <v>0</v>
          </cell>
          <cell r="AN26">
            <v>0</v>
          </cell>
          <cell r="AO26">
            <v>0</v>
          </cell>
        </row>
        <row r="27">
          <cell r="E27" t="str">
            <v>TB.6</v>
          </cell>
          <cell r="F27">
            <v>2.5499999999999998</v>
          </cell>
          <cell r="G27">
            <v>0.25</v>
          </cell>
          <cell r="H27">
            <v>0.5</v>
          </cell>
          <cell r="I27">
            <v>0.7649999999999999</v>
          </cell>
          <cell r="J27">
            <v>126.87796291764708</v>
          </cell>
          <cell r="L27">
            <v>2</v>
          </cell>
          <cell r="S27">
            <v>2</v>
          </cell>
          <cell r="T27">
            <v>0.31874999999999998</v>
          </cell>
          <cell r="U27">
            <v>0.63749999999999996</v>
          </cell>
          <cell r="V27">
            <v>0</v>
          </cell>
          <cell r="W27">
            <v>0</v>
          </cell>
          <cell r="X27">
            <v>13.877415000000003</v>
          </cell>
          <cell r="Y27">
            <v>0</v>
          </cell>
          <cell r="Z27">
            <v>0</v>
          </cell>
          <cell r="AA27">
            <v>26.564935680000001</v>
          </cell>
          <cell r="AB27">
            <v>0</v>
          </cell>
          <cell r="AC27">
            <v>0</v>
          </cell>
          <cell r="AD27">
            <v>0</v>
          </cell>
          <cell r="AE27">
            <v>0</v>
          </cell>
          <cell r="AF27">
            <v>0</v>
          </cell>
          <cell r="AG27">
            <v>0</v>
          </cell>
          <cell r="AH27">
            <v>27.754830000000005</v>
          </cell>
          <cell r="AI27">
            <v>0</v>
          </cell>
          <cell r="AJ27">
            <v>0</v>
          </cell>
          <cell r="AK27">
            <v>53.129871360000003</v>
          </cell>
          <cell r="AL27">
            <v>0</v>
          </cell>
          <cell r="AM27">
            <v>0</v>
          </cell>
          <cell r="AN27">
            <v>0</v>
          </cell>
          <cell r="AO27">
            <v>0</v>
          </cell>
        </row>
        <row r="28">
          <cell r="E28" t="str">
            <v>TB.6a</v>
          </cell>
          <cell r="F28">
            <v>2.5499999999999998</v>
          </cell>
          <cell r="G28">
            <v>0.25</v>
          </cell>
          <cell r="H28">
            <v>0.5</v>
          </cell>
          <cell r="I28">
            <v>0.7649999999999999</v>
          </cell>
          <cell r="J28">
            <v>178.86704527058825</v>
          </cell>
          <cell r="L28">
            <v>1</v>
          </cell>
          <cell r="S28">
            <v>1</v>
          </cell>
          <cell r="T28">
            <v>0.31874999999999998</v>
          </cell>
          <cell r="U28">
            <v>0.31874999999999998</v>
          </cell>
          <cell r="V28">
            <v>0</v>
          </cell>
          <cell r="W28">
            <v>0</v>
          </cell>
          <cell r="X28">
            <v>13.877415000000003</v>
          </cell>
          <cell r="Y28">
            <v>0</v>
          </cell>
          <cell r="Z28">
            <v>0</v>
          </cell>
          <cell r="AA28">
            <v>43.136455679999997</v>
          </cell>
          <cell r="AB28">
            <v>0</v>
          </cell>
          <cell r="AC28">
            <v>0</v>
          </cell>
          <cell r="AD28">
            <v>0</v>
          </cell>
          <cell r="AE28">
            <v>0</v>
          </cell>
          <cell r="AF28">
            <v>0</v>
          </cell>
          <cell r="AG28">
            <v>0</v>
          </cell>
          <cell r="AH28">
            <v>13.877415000000003</v>
          </cell>
          <cell r="AI28">
            <v>0</v>
          </cell>
          <cell r="AJ28">
            <v>0</v>
          </cell>
          <cell r="AK28">
            <v>43.136455679999997</v>
          </cell>
          <cell r="AL28">
            <v>0</v>
          </cell>
          <cell r="AM28">
            <v>0</v>
          </cell>
          <cell r="AN28">
            <v>0</v>
          </cell>
          <cell r="AO28">
            <v>0</v>
          </cell>
        </row>
        <row r="29">
          <cell r="E29" t="str">
            <v>TB.6a'</v>
          </cell>
          <cell r="F29">
            <v>2.5499999999999998</v>
          </cell>
          <cell r="G29">
            <v>0.25</v>
          </cell>
          <cell r="H29">
            <v>0.5</v>
          </cell>
          <cell r="I29">
            <v>0.7649999999999999</v>
          </cell>
          <cell r="J29">
            <v>178.86704527058825</v>
          </cell>
          <cell r="L29">
            <v>1</v>
          </cell>
          <cell r="S29">
            <v>1</v>
          </cell>
          <cell r="T29">
            <v>0.31874999999999998</v>
          </cell>
          <cell r="U29">
            <v>0.31874999999999998</v>
          </cell>
          <cell r="V29">
            <v>0</v>
          </cell>
          <cell r="W29">
            <v>0</v>
          </cell>
          <cell r="X29">
            <v>13.877415000000003</v>
          </cell>
          <cell r="Y29">
            <v>0</v>
          </cell>
          <cell r="Z29">
            <v>0</v>
          </cell>
          <cell r="AA29">
            <v>43.136455679999997</v>
          </cell>
          <cell r="AB29">
            <v>0</v>
          </cell>
          <cell r="AC29">
            <v>0</v>
          </cell>
          <cell r="AD29">
            <v>0</v>
          </cell>
          <cell r="AE29">
            <v>0</v>
          </cell>
          <cell r="AF29">
            <v>0</v>
          </cell>
          <cell r="AG29">
            <v>0</v>
          </cell>
          <cell r="AH29">
            <v>13.877415000000003</v>
          </cell>
          <cell r="AI29">
            <v>0</v>
          </cell>
          <cell r="AJ29">
            <v>0</v>
          </cell>
          <cell r="AK29">
            <v>43.136455679999997</v>
          </cell>
          <cell r="AL29">
            <v>0</v>
          </cell>
          <cell r="AM29">
            <v>0</v>
          </cell>
          <cell r="AN29">
            <v>0</v>
          </cell>
          <cell r="AO29">
            <v>0</v>
          </cell>
        </row>
        <row r="30">
          <cell r="E30" t="str">
            <v>TB.7</v>
          </cell>
          <cell r="F30">
            <v>2.5499999999999998</v>
          </cell>
          <cell r="G30">
            <v>0.2</v>
          </cell>
          <cell r="H30">
            <v>0.4</v>
          </cell>
          <cell r="I30">
            <v>0.48960000000000004</v>
          </cell>
          <cell r="J30">
            <v>184.4964494117647</v>
          </cell>
          <cell r="L30">
            <v>2</v>
          </cell>
          <cell r="S30">
            <v>2</v>
          </cell>
          <cell r="T30">
            <v>0.20400000000000001</v>
          </cell>
          <cell r="U30">
            <v>0.40800000000000003</v>
          </cell>
          <cell r="V30">
            <v>0</v>
          </cell>
          <cell r="W30">
            <v>0</v>
          </cell>
          <cell r="X30">
            <v>11.072340000000002</v>
          </cell>
          <cell r="Y30">
            <v>0</v>
          </cell>
          <cell r="Z30">
            <v>0</v>
          </cell>
          <cell r="AA30">
            <v>26.564935680000001</v>
          </cell>
          <cell r="AB30">
            <v>0</v>
          </cell>
          <cell r="AC30">
            <v>0</v>
          </cell>
          <cell r="AD30">
            <v>0</v>
          </cell>
          <cell r="AE30">
            <v>0</v>
          </cell>
          <cell r="AF30">
            <v>0</v>
          </cell>
          <cell r="AG30">
            <v>0</v>
          </cell>
          <cell r="AH30">
            <v>22.144680000000005</v>
          </cell>
          <cell r="AI30">
            <v>0</v>
          </cell>
          <cell r="AJ30">
            <v>0</v>
          </cell>
          <cell r="AK30">
            <v>53.129871360000003</v>
          </cell>
          <cell r="AL30">
            <v>0</v>
          </cell>
          <cell r="AM30">
            <v>0</v>
          </cell>
          <cell r="AN30">
            <v>0</v>
          </cell>
          <cell r="AO30">
            <v>0</v>
          </cell>
        </row>
        <row r="31">
          <cell r="E31" t="str">
            <v>TB.8</v>
          </cell>
          <cell r="F31">
            <v>2.5</v>
          </cell>
          <cell r="G31">
            <v>0.2</v>
          </cell>
          <cell r="H31">
            <v>0.4</v>
          </cell>
          <cell r="I31">
            <v>0.48</v>
          </cell>
          <cell r="J31">
            <v>183.15573840000002</v>
          </cell>
          <cell r="L31">
            <v>2</v>
          </cell>
          <cell r="S31">
            <v>2</v>
          </cell>
          <cell r="T31">
            <v>0.2</v>
          </cell>
          <cell r="U31">
            <v>0.4</v>
          </cell>
          <cell r="V31">
            <v>0</v>
          </cell>
          <cell r="W31">
            <v>0</v>
          </cell>
          <cell r="X31">
            <v>10.381860000000001</v>
          </cell>
          <cell r="Y31">
            <v>0</v>
          </cell>
          <cell r="Z31">
            <v>0</v>
          </cell>
          <cell r="AA31">
            <v>26.249287680000002</v>
          </cell>
          <cell r="AB31">
            <v>0</v>
          </cell>
          <cell r="AC31">
            <v>0</v>
          </cell>
          <cell r="AD31">
            <v>0</v>
          </cell>
          <cell r="AE31">
            <v>0</v>
          </cell>
          <cell r="AF31">
            <v>0</v>
          </cell>
          <cell r="AG31">
            <v>0</v>
          </cell>
          <cell r="AH31">
            <v>20.763720000000003</v>
          </cell>
          <cell r="AI31">
            <v>0</v>
          </cell>
          <cell r="AJ31">
            <v>0</v>
          </cell>
          <cell r="AK31">
            <v>52.498575360000004</v>
          </cell>
          <cell r="AL31">
            <v>0</v>
          </cell>
          <cell r="AM31">
            <v>0</v>
          </cell>
          <cell r="AN31">
            <v>0</v>
          </cell>
          <cell r="AO31">
            <v>0</v>
          </cell>
        </row>
        <row r="32">
          <cell r="E32" t="str">
            <v>TB.8'</v>
          </cell>
          <cell r="F32">
            <v>2.5</v>
          </cell>
          <cell r="G32">
            <v>0.2</v>
          </cell>
          <cell r="H32">
            <v>0.4</v>
          </cell>
          <cell r="I32">
            <v>0.48</v>
          </cell>
          <cell r="J32">
            <v>183.15573840000002</v>
          </cell>
          <cell r="L32">
            <v>2</v>
          </cell>
          <cell r="S32">
            <v>2</v>
          </cell>
          <cell r="T32">
            <v>0.2</v>
          </cell>
          <cell r="U32">
            <v>0.4</v>
          </cell>
          <cell r="V32">
            <v>0</v>
          </cell>
          <cell r="W32">
            <v>0</v>
          </cell>
          <cell r="X32">
            <v>10.381860000000001</v>
          </cell>
          <cell r="Y32">
            <v>0</v>
          </cell>
          <cell r="Z32">
            <v>0</v>
          </cell>
          <cell r="AA32">
            <v>26.249287680000002</v>
          </cell>
          <cell r="AB32">
            <v>0</v>
          </cell>
          <cell r="AC32">
            <v>0</v>
          </cell>
          <cell r="AD32">
            <v>0</v>
          </cell>
          <cell r="AE32">
            <v>0</v>
          </cell>
          <cell r="AF32">
            <v>0</v>
          </cell>
          <cell r="AG32">
            <v>0</v>
          </cell>
          <cell r="AH32">
            <v>20.763720000000003</v>
          </cell>
          <cell r="AI32">
            <v>0</v>
          </cell>
          <cell r="AJ32">
            <v>0</v>
          </cell>
          <cell r="AK32">
            <v>52.498575360000004</v>
          </cell>
          <cell r="AL32">
            <v>0</v>
          </cell>
          <cell r="AM32">
            <v>0</v>
          </cell>
          <cell r="AN32">
            <v>0</v>
          </cell>
          <cell r="AO32">
            <v>0</v>
          </cell>
        </row>
        <row r="33">
          <cell r="E33" t="str">
            <v>TB.9</v>
          </cell>
          <cell r="F33">
            <v>1.4</v>
          </cell>
          <cell r="G33">
            <v>0.2</v>
          </cell>
          <cell r="H33">
            <v>0.4</v>
          </cell>
          <cell r="I33">
            <v>0.26879999999999998</v>
          </cell>
          <cell r="J33">
            <v>234.23653285714286</v>
          </cell>
          <cell r="L33">
            <v>4</v>
          </cell>
          <cell r="S33">
            <v>4</v>
          </cell>
          <cell r="T33">
            <v>0.11199999999999999</v>
          </cell>
          <cell r="U33">
            <v>0.44799999999999995</v>
          </cell>
          <cell r="V33">
            <v>0</v>
          </cell>
          <cell r="W33">
            <v>0</v>
          </cell>
          <cell r="X33">
            <v>6.9294600000000006</v>
          </cell>
          <cell r="Y33">
            <v>0</v>
          </cell>
          <cell r="Z33">
            <v>0</v>
          </cell>
          <cell r="AA33">
            <v>19.305031679999999</v>
          </cell>
          <cell r="AB33">
            <v>0</v>
          </cell>
          <cell r="AC33">
            <v>0</v>
          </cell>
          <cell r="AD33">
            <v>0</v>
          </cell>
          <cell r="AE33">
            <v>0</v>
          </cell>
          <cell r="AF33">
            <v>0</v>
          </cell>
          <cell r="AG33">
            <v>0</v>
          </cell>
          <cell r="AH33">
            <v>27.717840000000002</v>
          </cell>
          <cell r="AI33">
            <v>0</v>
          </cell>
          <cell r="AJ33">
            <v>0</v>
          </cell>
          <cell r="AK33">
            <v>77.220126719999996</v>
          </cell>
          <cell r="AL33">
            <v>0</v>
          </cell>
          <cell r="AM33">
            <v>0</v>
          </cell>
          <cell r="AN33">
            <v>0</v>
          </cell>
          <cell r="AO33">
            <v>0</v>
          </cell>
        </row>
        <row r="34">
          <cell r="E34" t="str">
            <v>TB.10</v>
          </cell>
          <cell r="F34">
            <v>3.8</v>
          </cell>
          <cell r="G34">
            <v>0.2</v>
          </cell>
          <cell r="H34">
            <v>0.4</v>
          </cell>
          <cell r="I34">
            <v>0.72960000000000014</v>
          </cell>
          <cell r="J34">
            <v>163.39261736842104</v>
          </cell>
          <cell r="L34">
            <v>2</v>
          </cell>
          <cell r="S34">
            <v>2</v>
          </cell>
          <cell r="T34">
            <v>0.30400000000000005</v>
          </cell>
          <cell r="U34">
            <v>0.6080000000000001</v>
          </cell>
          <cell r="V34">
            <v>0</v>
          </cell>
          <cell r="W34">
            <v>0</v>
          </cell>
          <cell r="X34">
            <v>15.215220000000002</v>
          </cell>
          <cell r="Y34">
            <v>0</v>
          </cell>
          <cell r="Z34">
            <v>0</v>
          </cell>
          <cell r="AA34">
            <v>34.456135680000003</v>
          </cell>
          <cell r="AB34">
            <v>0</v>
          </cell>
          <cell r="AC34">
            <v>0</v>
          </cell>
          <cell r="AD34">
            <v>0</v>
          </cell>
          <cell r="AE34">
            <v>0</v>
          </cell>
          <cell r="AF34">
            <v>0</v>
          </cell>
          <cell r="AG34">
            <v>0</v>
          </cell>
          <cell r="AH34">
            <v>30.430440000000004</v>
          </cell>
          <cell r="AI34">
            <v>0</v>
          </cell>
          <cell r="AJ34">
            <v>0</v>
          </cell>
          <cell r="AK34">
            <v>68.912271360000005</v>
          </cell>
          <cell r="AL34">
            <v>0</v>
          </cell>
          <cell r="AM34">
            <v>0</v>
          </cell>
          <cell r="AN34">
            <v>0</v>
          </cell>
          <cell r="AO34">
            <v>0</v>
          </cell>
        </row>
        <row r="35">
          <cell r="E35" t="str">
            <v>TB.11</v>
          </cell>
          <cell r="F35">
            <v>2.5</v>
          </cell>
          <cell r="G35">
            <v>0.2</v>
          </cell>
          <cell r="H35">
            <v>0.4</v>
          </cell>
          <cell r="I35">
            <v>0.48</v>
          </cell>
          <cell r="J35">
            <v>183.15573840000002</v>
          </cell>
          <cell r="L35">
            <v>1</v>
          </cell>
          <cell r="S35">
            <v>1</v>
          </cell>
          <cell r="T35">
            <v>0.2</v>
          </cell>
          <cell r="U35">
            <v>0.2</v>
          </cell>
          <cell r="V35">
            <v>0</v>
          </cell>
          <cell r="W35">
            <v>0</v>
          </cell>
          <cell r="X35">
            <v>10.381860000000001</v>
          </cell>
          <cell r="Y35">
            <v>0</v>
          </cell>
          <cell r="Z35">
            <v>0</v>
          </cell>
          <cell r="AA35">
            <v>26.249287680000002</v>
          </cell>
          <cell r="AB35">
            <v>0</v>
          </cell>
          <cell r="AC35">
            <v>0</v>
          </cell>
          <cell r="AD35">
            <v>0</v>
          </cell>
          <cell r="AE35">
            <v>0</v>
          </cell>
          <cell r="AF35">
            <v>0</v>
          </cell>
          <cell r="AG35">
            <v>0</v>
          </cell>
          <cell r="AH35">
            <v>10.381860000000001</v>
          </cell>
          <cell r="AI35">
            <v>0</v>
          </cell>
          <cell r="AJ35">
            <v>0</v>
          </cell>
          <cell r="AK35">
            <v>26.249287680000002</v>
          </cell>
          <cell r="AL35">
            <v>0</v>
          </cell>
          <cell r="AM35">
            <v>0</v>
          </cell>
          <cell r="AN35">
            <v>0</v>
          </cell>
          <cell r="AO35">
            <v>0</v>
          </cell>
        </row>
        <row r="36">
          <cell r="L36">
            <v>128</v>
          </cell>
          <cell r="M36">
            <v>0</v>
          </cell>
          <cell r="N36">
            <v>0</v>
          </cell>
          <cell r="O36">
            <v>0</v>
          </cell>
          <cell r="P36">
            <v>0</v>
          </cell>
          <cell r="Q36">
            <v>0</v>
          </cell>
          <cell r="R36">
            <v>0</v>
          </cell>
          <cell r="S36">
            <v>128</v>
          </cell>
          <cell r="U36">
            <v>44.956499999999998</v>
          </cell>
          <cell r="AF36">
            <v>0</v>
          </cell>
          <cell r="AG36">
            <v>0</v>
          </cell>
          <cell r="AH36">
            <v>1869.7489424999999</v>
          </cell>
          <cell r="AI36">
            <v>0</v>
          </cell>
          <cell r="AJ36">
            <v>0</v>
          </cell>
          <cell r="AK36">
            <v>3713.3714534399992</v>
          </cell>
          <cell r="AL36">
            <v>0</v>
          </cell>
          <cell r="AM36">
            <v>0</v>
          </cell>
          <cell r="AN36">
            <v>0</v>
          </cell>
          <cell r="AO36">
            <v>0</v>
          </cell>
        </row>
        <row r="39">
          <cell r="E39" t="str">
            <v>K.1</v>
          </cell>
          <cell r="F39">
            <v>0.34</v>
          </cell>
          <cell r="G39">
            <v>0.34</v>
          </cell>
          <cell r="H39">
            <v>2.8</v>
          </cell>
          <cell r="I39">
            <v>0.77683200000000008</v>
          </cell>
          <cell r="J39">
            <v>175.67583477508649</v>
          </cell>
          <cell r="L39">
            <v>78</v>
          </cell>
          <cell r="S39">
            <v>78</v>
          </cell>
          <cell r="T39">
            <v>0.32368000000000002</v>
          </cell>
          <cell r="U39">
            <v>25.247040000000002</v>
          </cell>
          <cell r="V39">
            <v>0</v>
          </cell>
          <cell r="W39">
            <v>0</v>
          </cell>
          <cell r="X39">
            <v>21.075669000000001</v>
          </cell>
          <cell r="Y39">
            <v>0</v>
          </cell>
          <cell r="Z39">
            <v>0</v>
          </cell>
          <cell r="AA39">
            <v>0</v>
          </cell>
          <cell r="AB39">
            <v>35.7870852</v>
          </cell>
          <cell r="AC39">
            <v>0</v>
          </cell>
          <cell r="AD39">
            <v>0</v>
          </cell>
          <cell r="AE39">
            <v>0</v>
          </cell>
          <cell r="AF39">
            <v>0</v>
          </cell>
          <cell r="AG39">
            <v>0</v>
          </cell>
          <cell r="AH39">
            <v>1643.902182</v>
          </cell>
          <cell r="AI39">
            <v>0</v>
          </cell>
          <cell r="AJ39">
            <v>0</v>
          </cell>
          <cell r="AK39">
            <v>0</v>
          </cell>
          <cell r="AL39">
            <v>2791.3926455999999</v>
          </cell>
          <cell r="AM39">
            <v>0</v>
          </cell>
          <cell r="AN39">
            <v>0</v>
          </cell>
          <cell r="AO39">
            <v>0</v>
          </cell>
        </row>
        <row r="40">
          <cell r="E40" t="str">
            <v>K.1A</v>
          </cell>
          <cell r="F40">
            <v>0.34</v>
          </cell>
          <cell r="G40">
            <v>0.34</v>
          </cell>
          <cell r="H40">
            <v>1.55</v>
          </cell>
          <cell r="I40">
            <v>0.43003200000000008</v>
          </cell>
          <cell r="J40">
            <v>214.64577073334073</v>
          </cell>
          <cell r="L40">
            <v>6</v>
          </cell>
          <cell r="S40">
            <v>6</v>
          </cell>
          <cell r="T40">
            <v>0.17918000000000003</v>
          </cell>
          <cell r="U40">
            <v>1.0750800000000003</v>
          </cell>
          <cell r="V40">
            <v>0</v>
          </cell>
          <cell r="W40">
            <v>0</v>
          </cell>
          <cell r="X40">
            <v>13.800969</v>
          </cell>
          <cell r="Y40">
            <v>0</v>
          </cell>
          <cell r="Z40">
            <v>0</v>
          </cell>
          <cell r="AA40">
            <v>0</v>
          </cell>
          <cell r="AB40">
            <v>24.659260200000002</v>
          </cell>
          <cell r="AC40">
            <v>0</v>
          </cell>
          <cell r="AD40">
            <v>0</v>
          </cell>
          <cell r="AE40">
            <v>0</v>
          </cell>
          <cell r="AF40">
            <v>0</v>
          </cell>
          <cell r="AG40">
            <v>0</v>
          </cell>
          <cell r="AH40">
            <v>82.805813999999998</v>
          </cell>
          <cell r="AI40">
            <v>0</v>
          </cell>
          <cell r="AJ40">
            <v>0</v>
          </cell>
          <cell r="AK40">
            <v>0</v>
          </cell>
          <cell r="AL40">
            <v>147.95556120000001</v>
          </cell>
          <cell r="AM40">
            <v>0</v>
          </cell>
          <cell r="AN40">
            <v>0</v>
          </cell>
          <cell r="AO40">
            <v>0</v>
          </cell>
        </row>
        <row r="41">
          <cell r="E41" t="str">
            <v>K.2</v>
          </cell>
          <cell r="F41">
            <v>0.34</v>
          </cell>
          <cell r="G41">
            <v>0.34</v>
          </cell>
          <cell r="H41">
            <v>2.5299999999999998</v>
          </cell>
          <cell r="I41">
            <v>0.70192320000000008</v>
          </cell>
          <cell r="J41">
            <v>183.71812984668406</v>
          </cell>
          <cell r="M41">
            <v>82</v>
          </cell>
          <cell r="S41">
            <v>82</v>
          </cell>
          <cell r="T41">
            <v>0.29246800000000006</v>
          </cell>
          <cell r="U41">
            <v>23.982376000000006</v>
          </cell>
          <cell r="V41">
            <v>0</v>
          </cell>
          <cell r="W41">
            <v>0</v>
          </cell>
          <cell r="X41">
            <v>20.348199000000001</v>
          </cell>
          <cell r="Y41">
            <v>0</v>
          </cell>
          <cell r="Z41">
            <v>0</v>
          </cell>
          <cell r="AA41">
            <v>0</v>
          </cell>
          <cell r="AB41">
            <v>33.383475000000004</v>
          </cell>
          <cell r="AC41">
            <v>0</v>
          </cell>
          <cell r="AD41">
            <v>0</v>
          </cell>
          <cell r="AE41">
            <v>0</v>
          </cell>
          <cell r="AF41">
            <v>0</v>
          </cell>
          <cell r="AG41">
            <v>0</v>
          </cell>
          <cell r="AH41">
            <v>1668.552318</v>
          </cell>
          <cell r="AI41">
            <v>0</v>
          </cell>
          <cell r="AJ41">
            <v>0</v>
          </cell>
          <cell r="AK41">
            <v>0</v>
          </cell>
          <cell r="AL41">
            <v>2737.4449500000005</v>
          </cell>
          <cell r="AM41">
            <v>0</v>
          </cell>
          <cell r="AN41">
            <v>0</v>
          </cell>
          <cell r="AO41">
            <v>0</v>
          </cell>
        </row>
        <row r="42">
          <cell r="E42" t="str">
            <v>K.3</v>
          </cell>
          <cell r="F42">
            <v>0.34</v>
          </cell>
          <cell r="G42">
            <v>0.34</v>
          </cell>
          <cell r="H42">
            <v>2.5299999999999998</v>
          </cell>
          <cell r="I42">
            <v>0.70192320000000008</v>
          </cell>
          <cell r="J42">
            <v>183.71812984668406</v>
          </cell>
          <cell r="N42">
            <v>82</v>
          </cell>
          <cell r="S42">
            <v>82</v>
          </cell>
          <cell r="T42">
            <v>0.29246800000000006</v>
          </cell>
          <cell r="U42">
            <v>23.982376000000006</v>
          </cell>
          <cell r="V42">
            <v>0</v>
          </cell>
          <cell r="W42">
            <v>0</v>
          </cell>
          <cell r="X42">
            <v>20.348199000000001</v>
          </cell>
          <cell r="Y42">
            <v>0</v>
          </cell>
          <cell r="Z42">
            <v>0</v>
          </cell>
          <cell r="AA42">
            <v>0</v>
          </cell>
          <cell r="AB42">
            <v>33.383475000000004</v>
          </cell>
          <cell r="AC42">
            <v>0</v>
          </cell>
          <cell r="AD42">
            <v>0</v>
          </cell>
          <cell r="AE42">
            <v>0</v>
          </cell>
          <cell r="AF42">
            <v>0</v>
          </cell>
          <cell r="AG42">
            <v>0</v>
          </cell>
          <cell r="AH42">
            <v>1668.552318</v>
          </cell>
          <cell r="AI42">
            <v>0</v>
          </cell>
          <cell r="AJ42">
            <v>0</v>
          </cell>
          <cell r="AK42">
            <v>0</v>
          </cell>
          <cell r="AL42">
            <v>2737.4449500000005</v>
          </cell>
          <cell r="AM42">
            <v>0</v>
          </cell>
          <cell r="AN42">
            <v>0</v>
          </cell>
          <cell r="AO42">
            <v>0</v>
          </cell>
        </row>
        <row r="43">
          <cell r="E43" t="str">
            <v>K.4</v>
          </cell>
          <cell r="F43">
            <v>0.34</v>
          </cell>
          <cell r="G43">
            <v>0.34</v>
          </cell>
          <cell r="H43">
            <v>2.5299999999999998</v>
          </cell>
          <cell r="I43">
            <v>0.70192320000000008</v>
          </cell>
          <cell r="J43">
            <v>183.71812984668406</v>
          </cell>
          <cell r="O43">
            <v>82</v>
          </cell>
          <cell r="S43">
            <v>82</v>
          </cell>
          <cell r="T43">
            <v>0.29246800000000006</v>
          </cell>
          <cell r="U43">
            <v>23.982376000000006</v>
          </cell>
          <cell r="V43">
            <v>0</v>
          </cell>
          <cell r="W43">
            <v>0</v>
          </cell>
          <cell r="X43">
            <v>20.348199000000001</v>
          </cell>
          <cell r="Y43">
            <v>0</v>
          </cell>
          <cell r="Z43">
            <v>0</v>
          </cell>
          <cell r="AA43">
            <v>0</v>
          </cell>
          <cell r="AB43">
            <v>33.383475000000004</v>
          </cell>
          <cell r="AC43">
            <v>0</v>
          </cell>
          <cell r="AD43">
            <v>0</v>
          </cell>
          <cell r="AE43">
            <v>0</v>
          </cell>
          <cell r="AF43">
            <v>0</v>
          </cell>
          <cell r="AG43">
            <v>0</v>
          </cell>
          <cell r="AH43">
            <v>1668.552318</v>
          </cell>
          <cell r="AI43">
            <v>0</v>
          </cell>
          <cell r="AJ43">
            <v>0</v>
          </cell>
          <cell r="AK43">
            <v>0</v>
          </cell>
          <cell r="AL43">
            <v>2737.4449500000005</v>
          </cell>
          <cell r="AM43">
            <v>0</v>
          </cell>
          <cell r="AN43">
            <v>0</v>
          </cell>
          <cell r="AO43">
            <v>0</v>
          </cell>
        </row>
        <row r="44">
          <cell r="E44" t="str">
            <v>K.5</v>
          </cell>
          <cell r="F44">
            <v>0.34</v>
          </cell>
          <cell r="G44">
            <v>0.34</v>
          </cell>
          <cell r="H44">
            <v>2.5299999999999998</v>
          </cell>
          <cell r="I44">
            <v>0.70192320000000008</v>
          </cell>
          <cell r="J44">
            <v>183.71812984668406</v>
          </cell>
          <cell r="P44">
            <v>82</v>
          </cell>
          <cell r="S44">
            <v>82</v>
          </cell>
          <cell r="T44">
            <v>0.29246800000000006</v>
          </cell>
          <cell r="U44">
            <v>23.982376000000006</v>
          </cell>
          <cell r="V44">
            <v>0</v>
          </cell>
          <cell r="W44">
            <v>0</v>
          </cell>
          <cell r="X44">
            <v>20.348199000000001</v>
          </cell>
          <cell r="Y44">
            <v>0</v>
          </cell>
          <cell r="Z44">
            <v>0</v>
          </cell>
          <cell r="AA44">
            <v>0</v>
          </cell>
          <cell r="AB44">
            <v>33.383475000000004</v>
          </cell>
          <cell r="AC44">
            <v>0</v>
          </cell>
          <cell r="AD44">
            <v>0</v>
          </cell>
          <cell r="AE44">
            <v>0</v>
          </cell>
          <cell r="AF44">
            <v>0</v>
          </cell>
          <cell r="AG44">
            <v>0</v>
          </cell>
          <cell r="AH44">
            <v>1668.552318</v>
          </cell>
          <cell r="AI44">
            <v>0</v>
          </cell>
          <cell r="AJ44">
            <v>0</v>
          </cell>
          <cell r="AK44">
            <v>0</v>
          </cell>
          <cell r="AL44">
            <v>2737.4449500000005</v>
          </cell>
          <cell r="AM44">
            <v>0</v>
          </cell>
          <cell r="AN44">
            <v>0</v>
          </cell>
          <cell r="AO44">
            <v>0</v>
          </cell>
        </row>
        <row r="45">
          <cell r="E45" t="str">
            <v>K.6</v>
          </cell>
          <cell r="F45">
            <v>0.34</v>
          </cell>
          <cell r="G45">
            <v>0.34</v>
          </cell>
          <cell r="H45">
            <v>1.2</v>
          </cell>
          <cell r="I45">
            <v>0.332928</v>
          </cell>
          <cell r="J45">
            <v>239.05729671280272</v>
          </cell>
          <cell r="Q45">
            <v>68</v>
          </cell>
          <cell r="S45">
            <v>68</v>
          </cell>
          <cell r="T45">
            <v>0.13872000000000001</v>
          </cell>
          <cell r="U45">
            <v>9.4329600000000013</v>
          </cell>
          <cell r="V45">
            <v>0</v>
          </cell>
          <cell r="W45">
            <v>0</v>
          </cell>
          <cell r="X45">
            <v>11.618558999999998</v>
          </cell>
          <cell r="Y45">
            <v>0</v>
          </cell>
          <cell r="Z45">
            <v>0</v>
          </cell>
          <cell r="AA45">
            <v>0</v>
          </cell>
          <cell r="AB45">
            <v>21.543469200000001</v>
          </cell>
          <cell r="AC45">
            <v>0</v>
          </cell>
          <cell r="AD45">
            <v>0</v>
          </cell>
          <cell r="AE45">
            <v>0</v>
          </cell>
          <cell r="AF45">
            <v>0</v>
          </cell>
          <cell r="AG45">
            <v>0</v>
          </cell>
          <cell r="AH45">
            <v>790.06201199999987</v>
          </cell>
          <cell r="AI45">
            <v>0</v>
          </cell>
          <cell r="AJ45">
            <v>0</v>
          </cell>
          <cell r="AK45">
            <v>0</v>
          </cell>
          <cell r="AL45">
            <v>1464.9559056000001</v>
          </cell>
          <cell r="AM45">
            <v>0</v>
          </cell>
          <cell r="AN45">
            <v>0</v>
          </cell>
          <cell r="AO45">
            <v>0</v>
          </cell>
        </row>
        <row r="46">
          <cell r="E46" t="str">
            <v>K.7</v>
          </cell>
          <cell r="F46">
            <v>0.34</v>
          </cell>
          <cell r="G46">
            <v>0.34</v>
          </cell>
          <cell r="H46">
            <v>3.05</v>
          </cell>
          <cell r="I46">
            <v>0.84619200000000017</v>
          </cell>
          <cell r="J46">
            <v>173.77823245788187</v>
          </cell>
          <cell r="R46">
            <v>4</v>
          </cell>
          <cell r="S46">
            <v>4</v>
          </cell>
          <cell r="T46">
            <v>0.35258000000000006</v>
          </cell>
          <cell r="U46">
            <v>1.4103200000000002</v>
          </cell>
          <cell r="V46">
            <v>0</v>
          </cell>
          <cell r="W46">
            <v>0</v>
          </cell>
          <cell r="X46">
            <v>23.258079000000002</v>
          </cell>
          <cell r="Y46">
            <v>0</v>
          </cell>
          <cell r="Z46">
            <v>0</v>
          </cell>
          <cell r="AA46">
            <v>0</v>
          </cell>
          <cell r="AB46">
            <v>38.012650200000003</v>
          </cell>
          <cell r="AC46">
            <v>0</v>
          </cell>
          <cell r="AD46">
            <v>0</v>
          </cell>
          <cell r="AE46">
            <v>0</v>
          </cell>
          <cell r="AF46">
            <v>0</v>
          </cell>
          <cell r="AG46">
            <v>0</v>
          </cell>
          <cell r="AH46">
            <v>93.032316000000009</v>
          </cell>
          <cell r="AI46">
            <v>0</v>
          </cell>
          <cell r="AJ46">
            <v>0</v>
          </cell>
          <cell r="AK46">
            <v>0</v>
          </cell>
          <cell r="AL46">
            <v>152.05060080000001</v>
          </cell>
          <cell r="AM46">
            <v>0</v>
          </cell>
          <cell r="AN46">
            <v>0</v>
          </cell>
          <cell r="AO46">
            <v>0</v>
          </cell>
        </row>
        <row r="47">
          <cell r="L47">
            <v>84</v>
          </cell>
          <cell r="M47">
            <v>82</v>
          </cell>
          <cell r="N47">
            <v>82</v>
          </cell>
          <cell r="O47">
            <v>82</v>
          </cell>
          <cell r="P47">
            <v>82</v>
          </cell>
          <cell r="Q47">
            <v>68</v>
          </cell>
          <cell r="R47">
            <v>4</v>
          </cell>
          <cell r="S47">
            <v>484</v>
          </cell>
          <cell r="U47">
            <v>133.09490400000004</v>
          </cell>
          <cell r="AF47">
            <v>0</v>
          </cell>
          <cell r="AG47">
            <v>0</v>
          </cell>
          <cell r="AH47">
            <v>9284.0115960000021</v>
          </cell>
          <cell r="AI47">
            <v>0</v>
          </cell>
          <cell r="AJ47">
            <v>0</v>
          </cell>
          <cell r="AK47">
            <v>0</v>
          </cell>
          <cell r="AL47">
            <v>15506.134513200002</v>
          </cell>
          <cell r="AM47">
            <v>0</v>
          </cell>
          <cell r="AN47">
            <v>0</v>
          </cell>
          <cell r="AO47">
            <v>0</v>
          </cell>
        </row>
        <row r="49">
          <cell r="E49" t="str">
            <v>B.1</v>
          </cell>
          <cell r="F49">
            <v>5.44</v>
          </cell>
          <cell r="G49">
            <v>0.25</v>
          </cell>
          <cell r="H49">
            <v>0.35</v>
          </cell>
          <cell r="I49">
            <v>1.1423999999999999</v>
          </cell>
          <cell r="J49">
            <v>263.43407647058825</v>
          </cell>
          <cell r="M49">
            <v>32</v>
          </cell>
          <cell r="N49">
            <v>32</v>
          </cell>
          <cell r="O49">
            <v>32</v>
          </cell>
          <cell r="P49">
            <v>32</v>
          </cell>
          <cell r="S49">
            <v>128</v>
          </cell>
          <cell r="T49">
            <v>0.47599999999999998</v>
          </cell>
          <cell r="U49">
            <v>60.927999999999997</v>
          </cell>
          <cell r="V49">
            <v>0</v>
          </cell>
          <cell r="W49">
            <v>0</v>
          </cell>
          <cell r="X49">
            <v>0</v>
          </cell>
          <cell r="Y49">
            <v>0</v>
          </cell>
          <cell r="Z49">
            <v>0</v>
          </cell>
          <cell r="AA49">
            <v>24.241766400000003</v>
          </cell>
          <cell r="AB49">
            <v>0</v>
          </cell>
          <cell r="AC49">
            <v>0</v>
          </cell>
          <cell r="AD49">
            <v>101.152854</v>
          </cell>
          <cell r="AE49">
            <v>0</v>
          </cell>
          <cell r="AF49">
            <v>0</v>
          </cell>
          <cell r="AG49">
            <v>0</v>
          </cell>
          <cell r="AH49">
            <v>0</v>
          </cell>
          <cell r="AI49">
            <v>0</v>
          </cell>
          <cell r="AJ49">
            <v>0</v>
          </cell>
          <cell r="AK49">
            <v>3102.9460992000004</v>
          </cell>
          <cell r="AL49">
            <v>0</v>
          </cell>
          <cell r="AM49">
            <v>0</v>
          </cell>
          <cell r="AN49">
            <v>12947.565312000001</v>
          </cell>
          <cell r="AO49">
            <v>0</v>
          </cell>
        </row>
        <row r="50">
          <cell r="E50" t="str">
            <v>B.1A</v>
          </cell>
          <cell r="F50">
            <v>1.37</v>
          </cell>
          <cell r="G50">
            <v>0.25</v>
          </cell>
          <cell r="H50">
            <v>0.35</v>
          </cell>
          <cell r="I50">
            <v>0.28769999999999996</v>
          </cell>
          <cell r="J50">
            <v>548.49085714285718</v>
          </cell>
          <cell r="M50">
            <v>20</v>
          </cell>
          <cell r="N50">
            <v>20</v>
          </cell>
          <cell r="O50">
            <v>20</v>
          </cell>
          <cell r="P50">
            <v>20</v>
          </cell>
          <cell r="Q50">
            <v>20</v>
          </cell>
          <cell r="S50">
            <v>100</v>
          </cell>
          <cell r="T50">
            <v>0.119875</v>
          </cell>
          <cell r="U50">
            <v>11.987499999999999</v>
          </cell>
          <cell r="V50">
            <v>0</v>
          </cell>
          <cell r="W50">
            <v>0</v>
          </cell>
          <cell r="X50">
            <v>0</v>
          </cell>
          <cell r="Y50">
            <v>0</v>
          </cell>
          <cell r="Z50">
            <v>0</v>
          </cell>
          <cell r="AA50">
            <v>31.391193600000001</v>
          </cell>
          <cell r="AB50">
            <v>0</v>
          </cell>
          <cell r="AC50">
            <v>0</v>
          </cell>
          <cell r="AD50">
            <v>34.359147900000004</v>
          </cell>
          <cell r="AE50">
            <v>0</v>
          </cell>
          <cell r="AF50">
            <v>0</v>
          </cell>
          <cell r="AG50">
            <v>0</v>
          </cell>
          <cell r="AH50">
            <v>0</v>
          </cell>
          <cell r="AI50">
            <v>0</v>
          </cell>
          <cell r="AJ50">
            <v>0</v>
          </cell>
          <cell r="AK50">
            <v>3139.1193600000001</v>
          </cell>
          <cell r="AL50">
            <v>0</v>
          </cell>
          <cell r="AM50">
            <v>0</v>
          </cell>
          <cell r="AN50">
            <v>3435.9147900000003</v>
          </cell>
          <cell r="AO50">
            <v>0</v>
          </cell>
        </row>
        <row r="51">
          <cell r="E51" t="str">
            <v>B.1B</v>
          </cell>
          <cell r="F51">
            <v>5.44</v>
          </cell>
          <cell r="G51">
            <v>0.25</v>
          </cell>
          <cell r="H51">
            <v>0.35</v>
          </cell>
          <cell r="I51">
            <v>1.1423999999999999</v>
          </cell>
          <cell r="J51">
            <v>391.69923277310932</v>
          </cell>
          <cell r="Q51">
            <v>28</v>
          </cell>
          <cell r="S51">
            <v>28</v>
          </cell>
          <cell r="T51">
            <v>0.47599999999999998</v>
          </cell>
          <cell r="U51">
            <v>13.327999999999999</v>
          </cell>
          <cell r="V51">
            <v>0</v>
          </cell>
          <cell r="W51">
            <v>0</v>
          </cell>
          <cell r="X51">
            <v>0</v>
          </cell>
          <cell r="Y51">
            <v>0</v>
          </cell>
          <cell r="Z51">
            <v>0</v>
          </cell>
          <cell r="AA51">
            <v>85.295980800000009</v>
          </cell>
          <cell r="AB51">
            <v>0</v>
          </cell>
          <cell r="AC51">
            <v>0</v>
          </cell>
          <cell r="AD51">
            <v>101.152854</v>
          </cell>
          <cell r="AE51">
            <v>0</v>
          </cell>
          <cell r="AF51">
            <v>0</v>
          </cell>
          <cell r="AG51">
            <v>0</v>
          </cell>
          <cell r="AH51">
            <v>0</v>
          </cell>
          <cell r="AI51">
            <v>0</v>
          </cell>
          <cell r="AJ51">
            <v>0</v>
          </cell>
          <cell r="AK51">
            <v>2388.2874624000001</v>
          </cell>
          <cell r="AL51">
            <v>0</v>
          </cell>
          <cell r="AM51">
            <v>0</v>
          </cell>
          <cell r="AN51">
            <v>2832.279912</v>
          </cell>
          <cell r="AO51">
            <v>0</v>
          </cell>
        </row>
        <row r="52">
          <cell r="E52" t="str">
            <v>B.1C</v>
          </cell>
          <cell r="F52">
            <v>5.44</v>
          </cell>
          <cell r="G52">
            <v>0.25</v>
          </cell>
          <cell r="H52">
            <v>0.35</v>
          </cell>
          <cell r="I52">
            <v>1.1423999999999999</v>
          </cell>
          <cell r="J52">
            <v>391.69923277310932</v>
          </cell>
          <cell r="Q52">
            <v>2</v>
          </cell>
          <cell r="S52">
            <v>2</v>
          </cell>
          <cell r="T52">
            <v>0.47599999999999998</v>
          </cell>
          <cell r="U52">
            <v>0.95199999999999996</v>
          </cell>
          <cell r="V52">
            <v>0</v>
          </cell>
          <cell r="W52">
            <v>0</v>
          </cell>
          <cell r="X52">
            <v>0</v>
          </cell>
          <cell r="Y52">
            <v>0</v>
          </cell>
          <cell r="Z52">
            <v>0</v>
          </cell>
          <cell r="AA52">
            <v>85.295980800000009</v>
          </cell>
          <cell r="AB52">
            <v>0</v>
          </cell>
          <cell r="AC52">
            <v>0</v>
          </cell>
          <cell r="AD52">
            <v>101.152854</v>
          </cell>
          <cell r="AE52">
            <v>0</v>
          </cell>
          <cell r="AF52">
            <v>0</v>
          </cell>
          <cell r="AG52">
            <v>0</v>
          </cell>
          <cell r="AH52">
            <v>0</v>
          </cell>
          <cell r="AI52">
            <v>0</v>
          </cell>
          <cell r="AJ52">
            <v>0</v>
          </cell>
          <cell r="AK52">
            <v>170.59196160000002</v>
          </cell>
          <cell r="AL52">
            <v>0</v>
          </cell>
          <cell r="AM52">
            <v>0</v>
          </cell>
          <cell r="AN52">
            <v>202.30570800000001</v>
          </cell>
          <cell r="AO52">
            <v>0</v>
          </cell>
        </row>
        <row r="53">
          <cell r="E53" t="str">
            <v>B.1C'</v>
          </cell>
          <cell r="F53">
            <v>5.44</v>
          </cell>
          <cell r="G53">
            <v>0.25</v>
          </cell>
          <cell r="H53">
            <v>0.35</v>
          </cell>
          <cell r="I53">
            <v>1.1423999999999999</v>
          </cell>
          <cell r="J53">
            <v>391.69923277310932</v>
          </cell>
          <cell r="Q53">
            <v>2</v>
          </cell>
          <cell r="S53">
            <v>2</v>
          </cell>
          <cell r="T53">
            <v>0.47599999999999998</v>
          </cell>
          <cell r="U53">
            <v>0.95199999999999996</v>
          </cell>
          <cell r="V53">
            <v>0</v>
          </cell>
          <cell r="W53">
            <v>0</v>
          </cell>
          <cell r="X53">
            <v>0</v>
          </cell>
          <cell r="Y53">
            <v>0</v>
          </cell>
          <cell r="Z53">
            <v>0</v>
          </cell>
          <cell r="AA53">
            <v>85.295980800000009</v>
          </cell>
          <cell r="AB53">
            <v>0</v>
          </cell>
          <cell r="AC53">
            <v>0</v>
          </cell>
          <cell r="AD53">
            <v>101.152854</v>
          </cell>
          <cell r="AE53">
            <v>0</v>
          </cell>
          <cell r="AF53">
            <v>0</v>
          </cell>
          <cell r="AG53">
            <v>0</v>
          </cell>
          <cell r="AH53">
            <v>0</v>
          </cell>
          <cell r="AI53">
            <v>0</v>
          </cell>
          <cell r="AJ53">
            <v>0</v>
          </cell>
          <cell r="AK53">
            <v>170.59196160000002</v>
          </cell>
          <cell r="AL53">
            <v>0</v>
          </cell>
          <cell r="AM53">
            <v>0</v>
          </cell>
          <cell r="AN53">
            <v>202.30570800000001</v>
          </cell>
          <cell r="AO53">
            <v>0</v>
          </cell>
        </row>
        <row r="54">
          <cell r="E54" t="str">
            <v>B.2</v>
          </cell>
          <cell r="F54">
            <v>3.04</v>
          </cell>
          <cell r="G54">
            <v>0.25</v>
          </cell>
          <cell r="H54">
            <v>0.35</v>
          </cell>
          <cell r="I54">
            <v>0.63839999999999986</v>
          </cell>
          <cell r="J54">
            <v>432.77558345864668</v>
          </cell>
          <cell r="M54">
            <v>33</v>
          </cell>
          <cell r="N54">
            <v>32</v>
          </cell>
          <cell r="O54">
            <v>32</v>
          </cell>
          <cell r="P54">
            <v>32</v>
          </cell>
          <cell r="Q54">
            <v>32</v>
          </cell>
          <cell r="S54">
            <v>161</v>
          </cell>
          <cell r="T54">
            <v>0.26599999999999996</v>
          </cell>
          <cell r="U54">
            <v>42.825999999999993</v>
          </cell>
          <cell r="V54">
            <v>0</v>
          </cell>
          <cell r="W54">
            <v>0</v>
          </cell>
          <cell r="X54">
            <v>0</v>
          </cell>
          <cell r="Y54">
            <v>0</v>
          </cell>
          <cell r="Z54">
            <v>0</v>
          </cell>
          <cell r="AA54">
            <v>53.352403199999998</v>
          </cell>
          <cell r="AB54">
            <v>0</v>
          </cell>
          <cell r="AC54">
            <v>0</v>
          </cell>
          <cell r="AD54">
            <v>61.765901999999997</v>
          </cell>
          <cell r="AE54">
            <v>0</v>
          </cell>
          <cell r="AF54">
            <v>0</v>
          </cell>
          <cell r="AG54">
            <v>0</v>
          </cell>
          <cell r="AH54">
            <v>0</v>
          </cell>
          <cell r="AI54">
            <v>0</v>
          </cell>
          <cell r="AJ54">
            <v>0</v>
          </cell>
          <cell r="AK54">
            <v>8589.7369151999992</v>
          </cell>
          <cell r="AL54">
            <v>0</v>
          </cell>
          <cell r="AM54">
            <v>0</v>
          </cell>
          <cell r="AN54">
            <v>9944.3102220000001</v>
          </cell>
          <cell r="AO54">
            <v>0</v>
          </cell>
        </row>
        <row r="55">
          <cell r="E55" t="str">
            <v>B.2A</v>
          </cell>
          <cell r="F55">
            <v>3.04</v>
          </cell>
          <cell r="G55">
            <v>0.25</v>
          </cell>
          <cell r="H55">
            <v>0.35</v>
          </cell>
          <cell r="I55">
            <v>0.63839999999999986</v>
          </cell>
          <cell r="J55">
            <v>432.77558345864674</v>
          </cell>
          <cell r="M55">
            <v>2</v>
          </cell>
          <cell r="N55">
            <v>2</v>
          </cell>
          <cell r="O55">
            <v>2</v>
          </cell>
          <cell r="P55">
            <v>2</v>
          </cell>
          <cell r="Q55">
            <v>2</v>
          </cell>
          <cell r="S55">
            <v>10</v>
          </cell>
          <cell r="T55">
            <v>0.26599999999999996</v>
          </cell>
          <cell r="U55">
            <v>2.6599999999999997</v>
          </cell>
          <cell r="V55">
            <v>0</v>
          </cell>
          <cell r="W55">
            <v>0</v>
          </cell>
          <cell r="X55">
            <v>0</v>
          </cell>
          <cell r="Y55">
            <v>0</v>
          </cell>
          <cell r="Z55">
            <v>0</v>
          </cell>
          <cell r="AA55">
            <v>53.352403200000005</v>
          </cell>
          <cell r="AB55">
            <v>0</v>
          </cell>
          <cell r="AC55">
            <v>0</v>
          </cell>
          <cell r="AD55">
            <v>61.765901999999997</v>
          </cell>
          <cell r="AE55">
            <v>0</v>
          </cell>
          <cell r="AF55">
            <v>0</v>
          </cell>
          <cell r="AG55">
            <v>0</v>
          </cell>
          <cell r="AH55">
            <v>0</v>
          </cell>
          <cell r="AI55">
            <v>0</v>
          </cell>
          <cell r="AJ55">
            <v>0</v>
          </cell>
          <cell r="AK55">
            <v>533.52403200000003</v>
          </cell>
          <cell r="AL55">
            <v>0</v>
          </cell>
          <cell r="AM55">
            <v>0</v>
          </cell>
          <cell r="AN55">
            <v>617.65901999999994</v>
          </cell>
          <cell r="AO55">
            <v>0</v>
          </cell>
        </row>
        <row r="56">
          <cell r="E56" t="str">
            <v>B.2A'</v>
          </cell>
          <cell r="F56">
            <v>3.04</v>
          </cell>
          <cell r="G56">
            <v>0.25</v>
          </cell>
          <cell r="H56">
            <v>0.35</v>
          </cell>
          <cell r="I56">
            <v>0.63839999999999986</v>
          </cell>
          <cell r="J56">
            <v>432.77558345864674</v>
          </cell>
          <cell r="M56">
            <v>2</v>
          </cell>
          <cell r="N56">
            <v>2</v>
          </cell>
          <cell r="O56">
            <v>2</v>
          </cell>
          <cell r="P56">
            <v>2</v>
          </cell>
          <cell r="Q56">
            <v>2</v>
          </cell>
          <cell r="S56">
            <v>10</v>
          </cell>
          <cell r="T56">
            <v>0.26599999999999996</v>
          </cell>
          <cell r="U56">
            <v>2.6599999999999997</v>
          </cell>
          <cell r="V56">
            <v>0</v>
          </cell>
          <cell r="W56">
            <v>0</v>
          </cell>
          <cell r="X56">
            <v>0</v>
          </cell>
          <cell r="Y56">
            <v>0</v>
          </cell>
          <cell r="Z56">
            <v>0</v>
          </cell>
          <cell r="AA56">
            <v>53.352403200000005</v>
          </cell>
          <cell r="AB56">
            <v>0</v>
          </cell>
          <cell r="AC56">
            <v>0</v>
          </cell>
          <cell r="AD56">
            <v>61.765901999999997</v>
          </cell>
          <cell r="AE56">
            <v>0</v>
          </cell>
          <cell r="AF56">
            <v>0</v>
          </cell>
          <cell r="AG56">
            <v>0</v>
          </cell>
          <cell r="AH56">
            <v>0</v>
          </cell>
          <cell r="AI56">
            <v>0</v>
          </cell>
          <cell r="AJ56">
            <v>0</v>
          </cell>
          <cell r="AK56">
            <v>533.52403200000003</v>
          </cell>
          <cell r="AL56">
            <v>0</v>
          </cell>
          <cell r="AM56">
            <v>0</v>
          </cell>
          <cell r="AN56">
            <v>617.65901999999994</v>
          </cell>
          <cell r="AO56">
            <v>0</v>
          </cell>
        </row>
        <row r="57">
          <cell r="E57" t="str">
            <v>B.2B</v>
          </cell>
          <cell r="F57">
            <v>2.59</v>
          </cell>
          <cell r="G57">
            <v>0.25</v>
          </cell>
          <cell r="H57">
            <v>0.35</v>
          </cell>
          <cell r="I57">
            <v>0.54389999999999994</v>
          </cell>
          <cell r="J57">
            <v>448.95237021511315</v>
          </cell>
          <cell r="Q57">
            <v>1</v>
          </cell>
          <cell r="S57">
            <v>1</v>
          </cell>
          <cell r="T57">
            <v>0.22662499999999997</v>
          </cell>
          <cell r="U57">
            <v>0.22662499999999997</v>
          </cell>
          <cell r="V57">
            <v>0</v>
          </cell>
          <cell r="W57">
            <v>0</v>
          </cell>
          <cell r="X57">
            <v>0</v>
          </cell>
          <cell r="Y57">
            <v>0</v>
          </cell>
          <cell r="Z57">
            <v>0</v>
          </cell>
          <cell r="AA57">
            <v>47.3629824</v>
          </cell>
          <cell r="AB57">
            <v>0</v>
          </cell>
          <cell r="AC57">
            <v>0</v>
          </cell>
          <cell r="AD57">
            <v>54.380848499999999</v>
          </cell>
          <cell r="AE57">
            <v>0</v>
          </cell>
          <cell r="AF57">
            <v>0</v>
          </cell>
          <cell r="AG57">
            <v>0</v>
          </cell>
          <cell r="AH57">
            <v>0</v>
          </cell>
          <cell r="AI57">
            <v>0</v>
          </cell>
          <cell r="AJ57">
            <v>0</v>
          </cell>
          <cell r="AK57">
            <v>47.3629824</v>
          </cell>
          <cell r="AL57">
            <v>0</v>
          </cell>
          <cell r="AM57">
            <v>0</v>
          </cell>
          <cell r="AN57">
            <v>54.380848499999999</v>
          </cell>
          <cell r="AO57">
            <v>0</v>
          </cell>
        </row>
        <row r="58">
          <cell r="E58" t="str">
            <v>B.2C</v>
          </cell>
          <cell r="F58">
            <v>1.94</v>
          </cell>
          <cell r="G58">
            <v>0.25</v>
          </cell>
          <cell r="H58">
            <v>0.35</v>
          </cell>
          <cell r="I58">
            <v>0.40739999999999993</v>
          </cell>
          <cell r="J58">
            <v>477.72703033873347</v>
          </cell>
          <cell r="Q58">
            <v>4</v>
          </cell>
          <cell r="S58">
            <v>4</v>
          </cell>
          <cell r="T58">
            <v>0.16974999999999998</v>
          </cell>
          <cell r="U58">
            <v>0.67899999999999994</v>
          </cell>
          <cell r="V58">
            <v>0</v>
          </cell>
          <cell r="W58">
            <v>0</v>
          </cell>
          <cell r="X58">
            <v>0</v>
          </cell>
          <cell r="Y58">
            <v>0</v>
          </cell>
          <cell r="Z58">
            <v>0</v>
          </cell>
          <cell r="AA58">
            <v>37.380614399999999</v>
          </cell>
          <cell r="AB58">
            <v>0</v>
          </cell>
          <cell r="AC58">
            <v>0</v>
          </cell>
          <cell r="AD58">
            <v>43.713549</v>
          </cell>
          <cell r="AE58">
            <v>0</v>
          </cell>
          <cell r="AF58">
            <v>0</v>
          </cell>
          <cell r="AG58">
            <v>0</v>
          </cell>
          <cell r="AH58">
            <v>0</v>
          </cell>
          <cell r="AI58">
            <v>0</v>
          </cell>
          <cell r="AJ58">
            <v>0</v>
          </cell>
          <cell r="AK58">
            <v>149.5224576</v>
          </cell>
          <cell r="AL58">
            <v>0</v>
          </cell>
          <cell r="AM58">
            <v>0</v>
          </cell>
          <cell r="AN58">
            <v>174.854196</v>
          </cell>
          <cell r="AO58">
            <v>0</v>
          </cell>
        </row>
        <row r="59">
          <cell r="E59" t="str">
            <v>B.2D</v>
          </cell>
          <cell r="F59">
            <v>2.59</v>
          </cell>
          <cell r="G59">
            <v>0.25</v>
          </cell>
          <cell r="H59">
            <v>0.35</v>
          </cell>
          <cell r="I59">
            <v>0.54389999999999994</v>
          </cell>
          <cell r="J59">
            <v>448.95237021511309</v>
          </cell>
          <cell r="Q59">
            <v>30</v>
          </cell>
          <cell r="S59">
            <v>30</v>
          </cell>
          <cell r="T59">
            <v>0.22662499999999997</v>
          </cell>
          <cell r="U59">
            <v>6.7987499999999992</v>
          </cell>
          <cell r="V59">
            <v>0</v>
          </cell>
          <cell r="W59">
            <v>0</v>
          </cell>
          <cell r="X59">
            <v>0</v>
          </cell>
          <cell r="Y59">
            <v>0</v>
          </cell>
          <cell r="Z59">
            <v>0</v>
          </cell>
          <cell r="AA59">
            <v>47.362982399999993</v>
          </cell>
          <cell r="AB59">
            <v>0</v>
          </cell>
          <cell r="AC59">
            <v>0</v>
          </cell>
          <cell r="AD59">
            <v>54.380848499999999</v>
          </cell>
          <cell r="AE59">
            <v>0</v>
          </cell>
          <cell r="AF59">
            <v>0</v>
          </cell>
          <cell r="AG59">
            <v>0</v>
          </cell>
          <cell r="AH59">
            <v>0</v>
          </cell>
          <cell r="AI59">
            <v>0</v>
          </cell>
          <cell r="AJ59">
            <v>0</v>
          </cell>
          <cell r="AK59">
            <v>1420.8894719999998</v>
          </cell>
          <cell r="AL59">
            <v>0</v>
          </cell>
          <cell r="AM59">
            <v>0</v>
          </cell>
          <cell r="AN59">
            <v>1631.4254550000001</v>
          </cell>
          <cell r="AO59">
            <v>0</v>
          </cell>
        </row>
        <row r="60">
          <cell r="E60" t="str">
            <v>B.2E</v>
          </cell>
          <cell r="F60">
            <v>3.585</v>
          </cell>
          <cell r="G60">
            <v>0.25</v>
          </cell>
          <cell r="H60">
            <v>0.35</v>
          </cell>
          <cell r="I60">
            <v>0.75284999999999991</v>
          </cell>
          <cell r="J60">
            <v>414.59046455469223</v>
          </cell>
          <cell r="Q60">
            <v>2</v>
          </cell>
          <cell r="R60">
            <v>2</v>
          </cell>
          <cell r="S60">
            <v>4</v>
          </cell>
          <cell r="T60">
            <v>0.31368749999999995</v>
          </cell>
          <cell r="U60">
            <v>1.2547499999999998</v>
          </cell>
          <cell r="V60">
            <v>0</v>
          </cell>
          <cell r="W60">
            <v>0</v>
          </cell>
          <cell r="X60">
            <v>0</v>
          </cell>
          <cell r="Y60">
            <v>0</v>
          </cell>
          <cell r="Z60">
            <v>0</v>
          </cell>
          <cell r="AA60">
            <v>59.341824000000003</v>
          </cell>
          <cell r="AB60">
            <v>0</v>
          </cell>
          <cell r="AC60">
            <v>0</v>
          </cell>
          <cell r="AD60">
            <v>70.710022350000003</v>
          </cell>
          <cell r="AE60">
            <v>0</v>
          </cell>
          <cell r="AF60">
            <v>0</v>
          </cell>
          <cell r="AG60">
            <v>0</v>
          </cell>
          <cell r="AH60">
            <v>0</v>
          </cell>
          <cell r="AI60">
            <v>0</v>
          </cell>
          <cell r="AJ60">
            <v>0</v>
          </cell>
          <cell r="AK60">
            <v>237.36729600000001</v>
          </cell>
          <cell r="AL60">
            <v>0</v>
          </cell>
          <cell r="AM60">
            <v>0</v>
          </cell>
          <cell r="AN60">
            <v>282.84008940000001</v>
          </cell>
          <cell r="AO60">
            <v>0</v>
          </cell>
        </row>
        <row r="61">
          <cell r="E61" t="str">
            <v>B.2F</v>
          </cell>
          <cell r="F61">
            <v>1.45</v>
          </cell>
          <cell r="G61">
            <v>0.25</v>
          </cell>
          <cell r="H61">
            <v>0.35</v>
          </cell>
          <cell r="I61">
            <v>0.30449999999999994</v>
          </cell>
          <cell r="J61">
            <v>528.5772602955667</v>
          </cell>
          <cell r="R61">
            <v>4</v>
          </cell>
          <cell r="S61">
            <v>4</v>
          </cell>
          <cell r="T61">
            <v>0.12687499999999999</v>
          </cell>
          <cell r="U61">
            <v>0.50749999999999995</v>
          </cell>
          <cell r="V61">
            <v>0</v>
          </cell>
          <cell r="W61">
            <v>0</v>
          </cell>
          <cell r="X61">
            <v>0</v>
          </cell>
          <cell r="Y61">
            <v>0</v>
          </cell>
          <cell r="Z61">
            <v>0</v>
          </cell>
          <cell r="AA61">
            <v>31.391193600000001</v>
          </cell>
          <cell r="AB61">
            <v>0</v>
          </cell>
          <cell r="AC61">
            <v>0</v>
          </cell>
          <cell r="AD61">
            <v>35.672046300000005</v>
          </cell>
          <cell r="AE61">
            <v>0</v>
          </cell>
          <cell r="AF61">
            <v>0</v>
          </cell>
          <cell r="AG61">
            <v>0</v>
          </cell>
          <cell r="AH61">
            <v>0</v>
          </cell>
          <cell r="AI61">
            <v>0</v>
          </cell>
          <cell r="AJ61">
            <v>0</v>
          </cell>
          <cell r="AK61">
            <v>125.5647744</v>
          </cell>
          <cell r="AL61">
            <v>0</v>
          </cell>
          <cell r="AM61">
            <v>0</v>
          </cell>
          <cell r="AN61">
            <v>142.68818520000002</v>
          </cell>
          <cell r="AO61">
            <v>0</v>
          </cell>
        </row>
        <row r="62">
          <cell r="E62" t="str">
            <v>B.3</v>
          </cell>
          <cell r="F62">
            <v>3.3149999999999999</v>
          </cell>
          <cell r="G62">
            <v>0.25</v>
          </cell>
          <cell r="H62">
            <v>0.35</v>
          </cell>
          <cell r="I62">
            <v>0.69614999999999994</v>
          </cell>
          <cell r="J62">
            <v>426.19897659987072</v>
          </cell>
          <cell r="M62">
            <v>4</v>
          </cell>
          <cell r="N62">
            <v>4</v>
          </cell>
          <cell r="O62">
            <v>4</v>
          </cell>
          <cell r="P62">
            <v>4</v>
          </cell>
          <cell r="Q62">
            <v>4</v>
          </cell>
          <cell r="S62">
            <v>20</v>
          </cell>
          <cell r="T62">
            <v>0.2900625</v>
          </cell>
          <cell r="U62">
            <v>5.8012499999999996</v>
          </cell>
          <cell r="V62">
            <v>0</v>
          </cell>
          <cell r="W62">
            <v>0</v>
          </cell>
          <cell r="X62">
            <v>0</v>
          </cell>
          <cell r="Y62">
            <v>0</v>
          </cell>
          <cell r="Z62">
            <v>0</v>
          </cell>
          <cell r="AA62">
            <v>57.345350399999994</v>
          </cell>
          <cell r="AB62">
            <v>0</v>
          </cell>
          <cell r="AC62">
            <v>0</v>
          </cell>
          <cell r="AD62">
            <v>66.278990250000007</v>
          </cell>
          <cell r="AE62">
            <v>0</v>
          </cell>
          <cell r="AF62">
            <v>0</v>
          </cell>
          <cell r="AG62">
            <v>0</v>
          </cell>
          <cell r="AH62">
            <v>0</v>
          </cell>
          <cell r="AI62">
            <v>0</v>
          </cell>
          <cell r="AJ62">
            <v>0</v>
          </cell>
          <cell r="AK62">
            <v>1146.9070079999999</v>
          </cell>
          <cell r="AL62">
            <v>0</v>
          </cell>
          <cell r="AM62">
            <v>0</v>
          </cell>
          <cell r="AN62">
            <v>1325.5798050000001</v>
          </cell>
          <cell r="AO62">
            <v>0</v>
          </cell>
        </row>
        <row r="63">
          <cell r="E63" t="str">
            <v>B.3A</v>
          </cell>
          <cell r="F63">
            <v>3.32</v>
          </cell>
          <cell r="G63">
            <v>0.25</v>
          </cell>
          <cell r="H63">
            <v>0.35</v>
          </cell>
          <cell r="I63">
            <v>0.69719999999999993</v>
          </cell>
          <cell r="J63">
            <v>425.83957590361445</v>
          </cell>
          <cell r="M63">
            <v>2</v>
          </cell>
          <cell r="N63">
            <v>2</v>
          </cell>
          <cell r="O63">
            <v>2</v>
          </cell>
          <cell r="P63">
            <v>2</v>
          </cell>
          <cell r="Q63">
            <v>2</v>
          </cell>
          <cell r="S63">
            <v>10</v>
          </cell>
          <cell r="T63">
            <v>0.29049999999999998</v>
          </cell>
          <cell r="U63">
            <v>2.9049999999999998</v>
          </cell>
          <cell r="V63">
            <v>0</v>
          </cell>
          <cell r="W63">
            <v>0</v>
          </cell>
          <cell r="X63">
            <v>0</v>
          </cell>
          <cell r="Y63">
            <v>0</v>
          </cell>
          <cell r="Z63">
            <v>0</v>
          </cell>
          <cell r="AA63">
            <v>57.345350399999994</v>
          </cell>
          <cell r="AB63">
            <v>0</v>
          </cell>
          <cell r="AC63">
            <v>0</v>
          </cell>
          <cell r="AD63">
            <v>66.361046399999992</v>
          </cell>
          <cell r="AE63">
            <v>0</v>
          </cell>
          <cell r="AF63">
            <v>0</v>
          </cell>
          <cell r="AG63">
            <v>0</v>
          </cell>
          <cell r="AH63">
            <v>0</v>
          </cell>
          <cell r="AI63">
            <v>0</v>
          </cell>
          <cell r="AJ63">
            <v>0</v>
          </cell>
          <cell r="AK63">
            <v>573.45350399999995</v>
          </cell>
          <cell r="AL63">
            <v>0</v>
          </cell>
          <cell r="AM63">
            <v>0</v>
          </cell>
          <cell r="AN63">
            <v>663.61046399999998</v>
          </cell>
          <cell r="AO63">
            <v>0</v>
          </cell>
        </row>
        <row r="64">
          <cell r="E64" t="str">
            <v>B.3A'</v>
          </cell>
          <cell r="F64">
            <v>3.32</v>
          </cell>
          <cell r="G64">
            <v>0.25</v>
          </cell>
          <cell r="H64">
            <v>0.35</v>
          </cell>
          <cell r="I64">
            <v>0.69719999999999993</v>
          </cell>
          <cell r="J64">
            <v>425.83957590361445</v>
          </cell>
          <cell r="M64">
            <v>2</v>
          </cell>
          <cell r="N64">
            <v>2</v>
          </cell>
          <cell r="O64">
            <v>2</v>
          </cell>
          <cell r="P64">
            <v>2</v>
          </cell>
          <cell r="Q64">
            <v>2</v>
          </cell>
          <cell r="S64">
            <v>10</v>
          </cell>
          <cell r="T64">
            <v>0.29049999999999998</v>
          </cell>
          <cell r="U64">
            <v>2.9049999999999998</v>
          </cell>
          <cell r="V64">
            <v>0</v>
          </cell>
          <cell r="W64">
            <v>0</v>
          </cell>
          <cell r="X64">
            <v>0</v>
          </cell>
          <cell r="Y64">
            <v>0</v>
          </cell>
          <cell r="Z64">
            <v>0</v>
          </cell>
          <cell r="AA64">
            <v>57.345350399999994</v>
          </cell>
          <cell r="AB64">
            <v>0</v>
          </cell>
          <cell r="AC64">
            <v>0</v>
          </cell>
          <cell r="AD64">
            <v>66.361046399999992</v>
          </cell>
          <cell r="AE64">
            <v>0</v>
          </cell>
          <cell r="AF64">
            <v>0</v>
          </cell>
          <cell r="AG64">
            <v>0</v>
          </cell>
          <cell r="AH64">
            <v>0</v>
          </cell>
          <cell r="AI64">
            <v>0</v>
          </cell>
          <cell r="AJ64">
            <v>0</v>
          </cell>
          <cell r="AK64">
            <v>573.45350399999995</v>
          </cell>
          <cell r="AL64">
            <v>0</v>
          </cell>
          <cell r="AM64">
            <v>0</v>
          </cell>
          <cell r="AN64">
            <v>663.61046399999998</v>
          </cell>
          <cell r="AO64">
            <v>0</v>
          </cell>
        </row>
        <row r="65">
          <cell r="E65" t="str">
            <v>B.4</v>
          </cell>
          <cell r="F65">
            <v>3.09</v>
          </cell>
          <cell r="G65">
            <v>0.25</v>
          </cell>
          <cell r="H65">
            <v>0.35</v>
          </cell>
          <cell r="I65">
            <v>0.64889999999999992</v>
          </cell>
          <cell r="J65">
            <v>428.80764382801669</v>
          </cell>
          <cell r="M65">
            <v>2</v>
          </cell>
          <cell r="N65">
            <v>2</v>
          </cell>
          <cell r="O65">
            <v>2</v>
          </cell>
          <cell r="P65">
            <v>2</v>
          </cell>
          <cell r="Q65">
            <v>4</v>
          </cell>
          <cell r="S65">
            <v>12</v>
          </cell>
          <cell r="T65">
            <v>0.27037499999999998</v>
          </cell>
          <cell r="U65">
            <v>3.2444999999999995</v>
          </cell>
          <cell r="V65">
            <v>0</v>
          </cell>
          <cell r="W65">
            <v>0</v>
          </cell>
          <cell r="X65">
            <v>0</v>
          </cell>
          <cell r="Y65">
            <v>0</v>
          </cell>
          <cell r="Z65">
            <v>0</v>
          </cell>
          <cell r="AA65">
            <v>53.352403200000005</v>
          </cell>
          <cell r="AB65">
            <v>0</v>
          </cell>
          <cell r="AC65">
            <v>0</v>
          </cell>
          <cell r="AD65">
            <v>62.586463500000001</v>
          </cell>
          <cell r="AE65">
            <v>0</v>
          </cell>
          <cell r="AF65">
            <v>0</v>
          </cell>
          <cell r="AG65">
            <v>0</v>
          </cell>
          <cell r="AH65">
            <v>0</v>
          </cell>
          <cell r="AI65">
            <v>0</v>
          </cell>
          <cell r="AJ65">
            <v>0</v>
          </cell>
          <cell r="AK65">
            <v>640.22883840000009</v>
          </cell>
          <cell r="AL65">
            <v>0</v>
          </cell>
          <cell r="AM65">
            <v>0</v>
          </cell>
          <cell r="AN65">
            <v>751.03756199999998</v>
          </cell>
          <cell r="AO65">
            <v>0</v>
          </cell>
        </row>
        <row r="66">
          <cell r="E66" t="str">
            <v>B.4A</v>
          </cell>
          <cell r="F66">
            <v>2.64</v>
          </cell>
          <cell r="G66">
            <v>0.25</v>
          </cell>
          <cell r="H66">
            <v>0.35</v>
          </cell>
          <cell r="I66">
            <v>0.55439999999999989</v>
          </cell>
          <cell r="J66">
            <v>444.00169870129872</v>
          </cell>
          <cell r="M66">
            <v>2</v>
          </cell>
          <cell r="N66">
            <v>2</v>
          </cell>
          <cell r="O66">
            <v>2</v>
          </cell>
          <cell r="P66">
            <v>2</v>
          </cell>
          <cell r="S66">
            <v>8</v>
          </cell>
          <cell r="T66">
            <v>0.23099999999999998</v>
          </cell>
          <cell r="U66">
            <v>1.8479999999999999</v>
          </cell>
          <cell r="V66">
            <v>0</v>
          </cell>
          <cell r="W66">
            <v>0</v>
          </cell>
          <cell r="X66">
            <v>0</v>
          </cell>
          <cell r="Y66">
            <v>0</v>
          </cell>
          <cell r="Z66">
            <v>0</v>
          </cell>
          <cell r="AA66">
            <v>47.3629824</v>
          </cell>
          <cell r="AB66">
            <v>0</v>
          </cell>
          <cell r="AC66">
            <v>0</v>
          </cell>
          <cell r="AD66">
            <v>55.201410000000003</v>
          </cell>
          <cell r="AE66">
            <v>0</v>
          </cell>
          <cell r="AF66">
            <v>0</v>
          </cell>
          <cell r="AG66">
            <v>0</v>
          </cell>
          <cell r="AH66">
            <v>0</v>
          </cell>
          <cell r="AI66">
            <v>0</v>
          </cell>
          <cell r="AJ66">
            <v>0</v>
          </cell>
          <cell r="AK66">
            <v>378.9038592</v>
          </cell>
          <cell r="AL66">
            <v>0</v>
          </cell>
          <cell r="AM66">
            <v>0</v>
          </cell>
          <cell r="AN66">
            <v>441.61128000000002</v>
          </cell>
          <cell r="AO66">
            <v>0</v>
          </cell>
        </row>
        <row r="67">
          <cell r="E67" t="str">
            <v>B.5</v>
          </cell>
          <cell r="F67">
            <v>3.09</v>
          </cell>
          <cell r="G67">
            <v>0.25</v>
          </cell>
          <cell r="H67">
            <v>0.35</v>
          </cell>
          <cell r="I67">
            <v>0.64889999999999992</v>
          </cell>
          <cell r="J67">
            <v>428.80764382801669</v>
          </cell>
          <cell r="M67">
            <v>2</v>
          </cell>
          <cell r="N67">
            <v>2</v>
          </cell>
          <cell r="O67">
            <v>2</v>
          </cell>
          <cell r="P67">
            <v>2</v>
          </cell>
          <cell r="S67">
            <v>8</v>
          </cell>
          <cell r="T67">
            <v>0.27037499999999998</v>
          </cell>
          <cell r="U67">
            <v>2.1629999999999998</v>
          </cell>
          <cell r="V67">
            <v>0</v>
          </cell>
          <cell r="W67">
            <v>0</v>
          </cell>
          <cell r="X67">
            <v>0</v>
          </cell>
          <cell r="Y67">
            <v>0</v>
          </cell>
          <cell r="Z67">
            <v>0</v>
          </cell>
          <cell r="AA67">
            <v>53.352403200000005</v>
          </cell>
          <cell r="AB67">
            <v>0</v>
          </cell>
          <cell r="AC67">
            <v>0</v>
          </cell>
          <cell r="AD67">
            <v>62.586463500000001</v>
          </cell>
          <cell r="AE67">
            <v>0</v>
          </cell>
          <cell r="AF67">
            <v>0</v>
          </cell>
          <cell r="AG67">
            <v>0</v>
          </cell>
          <cell r="AH67">
            <v>0</v>
          </cell>
          <cell r="AI67">
            <v>0</v>
          </cell>
          <cell r="AJ67">
            <v>0</v>
          </cell>
          <cell r="AK67">
            <v>426.81922560000004</v>
          </cell>
          <cell r="AL67">
            <v>0</v>
          </cell>
          <cell r="AM67">
            <v>0</v>
          </cell>
          <cell r="AN67">
            <v>500.69170800000001</v>
          </cell>
          <cell r="AO67">
            <v>0</v>
          </cell>
        </row>
        <row r="68">
          <cell r="E68" t="str">
            <v>B.5A</v>
          </cell>
          <cell r="F68">
            <v>3.09</v>
          </cell>
          <cell r="G68">
            <v>0.25</v>
          </cell>
          <cell r="H68">
            <v>0.35</v>
          </cell>
          <cell r="I68">
            <v>0.64889999999999992</v>
          </cell>
          <cell r="J68">
            <v>428.80764382801669</v>
          </cell>
          <cell r="Q68">
            <v>2</v>
          </cell>
          <cell r="S68">
            <v>2</v>
          </cell>
          <cell r="T68">
            <v>0.27037499999999998</v>
          </cell>
          <cell r="U68">
            <v>0.54074999999999995</v>
          </cell>
          <cell r="V68">
            <v>0</v>
          </cell>
          <cell r="W68">
            <v>0</v>
          </cell>
          <cell r="X68">
            <v>0</v>
          </cell>
          <cell r="Y68">
            <v>0</v>
          </cell>
          <cell r="Z68">
            <v>0</v>
          </cell>
          <cell r="AA68">
            <v>53.352403200000005</v>
          </cell>
          <cell r="AB68">
            <v>0</v>
          </cell>
          <cell r="AC68">
            <v>0</v>
          </cell>
          <cell r="AD68">
            <v>62.586463500000001</v>
          </cell>
          <cell r="AE68">
            <v>0</v>
          </cell>
          <cell r="AF68">
            <v>0</v>
          </cell>
          <cell r="AG68">
            <v>0</v>
          </cell>
          <cell r="AH68">
            <v>0</v>
          </cell>
          <cell r="AI68">
            <v>0</v>
          </cell>
          <cell r="AJ68">
            <v>0</v>
          </cell>
          <cell r="AK68">
            <v>106.70480640000001</v>
          </cell>
          <cell r="AL68">
            <v>0</v>
          </cell>
          <cell r="AM68">
            <v>0</v>
          </cell>
          <cell r="AN68">
            <v>125.172927</v>
          </cell>
          <cell r="AO68">
            <v>0</v>
          </cell>
        </row>
        <row r="69">
          <cell r="E69" t="str">
            <v>B.6</v>
          </cell>
          <cell r="F69">
            <v>2.5649999999999999</v>
          </cell>
          <cell r="G69">
            <v>0.25</v>
          </cell>
          <cell r="H69">
            <v>0.35</v>
          </cell>
          <cell r="I69">
            <v>0.53864999999999996</v>
          </cell>
          <cell r="J69">
            <v>451.50008421052638</v>
          </cell>
          <cell r="M69">
            <v>2</v>
          </cell>
          <cell r="N69">
            <v>2</v>
          </cell>
          <cell r="O69">
            <v>2</v>
          </cell>
          <cell r="P69">
            <v>2</v>
          </cell>
          <cell r="Q69">
            <v>2</v>
          </cell>
          <cell r="S69">
            <v>10</v>
          </cell>
          <cell r="T69">
            <v>0.22443749999999998</v>
          </cell>
          <cell r="U69">
            <v>2.2443749999999998</v>
          </cell>
          <cell r="V69">
            <v>0</v>
          </cell>
          <cell r="W69">
            <v>0</v>
          </cell>
          <cell r="X69">
            <v>0</v>
          </cell>
          <cell r="Y69">
            <v>0</v>
          </cell>
          <cell r="Z69">
            <v>0</v>
          </cell>
          <cell r="AA69">
            <v>47.362982400000007</v>
          </cell>
          <cell r="AB69">
            <v>0</v>
          </cell>
          <cell r="AC69">
            <v>0</v>
          </cell>
          <cell r="AD69">
            <v>53.970567750000001</v>
          </cell>
          <cell r="AE69">
            <v>0</v>
          </cell>
          <cell r="AF69">
            <v>0</v>
          </cell>
          <cell r="AG69">
            <v>0</v>
          </cell>
          <cell r="AH69">
            <v>0</v>
          </cell>
          <cell r="AI69">
            <v>0</v>
          </cell>
          <cell r="AJ69">
            <v>0</v>
          </cell>
          <cell r="AK69">
            <v>473.62982400000004</v>
          </cell>
          <cell r="AL69">
            <v>0</v>
          </cell>
          <cell r="AM69">
            <v>0</v>
          </cell>
          <cell r="AN69">
            <v>539.70567749999998</v>
          </cell>
          <cell r="AO69">
            <v>0</v>
          </cell>
        </row>
        <row r="70">
          <cell r="E70" t="str">
            <v>B.6'</v>
          </cell>
          <cell r="F70">
            <v>2.5649999999999999</v>
          </cell>
          <cell r="G70">
            <v>0.25</v>
          </cell>
          <cell r="H70">
            <v>0.35</v>
          </cell>
          <cell r="I70">
            <v>0.53864999999999996</v>
          </cell>
          <cell r="J70">
            <v>451.50008421052638</v>
          </cell>
          <cell r="M70">
            <v>2</v>
          </cell>
          <cell r="N70">
            <v>2</v>
          </cell>
          <cell r="O70">
            <v>2</v>
          </cell>
          <cell r="P70">
            <v>2</v>
          </cell>
          <cell r="Q70">
            <v>2</v>
          </cell>
          <cell r="S70">
            <v>10</v>
          </cell>
          <cell r="T70">
            <v>0.22443749999999998</v>
          </cell>
          <cell r="U70">
            <v>2.2443749999999998</v>
          </cell>
          <cell r="V70">
            <v>0</v>
          </cell>
          <cell r="W70">
            <v>0</v>
          </cell>
          <cell r="X70">
            <v>0</v>
          </cell>
          <cell r="Y70">
            <v>0</v>
          </cell>
          <cell r="Z70">
            <v>0</v>
          </cell>
          <cell r="AA70">
            <v>47.362982400000007</v>
          </cell>
          <cell r="AB70">
            <v>0</v>
          </cell>
          <cell r="AC70">
            <v>0</v>
          </cell>
          <cell r="AD70">
            <v>53.970567750000001</v>
          </cell>
          <cell r="AE70">
            <v>0</v>
          </cell>
          <cell r="AF70">
            <v>0</v>
          </cell>
          <cell r="AG70">
            <v>0</v>
          </cell>
          <cell r="AH70">
            <v>0</v>
          </cell>
          <cell r="AI70">
            <v>0</v>
          </cell>
          <cell r="AJ70">
            <v>0</v>
          </cell>
          <cell r="AK70">
            <v>473.62982400000004</v>
          </cell>
          <cell r="AL70">
            <v>0</v>
          </cell>
          <cell r="AM70">
            <v>0</v>
          </cell>
          <cell r="AN70">
            <v>539.70567749999998</v>
          </cell>
          <cell r="AO70">
            <v>0</v>
          </cell>
        </row>
        <row r="71">
          <cell r="E71" t="str">
            <v>B.7</v>
          </cell>
          <cell r="F71">
            <v>4.59</v>
          </cell>
          <cell r="G71">
            <v>0.25</v>
          </cell>
          <cell r="H71">
            <v>0.35</v>
          </cell>
          <cell r="I71">
            <v>0.96389999999999987</v>
          </cell>
          <cell r="J71">
            <v>399.67742969187674</v>
          </cell>
          <cell r="M71">
            <v>1</v>
          </cell>
          <cell r="N71">
            <v>1</v>
          </cell>
          <cell r="O71">
            <v>1</v>
          </cell>
          <cell r="P71">
            <v>1</v>
          </cell>
          <cell r="S71">
            <v>4</v>
          </cell>
          <cell r="T71">
            <v>0.40162499999999995</v>
          </cell>
          <cell r="U71">
            <v>1.6064999999999998</v>
          </cell>
          <cell r="V71">
            <v>0</v>
          </cell>
          <cell r="W71">
            <v>0</v>
          </cell>
          <cell r="X71">
            <v>0</v>
          </cell>
          <cell r="Y71">
            <v>0</v>
          </cell>
          <cell r="Z71">
            <v>0</v>
          </cell>
          <cell r="AA71">
            <v>73.3171392</v>
          </cell>
          <cell r="AB71">
            <v>0</v>
          </cell>
          <cell r="AC71">
            <v>0</v>
          </cell>
          <cell r="AD71">
            <v>87.203308499999991</v>
          </cell>
          <cell r="AE71">
            <v>0</v>
          </cell>
          <cell r="AF71">
            <v>0</v>
          </cell>
          <cell r="AG71">
            <v>0</v>
          </cell>
          <cell r="AH71">
            <v>0</v>
          </cell>
          <cell r="AI71">
            <v>0</v>
          </cell>
          <cell r="AJ71">
            <v>0</v>
          </cell>
          <cell r="AK71">
            <v>293.2685568</v>
          </cell>
          <cell r="AL71">
            <v>0</v>
          </cell>
          <cell r="AM71">
            <v>0</v>
          </cell>
          <cell r="AN71">
            <v>348.81323399999997</v>
          </cell>
          <cell r="AO71">
            <v>0</v>
          </cell>
        </row>
        <row r="72">
          <cell r="E72" t="str">
            <v>B.7A</v>
          </cell>
          <cell r="F72">
            <v>4.59</v>
          </cell>
          <cell r="G72">
            <v>0.25</v>
          </cell>
          <cell r="H72">
            <v>0.35</v>
          </cell>
          <cell r="I72">
            <v>0.96389999999999987</v>
          </cell>
          <cell r="J72">
            <v>399.67742969187674</v>
          </cell>
          <cell r="M72">
            <v>1</v>
          </cell>
          <cell r="N72">
            <v>1</v>
          </cell>
          <cell r="O72">
            <v>1</v>
          </cell>
          <cell r="P72">
            <v>1</v>
          </cell>
          <cell r="S72">
            <v>4</v>
          </cell>
          <cell r="T72">
            <v>0.40162499999999995</v>
          </cell>
          <cell r="U72">
            <v>1.6064999999999998</v>
          </cell>
          <cell r="V72">
            <v>0</v>
          </cell>
          <cell r="W72">
            <v>0</v>
          </cell>
          <cell r="X72">
            <v>0</v>
          </cell>
          <cell r="Y72">
            <v>0</v>
          </cell>
          <cell r="Z72">
            <v>0</v>
          </cell>
          <cell r="AA72">
            <v>73.3171392</v>
          </cell>
          <cell r="AB72">
            <v>0</v>
          </cell>
          <cell r="AC72">
            <v>0</v>
          </cell>
          <cell r="AD72">
            <v>87.203308499999991</v>
          </cell>
          <cell r="AE72">
            <v>0</v>
          </cell>
          <cell r="AF72">
            <v>0</v>
          </cell>
          <cell r="AG72">
            <v>0</v>
          </cell>
          <cell r="AH72">
            <v>0</v>
          </cell>
          <cell r="AI72">
            <v>0</v>
          </cell>
          <cell r="AJ72">
            <v>0</v>
          </cell>
          <cell r="AK72">
            <v>293.2685568</v>
          </cell>
          <cell r="AL72">
            <v>0</v>
          </cell>
          <cell r="AM72">
            <v>0</v>
          </cell>
          <cell r="AN72">
            <v>348.81323399999997</v>
          </cell>
          <cell r="AO72">
            <v>0</v>
          </cell>
        </row>
        <row r="73">
          <cell r="E73" t="str">
            <v>B.7B</v>
          </cell>
          <cell r="F73">
            <v>4.59</v>
          </cell>
          <cell r="G73">
            <v>0.25</v>
          </cell>
          <cell r="H73">
            <v>0.35</v>
          </cell>
          <cell r="I73">
            <v>0.96389999999999987</v>
          </cell>
          <cell r="J73">
            <v>399.6774296918768</v>
          </cell>
          <cell r="M73">
            <v>1</v>
          </cell>
          <cell r="N73">
            <v>1</v>
          </cell>
          <cell r="O73">
            <v>1</v>
          </cell>
          <cell r="P73">
            <v>1</v>
          </cell>
          <cell r="Q73">
            <v>1</v>
          </cell>
          <cell r="S73">
            <v>5</v>
          </cell>
          <cell r="T73">
            <v>0.40162499999999995</v>
          </cell>
          <cell r="U73">
            <v>2.0081249999999997</v>
          </cell>
          <cell r="V73">
            <v>0</v>
          </cell>
          <cell r="W73">
            <v>0</v>
          </cell>
          <cell r="X73">
            <v>0</v>
          </cell>
          <cell r="Y73">
            <v>0</v>
          </cell>
          <cell r="Z73">
            <v>0</v>
          </cell>
          <cell r="AA73">
            <v>73.3171392</v>
          </cell>
          <cell r="AB73">
            <v>0</v>
          </cell>
          <cell r="AC73">
            <v>0</v>
          </cell>
          <cell r="AD73">
            <v>87.203308500000006</v>
          </cell>
          <cell r="AE73">
            <v>0</v>
          </cell>
          <cell r="AF73">
            <v>0</v>
          </cell>
          <cell r="AG73">
            <v>0</v>
          </cell>
          <cell r="AH73">
            <v>0</v>
          </cell>
          <cell r="AI73">
            <v>0</v>
          </cell>
          <cell r="AJ73">
            <v>0</v>
          </cell>
          <cell r="AK73">
            <v>366.58569599999998</v>
          </cell>
          <cell r="AL73">
            <v>0</v>
          </cell>
          <cell r="AM73">
            <v>0</v>
          </cell>
          <cell r="AN73">
            <v>436.01654250000001</v>
          </cell>
          <cell r="AO73">
            <v>0</v>
          </cell>
        </row>
        <row r="74">
          <cell r="E74" t="str">
            <v>B.7C</v>
          </cell>
          <cell r="F74">
            <v>4.59</v>
          </cell>
          <cell r="G74">
            <v>0.25</v>
          </cell>
          <cell r="H74">
            <v>0.35</v>
          </cell>
          <cell r="I74">
            <v>0.96389999999999987</v>
          </cell>
          <cell r="J74">
            <v>399.67742969187674</v>
          </cell>
          <cell r="Q74">
            <v>1</v>
          </cell>
          <cell r="S74">
            <v>1</v>
          </cell>
          <cell r="T74">
            <v>0.40162499999999995</v>
          </cell>
          <cell r="U74">
            <v>0.40162499999999995</v>
          </cell>
          <cell r="V74">
            <v>0</v>
          </cell>
          <cell r="W74">
            <v>0</v>
          </cell>
          <cell r="X74">
            <v>0</v>
          </cell>
          <cell r="Y74">
            <v>0</v>
          </cell>
          <cell r="Z74">
            <v>0</v>
          </cell>
          <cell r="AA74">
            <v>73.3171392</v>
          </cell>
          <cell r="AB74">
            <v>0</v>
          </cell>
          <cell r="AC74">
            <v>0</v>
          </cell>
          <cell r="AD74">
            <v>87.203308499999991</v>
          </cell>
          <cell r="AE74">
            <v>0</v>
          </cell>
          <cell r="AF74">
            <v>0</v>
          </cell>
          <cell r="AG74">
            <v>0</v>
          </cell>
          <cell r="AH74">
            <v>0</v>
          </cell>
          <cell r="AI74">
            <v>0</v>
          </cell>
          <cell r="AJ74">
            <v>0</v>
          </cell>
          <cell r="AK74">
            <v>73.3171392</v>
          </cell>
          <cell r="AL74">
            <v>0</v>
          </cell>
          <cell r="AM74">
            <v>0</v>
          </cell>
          <cell r="AN74">
            <v>87.203308499999991</v>
          </cell>
          <cell r="AO74">
            <v>0</v>
          </cell>
        </row>
        <row r="75">
          <cell r="E75" t="str">
            <v>B.7D</v>
          </cell>
          <cell r="F75">
            <v>4.59</v>
          </cell>
          <cell r="G75">
            <v>0.25</v>
          </cell>
          <cell r="H75">
            <v>0.35</v>
          </cell>
          <cell r="I75">
            <v>0.96389999999999987</v>
          </cell>
          <cell r="J75">
            <v>399.67742969187674</v>
          </cell>
          <cell r="Q75">
            <v>1</v>
          </cell>
          <cell r="S75">
            <v>1</v>
          </cell>
          <cell r="T75">
            <v>0.40162499999999995</v>
          </cell>
          <cell r="U75">
            <v>0.40162499999999995</v>
          </cell>
          <cell r="V75">
            <v>0</v>
          </cell>
          <cell r="W75">
            <v>0</v>
          </cell>
          <cell r="X75">
            <v>0</v>
          </cell>
          <cell r="Y75">
            <v>0</v>
          </cell>
          <cell r="Z75">
            <v>0</v>
          </cell>
          <cell r="AA75">
            <v>73.3171392</v>
          </cell>
          <cell r="AB75">
            <v>0</v>
          </cell>
          <cell r="AC75">
            <v>0</v>
          </cell>
          <cell r="AD75">
            <v>87.203308499999991</v>
          </cell>
          <cell r="AE75">
            <v>0</v>
          </cell>
          <cell r="AF75">
            <v>0</v>
          </cell>
          <cell r="AG75">
            <v>0</v>
          </cell>
          <cell r="AH75">
            <v>0</v>
          </cell>
          <cell r="AI75">
            <v>0</v>
          </cell>
          <cell r="AJ75">
            <v>0</v>
          </cell>
          <cell r="AK75">
            <v>73.3171392</v>
          </cell>
          <cell r="AL75">
            <v>0</v>
          </cell>
          <cell r="AM75">
            <v>0</v>
          </cell>
          <cell r="AN75">
            <v>87.203308499999991</v>
          </cell>
          <cell r="AO75">
            <v>0</v>
          </cell>
        </row>
        <row r="76">
          <cell r="E76" t="str">
            <v>B.8</v>
          </cell>
          <cell r="F76">
            <v>4.74</v>
          </cell>
          <cell r="G76">
            <v>0.25</v>
          </cell>
          <cell r="H76">
            <v>0.35</v>
          </cell>
          <cell r="I76">
            <v>0.99539999999999995</v>
          </cell>
          <cell r="J76">
            <v>397.77843471971073</v>
          </cell>
          <cell r="M76">
            <v>2</v>
          </cell>
          <cell r="S76">
            <v>2</v>
          </cell>
          <cell r="T76">
            <v>0.41475000000000001</v>
          </cell>
          <cell r="U76">
            <v>0.82950000000000002</v>
          </cell>
          <cell r="V76">
            <v>0</v>
          </cell>
          <cell r="W76">
            <v>0</v>
          </cell>
          <cell r="X76">
            <v>0</v>
          </cell>
          <cell r="Y76">
            <v>0</v>
          </cell>
          <cell r="Z76">
            <v>0</v>
          </cell>
          <cell r="AA76">
            <v>75.313612800000001</v>
          </cell>
          <cell r="AB76">
            <v>0</v>
          </cell>
          <cell r="AC76">
            <v>0</v>
          </cell>
          <cell r="AD76">
            <v>89.66499300000001</v>
          </cell>
          <cell r="AE76">
            <v>0</v>
          </cell>
          <cell r="AF76">
            <v>0</v>
          </cell>
          <cell r="AG76">
            <v>0</v>
          </cell>
          <cell r="AH76">
            <v>0</v>
          </cell>
          <cell r="AI76">
            <v>0</v>
          </cell>
          <cell r="AJ76">
            <v>0</v>
          </cell>
          <cell r="AK76">
            <v>150.6272256</v>
          </cell>
          <cell r="AL76">
            <v>0</v>
          </cell>
          <cell r="AM76">
            <v>0</v>
          </cell>
          <cell r="AN76">
            <v>179.32998600000002</v>
          </cell>
          <cell r="AO76">
            <v>0</v>
          </cell>
        </row>
        <row r="77">
          <cell r="E77" t="str">
            <v>B.9</v>
          </cell>
          <cell r="F77">
            <v>4.59</v>
          </cell>
          <cell r="G77">
            <v>0.25</v>
          </cell>
          <cell r="H77">
            <v>0.35</v>
          </cell>
          <cell r="I77">
            <v>0.96389999999999987</v>
          </cell>
          <cell r="J77">
            <v>399.67742969187674</v>
          </cell>
          <cell r="R77">
            <v>2</v>
          </cell>
          <cell r="S77">
            <v>2</v>
          </cell>
          <cell r="T77">
            <v>0.40162499999999995</v>
          </cell>
          <cell r="U77">
            <v>0.80324999999999991</v>
          </cell>
          <cell r="V77">
            <v>0</v>
          </cell>
          <cell r="W77">
            <v>0</v>
          </cell>
          <cell r="X77">
            <v>0</v>
          </cell>
          <cell r="Y77">
            <v>0</v>
          </cell>
          <cell r="Z77">
            <v>0</v>
          </cell>
          <cell r="AA77">
            <v>73.3171392</v>
          </cell>
          <cell r="AB77">
            <v>0</v>
          </cell>
          <cell r="AC77">
            <v>0</v>
          </cell>
          <cell r="AD77">
            <v>87.203308499999991</v>
          </cell>
          <cell r="AE77">
            <v>0</v>
          </cell>
          <cell r="AF77">
            <v>0</v>
          </cell>
          <cell r="AG77">
            <v>0</v>
          </cell>
          <cell r="AH77">
            <v>0</v>
          </cell>
          <cell r="AI77">
            <v>0</v>
          </cell>
          <cell r="AJ77">
            <v>0</v>
          </cell>
          <cell r="AK77">
            <v>146.6342784</v>
          </cell>
          <cell r="AL77">
            <v>0</v>
          </cell>
          <cell r="AM77">
            <v>0</v>
          </cell>
          <cell r="AN77">
            <v>174.40661699999998</v>
          </cell>
          <cell r="AO77">
            <v>0</v>
          </cell>
        </row>
        <row r="78">
          <cell r="E78" t="str">
            <v>B.9A</v>
          </cell>
          <cell r="F78">
            <v>0.67</v>
          </cell>
          <cell r="G78">
            <v>0.25</v>
          </cell>
          <cell r="H78">
            <v>0.35</v>
          </cell>
          <cell r="I78">
            <v>0.14069999999999999</v>
          </cell>
          <cell r="J78">
            <v>755.31108742004267</v>
          </cell>
          <cell r="R78">
            <v>4</v>
          </cell>
          <cell r="S78">
            <v>4</v>
          </cell>
          <cell r="T78">
            <v>5.8624999999999997E-2</v>
          </cell>
          <cell r="U78">
            <v>0.23449999999999999</v>
          </cell>
          <cell r="V78">
            <v>0</v>
          </cell>
          <cell r="W78">
            <v>0</v>
          </cell>
          <cell r="X78">
            <v>0</v>
          </cell>
          <cell r="Y78">
            <v>0</v>
          </cell>
          <cell r="Z78">
            <v>0</v>
          </cell>
          <cell r="AA78">
            <v>21.4088256</v>
          </cell>
          <cell r="AB78">
            <v>0</v>
          </cell>
          <cell r="AC78">
            <v>0</v>
          </cell>
          <cell r="AD78">
            <v>22.871286899999998</v>
          </cell>
          <cell r="AE78">
            <v>0</v>
          </cell>
          <cell r="AF78">
            <v>0</v>
          </cell>
          <cell r="AG78">
            <v>0</v>
          </cell>
          <cell r="AH78">
            <v>0</v>
          </cell>
          <cell r="AI78">
            <v>0</v>
          </cell>
          <cell r="AJ78">
            <v>0</v>
          </cell>
          <cell r="AK78">
            <v>85.6353024</v>
          </cell>
          <cell r="AL78">
            <v>0</v>
          </cell>
          <cell r="AM78">
            <v>0</v>
          </cell>
          <cell r="AN78">
            <v>91.485147599999991</v>
          </cell>
          <cell r="AO78">
            <v>0</v>
          </cell>
        </row>
        <row r="79">
          <cell r="L79">
            <v>0</v>
          </cell>
          <cell r="M79">
            <v>112</v>
          </cell>
          <cell r="N79">
            <v>109</v>
          </cell>
          <cell r="O79">
            <v>109</v>
          </cell>
          <cell r="P79">
            <v>109</v>
          </cell>
          <cell r="Q79">
            <v>146</v>
          </cell>
          <cell r="R79">
            <v>12</v>
          </cell>
          <cell r="S79">
            <v>597</v>
          </cell>
          <cell r="U79">
            <v>177.54800000000003</v>
          </cell>
          <cell r="AF79">
            <v>0</v>
          </cell>
          <cell r="AG79">
            <v>0</v>
          </cell>
          <cell r="AH79">
            <v>0</v>
          </cell>
          <cell r="AI79">
            <v>0</v>
          </cell>
          <cell r="AJ79">
            <v>0</v>
          </cell>
          <cell r="AK79">
            <v>26885.413094400006</v>
          </cell>
          <cell r="AL79">
            <v>0</v>
          </cell>
          <cell r="AM79">
            <v>0</v>
          </cell>
          <cell r="AN79">
            <v>40390.185409199992</v>
          </cell>
          <cell r="AO79">
            <v>0</v>
          </cell>
        </row>
        <row r="80">
          <cell r="H80">
            <v>1.536</v>
          </cell>
        </row>
        <row r="81">
          <cell r="E81" t="str">
            <v>S.1</v>
          </cell>
          <cell r="F81">
            <v>3.2</v>
          </cell>
          <cell r="G81">
            <v>1.35</v>
          </cell>
          <cell r="H81">
            <v>0.12</v>
          </cell>
          <cell r="I81">
            <v>1.2441599999999999</v>
          </cell>
          <cell r="J81">
            <v>119.66188888888891</v>
          </cell>
          <cell r="L81">
            <v>60</v>
          </cell>
          <cell r="M81">
            <v>62</v>
          </cell>
          <cell r="N81">
            <v>62</v>
          </cell>
          <cell r="O81">
            <v>62</v>
          </cell>
          <cell r="P81">
            <v>62</v>
          </cell>
          <cell r="Q81">
            <v>8</v>
          </cell>
          <cell r="S81">
            <v>316</v>
          </cell>
          <cell r="T81">
            <v>0.51839999999999997</v>
          </cell>
          <cell r="U81">
            <v>163.81439999999998</v>
          </cell>
          <cell r="V81">
            <v>58.087123200000008</v>
          </cell>
          <cell r="W81">
            <v>0</v>
          </cell>
          <cell r="X81">
            <v>3.9456000000000007</v>
          </cell>
          <cell r="Y81">
            <v>0</v>
          </cell>
          <cell r="Z81">
            <v>0</v>
          </cell>
          <cell r="AA81">
            <v>0</v>
          </cell>
          <cell r="AB81">
            <v>0</v>
          </cell>
          <cell r="AC81">
            <v>0</v>
          </cell>
          <cell r="AD81">
            <v>0</v>
          </cell>
          <cell r="AE81">
            <v>0</v>
          </cell>
          <cell r="AF81">
            <v>18355.530931200003</v>
          </cell>
          <cell r="AG81">
            <v>0</v>
          </cell>
          <cell r="AH81">
            <v>1246.8096000000003</v>
          </cell>
          <cell r="AI81">
            <v>0</v>
          </cell>
          <cell r="AJ81">
            <v>0</v>
          </cell>
          <cell r="AK81">
            <v>0</v>
          </cell>
          <cell r="AL81">
            <v>0</v>
          </cell>
          <cell r="AM81">
            <v>0</v>
          </cell>
          <cell r="AN81">
            <v>0</v>
          </cell>
          <cell r="AO81">
            <v>0</v>
          </cell>
        </row>
        <row r="82">
          <cell r="E82" t="str">
            <v>S.1A</v>
          </cell>
          <cell r="F82">
            <v>3.2</v>
          </cell>
          <cell r="G82">
            <v>1.45</v>
          </cell>
          <cell r="H82">
            <v>0.12</v>
          </cell>
          <cell r="I82">
            <v>1.33632</v>
          </cell>
          <cell r="J82">
            <v>119.65768965517243</v>
          </cell>
          <cell r="L82">
            <v>60</v>
          </cell>
          <cell r="S82">
            <v>60</v>
          </cell>
          <cell r="T82">
            <v>0.55679999999999996</v>
          </cell>
          <cell r="U82">
            <v>33.408000000000001</v>
          </cell>
          <cell r="V82">
            <v>62.679801600000005</v>
          </cell>
          <cell r="W82">
            <v>0</v>
          </cell>
          <cell r="X82">
            <v>3.9456000000000007</v>
          </cell>
          <cell r="Y82">
            <v>0</v>
          </cell>
          <cell r="Z82">
            <v>0</v>
          </cell>
          <cell r="AA82">
            <v>0</v>
          </cell>
          <cell r="AB82">
            <v>0</v>
          </cell>
          <cell r="AC82">
            <v>0</v>
          </cell>
          <cell r="AD82">
            <v>0</v>
          </cell>
          <cell r="AE82">
            <v>0</v>
          </cell>
          <cell r="AF82">
            <v>3760.7880960000002</v>
          </cell>
          <cell r="AG82">
            <v>0</v>
          </cell>
          <cell r="AH82">
            <v>236.73600000000005</v>
          </cell>
          <cell r="AI82">
            <v>0</v>
          </cell>
          <cell r="AJ82">
            <v>0</v>
          </cell>
          <cell r="AK82">
            <v>0</v>
          </cell>
          <cell r="AL82">
            <v>0</v>
          </cell>
          <cell r="AM82">
            <v>0</v>
          </cell>
          <cell r="AN82">
            <v>0</v>
          </cell>
          <cell r="AO82">
            <v>0</v>
          </cell>
        </row>
        <row r="83">
          <cell r="E83" t="str">
            <v>S.1B</v>
          </cell>
          <cell r="F83">
            <v>3.2</v>
          </cell>
          <cell r="G83">
            <v>1.45</v>
          </cell>
          <cell r="H83">
            <v>0.12</v>
          </cell>
          <cell r="I83">
            <v>1.33632</v>
          </cell>
          <cell r="J83">
            <v>119.65768965517243</v>
          </cell>
          <cell r="M83">
            <v>60</v>
          </cell>
          <cell r="N83">
            <v>60</v>
          </cell>
          <cell r="O83">
            <v>60</v>
          </cell>
          <cell r="P83">
            <v>60</v>
          </cell>
          <cell r="S83">
            <v>240</v>
          </cell>
          <cell r="T83">
            <v>0.55679999999999996</v>
          </cell>
          <cell r="U83">
            <v>133.63200000000001</v>
          </cell>
          <cell r="V83">
            <v>62.679801600000005</v>
          </cell>
          <cell r="W83">
            <v>0</v>
          </cell>
          <cell r="X83">
            <v>3.9456000000000007</v>
          </cell>
          <cell r="Y83">
            <v>0</v>
          </cell>
          <cell r="Z83">
            <v>0</v>
          </cell>
          <cell r="AA83">
            <v>0</v>
          </cell>
          <cell r="AB83">
            <v>0</v>
          </cell>
          <cell r="AC83">
            <v>0</v>
          </cell>
          <cell r="AD83">
            <v>0</v>
          </cell>
          <cell r="AE83">
            <v>0</v>
          </cell>
          <cell r="AF83">
            <v>15043.152384000001</v>
          </cell>
          <cell r="AG83">
            <v>0</v>
          </cell>
          <cell r="AH83">
            <v>946.94400000000019</v>
          </cell>
          <cell r="AI83">
            <v>0</v>
          </cell>
          <cell r="AJ83">
            <v>0</v>
          </cell>
          <cell r="AK83">
            <v>0</v>
          </cell>
          <cell r="AL83">
            <v>0</v>
          </cell>
          <cell r="AM83">
            <v>0</v>
          </cell>
          <cell r="AN83">
            <v>0</v>
          </cell>
          <cell r="AO83">
            <v>0</v>
          </cell>
        </row>
        <row r="84">
          <cell r="E84" t="str">
            <v>S.2</v>
          </cell>
          <cell r="F84">
            <v>3.2</v>
          </cell>
          <cell r="G84">
            <v>1.7</v>
          </cell>
          <cell r="H84">
            <v>0.12</v>
          </cell>
          <cell r="I84">
            <v>1.5667200000000001</v>
          </cell>
          <cell r="J84">
            <v>117.52182352941175</v>
          </cell>
          <cell r="L84">
            <v>30</v>
          </cell>
          <cell r="S84">
            <v>30</v>
          </cell>
          <cell r="T84">
            <v>0.65280000000000005</v>
          </cell>
          <cell r="U84">
            <v>19.584000000000003</v>
          </cell>
          <cell r="V84">
            <v>72.772646399999999</v>
          </cell>
          <cell r="W84">
            <v>0</v>
          </cell>
          <cell r="X84">
            <v>3.9456000000000007</v>
          </cell>
          <cell r="Y84">
            <v>0</v>
          </cell>
          <cell r="Z84">
            <v>0</v>
          </cell>
          <cell r="AA84">
            <v>0</v>
          </cell>
          <cell r="AB84">
            <v>0</v>
          </cell>
          <cell r="AC84">
            <v>0</v>
          </cell>
          <cell r="AD84">
            <v>0</v>
          </cell>
          <cell r="AE84">
            <v>0</v>
          </cell>
          <cell r="AF84">
            <v>2183.179392</v>
          </cell>
          <cell r="AG84">
            <v>0</v>
          </cell>
          <cell r="AH84">
            <v>118.36800000000002</v>
          </cell>
          <cell r="AI84">
            <v>0</v>
          </cell>
          <cell r="AJ84">
            <v>0</v>
          </cell>
          <cell r="AK84">
            <v>0</v>
          </cell>
          <cell r="AL84">
            <v>0</v>
          </cell>
          <cell r="AM84">
            <v>0</v>
          </cell>
          <cell r="AN84">
            <v>0</v>
          </cell>
          <cell r="AO84">
            <v>0</v>
          </cell>
        </row>
        <row r="85">
          <cell r="E85" t="str">
            <v>S.2A</v>
          </cell>
          <cell r="F85">
            <v>3.2</v>
          </cell>
          <cell r="G85">
            <v>2</v>
          </cell>
          <cell r="H85">
            <v>0.12</v>
          </cell>
          <cell r="I85">
            <v>1.8431999999999999</v>
          </cell>
          <cell r="J85">
            <v>114.21689999999997</v>
          </cell>
          <cell r="M85">
            <v>16</v>
          </cell>
          <cell r="N85">
            <v>16</v>
          </cell>
          <cell r="O85">
            <v>16</v>
          </cell>
          <cell r="P85">
            <v>16</v>
          </cell>
          <cell r="Q85">
            <v>16</v>
          </cell>
          <cell r="S85">
            <v>80</v>
          </cell>
          <cell r="T85">
            <v>0.76800000000000002</v>
          </cell>
          <cell r="U85">
            <v>61.44</v>
          </cell>
          <cell r="V85">
            <v>83.77297919999998</v>
          </cell>
          <cell r="W85">
            <v>0</v>
          </cell>
          <cell r="X85">
            <v>3.9456000000000002</v>
          </cell>
          <cell r="Y85">
            <v>0</v>
          </cell>
          <cell r="Z85">
            <v>0</v>
          </cell>
          <cell r="AA85">
            <v>0</v>
          </cell>
          <cell r="AB85">
            <v>0</v>
          </cell>
          <cell r="AC85">
            <v>0</v>
          </cell>
          <cell r="AD85">
            <v>0</v>
          </cell>
          <cell r="AE85">
            <v>0</v>
          </cell>
          <cell r="AF85">
            <v>6701.8383359999989</v>
          </cell>
          <cell r="AG85">
            <v>0</v>
          </cell>
          <cell r="AH85">
            <v>315.64800000000002</v>
          </cell>
          <cell r="AI85">
            <v>0</v>
          </cell>
          <cell r="AJ85">
            <v>0</v>
          </cell>
          <cell r="AK85">
            <v>0</v>
          </cell>
          <cell r="AL85">
            <v>0</v>
          </cell>
          <cell r="AM85">
            <v>0</v>
          </cell>
          <cell r="AN85">
            <v>0</v>
          </cell>
          <cell r="AO85">
            <v>0</v>
          </cell>
        </row>
        <row r="86">
          <cell r="E86" t="str">
            <v>S.2A'</v>
          </cell>
          <cell r="F86">
            <v>3.2</v>
          </cell>
          <cell r="G86">
            <v>2</v>
          </cell>
          <cell r="H86">
            <v>0.12</v>
          </cell>
          <cell r="I86">
            <v>1.8431999999999999</v>
          </cell>
          <cell r="J86">
            <v>114.21689999999997</v>
          </cell>
          <cell r="M86">
            <v>2</v>
          </cell>
          <cell r="N86">
            <v>2</v>
          </cell>
          <cell r="O86">
            <v>2</v>
          </cell>
          <cell r="P86">
            <v>2</v>
          </cell>
          <cell r="Q86">
            <v>2</v>
          </cell>
          <cell r="S86">
            <v>10</v>
          </cell>
          <cell r="T86">
            <v>0.76800000000000002</v>
          </cell>
          <cell r="U86">
            <v>7.68</v>
          </cell>
          <cell r="V86">
            <v>83.77297919999998</v>
          </cell>
          <cell r="W86">
            <v>0</v>
          </cell>
          <cell r="X86">
            <v>3.9456000000000002</v>
          </cell>
          <cell r="Y86">
            <v>0</v>
          </cell>
          <cell r="Z86">
            <v>0</v>
          </cell>
          <cell r="AA86">
            <v>0</v>
          </cell>
          <cell r="AB86">
            <v>0</v>
          </cell>
          <cell r="AC86">
            <v>0</v>
          </cell>
          <cell r="AD86">
            <v>0</v>
          </cell>
          <cell r="AE86">
            <v>0</v>
          </cell>
          <cell r="AF86">
            <v>837.72979199999986</v>
          </cell>
          <cell r="AG86">
            <v>0</v>
          </cell>
          <cell r="AH86">
            <v>39.456000000000003</v>
          </cell>
          <cell r="AI86">
            <v>0</v>
          </cell>
          <cell r="AJ86">
            <v>0</v>
          </cell>
          <cell r="AK86">
            <v>0</v>
          </cell>
          <cell r="AL86">
            <v>0</v>
          </cell>
          <cell r="AM86">
            <v>0</v>
          </cell>
          <cell r="AN86">
            <v>0</v>
          </cell>
          <cell r="AO86">
            <v>0</v>
          </cell>
        </row>
        <row r="87">
          <cell r="E87" t="str">
            <v>S.2"</v>
          </cell>
          <cell r="F87">
            <v>3.2</v>
          </cell>
          <cell r="G87">
            <v>2</v>
          </cell>
          <cell r="H87">
            <v>0.12</v>
          </cell>
          <cell r="I87">
            <v>1.8431999999999999</v>
          </cell>
          <cell r="J87">
            <v>114.21689999999997</v>
          </cell>
          <cell r="M87">
            <v>2</v>
          </cell>
          <cell r="N87">
            <v>2</v>
          </cell>
          <cell r="O87">
            <v>2</v>
          </cell>
          <cell r="P87">
            <v>2</v>
          </cell>
          <cell r="Q87">
            <v>2</v>
          </cell>
          <cell r="S87">
            <v>10</v>
          </cell>
          <cell r="T87">
            <v>0.76800000000000002</v>
          </cell>
          <cell r="U87">
            <v>7.68</v>
          </cell>
          <cell r="V87">
            <v>83.77297919999998</v>
          </cell>
          <cell r="W87">
            <v>0</v>
          </cell>
          <cell r="X87">
            <v>3.9456000000000002</v>
          </cell>
          <cell r="Y87">
            <v>0</v>
          </cell>
          <cell r="Z87">
            <v>0</v>
          </cell>
          <cell r="AA87">
            <v>0</v>
          </cell>
          <cell r="AB87">
            <v>0</v>
          </cell>
          <cell r="AC87">
            <v>0</v>
          </cell>
          <cell r="AD87">
            <v>0</v>
          </cell>
          <cell r="AE87">
            <v>0</v>
          </cell>
          <cell r="AF87">
            <v>837.72979199999986</v>
          </cell>
          <cell r="AG87">
            <v>0</v>
          </cell>
          <cell r="AH87">
            <v>39.456000000000003</v>
          </cell>
          <cell r="AI87">
            <v>0</v>
          </cell>
          <cell r="AJ87">
            <v>0</v>
          </cell>
          <cell r="AK87">
            <v>0</v>
          </cell>
          <cell r="AL87">
            <v>0</v>
          </cell>
          <cell r="AM87">
            <v>0</v>
          </cell>
          <cell r="AN87">
            <v>0</v>
          </cell>
          <cell r="AO87">
            <v>0</v>
          </cell>
        </row>
        <row r="88">
          <cell r="E88" t="str">
            <v>S.2B</v>
          </cell>
          <cell r="F88">
            <v>3.2</v>
          </cell>
          <cell r="G88">
            <v>2</v>
          </cell>
          <cell r="H88">
            <v>0.12</v>
          </cell>
          <cell r="I88">
            <v>1.8431999999999999</v>
          </cell>
          <cell r="J88">
            <v>114.21689999999997</v>
          </cell>
          <cell r="M88">
            <v>2</v>
          </cell>
          <cell r="N88">
            <v>2</v>
          </cell>
          <cell r="O88">
            <v>2</v>
          </cell>
          <cell r="P88">
            <v>2</v>
          </cell>
          <cell r="Q88">
            <v>2</v>
          </cell>
          <cell r="S88">
            <v>10</v>
          </cell>
          <cell r="T88">
            <v>0.76800000000000002</v>
          </cell>
          <cell r="U88">
            <v>7.68</v>
          </cell>
          <cell r="V88">
            <v>83.77297919999998</v>
          </cell>
          <cell r="W88">
            <v>0</v>
          </cell>
          <cell r="X88">
            <v>3.9456000000000002</v>
          </cell>
          <cell r="Y88">
            <v>0</v>
          </cell>
          <cell r="Z88">
            <v>0</v>
          </cell>
          <cell r="AA88">
            <v>0</v>
          </cell>
          <cell r="AB88">
            <v>0</v>
          </cell>
          <cell r="AC88">
            <v>0</v>
          </cell>
          <cell r="AD88">
            <v>0</v>
          </cell>
          <cell r="AE88">
            <v>0</v>
          </cell>
          <cell r="AF88">
            <v>837.72979199999986</v>
          </cell>
          <cell r="AG88">
            <v>0</v>
          </cell>
          <cell r="AH88">
            <v>39.456000000000003</v>
          </cell>
          <cell r="AI88">
            <v>0</v>
          </cell>
          <cell r="AJ88">
            <v>0</v>
          </cell>
          <cell r="AK88">
            <v>0</v>
          </cell>
          <cell r="AL88">
            <v>0</v>
          </cell>
          <cell r="AM88">
            <v>0</v>
          </cell>
          <cell r="AN88">
            <v>0</v>
          </cell>
          <cell r="AO88">
            <v>0</v>
          </cell>
        </row>
        <row r="89">
          <cell r="E89" t="str">
            <v>S.2B'</v>
          </cell>
          <cell r="F89">
            <v>3.2</v>
          </cell>
          <cell r="G89">
            <v>2</v>
          </cell>
          <cell r="H89">
            <v>0.12</v>
          </cell>
          <cell r="I89">
            <v>1.8431999999999999</v>
          </cell>
          <cell r="J89">
            <v>114.21689999999997</v>
          </cell>
          <cell r="M89">
            <v>2</v>
          </cell>
          <cell r="N89">
            <v>2</v>
          </cell>
          <cell r="O89">
            <v>2</v>
          </cell>
          <cell r="P89">
            <v>2</v>
          </cell>
          <cell r="Q89">
            <v>2</v>
          </cell>
          <cell r="S89">
            <v>10</v>
          </cell>
          <cell r="T89">
            <v>0.76800000000000002</v>
          </cell>
          <cell r="U89">
            <v>7.68</v>
          </cell>
          <cell r="V89">
            <v>83.77297919999998</v>
          </cell>
          <cell r="W89">
            <v>0</v>
          </cell>
          <cell r="X89">
            <v>3.9456000000000002</v>
          </cell>
          <cell r="Y89">
            <v>0</v>
          </cell>
          <cell r="Z89">
            <v>0</v>
          </cell>
          <cell r="AA89">
            <v>0</v>
          </cell>
          <cell r="AB89">
            <v>0</v>
          </cell>
          <cell r="AC89">
            <v>0</v>
          </cell>
          <cell r="AD89">
            <v>0</v>
          </cell>
          <cell r="AE89">
            <v>0</v>
          </cell>
          <cell r="AF89">
            <v>837.72979199999986</v>
          </cell>
          <cell r="AG89">
            <v>0</v>
          </cell>
          <cell r="AH89">
            <v>39.456000000000003</v>
          </cell>
          <cell r="AI89">
            <v>0</v>
          </cell>
          <cell r="AJ89">
            <v>0</v>
          </cell>
          <cell r="AK89">
            <v>0</v>
          </cell>
          <cell r="AL89">
            <v>0</v>
          </cell>
          <cell r="AM89">
            <v>0</v>
          </cell>
          <cell r="AN89">
            <v>0</v>
          </cell>
          <cell r="AO89">
            <v>0</v>
          </cell>
        </row>
        <row r="90">
          <cell r="E90" t="str">
            <v>S.2C</v>
          </cell>
          <cell r="F90">
            <v>3.2</v>
          </cell>
          <cell r="G90">
            <v>1.7</v>
          </cell>
          <cell r="H90">
            <v>0.12</v>
          </cell>
          <cell r="I90">
            <v>1.5667200000000001</v>
          </cell>
          <cell r="J90">
            <v>117.52182352941178</v>
          </cell>
          <cell r="M90">
            <v>2</v>
          </cell>
          <cell r="N90">
            <v>2</v>
          </cell>
          <cell r="O90">
            <v>2</v>
          </cell>
          <cell r="P90">
            <v>2</v>
          </cell>
          <cell r="Q90">
            <v>2</v>
          </cell>
          <cell r="S90">
            <v>10</v>
          </cell>
          <cell r="T90">
            <v>0.65280000000000005</v>
          </cell>
          <cell r="U90">
            <v>6.5280000000000005</v>
          </cell>
          <cell r="V90">
            <v>72.772646400000014</v>
          </cell>
          <cell r="W90">
            <v>0</v>
          </cell>
          <cell r="X90">
            <v>3.9456000000000002</v>
          </cell>
          <cell r="Y90">
            <v>0</v>
          </cell>
          <cell r="Z90">
            <v>0</v>
          </cell>
          <cell r="AA90">
            <v>0</v>
          </cell>
          <cell r="AB90">
            <v>0</v>
          </cell>
          <cell r="AC90">
            <v>0</v>
          </cell>
          <cell r="AD90">
            <v>0</v>
          </cell>
          <cell r="AE90">
            <v>0</v>
          </cell>
          <cell r="AF90">
            <v>727.72646400000008</v>
          </cell>
          <cell r="AG90">
            <v>0</v>
          </cell>
          <cell r="AH90">
            <v>39.456000000000003</v>
          </cell>
          <cell r="AI90">
            <v>0</v>
          </cell>
          <cell r="AJ90">
            <v>0</v>
          </cell>
          <cell r="AK90">
            <v>0</v>
          </cell>
          <cell r="AL90">
            <v>0</v>
          </cell>
          <cell r="AM90">
            <v>0</v>
          </cell>
          <cell r="AN90">
            <v>0</v>
          </cell>
          <cell r="AO90">
            <v>0</v>
          </cell>
        </row>
        <row r="91">
          <cell r="E91" t="str">
            <v>S.2D</v>
          </cell>
          <cell r="F91">
            <v>3.2</v>
          </cell>
          <cell r="G91">
            <v>1.0249999999999999</v>
          </cell>
          <cell r="H91">
            <v>0.15</v>
          </cell>
          <cell r="I91">
            <v>1.1807999999999998</v>
          </cell>
          <cell r="J91">
            <v>102.8021268292683</v>
          </cell>
          <cell r="M91">
            <v>4</v>
          </cell>
          <cell r="N91">
            <v>4</v>
          </cell>
          <cell r="O91">
            <v>4</v>
          </cell>
          <cell r="P91">
            <v>4</v>
          </cell>
          <cell r="Q91">
            <v>2</v>
          </cell>
          <cell r="S91">
            <v>18</v>
          </cell>
          <cell r="T91">
            <v>0.49199999999999994</v>
          </cell>
          <cell r="U91">
            <v>8.8559999999999981</v>
          </cell>
          <cell r="V91">
            <v>46.633046399999998</v>
          </cell>
          <cell r="W91">
            <v>0</v>
          </cell>
          <cell r="X91">
            <v>3.9456000000000007</v>
          </cell>
          <cell r="Y91">
            <v>0</v>
          </cell>
          <cell r="Z91">
            <v>0</v>
          </cell>
          <cell r="AA91">
            <v>0</v>
          </cell>
          <cell r="AB91">
            <v>0</v>
          </cell>
          <cell r="AC91">
            <v>0</v>
          </cell>
          <cell r="AD91">
            <v>0</v>
          </cell>
          <cell r="AE91">
            <v>0</v>
          </cell>
          <cell r="AF91">
            <v>839.39483519999999</v>
          </cell>
          <cell r="AG91">
            <v>0</v>
          </cell>
          <cell r="AH91">
            <v>71.020800000000008</v>
          </cell>
          <cell r="AI91">
            <v>0</v>
          </cell>
          <cell r="AJ91">
            <v>0</v>
          </cell>
          <cell r="AK91">
            <v>0</v>
          </cell>
          <cell r="AL91">
            <v>0</v>
          </cell>
          <cell r="AM91">
            <v>0</v>
          </cell>
          <cell r="AN91">
            <v>0</v>
          </cell>
          <cell r="AO91">
            <v>0</v>
          </cell>
        </row>
        <row r="92">
          <cell r="E92" t="str">
            <v>S.2E</v>
          </cell>
          <cell r="F92">
            <v>3.2</v>
          </cell>
          <cell r="G92">
            <v>1.35</v>
          </cell>
          <cell r="H92">
            <v>0.15</v>
          </cell>
          <cell r="I92">
            <v>1.5551999999999999</v>
          </cell>
          <cell r="J92">
            <v>95.729511111111094</v>
          </cell>
          <cell r="Q92">
            <v>2</v>
          </cell>
          <cell r="S92">
            <v>2</v>
          </cell>
          <cell r="T92">
            <v>0.64800000000000002</v>
          </cell>
          <cell r="U92">
            <v>1.296</v>
          </cell>
          <cell r="V92">
            <v>58.087123199999994</v>
          </cell>
          <cell r="W92">
            <v>0</v>
          </cell>
          <cell r="X92">
            <v>3.9456000000000007</v>
          </cell>
          <cell r="Y92">
            <v>0</v>
          </cell>
          <cell r="Z92">
            <v>0</v>
          </cell>
          <cell r="AA92">
            <v>0</v>
          </cell>
          <cell r="AB92">
            <v>0</v>
          </cell>
          <cell r="AC92">
            <v>0</v>
          </cell>
          <cell r="AD92">
            <v>0</v>
          </cell>
          <cell r="AE92">
            <v>0</v>
          </cell>
          <cell r="AF92">
            <v>116.17424639999999</v>
          </cell>
          <cell r="AG92">
            <v>0</v>
          </cell>
          <cell r="AH92">
            <v>7.8912000000000013</v>
          </cell>
          <cell r="AI92">
            <v>0</v>
          </cell>
          <cell r="AJ92">
            <v>0</v>
          </cell>
          <cell r="AK92">
            <v>0</v>
          </cell>
          <cell r="AL92">
            <v>0</v>
          </cell>
          <cell r="AM92">
            <v>0</v>
          </cell>
          <cell r="AN92">
            <v>0</v>
          </cell>
          <cell r="AO92">
            <v>0</v>
          </cell>
        </row>
        <row r="93">
          <cell r="E93" t="str">
            <v>S.2F</v>
          </cell>
          <cell r="F93">
            <v>3.2</v>
          </cell>
          <cell r="G93">
            <v>1.0249999999999999</v>
          </cell>
          <cell r="H93">
            <v>0.15</v>
          </cell>
          <cell r="I93">
            <v>1.1807999999999998</v>
          </cell>
          <cell r="J93">
            <v>102.80212682926832</v>
          </cell>
          <cell r="Q93">
            <v>2</v>
          </cell>
          <cell r="S93">
            <v>2</v>
          </cell>
          <cell r="T93">
            <v>0.49199999999999994</v>
          </cell>
          <cell r="U93">
            <v>0.98399999999999987</v>
          </cell>
          <cell r="V93">
            <v>46.633046400000005</v>
          </cell>
          <cell r="W93">
            <v>0</v>
          </cell>
          <cell r="X93">
            <v>3.9456000000000007</v>
          </cell>
          <cell r="Y93">
            <v>0</v>
          </cell>
          <cell r="Z93">
            <v>0</v>
          </cell>
          <cell r="AA93">
            <v>0</v>
          </cell>
          <cell r="AB93">
            <v>0</v>
          </cell>
          <cell r="AC93">
            <v>0</v>
          </cell>
          <cell r="AD93">
            <v>0</v>
          </cell>
          <cell r="AE93">
            <v>0</v>
          </cell>
          <cell r="AF93">
            <v>93.26609280000001</v>
          </cell>
          <cell r="AG93">
            <v>0</v>
          </cell>
          <cell r="AH93">
            <v>7.8912000000000013</v>
          </cell>
          <cell r="AI93">
            <v>0</v>
          </cell>
          <cell r="AJ93">
            <v>0</v>
          </cell>
          <cell r="AK93">
            <v>0</v>
          </cell>
          <cell r="AL93">
            <v>0</v>
          </cell>
          <cell r="AM93">
            <v>0</v>
          </cell>
          <cell r="AN93">
            <v>0</v>
          </cell>
          <cell r="AO93">
            <v>0</v>
          </cell>
        </row>
        <row r="94">
          <cell r="E94" t="str">
            <v>S.3</v>
          </cell>
          <cell r="F94">
            <v>3.2</v>
          </cell>
          <cell r="G94">
            <v>1.875</v>
          </cell>
          <cell r="H94">
            <v>0.12</v>
          </cell>
          <cell r="I94">
            <v>1.728</v>
          </cell>
          <cell r="J94">
            <v>114.82244000000001</v>
          </cell>
          <cell r="L94">
            <v>30</v>
          </cell>
          <cell r="S94">
            <v>30</v>
          </cell>
          <cell r="T94">
            <v>0.72</v>
          </cell>
          <cell r="U94">
            <v>21.599999999999998</v>
          </cell>
          <cell r="V94">
            <v>78.726556800000012</v>
          </cell>
          <cell r="W94">
            <v>0</v>
          </cell>
          <cell r="X94">
            <v>3.9456000000000007</v>
          </cell>
          <cell r="Y94">
            <v>0</v>
          </cell>
          <cell r="Z94">
            <v>0</v>
          </cell>
          <cell r="AA94">
            <v>0</v>
          </cell>
          <cell r="AB94">
            <v>0</v>
          </cell>
          <cell r="AC94">
            <v>0</v>
          </cell>
          <cell r="AD94">
            <v>0</v>
          </cell>
          <cell r="AE94">
            <v>0</v>
          </cell>
          <cell r="AF94">
            <v>2361.7967040000003</v>
          </cell>
          <cell r="AG94">
            <v>0</v>
          </cell>
          <cell r="AH94">
            <v>118.36800000000002</v>
          </cell>
          <cell r="AI94">
            <v>0</v>
          </cell>
          <cell r="AJ94">
            <v>0</v>
          </cell>
          <cell r="AK94">
            <v>0</v>
          </cell>
          <cell r="AL94">
            <v>0</v>
          </cell>
          <cell r="AM94">
            <v>0</v>
          </cell>
          <cell r="AN94">
            <v>0</v>
          </cell>
          <cell r="AO94">
            <v>0</v>
          </cell>
        </row>
        <row r="95">
          <cell r="E95" t="str">
            <v>S.4</v>
          </cell>
          <cell r="F95">
            <v>2.8</v>
          </cell>
          <cell r="G95">
            <v>1.95</v>
          </cell>
          <cell r="H95">
            <v>0.12</v>
          </cell>
          <cell r="I95">
            <v>1.5724799999999999</v>
          </cell>
          <cell r="J95">
            <v>113.30953846153847</v>
          </cell>
          <cell r="L95">
            <v>8</v>
          </cell>
          <cell r="S95">
            <v>8</v>
          </cell>
          <cell r="T95">
            <v>0.6552</v>
          </cell>
          <cell r="U95">
            <v>5.2416</v>
          </cell>
          <cell r="V95">
            <v>70.294809600000008</v>
          </cell>
          <cell r="W95">
            <v>0</v>
          </cell>
          <cell r="X95">
            <v>3.9456000000000007</v>
          </cell>
          <cell r="Y95">
            <v>0</v>
          </cell>
          <cell r="Z95">
            <v>0</v>
          </cell>
          <cell r="AA95">
            <v>0</v>
          </cell>
          <cell r="AB95">
            <v>0</v>
          </cell>
          <cell r="AC95">
            <v>0</v>
          </cell>
          <cell r="AD95">
            <v>0</v>
          </cell>
          <cell r="AE95">
            <v>0</v>
          </cell>
          <cell r="AF95">
            <v>562.35847680000006</v>
          </cell>
          <cell r="AG95">
            <v>0</v>
          </cell>
          <cell r="AH95">
            <v>31.564800000000005</v>
          </cell>
          <cell r="AI95">
            <v>0</v>
          </cell>
          <cell r="AJ95">
            <v>0</v>
          </cell>
          <cell r="AK95">
            <v>0</v>
          </cell>
          <cell r="AL95">
            <v>0</v>
          </cell>
          <cell r="AM95">
            <v>0</v>
          </cell>
          <cell r="AN95">
            <v>0</v>
          </cell>
          <cell r="AO95">
            <v>0</v>
          </cell>
        </row>
        <row r="96">
          <cell r="E96" t="str">
            <v>S.4A</v>
          </cell>
          <cell r="F96">
            <v>1.95</v>
          </cell>
          <cell r="G96">
            <v>1.95</v>
          </cell>
          <cell r="H96">
            <v>0.12</v>
          </cell>
          <cell r="I96">
            <v>1.0951199999999999</v>
          </cell>
          <cell r="J96">
            <v>118.56687968441818</v>
          </cell>
          <cell r="L96">
            <v>4</v>
          </cell>
          <cell r="S96">
            <v>4</v>
          </cell>
          <cell r="T96">
            <v>0.45629999999999993</v>
          </cell>
          <cell r="U96">
            <v>1.8251999999999997</v>
          </cell>
          <cell r="V96">
            <v>50.156467200000009</v>
          </cell>
          <cell r="W96">
            <v>0</v>
          </cell>
          <cell r="X96">
            <v>3.9456000000000007</v>
          </cell>
          <cell r="Y96">
            <v>0</v>
          </cell>
          <cell r="Z96">
            <v>0</v>
          </cell>
          <cell r="AA96">
            <v>0</v>
          </cell>
          <cell r="AB96">
            <v>0</v>
          </cell>
          <cell r="AC96">
            <v>0</v>
          </cell>
          <cell r="AD96">
            <v>0</v>
          </cell>
          <cell r="AE96">
            <v>0</v>
          </cell>
          <cell r="AF96">
            <v>200.62586880000003</v>
          </cell>
          <cell r="AG96">
            <v>0</v>
          </cell>
          <cell r="AH96">
            <v>15.782400000000003</v>
          </cell>
          <cell r="AI96">
            <v>0</v>
          </cell>
          <cell r="AJ96">
            <v>0</v>
          </cell>
          <cell r="AK96">
            <v>0</v>
          </cell>
          <cell r="AL96">
            <v>0</v>
          </cell>
          <cell r="AM96">
            <v>0</v>
          </cell>
          <cell r="AN96">
            <v>0</v>
          </cell>
          <cell r="AO96">
            <v>0</v>
          </cell>
        </row>
        <row r="97">
          <cell r="E97" t="str">
            <v>S.5</v>
          </cell>
          <cell r="F97">
            <v>3.2</v>
          </cell>
          <cell r="G97">
            <v>1.74</v>
          </cell>
          <cell r="H97">
            <v>0.12</v>
          </cell>
          <cell r="I97">
            <v>1.6035840000000001</v>
          </cell>
          <cell r="J97">
            <v>115.90672413793104</v>
          </cell>
          <cell r="M97">
            <v>8</v>
          </cell>
          <cell r="N97">
            <v>8</v>
          </cell>
          <cell r="O97">
            <v>8</v>
          </cell>
          <cell r="P97">
            <v>8</v>
          </cell>
          <cell r="Q97">
            <v>8</v>
          </cell>
          <cell r="S97">
            <v>40</v>
          </cell>
          <cell r="T97">
            <v>0.66816000000000009</v>
          </cell>
          <cell r="U97">
            <v>26.726400000000005</v>
          </cell>
          <cell r="V97">
            <v>73.498636800000014</v>
          </cell>
          <cell r="W97">
            <v>0</v>
          </cell>
          <cell r="X97">
            <v>3.9456000000000002</v>
          </cell>
          <cell r="Y97">
            <v>0</v>
          </cell>
          <cell r="Z97">
            <v>0</v>
          </cell>
          <cell r="AA97">
            <v>0</v>
          </cell>
          <cell r="AB97">
            <v>0</v>
          </cell>
          <cell r="AC97">
            <v>0</v>
          </cell>
          <cell r="AD97">
            <v>0</v>
          </cell>
          <cell r="AE97">
            <v>0</v>
          </cell>
          <cell r="AF97">
            <v>2939.9454720000003</v>
          </cell>
          <cell r="AG97">
            <v>0</v>
          </cell>
          <cell r="AH97">
            <v>157.82400000000001</v>
          </cell>
          <cell r="AI97">
            <v>0</v>
          </cell>
          <cell r="AJ97">
            <v>0</v>
          </cell>
          <cell r="AK97">
            <v>0</v>
          </cell>
          <cell r="AL97">
            <v>0</v>
          </cell>
          <cell r="AM97">
            <v>0</v>
          </cell>
          <cell r="AN97">
            <v>0</v>
          </cell>
          <cell r="AO97">
            <v>0</v>
          </cell>
        </row>
        <row r="98">
          <cell r="E98" t="str">
            <v>S.6</v>
          </cell>
          <cell r="F98">
            <v>3.2</v>
          </cell>
          <cell r="G98">
            <v>1.625</v>
          </cell>
          <cell r="H98">
            <v>0.12</v>
          </cell>
          <cell r="I98">
            <v>1.4976</v>
          </cell>
          <cell r="J98">
            <v>116.313</v>
          </cell>
          <cell r="Q98">
            <v>4</v>
          </cell>
          <cell r="S98">
            <v>4</v>
          </cell>
          <cell r="T98">
            <v>0.624</v>
          </cell>
          <cell r="U98">
            <v>2.496</v>
          </cell>
          <cell r="V98">
            <v>68.633712000000003</v>
          </cell>
          <cell r="W98">
            <v>0</v>
          </cell>
          <cell r="X98">
            <v>3.9456000000000007</v>
          </cell>
          <cell r="Y98">
            <v>0</v>
          </cell>
          <cell r="Z98">
            <v>0</v>
          </cell>
          <cell r="AA98">
            <v>0</v>
          </cell>
          <cell r="AB98">
            <v>0</v>
          </cell>
          <cell r="AC98">
            <v>0</v>
          </cell>
          <cell r="AD98">
            <v>0</v>
          </cell>
          <cell r="AE98">
            <v>0</v>
          </cell>
          <cell r="AF98">
            <v>274.53484800000001</v>
          </cell>
          <cell r="AG98">
            <v>0</v>
          </cell>
          <cell r="AH98">
            <v>15.782400000000003</v>
          </cell>
          <cell r="AI98">
            <v>0</v>
          </cell>
          <cell r="AJ98">
            <v>0</v>
          </cell>
          <cell r="AK98">
            <v>0</v>
          </cell>
          <cell r="AL98">
            <v>0</v>
          </cell>
          <cell r="AM98">
            <v>0</v>
          </cell>
          <cell r="AN98">
            <v>0</v>
          </cell>
          <cell r="AO98">
            <v>0</v>
          </cell>
        </row>
        <row r="99">
          <cell r="E99" t="str">
            <v>S.6A</v>
          </cell>
          <cell r="F99">
            <v>3</v>
          </cell>
          <cell r="G99">
            <v>1.625</v>
          </cell>
          <cell r="H99">
            <v>0.12</v>
          </cell>
          <cell r="I99">
            <v>1.4039999999999999</v>
          </cell>
          <cell r="J99">
            <v>115.58247384615386</v>
          </cell>
          <cell r="Q99">
            <v>2</v>
          </cell>
          <cell r="S99">
            <v>2</v>
          </cell>
          <cell r="T99">
            <v>0.58499999999999996</v>
          </cell>
          <cell r="U99">
            <v>1.17</v>
          </cell>
          <cell r="V99">
            <v>63.670147200000002</v>
          </cell>
          <cell r="W99">
            <v>0</v>
          </cell>
          <cell r="X99">
            <v>3.9456000000000007</v>
          </cell>
          <cell r="Y99">
            <v>0</v>
          </cell>
          <cell r="Z99">
            <v>0</v>
          </cell>
          <cell r="AA99">
            <v>0</v>
          </cell>
          <cell r="AB99">
            <v>0</v>
          </cell>
          <cell r="AC99">
            <v>0</v>
          </cell>
          <cell r="AD99">
            <v>0</v>
          </cell>
          <cell r="AE99">
            <v>0</v>
          </cell>
          <cell r="AF99">
            <v>127.3402944</v>
          </cell>
          <cell r="AG99">
            <v>0</v>
          </cell>
          <cell r="AH99">
            <v>7.8912000000000013</v>
          </cell>
          <cell r="AI99">
            <v>0</v>
          </cell>
          <cell r="AJ99">
            <v>0</v>
          </cell>
          <cell r="AK99">
            <v>0</v>
          </cell>
          <cell r="AL99">
            <v>0</v>
          </cell>
          <cell r="AM99">
            <v>0</v>
          </cell>
          <cell r="AN99">
            <v>0</v>
          </cell>
          <cell r="AO99">
            <v>0</v>
          </cell>
        </row>
        <row r="100">
          <cell r="E100" t="str">
            <v>S.6A'</v>
          </cell>
          <cell r="F100">
            <v>3</v>
          </cell>
          <cell r="G100">
            <v>1.625</v>
          </cell>
          <cell r="H100">
            <v>0.12</v>
          </cell>
          <cell r="I100">
            <v>1.4039999999999999</v>
          </cell>
          <cell r="J100">
            <v>115.58247384615386</v>
          </cell>
          <cell r="Q100">
            <v>2</v>
          </cell>
          <cell r="S100">
            <v>2</v>
          </cell>
          <cell r="T100">
            <v>0.58499999999999996</v>
          </cell>
          <cell r="U100">
            <v>1.17</v>
          </cell>
          <cell r="V100">
            <v>63.670147200000002</v>
          </cell>
          <cell r="W100">
            <v>0</v>
          </cell>
          <cell r="X100">
            <v>3.9456000000000007</v>
          </cell>
          <cell r="Y100">
            <v>0</v>
          </cell>
          <cell r="Z100">
            <v>0</v>
          </cell>
          <cell r="AA100">
            <v>0</v>
          </cell>
          <cell r="AB100">
            <v>0</v>
          </cell>
          <cell r="AC100">
            <v>0</v>
          </cell>
          <cell r="AD100">
            <v>0</v>
          </cell>
          <cell r="AE100">
            <v>0</v>
          </cell>
          <cell r="AF100">
            <v>127.3402944</v>
          </cell>
          <cell r="AG100">
            <v>0</v>
          </cell>
          <cell r="AH100">
            <v>7.8912000000000013</v>
          </cell>
          <cell r="AI100">
            <v>0</v>
          </cell>
          <cell r="AJ100">
            <v>0</v>
          </cell>
          <cell r="AK100">
            <v>0</v>
          </cell>
          <cell r="AL100">
            <v>0</v>
          </cell>
          <cell r="AM100">
            <v>0</v>
          </cell>
          <cell r="AN100">
            <v>0</v>
          </cell>
          <cell r="AO100">
            <v>0</v>
          </cell>
        </row>
        <row r="101">
          <cell r="E101" t="str">
            <v>S.7</v>
          </cell>
          <cell r="F101">
            <v>3.25</v>
          </cell>
          <cell r="G101">
            <v>0.85</v>
          </cell>
          <cell r="H101">
            <v>0.12</v>
          </cell>
          <cell r="I101">
            <v>0.79559999999999986</v>
          </cell>
          <cell r="J101">
            <v>135.44774660633485</v>
          </cell>
          <cell r="M101">
            <v>2</v>
          </cell>
          <cell r="N101">
            <v>2</v>
          </cell>
          <cell r="O101">
            <v>2</v>
          </cell>
          <cell r="P101">
            <v>2</v>
          </cell>
          <cell r="S101">
            <v>8</v>
          </cell>
          <cell r="T101">
            <v>0.33149999999999996</v>
          </cell>
          <cell r="U101">
            <v>2.6519999999999997</v>
          </cell>
          <cell r="V101">
            <v>40.955328000000002</v>
          </cell>
          <cell r="W101">
            <v>0</v>
          </cell>
          <cell r="X101">
            <v>3.9456000000000007</v>
          </cell>
          <cell r="Y101">
            <v>0</v>
          </cell>
          <cell r="Z101">
            <v>0</v>
          </cell>
          <cell r="AA101">
            <v>0</v>
          </cell>
          <cell r="AB101">
            <v>0</v>
          </cell>
          <cell r="AC101">
            <v>0</v>
          </cell>
          <cell r="AD101">
            <v>0</v>
          </cell>
          <cell r="AE101">
            <v>0</v>
          </cell>
          <cell r="AF101">
            <v>327.64262400000001</v>
          </cell>
          <cell r="AG101">
            <v>0</v>
          </cell>
          <cell r="AH101">
            <v>31.564800000000005</v>
          </cell>
          <cell r="AI101">
            <v>0</v>
          </cell>
          <cell r="AJ101">
            <v>0</v>
          </cell>
          <cell r="AK101">
            <v>0</v>
          </cell>
          <cell r="AL101">
            <v>0</v>
          </cell>
          <cell r="AM101">
            <v>0</v>
          </cell>
          <cell r="AN101">
            <v>0</v>
          </cell>
          <cell r="AO101">
            <v>0</v>
          </cell>
        </row>
        <row r="102">
          <cell r="E102" t="str">
            <v>S.8</v>
          </cell>
          <cell r="F102">
            <v>3.2</v>
          </cell>
          <cell r="G102">
            <v>1.675</v>
          </cell>
          <cell r="H102">
            <v>0.12</v>
          </cell>
          <cell r="I102">
            <v>1.5436799999999999</v>
          </cell>
          <cell r="J102">
            <v>118.5704328358209</v>
          </cell>
          <cell r="Q102">
            <v>26</v>
          </cell>
          <cell r="S102">
            <v>26</v>
          </cell>
          <cell r="T102">
            <v>0.64319999999999999</v>
          </cell>
          <cell r="U102">
            <v>16.723199999999999</v>
          </cell>
          <cell r="V102">
            <v>72.318902399999999</v>
          </cell>
          <cell r="W102">
            <v>0</v>
          </cell>
          <cell r="X102">
            <v>3.9456000000000007</v>
          </cell>
          <cell r="Y102">
            <v>0</v>
          </cell>
          <cell r="Z102">
            <v>0</v>
          </cell>
          <cell r="AA102">
            <v>0</v>
          </cell>
          <cell r="AB102">
            <v>0</v>
          </cell>
          <cell r="AC102">
            <v>0</v>
          </cell>
          <cell r="AD102">
            <v>0</v>
          </cell>
          <cell r="AE102">
            <v>0</v>
          </cell>
          <cell r="AF102">
            <v>1880.2914624</v>
          </cell>
          <cell r="AG102">
            <v>0</v>
          </cell>
          <cell r="AH102">
            <v>102.58560000000001</v>
          </cell>
          <cell r="AI102">
            <v>0</v>
          </cell>
          <cell r="AJ102">
            <v>0</v>
          </cell>
          <cell r="AK102">
            <v>0</v>
          </cell>
          <cell r="AL102">
            <v>0</v>
          </cell>
          <cell r="AM102">
            <v>0</v>
          </cell>
          <cell r="AN102">
            <v>0</v>
          </cell>
          <cell r="AO102">
            <v>0</v>
          </cell>
        </row>
        <row r="103">
          <cell r="E103" t="str">
            <v>S.9</v>
          </cell>
          <cell r="F103">
            <v>3.7450000000000001</v>
          </cell>
          <cell r="G103">
            <v>1.35</v>
          </cell>
          <cell r="H103">
            <v>0.12</v>
          </cell>
          <cell r="I103">
            <v>1.456056</v>
          </cell>
          <cell r="J103">
            <v>115.85310191366266</v>
          </cell>
          <cell r="R103">
            <v>2</v>
          </cell>
          <cell r="S103">
            <v>2</v>
          </cell>
          <cell r="T103">
            <v>0.60669000000000006</v>
          </cell>
          <cell r="U103">
            <v>1.2133800000000001</v>
          </cell>
          <cell r="V103">
            <v>66.341318400000006</v>
          </cell>
          <cell r="W103">
            <v>0</v>
          </cell>
          <cell r="X103">
            <v>3.9456000000000007</v>
          </cell>
          <cell r="Y103">
            <v>0</v>
          </cell>
          <cell r="Z103">
            <v>0</v>
          </cell>
          <cell r="AA103">
            <v>0</v>
          </cell>
          <cell r="AB103">
            <v>0</v>
          </cell>
          <cell r="AC103">
            <v>0</v>
          </cell>
          <cell r="AD103">
            <v>0</v>
          </cell>
          <cell r="AE103">
            <v>0</v>
          </cell>
          <cell r="AF103">
            <v>132.68263680000001</v>
          </cell>
          <cell r="AG103">
            <v>0</v>
          </cell>
          <cell r="AH103">
            <v>7.8912000000000013</v>
          </cell>
          <cell r="AI103">
            <v>0</v>
          </cell>
          <cell r="AJ103">
            <v>0</v>
          </cell>
          <cell r="AK103">
            <v>0</v>
          </cell>
          <cell r="AL103">
            <v>0</v>
          </cell>
          <cell r="AM103">
            <v>0</v>
          </cell>
          <cell r="AN103">
            <v>0</v>
          </cell>
          <cell r="AO103">
            <v>0</v>
          </cell>
        </row>
        <row r="104">
          <cell r="E104" t="str">
            <v>S.10</v>
          </cell>
          <cell r="F104">
            <v>3.7450000000000001</v>
          </cell>
          <cell r="G104">
            <v>1.0249999999999999</v>
          </cell>
          <cell r="H104">
            <v>0.12</v>
          </cell>
          <cell r="I104">
            <v>1.105524</v>
          </cell>
          <cell r="J104">
            <v>124.18359178091114</v>
          </cell>
          <cell r="R104">
            <v>2</v>
          </cell>
          <cell r="S104">
            <v>2</v>
          </cell>
          <cell r="T104">
            <v>0.46063499999999996</v>
          </cell>
          <cell r="U104">
            <v>0.92126999999999992</v>
          </cell>
          <cell r="V104">
            <v>53.257708800000003</v>
          </cell>
          <cell r="W104">
            <v>0</v>
          </cell>
          <cell r="X104">
            <v>3.9456000000000007</v>
          </cell>
          <cell r="Y104">
            <v>0</v>
          </cell>
          <cell r="Z104">
            <v>0</v>
          </cell>
          <cell r="AA104">
            <v>0</v>
          </cell>
          <cell r="AB104">
            <v>0</v>
          </cell>
          <cell r="AC104">
            <v>0</v>
          </cell>
          <cell r="AD104">
            <v>0</v>
          </cell>
          <cell r="AE104">
            <v>0</v>
          </cell>
          <cell r="AF104">
            <v>106.51541760000001</v>
          </cell>
          <cell r="AG104">
            <v>0</v>
          </cell>
          <cell r="AH104">
            <v>7.8912000000000013</v>
          </cell>
          <cell r="AI104">
            <v>0</v>
          </cell>
          <cell r="AJ104">
            <v>0</v>
          </cell>
          <cell r="AK104">
            <v>0</v>
          </cell>
          <cell r="AL104">
            <v>0</v>
          </cell>
          <cell r="AM104">
            <v>0</v>
          </cell>
          <cell r="AN104">
            <v>0</v>
          </cell>
          <cell r="AO104">
            <v>0</v>
          </cell>
        </row>
        <row r="105">
          <cell r="E105" t="str">
            <v>S.10A</v>
          </cell>
          <cell r="F105">
            <v>3.7450000000000001</v>
          </cell>
          <cell r="G105">
            <v>1.0249999999999999</v>
          </cell>
          <cell r="H105">
            <v>0.12</v>
          </cell>
          <cell r="I105">
            <v>1.105524</v>
          </cell>
          <cell r="J105">
            <v>124.18359178091114</v>
          </cell>
          <cell r="R105">
            <v>2</v>
          </cell>
          <cell r="S105">
            <v>2</v>
          </cell>
          <cell r="T105">
            <v>0.46063499999999996</v>
          </cell>
          <cell r="U105">
            <v>0.92126999999999992</v>
          </cell>
          <cell r="V105">
            <v>53.257708800000003</v>
          </cell>
          <cell r="W105">
            <v>0</v>
          </cell>
          <cell r="X105">
            <v>3.9456000000000007</v>
          </cell>
          <cell r="Y105">
            <v>0</v>
          </cell>
          <cell r="Z105">
            <v>0</v>
          </cell>
          <cell r="AA105">
            <v>0</v>
          </cell>
          <cell r="AB105">
            <v>0</v>
          </cell>
          <cell r="AC105">
            <v>0</v>
          </cell>
          <cell r="AD105">
            <v>0</v>
          </cell>
          <cell r="AE105">
            <v>0</v>
          </cell>
          <cell r="AF105">
            <v>106.51541760000001</v>
          </cell>
          <cell r="AG105">
            <v>0</v>
          </cell>
          <cell r="AH105">
            <v>7.8912000000000013</v>
          </cell>
          <cell r="AI105">
            <v>0</v>
          </cell>
          <cell r="AJ105">
            <v>0</v>
          </cell>
          <cell r="AK105">
            <v>0</v>
          </cell>
          <cell r="AL105">
            <v>0</v>
          </cell>
          <cell r="AM105">
            <v>0</v>
          </cell>
          <cell r="AN105">
            <v>0</v>
          </cell>
          <cell r="AO105">
            <v>0</v>
          </cell>
        </row>
        <row r="106">
          <cell r="E106" t="str">
            <v>S.10B</v>
          </cell>
          <cell r="F106">
            <v>4.7450000000000001</v>
          </cell>
          <cell r="G106">
            <v>1.53</v>
          </cell>
          <cell r="H106">
            <v>0.12</v>
          </cell>
          <cell r="I106">
            <v>2.0908367999999999</v>
          </cell>
          <cell r="J106">
            <v>114.88310089051424</v>
          </cell>
          <cell r="R106">
            <v>2</v>
          </cell>
          <cell r="S106">
            <v>2</v>
          </cell>
          <cell r="T106">
            <v>0.87118200000000001</v>
          </cell>
          <cell r="U106">
            <v>1.742364</v>
          </cell>
          <cell r="V106">
            <v>96.138489599999986</v>
          </cell>
          <cell r="W106">
            <v>0</v>
          </cell>
          <cell r="X106">
            <v>3.9456000000000007</v>
          </cell>
          <cell r="Y106">
            <v>0</v>
          </cell>
          <cell r="Z106">
            <v>0</v>
          </cell>
          <cell r="AA106">
            <v>0</v>
          </cell>
          <cell r="AB106">
            <v>0</v>
          </cell>
          <cell r="AC106">
            <v>0</v>
          </cell>
          <cell r="AD106">
            <v>0</v>
          </cell>
          <cell r="AE106">
            <v>0</v>
          </cell>
          <cell r="AF106">
            <v>192.27697919999997</v>
          </cell>
          <cell r="AG106">
            <v>0</v>
          </cell>
          <cell r="AH106">
            <v>7.8912000000000013</v>
          </cell>
          <cell r="AI106">
            <v>0</v>
          </cell>
          <cell r="AJ106">
            <v>0</v>
          </cell>
          <cell r="AK106">
            <v>0</v>
          </cell>
          <cell r="AL106">
            <v>0</v>
          </cell>
          <cell r="AM106">
            <v>0</v>
          </cell>
          <cell r="AN106">
            <v>0</v>
          </cell>
          <cell r="AO106">
            <v>0</v>
          </cell>
        </row>
        <row r="107">
          <cell r="L107">
            <v>192</v>
          </cell>
          <cell r="M107">
            <v>162</v>
          </cell>
          <cell r="N107">
            <v>162</v>
          </cell>
          <cell r="O107">
            <v>162</v>
          </cell>
          <cell r="P107">
            <v>162</v>
          </cell>
          <cell r="Q107">
            <v>82</v>
          </cell>
          <cell r="R107">
            <v>8</v>
          </cell>
          <cell r="S107">
            <v>930</v>
          </cell>
          <cell r="U107">
            <v>544.66508400000009</v>
          </cell>
          <cell r="AF107">
            <v>60511.836441599989</v>
          </cell>
          <cell r="AG107">
            <v>0</v>
          </cell>
          <cell r="AH107">
            <v>3669.4080000000017</v>
          </cell>
          <cell r="AI107">
            <v>0</v>
          </cell>
          <cell r="AJ107">
            <v>0</v>
          </cell>
          <cell r="AK107">
            <v>0</v>
          </cell>
          <cell r="AL107">
            <v>0</v>
          </cell>
          <cell r="AM107">
            <v>0</v>
          </cell>
          <cell r="AN107">
            <v>0</v>
          </cell>
          <cell r="AO107">
            <v>0</v>
          </cell>
        </row>
        <row r="109">
          <cell r="E109" t="str">
            <v>TS.1</v>
          </cell>
          <cell r="F109">
            <v>5.3</v>
          </cell>
          <cell r="G109">
            <v>0.2</v>
          </cell>
          <cell r="H109">
            <v>0.35</v>
          </cell>
          <cell r="I109">
            <v>0.72000000000000008</v>
          </cell>
          <cell r="J109">
            <v>291.77383199999997</v>
          </cell>
          <cell r="L109">
            <v>4</v>
          </cell>
          <cell r="S109">
            <v>4</v>
          </cell>
          <cell r="T109">
            <v>0.30000000000000004</v>
          </cell>
          <cell r="U109">
            <v>1.2000000000000002</v>
          </cell>
          <cell r="V109">
            <v>0</v>
          </cell>
          <cell r="W109">
            <v>0</v>
          </cell>
          <cell r="X109">
            <v>36.570780000000006</v>
          </cell>
          <cell r="Y109">
            <v>0</v>
          </cell>
          <cell r="Z109">
            <v>0</v>
          </cell>
          <cell r="AA109">
            <v>50.961369599999998</v>
          </cell>
          <cell r="AB109">
            <v>0</v>
          </cell>
          <cell r="AC109">
            <v>0</v>
          </cell>
          <cell r="AD109">
            <v>0</v>
          </cell>
          <cell r="AE109">
            <v>0</v>
          </cell>
          <cell r="AF109">
            <v>0</v>
          </cell>
          <cell r="AG109">
            <v>0</v>
          </cell>
          <cell r="AH109">
            <v>146.28312000000003</v>
          </cell>
          <cell r="AI109">
            <v>0</v>
          </cell>
          <cell r="AJ109">
            <v>0</v>
          </cell>
          <cell r="AK109">
            <v>203.84547839999999</v>
          </cell>
          <cell r="AL109">
            <v>0</v>
          </cell>
          <cell r="AM109">
            <v>0</v>
          </cell>
          <cell r="AN109">
            <v>0</v>
          </cell>
          <cell r="AO109">
            <v>0</v>
          </cell>
        </row>
        <row r="110">
          <cell r="E110" t="str">
            <v>TS.2</v>
          </cell>
          <cell r="F110">
            <v>4.2300000000000004</v>
          </cell>
          <cell r="G110">
            <v>0.2</v>
          </cell>
          <cell r="H110">
            <v>0.35</v>
          </cell>
          <cell r="I110">
            <v>0.65760000000000007</v>
          </cell>
          <cell r="J110">
            <v>265.63905000000005</v>
          </cell>
          <cell r="L110">
            <v>2</v>
          </cell>
          <cell r="M110">
            <v>4</v>
          </cell>
          <cell r="N110">
            <v>4</v>
          </cell>
          <cell r="O110">
            <v>4</v>
          </cell>
          <cell r="P110">
            <v>2</v>
          </cell>
          <cell r="S110">
            <v>16</v>
          </cell>
          <cell r="T110">
            <v>0.27400000000000002</v>
          </cell>
          <cell r="U110">
            <v>4.3840000000000003</v>
          </cell>
          <cell r="V110">
            <v>0</v>
          </cell>
          <cell r="W110">
            <v>0</v>
          </cell>
          <cell r="X110">
            <v>31.111672500000005</v>
          </cell>
          <cell r="Y110">
            <v>0</v>
          </cell>
          <cell r="Z110">
            <v>0</v>
          </cell>
          <cell r="AA110">
            <v>41.673427200000006</v>
          </cell>
          <cell r="AB110">
            <v>0</v>
          </cell>
          <cell r="AC110">
            <v>0</v>
          </cell>
          <cell r="AD110">
            <v>0</v>
          </cell>
          <cell r="AE110">
            <v>0</v>
          </cell>
          <cell r="AF110">
            <v>0</v>
          </cell>
          <cell r="AG110">
            <v>0</v>
          </cell>
          <cell r="AH110">
            <v>497.78676000000007</v>
          </cell>
          <cell r="AI110">
            <v>0</v>
          </cell>
          <cell r="AJ110">
            <v>0</v>
          </cell>
          <cell r="AK110">
            <v>666.7748352000001</v>
          </cell>
          <cell r="AL110">
            <v>0</v>
          </cell>
          <cell r="AM110">
            <v>0</v>
          </cell>
          <cell r="AN110">
            <v>0</v>
          </cell>
          <cell r="AO110">
            <v>0</v>
          </cell>
        </row>
        <row r="111">
          <cell r="E111" t="str">
            <v>TS.3</v>
          </cell>
          <cell r="F111">
            <v>4.2300000000000004</v>
          </cell>
          <cell r="G111">
            <v>0.2</v>
          </cell>
          <cell r="H111">
            <v>0.35</v>
          </cell>
          <cell r="I111">
            <v>0.65760000000000007</v>
          </cell>
          <cell r="J111">
            <v>265.63905</v>
          </cell>
          <cell r="M111">
            <v>2</v>
          </cell>
          <cell r="N111">
            <v>4</v>
          </cell>
          <cell r="O111">
            <v>4</v>
          </cell>
          <cell r="P111">
            <v>2</v>
          </cell>
          <cell r="S111">
            <v>12</v>
          </cell>
          <cell r="T111">
            <v>0.27400000000000002</v>
          </cell>
          <cell r="U111">
            <v>3.2880000000000003</v>
          </cell>
          <cell r="V111">
            <v>0</v>
          </cell>
          <cell r="W111">
            <v>0</v>
          </cell>
          <cell r="X111">
            <v>31.111672500000001</v>
          </cell>
          <cell r="Y111">
            <v>0</v>
          </cell>
          <cell r="Z111">
            <v>0</v>
          </cell>
          <cell r="AA111">
            <v>41.673427199999999</v>
          </cell>
          <cell r="AB111">
            <v>0</v>
          </cell>
          <cell r="AC111">
            <v>0</v>
          </cell>
          <cell r="AD111">
            <v>0</v>
          </cell>
          <cell r="AE111">
            <v>0</v>
          </cell>
          <cell r="AF111">
            <v>0</v>
          </cell>
          <cell r="AG111">
            <v>0</v>
          </cell>
          <cell r="AH111">
            <v>373.34007000000003</v>
          </cell>
          <cell r="AI111">
            <v>0</v>
          </cell>
          <cell r="AJ111">
            <v>0</v>
          </cell>
          <cell r="AK111">
            <v>500.08112640000002</v>
          </cell>
          <cell r="AL111">
            <v>0</v>
          </cell>
          <cell r="AM111">
            <v>0</v>
          </cell>
          <cell r="AN111">
            <v>0</v>
          </cell>
          <cell r="AO111">
            <v>0</v>
          </cell>
        </row>
        <row r="112">
          <cell r="E112" t="str">
            <v>TU.1</v>
          </cell>
          <cell r="F112">
            <v>4.05</v>
          </cell>
          <cell r="G112">
            <v>0.2</v>
          </cell>
          <cell r="H112">
            <v>0.35</v>
          </cell>
          <cell r="I112">
            <v>0.52800000000000002</v>
          </cell>
          <cell r="J112">
            <v>316.6495322727273</v>
          </cell>
          <cell r="L112">
            <v>2</v>
          </cell>
          <cell r="S112">
            <v>2</v>
          </cell>
          <cell r="T112">
            <v>0.22000000000000003</v>
          </cell>
          <cell r="U112">
            <v>0.44000000000000006</v>
          </cell>
          <cell r="V112">
            <v>0</v>
          </cell>
          <cell r="W112">
            <v>0</v>
          </cell>
          <cell r="X112">
            <v>29.551927500000005</v>
          </cell>
          <cell r="Y112">
            <v>0</v>
          </cell>
          <cell r="Z112">
            <v>0</v>
          </cell>
          <cell r="AA112">
            <v>40.110969599999997</v>
          </cell>
          <cell r="AB112">
            <v>0</v>
          </cell>
          <cell r="AC112">
            <v>0</v>
          </cell>
          <cell r="AD112">
            <v>0</v>
          </cell>
          <cell r="AE112">
            <v>0</v>
          </cell>
          <cell r="AF112">
            <v>0</v>
          </cell>
          <cell r="AG112">
            <v>0</v>
          </cell>
          <cell r="AH112">
            <v>59.10385500000001</v>
          </cell>
          <cell r="AI112">
            <v>0</v>
          </cell>
          <cell r="AJ112">
            <v>0</v>
          </cell>
          <cell r="AK112">
            <v>80.221939199999994</v>
          </cell>
          <cell r="AL112">
            <v>0</v>
          </cell>
          <cell r="AM112">
            <v>0</v>
          </cell>
          <cell r="AN112">
            <v>0</v>
          </cell>
          <cell r="AO112">
            <v>0</v>
          </cell>
        </row>
        <row r="113">
          <cell r="E113" t="str">
            <v>TU.2</v>
          </cell>
          <cell r="F113">
            <v>3.52</v>
          </cell>
          <cell r="G113">
            <v>0.2</v>
          </cell>
          <cell r="H113">
            <v>0.35</v>
          </cell>
          <cell r="I113">
            <v>0.53760000000000008</v>
          </cell>
          <cell r="J113">
            <v>280.01209821428569</v>
          </cell>
          <cell r="L113">
            <v>2</v>
          </cell>
          <cell r="M113">
            <v>2</v>
          </cell>
          <cell r="N113">
            <v>2</v>
          </cell>
          <cell r="O113">
            <v>2</v>
          </cell>
          <cell r="P113">
            <v>2</v>
          </cell>
          <cell r="S113">
            <v>10</v>
          </cell>
          <cell r="T113">
            <v>0.22400000000000003</v>
          </cell>
          <cell r="U113">
            <v>2.2400000000000002</v>
          </cell>
          <cell r="V113">
            <v>0</v>
          </cell>
          <cell r="W113">
            <v>0</v>
          </cell>
          <cell r="X113">
            <v>27.212310000000002</v>
          </cell>
          <cell r="Y113">
            <v>0</v>
          </cell>
          <cell r="Z113">
            <v>0</v>
          </cell>
          <cell r="AA113">
            <v>35.510400000000004</v>
          </cell>
          <cell r="AB113">
            <v>0</v>
          </cell>
          <cell r="AC113">
            <v>0</v>
          </cell>
          <cell r="AD113">
            <v>0</v>
          </cell>
          <cell r="AE113">
            <v>0</v>
          </cell>
          <cell r="AF113">
            <v>0</v>
          </cell>
          <cell r="AG113">
            <v>0</v>
          </cell>
          <cell r="AH113">
            <v>272.12310000000002</v>
          </cell>
          <cell r="AI113">
            <v>0</v>
          </cell>
          <cell r="AJ113">
            <v>0</v>
          </cell>
          <cell r="AK113">
            <v>355.10400000000004</v>
          </cell>
          <cell r="AL113">
            <v>0</v>
          </cell>
          <cell r="AM113">
            <v>0</v>
          </cell>
          <cell r="AN113">
            <v>0</v>
          </cell>
          <cell r="AO113">
            <v>0</v>
          </cell>
        </row>
        <row r="114">
          <cell r="E114" t="str">
            <v>TU.3</v>
          </cell>
          <cell r="F114">
            <v>3.52</v>
          </cell>
          <cell r="G114">
            <v>0.2</v>
          </cell>
          <cell r="H114">
            <v>0.35</v>
          </cell>
          <cell r="I114">
            <v>0.53760000000000008</v>
          </cell>
          <cell r="J114">
            <v>280.01209821428569</v>
          </cell>
          <cell r="M114">
            <v>2</v>
          </cell>
          <cell r="N114">
            <v>2</v>
          </cell>
          <cell r="O114">
            <v>2</v>
          </cell>
          <cell r="P114">
            <v>2</v>
          </cell>
          <cell r="S114">
            <v>8</v>
          </cell>
          <cell r="T114">
            <v>0.22400000000000003</v>
          </cell>
          <cell r="U114">
            <v>1.7920000000000003</v>
          </cell>
          <cell r="V114">
            <v>0</v>
          </cell>
          <cell r="W114">
            <v>0</v>
          </cell>
          <cell r="X114">
            <v>27.212310000000002</v>
          </cell>
          <cell r="Y114">
            <v>0</v>
          </cell>
          <cell r="Z114">
            <v>0</v>
          </cell>
          <cell r="AA114">
            <v>35.510399999999997</v>
          </cell>
          <cell r="AB114">
            <v>0</v>
          </cell>
          <cell r="AC114">
            <v>0</v>
          </cell>
          <cell r="AD114">
            <v>0</v>
          </cell>
          <cell r="AE114">
            <v>0</v>
          </cell>
          <cell r="AF114">
            <v>0</v>
          </cell>
          <cell r="AG114">
            <v>0</v>
          </cell>
          <cell r="AH114">
            <v>217.69848000000002</v>
          </cell>
          <cell r="AI114">
            <v>0</v>
          </cell>
          <cell r="AJ114">
            <v>0</v>
          </cell>
          <cell r="AK114">
            <v>284.08319999999998</v>
          </cell>
          <cell r="AL114">
            <v>0</v>
          </cell>
          <cell r="AM114">
            <v>0</v>
          </cell>
          <cell r="AN114">
            <v>0</v>
          </cell>
          <cell r="AO114">
            <v>0</v>
          </cell>
        </row>
        <row r="115">
          <cell r="E115" t="str">
            <v>S.TS.B</v>
          </cell>
          <cell r="F115">
            <v>3</v>
          </cell>
          <cell r="G115">
            <v>1</v>
          </cell>
          <cell r="H115">
            <v>0.12</v>
          </cell>
          <cell r="I115">
            <v>0.22799999999999998</v>
          </cell>
          <cell r="J115">
            <v>384.17684210526323</v>
          </cell>
          <cell r="L115">
            <v>2</v>
          </cell>
          <cell r="M115">
            <v>2</v>
          </cell>
          <cell r="N115">
            <v>2</v>
          </cell>
          <cell r="O115">
            <v>2</v>
          </cell>
          <cell r="S115">
            <v>8</v>
          </cell>
          <cell r="T115">
            <v>9.5000000000000001E-2</v>
          </cell>
          <cell r="U115">
            <v>0.76</v>
          </cell>
          <cell r="V115">
            <v>35.510400000000004</v>
          </cell>
          <cell r="W115">
            <v>0</v>
          </cell>
          <cell r="X115">
            <v>0.98640000000000017</v>
          </cell>
          <cell r="Y115">
            <v>0</v>
          </cell>
          <cell r="Z115">
            <v>0</v>
          </cell>
          <cell r="AA115">
            <v>0</v>
          </cell>
          <cell r="AB115">
            <v>0</v>
          </cell>
          <cell r="AC115">
            <v>0</v>
          </cell>
          <cell r="AD115">
            <v>0</v>
          </cell>
          <cell r="AE115">
            <v>0</v>
          </cell>
          <cell r="AF115">
            <v>284.08320000000003</v>
          </cell>
          <cell r="AG115">
            <v>0</v>
          </cell>
          <cell r="AH115">
            <v>7.8912000000000013</v>
          </cell>
          <cell r="AI115">
            <v>0</v>
          </cell>
          <cell r="AJ115">
            <v>0</v>
          </cell>
          <cell r="AK115">
            <v>0</v>
          </cell>
          <cell r="AL115">
            <v>0</v>
          </cell>
          <cell r="AM115">
            <v>0</v>
          </cell>
          <cell r="AN115">
            <v>0</v>
          </cell>
          <cell r="AO115">
            <v>0</v>
          </cell>
        </row>
        <row r="116">
          <cell r="E116" t="str">
            <v>S.TS.1A</v>
          </cell>
          <cell r="F116">
            <v>1.5</v>
          </cell>
          <cell r="G116">
            <v>0.65</v>
          </cell>
          <cell r="H116">
            <v>0.12</v>
          </cell>
          <cell r="I116">
            <v>0.10452000000000002</v>
          </cell>
          <cell r="J116">
            <v>315.28560275545345</v>
          </cell>
          <cell r="L116">
            <v>2</v>
          </cell>
          <cell r="S116">
            <v>2</v>
          </cell>
          <cell r="T116">
            <v>4.3550000000000005E-2</v>
          </cell>
          <cell r="U116">
            <v>8.7100000000000011E-2</v>
          </cell>
          <cell r="V116">
            <v>12.744288000000001</v>
          </cell>
          <cell r="W116">
            <v>0</v>
          </cell>
          <cell r="X116">
            <v>0.98640000000000017</v>
          </cell>
          <cell r="Y116">
            <v>0</v>
          </cell>
          <cell r="Z116">
            <v>0</v>
          </cell>
          <cell r="AA116">
            <v>0</v>
          </cell>
          <cell r="AB116">
            <v>0</v>
          </cell>
          <cell r="AC116">
            <v>0</v>
          </cell>
          <cell r="AD116">
            <v>0</v>
          </cell>
          <cell r="AE116">
            <v>0</v>
          </cell>
          <cell r="AF116">
            <v>25.488576000000002</v>
          </cell>
          <cell r="AG116">
            <v>0</v>
          </cell>
          <cell r="AH116">
            <v>1.9728000000000003</v>
          </cell>
          <cell r="AI116">
            <v>0</v>
          </cell>
          <cell r="AJ116">
            <v>0</v>
          </cell>
          <cell r="AK116">
            <v>0</v>
          </cell>
          <cell r="AL116">
            <v>0</v>
          </cell>
          <cell r="AM116">
            <v>0</v>
          </cell>
          <cell r="AN116">
            <v>0</v>
          </cell>
          <cell r="AO116">
            <v>0</v>
          </cell>
        </row>
        <row r="117">
          <cell r="E117" t="str">
            <v>S.TS.1B</v>
          </cell>
          <cell r="F117">
            <v>1.5</v>
          </cell>
          <cell r="G117">
            <v>0.38</v>
          </cell>
          <cell r="H117">
            <v>0.12</v>
          </cell>
          <cell r="I117">
            <v>0.18000000000000002</v>
          </cell>
          <cell r="J117">
            <v>120.26188799999998</v>
          </cell>
          <cell r="L117">
            <v>22</v>
          </cell>
          <cell r="S117">
            <v>22</v>
          </cell>
          <cell r="T117">
            <v>7.5000000000000011E-2</v>
          </cell>
          <cell r="U117">
            <v>1.6500000000000004</v>
          </cell>
          <cell r="V117">
            <v>8.0332416000000002</v>
          </cell>
          <cell r="W117">
            <v>0</v>
          </cell>
          <cell r="X117">
            <v>0.98640000000000017</v>
          </cell>
          <cell r="Y117">
            <v>0</v>
          </cell>
          <cell r="Z117">
            <v>0</v>
          </cell>
          <cell r="AA117">
            <v>0</v>
          </cell>
          <cell r="AB117">
            <v>0</v>
          </cell>
          <cell r="AC117">
            <v>0</v>
          </cell>
          <cell r="AD117">
            <v>0</v>
          </cell>
          <cell r="AE117">
            <v>0</v>
          </cell>
          <cell r="AF117">
            <v>176.73131520000001</v>
          </cell>
          <cell r="AG117">
            <v>0</v>
          </cell>
          <cell r="AH117">
            <v>21.700800000000005</v>
          </cell>
          <cell r="AI117">
            <v>0</v>
          </cell>
          <cell r="AJ117">
            <v>0</v>
          </cell>
          <cell r="AK117">
            <v>0</v>
          </cell>
          <cell r="AL117">
            <v>0</v>
          </cell>
          <cell r="AM117">
            <v>0</v>
          </cell>
          <cell r="AN117">
            <v>0</v>
          </cell>
          <cell r="AO117">
            <v>0</v>
          </cell>
        </row>
        <row r="118">
          <cell r="E118" t="str">
            <v>S.TS.2A</v>
          </cell>
          <cell r="F118">
            <v>1.5</v>
          </cell>
          <cell r="G118">
            <v>1.105</v>
          </cell>
          <cell r="H118">
            <v>0.12</v>
          </cell>
          <cell r="I118">
            <v>0.432</v>
          </cell>
          <cell r="J118">
            <v>117.95152000000002</v>
          </cell>
          <cell r="M118">
            <v>2</v>
          </cell>
          <cell r="N118">
            <v>2</v>
          </cell>
          <cell r="O118">
            <v>2</v>
          </cell>
          <cell r="P118">
            <v>2</v>
          </cell>
          <cell r="S118">
            <v>8</v>
          </cell>
          <cell r="T118">
            <v>0.18</v>
          </cell>
          <cell r="U118">
            <v>1.44</v>
          </cell>
          <cell r="V118">
            <v>20.244873600000002</v>
          </cell>
          <cell r="W118">
            <v>0</v>
          </cell>
          <cell r="X118">
            <v>0.98640000000000017</v>
          </cell>
          <cell r="Y118">
            <v>0</v>
          </cell>
          <cell r="Z118">
            <v>0</v>
          </cell>
          <cell r="AA118">
            <v>0</v>
          </cell>
          <cell r="AB118">
            <v>0</v>
          </cell>
          <cell r="AC118">
            <v>0</v>
          </cell>
          <cell r="AD118">
            <v>0</v>
          </cell>
          <cell r="AE118">
            <v>0</v>
          </cell>
          <cell r="AF118">
            <v>161.95898880000001</v>
          </cell>
          <cell r="AG118">
            <v>0</v>
          </cell>
          <cell r="AH118">
            <v>7.8912000000000013</v>
          </cell>
          <cell r="AI118">
            <v>0</v>
          </cell>
          <cell r="AJ118">
            <v>0</v>
          </cell>
          <cell r="AK118">
            <v>0</v>
          </cell>
          <cell r="AL118">
            <v>0</v>
          </cell>
          <cell r="AM118">
            <v>0</v>
          </cell>
          <cell r="AN118">
            <v>0</v>
          </cell>
          <cell r="AO118">
            <v>0</v>
          </cell>
        </row>
        <row r="119">
          <cell r="E119" t="str">
            <v>S.TS.2B</v>
          </cell>
          <cell r="F119">
            <v>1.5</v>
          </cell>
          <cell r="G119">
            <v>0.38</v>
          </cell>
          <cell r="H119">
            <v>0.12</v>
          </cell>
          <cell r="I119">
            <v>0.18000000000000002</v>
          </cell>
          <cell r="J119">
            <v>120.26188799999998</v>
          </cell>
          <cell r="M119">
            <v>18</v>
          </cell>
          <cell r="N119">
            <v>18</v>
          </cell>
          <cell r="O119">
            <v>18</v>
          </cell>
          <cell r="P119">
            <v>18</v>
          </cell>
          <cell r="S119">
            <v>72</v>
          </cell>
          <cell r="T119">
            <v>7.5000000000000011E-2</v>
          </cell>
          <cell r="U119">
            <v>5.4</v>
          </cell>
          <cell r="V119">
            <v>8.0332416000000002</v>
          </cell>
          <cell r="W119">
            <v>0</v>
          </cell>
          <cell r="X119">
            <v>0.98640000000000017</v>
          </cell>
          <cell r="Y119">
            <v>0</v>
          </cell>
          <cell r="Z119">
            <v>0</v>
          </cell>
          <cell r="AA119">
            <v>0</v>
          </cell>
          <cell r="AB119">
            <v>0</v>
          </cell>
          <cell r="AC119">
            <v>0</v>
          </cell>
          <cell r="AD119">
            <v>0</v>
          </cell>
          <cell r="AE119">
            <v>0</v>
          </cell>
          <cell r="AF119">
            <v>578.39339519999999</v>
          </cell>
          <cell r="AG119">
            <v>0</v>
          </cell>
          <cell r="AH119">
            <v>71.020800000000008</v>
          </cell>
          <cell r="AI119">
            <v>0</v>
          </cell>
          <cell r="AJ119">
            <v>0</v>
          </cell>
          <cell r="AK119">
            <v>0</v>
          </cell>
          <cell r="AL119">
            <v>0</v>
          </cell>
          <cell r="AM119">
            <v>0</v>
          </cell>
          <cell r="AN119">
            <v>0</v>
          </cell>
          <cell r="AO119">
            <v>0</v>
          </cell>
        </row>
        <row r="120">
          <cell r="E120" t="str">
            <v>S.TS.2C</v>
          </cell>
          <cell r="F120">
            <v>1.5</v>
          </cell>
          <cell r="G120">
            <v>0.64500000000000002</v>
          </cell>
          <cell r="H120">
            <v>0.12</v>
          </cell>
          <cell r="I120">
            <v>0.2412</v>
          </cell>
          <cell r="J120">
            <v>136.19190447761196</v>
          </cell>
          <cell r="M120">
            <v>2</v>
          </cell>
          <cell r="N120">
            <v>2</v>
          </cell>
          <cell r="O120">
            <v>2</v>
          </cell>
          <cell r="P120">
            <v>2</v>
          </cell>
          <cell r="S120">
            <v>8</v>
          </cell>
          <cell r="T120">
            <v>0.10050000000000001</v>
          </cell>
          <cell r="U120">
            <v>0.80400000000000005</v>
          </cell>
          <cell r="V120">
            <v>12.700886400000002</v>
          </cell>
          <cell r="W120">
            <v>0</v>
          </cell>
          <cell r="X120">
            <v>0.98640000000000017</v>
          </cell>
          <cell r="Y120">
            <v>0</v>
          </cell>
          <cell r="Z120">
            <v>0</v>
          </cell>
          <cell r="AA120">
            <v>0</v>
          </cell>
          <cell r="AB120">
            <v>0</v>
          </cell>
          <cell r="AC120">
            <v>0</v>
          </cell>
          <cell r="AD120">
            <v>0</v>
          </cell>
          <cell r="AE120">
            <v>0</v>
          </cell>
          <cell r="AF120">
            <v>101.60709120000001</v>
          </cell>
          <cell r="AG120">
            <v>0</v>
          </cell>
          <cell r="AH120">
            <v>7.8912000000000013</v>
          </cell>
          <cell r="AI120">
            <v>0</v>
          </cell>
          <cell r="AJ120">
            <v>0</v>
          </cell>
          <cell r="AK120">
            <v>0</v>
          </cell>
          <cell r="AL120">
            <v>0</v>
          </cell>
          <cell r="AM120">
            <v>0</v>
          </cell>
          <cell r="AN120">
            <v>0</v>
          </cell>
          <cell r="AO120">
            <v>0</v>
          </cell>
        </row>
        <row r="121">
          <cell r="E121" t="str">
            <v>S.TS.3A</v>
          </cell>
          <cell r="F121">
            <v>1.5</v>
          </cell>
          <cell r="G121">
            <v>1.105</v>
          </cell>
          <cell r="H121">
            <v>0.12</v>
          </cell>
          <cell r="I121">
            <v>0.432</v>
          </cell>
          <cell r="J121">
            <v>117.95152000000002</v>
          </cell>
          <cell r="N121">
            <v>2</v>
          </cell>
          <cell r="O121">
            <v>2</v>
          </cell>
          <cell r="P121">
            <v>2</v>
          </cell>
          <cell r="S121">
            <v>6</v>
          </cell>
          <cell r="T121">
            <v>0.18</v>
          </cell>
          <cell r="U121">
            <v>1.08</v>
          </cell>
          <cell r="V121">
            <v>20.244873600000002</v>
          </cell>
          <cell r="W121">
            <v>0</v>
          </cell>
          <cell r="X121">
            <v>0.98640000000000017</v>
          </cell>
          <cell r="Y121">
            <v>0</v>
          </cell>
          <cell r="Z121">
            <v>0</v>
          </cell>
          <cell r="AA121">
            <v>0</v>
          </cell>
          <cell r="AB121">
            <v>0</v>
          </cell>
          <cell r="AC121">
            <v>0</v>
          </cell>
          <cell r="AD121">
            <v>0</v>
          </cell>
          <cell r="AE121">
            <v>0</v>
          </cell>
          <cell r="AF121">
            <v>121.4692416</v>
          </cell>
          <cell r="AG121">
            <v>0</v>
          </cell>
          <cell r="AH121">
            <v>5.918400000000001</v>
          </cell>
          <cell r="AI121">
            <v>0</v>
          </cell>
          <cell r="AJ121">
            <v>0</v>
          </cell>
          <cell r="AK121">
            <v>0</v>
          </cell>
          <cell r="AL121">
            <v>0</v>
          </cell>
          <cell r="AM121">
            <v>0</v>
          </cell>
          <cell r="AN121">
            <v>0</v>
          </cell>
          <cell r="AO121">
            <v>0</v>
          </cell>
        </row>
        <row r="122">
          <cell r="E122" t="str">
            <v>S.TS.3B</v>
          </cell>
          <cell r="F122">
            <v>1.5</v>
          </cell>
          <cell r="G122">
            <v>0.38</v>
          </cell>
          <cell r="H122">
            <v>0.12</v>
          </cell>
          <cell r="I122">
            <v>0.18000000000000002</v>
          </cell>
          <cell r="J122">
            <v>120.26188799999998</v>
          </cell>
          <cell r="N122">
            <v>18</v>
          </cell>
          <cell r="O122">
            <v>18</v>
          </cell>
          <cell r="P122">
            <v>18</v>
          </cell>
          <cell r="S122">
            <v>54</v>
          </cell>
          <cell r="T122">
            <v>7.5000000000000011E-2</v>
          </cell>
          <cell r="U122">
            <v>4.0500000000000007</v>
          </cell>
          <cell r="V122">
            <v>8.0332416000000002</v>
          </cell>
          <cell r="W122">
            <v>0</v>
          </cell>
          <cell r="X122">
            <v>0.98640000000000017</v>
          </cell>
          <cell r="Y122">
            <v>0</v>
          </cell>
          <cell r="Z122">
            <v>0</v>
          </cell>
          <cell r="AA122">
            <v>0</v>
          </cell>
          <cell r="AB122">
            <v>0</v>
          </cell>
          <cell r="AC122">
            <v>0</v>
          </cell>
          <cell r="AD122">
            <v>0</v>
          </cell>
          <cell r="AE122">
            <v>0</v>
          </cell>
          <cell r="AF122">
            <v>433.79504640000005</v>
          </cell>
          <cell r="AG122">
            <v>0</v>
          </cell>
          <cell r="AH122">
            <v>53.265600000000006</v>
          </cell>
          <cell r="AI122">
            <v>0</v>
          </cell>
          <cell r="AJ122">
            <v>0</v>
          </cell>
          <cell r="AK122">
            <v>0</v>
          </cell>
          <cell r="AL122">
            <v>0</v>
          </cell>
          <cell r="AM122">
            <v>0</v>
          </cell>
          <cell r="AN122">
            <v>0</v>
          </cell>
          <cell r="AO122">
            <v>0</v>
          </cell>
        </row>
        <row r="123">
          <cell r="E123" t="str">
            <v>S.TS.3C</v>
          </cell>
          <cell r="F123">
            <v>1.5</v>
          </cell>
          <cell r="G123">
            <v>0.64500000000000002</v>
          </cell>
          <cell r="H123">
            <v>0.12</v>
          </cell>
          <cell r="I123">
            <v>0.2412</v>
          </cell>
          <cell r="J123">
            <v>136.19190447761196</v>
          </cell>
          <cell r="N123">
            <v>2</v>
          </cell>
          <cell r="O123">
            <v>2</v>
          </cell>
          <cell r="P123">
            <v>2</v>
          </cell>
          <cell r="S123">
            <v>6</v>
          </cell>
          <cell r="T123">
            <v>0.10050000000000001</v>
          </cell>
          <cell r="U123">
            <v>0.60299999999999998</v>
          </cell>
          <cell r="V123">
            <v>12.700886400000002</v>
          </cell>
          <cell r="W123">
            <v>0</v>
          </cell>
          <cell r="X123">
            <v>0.98640000000000017</v>
          </cell>
          <cell r="Y123">
            <v>0</v>
          </cell>
          <cell r="Z123">
            <v>0</v>
          </cell>
          <cell r="AA123">
            <v>0</v>
          </cell>
          <cell r="AB123">
            <v>0</v>
          </cell>
          <cell r="AC123">
            <v>0</v>
          </cell>
          <cell r="AD123">
            <v>0</v>
          </cell>
          <cell r="AE123">
            <v>0</v>
          </cell>
          <cell r="AF123">
            <v>76.20531840000001</v>
          </cell>
          <cell r="AG123">
            <v>0</v>
          </cell>
          <cell r="AH123">
            <v>5.918400000000001</v>
          </cell>
          <cell r="AI123">
            <v>0</v>
          </cell>
          <cell r="AJ123">
            <v>0</v>
          </cell>
          <cell r="AK123">
            <v>0</v>
          </cell>
          <cell r="AL123">
            <v>0</v>
          </cell>
          <cell r="AM123">
            <v>0</v>
          </cell>
          <cell r="AN123">
            <v>0</v>
          </cell>
          <cell r="AO123">
            <v>0</v>
          </cell>
        </row>
        <row r="124">
          <cell r="E124" t="str">
            <v>S.TU.B</v>
          </cell>
          <cell r="F124">
            <v>4.5</v>
          </cell>
          <cell r="G124">
            <v>1.6</v>
          </cell>
          <cell r="H124">
            <v>0.12</v>
          </cell>
          <cell r="I124">
            <v>1.9439999999999997</v>
          </cell>
          <cell r="J124">
            <v>102.14720000000001</v>
          </cell>
          <cell r="L124">
            <v>1</v>
          </cell>
          <cell r="M124">
            <v>1</v>
          </cell>
          <cell r="N124">
            <v>1</v>
          </cell>
          <cell r="O124">
            <v>1</v>
          </cell>
          <cell r="P124">
            <v>1</v>
          </cell>
          <cell r="S124">
            <v>5</v>
          </cell>
          <cell r="T124">
            <v>0.80999999999999994</v>
          </cell>
          <cell r="U124">
            <v>4.05</v>
          </cell>
          <cell r="V124">
            <v>81.752831999999998</v>
          </cell>
          <cell r="W124">
            <v>0</v>
          </cell>
          <cell r="X124">
            <v>0.98640000000000005</v>
          </cell>
          <cell r="Y124">
            <v>0</v>
          </cell>
          <cell r="Z124">
            <v>0</v>
          </cell>
          <cell r="AA124">
            <v>0</v>
          </cell>
          <cell r="AB124">
            <v>0</v>
          </cell>
          <cell r="AC124">
            <v>0</v>
          </cell>
          <cell r="AD124">
            <v>0</v>
          </cell>
          <cell r="AE124">
            <v>0</v>
          </cell>
          <cell r="AF124">
            <v>408.76416</v>
          </cell>
          <cell r="AG124">
            <v>0</v>
          </cell>
          <cell r="AH124">
            <v>4.9320000000000004</v>
          </cell>
          <cell r="AI124">
            <v>0</v>
          </cell>
          <cell r="AJ124">
            <v>0</v>
          </cell>
          <cell r="AK124">
            <v>0</v>
          </cell>
          <cell r="AL124">
            <v>0</v>
          </cell>
          <cell r="AM124">
            <v>0</v>
          </cell>
          <cell r="AN124">
            <v>0</v>
          </cell>
          <cell r="AO124">
            <v>0</v>
          </cell>
        </row>
        <row r="125">
          <cell r="E125" t="str">
            <v>S.TU.1A</v>
          </cell>
          <cell r="F125">
            <v>2.25</v>
          </cell>
          <cell r="G125">
            <v>0.51</v>
          </cell>
          <cell r="H125">
            <v>0.12</v>
          </cell>
          <cell r="I125">
            <v>0.27539999999999998</v>
          </cell>
          <cell r="J125">
            <v>142.07598431372551</v>
          </cell>
          <cell r="L125">
            <v>1</v>
          </cell>
          <cell r="S125">
            <v>1</v>
          </cell>
          <cell r="T125">
            <v>0.11474999999999999</v>
          </cell>
          <cell r="U125">
            <v>0.11474999999999999</v>
          </cell>
          <cell r="V125">
            <v>15.316819199999999</v>
          </cell>
          <cell r="W125">
            <v>0</v>
          </cell>
          <cell r="X125">
            <v>0.98640000000000017</v>
          </cell>
          <cell r="Y125">
            <v>0</v>
          </cell>
          <cell r="Z125">
            <v>0</v>
          </cell>
          <cell r="AA125">
            <v>0</v>
          </cell>
          <cell r="AB125">
            <v>0</v>
          </cell>
          <cell r="AC125">
            <v>0</v>
          </cell>
          <cell r="AD125">
            <v>0</v>
          </cell>
          <cell r="AE125">
            <v>0</v>
          </cell>
          <cell r="AF125">
            <v>15.316819199999999</v>
          </cell>
          <cell r="AG125">
            <v>0</v>
          </cell>
          <cell r="AH125">
            <v>0.98640000000000017</v>
          </cell>
          <cell r="AI125">
            <v>0</v>
          </cell>
          <cell r="AJ125">
            <v>0</v>
          </cell>
          <cell r="AK125">
            <v>0</v>
          </cell>
          <cell r="AL125">
            <v>0</v>
          </cell>
          <cell r="AM125">
            <v>0</v>
          </cell>
          <cell r="AN125">
            <v>0</v>
          </cell>
          <cell r="AO125">
            <v>0</v>
          </cell>
        </row>
        <row r="126">
          <cell r="E126" t="str">
            <v>S.TU.1B</v>
          </cell>
          <cell r="F126">
            <v>2.25</v>
          </cell>
          <cell r="G126">
            <v>0.38</v>
          </cell>
          <cell r="H126">
            <v>0.12</v>
          </cell>
          <cell r="I126">
            <v>0.97199999999999986</v>
          </cell>
          <cell r="J126">
            <v>31.81809777777778</v>
          </cell>
          <cell r="L126">
            <v>11</v>
          </cell>
          <cell r="S126">
            <v>11</v>
          </cell>
          <cell r="T126">
            <v>0.40499999999999997</v>
          </cell>
          <cell r="U126">
            <v>4.4550000000000001</v>
          </cell>
          <cell r="V126">
            <v>11.8999296</v>
          </cell>
          <cell r="W126">
            <v>0</v>
          </cell>
          <cell r="X126">
            <v>0.98640000000000017</v>
          </cell>
          <cell r="Y126">
            <v>0</v>
          </cell>
          <cell r="Z126">
            <v>0</v>
          </cell>
          <cell r="AA126">
            <v>0</v>
          </cell>
          <cell r="AB126">
            <v>0</v>
          </cell>
          <cell r="AC126">
            <v>0</v>
          </cell>
          <cell r="AD126">
            <v>0</v>
          </cell>
          <cell r="AE126">
            <v>0</v>
          </cell>
          <cell r="AF126">
            <v>130.89922559999999</v>
          </cell>
          <cell r="AG126">
            <v>0</v>
          </cell>
          <cell r="AH126">
            <v>10.850400000000002</v>
          </cell>
          <cell r="AI126">
            <v>0</v>
          </cell>
          <cell r="AJ126">
            <v>0</v>
          </cell>
          <cell r="AK126">
            <v>0</v>
          </cell>
          <cell r="AL126">
            <v>0</v>
          </cell>
          <cell r="AM126">
            <v>0</v>
          </cell>
          <cell r="AN126">
            <v>0</v>
          </cell>
          <cell r="AO126">
            <v>0</v>
          </cell>
        </row>
        <row r="127">
          <cell r="E127" t="str">
            <v>S.TU.2A</v>
          </cell>
          <cell r="F127">
            <v>2.25</v>
          </cell>
          <cell r="G127">
            <v>0.76500000000000001</v>
          </cell>
          <cell r="H127">
            <v>0.12</v>
          </cell>
          <cell r="I127">
            <v>0.44279999999999997</v>
          </cell>
          <cell r="J127">
            <v>125.06161951219512</v>
          </cell>
          <cell r="L127">
            <v>1</v>
          </cell>
          <cell r="M127">
            <v>1</v>
          </cell>
          <cell r="N127">
            <v>1</v>
          </cell>
          <cell r="O127">
            <v>1</v>
          </cell>
          <cell r="P127">
            <v>1</v>
          </cell>
          <cell r="S127">
            <v>5</v>
          </cell>
          <cell r="T127">
            <v>0.1845</v>
          </cell>
          <cell r="U127">
            <v>0.92249999999999999</v>
          </cell>
          <cell r="V127">
            <v>22.0874688</v>
          </cell>
          <cell r="W127">
            <v>0</v>
          </cell>
          <cell r="X127">
            <v>0.98640000000000005</v>
          </cell>
          <cell r="Y127">
            <v>0</v>
          </cell>
          <cell r="Z127">
            <v>0</v>
          </cell>
          <cell r="AA127">
            <v>0</v>
          </cell>
          <cell r="AB127">
            <v>0</v>
          </cell>
          <cell r="AC127">
            <v>0</v>
          </cell>
          <cell r="AD127">
            <v>0</v>
          </cell>
          <cell r="AE127">
            <v>0</v>
          </cell>
          <cell r="AF127">
            <v>110.437344</v>
          </cell>
          <cell r="AG127">
            <v>0</v>
          </cell>
          <cell r="AH127">
            <v>4.9320000000000004</v>
          </cell>
          <cell r="AI127">
            <v>0</v>
          </cell>
          <cell r="AJ127">
            <v>0</v>
          </cell>
          <cell r="AK127">
            <v>0</v>
          </cell>
          <cell r="AL127">
            <v>0</v>
          </cell>
          <cell r="AM127">
            <v>0</v>
          </cell>
          <cell r="AN127">
            <v>0</v>
          </cell>
          <cell r="AO127">
            <v>0</v>
          </cell>
        </row>
        <row r="128">
          <cell r="E128" t="str">
            <v>S.TU.2B</v>
          </cell>
          <cell r="F128">
            <v>1.5</v>
          </cell>
          <cell r="G128">
            <v>0.38</v>
          </cell>
          <cell r="H128">
            <v>0.12</v>
          </cell>
          <cell r="I128">
            <v>0.64800000000000002</v>
          </cell>
          <cell r="J128">
            <v>33.406079999999989</v>
          </cell>
          <cell r="L128">
            <v>9</v>
          </cell>
          <cell r="M128">
            <v>9</v>
          </cell>
          <cell r="N128">
            <v>9</v>
          </cell>
          <cell r="O128">
            <v>9</v>
          </cell>
          <cell r="P128">
            <v>9</v>
          </cell>
          <cell r="S128">
            <v>45</v>
          </cell>
          <cell r="T128">
            <v>0.27</v>
          </cell>
          <cell r="U128">
            <v>12.15</v>
          </cell>
          <cell r="V128">
            <v>8.0332415999999984</v>
          </cell>
          <cell r="W128">
            <v>0</v>
          </cell>
          <cell r="X128">
            <v>0.98640000000000017</v>
          </cell>
          <cell r="Y128">
            <v>0</v>
          </cell>
          <cell r="Z128">
            <v>0</v>
          </cell>
          <cell r="AA128">
            <v>0</v>
          </cell>
          <cell r="AB128">
            <v>0</v>
          </cell>
          <cell r="AC128">
            <v>0</v>
          </cell>
          <cell r="AD128">
            <v>0</v>
          </cell>
          <cell r="AE128">
            <v>0</v>
          </cell>
          <cell r="AF128">
            <v>361.49587199999996</v>
          </cell>
          <cell r="AG128">
            <v>0</v>
          </cell>
          <cell r="AH128">
            <v>44.388000000000005</v>
          </cell>
          <cell r="AI128">
            <v>0</v>
          </cell>
          <cell r="AJ128">
            <v>0</v>
          </cell>
          <cell r="AK128">
            <v>0</v>
          </cell>
          <cell r="AL128">
            <v>0</v>
          </cell>
          <cell r="AM128">
            <v>0</v>
          </cell>
          <cell r="AN128">
            <v>0</v>
          </cell>
          <cell r="AO128">
            <v>0</v>
          </cell>
        </row>
        <row r="129">
          <cell r="E129" t="str">
            <v>S.TU.2C</v>
          </cell>
          <cell r="F129">
            <v>1.5</v>
          </cell>
          <cell r="G129">
            <v>0.64500000000000002</v>
          </cell>
          <cell r="H129">
            <v>0.12</v>
          </cell>
          <cell r="I129">
            <v>0.2412</v>
          </cell>
          <cell r="J129">
            <v>136.19190447761196</v>
          </cell>
          <cell r="L129">
            <v>1</v>
          </cell>
          <cell r="M129">
            <v>1</v>
          </cell>
          <cell r="N129">
            <v>1</v>
          </cell>
          <cell r="O129">
            <v>1</v>
          </cell>
          <cell r="P129">
            <v>1</v>
          </cell>
          <cell r="S129">
            <v>5</v>
          </cell>
          <cell r="T129">
            <v>0.10050000000000001</v>
          </cell>
          <cell r="U129">
            <v>0.50250000000000006</v>
          </cell>
          <cell r="V129">
            <v>12.700886400000002</v>
          </cell>
          <cell r="W129">
            <v>0</v>
          </cell>
          <cell r="X129">
            <v>0.98640000000000005</v>
          </cell>
          <cell r="Y129">
            <v>0</v>
          </cell>
          <cell r="Z129">
            <v>0</v>
          </cell>
          <cell r="AA129">
            <v>0</v>
          </cell>
          <cell r="AB129">
            <v>0</v>
          </cell>
          <cell r="AC129">
            <v>0</v>
          </cell>
          <cell r="AD129">
            <v>0</v>
          </cell>
          <cell r="AE129">
            <v>0</v>
          </cell>
          <cell r="AF129">
            <v>63.504432000000008</v>
          </cell>
          <cell r="AG129">
            <v>0</v>
          </cell>
          <cell r="AH129">
            <v>4.9320000000000004</v>
          </cell>
          <cell r="AI129">
            <v>0</v>
          </cell>
          <cell r="AJ129">
            <v>0</v>
          </cell>
          <cell r="AK129">
            <v>0</v>
          </cell>
          <cell r="AL129">
            <v>0</v>
          </cell>
          <cell r="AM129">
            <v>0</v>
          </cell>
          <cell r="AN129">
            <v>0</v>
          </cell>
          <cell r="AO129">
            <v>0</v>
          </cell>
        </row>
        <row r="130">
          <cell r="E130" t="str">
            <v>S.TU.3A</v>
          </cell>
          <cell r="F130">
            <v>2.25</v>
          </cell>
          <cell r="G130">
            <v>0.54</v>
          </cell>
          <cell r="H130">
            <v>0.12</v>
          </cell>
          <cell r="I130">
            <v>0.29699999999999999</v>
          </cell>
          <cell r="J130">
            <v>134.80401454545455</v>
          </cell>
          <cell r="M130">
            <v>1</v>
          </cell>
          <cell r="N130">
            <v>1</v>
          </cell>
          <cell r="O130">
            <v>1</v>
          </cell>
          <cell r="P130">
            <v>1</v>
          </cell>
          <cell r="S130">
            <v>4</v>
          </cell>
          <cell r="T130">
            <v>0.12375</v>
          </cell>
          <cell r="U130">
            <v>0.495</v>
          </cell>
          <cell r="V130">
            <v>15.695596799999999</v>
          </cell>
          <cell r="W130">
            <v>0</v>
          </cell>
          <cell r="X130">
            <v>0.98640000000000017</v>
          </cell>
          <cell r="Y130">
            <v>0</v>
          </cell>
          <cell r="Z130">
            <v>0</v>
          </cell>
          <cell r="AA130">
            <v>0</v>
          </cell>
          <cell r="AB130">
            <v>0</v>
          </cell>
          <cell r="AC130">
            <v>0</v>
          </cell>
          <cell r="AD130">
            <v>0</v>
          </cell>
          <cell r="AE130">
            <v>0</v>
          </cell>
          <cell r="AF130">
            <v>62.782387199999995</v>
          </cell>
          <cell r="AG130">
            <v>0</v>
          </cell>
          <cell r="AH130">
            <v>3.9456000000000007</v>
          </cell>
          <cell r="AI130">
            <v>0</v>
          </cell>
          <cell r="AJ130">
            <v>0</v>
          </cell>
          <cell r="AK130">
            <v>0</v>
          </cell>
          <cell r="AL130">
            <v>0</v>
          </cell>
          <cell r="AM130">
            <v>0</v>
          </cell>
          <cell r="AN130">
            <v>0</v>
          </cell>
          <cell r="AO130">
            <v>0</v>
          </cell>
        </row>
        <row r="131">
          <cell r="E131" t="str">
            <v>S.TU.3B</v>
          </cell>
          <cell r="F131">
            <v>2.25</v>
          </cell>
          <cell r="G131">
            <v>0.38</v>
          </cell>
          <cell r="H131">
            <v>0.12</v>
          </cell>
          <cell r="I131">
            <v>0.97199999999999986</v>
          </cell>
          <cell r="J131">
            <v>31.81809777777778</v>
          </cell>
          <cell r="M131">
            <v>9</v>
          </cell>
          <cell r="N131">
            <v>9</v>
          </cell>
          <cell r="O131">
            <v>9</v>
          </cell>
          <cell r="P131">
            <v>9</v>
          </cell>
          <cell r="S131">
            <v>36</v>
          </cell>
          <cell r="T131">
            <v>0.40499999999999997</v>
          </cell>
          <cell r="U131">
            <v>14.579999999999998</v>
          </cell>
          <cell r="V131">
            <v>11.8999296</v>
          </cell>
          <cell r="W131">
            <v>0</v>
          </cell>
          <cell r="X131">
            <v>0.98640000000000017</v>
          </cell>
          <cell r="Y131">
            <v>0</v>
          </cell>
          <cell r="Z131">
            <v>0</v>
          </cell>
          <cell r="AA131">
            <v>0</v>
          </cell>
          <cell r="AB131">
            <v>0</v>
          </cell>
          <cell r="AC131">
            <v>0</v>
          </cell>
          <cell r="AD131">
            <v>0</v>
          </cell>
          <cell r="AE131">
            <v>0</v>
          </cell>
          <cell r="AF131">
            <v>428.39746560000003</v>
          </cell>
          <cell r="AG131">
            <v>0</v>
          </cell>
          <cell r="AH131">
            <v>35.510400000000004</v>
          </cell>
          <cell r="AI131">
            <v>0</v>
          </cell>
          <cell r="AJ131">
            <v>0</v>
          </cell>
          <cell r="AK131">
            <v>0</v>
          </cell>
          <cell r="AL131">
            <v>0</v>
          </cell>
          <cell r="AM131">
            <v>0</v>
          </cell>
          <cell r="AN131">
            <v>0</v>
          </cell>
          <cell r="AO131">
            <v>0</v>
          </cell>
        </row>
        <row r="132">
          <cell r="E132" t="str">
            <v>S.TU.3C</v>
          </cell>
          <cell r="F132">
            <v>2.25</v>
          </cell>
          <cell r="G132">
            <v>0.30499999999999999</v>
          </cell>
          <cell r="H132">
            <v>0.12</v>
          </cell>
          <cell r="I132">
            <v>0.14579999999999999</v>
          </cell>
          <cell r="J132">
            <v>196.53309629629629</v>
          </cell>
          <cell r="M132">
            <v>1</v>
          </cell>
          <cell r="N132">
            <v>1</v>
          </cell>
          <cell r="O132">
            <v>1</v>
          </cell>
          <cell r="P132">
            <v>1</v>
          </cell>
          <cell r="S132">
            <v>4</v>
          </cell>
          <cell r="T132">
            <v>6.0749999999999998E-2</v>
          </cell>
          <cell r="U132">
            <v>0.24299999999999999</v>
          </cell>
          <cell r="V132">
            <v>10.9529856</v>
          </cell>
          <cell r="W132">
            <v>0</v>
          </cell>
          <cell r="X132">
            <v>0.98640000000000017</v>
          </cell>
          <cell r="Y132">
            <v>0</v>
          </cell>
          <cell r="Z132">
            <v>0</v>
          </cell>
          <cell r="AA132">
            <v>0</v>
          </cell>
          <cell r="AB132">
            <v>0</v>
          </cell>
          <cell r="AC132">
            <v>0</v>
          </cell>
          <cell r="AD132">
            <v>0</v>
          </cell>
          <cell r="AE132">
            <v>0</v>
          </cell>
          <cell r="AF132">
            <v>43.8119424</v>
          </cell>
          <cell r="AG132">
            <v>0</v>
          </cell>
          <cell r="AH132">
            <v>3.9456000000000007</v>
          </cell>
          <cell r="AI132">
            <v>0</v>
          </cell>
          <cell r="AJ132">
            <v>0</v>
          </cell>
          <cell r="AK132">
            <v>0</v>
          </cell>
          <cell r="AL132">
            <v>0</v>
          </cell>
          <cell r="AM132">
            <v>0</v>
          </cell>
          <cell r="AN132">
            <v>0</v>
          </cell>
          <cell r="AO132">
            <v>0</v>
          </cell>
        </row>
        <row r="133">
          <cell r="L133">
            <v>60</v>
          </cell>
          <cell r="M133">
            <v>57</v>
          </cell>
          <cell r="N133">
            <v>81</v>
          </cell>
          <cell r="O133">
            <v>81</v>
          </cell>
          <cell r="P133">
            <v>75</v>
          </cell>
          <cell r="Q133">
            <v>0</v>
          </cell>
          <cell r="R133">
            <v>0</v>
          </cell>
          <cell r="S133">
            <v>354</v>
          </cell>
          <cell r="U133">
            <v>66.73084999999999</v>
          </cell>
          <cell r="AF133">
            <v>3585.1418208000005</v>
          </cell>
          <cell r="AG133">
            <v>0</v>
          </cell>
          <cell r="AH133">
            <v>1864.2281850000004</v>
          </cell>
          <cell r="AI133">
            <v>0</v>
          </cell>
          <cell r="AJ133">
            <v>0</v>
          </cell>
          <cell r="AK133">
            <v>2090.1105792000003</v>
          </cell>
          <cell r="AL133">
            <v>0</v>
          </cell>
          <cell r="AM133">
            <v>0</v>
          </cell>
          <cell r="AN133">
            <v>0</v>
          </cell>
          <cell r="AO133">
            <v>0</v>
          </cell>
        </row>
        <row r="135">
          <cell r="J135" t="str">
            <v>TOTAL =</v>
          </cell>
          <cell r="L135">
            <v>548</v>
          </cell>
          <cell r="M135">
            <v>413</v>
          </cell>
          <cell r="N135">
            <v>434</v>
          </cell>
          <cell r="O135">
            <v>434</v>
          </cell>
          <cell r="P135">
            <v>428</v>
          </cell>
          <cell r="Q135">
            <v>296</v>
          </cell>
          <cell r="R135">
            <v>24</v>
          </cell>
          <cell r="S135">
            <v>2577</v>
          </cell>
          <cell r="U135">
            <v>1038.6753380000002</v>
          </cell>
          <cell r="AF135">
            <v>64096.978262399993</v>
          </cell>
          <cell r="AG135">
            <v>0</v>
          </cell>
          <cell r="AH135">
            <v>17628.520963500003</v>
          </cell>
          <cell r="AI135">
            <v>0</v>
          </cell>
          <cell r="AJ135">
            <v>2740.1992254000002</v>
          </cell>
          <cell r="AK135">
            <v>37254.680317440012</v>
          </cell>
          <cell r="AL135">
            <v>16886.803821120004</v>
          </cell>
          <cell r="AM135">
            <v>0</v>
          </cell>
          <cell r="AN135">
            <v>40390.185409199992</v>
          </cell>
          <cell r="AO135">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b"/>
      <sheetName val="Recap"/>
      <sheetName val="PAD-F"/>
      <sheetName val="Isolasi Luar Dalam"/>
      <sheetName val="Isolasi Luar"/>
      <sheetName val="Rekap"/>
      <sheetName val="UPAH"/>
      <sheetName val="Hargamaterial"/>
      <sheetName val="24J05"/>
      <sheetName val="Material"/>
      <sheetName val="Meto"/>
      <sheetName val="surat"/>
      <sheetName val="A-11 Steel Str"/>
      <sheetName val="A-03 Pile"/>
      <sheetName val="Meth "/>
      <sheetName val="BQ ARS"/>
      <sheetName val="NP"/>
    </sheetNames>
    <sheetDataSet>
      <sheetData sheetId="0" refreshError="1">
        <row r="50">
          <cell r="I5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XXX0"/>
      <sheetName val="XXX1"/>
      <sheetName val="Rekap + Prelim"/>
      <sheetName val="BQ STR"/>
      <sheetName val="BQ ARS"/>
      <sheetName val="BQ LUBANG"/>
      <sheetName val="Analisa ARS"/>
      <sheetName val="Analisa STR"/>
      <sheetName val="equipment"/>
      <sheetName val="prelim"/>
      <sheetName val="person "/>
      <sheetName val="PAD-F"/>
      <sheetName val="Kolom UT"/>
      <sheetName val="Rab"/>
      <sheetName val="Markup"/>
      <sheetName val="HarSat"/>
      <sheetName val="Hargamaterial"/>
      <sheetName val="REKAP"/>
      <sheetName val="ELEMENT SUM"/>
      <sheetName val="A-11 Steel Str"/>
      <sheetName val="A-03 Pile"/>
      <sheetName val="POL"/>
      <sheetName val="TOTAL"/>
      <sheetName val="Embong-Malang"/>
      <sheetName val="Area Tabulation1"/>
      <sheetName val="Proj Data"/>
      <sheetName val="Material"/>
      <sheetName val="Upah"/>
      <sheetName val="DAF_8"/>
      <sheetName val="16-AC-27JULI"/>
      <sheetName val="Pekerjaan "/>
      <sheetName val="A"/>
      <sheetName val="61004"/>
      <sheetName val="61005"/>
      <sheetName val="61006"/>
      <sheetName val="61007"/>
      <sheetName val="61008"/>
      <sheetName val="FORM X COST"/>
      <sheetName val="Elektrikal"/>
      <sheetName val="Pipe"/>
      <sheetName val="Analisa 2"/>
      <sheetName val="2.10"/>
      <sheetName val="Hargamat"/>
      <sheetName val="BQ (by owner)"/>
      <sheetName val="rab me (fisik)"/>
      <sheetName val="rab me (by owner) "/>
      <sheetName val="RINCI"/>
      <sheetName val="FUND"/>
      <sheetName val="Anls"/>
      <sheetName val="Pile"/>
      <sheetName val="bahan"/>
      <sheetName val="rekap.c"/>
      <sheetName val="Struktur"/>
      <sheetName val="Rekap Direct Cost"/>
      <sheetName val="Spec ME"/>
      <sheetName val="ARSITEKTUR"/>
      <sheetName val="AC"/>
      <sheetName val="BQ-Str"/>
      <sheetName val="DAF_6"/>
      <sheetName val="4"/>
      <sheetName val="Bill No 2.1 "/>
      <sheetName val="PileCap"/>
      <sheetName val="Bill No 6 Koord &amp; Attendance"/>
      <sheetName val="2-Genset print"/>
      <sheetName val="TABEL-DETASIR"/>
      <sheetName val="PC"/>
      <sheetName val="Harga"/>
      <sheetName val="Hrg.Sat"/>
      <sheetName val="Pintu-TH"/>
      <sheetName val="Kell.Plint-TH"/>
      <sheetName val="Balok"/>
      <sheetName val="Harsat_El"/>
      <sheetName val="DAF-1"/>
      <sheetName val="DAF-BAHAN"/>
      <sheetName val="Meto"/>
      <sheetName val="UPH BHN"/>
      <sheetName val="REKAP ANALISA"/>
      <sheetName val="Tabel"/>
      <sheetName val="PERSIAP"/>
      <sheetName val="D4"/>
      <sheetName val="D6"/>
      <sheetName val="D7"/>
      <sheetName val="D8"/>
      <sheetName val="3.4. CONCRETE ANLS. C.O.T"/>
      <sheetName val="HARGA MATERIAL"/>
      <sheetName val="D2.2"/>
      <sheetName val="T-BEAM"/>
      <sheetName val="ahas-ins"/>
      <sheetName val="Pintu Jendela per_lantai_"/>
      <sheetName val="PERSIAPAN"/>
      <sheetName val="UTILITAS"/>
      <sheetName val="ALAT"/>
      <sheetName val="ANALISA PEK.UMUM"/>
      <sheetName val="Analisa &amp; Upah"/>
      <sheetName val="NP"/>
      <sheetName val="Jamur Jelatang"/>
      <sheetName val="UNIT FAN"/>
      <sheetName val="STR - 2B"/>
      <sheetName val="UPAH&amp;BHN"/>
      <sheetName val="ISIAN"/>
      <sheetName val="FR"/>
      <sheetName val="An.Ars"/>
      <sheetName val="Analisa BOW 08 NP"/>
      <sheetName val="Kel. Dind-TH"/>
      <sheetName val="Kayu Kol. &amp; Wall"/>
      <sheetName val="PERALATAN UTAMA PK"/>
      <sheetName val="PEMIPAAN PK"/>
      <sheetName val="PEMIPAAN PLB"/>
      <sheetName val="Upah+Bahan"/>
      <sheetName val="영업소실적"/>
      <sheetName val="Analisa Tend"/>
      <sheetName val="Plumbing"/>
      <sheetName val="Factor"/>
      <sheetName val="Master 1.0"/>
      <sheetName val="main summary"/>
      <sheetName val="Balok L.1"/>
      <sheetName val="REKAP_ARSITEKTUR."/>
      <sheetName val="SELL-SUMM-COST"/>
      <sheetName val="ASat"/>
      <sheetName val="Analisa BOW 07"/>
      <sheetName val="Sum"/>
      <sheetName val="H.Satuan"/>
      <sheetName val="ANALISA SNI'08(ubh bgsting)"/>
      <sheetName val="HDasar"/>
      <sheetName val="metode "/>
      <sheetName val="PAD_F"/>
      <sheetName val="BQ Arsit"/>
      <sheetName val="analisa"/>
      <sheetName val="Piping"/>
      <sheetName val="Weight Bridge"/>
      <sheetName val="BDP1"/>
      <sheetName val="pintu"/>
      <sheetName val="Budget"/>
      <sheetName val="Plstern dan Acian List.Plan"/>
      <sheetName val="?????"/>
      <sheetName val="anal"/>
      <sheetName val="BOQ-ARS-GRJ ALFONSUS 3"/>
      <sheetName val="Currency Rate"/>
      <sheetName val="Cover"/>
      <sheetName val="III.1 Struct"/>
      <sheetName val="BQNSC"/>
      <sheetName val="Hydrant&amp;Sprinkler"/>
      <sheetName val="input"/>
      <sheetName val="Management"/>
      <sheetName val="Mall"/>
      <sheetName val="satuan"/>
      <sheetName val="Cover Daf-2"/>
      <sheetName val="Ana"/>
      <sheetName val="Lap Harian"/>
      <sheetName val="HAl 27"/>
      <sheetName val="IBASE"/>
      <sheetName val="Tataudara"/>
      <sheetName val="S.UPAH"/>
      <sheetName val="12. Analisa"/>
      <sheetName val="CATU DAYA LISTRIK PK"/>
      <sheetName val="PERALATAN &amp; KATUP2 PK"/>
      <sheetName val="CATU DAYA LISTRIK PLB"/>
      <sheetName val="PERALATAN &amp; KATUP2 PLB"/>
      <sheetName val="PERALATAN UTAMA PLB"/>
      <sheetName val="Analisa Tend (2)"/>
      <sheetName val="와동25-3(변경)"/>
      <sheetName val="harga "/>
      <sheetName val="REKAP_VOLUME"/>
      <sheetName val="_____"/>
      <sheetName val="Sheet"/>
      <sheetName val="DW"/>
      <sheetName val="TU"/>
      <sheetName val="Data PJ"/>
      <sheetName val="Harga Mat "/>
      <sheetName val="RUKO TYPE 1"/>
      <sheetName val="BAHN"/>
      <sheetName val="Harga Satuan"/>
      <sheetName val="C"/>
      <sheetName val="AC WIL SERANG"/>
      <sheetName val="SUR-HARGA"/>
      <sheetName val="MT-C"/>
      <sheetName val="CONS."/>
      <sheetName val="Dashboard"/>
      <sheetName val="perhitungan volume dinding"/>
      <sheetName val="DATA"/>
      <sheetName val="BAG-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B"/>
      <sheetName val="REKAPITULASI"/>
      <sheetName val="PER METER PERSEGI BANGUNAN"/>
      <sheetName val="TOTAL ANGGARAN BIAYA"/>
      <sheetName val="ALKES"/>
      <sheetName val="Sheet1"/>
      <sheetName val="A"/>
      <sheetName val="Rekap"/>
      <sheetName val="HRG BHN"/>
      <sheetName val="h.satuan"/>
      <sheetName val="BQ-1A"/>
      <sheetName val="BQ ARS"/>
      <sheetName val="ch"/>
      <sheetName val="PAD-F"/>
      <sheetName val="KUSEN"/>
      <sheetName val="REKAP-TOTAL 2016"/>
      <sheetName val="D &amp; W sizes"/>
      <sheetName val="BQ"/>
      <sheetName val="HARGA"/>
      <sheetName val="Material"/>
      <sheetName val="Upah"/>
      <sheetName val="A-ars"/>
      <sheetName val="Meto"/>
      <sheetName val="HarSat"/>
      <sheetName val="ANAL-"/>
    </sheetNames>
    <sheetDataSet>
      <sheetData sheetId="0" refreshError="1">
        <row r="2">
          <cell r="A2" t="str">
            <v>RENCANA ANGGARAN BIAYA</v>
          </cell>
        </row>
        <row r="3">
          <cell r="A3" t="str">
            <v>PROYEK PEMBANGUNAN GEDUNG NASC dan BALAI KESEHATAN PENERBANGAN</v>
          </cell>
        </row>
        <row r="4">
          <cell r="A4" t="str">
            <v>LOKASI</v>
          </cell>
          <cell r="C4" t="str">
            <v xml:space="preserve"> : KEMAYORAN</v>
          </cell>
        </row>
        <row r="5">
          <cell r="A5" t="str">
            <v>PEKERJAAN</v>
          </cell>
          <cell r="C5" t="str">
            <v xml:space="preserve"> : TAHAP I ( PEKERJAAN TANAH DAN STRUKTUR )</v>
          </cell>
        </row>
        <row r="8">
          <cell r="A8" t="str">
            <v>No.</v>
          </cell>
          <cell r="B8" t="str">
            <v>Item Pekerjaan</v>
          </cell>
          <cell r="D8" t="str">
            <v>Volume</v>
          </cell>
          <cell r="E8" t="str">
            <v>Satuan</v>
          </cell>
          <cell r="F8" t="str">
            <v>Harga Satuan</v>
          </cell>
          <cell r="G8" t="str">
            <v>Jumlah Harga</v>
          </cell>
        </row>
        <row r="11">
          <cell r="A11" t="str">
            <v>I</v>
          </cell>
          <cell r="B11" t="str">
            <v xml:space="preserve"> PEKERJAAN PERSIAPAN</v>
          </cell>
        </row>
        <row r="12">
          <cell r="A12">
            <v>1</v>
          </cell>
          <cell r="B12" t="str">
            <v xml:space="preserve"> Mobilisasi &amp; Demobilisasi</v>
          </cell>
          <cell r="D12">
            <v>1</v>
          </cell>
          <cell r="E12" t="str">
            <v>ls</v>
          </cell>
          <cell r="F12">
            <v>15000000</v>
          </cell>
          <cell r="G12">
            <v>15000000</v>
          </cell>
        </row>
        <row r="13">
          <cell r="A13">
            <v>2</v>
          </cell>
          <cell r="B13" t="str">
            <v xml:space="preserve"> Gudang material &amp; alat</v>
          </cell>
          <cell r="D13">
            <v>16</v>
          </cell>
          <cell r="E13" t="str">
            <v>m2</v>
          </cell>
          <cell r="F13">
            <v>450000</v>
          </cell>
          <cell r="G13">
            <v>7200000</v>
          </cell>
        </row>
        <row r="14">
          <cell r="A14">
            <v>3</v>
          </cell>
          <cell r="B14" t="str">
            <v xml:space="preserve"> Kantor lapangan</v>
          </cell>
          <cell r="D14">
            <v>36</v>
          </cell>
          <cell r="E14" t="str">
            <v>m2</v>
          </cell>
          <cell r="F14">
            <v>700000</v>
          </cell>
          <cell r="G14">
            <v>25200000</v>
          </cell>
        </row>
        <row r="15">
          <cell r="A15">
            <v>4</v>
          </cell>
          <cell r="B15" t="str">
            <v xml:space="preserve"> Kamar mandi/WC sementara</v>
          </cell>
          <cell r="D15">
            <v>1</v>
          </cell>
          <cell r="E15" t="str">
            <v>ls</v>
          </cell>
          <cell r="F15">
            <v>2500000</v>
          </cell>
          <cell r="G15">
            <v>2500000</v>
          </cell>
        </row>
        <row r="16">
          <cell r="A16">
            <v>5</v>
          </cell>
          <cell r="B16" t="str">
            <v xml:space="preserve"> Listrik kerja</v>
          </cell>
          <cell r="D16">
            <v>1</v>
          </cell>
          <cell r="E16" t="str">
            <v>ls</v>
          </cell>
          <cell r="F16">
            <v>1500000</v>
          </cell>
          <cell r="G16">
            <v>1500000</v>
          </cell>
        </row>
        <row r="17">
          <cell r="A17">
            <v>6</v>
          </cell>
          <cell r="B17" t="str">
            <v xml:space="preserve"> Air kerja</v>
          </cell>
          <cell r="D17">
            <v>1</v>
          </cell>
          <cell r="E17" t="str">
            <v>ls</v>
          </cell>
          <cell r="F17">
            <v>1500000</v>
          </cell>
          <cell r="G17">
            <v>1500000</v>
          </cell>
        </row>
        <row r="18">
          <cell r="A18">
            <v>7</v>
          </cell>
          <cell r="B18" t="str">
            <v xml:space="preserve"> Tabung pemadam (FE) 6 kg + bracket</v>
          </cell>
          <cell r="D18">
            <v>2</v>
          </cell>
          <cell r="E18" t="str">
            <v>bh</v>
          </cell>
          <cell r="F18">
            <v>350000</v>
          </cell>
          <cell r="G18">
            <v>700000</v>
          </cell>
        </row>
        <row r="19">
          <cell r="A19">
            <v>8</v>
          </cell>
          <cell r="B19" t="str">
            <v xml:space="preserve"> Pengukuran &amp; pengelotan</v>
          </cell>
          <cell r="D19">
            <v>1</v>
          </cell>
          <cell r="E19" t="str">
            <v>ls</v>
          </cell>
          <cell r="F19">
            <v>2925000</v>
          </cell>
          <cell r="G19">
            <v>2925000</v>
          </cell>
        </row>
        <row r="20">
          <cell r="A20">
            <v>9</v>
          </cell>
          <cell r="B20" t="str">
            <v xml:space="preserve"> Foto dokumentasi</v>
          </cell>
          <cell r="D20">
            <v>1</v>
          </cell>
          <cell r="E20" t="str">
            <v>ls</v>
          </cell>
          <cell r="F20">
            <v>600000</v>
          </cell>
          <cell r="G20">
            <v>600000</v>
          </cell>
        </row>
        <row r="21">
          <cell r="A21">
            <v>10</v>
          </cell>
          <cell r="B21" t="str">
            <v xml:space="preserve"> Turap penahan tanah sementara</v>
          </cell>
          <cell r="D21">
            <v>88</v>
          </cell>
          <cell r="E21" t="str">
            <v>m'</v>
          </cell>
          <cell r="F21">
            <v>175000</v>
          </cell>
          <cell r="G21">
            <v>15400000</v>
          </cell>
        </row>
        <row r="22">
          <cell r="A22">
            <v>11</v>
          </cell>
          <cell r="B22" t="str">
            <v xml:space="preserve"> Bouwplank</v>
          </cell>
          <cell r="D22">
            <v>140</v>
          </cell>
          <cell r="E22" t="str">
            <v>m'</v>
          </cell>
          <cell r="F22">
            <v>30000</v>
          </cell>
          <cell r="G22">
            <v>4200000</v>
          </cell>
        </row>
        <row r="24">
          <cell r="B24" t="str">
            <v xml:space="preserve"> Jumlah bobot pekerjaan persiapan</v>
          </cell>
          <cell r="G24">
            <v>76725000</v>
          </cell>
        </row>
        <row r="26">
          <cell r="A26" t="str">
            <v>II</v>
          </cell>
          <cell r="B26" t="str">
            <v xml:space="preserve"> PEKERJAAN TANAH</v>
          </cell>
        </row>
        <row r="27">
          <cell r="A27">
            <v>1</v>
          </cell>
          <cell r="B27" t="str">
            <v xml:space="preserve"> Galian tanah</v>
          </cell>
          <cell r="D27">
            <v>1900</v>
          </cell>
          <cell r="E27" t="str">
            <v>m3</v>
          </cell>
          <cell r="F27">
            <v>47486.34</v>
          </cell>
          <cell r="G27">
            <v>90224046</v>
          </cell>
        </row>
        <row r="28">
          <cell r="A28">
            <v>2</v>
          </cell>
          <cell r="B28" t="str">
            <v xml:space="preserve"> Urugan tanah kembali + pemadatan</v>
          </cell>
          <cell r="D28">
            <v>475</v>
          </cell>
          <cell r="E28" t="str">
            <v>m3</v>
          </cell>
          <cell r="F28">
            <v>17417</v>
          </cell>
          <cell r="G28">
            <v>8273075</v>
          </cell>
        </row>
        <row r="29">
          <cell r="A29">
            <v>3</v>
          </cell>
          <cell r="B29" t="str">
            <v>Buangan Sisa Tanah Galian</v>
          </cell>
          <cell r="D29">
            <v>1425</v>
          </cell>
          <cell r="E29" t="str">
            <v>m3</v>
          </cell>
          <cell r="F29">
            <v>16620.218999999997</v>
          </cell>
          <cell r="G29">
            <v>23683812.074999996</v>
          </cell>
        </row>
        <row r="30">
          <cell r="A30">
            <v>4</v>
          </cell>
          <cell r="B30" t="str">
            <v xml:space="preserve"> Drainase sementara</v>
          </cell>
          <cell r="D30">
            <v>1</v>
          </cell>
          <cell r="E30" t="str">
            <v>ls</v>
          </cell>
          <cell r="F30">
            <v>5000000</v>
          </cell>
          <cell r="G30">
            <v>5000000</v>
          </cell>
        </row>
        <row r="32">
          <cell r="B32" t="str">
            <v xml:space="preserve"> Jumlah bobot pekerjaan tanah</v>
          </cell>
          <cell r="G32">
            <v>127180933.07499999</v>
          </cell>
        </row>
        <row r="34">
          <cell r="A34" t="str">
            <v>III</v>
          </cell>
          <cell r="B34" t="str">
            <v xml:space="preserve"> PEKERJAAN SUB STRUKTUR</v>
          </cell>
        </row>
        <row r="36">
          <cell r="A36" t="str">
            <v>III.A</v>
          </cell>
          <cell r="B36" t="str">
            <v xml:space="preserve"> PEKERJAAN PILE CAP &amp; TIE BEAM</v>
          </cell>
        </row>
        <row r="38">
          <cell r="A38">
            <v>1</v>
          </cell>
          <cell r="B38" t="str">
            <v xml:space="preserve"> Pemotongan kepala tiang pancang</v>
          </cell>
          <cell r="D38">
            <v>40</v>
          </cell>
          <cell r="E38" t="str">
            <v>Bh</v>
          </cell>
          <cell r="F38">
            <v>100000</v>
          </cell>
          <cell r="G38">
            <v>4000000</v>
          </cell>
        </row>
        <row r="39">
          <cell r="A39">
            <v>2</v>
          </cell>
          <cell r="B39" t="str">
            <v xml:space="preserve"> Urugan pasir bawah lantai kerja t = 10 cm</v>
          </cell>
          <cell r="D39">
            <v>14.86</v>
          </cell>
          <cell r="E39" t="str">
            <v>m3</v>
          </cell>
          <cell r="F39">
            <v>132363</v>
          </cell>
          <cell r="G39">
            <v>1966914.18</v>
          </cell>
        </row>
        <row r="40">
          <cell r="A40">
            <v>3</v>
          </cell>
          <cell r="B40" t="str">
            <v xml:space="preserve"> Lantai kerja pile cap &amp; tie beam t = 5 cm</v>
          </cell>
          <cell r="D40">
            <v>7.43</v>
          </cell>
          <cell r="E40" t="str">
            <v>m3</v>
          </cell>
          <cell r="F40">
            <v>748820</v>
          </cell>
          <cell r="G40">
            <v>5563732.5999999996</v>
          </cell>
        </row>
        <row r="41">
          <cell r="A41">
            <v>4</v>
          </cell>
          <cell r="B41" t="str">
            <v xml:space="preserve"> Pile cap , besi 175 kg.m3</v>
          </cell>
          <cell r="D41">
            <v>80</v>
          </cell>
          <cell r="E41" t="str">
            <v>m3</v>
          </cell>
          <cell r="F41">
            <v>2467032.1</v>
          </cell>
          <cell r="G41">
            <v>197362568</v>
          </cell>
        </row>
        <row r="42">
          <cell r="A42">
            <v>5</v>
          </cell>
          <cell r="B42" t="str">
            <v xml:space="preserve"> Tie beam 25/50, besi 175 kg/m3</v>
          </cell>
          <cell r="D42">
            <v>24.5</v>
          </cell>
          <cell r="E42" t="str">
            <v>m3</v>
          </cell>
          <cell r="F42">
            <v>2467032.1</v>
          </cell>
          <cell r="G42">
            <v>60442286.450000003</v>
          </cell>
        </row>
        <row r="43">
          <cell r="A43">
            <v>6</v>
          </cell>
          <cell r="B43" t="str">
            <v>Tiang Pancang 40x40 cm + Ongkos Pancang</v>
          </cell>
          <cell r="D43">
            <v>480</v>
          </cell>
          <cell r="E43" t="str">
            <v>m</v>
          </cell>
          <cell r="F43">
            <v>390000</v>
          </cell>
          <cell r="G43">
            <v>187200000</v>
          </cell>
        </row>
        <row r="44">
          <cell r="B44" t="str">
            <v>( Panjang 12 m )</v>
          </cell>
        </row>
        <row r="46">
          <cell r="B46" t="str">
            <v xml:space="preserve"> Jumlah biaya pekerjaan pile cap &amp; tie beam</v>
          </cell>
          <cell r="G46">
            <v>269335501.23000002</v>
          </cell>
        </row>
        <row r="48">
          <cell r="A48" t="str">
            <v>III.B</v>
          </cell>
          <cell r="B48" t="str">
            <v xml:space="preserve"> PEKERJAAN STRUKTUR BASEMENT</v>
          </cell>
        </row>
        <row r="50">
          <cell r="A50">
            <v>1</v>
          </cell>
          <cell r="B50" t="str">
            <v xml:space="preserve"> Urugan pasir bawah lantai kerja t = 10 cm</v>
          </cell>
          <cell r="D50">
            <v>47.5</v>
          </cell>
          <cell r="E50" t="str">
            <v>m3</v>
          </cell>
          <cell r="F50">
            <v>132363</v>
          </cell>
          <cell r="G50">
            <v>6287242.5</v>
          </cell>
        </row>
        <row r="51">
          <cell r="A51">
            <v>2</v>
          </cell>
          <cell r="B51" t="str">
            <v xml:space="preserve"> Lantai kerja t = 5 cm</v>
          </cell>
          <cell r="D51">
            <v>23.75</v>
          </cell>
          <cell r="E51" t="str">
            <v>m3</v>
          </cell>
          <cell r="F51">
            <v>524174</v>
          </cell>
          <cell r="G51">
            <v>12449132.5</v>
          </cell>
        </row>
        <row r="52">
          <cell r="A52">
            <v>3</v>
          </cell>
          <cell r="B52" t="str">
            <v xml:space="preserve"> Pelat lt basement t = 25 cm, besi 175 kg/m3</v>
          </cell>
          <cell r="D52">
            <v>118.75</v>
          </cell>
          <cell r="E52" t="str">
            <v>m3</v>
          </cell>
          <cell r="F52">
            <v>2467032.1</v>
          </cell>
          <cell r="G52">
            <v>292960061.875</v>
          </cell>
        </row>
        <row r="53">
          <cell r="A53">
            <v>4</v>
          </cell>
          <cell r="B53" t="str">
            <v xml:space="preserve"> Dinding basement t = 25 cm, besi 175 kg/m3</v>
          </cell>
          <cell r="D53">
            <v>88</v>
          </cell>
          <cell r="E53" t="str">
            <v>m3</v>
          </cell>
          <cell r="F53">
            <v>2467032.1</v>
          </cell>
          <cell r="G53">
            <v>217098824.80000001</v>
          </cell>
        </row>
        <row r="54">
          <cell r="A54">
            <v>5</v>
          </cell>
          <cell r="B54" t="str">
            <v xml:space="preserve"> Floor hardener 4 kg/m2</v>
          </cell>
          <cell r="D54">
            <v>475</v>
          </cell>
          <cell r="E54" t="str">
            <v>m2</v>
          </cell>
          <cell r="F54">
            <v>20000</v>
          </cell>
          <cell r="G54">
            <v>9500000</v>
          </cell>
        </row>
        <row r="55">
          <cell r="A55">
            <v>6</v>
          </cell>
          <cell r="B55" t="str">
            <v xml:space="preserve"> Kolom 30/30 cm, besi 300 kg/m3</v>
          </cell>
          <cell r="D55">
            <v>12.6</v>
          </cell>
          <cell r="E55" t="str">
            <v>m3</v>
          </cell>
          <cell r="F55">
            <v>5749562.3999999994</v>
          </cell>
          <cell r="G55">
            <v>72444486.239999995</v>
          </cell>
        </row>
        <row r="56">
          <cell r="A56">
            <v>7</v>
          </cell>
          <cell r="B56" t="str">
            <v xml:space="preserve"> Kolom 40/40 cm, besi 300 kg/m3</v>
          </cell>
          <cell r="D56">
            <v>11.520000000000001</v>
          </cell>
          <cell r="E56" t="str">
            <v>m3</v>
          </cell>
          <cell r="F56">
            <v>3722557.8</v>
          </cell>
          <cell r="G56">
            <v>42883865.856000006</v>
          </cell>
        </row>
        <row r="57">
          <cell r="A57">
            <v>8</v>
          </cell>
          <cell r="B57" t="str">
            <v xml:space="preserve"> Kolom 50/50 cm, besi 300 kg/m3</v>
          </cell>
          <cell r="D57">
            <v>18</v>
          </cell>
          <cell r="E57" t="str">
            <v>m3</v>
          </cell>
          <cell r="F57">
            <v>3722557.8</v>
          </cell>
          <cell r="G57">
            <v>67006040.399999999</v>
          </cell>
        </row>
        <row r="60">
          <cell r="B60" t="str">
            <v xml:space="preserve"> Jumlah biaya pekerjaan struktur basement</v>
          </cell>
          <cell r="G60">
            <v>720629654.17099988</v>
          </cell>
        </row>
        <row r="61">
          <cell r="A61" t="str">
            <v>IV</v>
          </cell>
          <cell r="B61" t="str">
            <v xml:space="preserve"> PEKERJAAN UPPER STRUKTUR</v>
          </cell>
        </row>
        <row r="63">
          <cell r="A63" t="str">
            <v>IV.A</v>
          </cell>
          <cell r="B63" t="str">
            <v xml:space="preserve"> PEKERJAAN STRUKTUR LANTAI 1</v>
          </cell>
        </row>
        <row r="64">
          <cell r="A64">
            <v>1</v>
          </cell>
          <cell r="B64" t="str">
            <v xml:space="preserve"> Urug pasir bawah lt kerja  t = 10 cm</v>
          </cell>
          <cell r="D64">
            <v>47.5</v>
          </cell>
          <cell r="E64" t="str">
            <v>m3</v>
          </cell>
          <cell r="F64">
            <v>132363</v>
          </cell>
          <cell r="G64">
            <v>6287242.5</v>
          </cell>
        </row>
        <row r="65">
          <cell r="A65">
            <v>2</v>
          </cell>
          <cell r="B65" t="str">
            <v xml:space="preserve"> Lantai kerja  t = 5 cm</v>
          </cell>
          <cell r="D65">
            <v>23.75</v>
          </cell>
          <cell r="E65" t="str">
            <v>m3</v>
          </cell>
          <cell r="F65">
            <v>748820</v>
          </cell>
          <cell r="G65">
            <v>17784475</v>
          </cell>
        </row>
        <row r="66">
          <cell r="A66">
            <v>3</v>
          </cell>
          <cell r="B66" t="str">
            <v xml:space="preserve"> Balok lantai 20/30, besi 175 kg/m3</v>
          </cell>
          <cell r="D66">
            <v>14.399999999999999</v>
          </cell>
          <cell r="E66" t="str">
            <v>m3</v>
          </cell>
          <cell r="F66">
            <v>2467032.1</v>
          </cell>
          <cell r="G66">
            <v>35525262.239999995</v>
          </cell>
        </row>
        <row r="67">
          <cell r="A67">
            <v>4</v>
          </cell>
          <cell r="B67" t="str">
            <v xml:space="preserve"> Balok lantai 30/50, besi 350 kg/m3</v>
          </cell>
          <cell r="D67">
            <v>14.399999999999999</v>
          </cell>
          <cell r="E67" t="str">
            <v>m3</v>
          </cell>
          <cell r="F67">
            <v>4067417.5</v>
          </cell>
          <cell r="G67">
            <v>58570811.999999993</v>
          </cell>
        </row>
        <row r="68">
          <cell r="A68">
            <v>5</v>
          </cell>
          <cell r="B68" t="str">
            <v xml:space="preserve"> Balok lantai 30/50, besi 350 kg/m3</v>
          </cell>
          <cell r="D68">
            <v>15</v>
          </cell>
          <cell r="E68" t="str">
            <v>m3</v>
          </cell>
          <cell r="F68">
            <v>4067417.5</v>
          </cell>
          <cell r="G68">
            <v>61011262.5</v>
          </cell>
        </row>
        <row r="69">
          <cell r="A69">
            <v>6</v>
          </cell>
          <cell r="B69" t="str">
            <v xml:space="preserve"> Balok lantai 30/60, besi 350 kg/m3</v>
          </cell>
          <cell r="D69">
            <v>15.84</v>
          </cell>
          <cell r="E69" t="str">
            <v>m3</v>
          </cell>
          <cell r="F69">
            <v>4067417.5</v>
          </cell>
          <cell r="G69">
            <v>64427893.200000003</v>
          </cell>
        </row>
        <row r="70">
          <cell r="A70">
            <v>7</v>
          </cell>
          <cell r="B70" t="str">
            <v xml:space="preserve"> Pelat lantai 1, t = 20 cm, besi 150 kg/m3</v>
          </cell>
          <cell r="D70">
            <v>95</v>
          </cell>
          <cell r="E70" t="str">
            <v>m3</v>
          </cell>
          <cell r="F70">
            <v>2214316</v>
          </cell>
          <cell r="G70">
            <v>210360020</v>
          </cell>
        </row>
        <row r="71">
          <cell r="A71">
            <v>8</v>
          </cell>
          <cell r="B71" t="str">
            <v xml:space="preserve"> Kolom 30/30 cm, besi 300 kg/m3</v>
          </cell>
          <cell r="D71">
            <v>12.6</v>
          </cell>
          <cell r="E71" t="str">
            <v>m3</v>
          </cell>
          <cell r="F71">
            <v>3722557.8</v>
          </cell>
          <cell r="G71">
            <v>46904228.279999994</v>
          </cell>
        </row>
        <row r="72">
          <cell r="A72">
            <v>9</v>
          </cell>
          <cell r="B72" t="str">
            <v xml:space="preserve"> Kolom 40/40 cm, besi 300 kg/m3</v>
          </cell>
          <cell r="D72">
            <v>11.520000000000001</v>
          </cell>
          <cell r="E72" t="str">
            <v>m3</v>
          </cell>
          <cell r="F72">
            <v>3722557.8</v>
          </cell>
          <cell r="G72">
            <v>42883865.856000006</v>
          </cell>
        </row>
        <row r="73">
          <cell r="A73">
            <v>10</v>
          </cell>
          <cell r="B73" t="str">
            <v xml:space="preserve"> Kolom 50/50 cm, besi 300 kg/m3</v>
          </cell>
          <cell r="D73">
            <v>18</v>
          </cell>
          <cell r="E73" t="str">
            <v>m3</v>
          </cell>
          <cell r="F73">
            <v>3722557.8</v>
          </cell>
          <cell r="G73">
            <v>67006040.399999999</v>
          </cell>
        </row>
        <row r="74">
          <cell r="A74">
            <v>11</v>
          </cell>
          <cell r="B74" t="str">
            <v xml:space="preserve"> Kolom praktis 15/15 cm, besi 175 kg/m3</v>
          </cell>
          <cell r="D74">
            <v>8.4240000000000013</v>
          </cell>
          <cell r="E74" t="str">
            <v>m3</v>
          </cell>
          <cell r="F74">
            <v>2277260.4</v>
          </cell>
          <cell r="G74">
            <v>19183641.609600004</v>
          </cell>
        </row>
        <row r="76">
          <cell r="B76" t="str">
            <v xml:space="preserve"> Jumlah biaya pekerjaan struktur lantai 1</v>
          </cell>
          <cell r="G76">
            <v>629944743.5855999</v>
          </cell>
        </row>
        <row r="77">
          <cell r="A77" t="str">
            <v>IV.B</v>
          </cell>
          <cell r="B77" t="str">
            <v xml:space="preserve"> PEKERJAAN STRUKTUR LANTAI 2</v>
          </cell>
        </row>
        <row r="78">
          <cell r="A78">
            <v>1</v>
          </cell>
          <cell r="B78" t="str">
            <v xml:space="preserve"> Urugan pasir lantai 2</v>
          </cell>
          <cell r="D78">
            <v>47.5</v>
          </cell>
          <cell r="E78" t="str">
            <v>m3</v>
          </cell>
          <cell r="F78">
            <v>132363</v>
          </cell>
          <cell r="G78">
            <v>6287242.5</v>
          </cell>
        </row>
        <row r="79">
          <cell r="A79">
            <v>2</v>
          </cell>
          <cell r="B79" t="str">
            <v xml:space="preserve"> Lantai kerja  t = 5 cm</v>
          </cell>
          <cell r="D79">
            <v>23.75</v>
          </cell>
          <cell r="E79" t="str">
            <v>m3</v>
          </cell>
          <cell r="F79">
            <v>748820</v>
          </cell>
          <cell r="G79">
            <v>17784475</v>
          </cell>
        </row>
        <row r="80">
          <cell r="A80">
            <v>3</v>
          </cell>
          <cell r="B80" t="str">
            <v xml:space="preserve"> Balok lantai 20/30, besi 175 kg/m3</v>
          </cell>
          <cell r="D80">
            <v>14.399999999999999</v>
          </cell>
          <cell r="E80" t="str">
            <v>m3</v>
          </cell>
          <cell r="F80">
            <v>2467032.1</v>
          </cell>
          <cell r="G80">
            <v>35525262.239999995</v>
          </cell>
        </row>
        <row r="81">
          <cell r="A81">
            <v>4</v>
          </cell>
          <cell r="B81" t="str">
            <v xml:space="preserve"> Balok lantai 30/50, besi 350 kg/m3</v>
          </cell>
          <cell r="D81">
            <v>14.399999999999999</v>
          </cell>
          <cell r="E81" t="str">
            <v>m3</v>
          </cell>
          <cell r="F81">
            <v>4067417.5</v>
          </cell>
          <cell r="G81">
            <v>58570811.999999993</v>
          </cell>
        </row>
        <row r="82">
          <cell r="A82">
            <v>5</v>
          </cell>
          <cell r="B82" t="str">
            <v xml:space="preserve"> Balok lantai 30/50, besi 350 kg/m3</v>
          </cell>
          <cell r="D82">
            <v>15</v>
          </cell>
          <cell r="E82" t="str">
            <v>m3</v>
          </cell>
          <cell r="F82">
            <v>4230114.2</v>
          </cell>
          <cell r="G82">
            <v>63451713</v>
          </cell>
        </row>
        <row r="83">
          <cell r="A83">
            <v>6</v>
          </cell>
          <cell r="B83" t="str">
            <v xml:space="preserve"> Balok lantai 30/60, besi 350 kg/m3</v>
          </cell>
          <cell r="D83">
            <v>15.84</v>
          </cell>
          <cell r="E83" t="str">
            <v>m3</v>
          </cell>
          <cell r="F83">
            <v>4230114.2</v>
          </cell>
          <cell r="G83">
            <v>67005008.928000003</v>
          </cell>
        </row>
        <row r="84">
          <cell r="A84">
            <v>7</v>
          </cell>
          <cell r="B84" t="str">
            <v xml:space="preserve"> Pelat lantai 2, t = 15 cm, besi 150 kg/m3</v>
          </cell>
          <cell r="D84">
            <v>71.25</v>
          </cell>
          <cell r="E84" t="str">
            <v>m3</v>
          </cell>
          <cell r="F84">
            <v>2214316</v>
          </cell>
          <cell r="G84">
            <v>157770015</v>
          </cell>
        </row>
        <row r="85">
          <cell r="A85">
            <v>8</v>
          </cell>
          <cell r="B85" t="str">
            <v xml:space="preserve"> Kolom 30/30 cm, besi 300 kg/m3</v>
          </cell>
          <cell r="D85">
            <v>12.6</v>
          </cell>
          <cell r="E85" t="str">
            <v>m3</v>
          </cell>
          <cell r="F85">
            <v>6228692.6000000006</v>
          </cell>
          <cell r="G85">
            <v>78481526.760000005</v>
          </cell>
        </row>
        <row r="86">
          <cell r="A86">
            <v>9</v>
          </cell>
          <cell r="B86" t="str">
            <v xml:space="preserve"> Kolom 40/40 cm, besi 300 kg/m3</v>
          </cell>
          <cell r="D86">
            <v>11.520000000000001</v>
          </cell>
          <cell r="E86" t="str">
            <v>m3</v>
          </cell>
          <cell r="F86">
            <v>3215637.1</v>
          </cell>
          <cell r="G86">
            <v>37044139.392000005</v>
          </cell>
        </row>
        <row r="87">
          <cell r="A87">
            <v>10</v>
          </cell>
          <cell r="B87" t="str">
            <v xml:space="preserve"> Kolom 50/50 cm, besi 300 kg/m3</v>
          </cell>
          <cell r="D87">
            <v>18</v>
          </cell>
          <cell r="E87" t="str">
            <v>m3</v>
          </cell>
          <cell r="F87">
            <v>2214316</v>
          </cell>
          <cell r="G87">
            <v>39857688</v>
          </cell>
        </row>
        <row r="88">
          <cell r="A88">
            <v>11</v>
          </cell>
          <cell r="B88" t="str">
            <v xml:space="preserve"> Kolom praktis 15/15 cm, besi 175 kg/m3</v>
          </cell>
          <cell r="D88">
            <v>8.4240000000000013</v>
          </cell>
          <cell r="E88" t="str">
            <v>m3</v>
          </cell>
          <cell r="F88">
            <v>2467032.1</v>
          </cell>
          <cell r="G88">
            <v>20782278.410400003</v>
          </cell>
        </row>
        <row r="89">
          <cell r="A89">
            <v>12</v>
          </cell>
          <cell r="B89" t="str">
            <v xml:space="preserve"> Listplank t = 8 cm  h = 0.60 m, besi 100 kg/m3</v>
          </cell>
          <cell r="D89">
            <v>4.2240000000000002</v>
          </cell>
          <cell r="E89" t="str">
            <v>m3</v>
          </cell>
          <cell r="F89">
            <v>1710807.8</v>
          </cell>
          <cell r="G89">
            <v>7226452.1472000005</v>
          </cell>
        </row>
        <row r="91">
          <cell r="B91" t="str">
            <v xml:space="preserve"> Jumlah biaya pekerjaan struktur lantai 2</v>
          </cell>
          <cell r="G91">
            <v>589786613.37759995</v>
          </cell>
        </row>
        <row r="93">
          <cell r="A93" t="str">
            <v>IV.C</v>
          </cell>
          <cell r="B93" t="str">
            <v xml:space="preserve"> PEKERJAAN STRUKTUR LANTAI 3</v>
          </cell>
        </row>
        <row r="94">
          <cell r="A94">
            <v>1</v>
          </cell>
          <cell r="B94" t="str">
            <v xml:space="preserve"> Urugan pasir lantai 3</v>
          </cell>
          <cell r="D94">
            <v>47.5</v>
          </cell>
          <cell r="E94" t="str">
            <v>m3</v>
          </cell>
          <cell r="F94">
            <v>132363</v>
          </cell>
          <cell r="G94">
            <v>6287242.5</v>
          </cell>
        </row>
        <row r="95">
          <cell r="A95">
            <v>2</v>
          </cell>
          <cell r="B95" t="str">
            <v xml:space="preserve"> Lantai kerja  t = 5 cm</v>
          </cell>
          <cell r="D95">
            <v>23.75</v>
          </cell>
          <cell r="E95" t="str">
            <v>m3</v>
          </cell>
          <cell r="F95">
            <v>748820</v>
          </cell>
          <cell r="G95">
            <v>17784475</v>
          </cell>
        </row>
        <row r="96">
          <cell r="A96">
            <v>3</v>
          </cell>
          <cell r="B96" t="str">
            <v xml:space="preserve"> Balok lantai 20/30, besi 175 kg/m3</v>
          </cell>
          <cell r="D96">
            <v>14.399999999999999</v>
          </cell>
          <cell r="E96" t="str">
            <v>m3</v>
          </cell>
          <cell r="F96">
            <v>2467032.1</v>
          </cell>
          <cell r="G96">
            <v>35525262.239999995</v>
          </cell>
        </row>
        <row r="97">
          <cell r="A97">
            <v>4</v>
          </cell>
          <cell r="B97" t="str">
            <v xml:space="preserve"> Balok lantai 30/50, besi 350 kg/m3</v>
          </cell>
          <cell r="D97">
            <v>14.399999999999999</v>
          </cell>
          <cell r="E97" t="str">
            <v>m3</v>
          </cell>
          <cell r="F97">
            <v>4230114.2</v>
          </cell>
          <cell r="G97">
            <v>60913644.479999997</v>
          </cell>
        </row>
        <row r="98">
          <cell r="A98">
            <v>5</v>
          </cell>
          <cell r="B98" t="str">
            <v xml:space="preserve"> Balok lantai 30/50, besi 350 kg/m3</v>
          </cell>
          <cell r="D98">
            <v>15</v>
          </cell>
          <cell r="E98" t="str">
            <v>m3</v>
          </cell>
          <cell r="F98">
            <v>4230114.2</v>
          </cell>
          <cell r="G98">
            <v>63451713</v>
          </cell>
        </row>
        <row r="99">
          <cell r="A99">
            <v>6</v>
          </cell>
          <cell r="B99" t="str">
            <v xml:space="preserve"> Balok lantai 30/60, besi 350 kg/m3</v>
          </cell>
          <cell r="D99">
            <v>15.84</v>
          </cell>
          <cell r="E99" t="str">
            <v>m3</v>
          </cell>
          <cell r="F99">
            <v>4230114.2</v>
          </cell>
          <cell r="G99">
            <v>67005008.928000003</v>
          </cell>
        </row>
        <row r="100">
          <cell r="A100">
            <v>7</v>
          </cell>
          <cell r="B100" t="str">
            <v xml:space="preserve"> Pelat lantai 2, t = 15 cm, besi 150 kg/m3</v>
          </cell>
          <cell r="D100">
            <v>71.25</v>
          </cell>
          <cell r="E100" t="str">
            <v>m3</v>
          </cell>
          <cell r="F100">
            <v>2214316</v>
          </cell>
          <cell r="G100">
            <v>157770015</v>
          </cell>
        </row>
        <row r="101">
          <cell r="A101">
            <v>8</v>
          </cell>
          <cell r="B101" t="str">
            <v xml:space="preserve"> Kolom 30/30 cm, besi 300 kg/m3</v>
          </cell>
          <cell r="D101">
            <v>12.6</v>
          </cell>
          <cell r="E101" t="str">
            <v>m3</v>
          </cell>
          <cell r="F101">
            <v>6228692.6000000006</v>
          </cell>
          <cell r="G101">
            <v>78481526.760000005</v>
          </cell>
        </row>
        <row r="102">
          <cell r="A102">
            <v>9</v>
          </cell>
          <cell r="B102" t="str">
            <v xml:space="preserve"> Kolom 40/40 cm, besi 300 kg/m3</v>
          </cell>
          <cell r="D102">
            <v>11.520000000000001</v>
          </cell>
          <cell r="E102" t="str">
            <v>m3</v>
          </cell>
          <cell r="F102">
            <v>3215637.1</v>
          </cell>
          <cell r="G102">
            <v>37044139.392000005</v>
          </cell>
        </row>
        <row r="103">
          <cell r="A103">
            <v>10</v>
          </cell>
          <cell r="B103" t="str">
            <v xml:space="preserve"> Kolom 50/50 cm, besi 300 kg/m3</v>
          </cell>
          <cell r="D103">
            <v>18</v>
          </cell>
          <cell r="E103" t="str">
            <v>m3</v>
          </cell>
          <cell r="F103">
            <v>2214316</v>
          </cell>
          <cell r="G103">
            <v>39857688</v>
          </cell>
        </row>
        <row r="104">
          <cell r="A104">
            <v>11</v>
          </cell>
          <cell r="B104" t="str">
            <v xml:space="preserve"> Kolom praktis 15/15 cm, besi 175 kg/m3</v>
          </cell>
          <cell r="D104">
            <v>8.4240000000000013</v>
          </cell>
          <cell r="E104" t="str">
            <v>m3</v>
          </cell>
          <cell r="F104">
            <v>2467032.1</v>
          </cell>
          <cell r="G104">
            <v>20782278.410400003</v>
          </cell>
        </row>
        <row r="105">
          <cell r="A105">
            <v>12</v>
          </cell>
          <cell r="B105" t="str">
            <v xml:space="preserve"> Listplank t = 8 cm  h = 0.60 m, besi 100 kg/m3</v>
          </cell>
          <cell r="D105">
            <v>4.2240000000000002</v>
          </cell>
          <cell r="E105" t="str">
            <v>m3</v>
          </cell>
          <cell r="F105">
            <v>1710807.8</v>
          </cell>
          <cell r="G105">
            <v>7226452.1472000005</v>
          </cell>
        </row>
        <row r="107">
          <cell r="B107" t="str">
            <v xml:space="preserve"> Jumlah biaya pekerjaan struktur lantai 3</v>
          </cell>
          <cell r="G107">
            <v>592129445.85759997</v>
          </cell>
        </row>
        <row r="108">
          <cell r="A108" t="str">
            <v>IV.D</v>
          </cell>
          <cell r="B108" t="str">
            <v xml:space="preserve"> PEKERJAAN STRUKTUR ATAP BETON</v>
          </cell>
        </row>
        <row r="109">
          <cell r="A109">
            <v>1</v>
          </cell>
          <cell r="B109" t="str">
            <v xml:space="preserve"> Balok lantai 20/30, besi 225 kg/m3</v>
          </cell>
          <cell r="D109">
            <v>14.399999999999999</v>
          </cell>
          <cell r="E109" t="str">
            <v>m3</v>
          </cell>
          <cell r="F109">
            <v>2964919.1</v>
          </cell>
          <cell r="G109">
            <v>42694835.039999999</v>
          </cell>
        </row>
        <row r="110">
          <cell r="A110">
            <v>2</v>
          </cell>
          <cell r="B110" t="str">
            <v xml:space="preserve"> Balok atap 30/30, besi 225 kg/m3</v>
          </cell>
          <cell r="D110">
            <v>8.64</v>
          </cell>
          <cell r="E110" t="str">
            <v>m3</v>
          </cell>
          <cell r="F110">
            <v>2964919.1</v>
          </cell>
          <cell r="G110">
            <v>25616901.024000004</v>
          </cell>
        </row>
        <row r="111">
          <cell r="A111">
            <v>3</v>
          </cell>
          <cell r="B111" t="str">
            <v xml:space="preserve"> Balok atap 30/30, besi 225 kg/m3</v>
          </cell>
          <cell r="D111">
            <v>9</v>
          </cell>
          <cell r="E111" t="str">
            <v>m3</v>
          </cell>
          <cell r="F111">
            <v>2964919.1</v>
          </cell>
          <cell r="G111">
            <v>26684271.900000002</v>
          </cell>
        </row>
        <row r="112">
          <cell r="A112">
            <v>4</v>
          </cell>
          <cell r="B112" t="str">
            <v xml:space="preserve"> Balok atap 30/45, besi 225 kg/m3</v>
          </cell>
          <cell r="D112">
            <v>11.88</v>
          </cell>
          <cell r="E112" t="str">
            <v>m3</v>
          </cell>
          <cell r="F112">
            <v>2964919.1</v>
          </cell>
          <cell r="G112">
            <v>35223238.908</v>
          </cell>
        </row>
        <row r="113">
          <cell r="A113">
            <v>5</v>
          </cell>
          <cell r="B113" t="str">
            <v xml:space="preserve"> Balok lift 30/60, besi 350 kg/m3</v>
          </cell>
          <cell r="D113">
            <v>4.32</v>
          </cell>
          <cell r="E113" t="str">
            <v>m3</v>
          </cell>
          <cell r="F113">
            <v>4230114.2</v>
          </cell>
          <cell r="G113">
            <v>18274093.344000001</v>
          </cell>
        </row>
        <row r="114">
          <cell r="A114">
            <v>6</v>
          </cell>
          <cell r="B114" t="str">
            <v xml:space="preserve"> Pelat atap, t = 15 cm, besi 100 kg/m3</v>
          </cell>
          <cell r="D114">
            <v>71.25</v>
          </cell>
          <cell r="E114" t="str">
            <v>m3</v>
          </cell>
          <cell r="F114">
            <v>1710807.8</v>
          </cell>
          <cell r="G114">
            <v>121895055.75</v>
          </cell>
        </row>
        <row r="115">
          <cell r="A115">
            <v>7</v>
          </cell>
          <cell r="B115" t="str">
            <v xml:space="preserve"> Pelat talang, t = 12 cm, besi 100 kg/m3</v>
          </cell>
          <cell r="D115">
            <v>10.559999999999999</v>
          </cell>
          <cell r="E115" t="str">
            <v>m3</v>
          </cell>
          <cell r="F115">
            <v>1710807.8</v>
          </cell>
          <cell r="G115">
            <v>18066130.367999997</v>
          </cell>
        </row>
        <row r="116">
          <cell r="A116">
            <v>8</v>
          </cell>
          <cell r="B116" t="str">
            <v xml:space="preserve"> Listplank t = 8 cm h = 60 m, besi 100 kg/m3</v>
          </cell>
          <cell r="D116">
            <v>4.2240000000000002</v>
          </cell>
          <cell r="E116" t="str">
            <v>m3</v>
          </cell>
          <cell r="F116">
            <v>1710807.8</v>
          </cell>
          <cell r="G116">
            <v>7226452.1472000005</v>
          </cell>
        </row>
        <row r="117">
          <cell r="A117">
            <v>9</v>
          </cell>
          <cell r="B117" t="str">
            <v xml:space="preserve"> Secreeding dasar talang, t rata-rata = 3 cm</v>
          </cell>
          <cell r="D117">
            <v>44</v>
          </cell>
          <cell r="E117" t="str">
            <v>m2</v>
          </cell>
          <cell r="F117">
            <v>50000</v>
          </cell>
          <cell r="G117">
            <v>2200000</v>
          </cell>
        </row>
        <row r="121">
          <cell r="B121" t="str">
            <v xml:space="preserve"> Jumlah biaya pekerjaan struktur atap beton</v>
          </cell>
          <cell r="G121">
            <v>255186143.44119999</v>
          </cell>
        </row>
        <row r="123">
          <cell r="A123" t="str">
            <v>IV.E</v>
          </cell>
          <cell r="B123" t="str">
            <v xml:space="preserve"> PEKERJAAN STRUKTUR TANGGA</v>
          </cell>
        </row>
        <row r="124">
          <cell r="A124">
            <v>1</v>
          </cell>
          <cell r="B124" t="str">
            <v xml:space="preserve"> Pondasi tangga lantai basement </v>
          </cell>
          <cell r="D124">
            <v>1.5</v>
          </cell>
          <cell r="E124" t="str">
            <v>m3</v>
          </cell>
          <cell r="F124">
            <v>2964919.1</v>
          </cell>
          <cell r="G124">
            <v>4447378.6500000004</v>
          </cell>
        </row>
        <row r="125">
          <cell r="B125" t="str">
            <v xml:space="preserve"> besi 225 kg/m3</v>
          </cell>
        </row>
        <row r="126">
          <cell r="A126">
            <v>2</v>
          </cell>
          <cell r="B126" t="str">
            <v xml:space="preserve"> Pelat beton tangga Besi 175 kg/m3</v>
          </cell>
          <cell r="D126">
            <v>3.456</v>
          </cell>
          <cell r="E126" t="str">
            <v>m3</v>
          </cell>
          <cell r="F126">
            <v>2467032.1</v>
          </cell>
          <cell r="G126">
            <v>8526062.9375999998</v>
          </cell>
        </row>
        <row r="127">
          <cell r="A127">
            <v>3</v>
          </cell>
          <cell r="B127" t="str">
            <v xml:space="preserve"> Pelat beton Bordes Besi 175kg/m3</v>
          </cell>
          <cell r="D127">
            <v>1.44</v>
          </cell>
          <cell r="E127" t="str">
            <v>m3</v>
          </cell>
          <cell r="F127">
            <v>2467032.1</v>
          </cell>
          <cell r="G127">
            <v>3552526.2239999999</v>
          </cell>
        </row>
        <row r="128">
          <cell r="A128">
            <v>4</v>
          </cell>
          <cell r="B128" t="str">
            <v xml:space="preserve"> Beton Anak Tangga Besi 175 kg/m3</v>
          </cell>
          <cell r="D128">
            <v>3.12</v>
          </cell>
          <cell r="E128" t="str">
            <v>m3</v>
          </cell>
          <cell r="F128">
            <v>2467032.1</v>
          </cell>
          <cell r="G128">
            <v>7697140.1520000007</v>
          </cell>
        </row>
        <row r="129">
          <cell r="A129">
            <v>5</v>
          </cell>
          <cell r="B129" t="str">
            <v xml:space="preserve"> Balok Beton Tangga 30/45, besi 350 kg/m3</v>
          </cell>
          <cell r="D129">
            <v>1.08</v>
          </cell>
          <cell r="E129" t="str">
            <v>m3</v>
          </cell>
          <cell r="F129">
            <v>4230114.2</v>
          </cell>
          <cell r="G129">
            <v>4568523.3360000001</v>
          </cell>
        </row>
        <row r="131">
          <cell r="B131" t="str">
            <v xml:space="preserve"> Jumlah biaya pekerjaan struktur tangga</v>
          </cell>
          <cell r="G131">
            <v>16525967.8116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REKAP"/>
      <sheetName val="BQ"/>
      <sheetName val="L-3a(Analisa)"/>
      <sheetName val="Lamp-3b(Ur-Anl)"/>
      <sheetName val="L-3b(Ur-Anl) (2)"/>
      <sheetName val="REKAP DIRECT COST"/>
      <sheetName val="BQ DIRECT COST"/>
      <sheetName val="L-1(Dt Ktk)"/>
      <sheetName val="L-2a(Schedule)"/>
      <sheetName val="L-2b(Pengg Alt)"/>
      <sheetName val="L-2c(Peny Bhn)"/>
      <sheetName val="Penawaran"/>
      <sheetName val="L-4a(Mob)"/>
      <sheetName val="L6a,6b(Plant)"/>
      <sheetName val="L-7(Pemb Utama) "/>
      <sheetName val="L-8(Alat)"/>
      <sheetName val="L-9(Personil)"/>
      <sheetName val="L-10(Sub-Kont)"/>
      <sheetName val="L-11(Lp-Penaw)"/>
      <sheetName val="Hrg Upah"/>
      <sheetName val="Hrg Bahan"/>
      <sheetName val="Anl-Bahan"/>
      <sheetName val="Hrg Alat"/>
      <sheetName val="Anl-Alt"/>
      <sheetName val="Bahan&amp;Jarak(Quary)"/>
      <sheetName val="Denah AMP"/>
      <sheetName val="Lamp 5 On-Site"/>
      <sheetName val="Lamp-9 (Rutin)"/>
      <sheetName val="Dft Kelengkapan PQ"/>
      <sheetName val="Penilaian Kualifikasi"/>
      <sheetName val="Pakta Integritas"/>
      <sheetName val="Srt Minat (2)"/>
      <sheetName val="Harga Sewa Alat"/>
      <sheetName val="Alamat"/>
      <sheetName val="cari alat"/>
      <sheetName val="cari alat (2)"/>
      <sheetName val="Dft Kelengkapan PQ (2)"/>
      <sheetName val="Sheet1"/>
      <sheetName val="Sheet2"/>
      <sheetName val="Sheet3"/>
    </sheetNames>
    <sheetDataSet>
      <sheetData sheetId="0"/>
      <sheetData sheetId="1"/>
      <sheetData sheetId="2" refreshError="1">
        <row r="9">
          <cell r="J9" t="str">
            <v>PEMBANGUNAN JALAN DAN JEMBATAN</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overed_Sheet1"/>
      <sheetName val="000000"/>
      <sheetName val="Analys"/>
      <sheetName val="Harsat Upah"/>
      <sheetName val="Harsat Bahan"/>
      <sheetName val="GSG"/>
      <sheetName val="rekap2"/>
      <sheetName val="Analisa"/>
      <sheetName val="Harsat Pekerjaan"/>
      <sheetName val="RAB"/>
      <sheetName val="L. Hr"/>
    </sheetNames>
    <sheetDataSet>
      <sheetData sheetId="0" refreshError="1"/>
      <sheetData sheetId="1" refreshError="1"/>
      <sheetData sheetId="2" refreshError="1"/>
      <sheetData sheetId="3" refreshError="1"/>
      <sheetData sheetId="4" refreshError="1">
        <row r="8">
          <cell r="A8" t="str">
            <v>KODE</v>
          </cell>
          <cell r="D8" t="str">
            <v>SAT</v>
          </cell>
          <cell r="E8" t="str">
            <v>HARGA SAT.</v>
          </cell>
        </row>
        <row r="9">
          <cell r="E9" t="str">
            <v>Rp.</v>
          </cell>
        </row>
        <row r="10">
          <cell r="B10" t="str">
            <v>1</v>
          </cell>
          <cell r="C10" t="str">
            <v>2</v>
          </cell>
          <cell r="D10" t="str">
            <v>3</v>
          </cell>
          <cell r="E10" t="str">
            <v>4</v>
          </cell>
        </row>
        <row r="12">
          <cell r="B12" t="str">
            <v>A</v>
          </cell>
          <cell r="C12" t="str">
            <v>AGREGAT KASAR, BAHAN PEREKAT &amp; BAHAN JADINYA</v>
          </cell>
        </row>
        <row r="13">
          <cell r="A13" t="str">
            <v>BA01</v>
          </cell>
          <cell r="B13">
            <v>1</v>
          </cell>
          <cell r="C13" t="str">
            <v xml:space="preserve">Pasir Urug </v>
          </cell>
          <cell r="D13" t="str">
            <v>m³</v>
          </cell>
          <cell r="E13">
            <v>50000</v>
          </cell>
        </row>
        <row r="14">
          <cell r="A14" t="str">
            <v>BA02</v>
          </cell>
          <cell r="B14">
            <v>2</v>
          </cell>
          <cell r="C14" t="str">
            <v xml:space="preserve">Sirtu  </v>
          </cell>
          <cell r="D14" t="str">
            <v>m³</v>
          </cell>
          <cell r="E14">
            <v>81000</v>
          </cell>
        </row>
        <row r="15">
          <cell r="A15" t="str">
            <v>BA03</v>
          </cell>
          <cell r="B15">
            <v>3</v>
          </cell>
          <cell r="C15" t="str">
            <v>Pasir Teras</v>
          </cell>
          <cell r="D15" t="str">
            <v>m³</v>
          </cell>
          <cell r="E15">
            <v>70000</v>
          </cell>
        </row>
        <row r="16">
          <cell r="A16" t="str">
            <v>BA04</v>
          </cell>
          <cell r="B16">
            <v>2</v>
          </cell>
          <cell r="C16" t="str">
            <v xml:space="preserve">Pasir Pasang Kali </v>
          </cell>
          <cell r="D16" t="str">
            <v>m³</v>
          </cell>
          <cell r="E16">
            <v>60000</v>
          </cell>
        </row>
        <row r="17">
          <cell r="A17" t="str">
            <v>BA05</v>
          </cell>
          <cell r="B17">
            <v>3</v>
          </cell>
          <cell r="C17" t="str">
            <v xml:space="preserve">Pasir Beton  </v>
          </cell>
          <cell r="D17" t="str">
            <v>m³</v>
          </cell>
          <cell r="E17">
            <v>75000</v>
          </cell>
        </row>
        <row r="18">
          <cell r="A18" t="str">
            <v>BA06</v>
          </cell>
          <cell r="B18">
            <v>4</v>
          </cell>
          <cell r="C18" t="str">
            <v xml:space="preserve">Abu Batu / Secren </v>
          </cell>
          <cell r="D18" t="str">
            <v>m³</v>
          </cell>
          <cell r="E18">
            <v>85000</v>
          </cell>
        </row>
        <row r="19">
          <cell r="A19" t="str">
            <v>BA07</v>
          </cell>
          <cell r="B19">
            <v>5</v>
          </cell>
          <cell r="C19" t="str">
            <v>Batu Gosok ( Apung )</v>
          </cell>
          <cell r="D19" t="str">
            <v>kg</v>
          </cell>
          <cell r="E19">
            <v>9750</v>
          </cell>
        </row>
        <row r="20">
          <cell r="B20">
            <v>6</v>
          </cell>
          <cell r="C20" t="str">
            <v>Screen</v>
          </cell>
          <cell r="D20" t="str">
            <v>m³</v>
          </cell>
          <cell r="E20">
            <v>120000</v>
          </cell>
        </row>
        <row r="21">
          <cell r="A21" t="str">
            <v>BA08</v>
          </cell>
          <cell r="B21">
            <v>7</v>
          </cell>
          <cell r="C21" t="str">
            <v xml:space="preserve">Batu Pecah Mesin  1/2  </v>
          </cell>
          <cell r="D21" t="str">
            <v>m³</v>
          </cell>
          <cell r="E21">
            <v>155000</v>
          </cell>
        </row>
        <row r="22">
          <cell r="A22" t="str">
            <v>BA09</v>
          </cell>
          <cell r="B22">
            <v>8</v>
          </cell>
          <cell r="C22" t="str">
            <v xml:space="preserve">Batu Pecah Mesin  2/3  </v>
          </cell>
          <cell r="D22" t="str">
            <v>m³</v>
          </cell>
          <cell r="E22">
            <v>140000</v>
          </cell>
        </row>
        <row r="23">
          <cell r="A23" t="str">
            <v>BA10</v>
          </cell>
          <cell r="B23">
            <v>11</v>
          </cell>
          <cell r="C23" t="str">
            <v xml:space="preserve">Batu Pecah Mesin  3/5  </v>
          </cell>
          <cell r="D23" t="str">
            <v>m³</v>
          </cell>
          <cell r="E23">
            <v>125000</v>
          </cell>
        </row>
        <row r="24">
          <cell r="A24" t="str">
            <v>BA11</v>
          </cell>
          <cell r="B24">
            <v>12</v>
          </cell>
          <cell r="C24" t="str">
            <v xml:space="preserve">Batu Pecah Mesin  5/7 </v>
          </cell>
          <cell r="D24" t="str">
            <v>m³</v>
          </cell>
          <cell r="E24">
            <v>110000</v>
          </cell>
        </row>
        <row r="25">
          <cell r="B25">
            <v>13</v>
          </cell>
          <cell r="C25" t="str">
            <v xml:space="preserve">Batu Pecah Mesin  7/10  </v>
          </cell>
          <cell r="D25" t="str">
            <v>m³</v>
          </cell>
          <cell r="E25">
            <v>105000</v>
          </cell>
        </row>
        <row r="26">
          <cell r="B26">
            <v>14</v>
          </cell>
          <cell r="C26" t="str">
            <v xml:space="preserve">Batu Pecah Mesin  10/15 </v>
          </cell>
          <cell r="D26" t="str">
            <v>m³</v>
          </cell>
          <cell r="E26">
            <v>90000</v>
          </cell>
        </row>
        <row r="27">
          <cell r="A27" t="str">
            <v>BA12</v>
          </cell>
          <cell r="B27">
            <v>9</v>
          </cell>
          <cell r="C27" t="str">
            <v>Batu Belah Pondasi 15/20</v>
          </cell>
          <cell r="D27" t="str">
            <v>m³</v>
          </cell>
          <cell r="E27">
            <v>80000</v>
          </cell>
        </row>
        <row r="28">
          <cell r="A28" t="str">
            <v>BA13</v>
          </cell>
          <cell r="B28">
            <v>16</v>
          </cell>
          <cell r="C28" t="str">
            <v>Batu Bronjol ( Untuk Bronjong )</v>
          </cell>
          <cell r="D28" t="str">
            <v>m³</v>
          </cell>
          <cell r="E28">
            <v>70000</v>
          </cell>
        </row>
        <row r="29">
          <cell r="A29" t="str">
            <v>BA14</v>
          </cell>
          <cell r="B29">
            <v>17</v>
          </cell>
          <cell r="C29" t="str">
            <v>Batu Koral Beton Kali</v>
          </cell>
          <cell r="D29" t="str">
            <v>m³</v>
          </cell>
          <cell r="E29">
            <v>126000</v>
          </cell>
        </row>
        <row r="30">
          <cell r="A30" t="str">
            <v>BA15</v>
          </cell>
          <cell r="B30">
            <v>18</v>
          </cell>
          <cell r="C30" t="str">
            <v xml:space="preserve">Batu Tempel Hitam </v>
          </cell>
          <cell r="D30" t="str">
            <v>m²</v>
          </cell>
          <cell r="E30">
            <v>80000</v>
          </cell>
        </row>
        <row r="31">
          <cell r="A31" t="str">
            <v>BA16</v>
          </cell>
          <cell r="B31">
            <v>19</v>
          </cell>
          <cell r="C31" t="str">
            <v>Batu Pinggir Beton 10 x 20 x 35</v>
          </cell>
          <cell r="D31" t="str">
            <v>bh</v>
          </cell>
          <cell r="E31">
            <v>12000</v>
          </cell>
        </row>
        <row r="32">
          <cell r="A32" t="str">
            <v>BA17</v>
          </cell>
          <cell r="B32">
            <v>20</v>
          </cell>
          <cell r="C32" t="str">
            <v>Batu Pinggir Beton 15 x 35 x 50 ( K -225 )</v>
          </cell>
          <cell r="D32" t="str">
            <v>bh</v>
          </cell>
          <cell r="E32">
            <v>24500</v>
          </cell>
        </row>
        <row r="33">
          <cell r="A33" t="str">
            <v>BA18</v>
          </cell>
          <cell r="B33">
            <v>21</v>
          </cell>
          <cell r="C33" t="str">
            <v>Batu Telor</v>
          </cell>
          <cell r="D33" t="str">
            <v>m³</v>
          </cell>
          <cell r="E33">
            <v>82000</v>
          </cell>
        </row>
        <row r="34">
          <cell r="A34" t="str">
            <v>BA19</v>
          </cell>
          <cell r="B34">
            <v>22</v>
          </cell>
          <cell r="C34" t="str">
            <v>Batako kecil 8 x 10 x 20</v>
          </cell>
          <cell r="D34" t="str">
            <v>bh</v>
          </cell>
          <cell r="E34">
            <v>950</v>
          </cell>
        </row>
        <row r="35">
          <cell r="A35" t="str">
            <v>BA20</v>
          </cell>
          <cell r="B35">
            <v>23</v>
          </cell>
          <cell r="C35" t="str">
            <v>Batako Besar 8 x 20 x 30</v>
          </cell>
          <cell r="D35" t="str">
            <v>bh</v>
          </cell>
          <cell r="E35">
            <v>2500</v>
          </cell>
        </row>
        <row r="36">
          <cell r="A36" t="str">
            <v>BA21</v>
          </cell>
          <cell r="B36">
            <v>24</v>
          </cell>
          <cell r="C36" t="str">
            <v>Con Blok 8 x 20 x 40</v>
          </cell>
          <cell r="D36" t="str">
            <v>bh</v>
          </cell>
          <cell r="E36">
            <v>2350</v>
          </cell>
        </row>
        <row r="37">
          <cell r="A37" t="str">
            <v>BA22</v>
          </cell>
          <cell r="B37">
            <v>25</v>
          </cell>
          <cell r="C37" t="str">
            <v>Bata Merah Bakar Kelas I</v>
          </cell>
          <cell r="D37" t="str">
            <v>bh</v>
          </cell>
          <cell r="E37">
            <v>350</v>
          </cell>
        </row>
        <row r="38">
          <cell r="A38" t="str">
            <v>BA23</v>
          </cell>
          <cell r="B38">
            <v>10</v>
          </cell>
          <cell r="C38" t="str">
            <v>Bata Merah Bakar Kelas II</v>
          </cell>
          <cell r="D38" t="str">
            <v>bh</v>
          </cell>
          <cell r="E38">
            <v>270</v>
          </cell>
        </row>
        <row r="39">
          <cell r="A39" t="str">
            <v>BA24</v>
          </cell>
          <cell r="B39">
            <v>27</v>
          </cell>
          <cell r="C39" t="str">
            <v xml:space="preserve">Bata Merah Oven </v>
          </cell>
          <cell r="D39" t="str">
            <v>bh</v>
          </cell>
          <cell r="E39">
            <v>2000</v>
          </cell>
        </row>
        <row r="40">
          <cell r="A40" t="str">
            <v>BA25</v>
          </cell>
          <cell r="B40">
            <v>28</v>
          </cell>
          <cell r="C40" t="str">
            <v>Roster Beton 20 x 20</v>
          </cell>
          <cell r="D40" t="str">
            <v>bh</v>
          </cell>
          <cell r="E40">
            <v>3200</v>
          </cell>
        </row>
        <row r="41">
          <cell r="A41" t="str">
            <v>BA26</v>
          </cell>
          <cell r="B41">
            <v>29</v>
          </cell>
          <cell r="C41" t="str">
            <v>Roster Beton 30 x 30</v>
          </cell>
          <cell r="D41" t="str">
            <v>bh</v>
          </cell>
          <cell r="E41">
            <v>4700</v>
          </cell>
        </row>
        <row r="42">
          <cell r="A42" t="str">
            <v>BA27</v>
          </cell>
          <cell r="B42">
            <v>30</v>
          </cell>
          <cell r="C42" t="str">
            <v>Grass Blok 20 x 20</v>
          </cell>
          <cell r="D42" t="str">
            <v>bh</v>
          </cell>
          <cell r="E42">
            <v>14500</v>
          </cell>
        </row>
        <row r="43">
          <cell r="A43" t="str">
            <v>BA28</v>
          </cell>
          <cell r="B43">
            <v>31</v>
          </cell>
          <cell r="C43" t="str">
            <v>Grass Blok 30 x 30</v>
          </cell>
          <cell r="D43" t="str">
            <v>bh</v>
          </cell>
          <cell r="E43">
            <v>17500</v>
          </cell>
        </row>
        <row r="44">
          <cell r="A44" t="str">
            <v>BA29</v>
          </cell>
          <cell r="B44">
            <v>32</v>
          </cell>
          <cell r="C44" t="str">
            <v xml:space="preserve">Paving Blok Natural </v>
          </cell>
          <cell r="D44" t="str">
            <v>bh</v>
          </cell>
          <cell r="E44">
            <v>750</v>
          </cell>
        </row>
        <row r="45">
          <cell r="A45" t="str">
            <v>BA30</v>
          </cell>
          <cell r="B45">
            <v>33</v>
          </cell>
          <cell r="C45" t="str">
            <v xml:space="preserve">Paving Blok Warna </v>
          </cell>
          <cell r="D45" t="str">
            <v>bh</v>
          </cell>
          <cell r="E45">
            <v>1000</v>
          </cell>
        </row>
        <row r="46">
          <cell r="A46" t="str">
            <v>BA31</v>
          </cell>
          <cell r="B46">
            <v>34</v>
          </cell>
          <cell r="C46" t="str">
            <v>Paving Blok Natural 6 cm</v>
          </cell>
          <cell r="D46" t="str">
            <v>m²</v>
          </cell>
          <cell r="E46">
            <v>22000</v>
          </cell>
        </row>
        <row r="47">
          <cell r="A47" t="str">
            <v>BA32</v>
          </cell>
          <cell r="B47">
            <v>35</v>
          </cell>
          <cell r="C47" t="str">
            <v>Paving Blok Warna 6 cm</v>
          </cell>
          <cell r="D47" t="str">
            <v>m²</v>
          </cell>
          <cell r="E47">
            <v>25000</v>
          </cell>
        </row>
        <row r="48">
          <cell r="B48">
            <v>36</v>
          </cell>
          <cell r="C48" t="str">
            <v>Paving Blok Natural 8 cm</v>
          </cell>
          <cell r="D48" t="str">
            <v>m²</v>
          </cell>
          <cell r="E48">
            <v>27000</v>
          </cell>
        </row>
        <row r="49">
          <cell r="B49">
            <v>37</v>
          </cell>
          <cell r="C49" t="str">
            <v>Paving Blok Warna 8 cm</v>
          </cell>
          <cell r="D49" t="str">
            <v>m²</v>
          </cell>
          <cell r="E49">
            <v>30000</v>
          </cell>
        </row>
        <row r="50">
          <cell r="A50" t="str">
            <v>BA32'</v>
          </cell>
          <cell r="B50">
            <v>38</v>
          </cell>
          <cell r="C50" t="str">
            <v>Paving Blok Biasa</v>
          </cell>
          <cell r="D50" t="str">
            <v>bh</v>
          </cell>
          <cell r="E50">
            <v>750</v>
          </cell>
        </row>
        <row r="51">
          <cell r="A51" t="str">
            <v>BA33</v>
          </cell>
          <cell r="B51">
            <v>11</v>
          </cell>
          <cell r="C51" t="str">
            <v>Kanstin Paving Blok</v>
          </cell>
          <cell r="D51" t="str">
            <v>m1</v>
          </cell>
          <cell r="E51">
            <v>25000</v>
          </cell>
        </row>
        <row r="52">
          <cell r="A52" t="str">
            <v>BA34</v>
          </cell>
          <cell r="B52">
            <v>12</v>
          </cell>
          <cell r="C52" t="str">
            <v>Semen PC Tiga Roda / 50 kg *M080</v>
          </cell>
          <cell r="D52" t="str">
            <v>zak</v>
          </cell>
          <cell r="E52">
            <v>43000</v>
          </cell>
        </row>
        <row r="53">
          <cell r="A53" t="str">
            <v>BA34'</v>
          </cell>
          <cell r="B53">
            <v>13</v>
          </cell>
          <cell r="C53" t="str">
            <v xml:space="preserve">Semen PC Tiga Roda </v>
          </cell>
          <cell r="D53" t="str">
            <v>Kg</v>
          </cell>
          <cell r="E53">
            <v>860</v>
          </cell>
        </row>
        <row r="54">
          <cell r="A54" t="str">
            <v>BA35</v>
          </cell>
          <cell r="B54">
            <v>42</v>
          </cell>
          <cell r="C54" t="str">
            <v>Semen Putih</v>
          </cell>
          <cell r="D54" t="str">
            <v>zak</v>
          </cell>
          <cell r="E54">
            <v>62000</v>
          </cell>
        </row>
        <row r="55">
          <cell r="A55" t="str">
            <v>BA36</v>
          </cell>
          <cell r="B55">
            <v>14</v>
          </cell>
          <cell r="C55" t="str">
            <v>Kanstin Jalan ukuran Besar ( bina Marga ) 1 bh = 60 cm</v>
          </cell>
          <cell r="D55" t="str">
            <v>m³</v>
          </cell>
          <cell r="E55">
            <v>25000</v>
          </cell>
        </row>
        <row r="56">
          <cell r="A56" t="str">
            <v>BA37</v>
          </cell>
          <cell r="B56">
            <v>44</v>
          </cell>
          <cell r="C56" t="str">
            <v>Readymix Beton K 300, tanpa pompa ( selang )</v>
          </cell>
          <cell r="D56" t="str">
            <v>m³</v>
          </cell>
          <cell r="E56">
            <v>600000</v>
          </cell>
        </row>
        <row r="57">
          <cell r="A57" t="str">
            <v>BA38</v>
          </cell>
          <cell r="B57">
            <v>45</v>
          </cell>
          <cell r="C57" t="str">
            <v>Readymix Beton K 225, tanpa pompa ( selang )</v>
          </cell>
          <cell r="D57" t="str">
            <v>m³</v>
          </cell>
          <cell r="E57">
            <v>550000</v>
          </cell>
        </row>
        <row r="58">
          <cell r="A58" t="str">
            <v>BA39</v>
          </cell>
          <cell r="B58">
            <v>46</v>
          </cell>
          <cell r="C58" t="str">
            <v>Readymix Beton K 175, tanpa pompa ( selang )</v>
          </cell>
          <cell r="D58" t="str">
            <v>m³</v>
          </cell>
          <cell r="E58">
            <v>500000</v>
          </cell>
        </row>
        <row r="59">
          <cell r="A59" t="str">
            <v>BA40</v>
          </cell>
          <cell r="B59">
            <v>47</v>
          </cell>
          <cell r="C59" t="str">
            <v>Kapur Pasang/ kapur tembok</v>
          </cell>
          <cell r="D59" t="str">
            <v>m³</v>
          </cell>
          <cell r="E59">
            <v>80000</v>
          </cell>
        </row>
        <row r="60">
          <cell r="A60" t="str">
            <v>BA41</v>
          </cell>
          <cell r="B60">
            <v>48</v>
          </cell>
          <cell r="C60" t="str">
            <v>Kapur Sirih</v>
          </cell>
          <cell r="D60" t="str">
            <v>kg</v>
          </cell>
          <cell r="E60">
            <v>750</v>
          </cell>
        </row>
        <row r="61">
          <cell r="A61" t="str">
            <v>BA42</v>
          </cell>
          <cell r="B61">
            <v>15</v>
          </cell>
          <cell r="C61" t="str">
            <v>Semen Warna</v>
          </cell>
          <cell r="D61" t="str">
            <v>kg</v>
          </cell>
          <cell r="E61">
            <v>3000</v>
          </cell>
        </row>
        <row r="62">
          <cell r="A62" t="str">
            <v>BA43</v>
          </cell>
          <cell r="B62">
            <v>50</v>
          </cell>
          <cell r="C62" t="str">
            <v>Tanah Liat</v>
          </cell>
          <cell r="D62" t="str">
            <v>m³</v>
          </cell>
          <cell r="E62">
            <v>17000</v>
          </cell>
        </row>
        <row r="63">
          <cell r="B63">
            <v>16</v>
          </cell>
          <cell r="C63" t="str">
            <v>Tanah Urug (dilokasi)</v>
          </cell>
          <cell r="D63" t="str">
            <v>m³</v>
          </cell>
          <cell r="E63">
            <v>20000</v>
          </cell>
        </row>
        <row r="64">
          <cell r="B64">
            <v>17</v>
          </cell>
          <cell r="C64" t="str">
            <v xml:space="preserve">Rumput </v>
          </cell>
          <cell r="D64" t="str">
            <v>m²</v>
          </cell>
          <cell r="E64">
            <v>6899.9999999999991</v>
          </cell>
        </row>
        <row r="66">
          <cell r="B66" t="str">
            <v>B</v>
          </cell>
          <cell r="C66" t="str">
            <v xml:space="preserve">BAHAN FINISHING  : </v>
          </cell>
        </row>
        <row r="67">
          <cell r="C67" t="str">
            <v xml:space="preserve"> LABURAN, PENGISI DAN ALATNYA</v>
          </cell>
        </row>
        <row r="68">
          <cell r="A68" t="str">
            <v>BD01</v>
          </cell>
          <cell r="B68">
            <v>1</v>
          </cell>
          <cell r="C68" t="str">
            <v>Plamir Tembok</v>
          </cell>
          <cell r="D68" t="str">
            <v>kg</v>
          </cell>
          <cell r="E68">
            <v>9500</v>
          </cell>
        </row>
        <row r="69">
          <cell r="A69" t="str">
            <v>BD02</v>
          </cell>
          <cell r="B69">
            <v>54</v>
          </cell>
          <cell r="C69" t="str">
            <v>Cat Tembok ICI Eksterior ( BETON )</v>
          </cell>
          <cell r="D69" t="str">
            <v>kg</v>
          </cell>
          <cell r="E69">
            <v>27300</v>
          </cell>
        </row>
        <row r="70">
          <cell r="A70" t="str">
            <v>BD02'</v>
          </cell>
          <cell r="B70">
            <v>55</v>
          </cell>
          <cell r="C70" t="str">
            <v>Cat Tembok Kelas II</v>
          </cell>
          <cell r="D70" t="str">
            <v>Kg</v>
          </cell>
          <cell r="E70">
            <v>13000</v>
          </cell>
        </row>
        <row r="71">
          <cell r="A71" t="str">
            <v>BD03</v>
          </cell>
          <cell r="B71">
            <v>56</v>
          </cell>
          <cell r="C71" t="str">
            <v>Cat Tembok ICI Interior ( PLAFOND DAN DINDING )</v>
          </cell>
          <cell r="D71" t="str">
            <v>lt</v>
          </cell>
          <cell r="E71">
            <v>20000</v>
          </cell>
        </row>
        <row r="72">
          <cell r="A72" t="str">
            <v>BD04</v>
          </cell>
          <cell r="B72">
            <v>2</v>
          </cell>
          <cell r="C72" t="str">
            <v>Cat Tembok Vinilex</v>
          </cell>
          <cell r="D72" t="str">
            <v>kg</v>
          </cell>
          <cell r="E72">
            <v>14000</v>
          </cell>
        </row>
        <row r="73">
          <cell r="A73" t="str">
            <v>BD05</v>
          </cell>
          <cell r="B73">
            <v>58</v>
          </cell>
          <cell r="C73" t="str">
            <v>Cat Dasar ICI untuk Interior ( 2 Pelapis )</v>
          </cell>
          <cell r="D73" t="str">
            <v>lt</v>
          </cell>
          <cell r="E73">
            <v>66300</v>
          </cell>
        </row>
        <row r="74">
          <cell r="A74" t="str">
            <v>BD06</v>
          </cell>
          <cell r="B74">
            <v>3</v>
          </cell>
          <cell r="C74" t="str">
            <v>Cat Tembok Sanlex</v>
          </cell>
          <cell r="D74" t="str">
            <v>kg</v>
          </cell>
          <cell r="E74">
            <v>9000</v>
          </cell>
        </row>
        <row r="75">
          <cell r="A75" t="str">
            <v>BD07</v>
          </cell>
          <cell r="B75">
            <v>60</v>
          </cell>
          <cell r="C75" t="str">
            <v>Cat Tahan Asam</v>
          </cell>
          <cell r="D75" t="str">
            <v>kg</v>
          </cell>
          <cell r="E75">
            <v>30000</v>
          </cell>
        </row>
        <row r="76">
          <cell r="A76" t="str">
            <v>BD07'</v>
          </cell>
          <cell r="B76">
            <v>4</v>
          </cell>
          <cell r="C76" t="str">
            <v>Cat Berkilat/Cat kayu</v>
          </cell>
          <cell r="D76" t="str">
            <v>kg</v>
          </cell>
          <cell r="E76">
            <v>33000</v>
          </cell>
        </row>
        <row r="77">
          <cell r="B77">
            <v>62</v>
          </cell>
          <cell r="C77" t="str">
            <v>Cat Jembatan *M090</v>
          </cell>
          <cell r="D77" t="str">
            <v>kg</v>
          </cell>
          <cell r="E77">
            <v>40000</v>
          </cell>
        </row>
        <row r="78">
          <cell r="A78" t="str">
            <v>BD07"</v>
          </cell>
          <cell r="B78">
            <v>5</v>
          </cell>
          <cell r="C78" t="str">
            <v>Plamir Kayu</v>
          </cell>
          <cell r="D78" t="str">
            <v>kg</v>
          </cell>
          <cell r="E78">
            <v>11000</v>
          </cell>
        </row>
        <row r="79">
          <cell r="A79" t="str">
            <v>BD08</v>
          </cell>
          <cell r="B79">
            <v>64</v>
          </cell>
          <cell r="C79" t="str">
            <v>Pelapis Alkali ICI ( Cat Dasar Beton Ekterior )</v>
          </cell>
          <cell r="D79" t="str">
            <v>lt</v>
          </cell>
          <cell r="E79">
            <v>35000</v>
          </cell>
        </row>
        <row r="80">
          <cell r="A80" t="str">
            <v>BD09</v>
          </cell>
          <cell r="B80">
            <v>65</v>
          </cell>
          <cell r="C80" t="str">
            <v>Cat Marka / Spotlight</v>
          </cell>
          <cell r="D80" t="str">
            <v>kg</v>
          </cell>
          <cell r="E80">
            <v>75000</v>
          </cell>
        </row>
        <row r="81">
          <cell r="A81" t="str">
            <v>BD10</v>
          </cell>
          <cell r="B81">
            <v>66</v>
          </cell>
          <cell r="C81" t="str">
            <v>Water Profing Emulsion</v>
          </cell>
          <cell r="D81" t="str">
            <v>kg</v>
          </cell>
          <cell r="E81">
            <v>65000</v>
          </cell>
        </row>
        <row r="82">
          <cell r="A82" t="str">
            <v>BD11</v>
          </cell>
          <cell r="B82">
            <v>67</v>
          </cell>
          <cell r="C82" t="str">
            <v>Water Profing Membrance</v>
          </cell>
          <cell r="D82" t="str">
            <v>ml</v>
          </cell>
          <cell r="E82">
            <v>50000</v>
          </cell>
        </row>
        <row r="83">
          <cell r="A83" t="str">
            <v>BD12</v>
          </cell>
          <cell r="B83">
            <v>6</v>
          </cell>
          <cell r="C83" t="str">
            <v>Rool Cat Tembok</v>
          </cell>
          <cell r="D83" t="str">
            <v>bh</v>
          </cell>
          <cell r="E83">
            <v>17500</v>
          </cell>
        </row>
        <row r="84">
          <cell r="A84" t="str">
            <v>BD13</v>
          </cell>
          <cell r="B84">
            <v>7</v>
          </cell>
          <cell r="C84" t="str">
            <v>Kape Tembok</v>
          </cell>
          <cell r="D84" t="str">
            <v>bh</v>
          </cell>
          <cell r="E84">
            <v>6500</v>
          </cell>
        </row>
        <row r="85">
          <cell r="A85" t="str">
            <v>BD14</v>
          </cell>
          <cell r="B85">
            <v>8</v>
          </cell>
          <cell r="C85" t="str">
            <v>Kape Kayu</v>
          </cell>
          <cell r="D85" t="str">
            <v>bh</v>
          </cell>
          <cell r="E85">
            <v>5000</v>
          </cell>
        </row>
        <row r="86">
          <cell r="A86" t="str">
            <v>BD15</v>
          </cell>
          <cell r="B86">
            <v>9</v>
          </cell>
          <cell r="C86" t="str">
            <v>Soligneum 1 blek</v>
          </cell>
          <cell r="D86" t="str">
            <v>5 lt</v>
          </cell>
          <cell r="E86">
            <v>43000</v>
          </cell>
        </row>
        <row r="87">
          <cell r="A87" t="str">
            <v>BD16</v>
          </cell>
          <cell r="B87">
            <v>72</v>
          </cell>
          <cell r="C87" t="str">
            <v>Plincote</v>
          </cell>
          <cell r="D87" t="str">
            <v>kg</v>
          </cell>
          <cell r="E87">
            <v>20000</v>
          </cell>
        </row>
        <row r="88">
          <cell r="A88" t="str">
            <v>BD17</v>
          </cell>
          <cell r="B88">
            <v>73</v>
          </cell>
          <cell r="C88" t="str">
            <v>Pengawetan Kayu</v>
          </cell>
          <cell r="D88" t="str">
            <v>m³</v>
          </cell>
          <cell r="E88">
            <v>35000</v>
          </cell>
        </row>
        <row r="89">
          <cell r="A89" t="str">
            <v>BD18</v>
          </cell>
          <cell r="B89">
            <v>74</v>
          </cell>
          <cell r="C89" t="str">
            <v>Pengopenan Kayu</v>
          </cell>
          <cell r="D89" t="str">
            <v>m³</v>
          </cell>
          <cell r="E89">
            <v>450000</v>
          </cell>
        </row>
        <row r="90">
          <cell r="A90" t="str">
            <v>BD19</v>
          </cell>
          <cell r="B90">
            <v>10</v>
          </cell>
          <cell r="C90" t="str">
            <v>Kwas 3"</v>
          </cell>
          <cell r="D90" t="str">
            <v>bh</v>
          </cell>
          <cell r="E90">
            <v>7500</v>
          </cell>
        </row>
        <row r="91">
          <cell r="A91" t="str">
            <v>BD19'</v>
          </cell>
          <cell r="B91">
            <v>76</v>
          </cell>
          <cell r="C91" t="str">
            <v>Kwas 2'</v>
          </cell>
          <cell r="D91" t="str">
            <v>bh</v>
          </cell>
          <cell r="E91">
            <v>5000</v>
          </cell>
        </row>
        <row r="92">
          <cell r="A92" t="str">
            <v>BD20</v>
          </cell>
          <cell r="B92">
            <v>11</v>
          </cell>
          <cell r="C92" t="str">
            <v>Oker</v>
          </cell>
          <cell r="D92" t="str">
            <v>kg</v>
          </cell>
          <cell r="E92">
            <v>29000</v>
          </cell>
        </row>
        <row r="93">
          <cell r="A93" t="str">
            <v>BD21</v>
          </cell>
          <cell r="B93">
            <v>12</v>
          </cell>
          <cell r="C93" t="str">
            <v>Oyan</v>
          </cell>
          <cell r="D93" t="str">
            <v>bks</v>
          </cell>
          <cell r="E93">
            <v>2500</v>
          </cell>
        </row>
        <row r="94">
          <cell r="A94" t="str">
            <v>BD22</v>
          </cell>
          <cell r="B94">
            <v>13</v>
          </cell>
          <cell r="C94" t="str">
            <v>Oten (Pewarna Plitur )</v>
          </cell>
          <cell r="D94" t="str">
            <v>bks</v>
          </cell>
          <cell r="E94">
            <v>2500</v>
          </cell>
        </row>
        <row r="95">
          <cell r="A95" t="str">
            <v>BD23</v>
          </cell>
          <cell r="B95">
            <v>14</v>
          </cell>
          <cell r="C95" t="str">
            <v>Spirtus</v>
          </cell>
          <cell r="D95" t="str">
            <v>lt</v>
          </cell>
          <cell r="E95">
            <v>7800</v>
          </cell>
        </row>
        <row r="96">
          <cell r="A96" t="str">
            <v>BD24</v>
          </cell>
          <cell r="B96">
            <v>15</v>
          </cell>
          <cell r="C96" t="str">
            <v>Bahan Plitur Kripik ( Sirlak India )</v>
          </cell>
          <cell r="D96" t="str">
            <v>kg</v>
          </cell>
          <cell r="E96">
            <v>80000</v>
          </cell>
        </row>
        <row r="97">
          <cell r="A97" t="str">
            <v>BD25</v>
          </cell>
          <cell r="B97">
            <v>82</v>
          </cell>
          <cell r="C97" t="str">
            <v>Dempul Lilin</v>
          </cell>
          <cell r="D97" t="str">
            <v>kg</v>
          </cell>
          <cell r="E97">
            <v>17500</v>
          </cell>
        </row>
        <row r="98">
          <cell r="A98" t="str">
            <v>BD26</v>
          </cell>
          <cell r="B98">
            <v>16</v>
          </cell>
          <cell r="C98" t="str">
            <v>Dempul Plitur</v>
          </cell>
          <cell r="D98" t="str">
            <v>kg</v>
          </cell>
          <cell r="E98">
            <v>2500</v>
          </cell>
        </row>
        <row r="99">
          <cell r="A99" t="str">
            <v>BD27</v>
          </cell>
          <cell r="B99">
            <v>17</v>
          </cell>
          <cell r="C99" t="str">
            <v>Dempul Halus / Imfra ( Wood Filler )</v>
          </cell>
          <cell r="D99" t="str">
            <v>kg</v>
          </cell>
          <cell r="E99">
            <v>25000</v>
          </cell>
        </row>
        <row r="100">
          <cell r="A100" t="str">
            <v>BD28</v>
          </cell>
          <cell r="B100">
            <v>18</v>
          </cell>
          <cell r="C100" t="str">
            <v>Terpentin</v>
          </cell>
          <cell r="D100" t="str">
            <v>lt</v>
          </cell>
          <cell r="E100">
            <v>3500</v>
          </cell>
        </row>
        <row r="101">
          <cell r="A101" t="str">
            <v>BD29</v>
          </cell>
          <cell r="B101">
            <v>19</v>
          </cell>
          <cell r="C101" t="str">
            <v>Tiner A</v>
          </cell>
          <cell r="D101" t="str">
            <v>lt</v>
          </cell>
          <cell r="E101">
            <v>10000</v>
          </cell>
        </row>
        <row r="102">
          <cell r="A102" t="str">
            <v>BD30</v>
          </cell>
          <cell r="B102">
            <v>20</v>
          </cell>
          <cell r="C102" t="str">
            <v>Tiner B</v>
          </cell>
          <cell r="D102" t="str">
            <v>lt</v>
          </cell>
          <cell r="E102">
            <v>12500</v>
          </cell>
        </row>
        <row r="103">
          <cell r="A103" t="str">
            <v>BD31</v>
          </cell>
          <cell r="B103">
            <v>88</v>
          </cell>
          <cell r="C103" t="str">
            <v>Kumpon</v>
          </cell>
          <cell r="D103" t="str">
            <v>kg</v>
          </cell>
          <cell r="E103">
            <v>15000</v>
          </cell>
        </row>
        <row r="104">
          <cell r="A104" t="str">
            <v>BD32</v>
          </cell>
          <cell r="B104">
            <v>89</v>
          </cell>
          <cell r="C104" t="str">
            <v>Melamik</v>
          </cell>
          <cell r="D104" t="str">
            <v>kg</v>
          </cell>
          <cell r="E104">
            <v>33000</v>
          </cell>
        </row>
        <row r="105">
          <cell r="A105" t="str">
            <v>BD32'</v>
          </cell>
          <cell r="B105">
            <v>21</v>
          </cell>
          <cell r="C105" t="str">
            <v>Impra</v>
          </cell>
          <cell r="D105" t="str">
            <v>kg</v>
          </cell>
          <cell r="E105">
            <v>27500</v>
          </cell>
        </row>
        <row r="106">
          <cell r="A106" t="str">
            <v>BD33</v>
          </cell>
          <cell r="B106">
            <v>91</v>
          </cell>
          <cell r="C106" t="str">
            <v>Dempul Plastik</v>
          </cell>
          <cell r="D106" t="str">
            <v>kg</v>
          </cell>
          <cell r="E106">
            <v>25000</v>
          </cell>
        </row>
        <row r="107">
          <cell r="A107" t="str">
            <v>BD34</v>
          </cell>
          <cell r="B107">
            <v>92</v>
          </cell>
          <cell r="C107" t="str">
            <v>Dempul Duco</v>
          </cell>
          <cell r="D107" t="str">
            <v>kg</v>
          </cell>
          <cell r="E107">
            <v>24000</v>
          </cell>
        </row>
        <row r="108">
          <cell r="A108" t="str">
            <v>BD35</v>
          </cell>
          <cell r="B108">
            <v>22</v>
          </cell>
          <cell r="C108" t="str">
            <v>Ampelas</v>
          </cell>
          <cell r="D108" t="str">
            <v>lbr</v>
          </cell>
          <cell r="E108">
            <v>2000</v>
          </cell>
        </row>
        <row r="109">
          <cell r="A109" t="str">
            <v>BD36</v>
          </cell>
          <cell r="B109">
            <v>23</v>
          </cell>
          <cell r="C109" t="str">
            <v>Dempul Kayu Cap Kucing</v>
          </cell>
          <cell r="D109" t="str">
            <v>kg</v>
          </cell>
          <cell r="E109">
            <v>18500</v>
          </cell>
        </row>
        <row r="110">
          <cell r="A110" t="str">
            <v>BD37</v>
          </cell>
          <cell r="B110">
            <v>24</v>
          </cell>
          <cell r="C110" t="str">
            <v>Meni Kayu / Besi</v>
          </cell>
          <cell r="D110" t="str">
            <v>kg</v>
          </cell>
          <cell r="E110">
            <v>12000</v>
          </cell>
        </row>
        <row r="111">
          <cell r="A111" t="str">
            <v>BD38</v>
          </cell>
          <cell r="B111">
            <v>96</v>
          </cell>
          <cell r="C111" t="str">
            <v>Meni Sincromat</v>
          </cell>
          <cell r="D111" t="str">
            <v>kg</v>
          </cell>
          <cell r="E111">
            <v>20000</v>
          </cell>
        </row>
        <row r="112">
          <cell r="A112" t="str">
            <v>BD39</v>
          </cell>
          <cell r="B112">
            <v>25</v>
          </cell>
          <cell r="C112" t="str">
            <v>Cat Kayu Sieve</v>
          </cell>
          <cell r="D112" t="str">
            <v>kg</v>
          </cell>
          <cell r="E112">
            <v>44000</v>
          </cell>
        </row>
        <row r="113">
          <cell r="A113" t="str">
            <v>BD40</v>
          </cell>
          <cell r="B113">
            <v>26</v>
          </cell>
          <cell r="C113" t="str">
            <v>Cat Besi Sieve</v>
          </cell>
          <cell r="D113" t="str">
            <v>kg</v>
          </cell>
          <cell r="E113">
            <v>42000</v>
          </cell>
        </row>
        <row r="114">
          <cell r="A114" t="str">
            <v>BD41</v>
          </cell>
          <cell r="B114">
            <v>99</v>
          </cell>
          <cell r="C114" t="str">
            <v>Cat Besi Duco Danaglos/ICI</v>
          </cell>
          <cell r="D114" t="str">
            <v>kg</v>
          </cell>
          <cell r="E114">
            <v>44000</v>
          </cell>
        </row>
        <row r="115">
          <cell r="A115" t="str">
            <v>BD42</v>
          </cell>
          <cell r="B115">
            <v>100</v>
          </cell>
          <cell r="C115" t="str">
            <v>Cat Bron</v>
          </cell>
          <cell r="D115" t="str">
            <v>kg</v>
          </cell>
          <cell r="E115">
            <v>33000</v>
          </cell>
        </row>
        <row r="116">
          <cell r="A116" t="str">
            <v>BD42'</v>
          </cell>
          <cell r="B116">
            <v>27</v>
          </cell>
          <cell r="C116" t="str">
            <v>Sirlak</v>
          </cell>
          <cell r="D116" t="str">
            <v>kg</v>
          </cell>
          <cell r="E116">
            <v>50000</v>
          </cell>
        </row>
        <row r="118">
          <cell r="B118" t="str">
            <v>C</v>
          </cell>
          <cell r="C118" t="str">
            <v>BAHAN KAYU BERIKUT BAHAN JADINYA</v>
          </cell>
        </row>
        <row r="119">
          <cell r="A119" t="str">
            <v>BF01'</v>
          </cell>
          <cell r="B119">
            <v>1</v>
          </cell>
          <cell r="C119" t="str">
            <v>Bambu Biasa</v>
          </cell>
          <cell r="D119" t="str">
            <v>bt</v>
          </cell>
          <cell r="E119">
            <v>4000</v>
          </cell>
        </row>
        <row r="120">
          <cell r="A120" t="str">
            <v>BF01</v>
          </cell>
          <cell r="B120">
            <v>103</v>
          </cell>
          <cell r="C120" t="str">
            <v>Bambu Ø 5 s.d 7</v>
          </cell>
          <cell r="D120" t="str">
            <v>bt</v>
          </cell>
          <cell r="E120">
            <v>5000</v>
          </cell>
        </row>
        <row r="121">
          <cell r="A121" t="str">
            <v>BF02</v>
          </cell>
          <cell r="B121">
            <v>104</v>
          </cell>
          <cell r="C121" t="str">
            <v>Bambu Ø 7 s.d 10</v>
          </cell>
          <cell r="D121" t="str">
            <v>bt</v>
          </cell>
          <cell r="E121">
            <v>6000</v>
          </cell>
        </row>
        <row r="122">
          <cell r="A122" t="str">
            <v>BF03</v>
          </cell>
          <cell r="B122">
            <v>105</v>
          </cell>
          <cell r="C122" t="str">
            <v>Bambu Gombong</v>
          </cell>
          <cell r="D122" t="str">
            <v>bt</v>
          </cell>
          <cell r="E122">
            <v>15000</v>
          </cell>
        </row>
        <row r="123">
          <cell r="A123" t="str">
            <v>BF03'</v>
          </cell>
          <cell r="B123">
            <v>106</v>
          </cell>
          <cell r="C123" t="str">
            <v>Papan Terentang</v>
          </cell>
          <cell r="D123" t="str">
            <v>m³</v>
          </cell>
          <cell r="E123">
            <v>950000</v>
          </cell>
        </row>
        <row r="124">
          <cell r="A124" t="str">
            <v>BF04</v>
          </cell>
          <cell r="B124">
            <v>107</v>
          </cell>
          <cell r="C124" t="str">
            <v>Kayu Kamper Singkil / Kapur (K. Samarinda Klas II)</v>
          </cell>
          <cell r="D124" t="str">
            <v>m³</v>
          </cell>
          <cell r="E124">
            <v>4500000</v>
          </cell>
        </row>
        <row r="125">
          <cell r="A125" t="str">
            <v>BF04'</v>
          </cell>
          <cell r="B125">
            <v>2</v>
          </cell>
          <cell r="C125" t="str">
            <v>Kayu Lokal Kelas II</v>
          </cell>
          <cell r="D125" t="str">
            <v>m³</v>
          </cell>
          <cell r="E125">
            <v>1750000</v>
          </cell>
        </row>
        <row r="126">
          <cell r="A126" t="str">
            <v>BF04"</v>
          </cell>
          <cell r="B126">
            <v>3</v>
          </cell>
          <cell r="C126" t="str">
            <v>Kayu Papan Lokal Kelas II</v>
          </cell>
          <cell r="D126" t="str">
            <v>m³</v>
          </cell>
          <cell r="E126">
            <v>1900000</v>
          </cell>
        </row>
        <row r="127">
          <cell r="A127" t="str">
            <v>BF05</v>
          </cell>
          <cell r="B127">
            <v>110</v>
          </cell>
          <cell r="C127" t="str">
            <v>Kayu Balok Borneo Super</v>
          </cell>
          <cell r="D127" t="str">
            <v>m³</v>
          </cell>
          <cell r="E127">
            <v>3000000</v>
          </cell>
        </row>
        <row r="128">
          <cell r="A128" t="str">
            <v>BF06</v>
          </cell>
          <cell r="B128">
            <v>111</v>
          </cell>
          <cell r="C128" t="str">
            <v>Kayu Papan Borneo Super</v>
          </cell>
          <cell r="D128" t="str">
            <v>m³</v>
          </cell>
          <cell r="E128">
            <v>3150000</v>
          </cell>
        </row>
        <row r="129">
          <cell r="A129" t="str">
            <v>BF07</v>
          </cell>
          <cell r="B129">
            <v>112</v>
          </cell>
          <cell r="C129" t="str">
            <v xml:space="preserve">Kayu Balok Kamper </v>
          </cell>
          <cell r="D129" t="str">
            <v>m³</v>
          </cell>
          <cell r="E129">
            <v>3500000</v>
          </cell>
        </row>
        <row r="130">
          <cell r="A130" t="str">
            <v>BF07'</v>
          </cell>
          <cell r="B130">
            <v>113</v>
          </cell>
          <cell r="C130" t="str">
            <v>Kayu Balok Kruing</v>
          </cell>
          <cell r="D130" t="str">
            <v>m³</v>
          </cell>
          <cell r="E130">
            <v>2500000</v>
          </cell>
        </row>
        <row r="131">
          <cell r="B131">
            <v>4</v>
          </cell>
          <cell r="C131" t="str">
            <v>Kayu Balok Kamper Medan</v>
          </cell>
          <cell r="D131" t="str">
            <v>m³</v>
          </cell>
          <cell r="E131">
            <v>4200000</v>
          </cell>
        </row>
        <row r="132">
          <cell r="A132" t="str">
            <v>BF08</v>
          </cell>
          <cell r="B132">
            <v>5</v>
          </cell>
          <cell r="C132" t="str">
            <v>Kayu Papan Kamper Medan</v>
          </cell>
          <cell r="D132" t="str">
            <v>m³</v>
          </cell>
          <cell r="E132">
            <v>4450000</v>
          </cell>
        </row>
        <row r="133">
          <cell r="A133" t="str">
            <v>BF09</v>
          </cell>
          <cell r="B133">
            <v>6</v>
          </cell>
          <cell r="C133" t="str">
            <v>Kayu Balok Kamper Banjar</v>
          </cell>
          <cell r="D133" t="str">
            <v>m³</v>
          </cell>
          <cell r="E133">
            <v>3500000</v>
          </cell>
        </row>
        <row r="134">
          <cell r="A134" t="str">
            <v>BF10</v>
          </cell>
          <cell r="B134">
            <v>7</v>
          </cell>
          <cell r="C134" t="str">
            <v>Kayu Papan Kamper Banjar</v>
          </cell>
          <cell r="D134" t="str">
            <v>m³</v>
          </cell>
          <cell r="E134">
            <v>3700000</v>
          </cell>
        </row>
        <row r="135">
          <cell r="A135" t="str">
            <v>BF11</v>
          </cell>
          <cell r="B135">
            <v>8</v>
          </cell>
          <cell r="C135" t="str">
            <v>Kayu Balok Kamper Samarinda</v>
          </cell>
          <cell r="D135" t="str">
            <v>m³</v>
          </cell>
          <cell r="E135">
            <v>4900000</v>
          </cell>
        </row>
        <row r="136">
          <cell r="A136" t="str">
            <v>BF12</v>
          </cell>
          <cell r="B136">
            <v>9</v>
          </cell>
          <cell r="C136" t="str">
            <v>Kayu Papan Kamper Samarinda</v>
          </cell>
          <cell r="D136" t="str">
            <v>m³</v>
          </cell>
          <cell r="E136">
            <v>5050000</v>
          </cell>
        </row>
        <row r="137">
          <cell r="A137" t="str">
            <v>BF13</v>
          </cell>
          <cell r="B137">
            <v>120</v>
          </cell>
          <cell r="C137" t="str">
            <v>Kayu Balok Rasamala</v>
          </cell>
          <cell r="D137" t="str">
            <v>m³</v>
          </cell>
          <cell r="E137">
            <v>3200000</v>
          </cell>
        </row>
        <row r="138">
          <cell r="A138" t="str">
            <v>BF14'</v>
          </cell>
          <cell r="B138">
            <v>121</v>
          </cell>
          <cell r="C138" t="str">
            <v>Kayu Balok jati</v>
          </cell>
          <cell r="D138" t="str">
            <v>m³</v>
          </cell>
          <cell r="E138">
            <v>5750000</v>
          </cell>
        </row>
        <row r="139">
          <cell r="A139" t="str">
            <v>BF14"</v>
          </cell>
          <cell r="B139">
            <v>122</v>
          </cell>
          <cell r="C139" t="str">
            <v xml:space="preserve">Kayu Papan Jati </v>
          </cell>
          <cell r="D139" t="str">
            <v>m³</v>
          </cell>
          <cell r="E139">
            <v>6500000</v>
          </cell>
        </row>
        <row r="140">
          <cell r="A140" t="str">
            <v>BF14</v>
          </cell>
          <cell r="B140">
            <v>123</v>
          </cell>
          <cell r="C140" t="str">
            <v xml:space="preserve">Kayu Jati Jatim Tua dia. 40 cm </v>
          </cell>
          <cell r="D140" t="str">
            <v>m³</v>
          </cell>
          <cell r="E140">
            <v>9000000</v>
          </cell>
        </row>
        <row r="141">
          <cell r="A141" t="str">
            <v>BF15</v>
          </cell>
          <cell r="B141">
            <v>124</v>
          </cell>
          <cell r="C141" t="str">
            <v>Kayu Jati Jateng Tua dia. 40 cm</v>
          </cell>
          <cell r="D141" t="str">
            <v>m³</v>
          </cell>
          <cell r="E141">
            <v>9000000</v>
          </cell>
        </row>
        <row r="142">
          <cell r="A142" t="str">
            <v>BF16</v>
          </cell>
          <cell r="B142">
            <v>125</v>
          </cell>
          <cell r="C142" t="str">
            <v>Kayu Jati Jabar Tua  dia. 40 cm</v>
          </cell>
          <cell r="D142" t="str">
            <v>m³</v>
          </cell>
          <cell r="E142">
            <v>6000000</v>
          </cell>
        </row>
        <row r="143">
          <cell r="A143" t="str">
            <v>BF17</v>
          </cell>
          <cell r="B143">
            <v>126</v>
          </cell>
          <cell r="C143" t="str">
            <v xml:space="preserve">Kayu Jati Jabar dia. 40 cm kebawah </v>
          </cell>
          <cell r="D143" t="str">
            <v>m³</v>
          </cell>
          <cell r="E143">
            <v>4900000</v>
          </cell>
        </row>
        <row r="144">
          <cell r="A144" t="str">
            <v>BF18</v>
          </cell>
          <cell r="B144">
            <v>127</v>
          </cell>
          <cell r="C144" t="str">
            <v xml:space="preserve">Kayu Hutan Kelas I ( Segeng, Mahoni, Laban ) </v>
          </cell>
          <cell r="D144" t="str">
            <v>m³</v>
          </cell>
          <cell r="E144">
            <v>1850000</v>
          </cell>
        </row>
        <row r="145">
          <cell r="B145">
            <v>10</v>
          </cell>
          <cell r="C145" t="str">
            <v>Kayu Balok Albasiah</v>
          </cell>
          <cell r="D145" t="str">
            <v>m³</v>
          </cell>
          <cell r="E145">
            <v>900000</v>
          </cell>
        </row>
        <row r="146">
          <cell r="A146" t="str">
            <v>BF19</v>
          </cell>
          <cell r="B146">
            <v>11</v>
          </cell>
          <cell r="C146" t="str">
            <v>Kayu Papan Albasia</v>
          </cell>
          <cell r="D146" t="str">
            <v>m³</v>
          </cell>
          <cell r="E146">
            <v>950000</v>
          </cell>
        </row>
        <row r="147">
          <cell r="A147" t="str">
            <v>BF19'</v>
          </cell>
          <cell r="B147">
            <v>130</v>
          </cell>
          <cell r="C147" t="str">
            <v>Kayu Kruing</v>
          </cell>
          <cell r="D147" t="str">
            <v>m³</v>
          </cell>
          <cell r="E147">
            <v>2500000</v>
          </cell>
        </row>
        <row r="148">
          <cell r="A148" t="str">
            <v>BF19"</v>
          </cell>
          <cell r="B148">
            <v>131</v>
          </cell>
          <cell r="C148" t="str">
            <v>Kayu Papan Borneo</v>
          </cell>
          <cell r="D148" t="str">
            <v>m³</v>
          </cell>
          <cell r="E148">
            <v>2500000</v>
          </cell>
        </row>
        <row r="149">
          <cell r="A149" t="str">
            <v>BF20</v>
          </cell>
          <cell r="B149">
            <v>132</v>
          </cell>
          <cell r="C149" t="str">
            <v>Dolken 8 s/d 10 uk.4m'</v>
          </cell>
          <cell r="D149" t="str">
            <v>bt</v>
          </cell>
          <cell r="E149">
            <v>58000</v>
          </cell>
        </row>
        <row r="150">
          <cell r="A150" t="str">
            <v>BF21</v>
          </cell>
          <cell r="B150">
            <v>133</v>
          </cell>
          <cell r="C150" t="str">
            <v>Dolken 7 s/d 10</v>
          </cell>
          <cell r="D150" t="str">
            <v>bt</v>
          </cell>
          <cell r="E150">
            <v>20000</v>
          </cell>
        </row>
        <row r="151">
          <cell r="A151" t="str">
            <v>BF22</v>
          </cell>
          <cell r="B151">
            <v>134</v>
          </cell>
          <cell r="C151" t="str">
            <v>List profil kamper 1 cm</v>
          </cell>
          <cell r="D151" t="str">
            <v>m1</v>
          </cell>
          <cell r="E151">
            <v>1750</v>
          </cell>
        </row>
        <row r="152">
          <cell r="A152" t="str">
            <v>BF23</v>
          </cell>
          <cell r="B152">
            <v>135</v>
          </cell>
          <cell r="C152" t="str">
            <v>List profil kamper 2 cm</v>
          </cell>
          <cell r="D152" t="str">
            <v>m1</v>
          </cell>
          <cell r="E152">
            <v>2000</v>
          </cell>
        </row>
        <row r="153">
          <cell r="A153" t="str">
            <v>BF24</v>
          </cell>
          <cell r="B153">
            <v>136</v>
          </cell>
          <cell r="C153" t="str">
            <v>List profil kamper 4 cm</v>
          </cell>
          <cell r="D153" t="str">
            <v>m1</v>
          </cell>
          <cell r="E153">
            <v>2250</v>
          </cell>
        </row>
        <row r="154">
          <cell r="A154" t="str">
            <v>BF25</v>
          </cell>
          <cell r="B154">
            <v>137</v>
          </cell>
          <cell r="C154" t="str">
            <v>List profil kamper 5 cm</v>
          </cell>
          <cell r="D154" t="str">
            <v>m1</v>
          </cell>
          <cell r="E154">
            <v>3500</v>
          </cell>
        </row>
        <row r="155">
          <cell r="A155" t="str">
            <v>BF26</v>
          </cell>
          <cell r="B155">
            <v>138</v>
          </cell>
          <cell r="C155" t="str">
            <v>List profil kamper 10 cm</v>
          </cell>
          <cell r="D155" t="str">
            <v>m1</v>
          </cell>
          <cell r="E155">
            <v>25000</v>
          </cell>
        </row>
        <row r="156">
          <cell r="A156" t="str">
            <v>BF27</v>
          </cell>
          <cell r="B156">
            <v>139</v>
          </cell>
          <cell r="C156" t="str">
            <v>Pegangan Tangga profil Jati</v>
          </cell>
          <cell r="D156" t="str">
            <v>m1</v>
          </cell>
          <cell r="E156">
            <v>200000</v>
          </cell>
        </row>
        <row r="157">
          <cell r="A157" t="str">
            <v>BF28</v>
          </cell>
          <cell r="B157">
            <v>140</v>
          </cell>
          <cell r="C157" t="str">
            <v>Pegangan Tangga profil Kamper</v>
          </cell>
          <cell r="D157" t="str">
            <v>m1</v>
          </cell>
          <cell r="E157">
            <v>75000</v>
          </cell>
        </row>
        <row r="158">
          <cell r="A158" t="str">
            <v>BF29</v>
          </cell>
          <cell r="B158">
            <v>141</v>
          </cell>
          <cell r="C158" t="str">
            <v>Kayu Reng 2/3 Borneo</v>
          </cell>
          <cell r="D158" t="str">
            <v>m1</v>
          </cell>
          <cell r="E158">
            <v>1150</v>
          </cell>
        </row>
        <row r="159">
          <cell r="A159" t="str">
            <v>BF30</v>
          </cell>
          <cell r="B159">
            <v>142</v>
          </cell>
          <cell r="C159" t="str">
            <v>Kayu Reng 2/3 Kamper Banjar</v>
          </cell>
          <cell r="D159" t="str">
            <v>m1</v>
          </cell>
          <cell r="E159">
            <v>1750</v>
          </cell>
        </row>
        <row r="160">
          <cell r="A160" t="str">
            <v>BF31</v>
          </cell>
          <cell r="B160">
            <v>143</v>
          </cell>
          <cell r="C160" t="str">
            <v>Kayu Reng 3/4 Kamper Banjar</v>
          </cell>
          <cell r="D160" t="str">
            <v>m1</v>
          </cell>
          <cell r="E160">
            <v>2500</v>
          </cell>
        </row>
        <row r="161">
          <cell r="B161">
            <v>12</v>
          </cell>
          <cell r="C161" t="str">
            <v>Reng Kayu Kls II</v>
          </cell>
          <cell r="D161" t="str">
            <v>m1</v>
          </cell>
          <cell r="E161">
            <v>750</v>
          </cell>
        </row>
        <row r="163">
          <cell r="B163" t="str">
            <v>D</v>
          </cell>
          <cell r="C163" t="str">
            <v>BAHAN PENUTUP RANGKA PLAFOND</v>
          </cell>
        </row>
        <row r="164">
          <cell r="A164" t="str">
            <v>BH01</v>
          </cell>
          <cell r="B164">
            <v>1</v>
          </cell>
          <cell r="C164" t="str">
            <v>Bahan plafond Enternit 4 mm</v>
          </cell>
          <cell r="D164" t="str">
            <v>m²</v>
          </cell>
          <cell r="E164">
            <v>7500</v>
          </cell>
        </row>
        <row r="165">
          <cell r="A165" t="str">
            <v>BH02</v>
          </cell>
          <cell r="B165">
            <v>146</v>
          </cell>
          <cell r="C165" t="str">
            <v>Bahan plafond hardpleks 5 mm 120 x 240</v>
          </cell>
          <cell r="D165" t="str">
            <v>lbr</v>
          </cell>
          <cell r="E165">
            <v>82000</v>
          </cell>
        </row>
        <row r="166">
          <cell r="A166" t="str">
            <v>BH03</v>
          </cell>
          <cell r="B166">
            <v>147</v>
          </cell>
          <cell r="C166" t="str">
            <v>Bahan plafond Asbes Semen 5 mm</v>
          </cell>
          <cell r="D166" t="str">
            <v>m²</v>
          </cell>
          <cell r="E166">
            <v>6500</v>
          </cell>
        </row>
        <row r="167">
          <cell r="A167" t="str">
            <v>BH04</v>
          </cell>
          <cell r="B167">
            <v>148</v>
          </cell>
          <cell r="C167" t="str">
            <v>Gypsum 120 x 240  t = 9 mm ex DN</v>
          </cell>
          <cell r="D167" t="str">
            <v>lbr</v>
          </cell>
          <cell r="E167">
            <v>57500</v>
          </cell>
        </row>
        <row r="168">
          <cell r="A168" t="str">
            <v>BH05</v>
          </cell>
          <cell r="B168">
            <v>149</v>
          </cell>
          <cell r="C168" t="str">
            <v>Gypsum 120 x 240  t = 9 mm ex Luar</v>
          </cell>
          <cell r="D168" t="str">
            <v>lbr</v>
          </cell>
          <cell r="E168">
            <v>62000</v>
          </cell>
        </row>
        <row r="169">
          <cell r="A169" t="str">
            <v>BH06</v>
          </cell>
          <cell r="B169">
            <v>150</v>
          </cell>
          <cell r="C169" t="str">
            <v xml:space="preserve">Acustik Amstrong 60 x 120 </v>
          </cell>
          <cell r="D169" t="str">
            <v>lbr</v>
          </cell>
          <cell r="E169">
            <v>95000</v>
          </cell>
        </row>
        <row r="170">
          <cell r="B170">
            <v>151</v>
          </cell>
          <cell r="C170" t="str">
            <v>GRC 120 x 240</v>
          </cell>
          <cell r="D170" t="str">
            <v>lbr</v>
          </cell>
          <cell r="E170">
            <v>55000</v>
          </cell>
        </row>
        <row r="172">
          <cell r="B172" t="str">
            <v>E</v>
          </cell>
          <cell r="C172" t="str">
            <v>BAHAN KAYU LAPIS</v>
          </cell>
        </row>
        <row r="173">
          <cell r="A173" t="str">
            <v>BJ01</v>
          </cell>
          <cell r="B173">
            <v>1</v>
          </cell>
          <cell r="C173" t="str">
            <v>Triplek 3 mm 120 x 240</v>
          </cell>
          <cell r="D173" t="str">
            <v>lbr</v>
          </cell>
          <cell r="E173">
            <v>45000</v>
          </cell>
        </row>
        <row r="174">
          <cell r="A174" t="str">
            <v>BJ02</v>
          </cell>
          <cell r="B174">
            <v>153</v>
          </cell>
          <cell r="C174" t="str">
            <v>Triplek 4 mm 120 x 240</v>
          </cell>
          <cell r="D174" t="str">
            <v>lbr</v>
          </cell>
          <cell r="E174">
            <v>52500</v>
          </cell>
        </row>
        <row r="175">
          <cell r="A175" t="str">
            <v>BJ03</v>
          </cell>
          <cell r="B175">
            <v>154</v>
          </cell>
          <cell r="C175" t="str">
            <v>Triplek 4 mm Ukuran Pintu</v>
          </cell>
          <cell r="D175" t="str">
            <v>lbr</v>
          </cell>
          <cell r="E175">
            <v>31500</v>
          </cell>
        </row>
        <row r="176">
          <cell r="A176" t="str">
            <v>BJ04</v>
          </cell>
          <cell r="B176">
            <v>155</v>
          </cell>
          <cell r="C176" t="str">
            <v>Triplek 6 mm 120 x 240</v>
          </cell>
          <cell r="D176" t="str">
            <v>lbr</v>
          </cell>
          <cell r="E176">
            <v>62500</v>
          </cell>
        </row>
        <row r="177">
          <cell r="A177" t="str">
            <v>BJ06</v>
          </cell>
          <cell r="B177">
            <v>156</v>
          </cell>
          <cell r="C177" t="str">
            <v>Jabar Wood 4 mm</v>
          </cell>
          <cell r="D177" t="str">
            <v>lbr</v>
          </cell>
          <cell r="E177">
            <v>60000</v>
          </cell>
        </row>
        <row r="178">
          <cell r="B178">
            <v>157</v>
          </cell>
          <cell r="C178" t="str">
            <v>Plywood 18 mm 120 x 240</v>
          </cell>
          <cell r="D178" t="str">
            <v>lbr</v>
          </cell>
          <cell r="E178">
            <v>232000</v>
          </cell>
        </row>
        <row r="179">
          <cell r="B179">
            <v>158</v>
          </cell>
          <cell r="C179" t="str">
            <v>Plywood 4 mm 120 x 240</v>
          </cell>
          <cell r="D179" t="str">
            <v>lbr</v>
          </cell>
          <cell r="E179">
            <v>85000</v>
          </cell>
        </row>
        <row r="180">
          <cell r="B180">
            <v>159</v>
          </cell>
          <cell r="C180" t="str">
            <v>Plywood 3 mm 120 x 240</v>
          </cell>
          <cell r="D180" t="str">
            <v>lbr</v>
          </cell>
          <cell r="E180">
            <v>50000</v>
          </cell>
        </row>
        <row r="181">
          <cell r="B181">
            <v>160</v>
          </cell>
          <cell r="C181" t="str">
            <v>Plywood 3 mm ukuran Pintu</v>
          </cell>
          <cell r="D181" t="str">
            <v>lbr</v>
          </cell>
          <cell r="E181">
            <v>95000</v>
          </cell>
        </row>
        <row r="182">
          <cell r="B182">
            <v>161</v>
          </cell>
          <cell r="C182" t="str">
            <v>Plywood 4 mm ukuran Pintu</v>
          </cell>
          <cell r="D182" t="str">
            <v>lbr</v>
          </cell>
          <cell r="E182">
            <v>105000</v>
          </cell>
        </row>
        <row r="183">
          <cell r="A183" t="str">
            <v>BJ07</v>
          </cell>
          <cell r="B183">
            <v>162</v>
          </cell>
          <cell r="C183" t="str">
            <v>Bilik Bambu ( tanpa kulit )</v>
          </cell>
          <cell r="D183" t="str">
            <v>m²</v>
          </cell>
          <cell r="E183">
            <v>4500</v>
          </cell>
        </row>
        <row r="184">
          <cell r="A184" t="str">
            <v>BJ08</v>
          </cell>
          <cell r="B184">
            <v>163</v>
          </cell>
          <cell r="C184" t="str">
            <v>Bilik Bambu ( dengan kulit )</v>
          </cell>
          <cell r="D184" t="str">
            <v>m²</v>
          </cell>
          <cell r="E184">
            <v>10000</v>
          </cell>
        </row>
        <row r="185">
          <cell r="A185" t="str">
            <v>BJ09</v>
          </cell>
          <cell r="B185">
            <v>164</v>
          </cell>
          <cell r="C185" t="str">
            <v>Bilik Bambu Hitam Variasi</v>
          </cell>
          <cell r="D185" t="str">
            <v>m²</v>
          </cell>
          <cell r="E185">
            <v>14500</v>
          </cell>
        </row>
        <row r="186">
          <cell r="A186" t="str">
            <v>BJ10</v>
          </cell>
          <cell r="B186">
            <v>165</v>
          </cell>
          <cell r="C186" t="str">
            <v>Wall Paper ( kls menengah )</v>
          </cell>
          <cell r="D186" t="str">
            <v>m²</v>
          </cell>
          <cell r="E186">
            <v>35000</v>
          </cell>
        </row>
        <row r="187">
          <cell r="A187" t="str">
            <v>BJ11</v>
          </cell>
          <cell r="B187">
            <v>166</v>
          </cell>
          <cell r="C187" t="str">
            <v>Multiplek 9 mm 120 x 240</v>
          </cell>
          <cell r="D187" t="str">
            <v>lbr</v>
          </cell>
          <cell r="E187">
            <v>105000</v>
          </cell>
        </row>
        <row r="188">
          <cell r="A188" t="str">
            <v>BJ12</v>
          </cell>
          <cell r="B188">
            <v>167</v>
          </cell>
          <cell r="C188" t="str">
            <v>Multiplek 12 mm 120 x 240</v>
          </cell>
          <cell r="D188" t="str">
            <v>lbr</v>
          </cell>
          <cell r="E188">
            <v>140000</v>
          </cell>
        </row>
        <row r="189">
          <cell r="A189" t="str">
            <v>BJ13</v>
          </cell>
          <cell r="B189">
            <v>168</v>
          </cell>
          <cell r="C189" t="str">
            <v>Multiplek 18 mm 120 x 240</v>
          </cell>
          <cell r="D189" t="str">
            <v>lbr</v>
          </cell>
          <cell r="E189">
            <v>162500</v>
          </cell>
        </row>
        <row r="190">
          <cell r="A190" t="str">
            <v>BJ14</v>
          </cell>
          <cell r="B190">
            <v>169</v>
          </cell>
          <cell r="C190" t="str">
            <v>Play Wood 18 mm 120 x 240</v>
          </cell>
          <cell r="D190" t="str">
            <v>lbr</v>
          </cell>
          <cell r="E190">
            <v>205000</v>
          </cell>
        </row>
        <row r="191">
          <cell r="A191" t="str">
            <v>BJ15</v>
          </cell>
          <cell r="B191">
            <v>170</v>
          </cell>
          <cell r="C191" t="str">
            <v>Teak Wood 3 mm 120 x 240</v>
          </cell>
          <cell r="D191" t="str">
            <v>lbr</v>
          </cell>
          <cell r="E191">
            <v>76000</v>
          </cell>
        </row>
        <row r="192">
          <cell r="A192" t="str">
            <v>BJ16</v>
          </cell>
          <cell r="B192">
            <v>171</v>
          </cell>
          <cell r="C192" t="str">
            <v>Teak Wood 4 mm 120 x 240</v>
          </cell>
          <cell r="D192" t="str">
            <v>lbr</v>
          </cell>
          <cell r="E192">
            <v>83500</v>
          </cell>
        </row>
        <row r="193">
          <cell r="A193" t="str">
            <v>BJ17</v>
          </cell>
          <cell r="B193">
            <v>172</v>
          </cell>
          <cell r="C193" t="str">
            <v xml:space="preserve">Teak Wood 3 mm 120 x 240 Ukuran Pintu </v>
          </cell>
          <cell r="D193" t="str">
            <v>lbr</v>
          </cell>
          <cell r="E193">
            <v>52000</v>
          </cell>
        </row>
        <row r="194">
          <cell r="A194" t="str">
            <v>BJ18</v>
          </cell>
          <cell r="B194">
            <v>173</v>
          </cell>
          <cell r="C194" t="str">
            <v>Teak Wood ukuran Pintu 4 mm</v>
          </cell>
          <cell r="D194" t="str">
            <v>lbr</v>
          </cell>
          <cell r="E194">
            <v>77700</v>
          </cell>
        </row>
        <row r="195">
          <cell r="A195" t="str">
            <v>BJ19</v>
          </cell>
          <cell r="B195">
            <v>174</v>
          </cell>
          <cell r="C195" t="str">
            <v>Tacon ( tahan bakar )</v>
          </cell>
          <cell r="D195" t="str">
            <v>m²</v>
          </cell>
          <cell r="E195">
            <v>80000</v>
          </cell>
        </row>
        <row r="196">
          <cell r="A196" t="str">
            <v>BJ20</v>
          </cell>
          <cell r="B196">
            <v>175</v>
          </cell>
          <cell r="C196" t="str">
            <v>Supercon</v>
          </cell>
          <cell r="D196" t="str">
            <v>m²</v>
          </cell>
          <cell r="E196">
            <v>42500</v>
          </cell>
        </row>
        <row r="197">
          <cell r="A197" t="str">
            <v>BJ21</v>
          </cell>
          <cell r="B197">
            <v>176</v>
          </cell>
          <cell r="C197" t="str">
            <v xml:space="preserve">Melamin 4 mm 120 x 240 </v>
          </cell>
          <cell r="D197" t="str">
            <v>lbr</v>
          </cell>
          <cell r="E197">
            <v>55000</v>
          </cell>
        </row>
        <row r="198">
          <cell r="A198" t="str">
            <v>BJ22</v>
          </cell>
          <cell r="B198">
            <v>177</v>
          </cell>
          <cell r="C198" t="str">
            <v xml:space="preserve">Melamin TIK 4 mm </v>
          </cell>
          <cell r="D198" t="str">
            <v>lbr</v>
          </cell>
          <cell r="E198">
            <v>145000</v>
          </cell>
        </row>
        <row r="199">
          <cell r="A199" t="str">
            <v>BJ23</v>
          </cell>
          <cell r="B199">
            <v>178</v>
          </cell>
          <cell r="C199" t="str">
            <v xml:space="preserve">Formika 120 x 240 </v>
          </cell>
          <cell r="D199" t="str">
            <v>lbr</v>
          </cell>
          <cell r="E199">
            <v>140000</v>
          </cell>
        </row>
        <row r="200">
          <cell r="A200" t="str">
            <v>BJ24</v>
          </cell>
          <cell r="B200">
            <v>179</v>
          </cell>
          <cell r="C200" t="str">
            <v>Formika Ukuran Pintu</v>
          </cell>
          <cell r="D200" t="str">
            <v>lbr</v>
          </cell>
          <cell r="E200">
            <v>82500</v>
          </cell>
        </row>
        <row r="202">
          <cell r="B202" t="str">
            <v>F</v>
          </cell>
          <cell r="C202" t="str">
            <v>BAHAN LANTAI DAN PELAPIS DINDING</v>
          </cell>
        </row>
        <row r="203">
          <cell r="A203" t="str">
            <v>BL01</v>
          </cell>
          <cell r="B203">
            <v>180</v>
          </cell>
          <cell r="C203" t="str">
            <v>Tegel PC 20 x 20</v>
          </cell>
          <cell r="D203" t="str">
            <v>bh</v>
          </cell>
          <cell r="E203">
            <v>750</v>
          </cell>
        </row>
        <row r="204">
          <cell r="A204" t="str">
            <v>BL02</v>
          </cell>
          <cell r="B204">
            <v>181</v>
          </cell>
          <cell r="C204" t="str">
            <v>Plin Tegel PC 10 x 20</v>
          </cell>
          <cell r="D204" t="str">
            <v>bh</v>
          </cell>
          <cell r="E204">
            <v>1000</v>
          </cell>
        </row>
        <row r="205">
          <cell r="A205" t="str">
            <v>BL03</v>
          </cell>
          <cell r="B205">
            <v>182</v>
          </cell>
          <cell r="C205" t="str">
            <v>Tegel PC 30 x 30</v>
          </cell>
          <cell r="D205" t="str">
            <v>bh</v>
          </cell>
          <cell r="E205">
            <v>2300</v>
          </cell>
        </row>
        <row r="206">
          <cell r="A206" t="str">
            <v>BL04</v>
          </cell>
          <cell r="B206">
            <v>183</v>
          </cell>
          <cell r="C206" t="str">
            <v>Plin Tegel PC 15 x 30</v>
          </cell>
          <cell r="D206" t="str">
            <v>bh</v>
          </cell>
          <cell r="E206">
            <v>1000</v>
          </cell>
        </row>
        <row r="207">
          <cell r="A207" t="str">
            <v>BL05</v>
          </cell>
          <cell r="B207">
            <v>184</v>
          </cell>
          <cell r="C207" t="str">
            <v>Tegel Warna 20 x 20</v>
          </cell>
          <cell r="D207" t="str">
            <v>bh</v>
          </cell>
          <cell r="E207">
            <v>900</v>
          </cell>
        </row>
        <row r="208">
          <cell r="A208" t="str">
            <v>BL06</v>
          </cell>
          <cell r="B208">
            <v>185</v>
          </cell>
          <cell r="C208" t="str">
            <v>Plin Tegel Warna 10 x 20</v>
          </cell>
          <cell r="D208" t="str">
            <v>bh</v>
          </cell>
          <cell r="E208">
            <v>2000</v>
          </cell>
        </row>
        <row r="209">
          <cell r="A209" t="str">
            <v>BL07</v>
          </cell>
          <cell r="B209">
            <v>186</v>
          </cell>
          <cell r="C209" t="str">
            <v>Tegel Warna 30 x 30</v>
          </cell>
          <cell r="D209" t="str">
            <v>bh</v>
          </cell>
          <cell r="E209">
            <v>2500</v>
          </cell>
        </row>
        <row r="210">
          <cell r="A210" t="str">
            <v>BL07'</v>
          </cell>
          <cell r="B210">
            <v>187</v>
          </cell>
          <cell r="C210" t="str">
            <v>Ubin Keramik 30 x 30 cm KW 1</v>
          </cell>
          <cell r="D210" t="str">
            <v>dus</v>
          </cell>
          <cell r="E210">
            <v>32500</v>
          </cell>
        </row>
        <row r="211">
          <cell r="A211" t="str">
            <v>BL07"</v>
          </cell>
          <cell r="B211">
            <v>188</v>
          </cell>
          <cell r="C211" t="str">
            <v>Ubin Keramik 20 x 20 cm KW 1</v>
          </cell>
          <cell r="D211" t="str">
            <v>dus</v>
          </cell>
          <cell r="E211">
            <v>33000</v>
          </cell>
        </row>
        <row r="212">
          <cell r="A212" t="str">
            <v>BL08</v>
          </cell>
          <cell r="B212">
            <v>189</v>
          </cell>
          <cell r="C212" t="str">
            <v>Plin Tegel Warna 15 x 30</v>
          </cell>
          <cell r="D212" t="str">
            <v>bh</v>
          </cell>
          <cell r="E212">
            <v>3000</v>
          </cell>
        </row>
        <row r="213">
          <cell r="A213" t="str">
            <v>BL09</v>
          </cell>
          <cell r="B213">
            <v>190</v>
          </cell>
          <cell r="C213" t="str">
            <v>Tegel Wafel PC 20 x 20</v>
          </cell>
          <cell r="D213" t="str">
            <v>bh</v>
          </cell>
          <cell r="E213">
            <v>700</v>
          </cell>
        </row>
        <row r="214">
          <cell r="A214" t="str">
            <v>BL10</v>
          </cell>
          <cell r="B214">
            <v>191</v>
          </cell>
          <cell r="C214" t="str">
            <v>Tegel Wafel Warna 20 x 20</v>
          </cell>
          <cell r="D214" t="str">
            <v>bh</v>
          </cell>
          <cell r="E214">
            <v>850</v>
          </cell>
        </row>
        <row r="215">
          <cell r="A215" t="str">
            <v>BL11</v>
          </cell>
          <cell r="B215">
            <v>192</v>
          </cell>
          <cell r="C215" t="str">
            <v>Tegel Badak PC 30 x 30</v>
          </cell>
          <cell r="D215" t="str">
            <v>bh</v>
          </cell>
          <cell r="E215">
            <v>2100</v>
          </cell>
        </row>
        <row r="216">
          <cell r="A216" t="str">
            <v>BL12</v>
          </cell>
          <cell r="B216">
            <v>193</v>
          </cell>
          <cell r="C216" t="str">
            <v>Poslin 11 x 11 Warna Standar DN</v>
          </cell>
          <cell r="D216" t="str">
            <v>m²</v>
          </cell>
          <cell r="E216">
            <v>33500</v>
          </cell>
        </row>
        <row r="217">
          <cell r="A217" t="str">
            <v>BL13</v>
          </cell>
          <cell r="B217">
            <v>194</v>
          </cell>
          <cell r="C217" t="str">
            <v>Poslin 11 x 11 Warna Khusus DN</v>
          </cell>
          <cell r="D217" t="str">
            <v>m²</v>
          </cell>
          <cell r="E217">
            <v>35000</v>
          </cell>
        </row>
        <row r="218">
          <cell r="A218" t="str">
            <v>BL14</v>
          </cell>
          <cell r="B218">
            <v>195</v>
          </cell>
          <cell r="C218" t="str">
            <v>Keramik 10 x 20 dan 20 x 20 KW I DN Putih  / Polos</v>
          </cell>
          <cell r="D218" t="str">
            <v>m²</v>
          </cell>
          <cell r="E218">
            <v>35000</v>
          </cell>
        </row>
        <row r="219">
          <cell r="A219" t="str">
            <v>BL15</v>
          </cell>
          <cell r="B219">
            <v>196</v>
          </cell>
          <cell r="C219" t="str">
            <v>Keramik 10 x 20 KW I DN Corak / Warna / Anti Slip</v>
          </cell>
          <cell r="D219" t="str">
            <v>m²</v>
          </cell>
          <cell r="E219">
            <v>35000</v>
          </cell>
        </row>
        <row r="220">
          <cell r="A220" t="str">
            <v>BL16</v>
          </cell>
          <cell r="B220">
            <v>197</v>
          </cell>
          <cell r="C220" t="str">
            <v>Keramik 20 x 20 (KM) KW I DN Corak / Warna / Anti Slip</v>
          </cell>
          <cell r="D220" t="str">
            <v>m²</v>
          </cell>
          <cell r="E220">
            <v>35000</v>
          </cell>
        </row>
        <row r="221">
          <cell r="A221" t="str">
            <v>BL17</v>
          </cell>
          <cell r="B221">
            <v>198</v>
          </cell>
          <cell r="C221" t="str">
            <v xml:space="preserve">Keramik 20 x 20 (KM) KWI DN Putih Polos </v>
          </cell>
          <cell r="D221" t="str">
            <v>m²</v>
          </cell>
          <cell r="E221">
            <v>35000</v>
          </cell>
        </row>
        <row r="222">
          <cell r="A222" t="str">
            <v>BL18</v>
          </cell>
          <cell r="B222">
            <v>199</v>
          </cell>
          <cell r="C222" t="str">
            <v xml:space="preserve">Keramik 20 x 25 Dinding KM KWI DN Corak </v>
          </cell>
          <cell r="D222" t="str">
            <v>m²</v>
          </cell>
          <cell r="E222">
            <v>40000</v>
          </cell>
        </row>
        <row r="223">
          <cell r="A223" t="str">
            <v>BL19</v>
          </cell>
          <cell r="B223">
            <v>200</v>
          </cell>
          <cell r="C223" t="str">
            <v>Keramik 30 x 30 KW I DN putih polos</v>
          </cell>
          <cell r="D223" t="str">
            <v>m²</v>
          </cell>
          <cell r="E223">
            <v>32500</v>
          </cell>
        </row>
        <row r="224">
          <cell r="A224" t="str">
            <v>BL20</v>
          </cell>
          <cell r="B224">
            <v>1</v>
          </cell>
          <cell r="C224" t="str">
            <v xml:space="preserve">Keramik 30 x 30 KW I DN Warna/Corak </v>
          </cell>
          <cell r="D224" t="str">
            <v>m²</v>
          </cell>
          <cell r="E224">
            <v>40000</v>
          </cell>
        </row>
        <row r="225">
          <cell r="B225">
            <v>202</v>
          </cell>
          <cell r="C225" t="str">
            <v>Granito Tile Esenssza 40 x 40 polis</v>
          </cell>
          <cell r="D225" t="str">
            <v>m²</v>
          </cell>
          <cell r="E225">
            <v>250000</v>
          </cell>
        </row>
        <row r="226">
          <cell r="B226">
            <v>203</v>
          </cell>
          <cell r="C226" t="str">
            <v>Granito Tile Esenssza 40 x 40 un polis</v>
          </cell>
          <cell r="D226" t="str">
            <v>m²</v>
          </cell>
          <cell r="E226">
            <v>185000</v>
          </cell>
        </row>
        <row r="227">
          <cell r="B227">
            <v>204</v>
          </cell>
          <cell r="C227" t="str">
            <v>Granito Tile Esenssza 60 x 60 polis</v>
          </cell>
          <cell r="D227" t="str">
            <v>m²</v>
          </cell>
          <cell r="E227">
            <v>275000</v>
          </cell>
        </row>
        <row r="228">
          <cell r="B228">
            <v>205</v>
          </cell>
          <cell r="C228" t="str">
            <v>Granito Tile Esenssza 60 x 60 un polis</v>
          </cell>
          <cell r="D228" t="str">
            <v>m²</v>
          </cell>
          <cell r="E228">
            <v>200000</v>
          </cell>
        </row>
        <row r="229">
          <cell r="B229">
            <v>206</v>
          </cell>
          <cell r="C229" t="str">
            <v xml:space="preserve">Keramik 40 x 40 cm </v>
          </cell>
          <cell r="D229" t="str">
            <v>dus</v>
          </cell>
          <cell r="E229">
            <v>46000</v>
          </cell>
        </row>
        <row r="230">
          <cell r="B230">
            <v>2</v>
          </cell>
          <cell r="C230" t="str">
            <v>Keramik 40 x 40 cm Bercorak/Warna</v>
          </cell>
          <cell r="D230" t="str">
            <v>m²</v>
          </cell>
          <cell r="E230">
            <v>55000.000000000007</v>
          </cell>
        </row>
        <row r="231">
          <cell r="B231">
            <v>207</v>
          </cell>
          <cell r="C231" t="str">
            <v>Keramik Mozaik 30 x 30 cm</v>
          </cell>
          <cell r="D231" t="str">
            <v>dus</v>
          </cell>
          <cell r="E231">
            <v>55000</v>
          </cell>
        </row>
        <row r="232">
          <cell r="A232" t="str">
            <v>BL21</v>
          </cell>
          <cell r="B232">
            <v>208</v>
          </cell>
          <cell r="C232" t="str">
            <v>Vinyl Lantai standar</v>
          </cell>
          <cell r="D232" t="str">
            <v>m²</v>
          </cell>
          <cell r="E232">
            <v>21000</v>
          </cell>
        </row>
        <row r="233">
          <cell r="A233" t="str">
            <v>BL22</v>
          </cell>
          <cell r="B233">
            <v>209</v>
          </cell>
          <cell r="C233" t="str">
            <v>Karpet Kelas Baik LN</v>
          </cell>
          <cell r="D233" t="str">
            <v>m²</v>
          </cell>
          <cell r="E233">
            <v>500000</v>
          </cell>
        </row>
        <row r="234">
          <cell r="A234" t="str">
            <v>BL23</v>
          </cell>
          <cell r="B234">
            <v>210</v>
          </cell>
          <cell r="C234" t="str">
            <v>Karpet Kelas Sedang LN</v>
          </cell>
          <cell r="D234" t="str">
            <v>m²</v>
          </cell>
          <cell r="E234">
            <v>200000</v>
          </cell>
        </row>
        <row r="235">
          <cell r="A235" t="str">
            <v>BL24</v>
          </cell>
          <cell r="B235">
            <v>211</v>
          </cell>
          <cell r="C235" t="str">
            <v>Stairnosing keramik 10/20</v>
          </cell>
          <cell r="D235" t="str">
            <v>bh</v>
          </cell>
          <cell r="E235">
            <v>8000</v>
          </cell>
        </row>
        <row r="236">
          <cell r="A236" t="str">
            <v>BL25</v>
          </cell>
          <cell r="B236">
            <v>212</v>
          </cell>
          <cell r="C236" t="str">
            <v>Stairnosing fiber</v>
          </cell>
          <cell r="D236" t="str">
            <v>m'</v>
          </cell>
          <cell r="E236">
            <v>14500</v>
          </cell>
        </row>
        <row r="237">
          <cell r="A237" t="str">
            <v>BL26</v>
          </cell>
          <cell r="B237">
            <v>213</v>
          </cell>
          <cell r="C237" t="str">
            <v>Taraso Kerang 30 x 30</v>
          </cell>
          <cell r="D237" t="str">
            <v>m²</v>
          </cell>
          <cell r="E237">
            <v>20000</v>
          </cell>
        </row>
        <row r="238">
          <cell r="A238" t="str">
            <v>BL27</v>
          </cell>
          <cell r="B238">
            <v>214</v>
          </cell>
          <cell r="C238" t="str">
            <v>Plin Taraso 10 x 30</v>
          </cell>
          <cell r="D238" t="str">
            <v>bh</v>
          </cell>
          <cell r="E238">
            <v>4500</v>
          </cell>
        </row>
        <row r="239">
          <cell r="A239" t="str">
            <v>BL28</v>
          </cell>
          <cell r="B239">
            <v>215</v>
          </cell>
          <cell r="C239" t="str">
            <v xml:space="preserve">Granit Alam LN Ukuran Besar </v>
          </cell>
          <cell r="D239" t="str">
            <v>m²</v>
          </cell>
          <cell r="E239">
            <v>1250000</v>
          </cell>
        </row>
        <row r="240">
          <cell r="A240" t="str">
            <v>BL29</v>
          </cell>
          <cell r="B240">
            <v>216</v>
          </cell>
          <cell r="C240" t="str">
            <v xml:space="preserve">Granit Alam LN Ukuran Kecil </v>
          </cell>
          <cell r="D240" t="str">
            <v>m²</v>
          </cell>
          <cell r="E240">
            <v>1100000</v>
          </cell>
        </row>
        <row r="241">
          <cell r="A241" t="str">
            <v>BL30</v>
          </cell>
          <cell r="B241">
            <v>217</v>
          </cell>
          <cell r="C241" t="str">
            <v xml:space="preserve">Granit Alam DN Ukuran Besar </v>
          </cell>
          <cell r="D241" t="str">
            <v>m²</v>
          </cell>
          <cell r="E241">
            <v>950000</v>
          </cell>
        </row>
        <row r="242">
          <cell r="A242" t="str">
            <v>BL31</v>
          </cell>
          <cell r="B242">
            <v>218</v>
          </cell>
          <cell r="C242" t="str">
            <v>Granit Alam DN Ukuran Kecil</v>
          </cell>
          <cell r="D242" t="str">
            <v>m²</v>
          </cell>
          <cell r="E242">
            <v>850000</v>
          </cell>
        </row>
        <row r="243">
          <cell r="A243" t="str">
            <v>BL32</v>
          </cell>
          <cell r="B243">
            <v>219</v>
          </cell>
          <cell r="C243" t="str">
            <v xml:space="preserve">Marmer Alam  Lampung Ukuran Besar </v>
          </cell>
          <cell r="D243" t="str">
            <v>m²</v>
          </cell>
          <cell r="E243">
            <v>160000</v>
          </cell>
        </row>
        <row r="244">
          <cell r="A244" t="str">
            <v>BL33</v>
          </cell>
          <cell r="B244">
            <v>220</v>
          </cell>
          <cell r="C244" t="str">
            <v>Marmer Alam  Lampung Ukuran Kecil</v>
          </cell>
          <cell r="D244" t="str">
            <v>m²</v>
          </cell>
          <cell r="E244">
            <v>110000</v>
          </cell>
        </row>
        <row r="245">
          <cell r="A245" t="str">
            <v>BL34</v>
          </cell>
          <cell r="B245">
            <v>221</v>
          </cell>
          <cell r="C245" t="str">
            <v xml:space="preserve">Marmer Alam Citatah Ukuran Besar </v>
          </cell>
          <cell r="D245" t="str">
            <v>m²</v>
          </cell>
          <cell r="E245">
            <v>430000</v>
          </cell>
        </row>
        <row r="246">
          <cell r="A246" t="str">
            <v>BL35</v>
          </cell>
          <cell r="B246">
            <v>222</v>
          </cell>
          <cell r="C246" t="str">
            <v>Marmer Alam Citatah Ukuran Kecil</v>
          </cell>
          <cell r="D246" t="str">
            <v>m²</v>
          </cell>
          <cell r="E246">
            <v>250000</v>
          </cell>
        </row>
        <row r="247">
          <cell r="A247" t="str">
            <v>BL36</v>
          </cell>
          <cell r="B247">
            <v>223</v>
          </cell>
          <cell r="C247" t="str">
            <v>Marmer Sintetis</v>
          </cell>
          <cell r="D247" t="str">
            <v>m²</v>
          </cell>
          <cell r="E247">
            <v>245700</v>
          </cell>
        </row>
        <row r="248">
          <cell r="A248" t="str">
            <v>BL37</v>
          </cell>
          <cell r="B248">
            <v>224</v>
          </cell>
          <cell r="C248" t="str">
            <v xml:space="preserve">Bata Karawang </v>
          </cell>
          <cell r="D248" t="str">
            <v>bh</v>
          </cell>
          <cell r="E248">
            <v>2200</v>
          </cell>
        </row>
        <row r="249">
          <cell r="A249" t="str">
            <v>BL41</v>
          </cell>
          <cell r="B249">
            <v>225</v>
          </cell>
          <cell r="C249" t="str">
            <v xml:space="preserve">Bata Karawang </v>
          </cell>
          <cell r="D249" t="str">
            <v>bh</v>
          </cell>
          <cell r="E249">
            <v>2200</v>
          </cell>
        </row>
        <row r="250">
          <cell r="A250" t="str">
            <v>BL42</v>
          </cell>
          <cell r="B250">
            <v>226</v>
          </cell>
          <cell r="C250" t="str">
            <v>Campuran untuk Kedap Air (AM)</v>
          </cell>
          <cell r="D250" t="str">
            <v>ltr</v>
          </cell>
          <cell r="E250">
            <v>22000</v>
          </cell>
        </row>
        <row r="251">
          <cell r="B251">
            <v>3</v>
          </cell>
          <cell r="C251" t="str">
            <v>Lantai Parket</v>
          </cell>
          <cell r="D251" t="str">
            <v>m²</v>
          </cell>
          <cell r="E251">
            <v>320000</v>
          </cell>
        </row>
        <row r="252">
          <cell r="B252">
            <v>4</v>
          </cell>
          <cell r="C252" t="str">
            <v>Stepnozing</v>
          </cell>
          <cell r="D252" t="str">
            <v>m'</v>
          </cell>
          <cell r="E252">
            <v>14400</v>
          </cell>
        </row>
        <row r="254">
          <cell r="B254" t="str">
            <v>G</v>
          </cell>
          <cell r="C254" t="str">
            <v>BAHAN SALURAN AIR KOTOR / BERSIH</v>
          </cell>
        </row>
        <row r="255">
          <cell r="A255" t="str">
            <v>BN01</v>
          </cell>
          <cell r="B255">
            <v>229</v>
          </cell>
          <cell r="C255" t="str">
            <v>Grafel 1/2 d.20 cm</v>
          </cell>
          <cell r="D255" t="str">
            <v>m1</v>
          </cell>
          <cell r="E255">
            <v>20000</v>
          </cell>
        </row>
        <row r="256">
          <cell r="A256" t="str">
            <v>BN02</v>
          </cell>
          <cell r="B256">
            <v>1</v>
          </cell>
          <cell r="C256" t="str">
            <v>Grafel 1/2 d.30 cm</v>
          </cell>
          <cell r="D256" t="str">
            <v>m1</v>
          </cell>
          <cell r="E256">
            <v>30000</v>
          </cell>
        </row>
        <row r="257">
          <cell r="A257" t="str">
            <v>BN03</v>
          </cell>
          <cell r="B257">
            <v>231</v>
          </cell>
          <cell r="C257" t="str">
            <v>Grafel 1/2 d.40 cm</v>
          </cell>
          <cell r="D257" t="str">
            <v>m1</v>
          </cell>
          <cell r="E257">
            <v>40000</v>
          </cell>
        </row>
        <row r="258">
          <cell r="A258" t="str">
            <v>BN04</v>
          </cell>
          <cell r="B258">
            <v>232</v>
          </cell>
          <cell r="C258" t="str">
            <v>Buis Beton Ø 20 cm ( 1 m' )</v>
          </cell>
          <cell r="D258" t="str">
            <v>m1</v>
          </cell>
          <cell r="E258">
            <v>30000</v>
          </cell>
        </row>
        <row r="259">
          <cell r="A259" t="str">
            <v>BN05</v>
          </cell>
          <cell r="B259">
            <v>233</v>
          </cell>
          <cell r="C259" t="str">
            <v>Buis Beton Ø 30 cm ( 1 m' )</v>
          </cell>
          <cell r="D259" t="str">
            <v>bh</v>
          </cell>
          <cell r="E259">
            <v>45000</v>
          </cell>
        </row>
        <row r="260">
          <cell r="A260" t="str">
            <v>BN06</v>
          </cell>
          <cell r="B260">
            <v>234</v>
          </cell>
          <cell r="C260" t="str">
            <v>Buis Beton Ø 40 cm ( 1 m' )</v>
          </cell>
          <cell r="D260" t="str">
            <v>bh</v>
          </cell>
          <cell r="E260">
            <v>60000</v>
          </cell>
        </row>
        <row r="261">
          <cell r="A261" t="str">
            <v>BN07</v>
          </cell>
          <cell r="B261">
            <v>235</v>
          </cell>
          <cell r="C261" t="str">
            <v>Buis Beton Ø 50 cm ( 1 m' )</v>
          </cell>
          <cell r="D261" t="str">
            <v>bh</v>
          </cell>
          <cell r="E261">
            <v>75000</v>
          </cell>
        </row>
        <row r="262">
          <cell r="A262" t="str">
            <v>BN08</v>
          </cell>
          <cell r="B262">
            <v>236</v>
          </cell>
          <cell r="C262" t="str">
            <v>Buis Beton Ø 60 cm ( 1 m' ) *M031</v>
          </cell>
          <cell r="D262" t="str">
            <v>bh</v>
          </cell>
          <cell r="E262">
            <v>90000</v>
          </cell>
        </row>
        <row r="263">
          <cell r="A263" t="str">
            <v>BN09</v>
          </cell>
          <cell r="B263">
            <v>237</v>
          </cell>
          <cell r="C263" t="str">
            <v>Buis Beton Ø 100 cm ( 0.50 m ) *M035</v>
          </cell>
          <cell r="D263" t="str">
            <v>bh</v>
          </cell>
          <cell r="E263">
            <v>120000</v>
          </cell>
        </row>
        <row r="264">
          <cell r="A264" t="str">
            <v>BN10</v>
          </cell>
          <cell r="B264">
            <v>238</v>
          </cell>
          <cell r="C264" t="str">
            <v>Buis Beton Ø 80 cm ( 0.50 m ) *M033</v>
          </cell>
          <cell r="D264" t="str">
            <v>bh</v>
          </cell>
          <cell r="E264">
            <v>100000</v>
          </cell>
        </row>
        <row r="265">
          <cell r="A265" t="str">
            <v>BN11</v>
          </cell>
          <cell r="B265">
            <v>239</v>
          </cell>
          <cell r="C265" t="str">
            <v>Buis Tanah Ø 10 cm ( 0.50 m )</v>
          </cell>
          <cell r="D265" t="str">
            <v>bh</v>
          </cell>
          <cell r="E265">
            <v>7000</v>
          </cell>
        </row>
        <row r="266">
          <cell r="A266" t="str">
            <v>BN12</v>
          </cell>
          <cell r="B266">
            <v>240</v>
          </cell>
          <cell r="C266" t="str">
            <v>Buis Tanah Ø 15 cm ( 0.50 m )</v>
          </cell>
          <cell r="D266" t="str">
            <v>bh</v>
          </cell>
          <cell r="E266">
            <v>10350</v>
          </cell>
        </row>
        <row r="267">
          <cell r="A267" t="str">
            <v>BN13</v>
          </cell>
          <cell r="B267">
            <v>241</v>
          </cell>
          <cell r="C267" t="str">
            <v>Buis Tanah Ø 20 cm ( 0.50 m )</v>
          </cell>
          <cell r="D267" t="str">
            <v>bh</v>
          </cell>
          <cell r="E267">
            <v>15000</v>
          </cell>
        </row>
        <row r="268">
          <cell r="A268" t="str">
            <v>BN14</v>
          </cell>
          <cell r="B268">
            <v>242</v>
          </cell>
          <cell r="C268" t="str">
            <v>Buis Tanah Ø 25 cm ( 0.50 m )</v>
          </cell>
          <cell r="D268" t="str">
            <v>bh</v>
          </cell>
          <cell r="E268">
            <v>11000</v>
          </cell>
        </row>
        <row r="269">
          <cell r="A269" t="str">
            <v>BN15</v>
          </cell>
          <cell r="B269">
            <v>243</v>
          </cell>
          <cell r="C269" t="str">
            <v xml:space="preserve"> Injuk</v>
          </cell>
          <cell r="D269" t="str">
            <v>kg</v>
          </cell>
          <cell r="E269">
            <v>12000</v>
          </cell>
        </row>
        <row r="271">
          <cell r="B271" t="str">
            <v>H</v>
          </cell>
          <cell r="C271" t="str">
            <v>BAHAN LOGAM DAN BAHAN JADINYA</v>
          </cell>
        </row>
        <row r="272">
          <cell r="A272" t="str">
            <v>BP01</v>
          </cell>
          <cell r="B272">
            <v>1</v>
          </cell>
          <cell r="C272" t="str">
            <v>Besi Beton U-24 Rata - Rata *M167'</v>
          </cell>
          <cell r="D272" t="str">
            <v>kg</v>
          </cell>
          <cell r="E272">
            <v>8000</v>
          </cell>
        </row>
        <row r="273">
          <cell r="A273" t="str">
            <v>BP02</v>
          </cell>
          <cell r="B273">
            <v>245</v>
          </cell>
          <cell r="C273" t="str">
            <v>Besi Beton U-39 / U-32 Rata - Rata *M167</v>
          </cell>
          <cell r="D273" t="str">
            <v>kg</v>
          </cell>
          <cell r="E273">
            <v>8100</v>
          </cell>
        </row>
        <row r="274">
          <cell r="A274" t="str">
            <v>BP03</v>
          </cell>
          <cell r="B274">
            <v>246</v>
          </cell>
          <cell r="C274" t="str">
            <v>Pagar BRC Lengkap Tiang ( Tanpa Pondasi )</v>
          </cell>
          <cell r="D274" t="str">
            <v>m²</v>
          </cell>
          <cell r="E274">
            <v>75000</v>
          </cell>
        </row>
        <row r="275">
          <cell r="A275" t="str">
            <v>BP04</v>
          </cell>
          <cell r="B275">
            <v>247</v>
          </cell>
          <cell r="C275" t="str">
            <v>Bondek</v>
          </cell>
          <cell r="D275" t="str">
            <v>m²</v>
          </cell>
          <cell r="E275">
            <v>95000</v>
          </cell>
        </row>
        <row r="276">
          <cell r="A276" t="str">
            <v>BP05</v>
          </cell>
          <cell r="B276">
            <v>248</v>
          </cell>
          <cell r="C276" t="str">
            <v>Ongkos Galfanis Besi</v>
          </cell>
          <cell r="D276" t="str">
            <v>kg</v>
          </cell>
          <cell r="E276">
            <v>5500</v>
          </cell>
        </row>
        <row r="277">
          <cell r="A277" t="str">
            <v>BP07</v>
          </cell>
          <cell r="B277">
            <v>249</v>
          </cell>
          <cell r="C277" t="str">
            <v>Kawat Duri</v>
          </cell>
          <cell r="D277" t="str">
            <v>m1</v>
          </cell>
          <cell r="E277">
            <v>2340</v>
          </cell>
        </row>
        <row r="278">
          <cell r="A278" t="str">
            <v>BP08</v>
          </cell>
          <cell r="B278">
            <v>250</v>
          </cell>
          <cell r="C278" t="str">
            <v xml:space="preserve">Kawat Pengikat </v>
          </cell>
          <cell r="D278" t="str">
            <v>m1</v>
          </cell>
          <cell r="E278">
            <v>5200</v>
          </cell>
        </row>
        <row r="279">
          <cell r="A279" t="str">
            <v>BP09</v>
          </cell>
          <cell r="B279">
            <v>251</v>
          </cell>
          <cell r="C279" t="str">
            <v>Kawat Bronjong 4 mm</v>
          </cell>
          <cell r="D279" t="str">
            <v>kg</v>
          </cell>
          <cell r="E279">
            <v>6500</v>
          </cell>
        </row>
        <row r="280">
          <cell r="A280" t="str">
            <v>BP10</v>
          </cell>
          <cell r="B280">
            <v>252</v>
          </cell>
          <cell r="C280" t="str">
            <v>Kawat Tembaga</v>
          </cell>
          <cell r="D280" t="str">
            <v>kg</v>
          </cell>
          <cell r="E280">
            <v>4500</v>
          </cell>
        </row>
        <row r="281">
          <cell r="A281" t="str">
            <v>BP10,</v>
          </cell>
          <cell r="B281">
            <v>253</v>
          </cell>
          <cell r="C281" t="str">
            <v>Baja Siku/Profil DN</v>
          </cell>
          <cell r="D281" t="str">
            <v>kg</v>
          </cell>
          <cell r="E281">
            <v>8500</v>
          </cell>
        </row>
        <row r="282">
          <cell r="A282" t="str">
            <v>BP10'</v>
          </cell>
          <cell r="B282">
            <v>254</v>
          </cell>
          <cell r="C282" t="str">
            <v>Baja IWF DN SII</v>
          </cell>
          <cell r="D282" t="str">
            <v>kg</v>
          </cell>
          <cell r="E282">
            <v>8500</v>
          </cell>
        </row>
        <row r="283">
          <cell r="A283" t="str">
            <v>BP10"</v>
          </cell>
          <cell r="B283">
            <v>255</v>
          </cell>
          <cell r="C283" t="str">
            <v>Baja IWF Jepang</v>
          </cell>
          <cell r="D283" t="str">
            <v>kg</v>
          </cell>
          <cell r="E283">
            <v>10000</v>
          </cell>
        </row>
        <row r="284">
          <cell r="B284">
            <v>256</v>
          </cell>
          <cell r="C284" t="str">
            <v>Baja Kontruksi Jembatan *M165</v>
          </cell>
          <cell r="D284" t="str">
            <v>kg</v>
          </cell>
          <cell r="E284">
            <v>24570</v>
          </cell>
        </row>
        <row r="285">
          <cell r="A285" t="str">
            <v>BP11</v>
          </cell>
          <cell r="B285">
            <v>2</v>
          </cell>
          <cell r="C285" t="str">
            <v>Kawat Beton *M168</v>
          </cell>
          <cell r="D285" t="str">
            <v>kg</v>
          </cell>
          <cell r="E285">
            <v>7500</v>
          </cell>
        </row>
        <row r="286">
          <cell r="A286" t="str">
            <v>BP14</v>
          </cell>
          <cell r="B286">
            <v>258</v>
          </cell>
          <cell r="C286" t="str">
            <v>Kawat Bronjong 4 mm *M162</v>
          </cell>
          <cell r="D286" t="str">
            <v>kg</v>
          </cell>
          <cell r="E286">
            <v>6500</v>
          </cell>
        </row>
        <row r="287">
          <cell r="A287" t="str">
            <v>BP15</v>
          </cell>
          <cell r="B287">
            <v>259</v>
          </cell>
          <cell r="C287" t="str">
            <v>Kawat Tembaga</v>
          </cell>
          <cell r="D287" t="str">
            <v>kg</v>
          </cell>
          <cell r="E287">
            <v>4500</v>
          </cell>
        </row>
        <row r="288">
          <cell r="B288">
            <v>260</v>
          </cell>
          <cell r="C288" t="str">
            <v>Baut Baja  *M163</v>
          </cell>
          <cell r="D288" t="str">
            <v>kg</v>
          </cell>
          <cell r="E288">
            <v>18000</v>
          </cell>
        </row>
        <row r="289">
          <cell r="B289">
            <v>261</v>
          </cell>
          <cell r="C289" t="str">
            <v>Besi Galvanisir  * M164</v>
          </cell>
          <cell r="D289" t="str">
            <v>kg</v>
          </cell>
          <cell r="E289">
            <v>30500</v>
          </cell>
        </row>
        <row r="290">
          <cell r="B290">
            <v>262</v>
          </cell>
          <cell r="C290" t="str">
            <v>Baja Tralis   *M161</v>
          </cell>
          <cell r="D290" t="str">
            <v>kg</v>
          </cell>
          <cell r="E290">
            <v>12500</v>
          </cell>
        </row>
        <row r="291">
          <cell r="A291" t="str">
            <v>BP16</v>
          </cell>
          <cell r="B291">
            <v>263</v>
          </cell>
          <cell r="C291" t="str">
            <v>Ram Nyamuk Hijau</v>
          </cell>
          <cell r="D291" t="str">
            <v>m²</v>
          </cell>
          <cell r="E291">
            <v>8500</v>
          </cell>
        </row>
        <row r="292">
          <cell r="A292" t="str">
            <v>BP17</v>
          </cell>
          <cell r="B292">
            <v>264</v>
          </cell>
          <cell r="C292" t="str">
            <v>Ram Kawat 1 x 1 cm</v>
          </cell>
          <cell r="D292" t="str">
            <v>m²</v>
          </cell>
          <cell r="E292">
            <v>8500</v>
          </cell>
        </row>
        <row r="293">
          <cell r="A293" t="str">
            <v>BP18</v>
          </cell>
          <cell r="B293">
            <v>265</v>
          </cell>
          <cell r="C293" t="str">
            <v>Ram Ayam</v>
          </cell>
          <cell r="D293" t="str">
            <v>m²</v>
          </cell>
          <cell r="E293">
            <v>9000</v>
          </cell>
        </row>
        <row r="294">
          <cell r="A294" t="str">
            <v>BP19</v>
          </cell>
          <cell r="B294">
            <v>266</v>
          </cell>
          <cell r="C294" t="str">
            <v xml:space="preserve">Kawat Kasa 1 x 1 cm ( Putih ) </v>
          </cell>
          <cell r="D294" t="str">
            <v>m²</v>
          </cell>
          <cell r="E294">
            <v>15000</v>
          </cell>
        </row>
        <row r="295">
          <cell r="A295" t="str">
            <v>BP20</v>
          </cell>
          <cell r="B295">
            <v>267</v>
          </cell>
          <cell r="C295" t="str">
            <v>Kawat Harmonika 4 cm</v>
          </cell>
          <cell r="D295" t="str">
            <v>m²</v>
          </cell>
          <cell r="E295">
            <v>19250</v>
          </cell>
        </row>
        <row r="296">
          <cell r="A296" t="str">
            <v>BP21</v>
          </cell>
          <cell r="B296">
            <v>268</v>
          </cell>
          <cell r="C296" t="str">
            <v>Kawat Harmonika 2 cm</v>
          </cell>
          <cell r="D296" t="str">
            <v>m²</v>
          </cell>
          <cell r="E296">
            <v>23400</v>
          </cell>
        </row>
        <row r="297">
          <cell r="A297" t="str">
            <v>BP22</v>
          </cell>
          <cell r="B297">
            <v>269</v>
          </cell>
          <cell r="C297" t="str">
            <v>Kawat Las Listrik</v>
          </cell>
          <cell r="D297" t="str">
            <v>kg</v>
          </cell>
          <cell r="E297">
            <v>18250</v>
          </cell>
        </row>
        <row r="298">
          <cell r="A298" t="str">
            <v>BP23</v>
          </cell>
          <cell r="B298">
            <v>270</v>
          </cell>
          <cell r="C298" t="str">
            <v>Wiremesh M8</v>
          </cell>
          <cell r="D298" t="str">
            <v>m²</v>
          </cell>
          <cell r="E298">
            <v>28000</v>
          </cell>
        </row>
        <row r="299">
          <cell r="A299" t="str">
            <v>BP24</v>
          </cell>
          <cell r="B299">
            <v>271</v>
          </cell>
          <cell r="C299" t="str">
            <v>Wiremesh M6</v>
          </cell>
          <cell r="D299" t="str">
            <v>m²</v>
          </cell>
          <cell r="E299">
            <v>23000</v>
          </cell>
        </row>
        <row r="300">
          <cell r="A300" t="str">
            <v>BP25</v>
          </cell>
          <cell r="B300">
            <v>272</v>
          </cell>
          <cell r="C300" t="str">
            <v>Timah</v>
          </cell>
          <cell r="D300" t="str">
            <v>kg</v>
          </cell>
          <cell r="E300">
            <v>28500</v>
          </cell>
        </row>
        <row r="301">
          <cell r="A301" t="str">
            <v>BP26</v>
          </cell>
          <cell r="B301">
            <v>273</v>
          </cell>
          <cell r="C301" t="str">
            <v>Timah Hitam</v>
          </cell>
          <cell r="D301" t="str">
            <v>kg</v>
          </cell>
          <cell r="E301">
            <v>18250</v>
          </cell>
        </row>
        <row r="302">
          <cell r="A302" t="str">
            <v>BP27</v>
          </cell>
          <cell r="B302">
            <v>274</v>
          </cell>
          <cell r="C302" t="str">
            <v>Ram Nyamuk Aluminium</v>
          </cell>
          <cell r="D302" t="str">
            <v>m²</v>
          </cell>
          <cell r="E302">
            <v>9800</v>
          </cell>
        </row>
        <row r="303">
          <cell r="A303" t="str">
            <v>BP28</v>
          </cell>
          <cell r="B303">
            <v>275</v>
          </cell>
          <cell r="C303" t="str">
            <v xml:space="preserve">Plat Srip Ø 2 x 30 mm ( 6 m1) </v>
          </cell>
          <cell r="D303" t="str">
            <v>bt</v>
          </cell>
          <cell r="E303">
            <v>18300</v>
          </cell>
        </row>
        <row r="304">
          <cell r="A304" t="str">
            <v>BP29</v>
          </cell>
          <cell r="B304">
            <v>276</v>
          </cell>
          <cell r="C304" t="str">
            <v xml:space="preserve">Plat Srip Ø 3 x 30 mm ( 6 m1) </v>
          </cell>
          <cell r="D304" t="str">
            <v>bt</v>
          </cell>
          <cell r="E304">
            <v>23800</v>
          </cell>
        </row>
        <row r="305">
          <cell r="A305" t="str">
            <v>BP30</v>
          </cell>
          <cell r="B305">
            <v>277</v>
          </cell>
          <cell r="C305" t="str">
            <v>Plat Alumunium 0.2 mm</v>
          </cell>
          <cell r="D305" t="str">
            <v>m²</v>
          </cell>
          <cell r="E305">
            <v>55900</v>
          </cell>
        </row>
        <row r="306">
          <cell r="A306" t="str">
            <v>BP31</v>
          </cell>
          <cell r="B306">
            <v>278</v>
          </cell>
          <cell r="C306" t="str">
            <v>Plat Alumunium 0.3 mm</v>
          </cell>
          <cell r="D306" t="str">
            <v>m²</v>
          </cell>
          <cell r="E306">
            <v>72500</v>
          </cell>
        </row>
        <row r="307">
          <cell r="A307" t="str">
            <v>BP32</v>
          </cell>
          <cell r="B307">
            <v>279</v>
          </cell>
          <cell r="C307" t="str">
            <v>Plat Alumunium 0.4 mm</v>
          </cell>
          <cell r="D307" t="str">
            <v>m²</v>
          </cell>
          <cell r="E307">
            <v>87000</v>
          </cell>
        </row>
        <row r="308">
          <cell r="A308" t="str">
            <v>BP33</v>
          </cell>
          <cell r="B308">
            <v>280</v>
          </cell>
          <cell r="C308" t="str">
            <v>Plat Alumunium 0.5 mm</v>
          </cell>
          <cell r="D308" t="str">
            <v>m²</v>
          </cell>
          <cell r="E308">
            <v>98000</v>
          </cell>
        </row>
        <row r="309">
          <cell r="A309" t="str">
            <v>BP34</v>
          </cell>
          <cell r="B309">
            <v>281</v>
          </cell>
          <cell r="C309" t="str">
            <v>Plat Alumunium 0.6 mm</v>
          </cell>
          <cell r="D309" t="str">
            <v>m²</v>
          </cell>
          <cell r="E309">
            <v>113500</v>
          </cell>
        </row>
        <row r="310">
          <cell r="A310" t="str">
            <v>BP35</v>
          </cell>
          <cell r="B310">
            <v>282</v>
          </cell>
          <cell r="C310" t="str">
            <v>Plat Alumunium 0.1 mm</v>
          </cell>
          <cell r="D310" t="str">
            <v>m²</v>
          </cell>
          <cell r="E310">
            <v>30150</v>
          </cell>
        </row>
        <row r="311">
          <cell r="A311" t="str">
            <v>BP36</v>
          </cell>
          <cell r="B311">
            <v>283</v>
          </cell>
          <cell r="C311" t="str">
            <v>Kusen Alumunium Natural 1.3 mm  t=1,3 mm ( 4 " )</v>
          </cell>
          <cell r="D311" t="str">
            <v>m1</v>
          </cell>
          <cell r="E311">
            <v>36850</v>
          </cell>
        </row>
        <row r="312">
          <cell r="A312" t="str">
            <v>BP37</v>
          </cell>
          <cell r="B312">
            <v>284</v>
          </cell>
          <cell r="C312" t="str">
            <v>Kusen Alumunium Warna 1.3 mm t=1,3 mm ( 4 " )</v>
          </cell>
          <cell r="D312" t="str">
            <v>m1</v>
          </cell>
          <cell r="E312">
            <v>58200</v>
          </cell>
        </row>
        <row r="313">
          <cell r="A313" t="str">
            <v>BP38</v>
          </cell>
          <cell r="B313">
            <v>285</v>
          </cell>
          <cell r="C313" t="str">
            <v xml:space="preserve">Daun Jendela Alumunium Natural ( Tanpa Kaca dan accessories ) </v>
          </cell>
          <cell r="D313" t="str">
            <v>m²</v>
          </cell>
          <cell r="E313">
            <v>14500</v>
          </cell>
        </row>
        <row r="314">
          <cell r="A314" t="str">
            <v>BP39</v>
          </cell>
          <cell r="B314">
            <v>286</v>
          </cell>
          <cell r="C314" t="str">
            <v>Daun Jendela Alumunium Warna ( Tanpa Kaca dan accessories )</v>
          </cell>
          <cell r="D314" t="str">
            <v>m²</v>
          </cell>
          <cell r="E314">
            <v>19250</v>
          </cell>
        </row>
        <row r="315">
          <cell r="A315" t="str">
            <v>BP40</v>
          </cell>
          <cell r="B315">
            <v>287</v>
          </cell>
          <cell r="C315" t="str">
            <v>Daun Pintu Alumunium Natural ( tanpa kaca dan accessories )</v>
          </cell>
          <cell r="D315" t="str">
            <v>m²</v>
          </cell>
          <cell r="E315">
            <v>47500</v>
          </cell>
        </row>
        <row r="316">
          <cell r="A316" t="str">
            <v>BP41</v>
          </cell>
          <cell r="B316">
            <v>288</v>
          </cell>
          <cell r="C316" t="str">
            <v>Daun Pintu Alumunium Warna ( tanpa kaca dan accessories )</v>
          </cell>
          <cell r="D316" t="str">
            <v>m²</v>
          </cell>
          <cell r="E316">
            <v>63500</v>
          </cell>
        </row>
        <row r="317">
          <cell r="A317" t="str">
            <v>BP42</v>
          </cell>
          <cell r="B317">
            <v>289</v>
          </cell>
          <cell r="C317" t="str">
            <v xml:space="preserve">Handle Alumunium ( Tarikan Pintu Alumunium ) </v>
          </cell>
          <cell r="D317" t="str">
            <v>bh</v>
          </cell>
          <cell r="E317">
            <v>61500</v>
          </cell>
        </row>
        <row r="318">
          <cell r="A318" t="str">
            <v>BP43</v>
          </cell>
          <cell r="B318">
            <v>290</v>
          </cell>
          <cell r="C318" t="str">
            <v xml:space="preserve">Kait Angin alumunium </v>
          </cell>
          <cell r="D318" t="str">
            <v>ps</v>
          </cell>
          <cell r="E318">
            <v>75000</v>
          </cell>
        </row>
        <row r="319">
          <cell r="A319" t="str">
            <v>BP44</v>
          </cell>
          <cell r="B319">
            <v>291</v>
          </cell>
          <cell r="C319" t="str">
            <v xml:space="preserve">Karet Asisoris Kusen / Pintu Alumunium </v>
          </cell>
          <cell r="D319" t="str">
            <v>m1</v>
          </cell>
          <cell r="E319">
            <v>3600</v>
          </cell>
        </row>
        <row r="320">
          <cell r="A320" t="str">
            <v>BP45</v>
          </cell>
          <cell r="B320">
            <v>292</v>
          </cell>
          <cell r="C320" t="str">
            <v>Seng Plat BJLS 30 dia. 60 cm  ( 100 m1 )</v>
          </cell>
          <cell r="D320" t="str">
            <v>m1</v>
          </cell>
          <cell r="E320">
            <v>21840</v>
          </cell>
        </row>
        <row r="321">
          <cell r="A321" t="str">
            <v>BP46</v>
          </cell>
          <cell r="B321">
            <v>293</v>
          </cell>
          <cell r="C321" t="str">
            <v>Seng Plat BJLS 30 dia. 90 cm ( 100 m1 )</v>
          </cell>
          <cell r="D321" t="str">
            <v>m1</v>
          </cell>
          <cell r="E321">
            <v>27300</v>
          </cell>
        </row>
        <row r="322">
          <cell r="A322" t="str">
            <v>BP47</v>
          </cell>
          <cell r="B322">
            <v>294</v>
          </cell>
          <cell r="C322" t="str">
            <v>Plat Besi Tipis 1 mm</v>
          </cell>
          <cell r="D322" t="str">
            <v>kg</v>
          </cell>
          <cell r="E322">
            <v>8500</v>
          </cell>
        </row>
        <row r="323">
          <cell r="A323" t="str">
            <v>BP48</v>
          </cell>
          <cell r="B323">
            <v>295</v>
          </cell>
          <cell r="C323" t="str">
            <v>Plat Besi Tipis 0.5 mm</v>
          </cell>
          <cell r="D323" t="str">
            <v>kg</v>
          </cell>
          <cell r="E323">
            <v>9000</v>
          </cell>
        </row>
        <row r="324">
          <cell r="A324" t="str">
            <v>BP49</v>
          </cell>
          <cell r="B324">
            <v>296</v>
          </cell>
          <cell r="C324" t="str">
            <v xml:space="preserve">Plat Besi 2 mm s/d 5 mm </v>
          </cell>
          <cell r="D324" t="str">
            <v>kg</v>
          </cell>
          <cell r="E324">
            <v>7300</v>
          </cell>
        </row>
        <row r="325">
          <cell r="A325" t="str">
            <v>BP50</v>
          </cell>
          <cell r="B325">
            <v>297</v>
          </cell>
          <cell r="C325" t="str">
            <v xml:space="preserve">Plat Besi 6 mm s/d 10 mm </v>
          </cell>
          <cell r="D325" t="str">
            <v>kg</v>
          </cell>
          <cell r="E325">
            <v>7300</v>
          </cell>
        </row>
        <row r="326">
          <cell r="A326" t="str">
            <v>BP51</v>
          </cell>
          <cell r="B326">
            <v>298</v>
          </cell>
          <cell r="C326" t="str">
            <v>Plat Besi 10 mm Ke atas</v>
          </cell>
          <cell r="D326" t="str">
            <v>kg</v>
          </cell>
          <cell r="E326">
            <v>7300</v>
          </cell>
        </row>
        <row r="327">
          <cell r="A327" t="str">
            <v>BP52</v>
          </cell>
          <cell r="B327">
            <v>299</v>
          </cell>
          <cell r="C327" t="str">
            <v>Lem Kuning (aibond)</v>
          </cell>
          <cell r="D327" t="str">
            <v>kg</v>
          </cell>
          <cell r="E327">
            <v>33000</v>
          </cell>
        </row>
        <row r="328">
          <cell r="A328" t="str">
            <v>BP53</v>
          </cell>
          <cell r="B328">
            <v>3</v>
          </cell>
          <cell r="C328" t="str">
            <v>Lem Fox</v>
          </cell>
          <cell r="D328" t="str">
            <v>kg</v>
          </cell>
          <cell r="E328">
            <v>10000</v>
          </cell>
        </row>
        <row r="330">
          <cell r="B330" t="str">
            <v>I</v>
          </cell>
          <cell r="C330" t="str">
            <v>BAHAN  KACA</v>
          </cell>
        </row>
        <row r="331">
          <cell r="A331" t="str">
            <v>BR01</v>
          </cell>
          <cell r="B331">
            <v>301</v>
          </cell>
          <cell r="C331" t="str">
            <v xml:space="preserve">Kaca Polos 2 mm </v>
          </cell>
          <cell r="D331" t="str">
            <v>m²</v>
          </cell>
          <cell r="E331">
            <v>32000</v>
          </cell>
        </row>
        <row r="332">
          <cell r="A332" t="str">
            <v>BR02</v>
          </cell>
          <cell r="B332">
            <v>302</v>
          </cell>
          <cell r="C332" t="str">
            <v xml:space="preserve">Kaca Polos 3 mm </v>
          </cell>
          <cell r="D332" t="str">
            <v>m²</v>
          </cell>
          <cell r="E332">
            <v>32500</v>
          </cell>
        </row>
        <row r="333">
          <cell r="A333" t="str">
            <v>BR03</v>
          </cell>
          <cell r="B333">
            <v>1</v>
          </cell>
          <cell r="C333" t="str">
            <v xml:space="preserve">Kaca Polos 5 mm </v>
          </cell>
          <cell r="D333" t="str">
            <v>m²</v>
          </cell>
          <cell r="E333">
            <v>34250</v>
          </cell>
        </row>
        <row r="334">
          <cell r="B334">
            <v>304</v>
          </cell>
          <cell r="C334" t="str">
            <v>Kaca Polos Tebal 8 mm</v>
          </cell>
          <cell r="D334" t="str">
            <v>m²</v>
          </cell>
          <cell r="E334">
            <v>36000</v>
          </cell>
        </row>
        <row r="335">
          <cell r="B335">
            <v>305</v>
          </cell>
          <cell r="C335" t="str">
            <v>Kaca Polos Tebal 12 mm</v>
          </cell>
          <cell r="D335" t="str">
            <v>m²</v>
          </cell>
          <cell r="E335">
            <v>50000</v>
          </cell>
        </row>
        <row r="336">
          <cell r="A336" t="str">
            <v>BR04</v>
          </cell>
          <cell r="B336">
            <v>306</v>
          </cell>
          <cell r="C336" t="str">
            <v>Kaca Rayband 5 mm ( ASAHI )</v>
          </cell>
          <cell r="D336" t="str">
            <v>m²</v>
          </cell>
          <cell r="E336">
            <v>55250</v>
          </cell>
        </row>
        <row r="337">
          <cell r="A337" t="str">
            <v>BR05</v>
          </cell>
          <cell r="B337">
            <v>307</v>
          </cell>
          <cell r="C337" t="str">
            <v>Kaca Rayband 8 mm ( ASAHI )</v>
          </cell>
          <cell r="D337" t="str">
            <v>m²</v>
          </cell>
          <cell r="E337">
            <v>245500</v>
          </cell>
        </row>
        <row r="338">
          <cell r="A338" t="str">
            <v>BR06</v>
          </cell>
          <cell r="B338">
            <v>308</v>
          </cell>
          <cell r="C338" t="str">
            <v>Kaca Rayband 12 mm ( ASAHI )</v>
          </cell>
          <cell r="D338" t="str">
            <v>m²</v>
          </cell>
          <cell r="E338">
            <v>390000</v>
          </cell>
        </row>
        <row r="339">
          <cell r="A339" t="str">
            <v>BR07</v>
          </cell>
          <cell r="B339">
            <v>309</v>
          </cell>
          <cell r="C339" t="str">
            <v>Kaca Patri Lokal Terpasang ( ASAHI )</v>
          </cell>
          <cell r="D339" t="str">
            <v>m²</v>
          </cell>
          <cell r="E339">
            <v>645000</v>
          </cell>
        </row>
        <row r="340">
          <cell r="A340" t="str">
            <v>BR08</v>
          </cell>
          <cell r="B340">
            <v>310</v>
          </cell>
          <cell r="C340" t="str">
            <v xml:space="preserve">Kaca Patri EX Luar negeri  terpasang </v>
          </cell>
          <cell r="D340" t="str">
            <v>m²</v>
          </cell>
          <cell r="E340">
            <v>2600000</v>
          </cell>
        </row>
        <row r="341">
          <cell r="A341" t="str">
            <v>BR09</v>
          </cell>
          <cell r="B341">
            <v>311</v>
          </cell>
          <cell r="C341" t="str">
            <v xml:space="preserve">Kaca 6 mm Gravver </v>
          </cell>
          <cell r="D341" t="str">
            <v>m²</v>
          </cell>
          <cell r="E341">
            <v>1130000</v>
          </cell>
        </row>
        <row r="342">
          <cell r="A342" t="str">
            <v>BR10</v>
          </cell>
          <cell r="B342">
            <v>312</v>
          </cell>
          <cell r="C342" t="str">
            <v xml:space="preserve">Glass Block  DN  20 x 20 </v>
          </cell>
          <cell r="D342" t="str">
            <v>bh</v>
          </cell>
          <cell r="E342">
            <v>20000</v>
          </cell>
        </row>
        <row r="343">
          <cell r="A343" t="str">
            <v>BR11</v>
          </cell>
          <cell r="B343">
            <v>313</v>
          </cell>
          <cell r="C343" t="str">
            <v>Glass Block  20 x 20 Ex LN</v>
          </cell>
          <cell r="D343" t="str">
            <v>bh</v>
          </cell>
          <cell r="E343">
            <v>60000</v>
          </cell>
        </row>
        <row r="345">
          <cell r="B345" t="str">
            <v>J</v>
          </cell>
          <cell r="C345" t="str">
            <v>BAHAN PAKU DAN MUR BAUT</v>
          </cell>
        </row>
        <row r="346">
          <cell r="A346" t="str">
            <v>BS01</v>
          </cell>
          <cell r="B346">
            <v>1</v>
          </cell>
          <cell r="C346" t="str">
            <v>Paku 3 cm</v>
          </cell>
          <cell r="D346" t="str">
            <v>kg</v>
          </cell>
          <cell r="E346">
            <v>7500</v>
          </cell>
        </row>
        <row r="347">
          <cell r="A347" t="str">
            <v>BS02</v>
          </cell>
          <cell r="B347">
            <v>2</v>
          </cell>
          <cell r="C347" t="str">
            <v>Paku 5 cm s/d 7 cm / Paku Reng - Usuk</v>
          </cell>
          <cell r="D347" t="str">
            <v>kg</v>
          </cell>
          <cell r="E347">
            <v>7500</v>
          </cell>
        </row>
        <row r="348">
          <cell r="A348" t="str">
            <v>BS03</v>
          </cell>
          <cell r="B348">
            <v>316</v>
          </cell>
          <cell r="C348" t="str">
            <v>Paku 8 cm s/d 12 cm</v>
          </cell>
          <cell r="D348" t="str">
            <v>kg</v>
          </cell>
          <cell r="E348">
            <v>7500</v>
          </cell>
        </row>
        <row r="349">
          <cell r="B349">
            <v>317</v>
          </cell>
          <cell r="C349" t="str">
            <v>Paku 2 cm s/d 4 cm /Paku Tripleks - Bilik</v>
          </cell>
          <cell r="D349" t="str">
            <v>kg</v>
          </cell>
          <cell r="E349">
            <v>7500</v>
          </cell>
        </row>
        <row r="350">
          <cell r="B350">
            <v>318</v>
          </cell>
          <cell r="C350" t="str">
            <v>Paku 1/2 cm s/d 1 cm /Paku seng-Plat Poil</v>
          </cell>
          <cell r="D350" t="str">
            <v>kg</v>
          </cell>
          <cell r="E350">
            <v>7500</v>
          </cell>
        </row>
        <row r="351">
          <cell r="B351">
            <v>319</v>
          </cell>
          <cell r="C351" t="str">
            <v>Paku Baja Jembatan *M166</v>
          </cell>
          <cell r="D351" t="str">
            <v>kg</v>
          </cell>
          <cell r="E351">
            <v>12500</v>
          </cell>
        </row>
        <row r="352">
          <cell r="A352" t="str">
            <v>BS04</v>
          </cell>
          <cell r="B352">
            <v>320</v>
          </cell>
          <cell r="C352" t="str">
            <v>Paku Beton 2 cm s/d 5 cm</v>
          </cell>
          <cell r="D352" t="str">
            <v>kg</v>
          </cell>
          <cell r="E352">
            <v>25000</v>
          </cell>
        </row>
        <row r="353">
          <cell r="A353" t="str">
            <v>BS05</v>
          </cell>
          <cell r="B353">
            <v>321</v>
          </cell>
          <cell r="C353" t="str">
            <v>Paku Kait Lengkap</v>
          </cell>
          <cell r="D353" t="str">
            <v>bh</v>
          </cell>
          <cell r="E353">
            <v>600</v>
          </cell>
        </row>
        <row r="354">
          <cell r="A354" t="str">
            <v>BS06</v>
          </cell>
          <cell r="B354">
            <v>322</v>
          </cell>
          <cell r="C354" t="str">
            <v>Paku Cacing</v>
          </cell>
          <cell r="D354" t="str">
            <v>kg</v>
          </cell>
          <cell r="E354">
            <v>15000</v>
          </cell>
        </row>
        <row r="355">
          <cell r="B355">
            <v>3</v>
          </cell>
          <cell r="C355" t="str">
            <v>Paku Seng Glb. / Paku Asbes Glb.</v>
          </cell>
          <cell r="D355" t="str">
            <v>kg</v>
          </cell>
          <cell r="E355">
            <v>20000</v>
          </cell>
        </row>
        <row r="356">
          <cell r="B356">
            <v>324</v>
          </cell>
          <cell r="C356" t="str">
            <v>Paku Skrup</v>
          </cell>
          <cell r="D356" t="str">
            <v>kg</v>
          </cell>
          <cell r="E356">
            <v>6000</v>
          </cell>
        </row>
        <row r="357">
          <cell r="A357" t="str">
            <v>BS07</v>
          </cell>
          <cell r="B357">
            <v>4</v>
          </cell>
          <cell r="C357" t="str">
            <v>Besi Beugel kuda - kuda</v>
          </cell>
          <cell r="D357" t="str">
            <v>kg</v>
          </cell>
          <cell r="E357">
            <v>12250</v>
          </cell>
        </row>
        <row r="358">
          <cell r="A358" t="str">
            <v>BS08</v>
          </cell>
          <cell r="B358">
            <v>326</v>
          </cell>
          <cell r="C358" t="str">
            <v>Duk Angker</v>
          </cell>
          <cell r="D358" t="str">
            <v>kg</v>
          </cell>
          <cell r="E358">
            <v>9500</v>
          </cell>
        </row>
        <row r="359">
          <cell r="A359" t="str">
            <v>BS09</v>
          </cell>
          <cell r="B359">
            <v>327</v>
          </cell>
          <cell r="C359" t="str">
            <v>Angker Mur Baut dia.19 / panjang 60 cm</v>
          </cell>
          <cell r="D359" t="str">
            <v>bh</v>
          </cell>
          <cell r="E359">
            <v>24500</v>
          </cell>
        </row>
        <row r="360">
          <cell r="A360" t="str">
            <v>BS10</v>
          </cell>
          <cell r="B360">
            <v>328</v>
          </cell>
          <cell r="C360" t="str">
            <v>Mur Baut HTB dia. 19 s/d 16 (5 cm)</v>
          </cell>
          <cell r="D360" t="str">
            <v>bh</v>
          </cell>
          <cell r="E360">
            <v>4250</v>
          </cell>
        </row>
        <row r="361">
          <cell r="A361" t="str">
            <v>BS11</v>
          </cell>
          <cell r="B361">
            <v>329</v>
          </cell>
          <cell r="C361" t="str">
            <v>Mur Baut Biasa dia.19 s/d 16 (5 cm)</v>
          </cell>
          <cell r="D361" t="str">
            <v>bh</v>
          </cell>
          <cell r="E361">
            <v>3600</v>
          </cell>
        </row>
        <row r="362">
          <cell r="A362" t="str">
            <v>BS12</v>
          </cell>
          <cell r="B362">
            <v>330</v>
          </cell>
          <cell r="C362" t="str">
            <v>Piser dia. 12 s/d 20 cm</v>
          </cell>
          <cell r="D362" t="str">
            <v>bh</v>
          </cell>
          <cell r="E362">
            <v>3000</v>
          </cell>
        </row>
        <row r="364">
          <cell r="B364" t="str">
            <v>K</v>
          </cell>
          <cell r="C364" t="str">
            <v>BAHAN PERPIPAAN</v>
          </cell>
          <cell r="D364" t="str">
            <v>1.²</v>
          </cell>
        </row>
        <row r="365">
          <cell r="A365" t="str">
            <v>BT01</v>
          </cell>
          <cell r="B365">
            <v>331</v>
          </cell>
          <cell r="C365" t="str">
            <v>Besi Pipa untuk Hydrant BSP Ø  1"</v>
          </cell>
          <cell r="D365" t="str">
            <v>bt</v>
          </cell>
          <cell r="E365">
            <v>83000</v>
          </cell>
        </row>
        <row r="366">
          <cell r="A366" t="str">
            <v>BT02</v>
          </cell>
          <cell r="B366">
            <v>332</v>
          </cell>
          <cell r="C366" t="str">
            <v>Besi Pipa untuk Hydrant BSP Ø  1,25"</v>
          </cell>
          <cell r="D366" t="str">
            <v>bt</v>
          </cell>
          <cell r="E366">
            <v>88000</v>
          </cell>
        </row>
        <row r="367">
          <cell r="A367" t="str">
            <v>BT03</v>
          </cell>
          <cell r="B367">
            <v>333</v>
          </cell>
          <cell r="C367" t="str">
            <v>Besi Pipa untuk Hydrant BSP Ø  1,5"</v>
          </cell>
          <cell r="D367" t="str">
            <v>bt</v>
          </cell>
          <cell r="E367">
            <v>95500</v>
          </cell>
        </row>
        <row r="368">
          <cell r="A368" t="str">
            <v>BT04</v>
          </cell>
          <cell r="B368">
            <v>334</v>
          </cell>
          <cell r="C368" t="str">
            <v>Besi Pipa untuk Hydrant BSP Ø 2"</v>
          </cell>
          <cell r="D368" t="str">
            <v>bt</v>
          </cell>
          <cell r="E368">
            <v>111000</v>
          </cell>
        </row>
        <row r="369">
          <cell r="A369" t="str">
            <v>BT05</v>
          </cell>
          <cell r="B369">
            <v>335</v>
          </cell>
          <cell r="C369" t="str">
            <v>Besi Pipa untuk Hydrant BSP Ø 2,5"</v>
          </cell>
          <cell r="D369" t="str">
            <v>bt</v>
          </cell>
          <cell r="E369">
            <v>341250</v>
          </cell>
        </row>
        <row r="370">
          <cell r="A370" t="str">
            <v>BT06</v>
          </cell>
          <cell r="B370">
            <v>336</v>
          </cell>
          <cell r="C370" t="str">
            <v>Besi Pipa untuk Hydrant BSP Ø  3"</v>
          </cell>
          <cell r="D370" t="str">
            <v>bt</v>
          </cell>
          <cell r="E370">
            <v>471000</v>
          </cell>
        </row>
        <row r="371">
          <cell r="A371" t="str">
            <v>BT07</v>
          </cell>
          <cell r="B371">
            <v>337</v>
          </cell>
          <cell r="C371" t="str">
            <v>Besi Pipa untuk Hydrant BSP Ø  4"</v>
          </cell>
          <cell r="D371" t="str">
            <v>bt</v>
          </cell>
          <cell r="E371">
            <v>668000</v>
          </cell>
        </row>
        <row r="372">
          <cell r="A372" t="str">
            <v>BT08</v>
          </cell>
          <cell r="B372">
            <v>338</v>
          </cell>
          <cell r="C372" t="str">
            <v>Besi Pipa untuk Hydrant BSP Ø  6"</v>
          </cell>
          <cell r="D372" t="str">
            <v>bt</v>
          </cell>
          <cell r="E372">
            <v>1100000</v>
          </cell>
        </row>
        <row r="373">
          <cell r="A373" t="str">
            <v>BT08'</v>
          </cell>
          <cell r="B373">
            <v>339</v>
          </cell>
          <cell r="C373" t="str">
            <v xml:space="preserve">Hydrant </v>
          </cell>
          <cell r="D373" t="str">
            <v>bh</v>
          </cell>
          <cell r="E373">
            <v>210000</v>
          </cell>
        </row>
        <row r="374">
          <cell r="A374" t="str">
            <v>BT09</v>
          </cell>
          <cell r="B374">
            <v>340</v>
          </cell>
          <cell r="C374" t="str">
            <v xml:space="preserve">Besi Pipa Hitam Ø 1" t=2 mm </v>
          </cell>
          <cell r="D374" t="str">
            <v>bt</v>
          </cell>
          <cell r="E374">
            <v>74000</v>
          </cell>
        </row>
        <row r="375">
          <cell r="A375" t="str">
            <v>BT10</v>
          </cell>
          <cell r="B375">
            <v>341</v>
          </cell>
          <cell r="C375" t="str">
            <v xml:space="preserve">Besi Pipa Hitam Ø 2" t=2 mm   </v>
          </cell>
          <cell r="D375" t="str">
            <v>bt</v>
          </cell>
          <cell r="E375">
            <v>133000</v>
          </cell>
        </row>
        <row r="376">
          <cell r="A376" t="str">
            <v>BT11</v>
          </cell>
          <cell r="B376">
            <v>342</v>
          </cell>
          <cell r="C376" t="str">
            <v xml:space="preserve">Besi Pipa Hitam Ø 3" t=2 mm </v>
          </cell>
          <cell r="D376" t="str">
            <v>bt</v>
          </cell>
          <cell r="E376">
            <v>238500</v>
          </cell>
        </row>
        <row r="377">
          <cell r="A377" t="str">
            <v>BT12</v>
          </cell>
          <cell r="B377">
            <v>343</v>
          </cell>
          <cell r="C377" t="str">
            <v xml:space="preserve">Besi Pipa Hitam Ø 4" t=2 mm  </v>
          </cell>
          <cell r="D377" t="str">
            <v>bt</v>
          </cell>
          <cell r="E377">
            <v>307000</v>
          </cell>
        </row>
        <row r="378">
          <cell r="A378" t="str">
            <v>BT13</v>
          </cell>
          <cell r="B378">
            <v>344</v>
          </cell>
          <cell r="C378" t="str">
            <v>Besi Pipa Hitam Ø 6" t=2 mm</v>
          </cell>
          <cell r="D378" t="str">
            <v>bt</v>
          </cell>
          <cell r="E378">
            <v>409000</v>
          </cell>
        </row>
        <row r="379">
          <cell r="A379" t="str">
            <v>BT14</v>
          </cell>
          <cell r="B379">
            <v>345</v>
          </cell>
          <cell r="C379" t="str">
            <v>Pipa GIP Medium A Ø 1/2"  ( 6 m1 )</v>
          </cell>
          <cell r="D379" t="str">
            <v>bt</v>
          </cell>
          <cell r="E379">
            <v>70000</v>
          </cell>
        </row>
        <row r="380">
          <cell r="A380" t="str">
            <v>BT15</v>
          </cell>
          <cell r="B380">
            <v>346</v>
          </cell>
          <cell r="C380" t="str">
            <v>Pipa GIP Medium A Ø 3/4"  ( 6 m1 )</v>
          </cell>
          <cell r="D380" t="str">
            <v>bt</v>
          </cell>
          <cell r="E380">
            <v>85000</v>
          </cell>
        </row>
        <row r="381">
          <cell r="A381" t="str">
            <v>BT16</v>
          </cell>
          <cell r="B381">
            <v>347</v>
          </cell>
          <cell r="C381" t="str">
            <v>Pipa GIP Medium A Ø 1"   ( 6 m1 )</v>
          </cell>
          <cell r="D381" t="str">
            <v>bt</v>
          </cell>
          <cell r="E381">
            <v>126500</v>
          </cell>
        </row>
        <row r="382">
          <cell r="A382" t="str">
            <v>BT17</v>
          </cell>
          <cell r="B382">
            <v>348</v>
          </cell>
          <cell r="C382" t="str">
            <v>Pipa GIP Medium A Ø 1 1/4"  ( 6 m1 )</v>
          </cell>
          <cell r="D382" t="str">
            <v>bt</v>
          </cell>
          <cell r="E382">
            <v>164500</v>
          </cell>
        </row>
        <row r="383">
          <cell r="A383" t="str">
            <v>BT18</v>
          </cell>
          <cell r="B383">
            <v>349</v>
          </cell>
          <cell r="C383" t="str">
            <v>Pipa GIP Medium A Ø 1 1/2" ( 6 m1 )</v>
          </cell>
          <cell r="D383" t="str">
            <v>bt</v>
          </cell>
          <cell r="E383">
            <v>196000</v>
          </cell>
        </row>
        <row r="384">
          <cell r="A384" t="str">
            <v>BT19</v>
          </cell>
          <cell r="B384">
            <v>350</v>
          </cell>
          <cell r="C384" t="str">
            <v>Pipa GIP Medium A Ø 1 3/4"( 6 m1 )</v>
          </cell>
          <cell r="D384" t="str">
            <v>bt</v>
          </cell>
          <cell r="E384">
            <v>232000</v>
          </cell>
        </row>
        <row r="385">
          <cell r="A385" t="str">
            <v>BT20</v>
          </cell>
          <cell r="B385">
            <v>351</v>
          </cell>
          <cell r="C385" t="str">
            <v>Pipa GIP Medium A Ø 2"  ( 6 m1 )</v>
          </cell>
          <cell r="D385" t="str">
            <v>bt</v>
          </cell>
          <cell r="E385">
            <v>286500</v>
          </cell>
        </row>
        <row r="386">
          <cell r="A386" t="str">
            <v>BT21</v>
          </cell>
          <cell r="B386">
            <v>352</v>
          </cell>
          <cell r="C386" t="str">
            <v>Pipa GIP Medium A Ø 2 1/2" ( 6 m1 )</v>
          </cell>
          <cell r="D386" t="str">
            <v>bt</v>
          </cell>
          <cell r="E386">
            <v>381000</v>
          </cell>
        </row>
        <row r="387">
          <cell r="A387" t="str">
            <v>BT22</v>
          </cell>
          <cell r="B387">
            <v>353</v>
          </cell>
          <cell r="C387" t="str">
            <v>Pipa GIP Medium A Ø 3"  ( 6 m1 )</v>
          </cell>
          <cell r="D387" t="str">
            <v>bt</v>
          </cell>
          <cell r="E387">
            <v>464000</v>
          </cell>
        </row>
        <row r="388">
          <cell r="A388" t="str">
            <v>BT23</v>
          </cell>
          <cell r="B388">
            <v>354</v>
          </cell>
          <cell r="C388" t="str">
            <v>Pipa GIP Medium A Ø 4"  ( 6 m1 )</v>
          </cell>
          <cell r="D388" t="str">
            <v>bt</v>
          </cell>
          <cell r="E388">
            <v>611000</v>
          </cell>
        </row>
        <row r="389">
          <cell r="A389" t="str">
            <v>BT24</v>
          </cell>
          <cell r="B389">
            <v>355</v>
          </cell>
          <cell r="C389" t="str">
            <v>Macam2 Sambungan GIP Ø 1/2"</v>
          </cell>
          <cell r="D389" t="str">
            <v>bh</v>
          </cell>
          <cell r="E389">
            <v>4000</v>
          </cell>
        </row>
        <row r="390">
          <cell r="A390" t="str">
            <v>BT25</v>
          </cell>
          <cell r="B390">
            <v>356</v>
          </cell>
          <cell r="C390" t="str">
            <v>Macam2 Sambungan GIP Ø 3/4"</v>
          </cell>
          <cell r="D390" t="str">
            <v>bh</v>
          </cell>
          <cell r="E390">
            <v>5200</v>
          </cell>
        </row>
        <row r="391">
          <cell r="A391" t="str">
            <v>BT26</v>
          </cell>
          <cell r="B391">
            <v>357</v>
          </cell>
          <cell r="C391" t="str">
            <v>Macam2 Sambungan GIP Ø 1"</v>
          </cell>
          <cell r="D391" t="str">
            <v>bh</v>
          </cell>
          <cell r="E391">
            <v>8150</v>
          </cell>
        </row>
        <row r="392">
          <cell r="A392" t="str">
            <v>BT27</v>
          </cell>
          <cell r="B392">
            <v>358</v>
          </cell>
          <cell r="C392" t="str">
            <v>Macam2 Sambungan GIP Ø 1 1/4"</v>
          </cell>
          <cell r="D392" t="str">
            <v>bh</v>
          </cell>
          <cell r="E392">
            <v>10100</v>
          </cell>
        </row>
        <row r="393">
          <cell r="A393" t="str">
            <v>BT28</v>
          </cell>
          <cell r="B393">
            <v>359</v>
          </cell>
          <cell r="C393" t="str">
            <v>Macam2 Sambungan GIP Ø 11/2"</v>
          </cell>
          <cell r="D393" t="str">
            <v>bh</v>
          </cell>
          <cell r="E393">
            <v>11500</v>
          </cell>
        </row>
        <row r="394">
          <cell r="A394" t="str">
            <v>BT29</v>
          </cell>
          <cell r="B394">
            <v>360</v>
          </cell>
          <cell r="C394" t="str">
            <v>Macam2 Sambungan GIP Ø 13/4"</v>
          </cell>
          <cell r="D394" t="str">
            <v>bh</v>
          </cell>
          <cell r="E394">
            <v>17150</v>
          </cell>
        </row>
        <row r="395">
          <cell r="A395" t="str">
            <v>BT30</v>
          </cell>
          <cell r="B395">
            <v>361</v>
          </cell>
          <cell r="C395" t="str">
            <v>Macam2 Sambungan GIP Ø 2"</v>
          </cell>
          <cell r="D395" t="str">
            <v>bh</v>
          </cell>
          <cell r="E395">
            <v>23750</v>
          </cell>
        </row>
        <row r="396">
          <cell r="A396" t="str">
            <v>BT31</v>
          </cell>
          <cell r="B396">
            <v>362</v>
          </cell>
          <cell r="C396" t="str">
            <v>Macam2 Sambungan GIP Ø 2 1/2"</v>
          </cell>
          <cell r="D396" t="str">
            <v>bh</v>
          </cell>
          <cell r="E396">
            <v>34000</v>
          </cell>
        </row>
        <row r="397">
          <cell r="A397" t="str">
            <v>BT32</v>
          </cell>
          <cell r="B397">
            <v>363</v>
          </cell>
          <cell r="C397" t="str">
            <v>Macam2 Sambungan GIP Ø 3"</v>
          </cell>
          <cell r="D397" t="str">
            <v>bh</v>
          </cell>
          <cell r="E397">
            <v>40500</v>
          </cell>
        </row>
        <row r="398">
          <cell r="A398" t="str">
            <v>BT33</v>
          </cell>
          <cell r="B398">
            <v>364</v>
          </cell>
          <cell r="C398" t="str">
            <v>Macam2 Sambungan GIP Ø 4"</v>
          </cell>
          <cell r="D398" t="str">
            <v>bh</v>
          </cell>
          <cell r="E398">
            <v>47700</v>
          </cell>
        </row>
        <row r="399">
          <cell r="A399" t="str">
            <v>BT34</v>
          </cell>
          <cell r="B399">
            <v>365</v>
          </cell>
          <cell r="C399" t="str">
            <v xml:space="preserve">Pipa PVC RUCIKA type AW  Ø 1/2" </v>
          </cell>
          <cell r="D399" t="str">
            <v>bt</v>
          </cell>
          <cell r="E399">
            <v>21500</v>
          </cell>
        </row>
        <row r="400">
          <cell r="A400" t="str">
            <v>BT35</v>
          </cell>
          <cell r="B400">
            <v>366</v>
          </cell>
          <cell r="C400" t="str">
            <v xml:space="preserve">Pipa PVC RUCIKA type AW    Ø 3/4" </v>
          </cell>
          <cell r="D400" t="str">
            <v>bt</v>
          </cell>
          <cell r="E400">
            <v>30500</v>
          </cell>
        </row>
        <row r="401">
          <cell r="A401" t="str">
            <v>BT36</v>
          </cell>
          <cell r="B401">
            <v>367</v>
          </cell>
          <cell r="C401" t="str">
            <v xml:space="preserve">Pipa PVC RUCIKA type AW    Ø 1" </v>
          </cell>
          <cell r="D401" t="str">
            <v>bt</v>
          </cell>
          <cell r="E401">
            <v>38000</v>
          </cell>
        </row>
        <row r="402">
          <cell r="A402" t="str">
            <v>BT37</v>
          </cell>
          <cell r="B402">
            <v>368</v>
          </cell>
          <cell r="C402" t="str">
            <v xml:space="preserve">Pipa PVC RUCIKA type AW    Ø 1 1/4" </v>
          </cell>
          <cell r="D402" t="str">
            <v>bt</v>
          </cell>
          <cell r="E402">
            <v>53000</v>
          </cell>
        </row>
        <row r="403">
          <cell r="A403" t="str">
            <v>BT38</v>
          </cell>
          <cell r="B403">
            <v>369</v>
          </cell>
          <cell r="C403" t="str">
            <v xml:space="preserve">Pipa PVC RUCIKA type AW    Ø 1 1/2" </v>
          </cell>
          <cell r="D403" t="str">
            <v>bt</v>
          </cell>
          <cell r="E403">
            <v>66500</v>
          </cell>
        </row>
        <row r="404">
          <cell r="A404" t="str">
            <v>BT39</v>
          </cell>
          <cell r="B404">
            <v>370</v>
          </cell>
          <cell r="C404" t="str">
            <v xml:space="preserve">Pipa PVC RUCIKA type AW    Ø 2" </v>
          </cell>
          <cell r="D404" t="str">
            <v>bt</v>
          </cell>
          <cell r="E404">
            <v>94000</v>
          </cell>
        </row>
        <row r="405">
          <cell r="A405" t="str">
            <v>BT40</v>
          </cell>
          <cell r="B405">
            <v>371</v>
          </cell>
          <cell r="C405" t="str">
            <v xml:space="preserve">Pipa PVC RUCIKA type AW    Ø 2 1/2" </v>
          </cell>
          <cell r="D405" t="str">
            <v>bt</v>
          </cell>
          <cell r="E405">
            <v>120000</v>
          </cell>
        </row>
        <row r="406">
          <cell r="A406" t="str">
            <v>BT41</v>
          </cell>
          <cell r="B406">
            <v>372</v>
          </cell>
          <cell r="C406" t="str">
            <v xml:space="preserve">Pipa PVC RUCIKA type AW    Ø 3" </v>
          </cell>
          <cell r="D406" t="str">
            <v>bt</v>
          </cell>
          <cell r="E406">
            <v>180000</v>
          </cell>
        </row>
        <row r="407">
          <cell r="A407" t="str">
            <v>BT42</v>
          </cell>
          <cell r="B407">
            <v>373</v>
          </cell>
          <cell r="C407" t="str">
            <v xml:space="preserve">Pipa PVC RUCIKA type AW    Ø 4" </v>
          </cell>
          <cell r="D407" t="str">
            <v>bt</v>
          </cell>
          <cell r="E407">
            <v>279500</v>
          </cell>
        </row>
        <row r="408">
          <cell r="A408" t="str">
            <v>BT43</v>
          </cell>
          <cell r="B408">
            <v>374</v>
          </cell>
          <cell r="C408" t="str">
            <v xml:space="preserve">Pipa PVC RUCIKA type AW    Ø 6" </v>
          </cell>
          <cell r="D408" t="str">
            <v>bt</v>
          </cell>
          <cell r="E408">
            <v>539000</v>
          </cell>
        </row>
        <row r="409">
          <cell r="A409" t="str">
            <v>BT44</v>
          </cell>
          <cell r="B409">
            <v>375</v>
          </cell>
          <cell r="C409" t="str">
            <v xml:space="preserve">Pipa PVC RUCIKA type AW    Ø 8" </v>
          </cell>
          <cell r="D409" t="str">
            <v>bt</v>
          </cell>
          <cell r="E409">
            <v>784500</v>
          </cell>
        </row>
        <row r="410">
          <cell r="A410" t="str">
            <v>BT45</v>
          </cell>
          <cell r="B410">
            <v>376</v>
          </cell>
          <cell r="C410" t="str">
            <v>Pipa PVC  MASPION ABU Ø 1/2" (AW)</v>
          </cell>
          <cell r="D410" t="str">
            <v>bt</v>
          </cell>
          <cell r="E410">
            <v>12500</v>
          </cell>
        </row>
        <row r="411">
          <cell r="A411" t="str">
            <v>BT46</v>
          </cell>
          <cell r="B411">
            <v>377</v>
          </cell>
          <cell r="C411" t="str">
            <v>Pipa PVC  MASPION ABU Ø 3/4" (AW)</v>
          </cell>
          <cell r="D411" t="str">
            <v>bt</v>
          </cell>
          <cell r="E411">
            <v>16500</v>
          </cell>
        </row>
        <row r="412">
          <cell r="A412" t="str">
            <v>BT47</v>
          </cell>
          <cell r="B412">
            <v>378</v>
          </cell>
          <cell r="C412" t="str">
            <v>Pipa PVC  MASPION ABU Ø 1" (AW)</v>
          </cell>
          <cell r="D412" t="str">
            <v>bt</v>
          </cell>
          <cell r="E412">
            <v>22450</v>
          </cell>
        </row>
        <row r="413">
          <cell r="A413" t="str">
            <v>BT48</v>
          </cell>
          <cell r="B413">
            <v>379</v>
          </cell>
          <cell r="C413" t="str">
            <v>Pipa PVC  MASPION ABU Ø 1 1/4" (AW)</v>
          </cell>
          <cell r="D413" t="str">
            <v>bt</v>
          </cell>
          <cell r="E413">
            <v>31450</v>
          </cell>
        </row>
        <row r="414">
          <cell r="A414" t="str">
            <v>BT49</v>
          </cell>
          <cell r="B414">
            <v>380</v>
          </cell>
          <cell r="C414" t="str">
            <v>Pipa PVC  MASPION ABU Ø 1 1/2" (AW)</v>
          </cell>
          <cell r="D414" t="str">
            <v>bt</v>
          </cell>
          <cell r="E414">
            <v>40400</v>
          </cell>
        </row>
        <row r="415">
          <cell r="A415" t="str">
            <v>BT50</v>
          </cell>
          <cell r="B415">
            <v>381</v>
          </cell>
          <cell r="C415" t="str">
            <v>Pipa PVC  MASPION ABU Ø 2" (AW)</v>
          </cell>
          <cell r="D415" t="str">
            <v>bt</v>
          </cell>
          <cell r="E415">
            <v>69900</v>
          </cell>
        </row>
        <row r="416">
          <cell r="A416" t="str">
            <v>BT51</v>
          </cell>
          <cell r="B416">
            <v>382</v>
          </cell>
          <cell r="C416" t="str">
            <v>Pipa PVC  MASPION ABU Ø 2 1/2" (AW)</v>
          </cell>
          <cell r="D416" t="str">
            <v>bt</v>
          </cell>
          <cell r="E416">
            <v>83850</v>
          </cell>
        </row>
        <row r="417">
          <cell r="A417" t="str">
            <v>BT52</v>
          </cell>
          <cell r="B417">
            <v>383</v>
          </cell>
          <cell r="C417" t="str">
            <v>Pipa PVC  MASPION ABU Ø 3" (AW)</v>
          </cell>
          <cell r="D417" t="str">
            <v>bt</v>
          </cell>
          <cell r="E417">
            <v>154000</v>
          </cell>
        </row>
        <row r="418">
          <cell r="A418" t="str">
            <v>BT53</v>
          </cell>
          <cell r="B418">
            <v>384</v>
          </cell>
          <cell r="C418" t="str">
            <v>Pipa PVC  MASPION ABU Ø 4" (AW)</v>
          </cell>
          <cell r="D418" t="str">
            <v>bt</v>
          </cell>
          <cell r="E418">
            <v>204750</v>
          </cell>
        </row>
        <row r="419">
          <cell r="B419">
            <v>385</v>
          </cell>
          <cell r="C419" t="str">
            <v>Pipa PVC  MASPION ABU Ø 6" (AW)</v>
          </cell>
          <cell r="D419" t="str">
            <v>bt</v>
          </cell>
          <cell r="E419">
            <v>481000</v>
          </cell>
        </row>
        <row r="420">
          <cell r="B420">
            <v>386</v>
          </cell>
          <cell r="C420" t="str">
            <v>Pipa GI Diameter 0,5"</v>
          </cell>
          <cell r="D420" t="str">
            <v>bt</v>
          </cell>
          <cell r="E420">
            <v>60000</v>
          </cell>
        </row>
        <row r="421">
          <cell r="B421">
            <v>387</v>
          </cell>
          <cell r="C421" t="str">
            <v>Pipa GI Diameter 0,75"</v>
          </cell>
          <cell r="D421" t="str">
            <v>bt</v>
          </cell>
          <cell r="E421">
            <v>75000</v>
          </cell>
        </row>
        <row r="422">
          <cell r="B422">
            <v>388</v>
          </cell>
          <cell r="C422" t="str">
            <v>Pipa GI Diameter 1"</v>
          </cell>
          <cell r="D422" t="str">
            <v>bt</v>
          </cell>
          <cell r="E422">
            <v>105000</v>
          </cell>
        </row>
        <row r="423">
          <cell r="B423">
            <v>389</v>
          </cell>
          <cell r="C423" t="str">
            <v>Pipa GI Diameter 1,25"</v>
          </cell>
          <cell r="D423" t="str">
            <v>bt</v>
          </cell>
          <cell r="E423">
            <v>120000</v>
          </cell>
        </row>
        <row r="424">
          <cell r="B424">
            <v>390</v>
          </cell>
          <cell r="C424" t="str">
            <v>Pipa GI Diameter 1,5"</v>
          </cell>
          <cell r="D424" t="str">
            <v>bt</v>
          </cell>
          <cell r="E424">
            <v>150150</v>
          </cell>
        </row>
        <row r="425">
          <cell r="B425">
            <v>391</v>
          </cell>
          <cell r="C425" t="str">
            <v>Pipa GI Diameter 2"</v>
          </cell>
          <cell r="D425" t="str">
            <v>bt</v>
          </cell>
          <cell r="E425">
            <v>225150</v>
          </cell>
        </row>
        <row r="426">
          <cell r="B426">
            <v>392</v>
          </cell>
          <cell r="C426" t="str">
            <v>Pipa GI Diameter 2,5"</v>
          </cell>
          <cell r="D426" t="str">
            <v>bt</v>
          </cell>
          <cell r="E426">
            <v>300250</v>
          </cell>
        </row>
        <row r="427">
          <cell r="B427">
            <v>393</v>
          </cell>
          <cell r="C427" t="str">
            <v>Pipa GI Diameter 3"</v>
          </cell>
          <cell r="D427" t="str">
            <v>bt</v>
          </cell>
          <cell r="E427">
            <v>412850</v>
          </cell>
        </row>
        <row r="428">
          <cell r="B428">
            <v>394</v>
          </cell>
          <cell r="C428" t="str">
            <v>Pipa GI Diameter 4"</v>
          </cell>
          <cell r="D428" t="str">
            <v>bt</v>
          </cell>
          <cell r="E428">
            <v>60000</v>
          </cell>
        </row>
        <row r="429">
          <cell r="B429">
            <v>395</v>
          </cell>
          <cell r="C429" t="str">
            <v>Knie PVC Diameter 0,5"</v>
          </cell>
          <cell r="D429" t="str">
            <v>bh</v>
          </cell>
          <cell r="E429">
            <v>1000</v>
          </cell>
        </row>
        <row r="430">
          <cell r="B430">
            <v>396</v>
          </cell>
          <cell r="C430" t="str">
            <v>Knie PVC Diameter 0,75"</v>
          </cell>
          <cell r="D430" t="str">
            <v>bh</v>
          </cell>
          <cell r="E430">
            <v>1400</v>
          </cell>
        </row>
        <row r="431">
          <cell r="B431">
            <v>397</v>
          </cell>
          <cell r="C431" t="str">
            <v>Knie PVC Diameter 1"</v>
          </cell>
          <cell r="D431" t="str">
            <v>bh</v>
          </cell>
          <cell r="E431">
            <v>14950</v>
          </cell>
        </row>
        <row r="432">
          <cell r="B432">
            <v>398</v>
          </cell>
          <cell r="C432" t="str">
            <v>Knie PVC Diameter 2"</v>
          </cell>
          <cell r="D432" t="str">
            <v>bh</v>
          </cell>
          <cell r="E432">
            <v>2950</v>
          </cell>
        </row>
        <row r="433">
          <cell r="B433">
            <v>399</v>
          </cell>
          <cell r="C433" t="str">
            <v>Knie PVC Diameter 3"</v>
          </cell>
          <cell r="D433" t="str">
            <v>bh</v>
          </cell>
          <cell r="E433">
            <v>5450</v>
          </cell>
        </row>
        <row r="434">
          <cell r="B434">
            <v>400</v>
          </cell>
          <cell r="C434" t="str">
            <v>Knie PVC Diameter 4"</v>
          </cell>
          <cell r="D434" t="str">
            <v>bh</v>
          </cell>
          <cell r="E434">
            <v>5950</v>
          </cell>
        </row>
        <row r="435">
          <cell r="B435">
            <v>401</v>
          </cell>
          <cell r="C435" t="str">
            <v>Tee PVC Diameter 0,5"</v>
          </cell>
          <cell r="D435" t="str">
            <v>bh</v>
          </cell>
          <cell r="E435">
            <v>1400</v>
          </cell>
        </row>
        <row r="436">
          <cell r="B436">
            <v>402</v>
          </cell>
          <cell r="C436" t="str">
            <v>Tee PVC Diameter 0,75"</v>
          </cell>
          <cell r="D436" t="str">
            <v>bh</v>
          </cell>
          <cell r="E436">
            <v>1800</v>
          </cell>
        </row>
        <row r="437">
          <cell r="B437">
            <v>403</v>
          </cell>
          <cell r="C437" t="str">
            <v>Tee PVC Diameter 1"</v>
          </cell>
          <cell r="D437" t="str">
            <v>bh</v>
          </cell>
          <cell r="E437">
            <v>3600</v>
          </cell>
        </row>
        <row r="438">
          <cell r="B438">
            <v>404</v>
          </cell>
          <cell r="C438" t="str">
            <v>Tee PVC Diameter 2"</v>
          </cell>
          <cell r="D438" t="str">
            <v>bh</v>
          </cell>
          <cell r="E438">
            <v>4200</v>
          </cell>
        </row>
        <row r="439">
          <cell r="B439">
            <v>405</v>
          </cell>
          <cell r="C439" t="str">
            <v>Tee PVC Diameter 3"</v>
          </cell>
          <cell r="D439" t="str">
            <v>bh</v>
          </cell>
          <cell r="E439">
            <v>5950</v>
          </cell>
        </row>
        <row r="440">
          <cell r="B440">
            <v>406</v>
          </cell>
          <cell r="C440" t="str">
            <v>Tee PVC Diameter 4"</v>
          </cell>
          <cell r="D440" t="str">
            <v>bh</v>
          </cell>
          <cell r="E440">
            <v>900</v>
          </cell>
        </row>
        <row r="441">
          <cell r="B441">
            <v>407</v>
          </cell>
          <cell r="C441" t="str">
            <v>Kran Diameter 0,5"</v>
          </cell>
          <cell r="D441" t="str">
            <v>bh</v>
          </cell>
          <cell r="E441">
            <v>20400</v>
          </cell>
        </row>
        <row r="442">
          <cell r="B442">
            <v>408</v>
          </cell>
          <cell r="C442" t="str">
            <v>Fiet Kran Diameter 0,5"</v>
          </cell>
          <cell r="D442" t="str">
            <v>bh</v>
          </cell>
          <cell r="E442">
            <v>3600</v>
          </cell>
        </row>
        <row r="443">
          <cell r="B443">
            <v>409</v>
          </cell>
          <cell r="C443" t="str">
            <v>Fiet Kran Diameter 0,75"</v>
          </cell>
          <cell r="D443" t="str">
            <v>bh</v>
          </cell>
          <cell r="E443">
            <v>54600</v>
          </cell>
        </row>
        <row r="444">
          <cell r="B444">
            <v>410</v>
          </cell>
          <cell r="C444" t="str">
            <v>Fiet Kran Diameter 1"</v>
          </cell>
          <cell r="D444" t="str">
            <v>bh</v>
          </cell>
          <cell r="E444">
            <v>70950</v>
          </cell>
        </row>
        <row r="445">
          <cell r="B445">
            <v>411</v>
          </cell>
          <cell r="C445" t="str">
            <v>Fiet Kran Diameter 2"</v>
          </cell>
          <cell r="D445" t="str">
            <v>bh</v>
          </cell>
          <cell r="E445">
            <v>23400</v>
          </cell>
        </row>
        <row r="446">
          <cell r="B446">
            <v>412</v>
          </cell>
          <cell r="C446" t="str">
            <v>Fiet Kran Diameter 3"</v>
          </cell>
          <cell r="D446" t="str">
            <v>bh</v>
          </cell>
          <cell r="E446">
            <v>431300</v>
          </cell>
        </row>
        <row r="447">
          <cell r="B447">
            <v>413</v>
          </cell>
          <cell r="C447" t="str">
            <v>Fiet Kran Diameter 4"</v>
          </cell>
          <cell r="D447" t="str">
            <v>bh</v>
          </cell>
          <cell r="E447">
            <v>713180</v>
          </cell>
        </row>
        <row r="448">
          <cell r="A448" t="str">
            <v>BT54</v>
          </cell>
          <cell r="B448">
            <v>414</v>
          </cell>
          <cell r="C448" t="str">
            <v>Macam2 Sambungan Paralon Ø 1/2"</v>
          </cell>
          <cell r="D448" t="str">
            <v>bh</v>
          </cell>
          <cell r="E448">
            <v>5450</v>
          </cell>
        </row>
        <row r="449">
          <cell r="A449" t="str">
            <v>BT55</v>
          </cell>
          <cell r="B449">
            <v>415</v>
          </cell>
          <cell r="C449" t="str">
            <v>Macam2 Sambungan Paralon Ø 3/4"</v>
          </cell>
          <cell r="D449" t="str">
            <v>bh</v>
          </cell>
          <cell r="E449">
            <v>5450</v>
          </cell>
        </row>
        <row r="450">
          <cell r="A450" t="str">
            <v>BT56</v>
          </cell>
          <cell r="B450">
            <v>416</v>
          </cell>
          <cell r="C450" t="str">
            <v>Macam2 Sambungan Paralon Ø 1"</v>
          </cell>
          <cell r="D450" t="str">
            <v>bh</v>
          </cell>
          <cell r="E450">
            <v>14950</v>
          </cell>
        </row>
        <row r="451">
          <cell r="A451" t="str">
            <v>BT57</v>
          </cell>
          <cell r="B451">
            <v>417</v>
          </cell>
          <cell r="C451" t="str">
            <v>Macam2 Sambungan Paralon Ø 1 1/4"</v>
          </cell>
          <cell r="D451" t="str">
            <v>bh</v>
          </cell>
          <cell r="E451">
            <v>16350</v>
          </cell>
        </row>
        <row r="452">
          <cell r="A452" t="str">
            <v>BT58</v>
          </cell>
          <cell r="B452">
            <v>418</v>
          </cell>
          <cell r="C452" t="str">
            <v>Macam2 Sambungan Paralon Ø 1 1/2"</v>
          </cell>
          <cell r="D452" t="str">
            <v>bh</v>
          </cell>
          <cell r="E452">
            <v>16350</v>
          </cell>
        </row>
        <row r="453">
          <cell r="A453" t="str">
            <v>BT59</v>
          </cell>
          <cell r="B453">
            <v>419</v>
          </cell>
          <cell r="C453" t="str">
            <v>Macam2 Sambungan Paralon Ø 1 3/4"</v>
          </cell>
          <cell r="D453" t="str">
            <v>bh</v>
          </cell>
          <cell r="E453">
            <v>16350</v>
          </cell>
        </row>
        <row r="454">
          <cell r="A454" t="str">
            <v>BT60</v>
          </cell>
          <cell r="B454">
            <v>420</v>
          </cell>
          <cell r="C454" t="str">
            <v>Macam2 Sambungan Paralon Ø 2"</v>
          </cell>
          <cell r="D454" t="str">
            <v>bh</v>
          </cell>
          <cell r="E454">
            <v>17000</v>
          </cell>
        </row>
        <row r="455">
          <cell r="A455" t="str">
            <v>BT61</v>
          </cell>
          <cell r="B455">
            <v>421</v>
          </cell>
          <cell r="C455" t="str">
            <v>Macam2 Samb. Paralon Ø 2 1/2"</v>
          </cell>
          <cell r="D455" t="str">
            <v>bh</v>
          </cell>
          <cell r="E455">
            <v>17000</v>
          </cell>
        </row>
        <row r="456">
          <cell r="A456" t="str">
            <v>BT62</v>
          </cell>
          <cell r="B456">
            <v>422</v>
          </cell>
          <cell r="C456" t="str">
            <v>Macam2 Samb. Paralon Ø 3"</v>
          </cell>
          <cell r="D456" t="str">
            <v>bh</v>
          </cell>
          <cell r="E456">
            <v>40500</v>
          </cell>
        </row>
        <row r="457">
          <cell r="A457" t="str">
            <v>BT63</v>
          </cell>
          <cell r="B457">
            <v>423</v>
          </cell>
          <cell r="C457" t="str">
            <v>Macam2 Samb. Paralon Ø 4"</v>
          </cell>
          <cell r="D457" t="str">
            <v>bh</v>
          </cell>
          <cell r="E457">
            <v>47500</v>
          </cell>
        </row>
        <row r="458">
          <cell r="A458" t="str">
            <v>BT64</v>
          </cell>
          <cell r="B458">
            <v>424</v>
          </cell>
          <cell r="C458" t="str">
            <v>Sambungan Pipa PVC Jenis AW 4 " TY</v>
          </cell>
          <cell r="D458" t="str">
            <v>bh</v>
          </cell>
          <cell r="E458">
            <v>28000</v>
          </cell>
        </row>
        <row r="459">
          <cell r="A459" t="str">
            <v>BT65</v>
          </cell>
          <cell r="B459">
            <v>425</v>
          </cell>
          <cell r="C459" t="str">
            <v>Lem Paralon</v>
          </cell>
          <cell r="D459" t="str">
            <v>bh</v>
          </cell>
          <cell r="E459">
            <v>5450</v>
          </cell>
        </row>
        <row r="460">
          <cell r="A460" t="str">
            <v>BT66</v>
          </cell>
          <cell r="B460">
            <v>426</v>
          </cell>
          <cell r="C460" t="str">
            <v>Solatip Leideng</v>
          </cell>
          <cell r="D460" t="str">
            <v>gl</v>
          </cell>
          <cell r="E460">
            <v>1950</v>
          </cell>
        </row>
        <row r="461">
          <cell r="A461" t="str">
            <v>BT67</v>
          </cell>
          <cell r="B461">
            <v>427</v>
          </cell>
          <cell r="C461" t="str">
            <v>Pipa PVC 4" berlobang jenis AW</v>
          </cell>
          <cell r="D461" t="str">
            <v>m1</v>
          </cell>
          <cell r="E461">
            <v>26650</v>
          </cell>
        </row>
        <row r="463">
          <cell r="B463" t="str">
            <v>L</v>
          </cell>
          <cell r="C463" t="str">
            <v>BAHAN SANITAIR</v>
          </cell>
        </row>
        <row r="464">
          <cell r="A464" t="str">
            <v>BV01</v>
          </cell>
          <cell r="B464">
            <v>428</v>
          </cell>
          <cell r="C464" t="str">
            <v>Stop Kran 1/2 " KIT</v>
          </cell>
          <cell r="D464" t="str">
            <v>bh</v>
          </cell>
          <cell r="E464">
            <v>23750</v>
          </cell>
        </row>
        <row r="465">
          <cell r="A465" t="str">
            <v>BV02</v>
          </cell>
          <cell r="B465">
            <v>429</v>
          </cell>
          <cell r="C465" t="str">
            <v>Stop Kran 3/4 " KIT</v>
          </cell>
          <cell r="D465" t="str">
            <v>bh</v>
          </cell>
          <cell r="E465">
            <v>27300</v>
          </cell>
        </row>
        <row r="466">
          <cell r="A466" t="str">
            <v>BV03</v>
          </cell>
          <cell r="B466">
            <v>430</v>
          </cell>
          <cell r="C466" t="str">
            <v>Stop Kran 1 " KIT</v>
          </cell>
          <cell r="D466" t="str">
            <v>bh</v>
          </cell>
          <cell r="E466">
            <v>177450</v>
          </cell>
        </row>
        <row r="467">
          <cell r="A467" t="str">
            <v>BV04</v>
          </cell>
          <cell r="B467">
            <v>431</v>
          </cell>
          <cell r="C467" t="str">
            <v>Stop Kran 1 1/2 " KIT</v>
          </cell>
          <cell r="D467" t="str">
            <v>bh</v>
          </cell>
          <cell r="E467">
            <v>245700</v>
          </cell>
        </row>
        <row r="468">
          <cell r="A468" t="str">
            <v>BV05</v>
          </cell>
          <cell r="B468">
            <v>432</v>
          </cell>
          <cell r="C468" t="str">
            <v>Stop Kran 2 " KIT</v>
          </cell>
          <cell r="D468" t="str">
            <v>bh</v>
          </cell>
          <cell r="E468">
            <v>614250</v>
          </cell>
        </row>
        <row r="469">
          <cell r="A469" t="str">
            <v>BV06</v>
          </cell>
          <cell r="B469">
            <v>433</v>
          </cell>
          <cell r="C469" t="str">
            <v>Stop Kran 2 1/2" KIT</v>
          </cell>
          <cell r="D469" t="str">
            <v>bh</v>
          </cell>
          <cell r="E469">
            <v>696150</v>
          </cell>
        </row>
        <row r="470">
          <cell r="A470" t="str">
            <v>BV07</v>
          </cell>
          <cell r="B470">
            <v>434</v>
          </cell>
          <cell r="C470" t="str">
            <v>Stop Kran 3 " KIT</v>
          </cell>
          <cell r="D470" t="str">
            <v>bh</v>
          </cell>
          <cell r="E470">
            <v>61350</v>
          </cell>
        </row>
        <row r="471">
          <cell r="B471">
            <v>435</v>
          </cell>
          <cell r="C471" t="str">
            <v>Fiet kran 3/4"</v>
          </cell>
          <cell r="D471" t="str">
            <v>bh</v>
          </cell>
          <cell r="E471">
            <v>54600</v>
          </cell>
        </row>
        <row r="472">
          <cell r="B472">
            <v>436</v>
          </cell>
          <cell r="C472" t="str">
            <v>Fiet kran 1"</v>
          </cell>
          <cell r="D472" t="str">
            <v>bh</v>
          </cell>
          <cell r="E472">
            <v>70950</v>
          </cell>
        </row>
        <row r="473">
          <cell r="B473">
            <v>437</v>
          </cell>
          <cell r="C473" t="str">
            <v>Fiet kran 2"</v>
          </cell>
          <cell r="D473" t="str">
            <v>bh</v>
          </cell>
          <cell r="E473">
            <v>200500</v>
          </cell>
        </row>
        <row r="474">
          <cell r="B474">
            <v>438</v>
          </cell>
          <cell r="C474" t="str">
            <v>Fiet kran 3"</v>
          </cell>
          <cell r="D474" t="str">
            <v>bh</v>
          </cell>
          <cell r="E474">
            <v>431300</v>
          </cell>
        </row>
        <row r="475">
          <cell r="B475">
            <v>439</v>
          </cell>
          <cell r="C475" t="str">
            <v>Fiet kran 4"</v>
          </cell>
          <cell r="D475" t="str">
            <v>bh</v>
          </cell>
          <cell r="E475">
            <v>712500</v>
          </cell>
        </row>
        <row r="476">
          <cell r="B476">
            <v>440</v>
          </cell>
          <cell r="C476" t="str">
            <v>Lem Paralon</v>
          </cell>
          <cell r="D476" t="str">
            <v>bh</v>
          </cell>
          <cell r="E476">
            <v>5450</v>
          </cell>
        </row>
        <row r="477">
          <cell r="A477" t="str">
            <v>BV08</v>
          </cell>
          <cell r="B477">
            <v>441</v>
          </cell>
          <cell r="C477" t="str">
            <v>Double Neple 1/2 "</v>
          </cell>
          <cell r="D477" t="str">
            <v>bh</v>
          </cell>
          <cell r="E477">
            <v>20400</v>
          </cell>
        </row>
        <row r="478">
          <cell r="A478" t="str">
            <v>BV09</v>
          </cell>
          <cell r="B478">
            <v>442</v>
          </cell>
          <cell r="C478" t="str">
            <v>Water Mur 1/2 "</v>
          </cell>
          <cell r="D478" t="str">
            <v>bh</v>
          </cell>
          <cell r="E478">
            <v>33000</v>
          </cell>
        </row>
        <row r="479">
          <cell r="A479" t="str">
            <v>BV10</v>
          </cell>
          <cell r="B479">
            <v>443</v>
          </cell>
          <cell r="C479" t="str">
            <v>Gate Walve 1/2 "</v>
          </cell>
          <cell r="D479" t="str">
            <v>bh</v>
          </cell>
          <cell r="E479">
            <v>34000</v>
          </cell>
        </row>
        <row r="480">
          <cell r="A480" t="str">
            <v>BV11</v>
          </cell>
          <cell r="B480">
            <v>444</v>
          </cell>
          <cell r="C480" t="str">
            <v xml:space="preserve">Saringan Air Lt KM Stainless Steel </v>
          </cell>
          <cell r="D480" t="str">
            <v>bh</v>
          </cell>
          <cell r="E480">
            <v>34000</v>
          </cell>
        </row>
        <row r="481">
          <cell r="A481" t="str">
            <v>BV12</v>
          </cell>
          <cell r="B481">
            <v>445</v>
          </cell>
          <cell r="C481" t="str">
            <v>Apooer Bath Tube</v>
          </cell>
          <cell r="D481" t="str">
            <v>bh</v>
          </cell>
          <cell r="E481">
            <v>196000</v>
          </cell>
        </row>
        <row r="482">
          <cell r="A482" t="str">
            <v>BV13</v>
          </cell>
          <cell r="B482">
            <v>446</v>
          </cell>
          <cell r="C482" t="str">
            <v>Kran stain less Lokal Kait</v>
          </cell>
          <cell r="D482" t="str">
            <v>bh</v>
          </cell>
          <cell r="E482">
            <v>36000</v>
          </cell>
        </row>
        <row r="483">
          <cell r="A483" t="str">
            <v>BV14</v>
          </cell>
          <cell r="B483">
            <v>447</v>
          </cell>
          <cell r="C483" t="str">
            <v xml:space="preserve">Shower Dengan Tiang </v>
          </cell>
          <cell r="D483" t="str">
            <v>bh</v>
          </cell>
          <cell r="E483">
            <v>184000</v>
          </cell>
        </row>
        <row r="484">
          <cell r="A484" t="str">
            <v>BV15</v>
          </cell>
          <cell r="B484">
            <v>448</v>
          </cell>
          <cell r="C484" t="str">
            <v xml:space="preserve">Shower Tanpa Tiang </v>
          </cell>
          <cell r="D484" t="str">
            <v>bh</v>
          </cell>
          <cell r="E484">
            <v>102000</v>
          </cell>
        </row>
        <row r="485">
          <cell r="A485" t="str">
            <v>BV16</v>
          </cell>
          <cell r="B485">
            <v>449</v>
          </cell>
          <cell r="C485" t="str">
            <v xml:space="preserve">Kran Tembok Sun Eui  dia. 1/2 " </v>
          </cell>
          <cell r="D485" t="str">
            <v>bh</v>
          </cell>
          <cell r="E485">
            <v>68250</v>
          </cell>
        </row>
        <row r="486">
          <cell r="A486" t="str">
            <v>BV17</v>
          </cell>
          <cell r="B486">
            <v>450</v>
          </cell>
          <cell r="C486" t="str">
            <v xml:space="preserve">Kran Tembok ITAP dia. 1/2 " </v>
          </cell>
          <cell r="D486" t="str">
            <v>bh</v>
          </cell>
          <cell r="E486">
            <v>27300</v>
          </cell>
        </row>
        <row r="487">
          <cell r="A487" t="str">
            <v>BV18</v>
          </cell>
          <cell r="B487">
            <v>451</v>
          </cell>
          <cell r="C487" t="str">
            <v xml:space="preserve">Kran Bebek Sun Eui 1/2 " </v>
          </cell>
          <cell r="D487" t="str">
            <v>bh</v>
          </cell>
          <cell r="E487">
            <v>122850</v>
          </cell>
        </row>
        <row r="488">
          <cell r="A488" t="str">
            <v>BV19</v>
          </cell>
          <cell r="B488">
            <v>452</v>
          </cell>
          <cell r="C488" t="str">
            <v>Kran Bebek ITAP 1/2 "</v>
          </cell>
          <cell r="D488" t="str">
            <v>bh</v>
          </cell>
          <cell r="E488">
            <v>40950</v>
          </cell>
        </row>
        <row r="489">
          <cell r="A489" t="str">
            <v>BV20</v>
          </cell>
          <cell r="B489">
            <v>453</v>
          </cell>
          <cell r="C489" t="str">
            <v>Kran Panas Dingin San Eui  Standard</v>
          </cell>
          <cell r="D489" t="str">
            <v>bh</v>
          </cell>
          <cell r="E489">
            <v>170550</v>
          </cell>
        </row>
        <row r="490">
          <cell r="A490" t="str">
            <v>BV21</v>
          </cell>
          <cell r="B490">
            <v>454</v>
          </cell>
          <cell r="C490" t="str">
            <v xml:space="preserve">Bath Cape  Washteren </v>
          </cell>
          <cell r="D490" t="str">
            <v>unit</v>
          </cell>
          <cell r="E490">
            <v>1633800</v>
          </cell>
        </row>
        <row r="491">
          <cell r="A491" t="str">
            <v>BV22</v>
          </cell>
          <cell r="B491">
            <v>455</v>
          </cell>
          <cell r="C491" t="str">
            <v>Tempat Sabun Poslin</v>
          </cell>
          <cell r="D491" t="str">
            <v>bh</v>
          </cell>
          <cell r="E491">
            <v>34000</v>
          </cell>
        </row>
        <row r="492">
          <cell r="A492" t="str">
            <v>BV23</v>
          </cell>
          <cell r="B492">
            <v>456</v>
          </cell>
          <cell r="C492" t="str">
            <v xml:space="preserve">Wastafel Lengkap TOTO LW 230 </v>
          </cell>
          <cell r="D492" t="str">
            <v>unit</v>
          </cell>
          <cell r="E492">
            <v>941850</v>
          </cell>
        </row>
        <row r="493">
          <cell r="A493" t="str">
            <v>BV24</v>
          </cell>
          <cell r="B493">
            <v>457</v>
          </cell>
          <cell r="C493" t="str">
            <v>Wastafel Lengkap INA</v>
          </cell>
          <cell r="D493" t="str">
            <v>unit</v>
          </cell>
          <cell r="E493">
            <v>511800</v>
          </cell>
        </row>
        <row r="494">
          <cell r="B494">
            <v>458</v>
          </cell>
          <cell r="C494" t="str">
            <v>Closet Duduk Poslin (INA) Lengkap</v>
          </cell>
          <cell r="D494" t="str">
            <v>set</v>
          </cell>
          <cell r="E494">
            <v>1706250</v>
          </cell>
        </row>
        <row r="495">
          <cell r="B495">
            <v>459</v>
          </cell>
          <cell r="C495" t="str">
            <v>Closet Jongkok Poslin (INA)</v>
          </cell>
          <cell r="D495" t="str">
            <v>bh</v>
          </cell>
          <cell r="E495">
            <v>109000</v>
          </cell>
        </row>
        <row r="496">
          <cell r="B496">
            <v>460</v>
          </cell>
          <cell r="C496" t="str">
            <v xml:space="preserve">Closet Jongkok Teraso </v>
          </cell>
          <cell r="D496" t="str">
            <v>bh</v>
          </cell>
          <cell r="E496">
            <v>61350</v>
          </cell>
        </row>
        <row r="497">
          <cell r="A497" t="str">
            <v>BV25</v>
          </cell>
          <cell r="B497">
            <v>461</v>
          </cell>
          <cell r="C497" t="str">
            <v>Closet Jongkok Poslin warna  TOTO</v>
          </cell>
          <cell r="D497" t="str">
            <v>unit</v>
          </cell>
          <cell r="E497">
            <v>245700</v>
          </cell>
        </row>
        <row r="498">
          <cell r="A498" t="str">
            <v>BV26</v>
          </cell>
          <cell r="B498">
            <v>462</v>
          </cell>
          <cell r="C498" t="str">
            <v>Closet Jongkok Standard Putih Poslin TOTO</v>
          </cell>
          <cell r="D498" t="str">
            <v>unit</v>
          </cell>
          <cell r="E498">
            <v>150150</v>
          </cell>
        </row>
        <row r="499">
          <cell r="A499" t="str">
            <v>BV27</v>
          </cell>
          <cell r="B499">
            <v>463</v>
          </cell>
          <cell r="C499" t="str">
            <v>Closet Jongkok Lengkap Sistem Jet TOTO</v>
          </cell>
          <cell r="D499" t="str">
            <v>unit</v>
          </cell>
          <cell r="E499">
            <v>1556000</v>
          </cell>
        </row>
        <row r="500">
          <cell r="A500" t="str">
            <v>BV28</v>
          </cell>
          <cell r="B500">
            <v>464</v>
          </cell>
          <cell r="C500" t="str">
            <v>Closet Duduk Warna Standard  TOTO C 240 Lengkap</v>
          </cell>
          <cell r="D500" t="str">
            <v>unit</v>
          </cell>
          <cell r="E500">
            <v>1433000</v>
          </cell>
        </row>
        <row r="501">
          <cell r="A501" t="str">
            <v>BV29</v>
          </cell>
          <cell r="B501">
            <v>465</v>
          </cell>
          <cell r="C501" t="str">
            <v>Wastafel Bulat Warna Standard Lengkap</v>
          </cell>
          <cell r="D501" t="str">
            <v>unit</v>
          </cell>
          <cell r="E501">
            <v>1177250</v>
          </cell>
        </row>
        <row r="502">
          <cell r="A502" t="str">
            <v>BV30</v>
          </cell>
          <cell r="B502">
            <v>466</v>
          </cell>
          <cell r="C502" t="str">
            <v>Closet Duduk Warna Standard lengkap INA</v>
          </cell>
          <cell r="D502" t="str">
            <v>bh</v>
          </cell>
          <cell r="E502">
            <v>1098750</v>
          </cell>
        </row>
        <row r="503">
          <cell r="A503" t="str">
            <v>BV31</v>
          </cell>
          <cell r="B503">
            <v>467</v>
          </cell>
          <cell r="C503" t="str">
            <v xml:space="preserve">Urinoar Lengkap TOTO Warna Standard lengkap </v>
          </cell>
          <cell r="D503" t="str">
            <v>unit</v>
          </cell>
          <cell r="E503">
            <v>1276200</v>
          </cell>
        </row>
        <row r="504">
          <cell r="A504" t="str">
            <v>BV32</v>
          </cell>
          <cell r="B504">
            <v>468</v>
          </cell>
          <cell r="C504" t="str">
            <v xml:space="preserve">Penyekat Poslin Urinoar TOTO </v>
          </cell>
          <cell r="D504" t="str">
            <v>lbr</v>
          </cell>
          <cell r="E504">
            <v>343950</v>
          </cell>
        </row>
        <row r="505">
          <cell r="A505" t="str">
            <v>BV33</v>
          </cell>
          <cell r="B505">
            <v>469</v>
          </cell>
          <cell r="C505" t="str">
            <v>Kitchen Zink Stainless Standard Lokal ( 1 Lobang )</v>
          </cell>
          <cell r="D505" t="str">
            <v>bh</v>
          </cell>
          <cell r="E505">
            <v>184200</v>
          </cell>
        </row>
        <row r="506">
          <cell r="A506" t="str">
            <v>BV34</v>
          </cell>
          <cell r="B506">
            <v>470</v>
          </cell>
          <cell r="C506" t="str">
            <v>Kitchen Zink Stainless Non Standard Franke ( 1 Lobang )</v>
          </cell>
          <cell r="D506" t="str">
            <v>bh</v>
          </cell>
          <cell r="E506">
            <v>580000</v>
          </cell>
        </row>
        <row r="507">
          <cell r="A507" t="str">
            <v>BV35</v>
          </cell>
          <cell r="B507">
            <v>471</v>
          </cell>
          <cell r="C507" t="str">
            <v>Kitchen Zink Stainless Non Standard Franke ( 2 Lobang )</v>
          </cell>
          <cell r="D507" t="str">
            <v>bh</v>
          </cell>
          <cell r="E507">
            <v>921300</v>
          </cell>
        </row>
        <row r="508">
          <cell r="B508">
            <v>472</v>
          </cell>
          <cell r="C508" t="str">
            <v>Selotip</v>
          </cell>
          <cell r="D508" t="str">
            <v>bh</v>
          </cell>
          <cell r="E508">
            <v>1300</v>
          </cell>
        </row>
        <row r="509">
          <cell r="B509">
            <v>473</v>
          </cell>
          <cell r="C509" t="str">
            <v>Bak Mandi Teraso</v>
          </cell>
          <cell r="D509" t="str">
            <v>bh</v>
          </cell>
          <cell r="E509">
            <v>204750</v>
          </cell>
        </row>
        <row r="510">
          <cell r="B510">
            <v>474</v>
          </cell>
          <cell r="C510" t="str">
            <v>Bak Mandi Fiber Glass 60 x 6</v>
          </cell>
          <cell r="D510" t="str">
            <v>bh</v>
          </cell>
          <cell r="E510">
            <v>95550</v>
          </cell>
        </row>
        <row r="511">
          <cell r="B511">
            <v>475</v>
          </cell>
          <cell r="C511" t="str">
            <v>Floordrain stainless</v>
          </cell>
          <cell r="D511" t="str">
            <v>bh</v>
          </cell>
          <cell r="E511">
            <v>20000</v>
          </cell>
        </row>
        <row r="513">
          <cell r="B513" t="str">
            <v>K</v>
          </cell>
          <cell r="C513" t="str">
            <v>BAHAN PENUTUP ATAP</v>
          </cell>
        </row>
        <row r="514">
          <cell r="A514" t="str">
            <v>BX01</v>
          </cell>
          <cell r="B514">
            <v>476</v>
          </cell>
          <cell r="C514" t="str">
            <v>Atap Plastik Gelombang 80 x 180</v>
          </cell>
          <cell r="D514" t="str">
            <v>lbr</v>
          </cell>
          <cell r="E514">
            <v>18000</v>
          </cell>
        </row>
        <row r="515">
          <cell r="A515" t="str">
            <v>BX02</v>
          </cell>
          <cell r="B515">
            <v>477</v>
          </cell>
          <cell r="C515" t="str">
            <v>Atap Fiber Glass Tipis 80 x 180 (gelombang)</v>
          </cell>
          <cell r="D515" t="str">
            <v>lbr</v>
          </cell>
          <cell r="E515">
            <v>32500</v>
          </cell>
        </row>
        <row r="516">
          <cell r="A516" t="str">
            <v>BX03</v>
          </cell>
          <cell r="B516">
            <v>478</v>
          </cell>
          <cell r="C516" t="str">
            <v>Atap Fiber Glass Tebal 80 x 180 (gelombang)</v>
          </cell>
          <cell r="D516" t="str">
            <v>lbr</v>
          </cell>
          <cell r="E516">
            <v>64000</v>
          </cell>
        </row>
        <row r="517">
          <cell r="A517" t="str">
            <v>BX04</v>
          </cell>
          <cell r="B517">
            <v>479</v>
          </cell>
          <cell r="C517" t="str">
            <v>Atap Aluminium Natural USR 26 ( JAINDO )</v>
          </cell>
          <cell r="D517" t="str">
            <v>m²</v>
          </cell>
          <cell r="E517">
            <v>100000</v>
          </cell>
        </row>
        <row r="518">
          <cell r="A518" t="str">
            <v>BX05</v>
          </cell>
          <cell r="B518">
            <v>480</v>
          </cell>
          <cell r="C518" t="str">
            <v>Atap Aluminium Warna USR 26 ( JAINDO )</v>
          </cell>
          <cell r="D518" t="str">
            <v>m²</v>
          </cell>
          <cell r="E518">
            <v>115000</v>
          </cell>
        </row>
        <row r="519">
          <cell r="A519" t="str">
            <v>BX06</v>
          </cell>
          <cell r="B519">
            <v>481</v>
          </cell>
          <cell r="C519" t="str">
            <v>Atap Asbes Gel. Kecil 4 mm 80 x 180</v>
          </cell>
          <cell r="D519" t="str">
            <v>lbr</v>
          </cell>
          <cell r="E519">
            <v>22100</v>
          </cell>
        </row>
        <row r="520">
          <cell r="B520">
            <v>482</v>
          </cell>
          <cell r="C520" t="str">
            <v>Atap Asbes Gel. 3 mm 80 x 180</v>
          </cell>
          <cell r="D520" t="str">
            <v>lbr</v>
          </cell>
          <cell r="E520">
            <v>18500</v>
          </cell>
        </row>
        <row r="521">
          <cell r="B521">
            <v>483</v>
          </cell>
          <cell r="C521" t="str">
            <v>Atap Asbes Gel.  4 mm 80 x 180</v>
          </cell>
          <cell r="D521" t="str">
            <v>lbr</v>
          </cell>
          <cell r="E521">
            <v>20000</v>
          </cell>
        </row>
        <row r="522">
          <cell r="B522">
            <v>484</v>
          </cell>
          <cell r="C522" t="str">
            <v>Atap Asbes Gel. 5 mm 80 x 180</v>
          </cell>
          <cell r="D522" t="str">
            <v>lbr</v>
          </cell>
          <cell r="E522">
            <v>31000</v>
          </cell>
        </row>
        <row r="523">
          <cell r="A523" t="str">
            <v>BX07</v>
          </cell>
          <cell r="B523">
            <v>485</v>
          </cell>
          <cell r="C523" t="str">
            <v>Atap Asbes Gel. Besar 5 mm 80 x 180</v>
          </cell>
          <cell r="D523" t="str">
            <v>lbr</v>
          </cell>
          <cell r="E523">
            <v>60000</v>
          </cell>
        </row>
        <row r="524">
          <cell r="A524" t="str">
            <v>BX08</v>
          </cell>
          <cell r="B524">
            <v>486</v>
          </cell>
          <cell r="C524" t="str">
            <v>Atap Tegola Kubota, lengkap</v>
          </cell>
          <cell r="D524" t="str">
            <v>m²</v>
          </cell>
          <cell r="E524">
            <v>350000</v>
          </cell>
        </row>
        <row r="525">
          <cell r="B525">
            <v>487</v>
          </cell>
          <cell r="C525" t="str">
            <v>Atap Multiroof</v>
          </cell>
          <cell r="D525" t="str">
            <v>m²</v>
          </cell>
        </row>
        <row r="526">
          <cell r="A526" t="str">
            <v>BX09</v>
          </cell>
          <cell r="B526">
            <v>488</v>
          </cell>
          <cell r="C526" t="str">
            <v>Atap Tegola Kwalitas Sedang</v>
          </cell>
          <cell r="D526" t="str">
            <v>m²</v>
          </cell>
          <cell r="E526">
            <v>200000</v>
          </cell>
        </row>
        <row r="527">
          <cell r="A527" t="str">
            <v>BX10</v>
          </cell>
          <cell r="B527">
            <v>489</v>
          </cell>
          <cell r="C527" t="str">
            <v>Aluminium foile</v>
          </cell>
          <cell r="D527" t="str">
            <v>m²</v>
          </cell>
          <cell r="E527">
            <v>6000</v>
          </cell>
        </row>
        <row r="528">
          <cell r="A528" t="str">
            <v>BX11</v>
          </cell>
          <cell r="B528">
            <v>490</v>
          </cell>
          <cell r="C528" t="str">
            <v>Atap Genteng Plentong pres Bakar KW 1</v>
          </cell>
          <cell r="D528" t="str">
            <v>bh</v>
          </cell>
          <cell r="E528">
            <v>950</v>
          </cell>
        </row>
        <row r="529">
          <cell r="A529" t="str">
            <v>BX12</v>
          </cell>
          <cell r="B529">
            <v>491</v>
          </cell>
          <cell r="C529" t="str">
            <v xml:space="preserve">Atap Genteng Plentong pres Molen Oven KW1 </v>
          </cell>
          <cell r="D529" t="str">
            <v>bh</v>
          </cell>
          <cell r="E529">
            <v>2000</v>
          </cell>
        </row>
        <row r="530">
          <cell r="A530" t="str">
            <v>BX13</v>
          </cell>
          <cell r="B530">
            <v>492</v>
          </cell>
          <cell r="C530" t="str">
            <v>Atap Genteng Flam pres Molen Oven Jatiwangi</v>
          </cell>
          <cell r="D530" t="str">
            <v>bh</v>
          </cell>
          <cell r="E530">
            <v>750</v>
          </cell>
        </row>
        <row r="531">
          <cell r="B531">
            <v>1</v>
          </cell>
          <cell r="C531" t="str">
            <v>Genting Morando</v>
          </cell>
          <cell r="D531" t="str">
            <v>bh</v>
          </cell>
          <cell r="E531">
            <v>1600</v>
          </cell>
        </row>
        <row r="532">
          <cell r="A532" t="str">
            <v>BX14</v>
          </cell>
          <cell r="B532">
            <v>494</v>
          </cell>
          <cell r="C532" t="str">
            <v>Bubung Genteng pres Bulat Ex Jatiwangi</v>
          </cell>
          <cell r="D532" t="str">
            <v>bh</v>
          </cell>
          <cell r="E532">
            <v>3500</v>
          </cell>
        </row>
        <row r="533">
          <cell r="A533" t="str">
            <v>BX15</v>
          </cell>
          <cell r="B533">
            <v>495</v>
          </cell>
          <cell r="C533" t="str">
            <v>Genteng Bubungan Ex Jatiwangi Segi Tiga</v>
          </cell>
          <cell r="D533" t="str">
            <v>bh</v>
          </cell>
          <cell r="E533">
            <v>2800</v>
          </cell>
        </row>
        <row r="534">
          <cell r="A534" t="str">
            <v>BX16</v>
          </cell>
          <cell r="B534">
            <v>496</v>
          </cell>
          <cell r="C534" t="str">
            <v>Genteng Bubungan Beton</v>
          </cell>
          <cell r="D534" t="str">
            <v>bh</v>
          </cell>
          <cell r="E534">
            <v>3300</v>
          </cell>
        </row>
        <row r="535">
          <cell r="B535">
            <v>497</v>
          </cell>
          <cell r="C535" t="str">
            <v>Genteng Beton Warna 14,5/m2</v>
          </cell>
          <cell r="D535" t="str">
            <v>bh</v>
          </cell>
          <cell r="E535">
            <v>4750</v>
          </cell>
        </row>
        <row r="536">
          <cell r="B536">
            <v>498</v>
          </cell>
          <cell r="C536" t="str">
            <v>Genteng Beton Natural</v>
          </cell>
          <cell r="D536" t="str">
            <v>bh</v>
          </cell>
          <cell r="E536">
            <v>2700</v>
          </cell>
        </row>
        <row r="537">
          <cell r="A537" t="str">
            <v>BX17</v>
          </cell>
          <cell r="B537">
            <v>499</v>
          </cell>
          <cell r="C537" t="str">
            <v>Genteng Metal  ( Rainbow Roof )</v>
          </cell>
          <cell r="D537" t="str">
            <v>m²</v>
          </cell>
          <cell r="E537">
            <v>150000</v>
          </cell>
        </row>
        <row r="538">
          <cell r="A538" t="str">
            <v>BX18</v>
          </cell>
          <cell r="B538">
            <v>500</v>
          </cell>
          <cell r="C538" t="str">
            <v xml:space="preserve">Genteng Metal Hana </v>
          </cell>
          <cell r="D538" t="str">
            <v>m²</v>
          </cell>
          <cell r="E538">
            <v>111000</v>
          </cell>
        </row>
        <row r="539">
          <cell r="A539" t="str">
            <v>BX19</v>
          </cell>
          <cell r="B539">
            <v>501</v>
          </cell>
          <cell r="C539" t="str">
            <v>Nok Atas Metal ( Rainbow Roof )</v>
          </cell>
          <cell r="D539" t="str">
            <v>m1</v>
          </cell>
          <cell r="E539">
            <v>100000</v>
          </cell>
        </row>
        <row r="540">
          <cell r="A540" t="str">
            <v>BX20</v>
          </cell>
          <cell r="B540">
            <v>502</v>
          </cell>
          <cell r="C540" t="str">
            <v>Nok Atas Metal Hana</v>
          </cell>
          <cell r="D540" t="str">
            <v>m1</v>
          </cell>
          <cell r="E540">
            <v>55000</v>
          </cell>
        </row>
        <row r="541">
          <cell r="A541" t="str">
            <v>BX21</v>
          </cell>
          <cell r="B541">
            <v>503</v>
          </cell>
          <cell r="C541" t="str">
            <v>Nok Pinggir Metal ( Rainbow Roof )</v>
          </cell>
          <cell r="D541" t="str">
            <v>m1</v>
          </cell>
          <cell r="E541">
            <v>70000</v>
          </cell>
        </row>
        <row r="542">
          <cell r="A542" t="str">
            <v>BX22</v>
          </cell>
          <cell r="B542">
            <v>504</v>
          </cell>
          <cell r="C542" t="str">
            <v>Nok Pinggir Hana</v>
          </cell>
          <cell r="D542" t="str">
            <v>m1</v>
          </cell>
          <cell r="E542">
            <v>55000</v>
          </cell>
        </row>
        <row r="543">
          <cell r="A543" t="str">
            <v>BX23</v>
          </cell>
          <cell r="B543">
            <v>505</v>
          </cell>
          <cell r="C543" t="str">
            <v>Wall Flashing ( Rainbow Roof )</v>
          </cell>
          <cell r="D543" t="str">
            <v>m1</v>
          </cell>
          <cell r="E543">
            <v>70000</v>
          </cell>
        </row>
        <row r="544">
          <cell r="A544" t="str">
            <v>BX24</v>
          </cell>
          <cell r="B544">
            <v>506</v>
          </cell>
          <cell r="C544" t="str">
            <v>Wall Flashing Hana</v>
          </cell>
          <cell r="D544" t="str">
            <v>m1</v>
          </cell>
          <cell r="E544">
            <v>55000</v>
          </cell>
        </row>
        <row r="545">
          <cell r="A545" t="str">
            <v>BX25</v>
          </cell>
          <cell r="B545">
            <v>507</v>
          </cell>
          <cell r="C545" t="str">
            <v>Atap Genteng Beton Warna 14,5/m2</v>
          </cell>
          <cell r="D545" t="str">
            <v>m²</v>
          </cell>
          <cell r="E545">
            <v>68875</v>
          </cell>
        </row>
        <row r="546">
          <cell r="A546" t="str">
            <v>BX26</v>
          </cell>
          <cell r="B546">
            <v>508</v>
          </cell>
          <cell r="C546" t="str">
            <v>Genteng Beton Natural</v>
          </cell>
          <cell r="D546" t="str">
            <v>m²</v>
          </cell>
          <cell r="E546">
            <v>16380</v>
          </cell>
        </row>
        <row r="547">
          <cell r="A547" t="str">
            <v>BX27</v>
          </cell>
          <cell r="B547">
            <v>509</v>
          </cell>
          <cell r="C547" t="str">
            <v>Sirap Kelas I ( 80 / m2 )</v>
          </cell>
          <cell r="D547" t="str">
            <v>bh</v>
          </cell>
          <cell r="E547">
            <v>1400</v>
          </cell>
        </row>
        <row r="548">
          <cell r="B548">
            <v>510</v>
          </cell>
          <cell r="C548" t="str">
            <v>Sirap</v>
          </cell>
          <cell r="D548" t="str">
            <v>m²</v>
          </cell>
          <cell r="E548">
            <v>114999.99999999999</v>
          </cell>
        </row>
        <row r="549">
          <cell r="B549">
            <v>511</v>
          </cell>
          <cell r="C549" t="str">
            <v xml:space="preserve">Genteng Keramik </v>
          </cell>
          <cell r="D549" t="str">
            <v>bh</v>
          </cell>
          <cell r="E549">
            <v>5500</v>
          </cell>
        </row>
        <row r="550">
          <cell r="A550" t="str">
            <v>BX28</v>
          </cell>
          <cell r="B550">
            <v>512</v>
          </cell>
          <cell r="C550" t="str">
            <v>Genteng Keramik Natural Intan 14,5 / m2</v>
          </cell>
          <cell r="D550" t="str">
            <v>m²</v>
          </cell>
          <cell r="E550">
            <v>70000</v>
          </cell>
        </row>
        <row r="551">
          <cell r="A551" t="str">
            <v>BX29</v>
          </cell>
          <cell r="B551">
            <v>513</v>
          </cell>
          <cell r="C551" t="str">
            <v>Genteng Keramik Glasur Standard 14,5 / m2</v>
          </cell>
          <cell r="D551" t="str">
            <v>m²</v>
          </cell>
          <cell r="E551">
            <v>75000</v>
          </cell>
        </row>
        <row r="552">
          <cell r="A552" t="str">
            <v>BX30</v>
          </cell>
          <cell r="B552">
            <v>514</v>
          </cell>
          <cell r="C552" t="str">
            <v>Genteng Keramik Glasur Special 14,5 / m2</v>
          </cell>
          <cell r="D552" t="str">
            <v>m²</v>
          </cell>
          <cell r="E552">
            <v>83500</v>
          </cell>
        </row>
        <row r="553">
          <cell r="A553" t="str">
            <v>BX31</v>
          </cell>
          <cell r="B553">
            <v>515</v>
          </cell>
          <cell r="C553" t="str">
            <v>Genteng Keramik Glasur Premium 14,5 / m2</v>
          </cell>
          <cell r="D553" t="str">
            <v>m²</v>
          </cell>
          <cell r="E553">
            <v>94000</v>
          </cell>
        </row>
        <row r="554">
          <cell r="A554" t="str">
            <v>BX32</v>
          </cell>
          <cell r="B554">
            <v>516</v>
          </cell>
          <cell r="C554" t="str">
            <v>Genteng Murando Natural 1m2 = 18 bh</v>
          </cell>
          <cell r="D554" t="str">
            <v>bh</v>
          </cell>
          <cell r="E554">
            <v>1500</v>
          </cell>
        </row>
        <row r="555">
          <cell r="A555" t="str">
            <v>BX33</v>
          </cell>
          <cell r="B555">
            <v>517</v>
          </cell>
          <cell r="C555" t="str">
            <v>Genteng Murando Glasur 1m2 = 20 bh</v>
          </cell>
          <cell r="D555" t="str">
            <v>bh</v>
          </cell>
          <cell r="E555">
            <v>3000</v>
          </cell>
        </row>
        <row r="556">
          <cell r="B556">
            <v>518</v>
          </cell>
          <cell r="C556" t="str">
            <v>Genting Magas</v>
          </cell>
          <cell r="D556" t="str">
            <v>bh</v>
          </cell>
          <cell r="E556">
            <v>950</v>
          </cell>
        </row>
        <row r="557">
          <cell r="B557">
            <v>519</v>
          </cell>
          <cell r="C557" t="str">
            <v>Genteng Super Roof Multicolor</v>
          </cell>
          <cell r="D557" t="str">
            <v>m²</v>
          </cell>
          <cell r="E557">
            <v>148000</v>
          </cell>
        </row>
        <row r="558">
          <cell r="A558" t="str">
            <v>BX34</v>
          </cell>
          <cell r="B558">
            <v>520</v>
          </cell>
          <cell r="C558" t="str">
            <v>Bubung Murando Natural</v>
          </cell>
          <cell r="D558" t="str">
            <v>bh</v>
          </cell>
          <cell r="E558">
            <v>4600</v>
          </cell>
        </row>
        <row r="559">
          <cell r="A559" t="str">
            <v>BX35</v>
          </cell>
          <cell r="B559">
            <v>521</v>
          </cell>
          <cell r="C559" t="str">
            <v>Bubung Murando Glasur</v>
          </cell>
          <cell r="D559" t="str">
            <v>bh</v>
          </cell>
          <cell r="E559">
            <v>6899.9999999999991</v>
          </cell>
        </row>
        <row r="560">
          <cell r="A560" t="str">
            <v>BX36</v>
          </cell>
          <cell r="B560">
            <v>522</v>
          </cell>
          <cell r="C560" t="str">
            <v>Bubungan Genteng Keramik</v>
          </cell>
          <cell r="D560" t="str">
            <v>bh</v>
          </cell>
          <cell r="E560">
            <v>6000</v>
          </cell>
        </row>
        <row r="561">
          <cell r="B561">
            <v>523</v>
          </cell>
          <cell r="C561" t="str">
            <v>Bubungan Genteng Palentong</v>
          </cell>
          <cell r="D561" t="str">
            <v>bh</v>
          </cell>
          <cell r="E561">
            <v>1750</v>
          </cell>
        </row>
        <row r="562">
          <cell r="B562">
            <v>2</v>
          </cell>
          <cell r="C562" t="str">
            <v>Bubungan Genteng Murando</v>
          </cell>
          <cell r="D562" t="str">
            <v>bh</v>
          </cell>
          <cell r="E562">
            <v>4600</v>
          </cell>
        </row>
        <row r="563">
          <cell r="B563">
            <v>525</v>
          </cell>
          <cell r="C563" t="str">
            <v>Bubungan asbes</v>
          </cell>
          <cell r="D563" t="str">
            <v>bh</v>
          </cell>
          <cell r="E563">
            <v>17250</v>
          </cell>
        </row>
        <row r="564">
          <cell r="B564">
            <v>526</v>
          </cell>
          <cell r="C564" t="str">
            <v>Bubungan Genting Flam</v>
          </cell>
          <cell r="D564" t="str">
            <v>bh</v>
          </cell>
          <cell r="E564">
            <v>1450</v>
          </cell>
        </row>
        <row r="565">
          <cell r="B565">
            <v>527</v>
          </cell>
          <cell r="C565" t="str">
            <v>Bubungan Genting Magas eks banjar</v>
          </cell>
          <cell r="D565" t="str">
            <v>bh</v>
          </cell>
          <cell r="E565">
            <v>1750</v>
          </cell>
        </row>
        <row r="566">
          <cell r="B566">
            <v>528</v>
          </cell>
          <cell r="C566" t="str">
            <v>Bubungan Genteng Super Roof Multicolor</v>
          </cell>
          <cell r="D566" t="str">
            <v>bh</v>
          </cell>
          <cell r="E566">
            <v>60374.999999999993</v>
          </cell>
        </row>
        <row r="568">
          <cell r="B568" t="str">
            <v>N</v>
          </cell>
          <cell r="C568" t="str">
            <v xml:space="preserve"> BAHAN MEKANIKAL</v>
          </cell>
        </row>
        <row r="569">
          <cell r="A569" t="str">
            <v>BZ01</v>
          </cell>
          <cell r="B569">
            <v>529</v>
          </cell>
          <cell r="C569" t="str">
            <v>Jockey Pump kap. 80 gln / menit 100 m1  ( 18,6 kW )</v>
          </cell>
          <cell r="D569" t="str">
            <v>unit</v>
          </cell>
          <cell r="E569">
            <v>47775000</v>
          </cell>
        </row>
        <row r="570">
          <cell r="A570" t="str">
            <v>BZ02</v>
          </cell>
          <cell r="B570">
            <v>530</v>
          </cell>
          <cell r="C570" t="str">
            <v>Electrical Pump kap. 750 gln / menit 120 m1  ( 90 kW )</v>
          </cell>
          <cell r="D570" t="str">
            <v>unit</v>
          </cell>
          <cell r="E570">
            <v>163800000</v>
          </cell>
        </row>
        <row r="571">
          <cell r="A571" t="str">
            <v>BZ03</v>
          </cell>
          <cell r="B571">
            <v>531</v>
          </cell>
          <cell r="C571" t="str">
            <v>Diesel Pump kap. 750 gln / menit 120 m1  ( 105 kW )</v>
          </cell>
          <cell r="D571" t="str">
            <v>unit</v>
          </cell>
          <cell r="E571">
            <v>409500000</v>
          </cell>
        </row>
        <row r="572">
          <cell r="A572" t="str">
            <v>BZ04</v>
          </cell>
          <cell r="B572">
            <v>532</v>
          </cell>
          <cell r="C572" t="str">
            <v xml:space="preserve">Presure Tank kap. 500 liter lengkap </v>
          </cell>
          <cell r="D572" t="str">
            <v>unit</v>
          </cell>
          <cell r="E572">
            <v>23887500</v>
          </cell>
        </row>
        <row r="573">
          <cell r="A573" t="str">
            <v>BZ05</v>
          </cell>
          <cell r="B573">
            <v>533</v>
          </cell>
          <cell r="C573" t="str">
            <v>Hydran Box dalam Gedung  (lengkap)</v>
          </cell>
          <cell r="D573" t="str">
            <v>unit</v>
          </cell>
          <cell r="E573">
            <v>4231500</v>
          </cell>
        </row>
        <row r="574">
          <cell r="A574" t="str">
            <v>BZ06</v>
          </cell>
          <cell r="B574">
            <v>534</v>
          </cell>
          <cell r="C574" t="str">
            <v>Fire House 1.5 x 30 m + nose</v>
          </cell>
          <cell r="D574" t="str">
            <v>unit</v>
          </cell>
          <cell r="E574">
            <v>3412500</v>
          </cell>
        </row>
        <row r="575">
          <cell r="A575" t="str">
            <v>BZ07</v>
          </cell>
          <cell r="B575">
            <v>535</v>
          </cell>
          <cell r="C575" t="str">
            <v>Exhouse Fan H 360 W 60 x 60 cm</v>
          </cell>
          <cell r="D575" t="str">
            <v>unit</v>
          </cell>
          <cell r="E575">
            <v>4777500</v>
          </cell>
        </row>
        <row r="576">
          <cell r="A576" t="str">
            <v>BZ08</v>
          </cell>
          <cell r="B576">
            <v>536</v>
          </cell>
          <cell r="C576" t="str">
            <v xml:space="preserve">Exhouse Fan H 380 W CFM 55 x 55 cm </v>
          </cell>
          <cell r="D576" t="str">
            <v>unit</v>
          </cell>
          <cell r="E576">
            <v>4231500</v>
          </cell>
        </row>
        <row r="577">
          <cell r="A577" t="str">
            <v>BZ09</v>
          </cell>
          <cell r="B577">
            <v>537</v>
          </cell>
          <cell r="C577" t="str">
            <v xml:space="preserve">Exhouse Fan H 100 W 40 x 40 cm </v>
          </cell>
          <cell r="D577" t="str">
            <v>unit</v>
          </cell>
          <cell r="E577">
            <v>819000</v>
          </cell>
        </row>
        <row r="578">
          <cell r="A578" t="str">
            <v>BZ10</v>
          </cell>
          <cell r="B578">
            <v>538</v>
          </cell>
          <cell r="C578" t="str">
            <v>AC Split 3 PK Setara TOSHIBA</v>
          </cell>
          <cell r="D578" t="str">
            <v>unit</v>
          </cell>
          <cell r="E578">
            <v>11943750</v>
          </cell>
        </row>
        <row r="579">
          <cell r="A579" t="str">
            <v>BZ11</v>
          </cell>
          <cell r="B579">
            <v>539</v>
          </cell>
          <cell r="C579" t="str">
            <v>AC Split  2 PK Setara TOSHIBA</v>
          </cell>
          <cell r="D579" t="str">
            <v>unit</v>
          </cell>
          <cell r="E579">
            <v>8872500</v>
          </cell>
        </row>
        <row r="580">
          <cell r="A580" t="str">
            <v>BZ12</v>
          </cell>
          <cell r="B580">
            <v>540</v>
          </cell>
          <cell r="C580" t="str">
            <v>AC Split  1 PK Setara TOSHIBA</v>
          </cell>
          <cell r="D580" t="str">
            <v>unit</v>
          </cell>
          <cell r="E580">
            <v>4777500</v>
          </cell>
        </row>
        <row r="581">
          <cell r="A581" t="str">
            <v>BZ13</v>
          </cell>
          <cell r="B581">
            <v>541</v>
          </cell>
          <cell r="C581" t="str">
            <v>Mesin AC Split  DAIKIN ( Indoor / Outdoor Unit )</v>
          </cell>
          <cell r="D581" t="str">
            <v xml:space="preserve">1 BTU </v>
          </cell>
          <cell r="E581">
            <v>1950</v>
          </cell>
        </row>
        <row r="582">
          <cell r="B582">
            <v>542</v>
          </cell>
          <cell r="C582" t="str">
            <v>AC Split 1 PK Setara Canghong</v>
          </cell>
          <cell r="D582" t="str">
            <v>unit</v>
          </cell>
          <cell r="E582">
            <v>3500000</v>
          </cell>
        </row>
        <row r="583">
          <cell r="B583">
            <v>543</v>
          </cell>
          <cell r="C583" t="str">
            <v>AC Split 2 PK Setara Canghong</v>
          </cell>
          <cell r="D583" t="str">
            <v>unit</v>
          </cell>
          <cell r="E583">
            <v>4500000</v>
          </cell>
        </row>
        <row r="585">
          <cell r="B585" t="str">
            <v>L</v>
          </cell>
          <cell r="C585" t="str">
            <v>BAHAN ELEKTRIKAL</v>
          </cell>
          <cell r="D585">
            <v>1.5</v>
          </cell>
        </row>
        <row r="586">
          <cell r="A586" t="str">
            <v>BZ16</v>
          </cell>
          <cell r="B586">
            <v>544</v>
          </cell>
          <cell r="C586" t="str">
            <v>Kabel NYA  1x 1.5  Prima (1 rol = 50 m')</v>
          </cell>
          <cell r="D586" t="str">
            <v>ROLL</v>
          </cell>
          <cell r="E586">
            <v>39000</v>
          </cell>
        </row>
        <row r="587">
          <cell r="A587" t="str">
            <v>BZ17</v>
          </cell>
          <cell r="B587">
            <v>545</v>
          </cell>
          <cell r="C587" t="str">
            <v>Kabel NYA  1x 2.5  Prima (1 rol = 50 m')</v>
          </cell>
          <cell r="D587" t="str">
            <v>ROLL</v>
          </cell>
          <cell r="E587">
            <v>62000</v>
          </cell>
        </row>
        <row r="588">
          <cell r="A588" t="str">
            <v>BZ18</v>
          </cell>
          <cell r="B588">
            <v>546</v>
          </cell>
          <cell r="C588" t="str">
            <v>Kabel NYM 2 x 1.5 Prima (1 rol = 50 m')</v>
          </cell>
          <cell r="D588" t="str">
            <v>m'</v>
          </cell>
          <cell r="E588">
            <v>2000</v>
          </cell>
        </row>
        <row r="589">
          <cell r="A589" t="str">
            <v>BZ19</v>
          </cell>
          <cell r="B589">
            <v>547</v>
          </cell>
          <cell r="C589" t="str">
            <v>Kabel NYM 3 x 1.5 Prima (1 rol = 50 m')</v>
          </cell>
          <cell r="D589" t="str">
            <v>m'</v>
          </cell>
          <cell r="E589">
            <v>3000</v>
          </cell>
        </row>
        <row r="590">
          <cell r="A590" t="str">
            <v>BZ20</v>
          </cell>
          <cell r="B590">
            <v>548</v>
          </cell>
          <cell r="C590" t="str">
            <v>Kabel NYM 2 x 2.5 Prima (1 rol = 50 m')</v>
          </cell>
          <cell r="D590" t="str">
            <v>m'</v>
          </cell>
          <cell r="E590">
            <v>2500</v>
          </cell>
        </row>
        <row r="591">
          <cell r="A591" t="str">
            <v>BZ21</v>
          </cell>
          <cell r="B591">
            <v>549</v>
          </cell>
          <cell r="C591" t="str">
            <v>Kabel NYM 3 x 2.5 Prima (1 rol = 50 m')</v>
          </cell>
          <cell r="D591" t="str">
            <v>m'</v>
          </cell>
          <cell r="E591">
            <v>4250</v>
          </cell>
        </row>
        <row r="592">
          <cell r="A592" t="str">
            <v>BZ22</v>
          </cell>
          <cell r="B592">
            <v>550</v>
          </cell>
          <cell r="C592" t="str">
            <v>Kabel NYM 4 x 2.5 Prima (1 rol = 50 m')</v>
          </cell>
          <cell r="D592" t="str">
            <v>m'</v>
          </cell>
          <cell r="E592">
            <v>3625</v>
          </cell>
        </row>
        <row r="593">
          <cell r="A593" t="str">
            <v>BZ23</v>
          </cell>
          <cell r="B593">
            <v>551</v>
          </cell>
          <cell r="C593" t="str">
            <v>Kabel NYM 2 x 4    Prima (1 rol = 50 m')</v>
          </cell>
          <cell r="D593" t="str">
            <v>m'</v>
          </cell>
          <cell r="E593">
            <v>3000</v>
          </cell>
        </row>
        <row r="594">
          <cell r="A594" t="str">
            <v>BZ24</v>
          </cell>
          <cell r="B594">
            <v>552</v>
          </cell>
          <cell r="C594" t="str">
            <v>Kabel NYM 3 x 4    Prima (1 rol = 50 m')</v>
          </cell>
          <cell r="D594" t="str">
            <v>m'</v>
          </cell>
          <cell r="E594">
            <v>7000</v>
          </cell>
        </row>
        <row r="595">
          <cell r="A595" t="str">
            <v>BZ25</v>
          </cell>
          <cell r="B595">
            <v>553</v>
          </cell>
          <cell r="C595" t="str">
            <v>Kabel NYM 4 x 4    Prima (1 rol = 50 m')</v>
          </cell>
          <cell r="D595" t="str">
            <v>m'</v>
          </cell>
          <cell r="E595">
            <v>9825</v>
          </cell>
        </row>
        <row r="596">
          <cell r="A596" t="str">
            <v>BZ26</v>
          </cell>
          <cell r="B596">
            <v>554</v>
          </cell>
          <cell r="C596" t="str">
            <v>Kabel NYM 2 x 6    Supreme (1 rol = 50 m')</v>
          </cell>
          <cell r="D596" t="str">
            <v>m'</v>
          </cell>
          <cell r="E596">
            <v>5500</v>
          </cell>
        </row>
        <row r="597">
          <cell r="A597" t="str">
            <v>BZ27</v>
          </cell>
          <cell r="B597">
            <v>555</v>
          </cell>
          <cell r="C597" t="str">
            <v>Kabel NYM 3 x 6    Supreme (1 rol = 50 m')</v>
          </cell>
          <cell r="D597" t="str">
            <v>m'</v>
          </cell>
          <cell r="E597">
            <v>7350</v>
          </cell>
        </row>
        <row r="598">
          <cell r="A598" t="str">
            <v>BZ28</v>
          </cell>
          <cell r="B598">
            <v>556</v>
          </cell>
          <cell r="C598" t="str">
            <v>Kabel NYM 4 x 6    Supreme (1 rol = 50 m')</v>
          </cell>
          <cell r="D598" t="str">
            <v>m'</v>
          </cell>
          <cell r="E598">
            <v>9825</v>
          </cell>
        </row>
        <row r="599">
          <cell r="A599" t="str">
            <v>BZ29</v>
          </cell>
          <cell r="B599">
            <v>557</v>
          </cell>
          <cell r="C599" t="str">
            <v>Kabel NYM 2 x 10  Supreme (1 rol = 50 m')</v>
          </cell>
          <cell r="D599" t="str">
            <v>m'</v>
          </cell>
          <cell r="E599">
            <v>9125</v>
          </cell>
        </row>
        <row r="600">
          <cell r="A600" t="str">
            <v>BZ30</v>
          </cell>
          <cell r="B600">
            <v>558</v>
          </cell>
          <cell r="C600" t="str">
            <v>Kabel NYM 3 x 10  Supreme (1 rol = 50 m')</v>
          </cell>
          <cell r="D600" t="str">
            <v>m'</v>
          </cell>
          <cell r="E600">
            <v>12250</v>
          </cell>
        </row>
        <row r="601">
          <cell r="A601" t="str">
            <v>BZ31</v>
          </cell>
          <cell r="B601">
            <v>559</v>
          </cell>
          <cell r="C601" t="str">
            <v>Kabel NYM 4 x 10  Supreme (1 rol = 50 m')</v>
          </cell>
          <cell r="D601" t="str">
            <v>m'</v>
          </cell>
          <cell r="E601">
            <v>13450</v>
          </cell>
        </row>
        <row r="602">
          <cell r="A602" t="str">
            <v>BZ32</v>
          </cell>
          <cell r="B602">
            <v>560</v>
          </cell>
          <cell r="C602" t="str">
            <v>Kabel NYM 4 x 16  Supreme (1 rol = 50 m')</v>
          </cell>
          <cell r="D602" t="str">
            <v>m'</v>
          </cell>
          <cell r="E602">
            <v>18350</v>
          </cell>
        </row>
        <row r="603">
          <cell r="A603" t="str">
            <v>BZ33</v>
          </cell>
          <cell r="B603">
            <v>561</v>
          </cell>
          <cell r="C603" t="str">
            <v>Kabel NYY 2  x 4    Supreme (1 rol = 50 m')</v>
          </cell>
          <cell r="D603" t="str">
            <v>m'</v>
          </cell>
          <cell r="E603">
            <v>5500</v>
          </cell>
        </row>
        <row r="604">
          <cell r="A604" t="str">
            <v>BZ34</v>
          </cell>
          <cell r="B604">
            <v>562</v>
          </cell>
          <cell r="C604" t="str">
            <v>Kabel NYY 3  x 4    Supreme (1 rol = 50 m')</v>
          </cell>
          <cell r="D604" t="str">
            <v>m'</v>
          </cell>
          <cell r="E604">
            <v>7375</v>
          </cell>
        </row>
        <row r="605">
          <cell r="A605" t="str">
            <v>BZ35</v>
          </cell>
          <cell r="B605">
            <v>563</v>
          </cell>
          <cell r="C605" t="str">
            <v>Kabel NYY 4  x 4    Supreme (1 rol = 50 m')</v>
          </cell>
          <cell r="D605" t="str">
            <v>m'</v>
          </cell>
          <cell r="E605">
            <v>12275</v>
          </cell>
        </row>
        <row r="606">
          <cell r="A606" t="str">
            <v>BZ36</v>
          </cell>
          <cell r="B606">
            <v>564</v>
          </cell>
          <cell r="C606" t="str">
            <v>Kabel NYY 2  x 6    Supreme (1 rol = 50 m')</v>
          </cell>
          <cell r="D606" t="str">
            <v>m'</v>
          </cell>
          <cell r="E606">
            <v>5500</v>
          </cell>
        </row>
        <row r="607">
          <cell r="A607" t="str">
            <v>BZ37</v>
          </cell>
          <cell r="B607">
            <v>565</v>
          </cell>
          <cell r="C607" t="str">
            <v>Kabel NYY 3  x 6    Supreme (1 rol = 50 m')</v>
          </cell>
          <cell r="D607" t="str">
            <v>m'</v>
          </cell>
          <cell r="E607">
            <v>9125</v>
          </cell>
        </row>
        <row r="608">
          <cell r="A608" t="str">
            <v>BZ38</v>
          </cell>
          <cell r="B608">
            <v>566</v>
          </cell>
          <cell r="C608" t="str">
            <v>Kabel NYY 4  x 6    Supreme (1 rol = 50 m')</v>
          </cell>
          <cell r="D608" t="str">
            <v>m'</v>
          </cell>
          <cell r="E608">
            <v>11350</v>
          </cell>
        </row>
        <row r="609">
          <cell r="A609" t="str">
            <v>BZ39</v>
          </cell>
          <cell r="B609">
            <v>567</v>
          </cell>
          <cell r="C609" t="str">
            <v>Kabel NYY 2 x 10   Supreme (1 rol = 50 m')</v>
          </cell>
          <cell r="D609" t="str">
            <v>m'</v>
          </cell>
          <cell r="E609">
            <v>9825</v>
          </cell>
        </row>
        <row r="610">
          <cell r="A610" t="str">
            <v>BZ40</v>
          </cell>
          <cell r="B610">
            <v>568</v>
          </cell>
          <cell r="C610" t="str">
            <v>Kabel NYY 3 x 10   Supreme (1 rol = 50 m')</v>
          </cell>
          <cell r="D610" t="str">
            <v>m'</v>
          </cell>
          <cell r="E610">
            <v>13500</v>
          </cell>
        </row>
        <row r="611">
          <cell r="A611" t="str">
            <v>BZ41</v>
          </cell>
          <cell r="B611">
            <v>569</v>
          </cell>
          <cell r="C611" t="str">
            <v>Kabel NYY 4 x 10   Supreme (1 rol = 50 m')</v>
          </cell>
          <cell r="D611" t="str">
            <v>m'</v>
          </cell>
          <cell r="E611">
            <v>16500</v>
          </cell>
        </row>
        <row r="612">
          <cell r="A612" t="str">
            <v>BZ42</v>
          </cell>
          <cell r="B612">
            <v>570</v>
          </cell>
          <cell r="C612" t="str">
            <v>Kabel NYY 4 x 16   Supreme (1 rol = 50 m')</v>
          </cell>
          <cell r="D612" t="str">
            <v>m'</v>
          </cell>
          <cell r="E612">
            <v>26325</v>
          </cell>
        </row>
        <row r="613">
          <cell r="B613">
            <v>571</v>
          </cell>
          <cell r="C613" t="str">
            <v>Kabel Tembaga</v>
          </cell>
          <cell r="D613" t="str">
            <v>Kg</v>
          </cell>
          <cell r="E613">
            <v>33800</v>
          </cell>
        </row>
        <row r="614">
          <cell r="B614">
            <v>572</v>
          </cell>
          <cell r="C614" t="str">
            <v>Kabel Tik 2 10 mm</v>
          </cell>
          <cell r="D614" t="str">
            <v>m'</v>
          </cell>
          <cell r="E614">
            <v>11250</v>
          </cell>
        </row>
        <row r="615">
          <cell r="A615" t="str">
            <v>BZ43</v>
          </cell>
          <cell r="B615">
            <v>573</v>
          </cell>
          <cell r="C615" t="str">
            <v>NSFB FUJI EA - 100 A</v>
          </cell>
          <cell r="D615" t="str">
            <v>bh</v>
          </cell>
          <cell r="E615">
            <v>522000</v>
          </cell>
        </row>
        <row r="616">
          <cell r="A616" t="str">
            <v>BZ44</v>
          </cell>
          <cell r="B616">
            <v>574</v>
          </cell>
          <cell r="C616" t="str">
            <v>NSFB FUJI EA - 150 A</v>
          </cell>
          <cell r="D616" t="str">
            <v>bh</v>
          </cell>
          <cell r="E616">
            <v>1350000</v>
          </cell>
        </row>
        <row r="617">
          <cell r="A617" t="str">
            <v>BZ45</v>
          </cell>
          <cell r="B617">
            <v>575</v>
          </cell>
          <cell r="C617" t="str">
            <v>Rumah Panel 30 x 60 cm (kosong)</v>
          </cell>
          <cell r="D617" t="str">
            <v>unt</v>
          </cell>
          <cell r="E617">
            <v>92000</v>
          </cell>
        </row>
        <row r="618">
          <cell r="A618" t="str">
            <v>BZ46</v>
          </cell>
          <cell r="B618">
            <v>576</v>
          </cell>
          <cell r="C618" t="str">
            <v>Skring Kas 2 grop Biasa</v>
          </cell>
          <cell r="D618" t="str">
            <v>unt</v>
          </cell>
          <cell r="E618">
            <v>106225</v>
          </cell>
        </row>
        <row r="619">
          <cell r="A619" t="str">
            <v>BZ47</v>
          </cell>
          <cell r="B619">
            <v>577</v>
          </cell>
          <cell r="C619" t="str">
            <v>Skring Kas 3 grop Biasa</v>
          </cell>
          <cell r="D619" t="str">
            <v>unt</v>
          </cell>
          <cell r="E619">
            <v>134400</v>
          </cell>
        </row>
        <row r="620">
          <cell r="A620" t="str">
            <v>BZ48</v>
          </cell>
          <cell r="B620">
            <v>578</v>
          </cell>
          <cell r="C620" t="str">
            <v>Skring Kas 5 grop Biasa</v>
          </cell>
          <cell r="D620" t="str">
            <v>unt</v>
          </cell>
          <cell r="E620">
            <v>282500</v>
          </cell>
        </row>
        <row r="621">
          <cell r="B621">
            <v>579</v>
          </cell>
          <cell r="C621" t="str">
            <v>MCB Mercury</v>
          </cell>
          <cell r="D621" t="str">
            <v>bh</v>
          </cell>
          <cell r="E621">
            <v>55225</v>
          </cell>
        </row>
        <row r="622">
          <cell r="A622" t="str">
            <v>BZ49</v>
          </cell>
          <cell r="B622">
            <v>580</v>
          </cell>
          <cell r="C622" t="str">
            <v>MCB 1 PAS</v>
          </cell>
          <cell r="D622" t="str">
            <v>bh</v>
          </cell>
          <cell r="E622">
            <v>31225</v>
          </cell>
        </row>
        <row r="623">
          <cell r="A623" t="str">
            <v>BZ50</v>
          </cell>
          <cell r="B623">
            <v>581</v>
          </cell>
          <cell r="C623" t="str">
            <v>MCB 3 PAS</v>
          </cell>
          <cell r="D623" t="str">
            <v>bh</v>
          </cell>
          <cell r="E623">
            <v>52750</v>
          </cell>
        </row>
        <row r="624">
          <cell r="A624" t="str">
            <v>BZ51</v>
          </cell>
          <cell r="B624">
            <v>582</v>
          </cell>
          <cell r="C624" t="str">
            <v>Tahanan 50 A Merk Fuji</v>
          </cell>
          <cell r="D624" t="str">
            <v>bh</v>
          </cell>
          <cell r="E624">
            <v>318000</v>
          </cell>
        </row>
        <row r="625">
          <cell r="B625">
            <v>583</v>
          </cell>
          <cell r="C625" t="str">
            <v>Saklar Tunggal Biasa</v>
          </cell>
          <cell r="D625" t="str">
            <v>bh</v>
          </cell>
          <cell r="E625">
            <v>3625</v>
          </cell>
        </row>
        <row r="626">
          <cell r="B626">
            <v>584</v>
          </cell>
          <cell r="C626" t="str">
            <v>Saklar Ganda Biasa</v>
          </cell>
          <cell r="D626" t="str">
            <v>bh</v>
          </cell>
          <cell r="E626">
            <v>6000</v>
          </cell>
        </row>
        <row r="627">
          <cell r="B627">
            <v>585</v>
          </cell>
          <cell r="C627" t="str">
            <v>Saklar Magnet 25 PK</v>
          </cell>
          <cell r="D627" t="str">
            <v>bh</v>
          </cell>
          <cell r="E627">
            <v>798500</v>
          </cell>
        </row>
        <row r="628">
          <cell r="A628" t="str">
            <v>BZ53</v>
          </cell>
          <cell r="B628">
            <v>1</v>
          </cell>
          <cell r="C628" t="str">
            <v>Saklar Broko Tunggal Standard ( 1 Phase )</v>
          </cell>
          <cell r="D628" t="str">
            <v>bh</v>
          </cell>
          <cell r="E628">
            <v>9825</v>
          </cell>
        </row>
        <row r="629">
          <cell r="A629" t="str">
            <v>BZ54</v>
          </cell>
          <cell r="B629">
            <v>2</v>
          </cell>
          <cell r="C629" t="str">
            <v>Saklar Broko Seri Standard ( 1 Phase )</v>
          </cell>
          <cell r="D629" t="str">
            <v>bh</v>
          </cell>
          <cell r="E629">
            <v>14000</v>
          </cell>
        </row>
        <row r="630">
          <cell r="B630">
            <v>588</v>
          </cell>
          <cell r="C630" t="str">
            <v>Stop Kontak Biasa</v>
          </cell>
          <cell r="D630" t="str">
            <v>bh</v>
          </cell>
          <cell r="E630">
            <v>6000</v>
          </cell>
        </row>
        <row r="631">
          <cell r="B631">
            <v>589</v>
          </cell>
          <cell r="C631" t="str">
            <v>Stop Kontak Putar</v>
          </cell>
          <cell r="D631" t="str">
            <v>bh</v>
          </cell>
          <cell r="E631">
            <v>19750</v>
          </cell>
        </row>
        <row r="632">
          <cell r="A632" t="str">
            <v>BZ55</v>
          </cell>
          <cell r="B632">
            <v>3</v>
          </cell>
          <cell r="C632" t="str">
            <v>Stop Kontak Broko Standard ( 1 Phase )</v>
          </cell>
          <cell r="D632" t="str">
            <v>bh</v>
          </cell>
          <cell r="E632">
            <v>14000</v>
          </cell>
        </row>
        <row r="633">
          <cell r="A633" t="str">
            <v>BZ56</v>
          </cell>
          <cell r="B633">
            <v>4</v>
          </cell>
          <cell r="C633" t="str">
            <v xml:space="preserve">Stop Kontak Broko 3 Phase ( Out Bow )  </v>
          </cell>
          <cell r="D633" t="str">
            <v>bh</v>
          </cell>
          <cell r="E633">
            <v>54600</v>
          </cell>
        </row>
        <row r="634">
          <cell r="A634" t="str">
            <v>BZ57</v>
          </cell>
          <cell r="B634">
            <v>5</v>
          </cell>
          <cell r="C634" t="str">
            <v xml:space="preserve">Stop Kontak Broko 3 Phase ( In Bow )  </v>
          </cell>
          <cell r="D634" t="str">
            <v>bh</v>
          </cell>
          <cell r="E634">
            <v>93125</v>
          </cell>
        </row>
        <row r="635">
          <cell r="A635" t="str">
            <v>BZ58</v>
          </cell>
          <cell r="B635">
            <v>6</v>
          </cell>
          <cell r="C635" t="str">
            <v xml:space="preserve">Stop Kontak Handle 3 Phase  </v>
          </cell>
          <cell r="D635" t="str">
            <v>bh</v>
          </cell>
          <cell r="E635">
            <v>56500</v>
          </cell>
        </row>
        <row r="636">
          <cell r="A636" t="str">
            <v>BZ59</v>
          </cell>
          <cell r="B636">
            <v>7</v>
          </cell>
          <cell r="C636" t="str">
            <v>Instalasi Titik Lampu / Stop Kontak ( Upah dan Alat )</v>
          </cell>
          <cell r="D636" t="str">
            <v>ttk</v>
          </cell>
          <cell r="E636">
            <v>61500</v>
          </cell>
        </row>
        <row r="637">
          <cell r="A637" t="str">
            <v>BZ60</v>
          </cell>
          <cell r="B637">
            <v>595</v>
          </cell>
          <cell r="C637" t="str">
            <v>Lampu pijar 25 Watt s/d 100 Watt</v>
          </cell>
          <cell r="D637" t="str">
            <v>bh</v>
          </cell>
          <cell r="E637">
            <v>4950</v>
          </cell>
        </row>
        <row r="638">
          <cell r="A638" t="str">
            <v>BZ61</v>
          </cell>
          <cell r="B638">
            <v>8</v>
          </cell>
          <cell r="C638" t="str">
            <v>Lampu Neon TL Philip 20 W</v>
          </cell>
          <cell r="D638" t="str">
            <v>bh</v>
          </cell>
          <cell r="E638">
            <v>14000</v>
          </cell>
        </row>
        <row r="639">
          <cell r="A639" t="str">
            <v>BZ62</v>
          </cell>
          <cell r="B639">
            <v>597</v>
          </cell>
          <cell r="C639" t="str">
            <v>Lampu Neon TL Philip 40 W</v>
          </cell>
          <cell r="D639" t="str">
            <v>bh</v>
          </cell>
          <cell r="E639">
            <v>16850</v>
          </cell>
        </row>
        <row r="640">
          <cell r="A640" t="str">
            <v>BZ63</v>
          </cell>
          <cell r="B640">
            <v>598</v>
          </cell>
          <cell r="C640" t="str">
            <v>Trapo TL 20 W ( Philip )</v>
          </cell>
          <cell r="D640" t="str">
            <v>bh</v>
          </cell>
          <cell r="E640">
            <v>20500</v>
          </cell>
        </row>
        <row r="641">
          <cell r="A641" t="str">
            <v>BZ64</v>
          </cell>
          <cell r="B641">
            <v>599</v>
          </cell>
          <cell r="C641" t="str">
            <v>Trapo TL 40 W ( Philip )</v>
          </cell>
          <cell r="D641" t="str">
            <v>bh</v>
          </cell>
          <cell r="E641">
            <v>22550</v>
          </cell>
        </row>
        <row r="642">
          <cell r="A642" t="str">
            <v>BZ65</v>
          </cell>
          <cell r="B642">
            <v>600</v>
          </cell>
          <cell r="C642" t="str">
            <v>Trapo TL 20 W ( Sinar )</v>
          </cell>
          <cell r="D642" t="str">
            <v>bh</v>
          </cell>
          <cell r="E642">
            <v>21400</v>
          </cell>
        </row>
        <row r="643">
          <cell r="A643" t="str">
            <v>BZ66</v>
          </cell>
          <cell r="B643">
            <v>601</v>
          </cell>
          <cell r="C643" t="str">
            <v>Trapo TL 40 W ( Sinar )</v>
          </cell>
          <cell r="D643" t="str">
            <v>bh</v>
          </cell>
          <cell r="E643">
            <v>20350</v>
          </cell>
        </row>
        <row r="644">
          <cell r="B644">
            <v>602</v>
          </cell>
          <cell r="C644" t="str">
            <v>Trapo Ballas</v>
          </cell>
          <cell r="D644" t="str">
            <v>bh</v>
          </cell>
          <cell r="E644">
            <v>241375</v>
          </cell>
        </row>
        <row r="645">
          <cell r="A645" t="str">
            <v>BZ67</v>
          </cell>
          <cell r="B645">
            <v>603</v>
          </cell>
          <cell r="C645" t="str">
            <v>Stater Neon Philip</v>
          </cell>
          <cell r="D645" t="str">
            <v>bh</v>
          </cell>
          <cell r="E645">
            <v>3500</v>
          </cell>
        </row>
        <row r="646">
          <cell r="A646" t="str">
            <v>BZ68</v>
          </cell>
          <cell r="B646">
            <v>604</v>
          </cell>
          <cell r="C646" t="str">
            <v>Stater Neon Biasa</v>
          </cell>
          <cell r="D646" t="str">
            <v>bh</v>
          </cell>
          <cell r="E646">
            <v>1400</v>
          </cell>
        </row>
        <row r="647">
          <cell r="A647" t="str">
            <v>BZ69</v>
          </cell>
          <cell r="B647">
            <v>605</v>
          </cell>
          <cell r="C647" t="str">
            <v>Rumah TL In Bow / Out Bow 2 x 20 W ( Kosongan )</v>
          </cell>
          <cell r="D647" t="str">
            <v>bh</v>
          </cell>
          <cell r="E647">
            <v>70200</v>
          </cell>
        </row>
        <row r="648">
          <cell r="A648" t="str">
            <v>BZ70</v>
          </cell>
          <cell r="B648">
            <v>606</v>
          </cell>
          <cell r="C648" t="str">
            <v>Down Light + SL 25 W</v>
          </cell>
          <cell r="D648" t="str">
            <v>bh</v>
          </cell>
          <cell r="E648">
            <v>185500</v>
          </cell>
        </row>
        <row r="649">
          <cell r="A649" t="str">
            <v>BZ71</v>
          </cell>
          <cell r="B649">
            <v>607</v>
          </cell>
          <cell r="C649" t="str">
            <v>Lampu SL Philip 25 W</v>
          </cell>
          <cell r="D649" t="str">
            <v>bh</v>
          </cell>
          <cell r="E649">
            <v>66500</v>
          </cell>
        </row>
        <row r="650">
          <cell r="A650" t="str">
            <v>BZ72</v>
          </cell>
          <cell r="B650">
            <v>608</v>
          </cell>
          <cell r="C650" t="str">
            <v>Lampu Sirkel TL 20 W Lengkap</v>
          </cell>
          <cell r="D650" t="str">
            <v>bh</v>
          </cell>
          <cell r="E650">
            <v>42500</v>
          </cell>
        </row>
        <row r="651">
          <cell r="A651" t="str">
            <v>BZ73</v>
          </cell>
          <cell r="B651">
            <v>9</v>
          </cell>
          <cell r="C651" t="str">
            <v>Lampu Mercuri 80 W</v>
          </cell>
          <cell r="D651" t="str">
            <v>bh</v>
          </cell>
          <cell r="E651">
            <v>86000</v>
          </cell>
        </row>
        <row r="652">
          <cell r="A652" t="str">
            <v>BZ74</v>
          </cell>
          <cell r="B652">
            <v>10</v>
          </cell>
          <cell r="C652" t="str">
            <v>Lampu Mercuri 250 W</v>
          </cell>
          <cell r="D652" t="str">
            <v>bh</v>
          </cell>
          <cell r="E652">
            <v>113000</v>
          </cell>
        </row>
        <row r="653">
          <cell r="A653" t="str">
            <v>BZ75</v>
          </cell>
          <cell r="B653">
            <v>11</v>
          </cell>
          <cell r="C653" t="str">
            <v>Lampu Son 150 W</v>
          </cell>
          <cell r="D653" t="str">
            <v>bh</v>
          </cell>
          <cell r="E653">
            <v>160000</v>
          </cell>
        </row>
        <row r="654">
          <cell r="A654" t="str">
            <v>BZ76</v>
          </cell>
          <cell r="B654">
            <v>12</v>
          </cell>
          <cell r="C654" t="str">
            <v xml:space="preserve">Lampu Taman + Tiang + Lampu 1 Buah </v>
          </cell>
          <cell r="D654" t="str">
            <v>bh</v>
          </cell>
          <cell r="E654">
            <v>484350</v>
          </cell>
        </row>
        <row r="655">
          <cell r="A655" t="str">
            <v>BZ77</v>
          </cell>
          <cell r="B655">
            <v>613</v>
          </cell>
          <cell r="C655" t="str">
            <v>Lampu Baret 30 cm + Neon</v>
          </cell>
          <cell r="D655" t="str">
            <v>bh</v>
          </cell>
          <cell r="E655">
            <v>65000</v>
          </cell>
        </row>
        <row r="656">
          <cell r="A656" t="str">
            <v>BZ78</v>
          </cell>
          <cell r="B656">
            <v>614</v>
          </cell>
          <cell r="C656" t="str">
            <v xml:space="preserve">Lampu Neon Arcrilik 2 x 40 W lengkap </v>
          </cell>
          <cell r="D656" t="str">
            <v>bh</v>
          </cell>
          <cell r="E656">
            <v>14150</v>
          </cell>
        </row>
        <row r="657">
          <cell r="A657" t="str">
            <v>BZ79</v>
          </cell>
          <cell r="B657">
            <v>615</v>
          </cell>
          <cell r="C657" t="str">
            <v>Pentanahan Penangkal Petir</v>
          </cell>
          <cell r="D657" t="str">
            <v>ttk</v>
          </cell>
          <cell r="E657">
            <v>273500</v>
          </cell>
        </row>
        <row r="658">
          <cell r="A658" t="str">
            <v>BZ80</v>
          </cell>
          <cell r="B658">
            <v>616</v>
          </cell>
          <cell r="C658" t="str">
            <v>Pentanahan Panel</v>
          </cell>
          <cell r="D658" t="str">
            <v>ttk</v>
          </cell>
          <cell r="E658">
            <v>118200</v>
          </cell>
        </row>
        <row r="659">
          <cell r="B659">
            <v>617</v>
          </cell>
          <cell r="C659" t="str">
            <v xml:space="preserve">Pipa Penangkal Petir </v>
          </cell>
          <cell r="D659" t="str">
            <v>bh</v>
          </cell>
          <cell r="E659">
            <v>21150</v>
          </cell>
        </row>
        <row r="660">
          <cell r="B660">
            <v>13</v>
          </cell>
          <cell r="C660" t="str">
            <v>Box Sekering</v>
          </cell>
          <cell r="D660" t="str">
            <v>bh</v>
          </cell>
          <cell r="E660">
            <v>20500</v>
          </cell>
        </row>
        <row r="661">
          <cell r="B661">
            <v>14</v>
          </cell>
          <cell r="C661" t="str">
            <v>Box Lampu Mercury</v>
          </cell>
          <cell r="D661" t="str">
            <v>bh</v>
          </cell>
          <cell r="E661">
            <v>30300</v>
          </cell>
        </row>
        <row r="662">
          <cell r="B662">
            <v>15</v>
          </cell>
          <cell r="C662" t="str">
            <v>Terminal Kabel</v>
          </cell>
          <cell r="D662" t="str">
            <v>bh</v>
          </cell>
          <cell r="E662">
            <v>7700</v>
          </cell>
        </row>
        <row r="663">
          <cell r="B663">
            <v>16</v>
          </cell>
          <cell r="C663" t="str">
            <v>Tangkai Box lampu 3 m</v>
          </cell>
          <cell r="D663" t="str">
            <v>bh</v>
          </cell>
          <cell r="E663">
            <v>278000</v>
          </cell>
        </row>
        <row r="664">
          <cell r="B664">
            <v>622</v>
          </cell>
          <cell r="C664" t="str">
            <v>Stainless steel</v>
          </cell>
          <cell r="D664" t="str">
            <v>m</v>
          </cell>
          <cell r="E664">
            <v>11000</v>
          </cell>
        </row>
        <row r="665">
          <cell r="B665">
            <v>623</v>
          </cell>
          <cell r="C665" t="str">
            <v>Capasitor</v>
          </cell>
          <cell r="D665" t="str">
            <v>bh</v>
          </cell>
          <cell r="E665">
            <v>70000</v>
          </cell>
        </row>
        <row r="666">
          <cell r="B666">
            <v>624</v>
          </cell>
          <cell r="C666" t="str">
            <v>Link Buckle</v>
          </cell>
          <cell r="D666" t="str">
            <v>bh</v>
          </cell>
          <cell r="E666">
            <v>4500</v>
          </cell>
        </row>
        <row r="667">
          <cell r="B667">
            <v>625</v>
          </cell>
          <cell r="C667" t="str">
            <v>Stoping Buckle</v>
          </cell>
          <cell r="D667" t="str">
            <v>bh</v>
          </cell>
          <cell r="E667">
            <v>4500</v>
          </cell>
        </row>
        <row r="668">
          <cell r="B668">
            <v>626</v>
          </cell>
          <cell r="C668" t="str">
            <v>Wed Clem</v>
          </cell>
          <cell r="D668" t="str">
            <v>bh</v>
          </cell>
          <cell r="E668">
            <v>12000</v>
          </cell>
        </row>
        <row r="669">
          <cell r="B669">
            <v>17</v>
          </cell>
          <cell r="C669" t="str">
            <v>Tiang Besi 7m</v>
          </cell>
          <cell r="D669" t="str">
            <v>bh</v>
          </cell>
          <cell r="E669">
            <v>1175000</v>
          </cell>
        </row>
        <row r="670">
          <cell r="B670">
            <v>628</v>
          </cell>
          <cell r="C670" t="str">
            <v>Ignitor SN</v>
          </cell>
          <cell r="D670" t="str">
            <v>bh</v>
          </cell>
          <cell r="E670">
            <v>105000</v>
          </cell>
        </row>
        <row r="671">
          <cell r="B671">
            <v>629</v>
          </cell>
          <cell r="C671" t="str">
            <v>Tap Connector</v>
          </cell>
          <cell r="D671" t="str">
            <v>bh</v>
          </cell>
          <cell r="E671">
            <v>9500</v>
          </cell>
        </row>
        <row r="672">
          <cell r="B672">
            <v>630</v>
          </cell>
          <cell r="C672" t="str">
            <v>Foto Cell 6 Ampere</v>
          </cell>
          <cell r="D672" t="str">
            <v>bh</v>
          </cell>
          <cell r="E672">
            <v>117000</v>
          </cell>
        </row>
        <row r="674">
          <cell r="B674" t="str">
            <v>M</v>
          </cell>
          <cell r="C674" t="str">
            <v>BAHAN ALAT PENGANTUNG DAN KUNCI</v>
          </cell>
        </row>
        <row r="675">
          <cell r="A675" t="str">
            <v>CC01</v>
          </cell>
          <cell r="B675">
            <v>631</v>
          </cell>
          <cell r="C675" t="str">
            <v>Kunci Silinder ALFA untuk Pintu Alumunium</v>
          </cell>
          <cell r="D675" t="str">
            <v>bh</v>
          </cell>
          <cell r="E675">
            <v>185000</v>
          </cell>
        </row>
        <row r="676">
          <cell r="A676" t="str">
            <v>CC02</v>
          </cell>
          <cell r="B676">
            <v>632</v>
          </cell>
          <cell r="C676" t="str">
            <v xml:space="preserve">Tarikan Pintu </v>
          </cell>
          <cell r="D676" t="str">
            <v>bh</v>
          </cell>
          <cell r="E676">
            <v>40500</v>
          </cell>
        </row>
        <row r="677">
          <cell r="A677" t="str">
            <v>CC03</v>
          </cell>
          <cell r="B677">
            <v>633</v>
          </cell>
          <cell r="C677" t="str">
            <v xml:space="preserve">Kunci 2 Slaag ROYAL </v>
          </cell>
          <cell r="D677" t="str">
            <v>bh</v>
          </cell>
          <cell r="E677">
            <v>55000</v>
          </cell>
        </row>
        <row r="678">
          <cell r="A678" t="str">
            <v>CC04</v>
          </cell>
          <cell r="B678">
            <v>634</v>
          </cell>
          <cell r="C678" t="str">
            <v>Rel Henderson Lengkap</v>
          </cell>
          <cell r="D678" t="str">
            <v>bh</v>
          </cell>
          <cell r="E678">
            <v>556500</v>
          </cell>
        </row>
        <row r="679">
          <cell r="A679" t="str">
            <v>CC05</v>
          </cell>
          <cell r="B679">
            <v>635</v>
          </cell>
          <cell r="C679" t="str">
            <v>Rel Maraton I Pintu</v>
          </cell>
          <cell r="D679" t="str">
            <v>unt</v>
          </cell>
          <cell r="E679">
            <v>61500</v>
          </cell>
        </row>
        <row r="680">
          <cell r="A680" t="str">
            <v>CC06</v>
          </cell>
          <cell r="B680">
            <v>636</v>
          </cell>
          <cell r="C680" t="str">
            <v xml:space="preserve">Kunci 2 Slaag Silinder SEIS Asli type 210 s/d type 226 </v>
          </cell>
          <cell r="D680" t="str">
            <v>bh</v>
          </cell>
          <cell r="E680">
            <v>192000</v>
          </cell>
        </row>
        <row r="681">
          <cell r="A681" t="str">
            <v>CC07</v>
          </cell>
          <cell r="B681">
            <v>637</v>
          </cell>
          <cell r="C681" t="str">
            <v>Kunci 2 Slaag Ancor Asli</v>
          </cell>
          <cell r="D681" t="str">
            <v>bh</v>
          </cell>
          <cell r="E681">
            <v>80000</v>
          </cell>
        </row>
        <row r="682">
          <cell r="A682" t="str">
            <v>CC08</v>
          </cell>
          <cell r="B682">
            <v>1</v>
          </cell>
          <cell r="C682" t="str">
            <v>Kunci 2 Slaag ISO</v>
          </cell>
          <cell r="D682" t="str">
            <v>bh</v>
          </cell>
          <cell r="E682">
            <v>92000</v>
          </cell>
        </row>
        <row r="683">
          <cell r="A683" t="str">
            <v>CC09</v>
          </cell>
          <cell r="B683">
            <v>639</v>
          </cell>
          <cell r="C683" t="str">
            <v xml:space="preserve">Kunci KM Bulat Kualitas Biasa </v>
          </cell>
          <cell r="D683" t="str">
            <v>bh</v>
          </cell>
          <cell r="E683">
            <v>37000</v>
          </cell>
        </row>
        <row r="684">
          <cell r="A684" t="str">
            <v>CC10</v>
          </cell>
          <cell r="B684">
            <v>640</v>
          </cell>
          <cell r="C684" t="str">
            <v xml:space="preserve">Kunci  KM Bulat Sekwalitas ALFA </v>
          </cell>
          <cell r="D684" t="str">
            <v>bh</v>
          </cell>
          <cell r="E684">
            <v>24500</v>
          </cell>
        </row>
        <row r="685">
          <cell r="A685" t="str">
            <v>CC11</v>
          </cell>
          <cell r="B685">
            <v>641</v>
          </cell>
          <cell r="C685" t="str">
            <v xml:space="preserve">Kunci 2 Slaag Silinder Utama Standard </v>
          </cell>
          <cell r="D685" t="str">
            <v>bh</v>
          </cell>
          <cell r="E685">
            <v>154000</v>
          </cell>
        </row>
        <row r="686">
          <cell r="A686" t="str">
            <v>CC12</v>
          </cell>
          <cell r="B686">
            <v>642</v>
          </cell>
          <cell r="C686" t="str">
            <v xml:space="preserve">Kunci Gembok </v>
          </cell>
          <cell r="D686" t="str">
            <v>bh</v>
          </cell>
          <cell r="E686">
            <v>9500</v>
          </cell>
        </row>
        <row r="687">
          <cell r="B687">
            <v>643</v>
          </cell>
          <cell r="C687" t="str">
            <v>Kunci tanam Slaag Royal</v>
          </cell>
          <cell r="D687" t="str">
            <v>bh</v>
          </cell>
          <cell r="E687">
            <v>78500</v>
          </cell>
        </row>
        <row r="688">
          <cell r="B688">
            <v>644</v>
          </cell>
          <cell r="C688" t="str">
            <v>Kunci tanam Slaag Ancor</v>
          </cell>
          <cell r="D688" t="str">
            <v>bh</v>
          </cell>
          <cell r="E688">
            <v>62000</v>
          </cell>
        </row>
        <row r="689">
          <cell r="A689" t="str">
            <v>CC13</v>
          </cell>
          <cell r="B689">
            <v>645</v>
          </cell>
          <cell r="C689" t="str">
            <v xml:space="preserve">Kunci 2 Slaag Kuda Terbang </v>
          </cell>
          <cell r="D689" t="str">
            <v>bh</v>
          </cell>
          <cell r="E689">
            <v>50000</v>
          </cell>
        </row>
        <row r="690">
          <cell r="B690">
            <v>646</v>
          </cell>
          <cell r="C690" t="str">
            <v>Kunci Jendela</v>
          </cell>
          <cell r="D690" t="str">
            <v>bh</v>
          </cell>
          <cell r="E690">
            <v>9500</v>
          </cell>
        </row>
        <row r="691">
          <cell r="A691" t="str">
            <v>CC14</v>
          </cell>
          <cell r="B691">
            <v>647</v>
          </cell>
          <cell r="C691" t="str">
            <v>Espangolet</v>
          </cell>
          <cell r="D691" t="str">
            <v>ps</v>
          </cell>
          <cell r="E691">
            <v>46000</v>
          </cell>
        </row>
        <row r="692">
          <cell r="B692">
            <v>648</v>
          </cell>
          <cell r="C692" t="str">
            <v>Grendel Hitam Biasa 15 cm</v>
          </cell>
          <cell r="D692" t="str">
            <v>bh</v>
          </cell>
          <cell r="E692">
            <v>6000</v>
          </cell>
        </row>
        <row r="693">
          <cell r="A693" t="str">
            <v>CC15</v>
          </cell>
          <cell r="B693">
            <v>649</v>
          </cell>
          <cell r="C693" t="str">
            <v>Grendel 15 cm</v>
          </cell>
          <cell r="D693" t="str">
            <v>bh</v>
          </cell>
          <cell r="E693">
            <v>9850</v>
          </cell>
        </row>
        <row r="694">
          <cell r="A694" t="str">
            <v>CC16</v>
          </cell>
          <cell r="B694">
            <v>650</v>
          </cell>
          <cell r="C694" t="str">
            <v>Grendel 5 cm  biasa</v>
          </cell>
          <cell r="D694" t="str">
            <v>bh</v>
          </cell>
          <cell r="E694">
            <v>2500</v>
          </cell>
        </row>
        <row r="695">
          <cell r="A695" t="str">
            <v>CC17</v>
          </cell>
          <cell r="B695">
            <v>2</v>
          </cell>
          <cell r="C695" t="str">
            <v>Hak Angin Kait Jendela Biasa</v>
          </cell>
          <cell r="D695" t="str">
            <v>ps</v>
          </cell>
          <cell r="E695">
            <v>6000</v>
          </cell>
        </row>
        <row r="696">
          <cell r="A696" t="str">
            <v>CC18</v>
          </cell>
          <cell r="B696">
            <v>652</v>
          </cell>
          <cell r="C696" t="str">
            <v>Hak Angin Jendela Antik</v>
          </cell>
          <cell r="D696" t="str">
            <v>ps</v>
          </cell>
          <cell r="E696">
            <v>15000</v>
          </cell>
        </row>
        <row r="697">
          <cell r="A697" t="str">
            <v>CC19</v>
          </cell>
          <cell r="B697">
            <v>653</v>
          </cell>
          <cell r="C697" t="str">
            <v>Hak Angin Sendok Stainless / Kuningan</v>
          </cell>
          <cell r="D697" t="str">
            <v>bh</v>
          </cell>
          <cell r="E697">
            <v>15000</v>
          </cell>
        </row>
        <row r="698">
          <cell r="A698" t="str">
            <v>CC20</v>
          </cell>
          <cell r="B698">
            <v>654</v>
          </cell>
          <cell r="C698" t="str">
            <v>Nako Lengkap Tralis 1 Daun</v>
          </cell>
          <cell r="D698" t="str">
            <v>dn</v>
          </cell>
          <cell r="E698">
            <v>12500</v>
          </cell>
        </row>
        <row r="699">
          <cell r="A699" t="str">
            <v>CC21</v>
          </cell>
          <cell r="B699">
            <v>655</v>
          </cell>
          <cell r="C699" t="str">
            <v>Sloot Pintu berikut  Rantai</v>
          </cell>
          <cell r="D699" t="str">
            <v>bh</v>
          </cell>
          <cell r="E699">
            <v>21500</v>
          </cell>
        </row>
        <row r="700">
          <cell r="A700" t="str">
            <v>CC22</v>
          </cell>
          <cell r="B700">
            <v>3</v>
          </cell>
          <cell r="C700" t="str">
            <v>Sloot Jendela Tunggal</v>
          </cell>
          <cell r="D700" t="str">
            <v>bh</v>
          </cell>
          <cell r="E700">
            <v>8000</v>
          </cell>
        </row>
        <row r="701">
          <cell r="B701">
            <v>657</v>
          </cell>
          <cell r="C701" t="str">
            <v>Engsel Pintu Biasa</v>
          </cell>
          <cell r="D701" t="str">
            <v>bh</v>
          </cell>
          <cell r="E701">
            <v>11000</v>
          </cell>
        </row>
        <row r="702">
          <cell r="A702" t="str">
            <v>CC23</v>
          </cell>
          <cell r="B702">
            <v>4</v>
          </cell>
          <cell r="C702" t="str">
            <v>Engsel Pintu Unilon Standard</v>
          </cell>
          <cell r="D702" t="str">
            <v>ps</v>
          </cell>
          <cell r="E702">
            <v>16500</v>
          </cell>
        </row>
        <row r="703">
          <cell r="B703">
            <v>659</v>
          </cell>
          <cell r="C703" t="str">
            <v>Engsel Jendela Biasa</v>
          </cell>
          <cell r="D703" t="str">
            <v>bh</v>
          </cell>
          <cell r="E703">
            <v>6700</v>
          </cell>
        </row>
        <row r="704">
          <cell r="A704" t="str">
            <v>CC24</v>
          </cell>
          <cell r="B704">
            <v>5</v>
          </cell>
          <cell r="C704" t="str">
            <v>Engsel Jendela Unilon</v>
          </cell>
          <cell r="D704" t="str">
            <v>ps</v>
          </cell>
          <cell r="E704">
            <v>8000</v>
          </cell>
        </row>
        <row r="705">
          <cell r="A705" t="str">
            <v>CC25</v>
          </cell>
          <cell r="B705">
            <v>661</v>
          </cell>
          <cell r="C705" t="str">
            <v>Engsel Patrun</v>
          </cell>
          <cell r="D705" t="str">
            <v>ps</v>
          </cell>
          <cell r="E705">
            <v>5000</v>
          </cell>
        </row>
        <row r="706">
          <cell r="A706" t="str">
            <v>CC26</v>
          </cell>
          <cell r="B706">
            <v>662</v>
          </cell>
          <cell r="C706" t="str">
            <v>Engsel Harmonika</v>
          </cell>
          <cell r="D706" t="str">
            <v>m1</v>
          </cell>
          <cell r="E706">
            <v>10500</v>
          </cell>
        </row>
        <row r="707">
          <cell r="A707" t="str">
            <v>CC27</v>
          </cell>
          <cell r="B707">
            <v>663</v>
          </cell>
          <cell r="C707" t="str">
            <v>Door Closer Kelas Standard ( Kelas Sedang )</v>
          </cell>
          <cell r="D707" t="str">
            <v>unt</v>
          </cell>
          <cell r="E707">
            <v>117000</v>
          </cell>
        </row>
        <row r="708">
          <cell r="A708" t="str">
            <v>CC28</v>
          </cell>
          <cell r="B708">
            <v>664</v>
          </cell>
          <cell r="C708" t="str">
            <v>Door Closer Kelas Standard ( Kelas Baik )</v>
          </cell>
          <cell r="D708" t="str">
            <v>unt</v>
          </cell>
          <cell r="E708">
            <v>430000</v>
          </cell>
        </row>
        <row r="709">
          <cell r="A709" t="str">
            <v>CC29</v>
          </cell>
          <cell r="B709">
            <v>665</v>
          </cell>
          <cell r="C709" t="str">
            <v>Door Closer Kelas Rendah</v>
          </cell>
          <cell r="D709" t="str">
            <v>unt</v>
          </cell>
          <cell r="E709">
            <v>98500</v>
          </cell>
        </row>
        <row r="710">
          <cell r="A710" t="str">
            <v>CC30</v>
          </cell>
          <cell r="B710">
            <v>666</v>
          </cell>
          <cell r="C710" t="str">
            <v>Tarikan Almari Rata - rata</v>
          </cell>
          <cell r="D710" t="str">
            <v>bh</v>
          </cell>
          <cell r="E710">
            <v>8500</v>
          </cell>
        </row>
        <row r="711">
          <cell r="A711" t="str">
            <v>CC31</v>
          </cell>
          <cell r="B711">
            <v>6</v>
          </cell>
          <cell r="C711" t="str">
            <v>Seng BJLS 30 lebar 60cm (1 rol 50 m' )</v>
          </cell>
          <cell r="D711" t="str">
            <v>m1</v>
          </cell>
          <cell r="E711">
            <v>23900</v>
          </cell>
        </row>
        <row r="712">
          <cell r="A712" t="str">
            <v>CC32</v>
          </cell>
          <cell r="B712">
            <v>668</v>
          </cell>
          <cell r="C712" t="str">
            <v>Seng BJLS 30 lebar 90cm (1 rol 50 m' )</v>
          </cell>
          <cell r="D712" t="str">
            <v>m1</v>
          </cell>
          <cell r="E712">
            <v>30500</v>
          </cell>
        </row>
        <row r="713">
          <cell r="B713">
            <v>7</v>
          </cell>
          <cell r="C713" t="str">
            <v>Reiling Tangga Stainlessteel</v>
          </cell>
          <cell r="D713" t="str">
            <v>m'</v>
          </cell>
          <cell r="E713">
            <v>160000</v>
          </cell>
        </row>
        <row r="715">
          <cell r="B715" t="str">
            <v>N</v>
          </cell>
          <cell r="C715" t="str">
            <v>BAHAN PENGIKAT UNTUK KONTRUKSI JALAN</v>
          </cell>
        </row>
        <row r="716">
          <cell r="A716" t="str">
            <v>CE01</v>
          </cell>
          <cell r="B716">
            <v>670</v>
          </cell>
          <cell r="C716" t="str">
            <v>Hotmix Jadi berikut alat dan bahan bakar ( T = 5 cm  =&gt; 9 m2 )</v>
          </cell>
          <cell r="D716" t="str">
            <v>ton</v>
          </cell>
          <cell r="E716">
            <v>650000</v>
          </cell>
        </row>
        <row r="717">
          <cell r="A717" t="str">
            <v>CE02</v>
          </cell>
          <cell r="B717">
            <v>671</v>
          </cell>
          <cell r="C717" t="str">
            <v>Aspal ( ESO ) 1 Drum 150 Kg</v>
          </cell>
          <cell r="D717" t="str">
            <v>kg</v>
          </cell>
          <cell r="E717">
            <v>5000</v>
          </cell>
        </row>
        <row r="718">
          <cell r="A718" t="str">
            <v>CE03</v>
          </cell>
          <cell r="B718">
            <v>672</v>
          </cell>
          <cell r="C718" t="str">
            <v>Aspal Curah</v>
          </cell>
          <cell r="D718" t="str">
            <v>kg</v>
          </cell>
          <cell r="E718">
            <v>3500</v>
          </cell>
        </row>
        <row r="719">
          <cell r="A719" t="str">
            <v>CE04</v>
          </cell>
          <cell r="B719">
            <v>673</v>
          </cell>
          <cell r="C719" t="str">
            <v>Aspal RC 70 ( Cilacap )</v>
          </cell>
          <cell r="D719" t="str">
            <v>kg</v>
          </cell>
          <cell r="E719">
            <v>4875</v>
          </cell>
        </row>
        <row r="720">
          <cell r="B720">
            <v>1</v>
          </cell>
          <cell r="C720" t="str">
            <v>Aspal Bitumen * M061</v>
          </cell>
          <cell r="D720" t="str">
            <v>kg</v>
          </cell>
          <cell r="E720">
            <v>4875</v>
          </cell>
        </row>
        <row r="721">
          <cell r="B721">
            <v>675</v>
          </cell>
          <cell r="C721" t="str">
            <v>As Buton  *M062</v>
          </cell>
          <cell r="D721" t="str">
            <v>kg</v>
          </cell>
          <cell r="E721">
            <v>1500</v>
          </cell>
        </row>
        <row r="722">
          <cell r="B722">
            <v>676</v>
          </cell>
          <cell r="C722" t="str">
            <v>Minyak Fluk *M063</v>
          </cell>
          <cell r="D722" t="str">
            <v>Lt</v>
          </cell>
          <cell r="E722">
            <v>6370</v>
          </cell>
        </row>
        <row r="723">
          <cell r="B723">
            <v>2</v>
          </cell>
          <cell r="C723" t="str">
            <v>Minyak Aspal  *M064</v>
          </cell>
          <cell r="D723" t="str">
            <v>Lt</v>
          </cell>
          <cell r="E723">
            <v>1560</v>
          </cell>
        </row>
        <row r="724">
          <cell r="B724">
            <v>3</v>
          </cell>
          <cell r="C724" t="str">
            <v>Minyak Tanah  *M065</v>
          </cell>
          <cell r="D724" t="str">
            <v>Lt</v>
          </cell>
          <cell r="E724">
            <v>3000</v>
          </cell>
        </row>
        <row r="726">
          <cell r="B726" t="str">
            <v>R</v>
          </cell>
          <cell r="C726" t="str">
            <v>BAHAN PENGHISAP AIR SUMUR DALAM</v>
          </cell>
        </row>
        <row r="727">
          <cell r="A727" t="str">
            <v>CG01</v>
          </cell>
          <cell r="B727">
            <v>679</v>
          </cell>
          <cell r="C727" t="str">
            <v>Pompa Kodok</v>
          </cell>
          <cell r="D727" t="str">
            <v>unit</v>
          </cell>
          <cell r="E727">
            <v>155000</v>
          </cell>
        </row>
        <row r="728">
          <cell r="A728" t="str">
            <v>CG02</v>
          </cell>
          <cell r="B728">
            <v>680</v>
          </cell>
          <cell r="C728" t="str">
            <v xml:space="preserve">Pompa Dragon Tegal </v>
          </cell>
          <cell r="D728" t="str">
            <v>unit</v>
          </cell>
          <cell r="E728">
            <v>140000</v>
          </cell>
        </row>
        <row r="729">
          <cell r="A729" t="str">
            <v>CG03</v>
          </cell>
          <cell r="B729">
            <v>681</v>
          </cell>
          <cell r="C729" t="str">
            <v xml:space="preserve">Pompa Dragon Asli </v>
          </cell>
          <cell r="D729" t="str">
            <v>unit</v>
          </cell>
          <cell r="E729">
            <v>307000</v>
          </cell>
        </row>
        <row r="730">
          <cell r="A730" t="str">
            <v>CG04</v>
          </cell>
          <cell r="B730">
            <v>682</v>
          </cell>
          <cell r="C730" t="str">
            <v>Mesin Pompa Air 100 W - Sanyo</v>
          </cell>
          <cell r="D730" t="str">
            <v>unit</v>
          </cell>
          <cell r="E730">
            <v>1050000</v>
          </cell>
        </row>
        <row r="731">
          <cell r="A731" t="str">
            <v>CG05</v>
          </cell>
          <cell r="B731">
            <v>683</v>
          </cell>
          <cell r="C731" t="str">
            <v>Mesin Pompa Air 150 W - Sanyo</v>
          </cell>
          <cell r="D731" t="str">
            <v>unit</v>
          </cell>
          <cell r="E731">
            <v>1500000</v>
          </cell>
        </row>
        <row r="732">
          <cell r="A732" t="str">
            <v>CG06</v>
          </cell>
          <cell r="B732">
            <v>684</v>
          </cell>
          <cell r="C732" t="str">
            <v>Pompa Zet pump 250 W - Sanyo</v>
          </cell>
          <cell r="D732" t="str">
            <v>unit</v>
          </cell>
          <cell r="E732">
            <v>5250000</v>
          </cell>
        </row>
        <row r="733">
          <cell r="A733" t="str">
            <v>CG07</v>
          </cell>
          <cell r="B733">
            <v>685</v>
          </cell>
          <cell r="C733" t="str">
            <v>Pompa Zet pump 450 W - Sanyo</v>
          </cell>
          <cell r="D733" t="str">
            <v>unit</v>
          </cell>
          <cell r="E733">
            <v>6200000</v>
          </cell>
        </row>
        <row r="734">
          <cell r="A734" t="str">
            <v>CG08</v>
          </cell>
          <cell r="B734">
            <v>686</v>
          </cell>
          <cell r="C734" t="str">
            <v>Pompa Submersible kap. 150 liter/menit 3 kW</v>
          </cell>
          <cell r="D734" t="str">
            <v>unit</v>
          </cell>
          <cell r="E734">
            <v>22750000</v>
          </cell>
        </row>
        <row r="735">
          <cell r="A735" t="str">
            <v>CG09</v>
          </cell>
          <cell r="B735">
            <v>687</v>
          </cell>
          <cell r="C735" t="str">
            <v xml:space="preserve">Gear Pump kap. 60 liter/menit </v>
          </cell>
          <cell r="D735" t="str">
            <v>unit</v>
          </cell>
          <cell r="E735">
            <v>13000000</v>
          </cell>
        </row>
        <row r="736">
          <cell r="A736" t="str">
            <v>CG10</v>
          </cell>
          <cell r="B736">
            <v>688</v>
          </cell>
          <cell r="C736" t="str">
            <v xml:space="preserve">Deep Well dengan kelengkapannya kap. 150 liter/menit </v>
          </cell>
          <cell r="D736" t="str">
            <v>unit</v>
          </cell>
          <cell r="E736">
            <v>190000000</v>
          </cell>
        </row>
        <row r="737">
          <cell r="A737" t="str">
            <v>CG11</v>
          </cell>
          <cell r="B737">
            <v>689</v>
          </cell>
          <cell r="C737" t="str">
            <v xml:space="preserve">Hand Oil Pump </v>
          </cell>
          <cell r="D737" t="str">
            <v>unit</v>
          </cell>
          <cell r="E737">
            <v>3900000</v>
          </cell>
        </row>
        <row r="739">
          <cell r="B739" t="str">
            <v>S</v>
          </cell>
          <cell r="C739" t="str">
            <v>BAHAN PENAMPUNG AIR</v>
          </cell>
        </row>
        <row r="740">
          <cell r="A740" t="str">
            <v>CI01</v>
          </cell>
          <cell r="B740">
            <v>690</v>
          </cell>
          <cell r="C740" t="str">
            <v>Tangki Air Fiber Glass 0.5 m3 ( Excel )</v>
          </cell>
          <cell r="D740" t="str">
            <v>bh</v>
          </cell>
          <cell r="E740">
            <v>450000</v>
          </cell>
        </row>
        <row r="741">
          <cell r="A741" t="str">
            <v>CI02</v>
          </cell>
          <cell r="B741">
            <v>691</v>
          </cell>
          <cell r="C741" t="str">
            <v>Tangki Air Fiber Glass 1 m3 ( Excel )</v>
          </cell>
          <cell r="D741" t="str">
            <v>bh</v>
          </cell>
          <cell r="E741">
            <v>700000</v>
          </cell>
        </row>
        <row r="742">
          <cell r="A742" t="str">
            <v>CI03</v>
          </cell>
          <cell r="B742">
            <v>692</v>
          </cell>
          <cell r="C742" t="str">
            <v>Tangki Air Fiber Glass 2 m3 ( Excel )</v>
          </cell>
          <cell r="D742" t="str">
            <v>bh</v>
          </cell>
          <cell r="E742">
            <v>1500000</v>
          </cell>
        </row>
        <row r="743">
          <cell r="A743" t="str">
            <v>CI05</v>
          </cell>
          <cell r="B743">
            <v>693</v>
          </cell>
          <cell r="C743" t="str">
            <v>Bak Taraso WC 40 x 40</v>
          </cell>
          <cell r="D743" t="str">
            <v>bh</v>
          </cell>
          <cell r="E743">
            <v>27500</v>
          </cell>
        </row>
        <row r="744">
          <cell r="A744" t="str">
            <v>CI06</v>
          </cell>
          <cell r="B744">
            <v>694</v>
          </cell>
          <cell r="C744" t="str">
            <v>Bak KM Taraso 60 x 60</v>
          </cell>
          <cell r="D744" t="str">
            <v>bh</v>
          </cell>
          <cell r="E744">
            <v>67500</v>
          </cell>
        </row>
        <row r="746">
          <cell r="B746" t="str">
            <v>T</v>
          </cell>
          <cell r="C746" t="str">
            <v>BIAYA QUALITY CONTROL , IZIN - IZIN, PENGUKURAN</v>
          </cell>
        </row>
        <row r="747">
          <cell r="C747" t="str">
            <v>DAN BIAYA PENYAMBUNGAN</v>
          </cell>
        </row>
        <row r="748">
          <cell r="A748" t="str">
            <v>CJ01</v>
          </cell>
          <cell r="B748">
            <v>695</v>
          </cell>
          <cell r="C748" t="str">
            <v>Penyambungan Listrik PLN</v>
          </cell>
          <cell r="D748" t="str">
            <v>1w</v>
          </cell>
          <cell r="E748" t="str">
            <v>dihitung</v>
          </cell>
        </row>
        <row r="749">
          <cell r="A749" t="str">
            <v>CJ02</v>
          </cell>
          <cell r="B749">
            <v>696</v>
          </cell>
          <cell r="C749" t="str">
            <v>IMB Bertingkat Rata - rata (Rumah )</v>
          </cell>
          <cell r="D749" t="str">
            <v>m²</v>
          </cell>
          <cell r="E749" t="str">
            <v>dihitung</v>
          </cell>
        </row>
        <row r="750">
          <cell r="A750" t="str">
            <v>CJ02'</v>
          </cell>
          <cell r="B750">
            <v>697</v>
          </cell>
          <cell r="C750" t="str">
            <v>IMB Bertingkat Rata - rata (Kantor)</v>
          </cell>
          <cell r="D750" t="str">
            <v>m²</v>
          </cell>
          <cell r="E750" t="str">
            <v>dihitung</v>
          </cell>
        </row>
        <row r="751">
          <cell r="A751" t="str">
            <v>CJ03</v>
          </cell>
          <cell r="B751">
            <v>698</v>
          </cell>
          <cell r="C751" t="str">
            <v>IMB tidak bertingkat Rata - rata (Rumah / Kantor)</v>
          </cell>
          <cell r="D751" t="str">
            <v>m²</v>
          </cell>
          <cell r="E751" t="str">
            <v>dihitung</v>
          </cell>
        </row>
        <row r="752">
          <cell r="A752" t="str">
            <v>CJ04</v>
          </cell>
          <cell r="B752">
            <v>699</v>
          </cell>
          <cell r="C752" t="str">
            <v>IMB Bertingkat Rata - rata (untuk Usaha)</v>
          </cell>
          <cell r="D752" t="str">
            <v>m²</v>
          </cell>
          <cell r="E752" t="str">
            <v>dihitung</v>
          </cell>
        </row>
        <row r="753">
          <cell r="A753" t="str">
            <v>CJ05</v>
          </cell>
          <cell r="B753">
            <v>700</v>
          </cell>
          <cell r="C753" t="str">
            <v>IMB tidak bertingkat Rata - rata (untuk Usaha)</v>
          </cell>
          <cell r="D753" t="str">
            <v>m²</v>
          </cell>
          <cell r="E753" t="str">
            <v>dihitung</v>
          </cell>
        </row>
        <row r="754">
          <cell r="A754" t="str">
            <v>CJ06</v>
          </cell>
          <cell r="B754">
            <v>701</v>
          </cell>
          <cell r="C754" t="str">
            <v>Sondir Rata - rata</v>
          </cell>
          <cell r="D754" t="str">
            <v>1 ttk</v>
          </cell>
          <cell r="E754" t="str">
            <v>dihitung</v>
          </cell>
        </row>
        <row r="755">
          <cell r="A755" t="str">
            <v>CJ07</v>
          </cell>
          <cell r="B755">
            <v>702</v>
          </cell>
          <cell r="C755" t="str">
            <v>Pengukuran Site + Patok</v>
          </cell>
          <cell r="D755" t="str">
            <v>m²</v>
          </cell>
          <cell r="E755" t="str">
            <v>dihitung</v>
          </cell>
        </row>
        <row r="756">
          <cell r="A756" t="str">
            <v>CJ08</v>
          </cell>
          <cell r="B756">
            <v>703</v>
          </cell>
          <cell r="C756" t="str">
            <v>Biaya Tes Jalan ( quality control )</v>
          </cell>
          <cell r="D756" t="str">
            <v>ttk</v>
          </cell>
          <cell r="E756" t="str">
            <v>dihitung</v>
          </cell>
        </row>
        <row r="757">
          <cell r="B757">
            <v>704</v>
          </cell>
          <cell r="C757" t="str">
            <v>Biaya Tes 1 Macam Beton</v>
          </cell>
          <cell r="D757" t="str">
            <v>1 spl</v>
          </cell>
          <cell r="E757" t="str">
            <v>dihitung</v>
          </cell>
        </row>
        <row r="758">
          <cell r="A758" t="str">
            <v>CJ09</v>
          </cell>
          <cell r="B758">
            <v>705</v>
          </cell>
          <cell r="C758" t="str">
            <v>Biaya Pengujian Bahan Agregat</v>
          </cell>
          <cell r="D758" t="str">
            <v>1 spl</v>
          </cell>
          <cell r="E758" t="str">
            <v>dihitung</v>
          </cell>
        </row>
        <row r="759">
          <cell r="A759" t="str">
            <v>CJ10</v>
          </cell>
          <cell r="B759">
            <v>706</v>
          </cell>
          <cell r="C759" t="str">
            <v>Biaya Pengujian Listrik + gambar + trafo &amp; Adm</v>
          </cell>
          <cell r="D759" t="str">
            <v>1 watt</v>
          </cell>
          <cell r="E759" t="str">
            <v>dihitung</v>
          </cell>
        </row>
        <row r="760">
          <cell r="A760" t="str">
            <v>CJ11</v>
          </cell>
          <cell r="B760">
            <v>707</v>
          </cell>
          <cell r="C760" t="str">
            <v>Izin Sumur Artesis Lengkap</v>
          </cell>
          <cell r="D760" t="str">
            <v>unit</v>
          </cell>
          <cell r="E760" t="str">
            <v>dihitung</v>
          </cell>
        </row>
        <row r="761">
          <cell r="A761" t="str">
            <v>CJ12</v>
          </cell>
          <cell r="B761">
            <v>708</v>
          </cell>
          <cell r="C761" t="str">
            <v>Penyambungan PDAM untuk rumah</v>
          </cell>
          <cell r="D761" t="str">
            <v>unit</v>
          </cell>
          <cell r="E761" t="str">
            <v>dihitung</v>
          </cell>
        </row>
        <row r="762">
          <cell r="A762" t="str">
            <v>CJ13</v>
          </cell>
          <cell r="B762">
            <v>709</v>
          </cell>
          <cell r="C762" t="str">
            <v>Geolistrik</v>
          </cell>
          <cell r="D762" t="str">
            <v>1 ttk</v>
          </cell>
          <cell r="E762" t="str">
            <v>dihitung</v>
          </cell>
        </row>
        <row r="763">
          <cell r="A763" t="str">
            <v>CJ14</v>
          </cell>
          <cell r="B763">
            <v>710</v>
          </cell>
          <cell r="C763" t="str">
            <v>Geolistrik</v>
          </cell>
          <cell r="D763" t="str">
            <v>1 ttk</v>
          </cell>
          <cell r="E763" t="str">
            <v>dihitung</v>
          </cell>
        </row>
        <row r="765">
          <cell r="B765" t="str">
            <v>U</v>
          </cell>
          <cell r="C765" t="str">
            <v>ALAT TUKANG.</v>
          </cell>
        </row>
        <row r="766">
          <cell r="A766" t="str">
            <v>CL01</v>
          </cell>
          <cell r="B766">
            <v>711</v>
          </cell>
          <cell r="C766" t="str">
            <v>Palu 0,5 kg</v>
          </cell>
          <cell r="D766" t="str">
            <v>bh</v>
          </cell>
          <cell r="E766">
            <v>25000</v>
          </cell>
        </row>
        <row r="767">
          <cell r="A767" t="str">
            <v>CL02</v>
          </cell>
          <cell r="B767">
            <v>712</v>
          </cell>
          <cell r="C767" t="str">
            <v>Cangkul</v>
          </cell>
          <cell r="D767" t="str">
            <v>bh</v>
          </cell>
          <cell r="E767">
            <v>27500</v>
          </cell>
        </row>
        <row r="768">
          <cell r="A768" t="str">
            <v>CL03</v>
          </cell>
          <cell r="B768">
            <v>713</v>
          </cell>
          <cell r="C768" t="str">
            <v>Singkup</v>
          </cell>
          <cell r="D768" t="str">
            <v>bh</v>
          </cell>
          <cell r="E768">
            <v>33500</v>
          </cell>
        </row>
        <row r="769">
          <cell r="A769" t="str">
            <v>CL04</v>
          </cell>
          <cell r="B769">
            <v>714</v>
          </cell>
          <cell r="C769" t="str">
            <v>Sekrop</v>
          </cell>
          <cell r="D769" t="str">
            <v>bh</v>
          </cell>
          <cell r="E769">
            <v>42000</v>
          </cell>
        </row>
        <row r="770">
          <cell r="A770" t="str">
            <v>CL05</v>
          </cell>
          <cell r="B770">
            <v>715</v>
          </cell>
          <cell r="C770" t="str">
            <v>Pengki</v>
          </cell>
          <cell r="D770" t="str">
            <v>bh</v>
          </cell>
          <cell r="E770">
            <v>2100</v>
          </cell>
        </row>
        <row r="771">
          <cell r="A771" t="str">
            <v>CL06</v>
          </cell>
          <cell r="B771">
            <v>716</v>
          </cell>
          <cell r="C771" t="str">
            <v>Linggis</v>
          </cell>
          <cell r="D771" t="str">
            <v>bh</v>
          </cell>
          <cell r="E771">
            <v>25000</v>
          </cell>
        </row>
        <row r="772">
          <cell r="A772" t="str">
            <v>CL07</v>
          </cell>
          <cell r="B772">
            <v>717</v>
          </cell>
          <cell r="C772" t="str">
            <v>Rool Meter 30 meter ( Bahan Plastik )</v>
          </cell>
          <cell r="D772" t="str">
            <v>bh</v>
          </cell>
          <cell r="E772">
            <v>55000</v>
          </cell>
        </row>
        <row r="773">
          <cell r="A773" t="str">
            <v>CL08</v>
          </cell>
          <cell r="B773">
            <v>718</v>
          </cell>
          <cell r="C773" t="str">
            <v>Rool Meter 5 meter ( Bahan Besi )</v>
          </cell>
          <cell r="D773" t="str">
            <v>bh</v>
          </cell>
          <cell r="E773">
            <v>12250</v>
          </cell>
        </row>
        <row r="774">
          <cell r="A774" t="str">
            <v>CL09</v>
          </cell>
          <cell r="B774">
            <v>719</v>
          </cell>
          <cell r="C774" t="str">
            <v xml:space="preserve">Selang Plastik untuk Water Pas dia. 0.5 cm </v>
          </cell>
          <cell r="D774" t="str">
            <v>bh</v>
          </cell>
          <cell r="E774">
            <v>1200</v>
          </cell>
        </row>
        <row r="775">
          <cell r="A775" t="str">
            <v>CL10</v>
          </cell>
          <cell r="B775">
            <v>720</v>
          </cell>
          <cell r="C775" t="str">
            <v xml:space="preserve"> Water Pas Alumuniumm 60 cm </v>
          </cell>
          <cell r="D775" t="str">
            <v>bh</v>
          </cell>
          <cell r="E775">
            <v>62000</v>
          </cell>
        </row>
        <row r="777">
          <cell r="B777" t="str">
            <v>V</v>
          </cell>
          <cell r="C777" t="str">
            <v xml:space="preserve">STANDARD RATA - RATA SEWA ALAT BESAR , ALAT MEKANIK </v>
          </cell>
        </row>
        <row r="778">
          <cell r="C778" t="str">
            <v>TRUK, KENDARAAN RODA 4 &amp; LAINNYA</v>
          </cell>
        </row>
        <row r="779">
          <cell r="A779" t="str">
            <v>CN01</v>
          </cell>
          <cell r="B779">
            <v>721</v>
          </cell>
          <cell r="C779" t="str">
            <v>Sewa Mesin Gilas 8 Ton s/d 10 ton</v>
          </cell>
          <cell r="D779" t="str">
            <v>hari</v>
          </cell>
          <cell r="E779">
            <v>184275</v>
          </cell>
        </row>
        <row r="780">
          <cell r="A780" t="str">
            <v>CN02</v>
          </cell>
          <cell r="B780">
            <v>722</v>
          </cell>
          <cell r="C780" t="str">
            <v>Tirud Roller 3 Jam / hari</v>
          </cell>
          <cell r="D780" t="str">
            <v>hari</v>
          </cell>
          <cell r="E780">
            <v>202644</v>
          </cell>
        </row>
        <row r="781">
          <cell r="A781" t="str">
            <v>CN03</v>
          </cell>
          <cell r="B781">
            <v>723</v>
          </cell>
          <cell r="C781" t="str">
            <v>Tamdam Roller 6 - 8 Ton 5 Jam / hr</v>
          </cell>
          <cell r="D781" t="str">
            <v>hari</v>
          </cell>
          <cell r="E781">
            <v>300924</v>
          </cell>
        </row>
        <row r="782">
          <cell r="A782" t="str">
            <v>CN04</v>
          </cell>
          <cell r="B782">
            <v>724</v>
          </cell>
          <cell r="C782" t="str">
            <v>Tamdam Roller 8 - 10 Ton 5 Jam / hr</v>
          </cell>
          <cell r="D782" t="str">
            <v>hari</v>
          </cell>
          <cell r="E782">
            <v>282555</v>
          </cell>
        </row>
        <row r="783">
          <cell r="A783" t="str">
            <v>CN05</v>
          </cell>
          <cell r="B783">
            <v>725</v>
          </cell>
          <cell r="C783" t="str">
            <v>Roller Viberator - Ped 1 Ton 4 Jam /hr</v>
          </cell>
          <cell r="D783" t="str">
            <v>hari</v>
          </cell>
          <cell r="E783">
            <v>257985</v>
          </cell>
        </row>
        <row r="784">
          <cell r="A784" t="str">
            <v>CN06</v>
          </cell>
          <cell r="B784">
            <v>726</v>
          </cell>
          <cell r="C784" t="str">
            <v>Roller Viberator - Self 7 Ton 5 Jam /hr</v>
          </cell>
          <cell r="D784" t="str">
            <v>hari</v>
          </cell>
          <cell r="E784">
            <v>307125</v>
          </cell>
        </row>
        <row r="785">
          <cell r="A785" t="str">
            <v>CN07</v>
          </cell>
          <cell r="B785">
            <v>727</v>
          </cell>
          <cell r="C785" t="str">
            <v>Roller 3 Wheeled - 8 Ton 5 Jam /hr</v>
          </cell>
          <cell r="D785" t="str">
            <v>hari</v>
          </cell>
          <cell r="E785">
            <v>178074</v>
          </cell>
        </row>
        <row r="786">
          <cell r="A786" t="str">
            <v>CN08</v>
          </cell>
          <cell r="B786">
            <v>728</v>
          </cell>
          <cell r="C786" t="str">
            <v>Roller Pneumatic  8 - 15 Ton 5 Jam /hr</v>
          </cell>
          <cell r="D786" t="str">
            <v>hari</v>
          </cell>
          <cell r="E786">
            <v>307125</v>
          </cell>
        </row>
        <row r="787">
          <cell r="A787" t="str">
            <v>CN09</v>
          </cell>
          <cell r="B787">
            <v>729</v>
          </cell>
          <cell r="C787" t="str">
            <v>Loader Wheeled 5 Jam /hr</v>
          </cell>
          <cell r="D787" t="str">
            <v>hari</v>
          </cell>
          <cell r="E787">
            <v>429975</v>
          </cell>
        </row>
        <row r="788">
          <cell r="A788" t="str">
            <v>CN10</v>
          </cell>
          <cell r="B788">
            <v>730</v>
          </cell>
          <cell r="C788" t="str">
            <v>Sewa Kran 30 Ton</v>
          </cell>
          <cell r="D788" t="str">
            <v>hari</v>
          </cell>
          <cell r="E788">
            <v>2211300</v>
          </cell>
        </row>
        <row r="789">
          <cell r="A789" t="str">
            <v>CN11</v>
          </cell>
          <cell r="B789">
            <v>731</v>
          </cell>
          <cell r="C789" t="str">
            <v>Sewa Exavator Backhoe 5 Jam /hari</v>
          </cell>
          <cell r="D789" t="str">
            <v>hari</v>
          </cell>
          <cell r="E789">
            <v>644904</v>
          </cell>
        </row>
        <row r="790">
          <cell r="A790" t="str">
            <v>CN12</v>
          </cell>
          <cell r="B790">
            <v>732</v>
          </cell>
          <cell r="C790" t="str">
            <v>Sewa Draklint</v>
          </cell>
          <cell r="D790" t="str">
            <v>jam</v>
          </cell>
          <cell r="E790">
            <v>153504</v>
          </cell>
        </row>
        <row r="791">
          <cell r="A791" t="str">
            <v>CN13</v>
          </cell>
          <cell r="B791">
            <v>733</v>
          </cell>
          <cell r="C791" t="str">
            <v>Whell Loader</v>
          </cell>
          <cell r="D791" t="str">
            <v>jam</v>
          </cell>
          <cell r="E791">
            <v>184275</v>
          </cell>
        </row>
        <row r="792">
          <cell r="A792" t="str">
            <v>CN14</v>
          </cell>
          <cell r="B792">
            <v>734</v>
          </cell>
          <cell r="C792" t="str">
            <v>Buldozer 4 Jam /hr</v>
          </cell>
          <cell r="D792" t="str">
            <v>hari</v>
          </cell>
          <cell r="E792">
            <v>706329</v>
          </cell>
        </row>
        <row r="793">
          <cell r="A793" t="str">
            <v>CN15</v>
          </cell>
          <cell r="B793">
            <v>735</v>
          </cell>
          <cell r="C793" t="str">
            <v>Ecavator Hydr 1 m3</v>
          </cell>
          <cell r="D793" t="str">
            <v>hari</v>
          </cell>
          <cell r="E793">
            <v>675675</v>
          </cell>
        </row>
        <row r="794">
          <cell r="A794" t="str">
            <v>CN16</v>
          </cell>
          <cell r="B794">
            <v>736</v>
          </cell>
          <cell r="C794" t="str">
            <v>Backu</v>
          </cell>
          <cell r="D794" t="str">
            <v>hari</v>
          </cell>
          <cell r="E794">
            <v>104364</v>
          </cell>
        </row>
        <row r="795">
          <cell r="A795" t="str">
            <v>CN17</v>
          </cell>
          <cell r="B795">
            <v>737</v>
          </cell>
          <cell r="C795" t="str">
            <v>Motor Grader 5 Jam /hr</v>
          </cell>
          <cell r="D795" t="str">
            <v>jam</v>
          </cell>
          <cell r="E795">
            <v>644904</v>
          </cell>
        </row>
        <row r="796">
          <cell r="A796" t="str">
            <v>CN18</v>
          </cell>
          <cell r="B796">
            <v>738</v>
          </cell>
          <cell r="C796" t="str">
            <v>Pheumatic Drill Hammer 3 Jam / hr</v>
          </cell>
          <cell r="D796" t="str">
            <v>hari</v>
          </cell>
          <cell r="E796">
            <v>214929</v>
          </cell>
        </row>
        <row r="797">
          <cell r="A797" t="str">
            <v>CN19</v>
          </cell>
          <cell r="B797">
            <v>739</v>
          </cell>
          <cell r="C797" t="str">
            <v>Vibro Roller</v>
          </cell>
          <cell r="D797" t="str">
            <v>hari</v>
          </cell>
          <cell r="E797">
            <v>184275</v>
          </cell>
        </row>
        <row r="798">
          <cell r="A798" t="str">
            <v>CN20</v>
          </cell>
          <cell r="B798">
            <v>740</v>
          </cell>
          <cell r="C798" t="str">
            <v>Stone Crusher</v>
          </cell>
          <cell r="D798" t="str">
            <v>hari</v>
          </cell>
          <cell r="E798">
            <v>214929</v>
          </cell>
        </row>
        <row r="799">
          <cell r="A799" t="str">
            <v>CN21</v>
          </cell>
          <cell r="B799">
            <v>741</v>
          </cell>
          <cell r="C799" t="str">
            <v>AMP</v>
          </cell>
          <cell r="D799" t="str">
            <v>hari</v>
          </cell>
          <cell r="E799">
            <v>276354</v>
          </cell>
        </row>
        <row r="800">
          <cell r="A800" t="str">
            <v>CN22</v>
          </cell>
          <cell r="B800">
            <v>742</v>
          </cell>
          <cell r="C800" t="str">
            <v>Teractor Equament 2 Jam /hr</v>
          </cell>
          <cell r="D800" t="str">
            <v>hari</v>
          </cell>
          <cell r="E800">
            <v>92079</v>
          </cell>
        </row>
        <row r="801">
          <cell r="A801" t="str">
            <v>CN23</v>
          </cell>
          <cell r="B801">
            <v>743</v>
          </cell>
          <cell r="C801" t="str">
            <v>Screning Plent 5 Jam /hr</v>
          </cell>
          <cell r="D801" t="str">
            <v>hari</v>
          </cell>
          <cell r="E801">
            <v>368550</v>
          </cell>
        </row>
        <row r="802">
          <cell r="A802" t="str">
            <v>CN24</v>
          </cell>
          <cell r="B802">
            <v>744</v>
          </cell>
          <cell r="C802" t="str">
            <v>Asphal Finisher</v>
          </cell>
          <cell r="D802" t="str">
            <v>hari</v>
          </cell>
          <cell r="E802">
            <v>276354</v>
          </cell>
        </row>
        <row r="803">
          <cell r="A803" t="str">
            <v>CN25</v>
          </cell>
          <cell r="B803">
            <v>745</v>
          </cell>
          <cell r="C803" t="str">
            <v>Asphal Melting Kalte</v>
          </cell>
          <cell r="D803" t="str">
            <v>hari</v>
          </cell>
          <cell r="E803">
            <v>153504</v>
          </cell>
        </row>
        <row r="804">
          <cell r="A804" t="str">
            <v>CN26</v>
          </cell>
          <cell r="B804">
            <v>746</v>
          </cell>
          <cell r="C804" t="str">
            <v>Asphal Spayer</v>
          </cell>
          <cell r="D804" t="str">
            <v>hari</v>
          </cell>
          <cell r="E804">
            <v>122850</v>
          </cell>
        </row>
        <row r="805">
          <cell r="A805" t="str">
            <v>CN27</v>
          </cell>
          <cell r="B805">
            <v>747</v>
          </cell>
          <cell r="C805" t="str">
            <v>Asphal MIxing Plant</v>
          </cell>
          <cell r="D805" t="str">
            <v>hari</v>
          </cell>
          <cell r="E805">
            <v>276354</v>
          </cell>
        </row>
        <row r="806">
          <cell r="A806" t="str">
            <v>CN28</v>
          </cell>
          <cell r="B806">
            <v>748</v>
          </cell>
          <cell r="C806" t="str">
            <v>Sprayer,Self - Prop. 10001 4 Jam/hr</v>
          </cell>
          <cell r="D806" t="str">
            <v>hari</v>
          </cell>
          <cell r="E806">
            <v>307125</v>
          </cell>
        </row>
        <row r="807">
          <cell r="A807" t="str">
            <v>CN29</v>
          </cell>
          <cell r="B807">
            <v>749</v>
          </cell>
          <cell r="C807" t="str">
            <v>Tamper, Viberator Plate 3 Jam /hari</v>
          </cell>
          <cell r="D807" t="str">
            <v>hari</v>
          </cell>
          <cell r="E807">
            <v>245700</v>
          </cell>
        </row>
        <row r="808">
          <cell r="A808" t="str">
            <v>CN30</v>
          </cell>
          <cell r="B808">
            <v>750</v>
          </cell>
          <cell r="C808" t="str">
            <v>Crusher / SCR</v>
          </cell>
          <cell r="D808" t="str">
            <v>hari</v>
          </cell>
          <cell r="E808">
            <v>921375</v>
          </cell>
        </row>
        <row r="809">
          <cell r="A809" t="str">
            <v>CN31</v>
          </cell>
          <cell r="B809">
            <v>751</v>
          </cell>
          <cell r="C809" t="str">
            <v>Concrete Mixer 0.125 m3</v>
          </cell>
          <cell r="D809" t="str">
            <v>hari</v>
          </cell>
          <cell r="E809">
            <v>73710</v>
          </cell>
        </row>
        <row r="810">
          <cell r="A810" t="str">
            <v>CN32</v>
          </cell>
          <cell r="B810">
            <v>752</v>
          </cell>
          <cell r="C810" t="str">
            <v>Concrete Mixer 0.5 m3</v>
          </cell>
          <cell r="D810" t="str">
            <v>hari</v>
          </cell>
          <cell r="E810">
            <v>105651</v>
          </cell>
        </row>
        <row r="811">
          <cell r="A811" t="str">
            <v>CN33</v>
          </cell>
          <cell r="B811">
            <v>753</v>
          </cell>
          <cell r="C811" t="str">
            <v>Concrete Viberator</v>
          </cell>
          <cell r="D811" t="str">
            <v>hari</v>
          </cell>
          <cell r="E811">
            <v>73710</v>
          </cell>
        </row>
        <row r="812">
          <cell r="A812" t="str">
            <v>CN34</v>
          </cell>
          <cell r="B812">
            <v>754</v>
          </cell>
          <cell r="C812" t="str">
            <v>Pick Up</v>
          </cell>
          <cell r="D812" t="str">
            <v>hari</v>
          </cell>
          <cell r="E812">
            <v>214929</v>
          </cell>
        </row>
        <row r="813">
          <cell r="A813" t="str">
            <v>CN35</v>
          </cell>
          <cell r="B813">
            <v>755</v>
          </cell>
          <cell r="C813" t="str">
            <v>Dump Truck 3.5 Ton</v>
          </cell>
          <cell r="D813" t="str">
            <v>hari</v>
          </cell>
          <cell r="E813">
            <v>307125</v>
          </cell>
        </row>
        <row r="814">
          <cell r="A814" t="str">
            <v>CN36</v>
          </cell>
          <cell r="B814">
            <v>756</v>
          </cell>
          <cell r="C814" t="str">
            <v>Dump Truck 5 Ton 4 Jam /hr</v>
          </cell>
          <cell r="D814" t="str">
            <v>hari</v>
          </cell>
          <cell r="E814">
            <v>368550</v>
          </cell>
        </row>
        <row r="815">
          <cell r="A815" t="str">
            <v>CN37</v>
          </cell>
          <cell r="B815">
            <v>757</v>
          </cell>
          <cell r="C815" t="str">
            <v>Flatbed Truck 3.5 Ton</v>
          </cell>
          <cell r="D815" t="str">
            <v>hari</v>
          </cell>
          <cell r="E815">
            <v>294840</v>
          </cell>
        </row>
        <row r="816">
          <cell r="A816" t="str">
            <v>CN38</v>
          </cell>
          <cell r="B816">
            <v>758</v>
          </cell>
          <cell r="C816" t="str">
            <v>Truck 3/4 ( Colt Disel )</v>
          </cell>
          <cell r="D816" t="str">
            <v>hari</v>
          </cell>
          <cell r="E816">
            <v>307125</v>
          </cell>
        </row>
        <row r="817">
          <cell r="A817" t="str">
            <v>CN39</v>
          </cell>
          <cell r="B817">
            <v>759</v>
          </cell>
          <cell r="C817" t="str">
            <v>Truck Fuso</v>
          </cell>
          <cell r="D817" t="str">
            <v>hari</v>
          </cell>
          <cell r="E817">
            <v>737100</v>
          </cell>
        </row>
        <row r="818">
          <cell r="A818" t="str">
            <v>CN40</v>
          </cell>
          <cell r="B818">
            <v>760</v>
          </cell>
          <cell r="C818" t="str">
            <v>Mesin Las Listrik 18 pk  8 jam</v>
          </cell>
          <cell r="D818" t="str">
            <v>hari</v>
          </cell>
          <cell r="E818">
            <v>122850</v>
          </cell>
        </row>
        <row r="819">
          <cell r="A819" t="str">
            <v>CN41</v>
          </cell>
          <cell r="B819">
            <v>761</v>
          </cell>
          <cell r="C819" t="str">
            <v>Mesin Pompa Air  3 "</v>
          </cell>
          <cell r="D819" t="str">
            <v>hari</v>
          </cell>
          <cell r="E819">
            <v>92079</v>
          </cell>
        </row>
        <row r="820">
          <cell r="A820" t="str">
            <v>CN42</v>
          </cell>
          <cell r="B820">
            <v>762</v>
          </cell>
          <cell r="C820" t="str">
            <v>Stamper 8 Jam</v>
          </cell>
          <cell r="D820" t="str">
            <v>hari</v>
          </cell>
          <cell r="E820">
            <v>98280</v>
          </cell>
        </row>
        <row r="821">
          <cell r="A821" t="str">
            <v>CN43</v>
          </cell>
          <cell r="B821">
            <v>763</v>
          </cell>
          <cell r="C821" t="str">
            <v>Compresor Air</v>
          </cell>
          <cell r="D821" t="str">
            <v>hari</v>
          </cell>
          <cell r="E821">
            <v>92079</v>
          </cell>
        </row>
        <row r="822">
          <cell r="A822" t="str">
            <v>CN44</v>
          </cell>
          <cell r="B822">
            <v>764</v>
          </cell>
          <cell r="C822" t="str">
            <v>Pump Water ( 5 cm ) 30 m3 / hari</v>
          </cell>
          <cell r="D822" t="str">
            <v>hari</v>
          </cell>
          <cell r="E822">
            <v>61425</v>
          </cell>
        </row>
        <row r="823">
          <cell r="A823" t="str">
            <v>CN45</v>
          </cell>
          <cell r="B823">
            <v>765</v>
          </cell>
          <cell r="C823" t="str">
            <v>Trailler, Towed 1 Ton 3 Jam/hr</v>
          </cell>
          <cell r="D823" t="str">
            <v>hari</v>
          </cell>
          <cell r="E823">
            <v>61425</v>
          </cell>
        </row>
        <row r="824">
          <cell r="A824" t="str">
            <v>CN46</v>
          </cell>
          <cell r="B824">
            <v>766</v>
          </cell>
          <cell r="C824" t="str">
            <v>Water Tank Truck 2 Jam/hr</v>
          </cell>
          <cell r="D824" t="str">
            <v>hari</v>
          </cell>
          <cell r="E824">
            <v>184275</v>
          </cell>
        </row>
        <row r="825">
          <cell r="B825" t="str">
            <v>O</v>
          </cell>
          <cell r="C825" t="str">
            <v>BAHAN BAKAR DAN PELUMAS</v>
          </cell>
        </row>
        <row r="826">
          <cell r="A826" t="str">
            <v>CP01</v>
          </cell>
          <cell r="B826">
            <v>1</v>
          </cell>
          <cell r="C826" t="str">
            <v>Minyak Tanah</v>
          </cell>
          <cell r="D826" t="str">
            <v>lt</v>
          </cell>
          <cell r="E826">
            <v>3250</v>
          </cell>
        </row>
        <row r="827">
          <cell r="B827">
            <v>768</v>
          </cell>
          <cell r="C827" t="str">
            <v>Kapur Bakar  *M081</v>
          </cell>
          <cell r="D827" t="str">
            <v>m³</v>
          </cell>
          <cell r="E827">
            <v>101660</v>
          </cell>
        </row>
        <row r="828">
          <cell r="A828" t="str">
            <v>CP02</v>
          </cell>
          <cell r="B828">
            <v>2</v>
          </cell>
          <cell r="C828" t="str">
            <v>Kayu Bakar  *M070</v>
          </cell>
          <cell r="D828" t="str">
            <v>m³</v>
          </cell>
          <cell r="E828">
            <v>44980</v>
          </cell>
        </row>
        <row r="829">
          <cell r="A829" t="str">
            <v>CP03</v>
          </cell>
          <cell r="B829">
            <v>770</v>
          </cell>
          <cell r="C829" t="str">
            <v>Bahan Bakar Residu</v>
          </cell>
          <cell r="D829" t="str">
            <v>lt</v>
          </cell>
          <cell r="E829">
            <v>650</v>
          </cell>
        </row>
        <row r="830">
          <cell r="A830" t="str">
            <v>CP04</v>
          </cell>
          <cell r="B830">
            <v>771</v>
          </cell>
          <cell r="C830" t="str">
            <v>Minyak Solar</v>
          </cell>
          <cell r="D830" t="str">
            <v>lt</v>
          </cell>
          <cell r="E830">
            <v>5590</v>
          </cell>
        </row>
        <row r="831">
          <cell r="A831" t="str">
            <v>CP05</v>
          </cell>
          <cell r="B831">
            <v>772</v>
          </cell>
          <cell r="C831" t="str">
            <v>Bensin Premium</v>
          </cell>
          <cell r="D831" t="str">
            <v>lt</v>
          </cell>
          <cell r="E831">
            <v>5850</v>
          </cell>
        </row>
        <row r="832">
          <cell r="A832" t="str">
            <v>CP06</v>
          </cell>
          <cell r="B832">
            <v>773</v>
          </cell>
          <cell r="C832" t="str">
            <v>Plus Oil</v>
          </cell>
          <cell r="D832" t="str">
            <v>lt</v>
          </cell>
          <cell r="E832">
            <v>1040</v>
          </cell>
        </row>
        <row r="833">
          <cell r="A833" t="str">
            <v>CP07</v>
          </cell>
          <cell r="B833">
            <v>3</v>
          </cell>
          <cell r="C833" t="str">
            <v>Minyak Pelumas</v>
          </cell>
          <cell r="D833" t="str">
            <v>lt</v>
          </cell>
          <cell r="E833">
            <v>23790</v>
          </cell>
        </row>
        <row r="834">
          <cell r="A834" t="str">
            <v>CP08</v>
          </cell>
          <cell r="B834">
            <v>775</v>
          </cell>
          <cell r="C834" t="str">
            <v>Elpiji / botol</v>
          </cell>
          <cell r="D834" t="str">
            <v>15 kg</v>
          </cell>
          <cell r="E834">
            <v>81900</v>
          </cell>
        </row>
        <row r="835">
          <cell r="A835" t="str">
            <v>CP09</v>
          </cell>
          <cell r="B835">
            <v>776</v>
          </cell>
          <cell r="C835" t="str">
            <v>Asitilin / botol</v>
          </cell>
          <cell r="D835" t="str">
            <v>15.1 kg</v>
          </cell>
          <cell r="E835">
            <v>69550</v>
          </cell>
        </row>
        <row r="836">
          <cell r="A836" t="str">
            <v>CP10</v>
          </cell>
          <cell r="B836">
            <v>777</v>
          </cell>
          <cell r="C836" t="str">
            <v>Angin ( 02 ) / botol</v>
          </cell>
          <cell r="D836" t="str">
            <v>btl</v>
          </cell>
          <cell r="E836">
            <v>44330</v>
          </cell>
        </row>
        <row r="837">
          <cell r="A837" t="str">
            <v>CP11</v>
          </cell>
          <cell r="B837">
            <v>778</v>
          </cell>
          <cell r="C837" t="str">
            <v>Kawat Las Listrik</v>
          </cell>
          <cell r="D837" t="str">
            <v>kg</v>
          </cell>
          <cell r="E837">
            <v>13650</v>
          </cell>
        </row>
        <row r="838">
          <cell r="A838" t="str">
            <v>CP12</v>
          </cell>
          <cell r="B838">
            <v>779</v>
          </cell>
          <cell r="C838" t="str">
            <v>Karbit</v>
          </cell>
          <cell r="D838" t="str">
            <v>kg</v>
          </cell>
          <cell r="E838">
            <v>6760</v>
          </cell>
        </row>
        <row r="839">
          <cell r="B839">
            <v>780</v>
          </cell>
          <cell r="C839" t="str">
            <v>Aspal</v>
          </cell>
          <cell r="E839">
            <v>4875</v>
          </cell>
        </row>
        <row r="840">
          <cell r="B840">
            <v>781</v>
          </cell>
          <cell r="C840" t="str">
            <v>Aspal Kemas Pand Grade 60/70</v>
          </cell>
          <cell r="D840" t="str">
            <v>Drum</v>
          </cell>
          <cell r="E840">
            <v>583440</v>
          </cell>
        </row>
        <row r="841">
          <cell r="B841">
            <v>740</v>
          </cell>
          <cell r="C841" t="str">
            <v>Pintu Air Sorong 50  x 50 cm</v>
          </cell>
        </row>
        <row r="842">
          <cell r="B842">
            <v>741</v>
          </cell>
          <cell r="C842" t="str">
            <v>Pintu Air Double Stang 1  x 2 Meter</v>
          </cell>
        </row>
        <row r="843">
          <cell r="B843">
            <v>742</v>
          </cell>
          <cell r="C843" t="str">
            <v>Pintu Air Double Stang 1,5  x 2 Meter</v>
          </cell>
        </row>
        <row r="844">
          <cell r="B844">
            <v>743</v>
          </cell>
          <cell r="C844" t="str">
            <v>Pintu Air Double Stang 1  x 2,5 Meter</v>
          </cell>
        </row>
        <row r="845">
          <cell r="B845">
            <v>744</v>
          </cell>
          <cell r="C845" t="str">
            <v>Pintu Air Double Stang 1,5  x 2,5 Meter</v>
          </cell>
        </row>
        <row r="846">
          <cell r="B846">
            <v>745</v>
          </cell>
          <cell r="C846" t="str">
            <v>Pintu Air Stang Tunggal  1x 1,5 Meter</v>
          </cell>
        </row>
        <row r="847">
          <cell r="B847">
            <v>746</v>
          </cell>
          <cell r="C847" t="str">
            <v>Pintu Air Stang Tunggal 0,5  x 1 Meter</v>
          </cell>
        </row>
        <row r="849">
          <cell r="B849" t="str">
            <v>X</v>
          </cell>
          <cell r="C849" t="str">
            <v>BAHAN FASILITAS LALU LINTAS</v>
          </cell>
        </row>
        <row r="850">
          <cell r="B850">
            <v>782</v>
          </cell>
          <cell r="C850" t="str">
            <v>Rambu Jalan Uk. 45 x 45 cm</v>
          </cell>
          <cell r="D850" t="str">
            <v>bh</v>
          </cell>
          <cell r="E850">
            <v>304980</v>
          </cell>
        </row>
        <row r="851">
          <cell r="B851">
            <v>783</v>
          </cell>
          <cell r="C851" t="str">
            <v>Rambu Jalan Uk. 60 x 60 cm</v>
          </cell>
          <cell r="D851" t="str">
            <v>bh</v>
          </cell>
          <cell r="E851">
            <v>465790</v>
          </cell>
        </row>
        <row r="852">
          <cell r="B852">
            <v>784</v>
          </cell>
          <cell r="C852" t="str">
            <v>Rambu Jalan Uk. 70 x 70 cm</v>
          </cell>
          <cell r="D852" t="str">
            <v>bh</v>
          </cell>
          <cell r="E852">
            <v>617630</v>
          </cell>
        </row>
        <row r="853">
          <cell r="B853">
            <v>785</v>
          </cell>
          <cell r="C853" t="str">
            <v>RPPJ Uk. 105 x 140 cm</v>
          </cell>
          <cell r="D853" t="str">
            <v>bh</v>
          </cell>
          <cell r="E853">
            <v>1781260</v>
          </cell>
        </row>
        <row r="854">
          <cell r="B854">
            <v>786</v>
          </cell>
          <cell r="C854" t="str">
            <v>RPPJ Uk. 120 x 160 cm</v>
          </cell>
          <cell r="D854" t="str">
            <v>bh</v>
          </cell>
          <cell r="E854">
            <v>2139540</v>
          </cell>
        </row>
        <row r="855">
          <cell r="B855">
            <v>787</v>
          </cell>
          <cell r="C855" t="str">
            <v>Pagar Pengaman Jalan</v>
          </cell>
          <cell r="D855" t="str">
            <v>bh</v>
          </cell>
          <cell r="E855">
            <v>605670</v>
          </cell>
        </row>
        <row r="856">
          <cell r="B856">
            <v>788</v>
          </cell>
          <cell r="C856" t="str">
            <v>Marka Jalan (Road Marking) Uk. 0,2 x 12 cm</v>
          </cell>
          <cell r="D856" t="str">
            <v>m</v>
          </cell>
          <cell r="E856">
            <v>27300</v>
          </cell>
        </row>
        <row r="857">
          <cell r="B857">
            <v>789</v>
          </cell>
          <cell r="C857" t="str">
            <v>Paku Marka uk. 2 x 10 x 10 cm</v>
          </cell>
          <cell r="D857" t="str">
            <v>bh</v>
          </cell>
          <cell r="E857">
            <v>233740</v>
          </cell>
        </row>
        <row r="858">
          <cell r="B858">
            <v>790</v>
          </cell>
          <cell r="C858" t="str">
            <v>Paku Marka uk. 2 x 10 x 12 cm</v>
          </cell>
          <cell r="D858" t="str">
            <v>bh</v>
          </cell>
          <cell r="E858">
            <v>242190</v>
          </cell>
        </row>
        <row r="859">
          <cell r="B859">
            <v>791</v>
          </cell>
          <cell r="C859" t="str">
            <v>Apill (Trafic Light)-Simpang Tiga</v>
          </cell>
          <cell r="D859" t="str">
            <v>unit</v>
          </cell>
          <cell r="E859">
            <v>101124270</v>
          </cell>
        </row>
        <row r="860">
          <cell r="B860">
            <v>792</v>
          </cell>
          <cell r="C860" t="str">
            <v>Apill (Trafic Light)-Simpang Empat</v>
          </cell>
          <cell r="D860" t="str">
            <v>unit</v>
          </cell>
          <cell r="E860">
            <v>120601130</v>
          </cell>
        </row>
        <row r="861">
          <cell r="B861">
            <v>793</v>
          </cell>
          <cell r="C861" t="str">
            <v>Lampu Peringatan (Warning Light)</v>
          </cell>
          <cell r="D861" t="str">
            <v>unit</v>
          </cell>
          <cell r="E861">
            <v>54315040</v>
          </cell>
        </row>
        <row r="862">
          <cell r="B862">
            <v>794</v>
          </cell>
          <cell r="C862" t="str">
            <v>Patok Tikungan (dilineator) bahan plastik</v>
          </cell>
          <cell r="D862" t="str">
            <v>bh</v>
          </cell>
          <cell r="E862">
            <v>399230</v>
          </cell>
        </row>
        <row r="863">
          <cell r="B863">
            <v>795</v>
          </cell>
          <cell r="C863" t="str">
            <v>Patok Tikungan (dilineator) pipa besi</v>
          </cell>
          <cell r="D863" t="str">
            <v>bh</v>
          </cell>
          <cell r="E863">
            <v>300300</v>
          </cell>
        </row>
        <row r="864">
          <cell r="B864">
            <v>796</v>
          </cell>
          <cell r="C864" t="str">
            <v>Cermin Tikungan</v>
          </cell>
          <cell r="D864" t="str">
            <v>unit</v>
          </cell>
          <cell r="E864">
            <v>4692090</v>
          </cell>
        </row>
        <row r="865">
          <cell r="B865">
            <v>797</v>
          </cell>
          <cell r="C865" t="str">
            <v>Kerucut Lalu Lintas Uk. 90 cm</v>
          </cell>
          <cell r="D865" t="str">
            <v>bh</v>
          </cell>
          <cell r="E865">
            <v>315640</v>
          </cell>
        </row>
        <row r="866">
          <cell r="B866">
            <v>798</v>
          </cell>
          <cell r="C866" t="str">
            <v>Kerucut Lalu Lintas Uk. 75 cm</v>
          </cell>
          <cell r="D866" t="str">
            <v>bh</v>
          </cell>
          <cell r="E866">
            <v>332670</v>
          </cell>
        </row>
        <row r="867">
          <cell r="B867">
            <v>799</v>
          </cell>
          <cell r="C867" t="str">
            <v>Kerucut Lalu Lintas Uk. 60 cm</v>
          </cell>
          <cell r="D867" t="str">
            <v>bh</v>
          </cell>
          <cell r="E867">
            <v>315640</v>
          </cell>
        </row>
        <row r="868">
          <cell r="B868">
            <v>800</v>
          </cell>
          <cell r="C868" t="str">
            <v>Timbangan Portable</v>
          </cell>
          <cell r="D868" t="str">
            <v>unit</v>
          </cell>
          <cell r="E868">
            <v>637105170</v>
          </cell>
        </row>
        <row r="869">
          <cell r="B869">
            <v>801</v>
          </cell>
          <cell r="C869" t="str">
            <v>Peralatan PKB otomatik</v>
          </cell>
          <cell r="D869" t="str">
            <v>unit</v>
          </cell>
          <cell r="E869">
            <v>7556145870</v>
          </cell>
        </row>
        <row r="870">
          <cell r="B870">
            <v>802</v>
          </cell>
          <cell r="C870" t="str">
            <v>Peralatan PKB semi otomatik</v>
          </cell>
          <cell r="D870" t="str">
            <v>unit</v>
          </cell>
          <cell r="E870">
            <v>4800597100</v>
          </cell>
        </row>
        <row r="871">
          <cell r="B871">
            <v>803</v>
          </cell>
          <cell r="C871" t="str">
            <v>Peralatan Uji Pemeriksaan dan Pengawasan Kb di Jalan</v>
          </cell>
          <cell r="D871" t="str">
            <v>unit</v>
          </cell>
          <cell r="E871">
            <v>4275343800</v>
          </cell>
        </row>
        <row r="874">
          <cell r="D874" t="str">
            <v>Banjar,     Februari 2006</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sheetName val="GRAND REKAP"/>
      <sheetName val="Rekap SIPIL"/>
      <sheetName val="Lengkap SIPIL"/>
      <sheetName val="Rekap total ME"/>
      <sheetName val="Lengkap ME"/>
      <sheetName val="Rek psd-saranaluar-pompa"/>
      <sheetName val="Lengkap Sarana Luar"/>
      <sheetName val="ahs"/>
      <sheetName val="ahs (2)"/>
      <sheetName val="bhn,upah,alat"/>
      <sheetName val="UPAH"/>
      <sheetName val="ALAT"/>
      <sheetName val="Ans Kom Precast"/>
      <sheetName val="Rekap-Bdg"/>
      <sheetName val="Backup-bdg"/>
      <sheetName val="Sumary AHS"/>
      <sheetName val="Bekisting Pile Cap"/>
      <sheetName val="Bekisting TB"/>
      <sheetName val="Bekisting Balok "/>
      <sheetName val="Bekisting Kolom"/>
      <sheetName val="Bekisting Plat"/>
      <sheetName val="Sling 6mm"/>
      <sheetName val="Sling8 mm"/>
      <sheetName val="Sling12mm"/>
      <sheetName val="Sling16mm"/>
      <sheetName val="Besi "/>
      <sheetName val="Ready Mix K-400"/>
      <sheetName val="Demould &amp; Stock Blk+klm"/>
      <sheetName val="Demould &amp; Stock Plat"/>
      <sheetName val="Erection Tie Beam"/>
      <sheetName val="Erection Balok"/>
      <sheetName val="Erection Kolom"/>
      <sheetName val="Erection Plat"/>
      <sheetName val="Grouting Stek klm"/>
      <sheetName val="Grouting Cap klm"/>
      <sheetName val="Harga Material"/>
      <sheetName val="BQ"/>
      <sheetName val="RAB"/>
      <sheetName val="DAFTAR  BESI IWF"/>
      <sheetName val="Harsat Upah"/>
      <sheetName val="DAFTAR BESI KANAL C SIKU"/>
      <sheetName val="BAHAN"/>
      <sheetName val="5-ALAT(1)"/>
      <sheetName val="Cover Daf-2"/>
      <sheetName val="STR"/>
      <sheetName val="Price Biaya Cadangan"/>
      <sheetName val="BQ.Rekapitulasi  Akhir"/>
      <sheetName val="Harsat Bahan"/>
      <sheetName val="Rekap Direct Cost"/>
      <sheetName val="Rekap"/>
      <sheetName val="A"/>
      <sheetName val="agregat abc"/>
      <sheetName val="ANALISA PEK.UMUM"/>
      <sheetName val="CH"/>
      <sheetName val="REK"/>
      <sheetName val="HARSAT"/>
      <sheetName val="Agregat Halus &amp; Kasa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13">
          <cell r="D13" t="str">
            <v>Sub Structure</v>
          </cell>
        </row>
        <row r="14">
          <cell r="C14">
            <v>1</v>
          </cell>
          <cell r="D14" t="str">
            <v>T. Pancang</v>
          </cell>
          <cell r="E14">
            <v>1</v>
          </cell>
          <cell r="F14" t="str">
            <v>Square</v>
          </cell>
          <cell r="G14">
            <v>0.25</v>
          </cell>
          <cell r="H14">
            <v>0.25</v>
          </cell>
          <cell r="I14">
            <v>0</v>
          </cell>
          <cell r="L14">
            <v>86</v>
          </cell>
          <cell r="T14">
            <v>86</v>
          </cell>
        </row>
        <row r="16">
          <cell r="A16" t="str">
            <v>p1</v>
          </cell>
          <cell r="C16">
            <v>2</v>
          </cell>
          <cell r="D16" t="str">
            <v>Pile Cap</v>
          </cell>
          <cell r="E16">
            <v>1</v>
          </cell>
          <cell r="F16" t="str">
            <v>PC.1</v>
          </cell>
          <cell r="G16">
            <v>0.75</v>
          </cell>
          <cell r="H16">
            <v>0.75</v>
          </cell>
          <cell r="I16">
            <v>0.7</v>
          </cell>
          <cell r="J16">
            <v>0.94499999999999995</v>
          </cell>
          <cell r="K16">
            <v>203.8123478857143</v>
          </cell>
          <cell r="L16">
            <v>2</v>
          </cell>
          <cell r="T16">
            <v>2</v>
          </cell>
          <cell r="U16">
            <v>0.39374999999999999</v>
          </cell>
          <cell r="V16">
            <v>0.78749999999999998</v>
          </cell>
          <cell r="AM16">
            <v>0</v>
          </cell>
          <cell r="AN16">
            <v>2.5153200000000004</v>
          </cell>
          <cell r="AO16">
            <v>24.442622100000001</v>
          </cell>
          <cell r="AP16">
            <v>36.930816000000007</v>
          </cell>
          <cell r="AQ16">
            <v>16.362353880000001</v>
          </cell>
          <cell r="AR16">
            <v>0</v>
          </cell>
          <cell r="AS16">
            <v>0</v>
          </cell>
          <cell r="AT16">
            <v>0</v>
          </cell>
          <cell r="AU16">
            <v>0</v>
          </cell>
          <cell r="AV16">
            <v>0</v>
          </cell>
          <cell r="AW16">
            <v>0</v>
          </cell>
          <cell r="AX16">
            <v>5.0306400000000009</v>
          </cell>
          <cell r="AY16">
            <v>48.885244200000002</v>
          </cell>
          <cell r="AZ16">
            <v>73.861632000000014</v>
          </cell>
          <cell r="BA16">
            <v>32.724707760000001</v>
          </cell>
          <cell r="BB16">
            <v>0</v>
          </cell>
          <cell r="BC16">
            <v>0</v>
          </cell>
          <cell r="BD16">
            <v>0</v>
          </cell>
          <cell r="BE16">
            <v>0</v>
          </cell>
          <cell r="BF16">
            <v>0</v>
          </cell>
        </row>
        <row r="17">
          <cell r="A17" t="str">
            <v>p2</v>
          </cell>
          <cell r="E17">
            <v>2</v>
          </cell>
          <cell r="F17" t="str">
            <v>PC.1'</v>
          </cell>
          <cell r="G17">
            <v>1.25</v>
          </cell>
          <cell r="H17">
            <v>0.75</v>
          </cell>
          <cell r="I17">
            <v>0.7</v>
          </cell>
          <cell r="J17">
            <v>1.17</v>
          </cell>
          <cell r="K17">
            <v>212.78142775384617</v>
          </cell>
          <cell r="L17">
            <v>2</v>
          </cell>
          <cell r="T17">
            <v>2</v>
          </cell>
          <cell r="U17">
            <v>0.48749999999999999</v>
          </cell>
          <cell r="V17">
            <v>0.97499999999999998</v>
          </cell>
          <cell r="AM17">
            <v>0</v>
          </cell>
          <cell r="AN17">
            <v>2.5153200000000004</v>
          </cell>
          <cell r="AO17">
            <v>33.955032150000001</v>
          </cell>
          <cell r="AP17">
            <v>50.898240000000001</v>
          </cell>
          <cell r="AQ17">
            <v>16.362353880000001</v>
          </cell>
          <cell r="AR17">
            <v>0</v>
          </cell>
          <cell r="AS17">
            <v>0</v>
          </cell>
          <cell r="AT17">
            <v>0</v>
          </cell>
          <cell r="AU17">
            <v>0</v>
          </cell>
          <cell r="AV17">
            <v>0</v>
          </cell>
          <cell r="AW17">
            <v>0</v>
          </cell>
          <cell r="AX17">
            <v>5.0306400000000009</v>
          </cell>
          <cell r="AY17">
            <v>67.910064300000002</v>
          </cell>
          <cell r="AZ17">
            <v>101.79648</v>
          </cell>
          <cell r="BA17">
            <v>32.724707760000001</v>
          </cell>
          <cell r="BB17">
            <v>0</v>
          </cell>
          <cell r="BC17">
            <v>0</v>
          </cell>
          <cell r="BD17">
            <v>0</v>
          </cell>
          <cell r="BE17">
            <v>0</v>
          </cell>
          <cell r="BF17">
            <v>0</v>
          </cell>
        </row>
        <row r="18">
          <cell r="A18" t="str">
            <v>p3</v>
          </cell>
          <cell r="E18">
            <v>3</v>
          </cell>
          <cell r="F18" t="str">
            <v>PC.2</v>
          </cell>
          <cell r="G18">
            <v>1.5</v>
          </cell>
          <cell r="H18">
            <v>0.75</v>
          </cell>
          <cell r="I18">
            <v>0.7</v>
          </cell>
          <cell r="J18">
            <v>1.89</v>
          </cell>
          <cell r="K18">
            <v>180.0396225142857</v>
          </cell>
          <cell r="L18">
            <v>10</v>
          </cell>
          <cell r="T18">
            <v>10</v>
          </cell>
          <cell r="U18">
            <v>0.78749999999999998</v>
          </cell>
          <cell r="V18">
            <v>7.875</v>
          </cell>
          <cell r="AM18">
            <v>0</v>
          </cell>
          <cell r="AN18">
            <v>2.5153200000000004</v>
          </cell>
          <cell r="AO18">
            <v>24.223826249999998</v>
          </cell>
          <cell r="AP18">
            <v>59.420735999999998</v>
          </cell>
          <cell r="AQ18">
            <v>55.621320479999994</v>
          </cell>
          <cell r="AR18">
            <v>0</v>
          </cell>
          <cell r="AS18">
            <v>0</v>
          </cell>
          <cell r="AT18">
            <v>0</v>
          </cell>
          <cell r="AU18">
            <v>0</v>
          </cell>
          <cell r="AV18">
            <v>0</v>
          </cell>
          <cell r="AW18">
            <v>0</v>
          </cell>
          <cell r="AX18">
            <v>25.153200000000005</v>
          </cell>
          <cell r="AY18">
            <v>242.23826249999999</v>
          </cell>
          <cell r="AZ18">
            <v>594.20735999999999</v>
          </cell>
          <cell r="BA18">
            <v>556.21320479999997</v>
          </cell>
          <cell r="BB18">
            <v>0</v>
          </cell>
          <cell r="BC18">
            <v>0</v>
          </cell>
          <cell r="BD18">
            <v>0</v>
          </cell>
          <cell r="BE18">
            <v>0</v>
          </cell>
          <cell r="BF18">
            <v>0</v>
          </cell>
        </row>
        <row r="19">
          <cell r="A19" t="str">
            <v>p4</v>
          </cell>
          <cell r="E19">
            <v>4</v>
          </cell>
          <cell r="F19" t="str">
            <v>PC.2'</v>
          </cell>
          <cell r="G19">
            <v>1.575</v>
          </cell>
          <cell r="H19">
            <v>0.75</v>
          </cell>
          <cell r="I19">
            <v>0.7</v>
          </cell>
          <cell r="J19">
            <v>1.9844999999999997</v>
          </cell>
          <cell r="K19">
            <v>179.60198225850345</v>
          </cell>
          <cell r="L19">
            <v>6</v>
          </cell>
          <cell r="T19">
            <v>6</v>
          </cell>
          <cell r="U19">
            <v>0.82687499999999992</v>
          </cell>
          <cell r="V19">
            <v>4.9612499999999997</v>
          </cell>
          <cell r="AM19">
            <v>0</v>
          </cell>
          <cell r="AN19">
            <v>2.5153200000000004</v>
          </cell>
          <cell r="AO19">
            <v>26.161732349999998</v>
          </cell>
          <cell r="AP19">
            <v>63.208512000000006</v>
          </cell>
          <cell r="AQ19">
            <v>56.622824730000012</v>
          </cell>
          <cell r="AR19">
            <v>0</v>
          </cell>
          <cell r="AS19">
            <v>0</v>
          </cell>
          <cell r="AT19">
            <v>0</v>
          </cell>
          <cell r="AU19">
            <v>0</v>
          </cell>
          <cell r="AV19">
            <v>0</v>
          </cell>
          <cell r="AW19">
            <v>0</v>
          </cell>
          <cell r="AX19">
            <v>15.091920000000002</v>
          </cell>
          <cell r="AY19">
            <v>156.97039409999999</v>
          </cell>
          <cell r="AZ19">
            <v>379.25107200000002</v>
          </cell>
          <cell r="BA19">
            <v>339.73694838000006</v>
          </cell>
          <cell r="BB19">
            <v>0</v>
          </cell>
          <cell r="BC19">
            <v>0</v>
          </cell>
          <cell r="BD19">
            <v>0</v>
          </cell>
          <cell r="BE19">
            <v>0</v>
          </cell>
          <cell r="BF19">
            <v>0</v>
          </cell>
        </row>
        <row r="20">
          <cell r="A20" t="str">
            <v>p5</v>
          </cell>
          <cell r="E20">
            <v>5</v>
          </cell>
          <cell r="F20" t="str">
            <v>PC.3</v>
          </cell>
          <cell r="G20">
            <v>1.5</v>
          </cell>
          <cell r="H20">
            <v>1.4</v>
          </cell>
          <cell r="I20">
            <v>0.7</v>
          </cell>
          <cell r="J20">
            <v>2.6985839999999999</v>
          </cell>
          <cell r="K20">
            <v>220.17457989523399</v>
          </cell>
          <cell r="L20">
            <v>14</v>
          </cell>
          <cell r="T20">
            <v>14</v>
          </cell>
          <cell r="U20">
            <v>1.1244099999999999</v>
          </cell>
          <cell r="V20">
            <v>15.741739999999998</v>
          </cell>
          <cell r="AM20">
            <v>0</v>
          </cell>
          <cell r="AN20">
            <v>2.5153200000000004</v>
          </cell>
          <cell r="AO20">
            <v>5.9804199000000002</v>
          </cell>
          <cell r="AP20">
            <v>87.750144000000006</v>
          </cell>
          <cell r="AQ20">
            <v>151.32061548000001</v>
          </cell>
          <cell r="AR20">
            <v>0</v>
          </cell>
          <cell r="AS20">
            <v>0</v>
          </cell>
          <cell r="AT20">
            <v>0</v>
          </cell>
          <cell r="AU20">
            <v>0</v>
          </cell>
          <cell r="AV20">
            <v>0</v>
          </cell>
          <cell r="AW20">
            <v>0</v>
          </cell>
          <cell r="AX20">
            <v>35.214480000000009</v>
          </cell>
          <cell r="AY20">
            <v>83.725878600000001</v>
          </cell>
          <cell r="AZ20">
            <v>1228.5020160000001</v>
          </cell>
          <cell r="BA20">
            <v>2118.4886167200002</v>
          </cell>
          <cell r="BB20">
            <v>0</v>
          </cell>
          <cell r="BC20">
            <v>0</v>
          </cell>
          <cell r="BD20">
            <v>0</v>
          </cell>
          <cell r="BE20">
            <v>0</v>
          </cell>
          <cell r="BF20">
            <v>0</v>
          </cell>
        </row>
        <row r="21">
          <cell r="A21" t="str">
            <v>p6</v>
          </cell>
          <cell r="E21">
            <v>6</v>
          </cell>
          <cell r="F21" t="str">
            <v>PC.4</v>
          </cell>
          <cell r="G21">
            <v>1.5</v>
          </cell>
          <cell r="H21">
            <v>1.5</v>
          </cell>
          <cell r="I21">
            <v>0.7</v>
          </cell>
          <cell r="J21">
            <v>3.78</v>
          </cell>
          <cell r="K21">
            <v>166.83394982857141</v>
          </cell>
          <cell r="L21">
            <v>2</v>
          </cell>
          <cell r="T21">
            <v>2</v>
          </cell>
          <cell r="U21">
            <v>1.575</v>
          </cell>
          <cell r="V21">
            <v>3.15</v>
          </cell>
          <cell r="AM21">
            <v>0</v>
          </cell>
          <cell r="AN21">
            <v>2.5153200000000004</v>
          </cell>
          <cell r="AO21">
            <v>6.1887968999999998</v>
          </cell>
          <cell r="AP21">
            <v>93.747456</v>
          </cell>
          <cell r="AQ21">
            <v>160.31189807999999</v>
          </cell>
          <cell r="AR21">
            <v>0</v>
          </cell>
          <cell r="AS21">
            <v>0</v>
          </cell>
          <cell r="AT21">
            <v>0</v>
          </cell>
          <cell r="AU21">
            <v>0</v>
          </cell>
          <cell r="AV21">
            <v>0</v>
          </cell>
          <cell r="AW21">
            <v>0</v>
          </cell>
          <cell r="AX21">
            <v>5.0306400000000009</v>
          </cell>
          <cell r="AY21">
            <v>12.3775938</v>
          </cell>
          <cell r="AZ21">
            <v>187.494912</v>
          </cell>
          <cell r="BA21">
            <v>320.62379615999998</v>
          </cell>
          <cell r="BB21">
            <v>0</v>
          </cell>
          <cell r="BC21">
            <v>0</v>
          </cell>
          <cell r="BD21">
            <v>0</v>
          </cell>
          <cell r="BE21">
            <v>0</v>
          </cell>
          <cell r="BF21">
            <v>0</v>
          </cell>
        </row>
        <row r="22">
          <cell r="L22">
            <v>36</v>
          </cell>
          <cell r="M22">
            <v>0</v>
          </cell>
          <cell r="N22">
            <v>0</v>
          </cell>
          <cell r="O22">
            <v>0</v>
          </cell>
          <cell r="P22">
            <v>0</v>
          </cell>
          <cell r="Q22">
            <v>0</v>
          </cell>
          <cell r="R22">
            <v>0</v>
          </cell>
          <cell r="S22">
            <v>0</v>
          </cell>
          <cell r="T22">
            <v>36</v>
          </cell>
          <cell r="V22">
            <v>33.490489999999994</v>
          </cell>
          <cell r="AW22">
            <v>0</v>
          </cell>
          <cell r="AX22">
            <v>90.551520000000025</v>
          </cell>
          <cell r="AY22">
            <v>612.10743749999995</v>
          </cell>
          <cell r="AZ22">
            <v>2565.113472</v>
          </cell>
          <cell r="BA22">
            <v>3400.5119815800003</v>
          </cell>
          <cell r="BB22">
            <v>0</v>
          </cell>
          <cell r="BC22">
            <v>0</v>
          </cell>
          <cell r="BD22">
            <v>0</v>
          </cell>
          <cell r="BE22">
            <v>0</v>
          </cell>
          <cell r="BF22">
            <v>0</v>
          </cell>
        </row>
        <row r="24">
          <cell r="A24" t="str">
            <v>tb1</v>
          </cell>
          <cell r="C24">
            <v>3</v>
          </cell>
          <cell r="D24" t="str">
            <v>Tie Beam</v>
          </cell>
          <cell r="E24">
            <v>1</v>
          </cell>
          <cell r="F24" t="str">
            <v>TB.1A</v>
          </cell>
          <cell r="G24">
            <v>3.5</v>
          </cell>
          <cell r="H24">
            <v>0.3</v>
          </cell>
          <cell r="I24">
            <v>0.5</v>
          </cell>
          <cell r="J24">
            <v>1.26</v>
          </cell>
          <cell r="K24">
            <v>226.28203885714288</v>
          </cell>
          <cell r="L24">
            <v>1</v>
          </cell>
          <cell r="T24">
            <v>1</v>
          </cell>
          <cell r="U24">
            <v>0.52500000000000002</v>
          </cell>
          <cell r="V24">
            <v>0.52500000000000002</v>
          </cell>
          <cell r="AM24">
            <v>0</v>
          </cell>
          <cell r="AN24">
            <v>29.419380000000004</v>
          </cell>
          <cell r="AO24">
            <v>0</v>
          </cell>
          <cell r="AP24">
            <v>0</v>
          </cell>
          <cell r="AQ24">
            <v>89.378690400000011</v>
          </cell>
          <cell r="AR24">
            <v>0</v>
          </cell>
          <cell r="AS24">
            <v>0</v>
          </cell>
          <cell r="AT24">
            <v>0</v>
          </cell>
          <cell r="AU24">
            <v>0</v>
          </cell>
          <cell r="AV24">
            <v>0</v>
          </cell>
          <cell r="AW24">
            <v>0</v>
          </cell>
          <cell r="AX24">
            <v>29.419380000000004</v>
          </cell>
          <cell r="AY24">
            <v>0</v>
          </cell>
          <cell r="AZ24">
            <v>0</v>
          </cell>
          <cell r="BA24">
            <v>89.378690400000011</v>
          </cell>
          <cell r="BB24">
            <v>0</v>
          </cell>
          <cell r="BC24">
            <v>0</v>
          </cell>
          <cell r="BD24">
            <v>0</v>
          </cell>
          <cell r="BE24">
            <v>0</v>
          </cell>
          <cell r="BF24">
            <v>0</v>
          </cell>
        </row>
        <row r="25">
          <cell r="A25" t="str">
            <v>tb2</v>
          </cell>
          <cell r="E25">
            <v>2</v>
          </cell>
          <cell r="F25" t="str">
            <v>TB.1A'</v>
          </cell>
          <cell r="G25">
            <v>3.5</v>
          </cell>
          <cell r="H25">
            <v>0.3</v>
          </cell>
          <cell r="I25">
            <v>0.5</v>
          </cell>
          <cell r="J25">
            <v>1.26</v>
          </cell>
          <cell r="K25">
            <v>226.28203885714288</v>
          </cell>
          <cell r="L25">
            <v>1</v>
          </cell>
          <cell r="T25">
            <v>1</v>
          </cell>
          <cell r="U25">
            <v>0.52500000000000002</v>
          </cell>
          <cell r="V25">
            <v>0.52500000000000002</v>
          </cell>
          <cell r="AM25">
            <v>0</v>
          </cell>
          <cell r="AN25">
            <v>29.419380000000004</v>
          </cell>
          <cell r="AO25">
            <v>0</v>
          </cell>
          <cell r="AP25">
            <v>0</v>
          </cell>
          <cell r="AQ25">
            <v>89.378690400000011</v>
          </cell>
          <cell r="AR25">
            <v>0</v>
          </cell>
          <cell r="AS25">
            <v>0</v>
          </cell>
          <cell r="AT25">
            <v>0</v>
          </cell>
          <cell r="AU25">
            <v>0</v>
          </cell>
          <cell r="AV25">
            <v>0</v>
          </cell>
          <cell r="AW25">
            <v>0</v>
          </cell>
          <cell r="AX25">
            <v>29.419380000000004</v>
          </cell>
          <cell r="AY25">
            <v>0</v>
          </cell>
          <cell r="AZ25">
            <v>0</v>
          </cell>
          <cell r="BA25">
            <v>89.378690400000011</v>
          </cell>
          <cell r="BB25">
            <v>0</v>
          </cell>
          <cell r="BC25">
            <v>0</v>
          </cell>
          <cell r="BD25">
            <v>0</v>
          </cell>
          <cell r="BE25">
            <v>0</v>
          </cell>
          <cell r="BF25">
            <v>0</v>
          </cell>
        </row>
        <row r="26">
          <cell r="A26" t="str">
            <v>tb3</v>
          </cell>
          <cell r="E26">
            <v>3</v>
          </cell>
          <cell r="F26" t="str">
            <v>TB.1B</v>
          </cell>
          <cell r="G26">
            <v>0.625</v>
          </cell>
          <cell r="H26">
            <v>0.3</v>
          </cell>
          <cell r="I26">
            <v>0.5</v>
          </cell>
          <cell r="J26">
            <v>0.22499999999999998</v>
          </cell>
          <cell r="K26">
            <v>487.20005760000004</v>
          </cell>
          <cell r="L26">
            <v>2</v>
          </cell>
          <cell r="T26">
            <v>2</v>
          </cell>
          <cell r="U26">
            <v>9.375E-2</v>
          </cell>
          <cell r="V26">
            <v>0.1875</v>
          </cell>
          <cell r="AM26">
            <v>0</v>
          </cell>
          <cell r="AN26">
            <v>7.4843100000000007</v>
          </cell>
          <cell r="AO26">
            <v>0</v>
          </cell>
          <cell r="AP26">
            <v>0</v>
          </cell>
          <cell r="AQ26">
            <v>38.190695400000003</v>
          </cell>
          <cell r="AR26">
            <v>0</v>
          </cell>
          <cell r="AS26">
            <v>0</v>
          </cell>
          <cell r="AT26">
            <v>0</v>
          </cell>
          <cell r="AU26">
            <v>0</v>
          </cell>
          <cell r="AV26">
            <v>0</v>
          </cell>
          <cell r="AW26">
            <v>0</v>
          </cell>
          <cell r="AX26">
            <v>14.968620000000001</v>
          </cell>
          <cell r="AY26">
            <v>0</v>
          </cell>
          <cell r="AZ26">
            <v>0</v>
          </cell>
          <cell r="BA26">
            <v>76.381390800000005</v>
          </cell>
          <cell r="BB26">
            <v>0</v>
          </cell>
          <cell r="BC26">
            <v>0</v>
          </cell>
          <cell r="BD26">
            <v>0</v>
          </cell>
          <cell r="BE26">
            <v>0</v>
          </cell>
          <cell r="BF26">
            <v>0</v>
          </cell>
        </row>
        <row r="27">
          <cell r="A27" t="str">
            <v>tb4</v>
          </cell>
          <cell r="E27">
            <v>4</v>
          </cell>
          <cell r="F27" t="str">
            <v>TB.1C</v>
          </cell>
          <cell r="G27">
            <v>3.8170000000000002</v>
          </cell>
          <cell r="H27">
            <v>0.3</v>
          </cell>
          <cell r="I27">
            <v>0.5</v>
          </cell>
          <cell r="J27">
            <v>1.37412</v>
          </cell>
          <cell r="K27">
            <v>221.4108361540477</v>
          </cell>
          <cell r="L27">
            <v>2</v>
          </cell>
          <cell r="T27">
            <v>2</v>
          </cell>
          <cell r="U27">
            <v>0.57255</v>
          </cell>
          <cell r="V27">
            <v>1.1451</v>
          </cell>
          <cell r="AM27">
            <v>0</v>
          </cell>
          <cell r="AN27">
            <v>31.746051000000005</v>
          </cell>
          <cell r="AO27">
            <v>0</v>
          </cell>
          <cell r="AP27">
            <v>0</v>
          </cell>
          <cell r="AQ27">
            <v>95.022723240000005</v>
          </cell>
          <cell r="AR27">
            <v>0</v>
          </cell>
          <cell r="AS27">
            <v>0</v>
          </cell>
          <cell r="AT27">
            <v>0</v>
          </cell>
          <cell r="AU27">
            <v>0</v>
          </cell>
          <cell r="AV27">
            <v>0</v>
          </cell>
          <cell r="AW27">
            <v>0</v>
          </cell>
          <cell r="AX27">
            <v>63.49210200000001</v>
          </cell>
          <cell r="AY27">
            <v>0</v>
          </cell>
          <cell r="AZ27">
            <v>0</v>
          </cell>
          <cell r="BA27">
            <v>190.04544648000001</v>
          </cell>
          <cell r="BB27">
            <v>0</v>
          </cell>
          <cell r="BC27">
            <v>0</v>
          </cell>
          <cell r="BD27">
            <v>0</v>
          </cell>
          <cell r="BE27">
            <v>0</v>
          </cell>
          <cell r="BF27">
            <v>0</v>
          </cell>
        </row>
        <row r="28">
          <cell r="A28" t="str">
            <v>tb5</v>
          </cell>
          <cell r="E28">
            <v>5</v>
          </cell>
          <cell r="F28" t="str">
            <v>TB.1D</v>
          </cell>
          <cell r="G28">
            <v>5.117</v>
          </cell>
          <cell r="H28">
            <v>0.3</v>
          </cell>
          <cell r="I28">
            <v>0.5</v>
          </cell>
          <cell r="J28">
            <v>1.8421199999999998</v>
          </cell>
          <cell r="K28">
            <v>208.75343005667386</v>
          </cell>
          <cell r="L28">
            <v>6</v>
          </cell>
          <cell r="T28">
            <v>6</v>
          </cell>
          <cell r="U28">
            <v>0.76754999999999995</v>
          </cell>
          <cell r="V28">
            <v>4.6052999999999997</v>
          </cell>
          <cell r="AM28">
            <v>0</v>
          </cell>
          <cell r="AN28">
            <v>42.060096000000009</v>
          </cell>
          <cell r="AO28">
            <v>0</v>
          </cell>
          <cell r="AP28">
            <v>0</v>
          </cell>
          <cell r="AQ28">
            <v>118.16859924000001</v>
          </cell>
          <cell r="AR28">
            <v>0</v>
          </cell>
          <cell r="AS28">
            <v>0</v>
          </cell>
          <cell r="AT28">
            <v>0</v>
          </cell>
          <cell r="AU28">
            <v>0</v>
          </cell>
          <cell r="AV28">
            <v>0</v>
          </cell>
          <cell r="AW28">
            <v>0</v>
          </cell>
          <cell r="AX28">
            <v>252.36057600000004</v>
          </cell>
          <cell r="AY28">
            <v>0</v>
          </cell>
          <cell r="AZ28">
            <v>0</v>
          </cell>
          <cell r="BA28">
            <v>709.01159544000006</v>
          </cell>
          <cell r="BB28">
            <v>0</v>
          </cell>
          <cell r="BC28">
            <v>0</v>
          </cell>
          <cell r="BD28">
            <v>0</v>
          </cell>
          <cell r="BE28">
            <v>0</v>
          </cell>
          <cell r="BF28">
            <v>0</v>
          </cell>
        </row>
        <row r="29">
          <cell r="A29" t="str">
            <v>tb6</v>
          </cell>
          <cell r="E29">
            <v>6</v>
          </cell>
          <cell r="F29" t="str">
            <v>TB.1E</v>
          </cell>
          <cell r="G29">
            <v>5.1920000000000002</v>
          </cell>
          <cell r="H29">
            <v>0.3</v>
          </cell>
          <cell r="I29">
            <v>0.5</v>
          </cell>
          <cell r="J29">
            <v>1.8691200000000001</v>
          </cell>
          <cell r="K29">
            <v>207.57127534668723</v>
          </cell>
          <cell r="L29">
            <v>4</v>
          </cell>
          <cell r="T29">
            <v>4</v>
          </cell>
          <cell r="U29">
            <v>0.77880000000000005</v>
          </cell>
          <cell r="V29">
            <v>3.1152000000000002</v>
          </cell>
          <cell r="AM29">
            <v>0</v>
          </cell>
          <cell r="AN29">
            <v>42.152571000000009</v>
          </cell>
          <cell r="AO29">
            <v>0</v>
          </cell>
          <cell r="AP29">
            <v>0</v>
          </cell>
          <cell r="AQ29">
            <v>119.50393824000001</v>
          </cell>
          <cell r="AR29">
            <v>0</v>
          </cell>
          <cell r="AS29">
            <v>0</v>
          </cell>
          <cell r="AT29">
            <v>0</v>
          </cell>
          <cell r="AU29">
            <v>0</v>
          </cell>
          <cell r="AV29">
            <v>0</v>
          </cell>
          <cell r="AW29">
            <v>0</v>
          </cell>
          <cell r="AX29">
            <v>168.61028400000004</v>
          </cell>
          <cell r="AY29">
            <v>0</v>
          </cell>
          <cell r="AZ29">
            <v>0</v>
          </cell>
          <cell r="BA29">
            <v>478.01575296000004</v>
          </cell>
          <cell r="BB29">
            <v>0</v>
          </cell>
          <cell r="BC29">
            <v>0</v>
          </cell>
          <cell r="BD29">
            <v>0</v>
          </cell>
          <cell r="BE29">
            <v>0</v>
          </cell>
          <cell r="BF29">
            <v>0</v>
          </cell>
        </row>
        <row r="30">
          <cell r="A30" t="str">
            <v>tb7</v>
          </cell>
          <cell r="E30">
            <v>7</v>
          </cell>
          <cell r="F30" t="str">
            <v>TB.1F</v>
          </cell>
          <cell r="G30">
            <v>5.1920000000000002</v>
          </cell>
          <cell r="H30">
            <v>0.3</v>
          </cell>
          <cell r="I30">
            <v>0.5</v>
          </cell>
          <cell r="J30">
            <v>1.8691200000000001</v>
          </cell>
          <cell r="K30">
            <v>207.57127534668723</v>
          </cell>
          <cell r="L30">
            <v>2</v>
          </cell>
          <cell r="T30">
            <v>2</v>
          </cell>
          <cell r="U30">
            <v>0.77880000000000005</v>
          </cell>
          <cell r="V30">
            <v>1.5576000000000001</v>
          </cell>
          <cell r="AM30">
            <v>0</v>
          </cell>
          <cell r="AN30">
            <v>42.152571000000009</v>
          </cell>
          <cell r="AO30">
            <v>0</v>
          </cell>
          <cell r="AP30">
            <v>0</v>
          </cell>
          <cell r="AQ30">
            <v>119.50393824000001</v>
          </cell>
          <cell r="AR30">
            <v>0</v>
          </cell>
          <cell r="AS30">
            <v>0</v>
          </cell>
          <cell r="AT30">
            <v>0</v>
          </cell>
          <cell r="AU30">
            <v>0</v>
          </cell>
          <cell r="AV30">
            <v>0</v>
          </cell>
          <cell r="AW30">
            <v>0</v>
          </cell>
          <cell r="AX30">
            <v>84.305142000000018</v>
          </cell>
          <cell r="AY30">
            <v>0</v>
          </cell>
          <cell r="AZ30">
            <v>0</v>
          </cell>
          <cell r="BA30">
            <v>239.00787648000002</v>
          </cell>
          <cell r="BB30">
            <v>0</v>
          </cell>
          <cell r="BC30">
            <v>0</v>
          </cell>
          <cell r="BD30">
            <v>0</v>
          </cell>
          <cell r="BE30">
            <v>0</v>
          </cell>
          <cell r="BF30">
            <v>0</v>
          </cell>
        </row>
        <row r="31">
          <cell r="A31" t="str">
            <v>tb8</v>
          </cell>
          <cell r="E31">
            <v>8</v>
          </cell>
          <cell r="F31" t="str">
            <v>TB.1G</v>
          </cell>
          <cell r="G31">
            <v>1.575</v>
          </cell>
          <cell r="H31">
            <v>0.3</v>
          </cell>
          <cell r="I31">
            <v>0.5</v>
          </cell>
          <cell r="J31">
            <v>0.56699999999999995</v>
          </cell>
          <cell r="K31">
            <v>294.46806095238099</v>
          </cell>
          <cell r="L31">
            <v>2</v>
          </cell>
          <cell r="T31">
            <v>2</v>
          </cell>
          <cell r="U31">
            <v>0.23624999999999999</v>
          </cell>
          <cell r="V31">
            <v>0.47249999999999998</v>
          </cell>
          <cell r="AM31">
            <v>0</v>
          </cell>
          <cell r="AN31">
            <v>14.463090000000003</v>
          </cell>
          <cell r="AO31">
            <v>0</v>
          </cell>
          <cell r="AP31">
            <v>0</v>
          </cell>
          <cell r="AQ31">
            <v>55.104989400000001</v>
          </cell>
          <cell r="AR31">
            <v>0</v>
          </cell>
          <cell r="AS31">
            <v>0</v>
          </cell>
          <cell r="AT31">
            <v>0</v>
          </cell>
          <cell r="AU31">
            <v>0</v>
          </cell>
          <cell r="AV31">
            <v>0</v>
          </cell>
          <cell r="AW31">
            <v>0</v>
          </cell>
          <cell r="AX31">
            <v>28.926180000000006</v>
          </cell>
          <cell r="AY31">
            <v>0</v>
          </cell>
          <cell r="AZ31">
            <v>0</v>
          </cell>
          <cell r="BA31">
            <v>110.2099788</v>
          </cell>
          <cell r="BB31">
            <v>0</v>
          </cell>
          <cell r="BC31">
            <v>0</v>
          </cell>
          <cell r="BD31">
            <v>0</v>
          </cell>
          <cell r="BE31">
            <v>0</v>
          </cell>
          <cell r="BF31">
            <v>0</v>
          </cell>
        </row>
        <row r="32">
          <cell r="A32" t="str">
            <v>tb9</v>
          </cell>
          <cell r="E32">
            <v>9</v>
          </cell>
          <cell r="F32" t="str">
            <v>TB.2B</v>
          </cell>
          <cell r="G32">
            <v>2.4500000000000002</v>
          </cell>
          <cell r="H32">
            <v>0.25</v>
          </cell>
          <cell r="I32">
            <v>0.35</v>
          </cell>
          <cell r="J32">
            <v>0.51449999999999996</v>
          </cell>
          <cell r="K32">
            <v>220.74021551020411</v>
          </cell>
          <cell r="L32">
            <v>14</v>
          </cell>
          <cell r="T32">
            <v>14</v>
          </cell>
          <cell r="U32">
            <v>0.21437500000000001</v>
          </cell>
          <cell r="V32">
            <v>3.0012500000000002</v>
          </cell>
          <cell r="AM32">
            <v>0</v>
          </cell>
          <cell r="AN32">
            <v>12.000172500000001</v>
          </cell>
          <cell r="AO32">
            <v>0</v>
          </cell>
          <cell r="AP32">
            <v>35.321011200000001</v>
          </cell>
          <cell r="AQ32">
            <v>0</v>
          </cell>
          <cell r="AR32">
            <v>0</v>
          </cell>
          <cell r="AS32">
            <v>0</v>
          </cell>
          <cell r="AT32">
            <v>0</v>
          </cell>
          <cell r="AU32">
            <v>0</v>
          </cell>
          <cell r="AV32">
            <v>0</v>
          </cell>
          <cell r="AW32">
            <v>0</v>
          </cell>
          <cell r="AX32">
            <v>168.00241500000001</v>
          </cell>
          <cell r="AY32">
            <v>0</v>
          </cell>
          <cell r="AZ32">
            <v>494.49415680000004</v>
          </cell>
          <cell r="BA32">
            <v>0</v>
          </cell>
          <cell r="BB32">
            <v>0</v>
          </cell>
          <cell r="BC32">
            <v>0</v>
          </cell>
          <cell r="BD32">
            <v>0</v>
          </cell>
          <cell r="BE32">
            <v>0</v>
          </cell>
          <cell r="BF32">
            <v>0</v>
          </cell>
        </row>
        <row r="33">
          <cell r="A33" t="str">
            <v>tb10</v>
          </cell>
          <cell r="E33">
            <v>10</v>
          </cell>
          <cell r="F33" t="str">
            <v>TB.2C</v>
          </cell>
          <cell r="G33">
            <v>2.1419999999999999</v>
          </cell>
          <cell r="H33">
            <v>0.25</v>
          </cell>
          <cell r="I33">
            <v>0.35</v>
          </cell>
          <cell r="J33">
            <v>0.44981999999999994</v>
          </cell>
          <cell r="K33">
            <v>229.38674765906367</v>
          </cell>
          <cell r="L33">
            <v>1</v>
          </cell>
          <cell r="T33">
            <v>1</v>
          </cell>
          <cell r="U33">
            <v>0.18742499999999998</v>
          </cell>
          <cell r="V33">
            <v>0.18742499999999998</v>
          </cell>
          <cell r="AM33">
            <v>0</v>
          </cell>
          <cell r="AN33">
            <v>10.5883875</v>
          </cell>
          <cell r="AO33">
            <v>0</v>
          </cell>
          <cell r="AP33">
            <v>32.404423680000001</v>
          </cell>
          <cell r="AQ33">
            <v>0</v>
          </cell>
          <cell r="AR33">
            <v>0</v>
          </cell>
          <cell r="AS33">
            <v>0</v>
          </cell>
          <cell r="AT33">
            <v>0</v>
          </cell>
          <cell r="AU33">
            <v>0</v>
          </cell>
          <cell r="AV33">
            <v>0</v>
          </cell>
          <cell r="AW33">
            <v>0</v>
          </cell>
          <cell r="AX33">
            <v>10.5883875</v>
          </cell>
          <cell r="AY33">
            <v>0</v>
          </cell>
          <cell r="AZ33">
            <v>32.404423680000001</v>
          </cell>
          <cell r="BA33">
            <v>0</v>
          </cell>
          <cell r="BB33">
            <v>0</v>
          </cell>
          <cell r="BC33">
            <v>0</v>
          </cell>
          <cell r="BD33">
            <v>0</v>
          </cell>
          <cell r="BE33">
            <v>0</v>
          </cell>
          <cell r="BF33">
            <v>0</v>
          </cell>
        </row>
        <row r="34">
          <cell r="A34" t="str">
            <v>tb11</v>
          </cell>
          <cell r="E34">
            <v>11</v>
          </cell>
          <cell r="F34" t="str">
            <v>TB.2D</v>
          </cell>
          <cell r="G34">
            <v>2.1419999999999999</v>
          </cell>
          <cell r="H34">
            <v>0.25</v>
          </cell>
          <cell r="I34">
            <v>0.35</v>
          </cell>
          <cell r="J34">
            <v>0.44981999999999994</v>
          </cell>
          <cell r="K34">
            <v>229.38674765906367</v>
          </cell>
          <cell r="L34">
            <v>1</v>
          </cell>
          <cell r="T34">
            <v>1</v>
          </cell>
          <cell r="U34">
            <v>0.18742499999999998</v>
          </cell>
          <cell r="V34">
            <v>0.18742499999999998</v>
          </cell>
          <cell r="AM34">
            <v>0</v>
          </cell>
          <cell r="AN34">
            <v>10.5883875</v>
          </cell>
          <cell r="AO34">
            <v>0</v>
          </cell>
          <cell r="AP34">
            <v>32.404423680000001</v>
          </cell>
          <cell r="AQ34">
            <v>0</v>
          </cell>
          <cell r="AR34">
            <v>0</v>
          </cell>
          <cell r="AS34">
            <v>0</v>
          </cell>
          <cell r="AT34">
            <v>0</v>
          </cell>
          <cell r="AU34">
            <v>0</v>
          </cell>
          <cell r="AV34">
            <v>0</v>
          </cell>
          <cell r="AW34">
            <v>0</v>
          </cell>
          <cell r="AX34">
            <v>10.5883875</v>
          </cell>
          <cell r="AY34">
            <v>0</v>
          </cell>
          <cell r="AZ34">
            <v>32.404423680000001</v>
          </cell>
          <cell r="BA34">
            <v>0</v>
          </cell>
          <cell r="BB34">
            <v>0</v>
          </cell>
          <cell r="BC34">
            <v>0</v>
          </cell>
          <cell r="BD34">
            <v>0</v>
          </cell>
          <cell r="BE34">
            <v>0</v>
          </cell>
          <cell r="BF34">
            <v>0</v>
          </cell>
        </row>
        <row r="35">
          <cell r="A35" t="str">
            <v>tb12</v>
          </cell>
          <cell r="E35">
            <v>12</v>
          </cell>
          <cell r="F35" t="str">
            <v>TB.2E</v>
          </cell>
          <cell r="G35">
            <v>1.8366</v>
          </cell>
          <cell r="H35">
            <v>0.25</v>
          </cell>
          <cell r="I35">
            <v>0.35</v>
          </cell>
          <cell r="J35">
            <v>0.38568599999999997</v>
          </cell>
          <cell r="K35">
            <v>240.74957890511968</v>
          </cell>
          <cell r="L35">
            <v>10</v>
          </cell>
          <cell r="T35">
            <v>10</v>
          </cell>
          <cell r="U35">
            <v>0.1607025</v>
          </cell>
          <cell r="V35">
            <v>1.6070249999999999</v>
          </cell>
          <cell r="AM35">
            <v>0</v>
          </cell>
          <cell r="AN35">
            <v>9.1766024999999996</v>
          </cell>
          <cell r="AO35">
            <v>0</v>
          </cell>
          <cell r="AP35">
            <v>29.512456703999998</v>
          </cell>
          <cell r="AQ35">
            <v>0</v>
          </cell>
          <cell r="AR35">
            <v>0</v>
          </cell>
          <cell r="AS35">
            <v>0</v>
          </cell>
          <cell r="AT35">
            <v>0</v>
          </cell>
          <cell r="AU35">
            <v>0</v>
          </cell>
          <cell r="AV35">
            <v>0</v>
          </cell>
          <cell r="AW35">
            <v>0</v>
          </cell>
          <cell r="AX35">
            <v>91.766024999999999</v>
          </cell>
          <cell r="AY35">
            <v>0</v>
          </cell>
          <cell r="AZ35">
            <v>295.12456703999999</v>
          </cell>
          <cell r="BA35">
            <v>0</v>
          </cell>
          <cell r="BB35">
            <v>0</v>
          </cell>
          <cell r="BC35">
            <v>0</v>
          </cell>
          <cell r="BD35">
            <v>0</v>
          </cell>
          <cell r="BE35">
            <v>0</v>
          </cell>
          <cell r="BF35">
            <v>0</v>
          </cell>
        </row>
        <row r="36">
          <cell r="A36" t="str">
            <v>tb13</v>
          </cell>
          <cell r="E36">
            <v>13</v>
          </cell>
          <cell r="F36" t="str">
            <v>TB.2F</v>
          </cell>
          <cell r="G36">
            <v>1.7669999999999999</v>
          </cell>
          <cell r="H36">
            <v>0.25</v>
          </cell>
          <cell r="I36">
            <v>0.35</v>
          </cell>
          <cell r="J36">
            <v>0.37106999999999996</v>
          </cell>
          <cell r="K36">
            <v>245.96967373271892</v>
          </cell>
          <cell r="L36">
            <v>1</v>
          </cell>
          <cell r="T36">
            <v>1</v>
          </cell>
          <cell r="U36">
            <v>0.15461249999999999</v>
          </cell>
          <cell r="V36">
            <v>0.15461249999999999</v>
          </cell>
          <cell r="AM36">
            <v>0</v>
          </cell>
          <cell r="AN36">
            <v>9.1766025000000013</v>
          </cell>
          <cell r="AO36">
            <v>0</v>
          </cell>
          <cell r="AP36">
            <v>28.85338368</v>
          </cell>
          <cell r="AQ36">
            <v>0</v>
          </cell>
          <cell r="AR36">
            <v>0</v>
          </cell>
          <cell r="AS36">
            <v>0</v>
          </cell>
          <cell r="AT36">
            <v>0</v>
          </cell>
          <cell r="AU36">
            <v>0</v>
          </cell>
          <cell r="AV36">
            <v>0</v>
          </cell>
          <cell r="AW36">
            <v>0</v>
          </cell>
          <cell r="AX36">
            <v>9.1766025000000013</v>
          </cell>
          <cell r="AY36">
            <v>0</v>
          </cell>
          <cell r="AZ36">
            <v>28.85338368</v>
          </cell>
          <cell r="BA36">
            <v>0</v>
          </cell>
          <cell r="BB36">
            <v>0</v>
          </cell>
          <cell r="BC36">
            <v>0</v>
          </cell>
          <cell r="BD36">
            <v>0</v>
          </cell>
          <cell r="BE36">
            <v>0</v>
          </cell>
          <cell r="BF36">
            <v>0</v>
          </cell>
        </row>
        <row r="37">
          <cell r="A37" t="str">
            <v>tb14</v>
          </cell>
          <cell r="E37">
            <v>14</v>
          </cell>
          <cell r="F37" t="str">
            <v>TB.2G</v>
          </cell>
          <cell r="G37">
            <v>1.7669999999999999</v>
          </cell>
          <cell r="H37">
            <v>0.25</v>
          </cell>
          <cell r="I37">
            <v>0.35</v>
          </cell>
          <cell r="J37">
            <v>0.37106999999999996</v>
          </cell>
          <cell r="K37">
            <v>245.96967373271892</v>
          </cell>
          <cell r="L37">
            <v>1</v>
          </cell>
          <cell r="T37">
            <v>1</v>
          </cell>
          <cell r="U37">
            <v>0.15461249999999999</v>
          </cell>
          <cell r="V37">
            <v>0.15461249999999999</v>
          </cell>
          <cell r="AM37">
            <v>0</v>
          </cell>
          <cell r="AN37">
            <v>9.1766025000000013</v>
          </cell>
          <cell r="AO37">
            <v>0</v>
          </cell>
          <cell r="AP37">
            <v>28.85338368</v>
          </cell>
          <cell r="AQ37">
            <v>0</v>
          </cell>
          <cell r="AR37">
            <v>0</v>
          </cell>
          <cell r="AS37">
            <v>0</v>
          </cell>
          <cell r="AT37">
            <v>0</v>
          </cell>
          <cell r="AU37">
            <v>0</v>
          </cell>
          <cell r="AV37">
            <v>0</v>
          </cell>
          <cell r="AW37">
            <v>0</v>
          </cell>
          <cell r="AX37">
            <v>9.1766025000000013</v>
          </cell>
          <cell r="AY37">
            <v>0</v>
          </cell>
          <cell r="AZ37">
            <v>28.85338368</v>
          </cell>
          <cell r="BA37">
            <v>0</v>
          </cell>
          <cell r="BB37">
            <v>0</v>
          </cell>
          <cell r="BC37">
            <v>0</v>
          </cell>
          <cell r="BD37">
            <v>0</v>
          </cell>
          <cell r="BE37">
            <v>0</v>
          </cell>
          <cell r="BF37">
            <v>0</v>
          </cell>
        </row>
        <row r="38">
          <cell r="A38" t="str">
            <v>tb15</v>
          </cell>
          <cell r="E38">
            <v>15</v>
          </cell>
          <cell r="F38" t="str">
            <v>TB.2H</v>
          </cell>
          <cell r="G38">
            <v>3</v>
          </cell>
          <cell r="H38">
            <v>0.25</v>
          </cell>
          <cell r="I38">
            <v>0.35</v>
          </cell>
          <cell r="J38">
            <v>0.62999999999999989</v>
          </cell>
          <cell r="K38">
            <v>210.86836457142863</v>
          </cell>
          <cell r="L38">
            <v>2</v>
          </cell>
          <cell r="T38">
            <v>2</v>
          </cell>
          <cell r="U38">
            <v>0.26249999999999996</v>
          </cell>
          <cell r="V38">
            <v>0.52499999999999991</v>
          </cell>
          <cell r="AM38">
            <v>0</v>
          </cell>
          <cell r="AN38">
            <v>14.823742500000002</v>
          </cell>
          <cell r="AO38">
            <v>0</v>
          </cell>
          <cell r="AP38">
            <v>40.529203200000005</v>
          </cell>
          <cell r="AQ38">
            <v>0</v>
          </cell>
          <cell r="AR38">
            <v>0</v>
          </cell>
          <cell r="AS38">
            <v>0</v>
          </cell>
          <cell r="AT38">
            <v>0</v>
          </cell>
          <cell r="AU38">
            <v>0</v>
          </cell>
          <cell r="AV38">
            <v>0</v>
          </cell>
          <cell r="AW38">
            <v>0</v>
          </cell>
          <cell r="AX38">
            <v>29.647485000000003</v>
          </cell>
          <cell r="AY38">
            <v>0</v>
          </cell>
          <cell r="AZ38">
            <v>81.05840640000001</v>
          </cell>
          <cell r="BA38">
            <v>0</v>
          </cell>
          <cell r="BB38">
            <v>0</v>
          </cell>
          <cell r="BC38">
            <v>0</v>
          </cell>
          <cell r="BD38">
            <v>0</v>
          </cell>
          <cell r="BE38">
            <v>0</v>
          </cell>
          <cell r="BF38">
            <v>0</v>
          </cell>
        </row>
        <row r="39">
          <cell r="A39" t="str">
            <v>tb16</v>
          </cell>
          <cell r="E39">
            <v>16</v>
          </cell>
          <cell r="F39" t="str">
            <v>TB.2J</v>
          </cell>
          <cell r="G39">
            <v>3.75</v>
          </cell>
          <cell r="H39">
            <v>0.25</v>
          </cell>
          <cell r="I39">
            <v>0.35</v>
          </cell>
          <cell r="J39">
            <v>0.78749999999999998</v>
          </cell>
          <cell r="K39">
            <v>201.09558308571428</v>
          </cell>
          <cell r="L39">
            <v>1</v>
          </cell>
          <cell r="T39">
            <v>1</v>
          </cell>
          <cell r="U39">
            <v>0.328125</v>
          </cell>
          <cell r="V39">
            <v>0.328125</v>
          </cell>
          <cell r="AM39">
            <v>0</v>
          </cell>
          <cell r="AN39">
            <v>18.353205000000003</v>
          </cell>
          <cell r="AO39">
            <v>0</v>
          </cell>
          <cell r="AP39">
            <v>47.631283199999999</v>
          </cell>
          <cell r="AQ39">
            <v>0</v>
          </cell>
          <cell r="AR39">
            <v>0</v>
          </cell>
          <cell r="AS39">
            <v>0</v>
          </cell>
          <cell r="AT39">
            <v>0</v>
          </cell>
          <cell r="AU39">
            <v>0</v>
          </cell>
          <cell r="AV39">
            <v>0</v>
          </cell>
          <cell r="AW39">
            <v>0</v>
          </cell>
          <cell r="AX39">
            <v>18.353205000000003</v>
          </cell>
          <cell r="AY39">
            <v>0</v>
          </cell>
          <cell r="AZ39">
            <v>47.631283199999999</v>
          </cell>
          <cell r="BA39">
            <v>0</v>
          </cell>
          <cell r="BB39">
            <v>0</v>
          </cell>
          <cell r="BC39">
            <v>0</v>
          </cell>
          <cell r="BD39">
            <v>0</v>
          </cell>
          <cell r="BE39">
            <v>0</v>
          </cell>
          <cell r="BF39">
            <v>0</v>
          </cell>
        </row>
        <row r="40">
          <cell r="L40">
            <v>51</v>
          </cell>
          <cell r="M40">
            <v>0</v>
          </cell>
          <cell r="N40">
            <v>0</v>
          </cell>
          <cell r="O40">
            <v>0</v>
          </cell>
          <cell r="P40">
            <v>0</v>
          </cell>
          <cell r="Q40">
            <v>0</v>
          </cell>
          <cell r="R40">
            <v>0</v>
          </cell>
          <cell r="S40">
            <v>0</v>
          </cell>
          <cell r="T40">
            <v>51</v>
          </cell>
          <cell r="V40">
            <v>18.278674999999996</v>
          </cell>
          <cell r="AW40">
            <v>0</v>
          </cell>
          <cell r="AX40">
            <v>1018.8007739999999</v>
          </cell>
          <cell r="AY40">
            <v>0</v>
          </cell>
          <cell r="AZ40">
            <v>1040.8240281600001</v>
          </cell>
          <cell r="BA40">
            <v>1981.4294217600004</v>
          </cell>
          <cell r="BB40">
            <v>0</v>
          </cell>
          <cell r="BC40">
            <v>0</v>
          </cell>
          <cell r="BD40">
            <v>0</v>
          </cell>
          <cell r="BE40">
            <v>0</v>
          </cell>
          <cell r="BF40">
            <v>0</v>
          </cell>
        </row>
        <row r="42">
          <cell r="D42" t="str">
            <v>Upper Structure</v>
          </cell>
        </row>
        <row r="43">
          <cell r="A43" t="str">
            <v>k1</v>
          </cell>
          <cell r="C43">
            <v>4</v>
          </cell>
          <cell r="D43" t="str">
            <v>Kolom</v>
          </cell>
          <cell r="E43">
            <v>1</v>
          </cell>
          <cell r="F43" t="str">
            <v>K1.1</v>
          </cell>
          <cell r="G43">
            <v>0.34</v>
          </cell>
          <cell r="H43">
            <v>0.34</v>
          </cell>
          <cell r="I43">
            <v>3.35</v>
          </cell>
          <cell r="J43">
            <v>0.92942400000000025</v>
          </cell>
          <cell r="K43">
            <v>170.74786241801365</v>
          </cell>
          <cell r="L43">
            <v>26</v>
          </cell>
          <cell r="T43">
            <v>26</v>
          </cell>
          <cell r="U43">
            <v>0.3872600000000001</v>
          </cell>
          <cell r="V43">
            <v>10.068760000000003</v>
          </cell>
          <cell r="W43">
            <v>3.4007999999999998E-3</v>
          </cell>
          <cell r="X43">
            <v>8.8420799999999994E-2</v>
          </cell>
          <cell r="Y43">
            <v>5.4332000000000005E-2</v>
          </cell>
          <cell r="Z43">
            <v>1.4126320000000001</v>
          </cell>
          <cell r="AA43">
            <v>5.4332000000000005E-2</v>
          </cell>
          <cell r="AB43">
            <v>1.4126320000000001</v>
          </cell>
          <cell r="AC43">
            <v>6.240000000000002</v>
          </cell>
          <cell r="AD43">
            <v>162.24000000000007</v>
          </cell>
          <cell r="AE43">
            <v>7.8000000000000007</v>
          </cell>
          <cell r="AF43">
            <v>202.8</v>
          </cell>
          <cell r="AM43">
            <v>0</v>
          </cell>
          <cell r="AN43">
            <v>25.440488999999999</v>
          </cell>
          <cell r="AO43">
            <v>0</v>
          </cell>
          <cell r="AP43">
            <v>0</v>
          </cell>
          <cell r="AQ43">
            <v>40.683328199999998</v>
          </cell>
          <cell r="AR43">
            <v>0</v>
          </cell>
          <cell r="AS43">
            <v>0</v>
          </cell>
          <cell r="AT43">
            <v>0</v>
          </cell>
          <cell r="AU43">
            <v>0</v>
          </cell>
          <cell r="AV43">
            <v>0</v>
          </cell>
          <cell r="AW43">
            <v>0</v>
          </cell>
          <cell r="AX43">
            <v>661.45271400000001</v>
          </cell>
          <cell r="AY43">
            <v>0</v>
          </cell>
          <cell r="AZ43">
            <v>0</v>
          </cell>
          <cell r="BA43">
            <v>1057.7665331999999</v>
          </cell>
          <cell r="BB43">
            <v>0</v>
          </cell>
          <cell r="BC43">
            <v>0</v>
          </cell>
          <cell r="BD43">
            <v>0</v>
          </cell>
          <cell r="BE43">
            <v>0</v>
          </cell>
          <cell r="BF43">
            <v>0</v>
          </cell>
        </row>
        <row r="44">
          <cell r="A44" t="str">
            <v>k2</v>
          </cell>
          <cell r="E44">
            <v>2</v>
          </cell>
          <cell r="F44" t="str">
            <v>K2.1</v>
          </cell>
          <cell r="G44">
            <v>0.34</v>
          </cell>
          <cell r="H44">
            <v>0.34</v>
          </cell>
          <cell r="I44">
            <v>3.35</v>
          </cell>
          <cell r="J44">
            <v>0.92942400000000025</v>
          </cell>
          <cell r="K44">
            <v>170.74786241801371</v>
          </cell>
          <cell r="L44">
            <v>4</v>
          </cell>
          <cell r="T44">
            <v>4</v>
          </cell>
          <cell r="U44">
            <v>0.3872600000000001</v>
          </cell>
          <cell r="V44">
            <v>1.5490400000000004</v>
          </cell>
          <cell r="W44">
            <v>3.4007999999999998E-3</v>
          </cell>
          <cell r="X44">
            <v>1.3603199999999999E-2</v>
          </cell>
          <cell r="Y44">
            <v>5.4332000000000005E-2</v>
          </cell>
          <cell r="Z44">
            <v>0.21732800000000002</v>
          </cell>
          <cell r="AA44">
            <v>5.4332000000000005E-2</v>
          </cell>
          <cell r="AB44">
            <v>0.21732800000000002</v>
          </cell>
          <cell r="AC44">
            <v>6.240000000000002</v>
          </cell>
          <cell r="AD44">
            <v>24.960000000000008</v>
          </cell>
          <cell r="AE44">
            <v>7.8000000000000007</v>
          </cell>
          <cell r="AF44">
            <v>31.200000000000003</v>
          </cell>
          <cell r="AM44">
            <v>0</v>
          </cell>
          <cell r="AN44">
            <v>25.440489000000003</v>
          </cell>
          <cell r="AO44">
            <v>0</v>
          </cell>
          <cell r="AP44">
            <v>0</v>
          </cell>
          <cell r="AQ44">
            <v>40.683328199999998</v>
          </cell>
          <cell r="AR44">
            <v>0</v>
          </cell>
          <cell r="AS44">
            <v>0</v>
          </cell>
          <cell r="AT44">
            <v>0</v>
          </cell>
          <cell r="AU44">
            <v>0</v>
          </cell>
          <cell r="AV44">
            <v>0</v>
          </cell>
          <cell r="AW44">
            <v>0</v>
          </cell>
          <cell r="AX44">
            <v>101.76195600000001</v>
          </cell>
          <cell r="AY44">
            <v>0</v>
          </cell>
          <cell r="AZ44">
            <v>0</v>
          </cell>
          <cell r="BA44">
            <v>162.73331279999999</v>
          </cell>
          <cell r="BB44">
            <v>0</v>
          </cell>
          <cell r="BC44">
            <v>0</v>
          </cell>
          <cell r="BD44">
            <v>0</v>
          </cell>
          <cell r="BE44">
            <v>0</v>
          </cell>
          <cell r="BF44">
            <v>0</v>
          </cell>
        </row>
        <row r="45">
          <cell r="A45" t="str">
            <v>k3</v>
          </cell>
          <cell r="E45">
            <v>3</v>
          </cell>
          <cell r="F45" t="str">
            <v>K3.1</v>
          </cell>
          <cell r="G45">
            <v>0.34</v>
          </cell>
          <cell r="H45">
            <v>0.34</v>
          </cell>
          <cell r="I45">
            <v>3.35</v>
          </cell>
          <cell r="J45">
            <v>0.92942400000000025</v>
          </cell>
          <cell r="K45">
            <v>170.74786241801371</v>
          </cell>
          <cell r="L45">
            <v>4</v>
          </cell>
          <cell r="T45">
            <v>4</v>
          </cell>
          <cell r="U45">
            <v>0.3872600000000001</v>
          </cell>
          <cell r="V45">
            <v>1.5490400000000004</v>
          </cell>
          <cell r="W45">
            <v>3.4007999999999998E-3</v>
          </cell>
          <cell r="X45">
            <v>1.3603199999999999E-2</v>
          </cell>
          <cell r="Y45">
            <v>5.4332000000000005E-2</v>
          </cell>
          <cell r="Z45">
            <v>0.21732800000000002</v>
          </cell>
          <cell r="AA45">
            <v>5.4332000000000005E-2</v>
          </cell>
          <cell r="AB45">
            <v>0.21732800000000002</v>
          </cell>
          <cell r="AC45">
            <v>6.240000000000002</v>
          </cell>
          <cell r="AD45">
            <v>24.960000000000008</v>
          </cell>
          <cell r="AE45">
            <v>7.8000000000000007</v>
          </cell>
          <cell r="AF45">
            <v>31.200000000000003</v>
          </cell>
          <cell r="AM45">
            <v>0</v>
          </cell>
          <cell r="AN45">
            <v>25.440489000000003</v>
          </cell>
          <cell r="AO45">
            <v>0</v>
          </cell>
          <cell r="AP45">
            <v>0</v>
          </cell>
          <cell r="AQ45">
            <v>40.683328199999998</v>
          </cell>
          <cell r="AR45">
            <v>0</v>
          </cell>
          <cell r="AS45">
            <v>0</v>
          </cell>
          <cell r="AT45">
            <v>0</v>
          </cell>
          <cell r="AU45">
            <v>0</v>
          </cell>
          <cell r="AV45">
            <v>0</v>
          </cell>
          <cell r="AW45">
            <v>0</v>
          </cell>
          <cell r="AX45">
            <v>101.76195600000001</v>
          </cell>
          <cell r="AY45">
            <v>0</v>
          </cell>
          <cell r="AZ45">
            <v>0</v>
          </cell>
          <cell r="BA45">
            <v>162.73331279999999</v>
          </cell>
          <cell r="BB45">
            <v>0</v>
          </cell>
          <cell r="BC45">
            <v>0</v>
          </cell>
          <cell r="BD45">
            <v>0</v>
          </cell>
          <cell r="BE45">
            <v>0</v>
          </cell>
          <cell r="BF45">
            <v>0</v>
          </cell>
        </row>
        <row r="46">
          <cell r="A46" t="str">
            <v>k4</v>
          </cell>
          <cell r="E46">
            <v>4</v>
          </cell>
          <cell r="F46" t="str">
            <v>K1.2</v>
          </cell>
          <cell r="G46">
            <v>0.34</v>
          </cell>
          <cell r="H46">
            <v>0.34</v>
          </cell>
          <cell r="I46">
            <v>2.65</v>
          </cell>
          <cell r="J46">
            <v>0.73521600000000009</v>
          </cell>
          <cell r="K46">
            <v>181.26074035385517</v>
          </cell>
          <cell r="N46">
            <v>26</v>
          </cell>
          <cell r="T46">
            <v>26</v>
          </cell>
          <cell r="U46">
            <v>0.30634000000000006</v>
          </cell>
          <cell r="V46">
            <v>7.9648400000000015</v>
          </cell>
          <cell r="W46">
            <v>3.4007999999999998E-3</v>
          </cell>
          <cell r="X46">
            <v>8.8420799999999994E-2</v>
          </cell>
          <cell r="Y46">
            <v>5.4332000000000005E-2</v>
          </cell>
          <cell r="Z46">
            <v>1.4126320000000001</v>
          </cell>
          <cell r="AA46">
            <v>5.4332000000000005E-2</v>
          </cell>
          <cell r="AB46">
            <v>1.4126320000000001</v>
          </cell>
          <cell r="AC46">
            <v>6.240000000000002</v>
          </cell>
          <cell r="AD46">
            <v>162.24000000000007</v>
          </cell>
          <cell r="AE46">
            <v>7.8000000000000007</v>
          </cell>
          <cell r="AF46">
            <v>202.8</v>
          </cell>
          <cell r="AM46">
            <v>0</v>
          </cell>
          <cell r="AN46">
            <v>21.075669000000005</v>
          </cell>
          <cell r="AO46">
            <v>0</v>
          </cell>
          <cell r="AP46">
            <v>0</v>
          </cell>
          <cell r="AQ46">
            <v>34.451746200000002</v>
          </cell>
          <cell r="AR46">
            <v>0</v>
          </cell>
          <cell r="AS46">
            <v>0</v>
          </cell>
          <cell r="AT46">
            <v>0</v>
          </cell>
          <cell r="AU46">
            <v>0</v>
          </cell>
          <cell r="AV46">
            <v>0</v>
          </cell>
          <cell r="AW46">
            <v>0</v>
          </cell>
          <cell r="AX46">
            <v>547.96739400000013</v>
          </cell>
          <cell r="AY46">
            <v>0</v>
          </cell>
          <cell r="AZ46">
            <v>0</v>
          </cell>
          <cell r="BA46">
            <v>895.74540120000006</v>
          </cell>
          <cell r="BB46">
            <v>0</v>
          </cell>
          <cell r="BC46">
            <v>0</v>
          </cell>
          <cell r="BD46">
            <v>0</v>
          </cell>
          <cell r="BE46">
            <v>0</v>
          </cell>
          <cell r="BF46">
            <v>0</v>
          </cell>
        </row>
        <row r="47">
          <cell r="A47" t="str">
            <v>k5</v>
          </cell>
          <cell r="E47">
            <v>5</v>
          </cell>
          <cell r="F47" t="str">
            <v>K2.2</v>
          </cell>
          <cell r="G47">
            <v>0.34</v>
          </cell>
          <cell r="H47">
            <v>0.34</v>
          </cell>
          <cell r="I47">
            <v>2.65</v>
          </cell>
          <cell r="J47">
            <v>0.73521600000000009</v>
          </cell>
          <cell r="K47">
            <v>181.26074035385517</v>
          </cell>
          <cell r="N47">
            <v>4</v>
          </cell>
          <cell r="T47">
            <v>4</v>
          </cell>
          <cell r="U47">
            <v>0.30634000000000006</v>
          </cell>
          <cell r="V47">
            <v>1.2253600000000002</v>
          </cell>
          <cell r="W47">
            <v>3.4007999999999998E-3</v>
          </cell>
          <cell r="X47">
            <v>1.3603199999999999E-2</v>
          </cell>
          <cell r="Y47">
            <v>5.4332000000000005E-2</v>
          </cell>
          <cell r="Z47">
            <v>0.21732800000000002</v>
          </cell>
          <cell r="AA47">
            <v>5.4332000000000005E-2</v>
          </cell>
          <cell r="AB47">
            <v>0.21732800000000002</v>
          </cell>
          <cell r="AC47">
            <v>6.240000000000002</v>
          </cell>
          <cell r="AD47">
            <v>24.960000000000008</v>
          </cell>
          <cell r="AE47">
            <v>7.8000000000000007</v>
          </cell>
          <cell r="AF47">
            <v>31.200000000000003</v>
          </cell>
          <cell r="AM47">
            <v>0</v>
          </cell>
          <cell r="AN47">
            <v>21.075669000000001</v>
          </cell>
          <cell r="AO47">
            <v>0</v>
          </cell>
          <cell r="AP47">
            <v>0</v>
          </cell>
          <cell r="AQ47">
            <v>34.451746200000002</v>
          </cell>
          <cell r="AR47">
            <v>0</v>
          </cell>
          <cell r="AS47">
            <v>0</v>
          </cell>
          <cell r="AT47">
            <v>0</v>
          </cell>
          <cell r="AU47">
            <v>0</v>
          </cell>
          <cell r="AV47">
            <v>0</v>
          </cell>
          <cell r="AW47">
            <v>0</v>
          </cell>
          <cell r="AX47">
            <v>84.302676000000005</v>
          </cell>
          <cell r="AY47">
            <v>0</v>
          </cell>
          <cell r="AZ47">
            <v>0</v>
          </cell>
          <cell r="BA47">
            <v>137.80698480000001</v>
          </cell>
          <cell r="BB47">
            <v>0</v>
          </cell>
          <cell r="BC47">
            <v>0</v>
          </cell>
          <cell r="BD47">
            <v>0</v>
          </cell>
          <cell r="BE47">
            <v>0</v>
          </cell>
          <cell r="BF47">
            <v>0</v>
          </cell>
        </row>
        <row r="48">
          <cell r="A48" t="str">
            <v>k6</v>
          </cell>
          <cell r="E48">
            <v>6</v>
          </cell>
          <cell r="F48" t="str">
            <v>K3.2</v>
          </cell>
          <cell r="G48">
            <v>0.34</v>
          </cell>
          <cell r="H48">
            <v>0.34</v>
          </cell>
          <cell r="I48">
            <v>2.65</v>
          </cell>
          <cell r="J48">
            <v>0.73521600000000009</v>
          </cell>
          <cell r="K48">
            <v>181.26074035385517</v>
          </cell>
          <cell r="N48">
            <v>4</v>
          </cell>
          <cell r="T48">
            <v>4</v>
          </cell>
          <cell r="U48">
            <v>0.30634000000000006</v>
          </cell>
          <cell r="V48">
            <v>1.2253600000000002</v>
          </cell>
          <cell r="W48">
            <v>3.4007999999999998E-3</v>
          </cell>
          <cell r="X48">
            <v>1.3603199999999999E-2</v>
          </cell>
          <cell r="Y48">
            <v>5.4332000000000005E-2</v>
          </cell>
          <cell r="Z48">
            <v>0.21732800000000002</v>
          </cell>
          <cell r="AA48">
            <v>5.4332000000000005E-2</v>
          </cell>
          <cell r="AB48">
            <v>0.21732800000000002</v>
          </cell>
          <cell r="AC48">
            <v>6.240000000000002</v>
          </cell>
          <cell r="AD48">
            <v>24.960000000000008</v>
          </cell>
          <cell r="AE48">
            <v>7.8000000000000007</v>
          </cell>
          <cell r="AF48">
            <v>31.200000000000003</v>
          </cell>
          <cell r="AM48">
            <v>0</v>
          </cell>
          <cell r="AN48">
            <v>21.075669000000001</v>
          </cell>
          <cell r="AO48">
            <v>0</v>
          </cell>
          <cell r="AP48">
            <v>0</v>
          </cell>
          <cell r="AQ48">
            <v>34.451746200000002</v>
          </cell>
          <cell r="AR48">
            <v>0</v>
          </cell>
          <cell r="AS48">
            <v>0</v>
          </cell>
          <cell r="AT48">
            <v>0</v>
          </cell>
          <cell r="AU48">
            <v>0</v>
          </cell>
          <cell r="AV48">
            <v>0</v>
          </cell>
          <cell r="AW48">
            <v>0</v>
          </cell>
          <cell r="AX48">
            <v>84.302676000000005</v>
          </cell>
          <cell r="AY48">
            <v>0</v>
          </cell>
          <cell r="AZ48">
            <v>0</v>
          </cell>
          <cell r="BA48">
            <v>137.80698480000001</v>
          </cell>
          <cell r="BB48">
            <v>0</v>
          </cell>
          <cell r="BC48">
            <v>0</v>
          </cell>
          <cell r="BD48">
            <v>0</v>
          </cell>
          <cell r="BE48">
            <v>0</v>
          </cell>
          <cell r="BF48">
            <v>0</v>
          </cell>
        </row>
        <row r="49">
          <cell r="A49" t="str">
            <v>k7</v>
          </cell>
          <cell r="E49">
            <v>7</v>
          </cell>
          <cell r="F49" t="str">
            <v>K1.3</v>
          </cell>
          <cell r="G49">
            <v>0.34</v>
          </cell>
          <cell r="H49">
            <v>0.34</v>
          </cell>
          <cell r="I49">
            <v>2.65</v>
          </cell>
          <cell r="J49">
            <v>0.73521600000000009</v>
          </cell>
          <cell r="K49">
            <v>181.26074035385517</v>
          </cell>
          <cell r="O49">
            <v>26</v>
          </cell>
          <cell r="T49">
            <v>26</v>
          </cell>
          <cell r="U49">
            <v>0.30634000000000006</v>
          </cell>
          <cell r="V49">
            <v>7.9648400000000015</v>
          </cell>
          <cell r="W49">
            <v>3.4007999999999998E-3</v>
          </cell>
          <cell r="X49">
            <v>8.8420799999999994E-2</v>
          </cell>
          <cell r="Y49">
            <v>5.4332000000000005E-2</v>
          </cell>
          <cell r="Z49">
            <v>1.4126320000000001</v>
          </cell>
          <cell r="AA49">
            <v>5.4332000000000005E-2</v>
          </cell>
          <cell r="AB49">
            <v>1.4126320000000001</v>
          </cell>
          <cell r="AC49">
            <v>6.240000000000002</v>
          </cell>
          <cell r="AD49">
            <v>162.24000000000007</v>
          </cell>
          <cell r="AE49">
            <v>7.8000000000000007</v>
          </cell>
          <cell r="AF49">
            <v>202.8</v>
          </cell>
          <cell r="AM49">
            <v>0</v>
          </cell>
          <cell r="AN49">
            <v>21.075669000000005</v>
          </cell>
          <cell r="AO49">
            <v>0</v>
          </cell>
          <cell r="AP49">
            <v>0</v>
          </cell>
          <cell r="AQ49">
            <v>34.451746200000002</v>
          </cell>
          <cell r="AR49">
            <v>0</v>
          </cell>
          <cell r="AS49">
            <v>0</v>
          </cell>
          <cell r="AT49">
            <v>0</v>
          </cell>
          <cell r="AU49">
            <v>0</v>
          </cell>
          <cell r="AV49">
            <v>0</v>
          </cell>
          <cell r="AW49">
            <v>0</v>
          </cell>
          <cell r="AX49">
            <v>547.96739400000013</v>
          </cell>
          <cell r="AY49">
            <v>0</v>
          </cell>
          <cell r="AZ49">
            <v>0</v>
          </cell>
          <cell r="BA49">
            <v>895.74540120000006</v>
          </cell>
          <cell r="BB49">
            <v>0</v>
          </cell>
          <cell r="BC49">
            <v>0</v>
          </cell>
          <cell r="BD49">
            <v>0</v>
          </cell>
          <cell r="BE49">
            <v>0</v>
          </cell>
          <cell r="BF49">
            <v>0</v>
          </cell>
        </row>
        <row r="50">
          <cell r="A50" t="str">
            <v>k8</v>
          </cell>
          <cell r="E50">
            <v>8</v>
          </cell>
          <cell r="F50" t="str">
            <v>K2.3</v>
          </cell>
          <cell r="G50">
            <v>0.34</v>
          </cell>
          <cell r="H50">
            <v>0.34</v>
          </cell>
          <cell r="I50">
            <v>2.65</v>
          </cell>
          <cell r="J50">
            <v>0.73521600000000009</v>
          </cell>
          <cell r="K50">
            <v>181.26074035385517</v>
          </cell>
          <cell r="O50">
            <v>4</v>
          </cell>
          <cell r="T50">
            <v>4</v>
          </cell>
          <cell r="U50">
            <v>0.30634000000000006</v>
          </cell>
          <cell r="V50">
            <v>1.2253600000000002</v>
          </cell>
          <cell r="W50">
            <v>3.4007999999999998E-3</v>
          </cell>
          <cell r="X50">
            <v>1.3603199999999999E-2</v>
          </cell>
          <cell r="Y50">
            <v>5.4332000000000005E-2</v>
          </cell>
          <cell r="Z50">
            <v>0.21732800000000002</v>
          </cell>
          <cell r="AA50">
            <v>5.4332000000000005E-2</v>
          </cell>
          <cell r="AB50">
            <v>0.21732800000000002</v>
          </cell>
          <cell r="AC50">
            <v>6.240000000000002</v>
          </cell>
          <cell r="AD50">
            <v>24.960000000000008</v>
          </cell>
          <cell r="AE50">
            <v>7.8000000000000007</v>
          </cell>
          <cell r="AF50">
            <v>31.200000000000003</v>
          </cell>
          <cell r="AM50">
            <v>0</v>
          </cell>
          <cell r="AN50">
            <v>21.075669000000001</v>
          </cell>
          <cell r="AO50">
            <v>0</v>
          </cell>
          <cell r="AP50">
            <v>0</v>
          </cell>
          <cell r="AQ50">
            <v>34.451746200000002</v>
          </cell>
          <cell r="AR50">
            <v>0</v>
          </cell>
          <cell r="AS50">
            <v>0</v>
          </cell>
          <cell r="AT50">
            <v>0</v>
          </cell>
          <cell r="AU50">
            <v>0</v>
          </cell>
          <cell r="AV50">
            <v>0</v>
          </cell>
          <cell r="AW50">
            <v>0</v>
          </cell>
          <cell r="AX50">
            <v>84.302676000000005</v>
          </cell>
          <cell r="AY50">
            <v>0</v>
          </cell>
          <cell r="AZ50">
            <v>0</v>
          </cell>
          <cell r="BA50">
            <v>137.80698480000001</v>
          </cell>
          <cell r="BB50">
            <v>0</v>
          </cell>
          <cell r="BC50">
            <v>0</v>
          </cell>
          <cell r="BD50">
            <v>0</v>
          </cell>
          <cell r="BE50">
            <v>0</v>
          </cell>
          <cell r="BF50">
            <v>0</v>
          </cell>
        </row>
        <row r="51">
          <cell r="A51" t="str">
            <v>k9</v>
          </cell>
          <cell r="E51">
            <v>9</v>
          </cell>
          <cell r="F51" t="str">
            <v>K3.3</v>
          </cell>
          <cell r="G51">
            <v>0.34</v>
          </cell>
          <cell r="H51">
            <v>0.34</v>
          </cell>
          <cell r="I51">
            <v>2.65</v>
          </cell>
          <cell r="J51">
            <v>0.73521600000000009</v>
          </cell>
          <cell r="K51">
            <v>181.26074035385517</v>
          </cell>
          <cell r="O51">
            <v>4</v>
          </cell>
          <cell r="T51">
            <v>4</v>
          </cell>
          <cell r="U51">
            <v>0.30634000000000006</v>
          </cell>
          <cell r="V51">
            <v>1.2253600000000002</v>
          </cell>
          <cell r="W51">
            <v>3.4007999999999998E-3</v>
          </cell>
          <cell r="X51">
            <v>1.3603199999999999E-2</v>
          </cell>
          <cell r="Y51">
            <v>5.4332000000000005E-2</v>
          </cell>
          <cell r="Z51">
            <v>0.21732800000000002</v>
          </cell>
          <cell r="AA51">
            <v>5.4332000000000005E-2</v>
          </cell>
          <cell r="AB51">
            <v>0.21732800000000002</v>
          </cell>
          <cell r="AC51">
            <v>6.240000000000002</v>
          </cell>
          <cell r="AD51">
            <v>24.960000000000008</v>
          </cell>
          <cell r="AE51">
            <v>7.8000000000000007</v>
          </cell>
          <cell r="AF51">
            <v>31.200000000000003</v>
          </cell>
          <cell r="AM51">
            <v>0</v>
          </cell>
          <cell r="AN51">
            <v>21.075669000000001</v>
          </cell>
          <cell r="AO51">
            <v>0</v>
          </cell>
          <cell r="AP51">
            <v>0</v>
          </cell>
          <cell r="AQ51">
            <v>34.451746200000002</v>
          </cell>
          <cell r="AR51">
            <v>0</v>
          </cell>
          <cell r="AS51">
            <v>0</v>
          </cell>
          <cell r="AT51">
            <v>0</v>
          </cell>
          <cell r="AU51">
            <v>0</v>
          </cell>
          <cell r="AV51">
            <v>0</v>
          </cell>
          <cell r="AW51">
            <v>0</v>
          </cell>
          <cell r="AX51">
            <v>84.302676000000005</v>
          </cell>
          <cell r="AY51">
            <v>0</v>
          </cell>
          <cell r="AZ51">
            <v>0</v>
          </cell>
          <cell r="BA51">
            <v>137.80698480000001</v>
          </cell>
          <cell r="BB51">
            <v>0</v>
          </cell>
          <cell r="BC51">
            <v>0</v>
          </cell>
          <cell r="BD51">
            <v>0</v>
          </cell>
          <cell r="BE51">
            <v>0</v>
          </cell>
          <cell r="BF51">
            <v>0</v>
          </cell>
        </row>
        <row r="52">
          <cell r="A52" t="str">
            <v>k10</v>
          </cell>
          <cell r="E52">
            <v>10</v>
          </cell>
          <cell r="F52" t="str">
            <v>K1.4</v>
          </cell>
          <cell r="G52">
            <v>0.34</v>
          </cell>
          <cell r="H52">
            <v>0.34</v>
          </cell>
          <cell r="I52">
            <v>2.65</v>
          </cell>
          <cell r="J52">
            <v>0.73521600000000009</v>
          </cell>
          <cell r="K52">
            <v>181.26074035385517</v>
          </cell>
          <cell r="P52">
            <v>26</v>
          </cell>
          <cell r="T52">
            <v>26</v>
          </cell>
          <cell r="U52">
            <v>0.30634000000000006</v>
          </cell>
          <cell r="V52">
            <v>7.9648400000000015</v>
          </cell>
          <cell r="W52">
            <v>3.4007999999999998E-3</v>
          </cell>
          <cell r="X52">
            <v>8.8420799999999994E-2</v>
          </cell>
          <cell r="Y52">
            <v>5.4332000000000005E-2</v>
          </cell>
          <cell r="Z52">
            <v>1.4126320000000001</v>
          </cell>
          <cell r="AA52">
            <v>5.4332000000000005E-2</v>
          </cell>
          <cell r="AB52">
            <v>1.4126320000000001</v>
          </cell>
          <cell r="AC52">
            <v>6.240000000000002</v>
          </cell>
          <cell r="AD52">
            <v>162.24000000000007</v>
          </cell>
          <cell r="AE52">
            <v>7.8000000000000007</v>
          </cell>
          <cell r="AF52">
            <v>202.8</v>
          </cell>
          <cell r="AM52">
            <v>0</v>
          </cell>
          <cell r="AN52">
            <v>21.075669000000005</v>
          </cell>
          <cell r="AO52">
            <v>0</v>
          </cell>
          <cell r="AP52">
            <v>0</v>
          </cell>
          <cell r="AQ52">
            <v>34.451746200000002</v>
          </cell>
          <cell r="AR52">
            <v>0</v>
          </cell>
          <cell r="AS52">
            <v>0</v>
          </cell>
          <cell r="AT52">
            <v>0</v>
          </cell>
          <cell r="AU52">
            <v>0</v>
          </cell>
          <cell r="AV52">
            <v>0</v>
          </cell>
          <cell r="AW52">
            <v>0</v>
          </cell>
          <cell r="AX52">
            <v>547.96739400000013</v>
          </cell>
          <cell r="AY52">
            <v>0</v>
          </cell>
          <cell r="AZ52">
            <v>0</v>
          </cell>
          <cell r="BA52">
            <v>895.74540120000006</v>
          </cell>
          <cell r="BB52">
            <v>0</v>
          </cell>
          <cell r="BC52">
            <v>0</v>
          </cell>
          <cell r="BD52">
            <v>0</v>
          </cell>
          <cell r="BE52">
            <v>0</v>
          </cell>
          <cell r="BF52">
            <v>0</v>
          </cell>
        </row>
        <row r="53">
          <cell r="A53" t="str">
            <v>k11</v>
          </cell>
          <cell r="E53">
            <v>11</v>
          </cell>
          <cell r="F53" t="str">
            <v>K2.4</v>
          </cell>
          <cell r="G53">
            <v>0.34</v>
          </cell>
          <cell r="H53">
            <v>0.34</v>
          </cell>
          <cell r="I53">
            <v>2.65</v>
          </cell>
          <cell r="J53">
            <v>0.73521600000000009</v>
          </cell>
          <cell r="K53">
            <v>181.26074035385517</v>
          </cell>
          <cell r="P53">
            <v>4</v>
          </cell>
          <cell r="T53">
            <v>4</v>
          </cell>
          <cell r="U53">
            <v>0.30634000000000006</v>
          </cell>
          <cell r="V53">
            <v>1.2253600000000002</v>
          </cell>
          <cell r="W53">
            <v>3.4007999999999998E-3</v>
          </cell>
          <cell r="X53">
            <v>1.3603199999999999E-2</v>
          </cell>
          <cell r="Y53">
            <v>5.4332000000000005E-2</v>
          </cell>
          <cell r="Z53">
            <v>0.21732800000000002</v>
          </cell>
          <cell r="AA53">
            <v>5.4332000000000005E-2</v>
          </cell>
          <cell r="AB53">
            <v>0.21732800000000002</v>
          </cell>
          <cell r="AC53">
            <v>6.240000000000002</v>
          </cell>
          <cell r="AD53">
            <v>24.960000000000008</v>
          </cell>
          <cell r="AE53">
            <v>7.8000000000000007</v>
          </cell>
          <cell r="AF53">
            <v>31.200000000000003</v>
          </cell>
          <cell r="AM53">
            <v>0</v>
          </cell>
          <cell r="AN53">
            <v>21.075669000000001</v>
          </cell>
          <cell r="AO53">
            <v>0</v>
          </cell>
          <cell r="AP53">
            <v>0</v>
          </cell>
          <cell r="AQ53">
            <v>34.451746200000002</v>
          </cell>
          <cell r="AR53">
            <v>0</v>
          </cell>
          <cell r="AS53">
            <v>0</v>
          </cell>
          <cell r="AT53">
            <v>0</v>
          </cell>
          <cell r="AU53">
            <v>0</v>
          </cell>
          <cell r="AV53">
            <v>0</v>
          </cell>
          <cell r="AW53">
            <v>0</v>
          </cell>
          <cell r="AX53">
            <v>84.302676000000005</v>
          </cell>
          <cell r="AY53">
            <v>0</v>
          </cell>
          <cell r="AZ53">
            <v>0</v>
          </cell>
          <cell r="BA53">
            <v>137.80698480000001</v>
          </cell>
          <cell r="BB53">
            <v>0</v>
          </cell>
          <cell r="BC53">
            <v>0</v>
          </cell>
          <cell r="BD53">
            <v>0</v>
          </cell>
          <cell r="BE53">
            <v>0</v>
          </cell>
          <cell r="BF53">
            <v>0</v>
          </cell>
        </row>
        <row r="54">
          <cell r="A54" t="str">
            <v>k12</v>
          </cell>
          <cell r="E54">
            <v>12</v>
          </cell>
          <cell r="F54" t="str">
            <v>K3.4</v>
          </cell>
          <cell r="G54">
            <v>0.34</v>
          </cell>
          <cell r="H54">
            <v>0.34</v>
          </cell>
          <cell r="I54">
            <v>2.65</v>
          </cell>
          <cell r="J54">
            <v>0.73521600000000009</v>
          </cell>
          <cell r="K54">
            <v>181.26074035385517</v>
          </cell>
          <cell r="P54">
            <v>4</v>
          </cell>
          <cell r="T54">
            <v>4</v>
          </cell>
          <cell r="U54">
            <v>0.30634000000000006</v>
          </cell>
          <cell r="V54">
            <v>1.2253600000000002</v>
          </cell>
          <cell r="W54">
            <v>3.4007999999999998E-3</v>
          </cell>
          <cell r="X54">
            <v>1.3603199999999999E-2</v>
          </cell>
          <cell r="Y54">
            <v>5.4332000000000005E-2</v>
          </cell>
          <cell r="Z54">
            <v>0.21732800000000002</v>
          </cell>
          <cell r="AA54">
            <v>5.4332000000000005E-2</v>
          </cell>
          <cell r="AB54">
            <v>0.21732800000000002</v>
          </cell>
          <cell r="AC54">
            <v>6.240000000000002</v>
          </cell>
          <cell r="AD54">
            <v>24.960000000000008</v>
          </cell>
          <cell r="AE54">
            <v>7.8000000000000007</v>
          </cell>
          <cell r="AF54">
            <v>31.200000000000003</v>
          </cell>
          <cell r="AM54">
            <v>0</v>
          </cell>
          <cell r="AN54">
            <v>21.075669000000001</v>
          </cell>
          <cell r="AO54">
            <v>0</v>
          </cell>
          <cell r="AP54">
            <v>0</v>
          </cell>
          <cell r="AQ54">
            <v>34.451746200000002</v>
          </cell>
          <cell r="AR54">
            <v>0</v>
          </cell>
          <cell r="AS54">
            <v>0</v>
          </cell>
          <cell r="AT54">
            <v>0</v>
          </cell>
          <cell r="AU54">
            <v>0</v>
          </cell>
          <cell r="AV54">
            <v>0</v>
          </cell>
          <cell r="AW54">
            <v>0</v>
          </cell>
          <cell r="AX54">
            <v>84.302676000000005</v>
          </cell>
          <cell r="AY54">
            <v>0</v>
          </cell>
          <cell r="AZ54">
            <v>0</v>
          </cell>
          <cell r="BA54">
            <v>137.80698480000001</v>
          </cell>
          <cell r="BB54">
            <v>0</v>
          </cell>
          <cell r="BC54">
            <v>0</v>
          </cell>
          <cell r="BD54">
            <v>0</v>
          </cell>
          <cell r="BE54">
            <v>0</v>
          </cell>
          <cell r="BF54">
            <v>0</v>
          </cell>
        </row>
        <row r="55">
          <cell r="A55" t="str">
            <v>k13</v>
          </cell>
          <cell r="E55">
            <v>13</v>
          </cell>
          <cell r="F55" t="str">
            <v>K1.5</v>
          </cell>
          <cell r="G55">
            <v>0.34</v>
          </cell>
          <cell r="H55">
            <v>0.34</v>
          </cell>
          <cell r="I55">
            <v>2.65</v>
          </cell>
          <cell r="J55">
            <v>0.73521600000000009</v>
          </cell>
          <cell r="K55">
            <v>181.26074035385517</v>
          </cell>
          <cell r="Q55">
            <v>26</v>
          </cell>
          <cell r="T55">
            <v>26</v>
          </cell>
          <cell r="U55">
            <v>0.30634000000000006</v>
          </cell>
          <cell r="V55">
            <v>7.9648400000000015</v>
          </cell>
          <cell r="W55">
            <v>3.4007999999999998E-3</v>
          </cell>
          <cell r="X55">
            <v>8.8420799999999994E-2</v>
          </cell>
          <cell r="Y55">
            <v>5.4332000000000005E-2</v>
          </cell>
          <cell r="Z55">
            <v>1.4126320000000001</v>
          </cell>
          <cell r="AA55">
            <v>5.4332000000000005E-2</v>
          </cell>
          <cell r="AB55">
            <v>1.4126320000000001</v>
          </cell>
          <cell r="AC55">
            <v>6.240000000000002</v>
          </cell>
          <cell r="AD55">
            <v>162.24000000000007</v>
          </cell>
          <cell r="AE55">
            <v>7.8000000000000007</v>
          </cell>
          <cell r="AF55">
            <v>202.8</v>
          </cell>
          <cell r="AM55">
            <v>0</v>
          </cell>
          <cell r="AN55">
            <v>21.075669000000005</v>
          </cell>
          <cell r="AO55">
            <v>0</v>
          </cell>
          <cell r="AP55">
            <v>0</v>
          </cell>
          <cell r="AQ55">
            <v>34.451746200000002</v>
          </cell>
          <cell r="AR55">
            <v>0</v>
          </cell>
          <cell r="AS55">
            <v>0</v>
          </cell>
          <cell r="AT55">
            <v>0</v>
          </cell>
          <cell r="AU55">
            <v>0</v>
          </cell>
          <cell r="AV55">
            <v>0</v>
          </cell>
          <cell r="AW55">
            <v>0</v>
          </cell>
          <cell r="AX55">
            <v>547.96739400000013</v>
          </cell>
          <cell r="AY55">
            <v>0</v>
          </cell>
          <cell r="AZ55">
            <v>0</v>
          </cell>
          <cell r="BA55">
            <v>895.74540120000006</v>
          </cell>
          <cell r="BB55">
            <v>0</v>
          </cell>
          <cell r="BC55">
            <v>0</v>
          </cell>
          <cell r="BD55">
            <v>0</v>
          </cell>
          <cell r="BE55">
            <v>0</v>
          </cell>
          <cell r="BF55">
            <v>0</v>
          </cell>
        </row>
        <row r="56">
          <cell r="A56" t="str">
            <v>k14</v>
          </cell>
          <cell r="E56">
            <v>14</v>
          </cell>
          <cell r="F56" t="str">
            <v>K2.5</v>
          </cell>
          <cell r="G56">
            <v>0.34</v>
          </cell>
          <cell r="H56">
            <v>0.34</v>
          </cell>
          <cell r="I56">
            <v>2.65</v>
          </cell>
          <cell r="J56">
            <v>0.73521600000000009</v>
          </cell>
          <cell r="K56">
            <v>181.26074035385517</v>
          </cell>
          <cell r="Q56">
            <v>4</v>
          </cell>
          <cell r="T56">
            <v>4</v>
          </cell>
          <cell r="U56">
            <v>0.30634000000000006</v>
          </cell>
          <cell r="V56">
            <v>1.2253600000000002</v>
          </cell>
          <cell r="W56">
            <v>3.4007999999999998E-3</v>
          </cell>
          <cell r="X56">
            <v>1.3603199999999999E-2</v>
          </cell>
          <cell r="Y56">
            <v>5.4332000000000005E-2</v>
          </cell>
          <cell r="Z56">
            <v>0.21732800000000002</v>
          </cell>
          <cell r="AA56">
            <v>5.4332000000000005E-2</v>
          </cell>
          <cell r="AB56">
            <v>0.21732800000000002</v>
          </cell>
          <cell r="AC56">
            <v>6.240000000000002</v>
          </cell>
          <cell r="AD56">
            <v>24.960000000000008</v>
          </cell>
          <cell r="AE56">
            <v>7.8000000000000007</v>
          </cell>
          <cell r="AF56">
            <v>31.200000000000003</v>
          </cell>
          <cell r="AM56">
            <v>0</v>
          </cell>
          <cell r="AN56">
            <v>21.075669000000001</v>
          </cell>
          <cell r="AO56">
            <v>0</v>
          </cell>
          <cell r="AP56">
            <v>0</v>
          </cell>
          <cell r="AQ56">
            <v>34.451746200000002</v>
          </cell>
          <cell r="AR56">
            <v>0</v>
          </cell>
          <cell r="AS56">
            <v>0</v>
          </cell>
          <cell r="AT56">
            <v>0</v>
          </cell>
          <cell r="AU56">
            <v>0</v>
          </cell>
          <cell r="AV56">
            <v>0</v>
          </cell>
          <cell r="AW56">
            <v>0</v>
          </cell>
          <cell r="AX56">
            <v>84.302676000000005</v>
          </cell>
          <cell r="AY56">
            <v>0</v>
          </cell>
          <cell r="AZ56">
            <v>0</v>
          </cell>
          <cell r="BA56">
            <v>137.80698480000001</v>
          </cell>
          <cell r="BB56">
            <v>0</v>
          </cell>
          <cell r="BC56">
            <v>0</v>
          </cell>
          <cell r="BD56">
            <v>0</v>
          </cell>
          <cell r="BE56">
            <v>0</v>
          </cell>
          <cell r="BF56">
            <v>0</v>
          </cell>
        </row>
        <row r="57">
          <cell r="A57" t="str">
            <v>k15</v>
          </cell>
          <cell r="E57">
            <v>15</v>
          </cell>
          <cell r="F57" t="str">
            <v>K3.5</v>
          </cell>
          <cell r="G57">
            <v>0.34</v>
          </cell>
          <cell r="H57">
            <v>0.34</v>
          </cell>
          <cell r="I57">
            <v>2.65</v>
          </cell>
          <cell r="J57">
            <v>0.73521600000000009</v>
          </cell>
          <cell r="K57">
            <v>181.26074035385517</v>
          </cell>
          <cell r="Q57">
            <v>4</v>
          </cell>
          <cell r="T57">
            <v>4</v>
          </cell>
          <cell r="U57">
            <v>0.30634000000000006</v>
          </cell>
          <cell r="V57">
            <v>1.2253600000000002</v>
          </cell>
          <cell r="W57">
            <v>3.4007999999999998E-3</v>
          </cell>
          <cell r="X57">
            <v>1.3603199999999999E-2</v>
          </cell>
          <cell r="Y57">
            <v>5.4332000000000005E-2</v>
          </cell>
          <cell r="Z57">
            <v>0.21732800000000002</v>
          </cell>
          <cell r="AA57">
            <v>5.4332000000000005E-2</v>
          </cell>
          <cell r="AB57">
            <v>0.21732800000000002</v>
          </cell>
          <cell r="AC57">
            <v>6.240000000000002</v>
          </cell>
          <cell r="AD57">
            <v>24.960000000000008</v>
          </cell>
          <cell r="AE57">
            <v>7.8000000000000007</v>
          </cell>
          <cell r="AF57">
            <v>31.200000000000003</v>
          </cell>
          <cell r="AM57">
            <v>0</v>
          </cell>
          <cell r="AN57">
            <v>21.075669000000001</v>
          </cell>
          <cell r="AO57">
            <v>0</v>
          </cell>
          <cell r="AP57">
            <v>0</v>
          </cell>
          <cell r="AQ57">
            <v>34.451746200000002</v>
          </cell>
          <cell r="AR57">
            <v>0</v>
          </cell>
          <cell r="AS57">
            <v>0</v>
          </cell>
          <cell r="AT57">
            <v>0</v>
          </cell>
          <cell r="AU57">
            <v>0</v>
          </cell>
          <cell r="AV57">
            <v>0</v>
          </cell>
          <cell r="AW57">
            <v>0</v>
          </cell>
          <cell r="AX57">
            <v>84.302676000000005</v>
          </cell>
          <cell r="AY57">
            <v>0</v>
          </cell>
          <cell r="AZ57">
            <v>0</v>
          </cell>
          <cell r="BA57">
            <v>137.80698480000001</v>
          </cell>
          <cell r="BB57">
            <v>0</v>
          </cell>
          <cell r="BC57">
            <v>0</v>
          </cell>
          <cell r="BD57">
            <v>0</v>
          </cell>
          <cell r="BE57">
            <v>0</v>
          </cell>
          <cell r="BF57">
            <v>0</v>
          </cell>
        </row>
        <row r="58">
          <cell r="A58" t="str">
            <v>k16</v>
          </cell>
          <cell r="E58">
            <v>16</v>
          </cell>
          <cell r="F58" t="str">
            <v>K2.6</v>
          </cell>
          <cell r="G58">
            <v>0.34</v>
          </cell>
          <cell r="H58">
            <v>0.34</v>
          </cell>
          <cell r="I58">
            <v>2.65</v>
          </cell>
          <cell r="J58">
            <v>0.73521600000000009</v>
          </cell>
          <cell r="K58">
            <v>181.26074035385517</v>
          </cell>
          <cell r="R58">
            <v>4</v>
          </cell>
          <cell r="T58">
            <v>4</v>
          </cell>
          <cell r="U58">
            <v>0.30634000000000006</v>
          </cell>
          <cell r="V58">
            <v>1.2253600000000002</v>
          </cell>
          <cell r="W58">
            <v>3.4007999999999998E-3</v>
          </cell>
          <cell r="X58">
            <v>1.3603199999999999E-2</v>
          </cell>
          <cell r="Y58">
            <v>5.4332000000000005E-2</v>
          </cell>
          <cell r="Z58">
            <v>0.21732800000000002</v>
          </cell>
          <cell r="AA58">
            <v>5.4332000000000005E-2</v>
          </cell>
          <cell r="AB58">
            <v>0.21732800000000002</v>
          </cell>
          <cell r="AC58">
            <v>6.240000000000002</v>
          </cell>
          <cell r="AD58">
            <v>24.960000000000008</v>
          </cell>
          <cell r="AE58">
            <v>7.8000000000000007</v>
          </cell>
          <cell r="AF58">
            <v>31.200000000000003</v>
          </cell>
          <cell r="AM58">
            <v>0</v>
          </cell>
          <cell r="AN58">
            <v>21.075669000000001</v>
          </cell>
          <cell r="AO58">
            <v>0</v>
          </cell>
          <cell r="AP58">
            <v>0</v>
          </cell>
          <cell r="AQ58">
            <v>34.451746200000002</v>
          </cell>
          <cell r="AR58">
            <v>0</v>
          </cell>
          <cell r="AS58">
            <v>0</v>
          </cell>
          <cell r="AT58">
            <v>0</v>
          </cell>
          <cell r="AU58">
            <v>0</v>
          </cell>
          <cell r="AV58">
            <v>0</v>
          </cell>
          <cell r="AW58">
            <v>0</v>
          </cell>
          <cell r="AX58">
            <v>84.302676000000005</v>
          </cell>
          <cell r="AY58">
            <v>0</v>
          </cell>
          <cell r="AZ58">
            <v>0</v>
          </cell>
          <cell r="BA58">
            <v>137.80698480000001</v>
          </cell>
          <cell r="BB58">
            <v>0</v>
          </cell>
          <cell r="BC58">
            <v>0</v>
          </cell>
          <cell r="BD58">
            <v>0</v>
          </cell>
          <cell r="BE58">
            <v>0</v>
          </cell>
          <cell r="BF58">
            <v>0</v>
          </cell>
        </row>
        <row r="59">
          <cell r="L59">
            <v>34</v>
          </cell>
          <cell r="M59">
            <v>0</v>
          </cell>
          <cell r="N59">
            <v>34</v>
          </cell>
          <cell r="O59">
            <v>34</v>
          </cell>
          <cell r="P59">
            <v>34</v>
          </cell>
          <cell r="Q59">
            <v>34</v>
          </cell>
          <cell r="R59">
            <v>4</v>
          </cell>
          <cell r="S59">
            <v>0</v>
          </cell>
          <cell r="T59">
            <v>174</v>
          </cell>
          <cell r="V59">
            <v>56.054440000000028</v>
          </cell>
          <cell r="X59">
            <v>0.59173920000000002</v>
          </cell>
          <cell r="Z59">
            <v>9.4537680000000019</v>
          </cell>
          <cell r="AB59">
            <v>9.4537680000000019</v>
          </cell>
          <cell r="AD59">
            <v>1085.7600000000004</v>
          </cell>
          <cell r="AF59">
            <v>1357.2000000000003</v>
          </cell>
          <cell r="AW59">
            <v>0</v>
          </cell>
          <cell r="AX59">
            <v>3815.5702859999997</v>
          </cell>
          <cell r="AY59">
            <v>0</v>
          </cell>
          <cell r="AZ59">
            <v>0</v>
          </cell>
          <cell r="BA59">
            <v>6206.4776267999987</v>
          </cell>
          <cell r="BB59">
            <v>0</v>
          </cell>
          <cell r="BC59">
            <v>0</v>
          </cell>
          <cell r="BD59">
            <v>0</v>
          </cell>
          <cell r="BE59">
            <v>0</v>
          </cell>
          <cell r="BF59">
            <v>0</v>
          </cell>
        </row>
        <row r="61">
          <cell r="A61" t="str">
            <v>b1</v>
          </cell>
          <cell r="C61">
            <v>5</v>
          </cell>
          <cell r="D61" t="str">
            <v>Balok</v>
          </cell>
          <cell r="E61">
            <v>1</v>
          </cell>
          <cell r="F61" t="str">
            <v>HB1.2</v>
          </cell>
          <cell r="G61">
            <v>4.74</v>
          </cell>
          <cell r="H61">
            <v>0.25</v>
          </cell>
          <cell r="I61">
            <v>0.35</v>
          </cell>
          <cell r="J61">
            <v>0.99539999999999995</v>
          </cell>
          <cell r="K61">
            <v>156.98446003616638</v>
          </cell>
          <cell r="N61">
            <v>4</v>
          </cell>
          <cell r="T61">
            <v>4</v>
          </cell>
          <cell r="U61">
            <v>0.41475000000000001</v>
          </cell>
          <cell r="V61">
            <v>1.659</v>
          </cell>
          <cell r="AG61">
            <v>2.86</v>
          </cell>
          <cell r="AH61">
            <v>11.44</v>
          </cell>
          <cell r="AI61">
            <v>3.34</v>
          </cell>
          <cell r="AJ61">
            <v>13.36</v>
          </cell>
          <cell r="AM61">
            <v>0</v>
          </cell>
          <cell r="AN61">
            <v>24.955920000000003</v>
          </cell>
          <cell r="AO61">
            <v>0</v>
          </cell>
          <cell r="AP61">
            <v>19.1440512</v>
          </cell>
          <cell r="AQ61">
            <v>21.009333600000001</v>
          </cell>
          <cell r="AR61">
            <v>0</v>
          </cell>
          <cell r="AS61">
            <v>0</v>
          </cell>
          <cell r="AT61">
            <v>0</v>
          </cell>
          <cell r="AU61">
            <v>0</v>
          </cell>
          <cell r="AV61">
            <v>0</v>
          </cell>
          <cell r="AW61">
            <v>0</v>
          </cell>
          <cell r="AX61">
            <v>99.82368000000001</v>
          </cell>
          <cell r="AY61">
            <v>0</v>
          </cell>
          <cell r="AZ61">
            <v>76.576204799999999</v>
          </cell>
          <cell r="BA61">
            <v>84.037334400000006</v>
          </cell>
          <cell r="BB61">
            <v>0</v>
          </cell>
          <cell r="BC61">
            <v>0</v>
          </cell>
          <cell r="BD61">
            <v>0</v>
          </cell>
          <cell r="BE61">
            <v>0</v>
          </cell>
          <cell r="BF61">
            <v>0</v>
          </cell>
        </row>
        <row r="62">
          <cell r="A62" t="str">
            <v>b2</v>
          </cell>
          <cell r="E62">
            <v>2</v>
          </cell>
          <cell r="F62" t="str">
            <v>HB2.2</v>
          </cell>
          <cell r="G62">
            <v>6.49</v>
          </cell>
          <cell r="H62">
            <v>0.25</v>
          </cell>
          <cell r="I62">
            <v>0.35</v>
          </cell>
          <cell r="J62">
            <v>1.3629</v>
          </cell>
          <cell r="K62">
            <v>254.49836513317189</v>
          </cell>
          <cell r="N62">
            <v>10</v>
          </cell>
          <cell r="T62">
            <v>10</v>
          </cell>
          <cell r="U62">
            <v>0.56787500000000002</v>
          </cell>
          <cell r="V62">
            <v>5.67875</v>
          </cell>
          <cell r="AK62">
            <v>5.7299999999999995</v>
          </cell>
          <cell r="AL62">
            <v>57.3</v>
          </cell>
          <cell r="AM62">
            <v>0</v>
          </cell>
          <cell r="AN62">
            <v>34.314390000000003</v>
          </cell>
          <cell r="AO62">
            <v>0</v>
          </cell>
          <cell r="AP62">
            <v>0</v>
          </cell>
          <cell r="AQ62">
            <v>0</v>
          </cell>
          <cell r="AR62">
            <v>110.20886909999999</v>
          </cell>
          <cell r="AS62">
            <v>0</v>
          </cell>
          <cell r="AT62">
            <v>0</v>
          </cell>
          <cell r="AU62">
            <v>0</v>
          </cell>
          <cell r="AV62">
            <v>0</v>
          </cell>
          <cell r="AW62">
            <v>0</v>
          </cell>
          <cell r="AX62">
            <v>343.14390000000003</v>
          </cell>
          <cell r="AY62">
            <v>0</v>
          </cell>
          <cell r="AZ62">
            <v>0</v>
          </cell>
          <cell r="BA62">
            <v>0</v>
          </cell>
          <cell r="BB62">
            <v>1102.0886909999999</v>
          </cell>
          <cell r="BC62">
            <v>0</v>
          </cell>
          <cell r="BD62">
            <v>0</v>
          </cell>
          <cell r="BE62">
            <v>0</v>
          </cell>
          <cell r="BF62">
            <v>0</v>
          </cell>
        </row>
        <row r="63">
          <cell r="A63" t="str">
            <v>b3</v>
          </cell>
          <cell r="E63">
            <v>3</v>
          </cell>
          <cell r="F63" t="str">
            <v>HB2A.2</v>
          </cell>
          <cell r="G63">
            <v>1.49</v>
          </cell>
          <cell r="H63">
            <v>0.25</v>
          </cell>
          <cell r="I63">
            <v>0.35</v>
          </cell>
          <cell r="J63">
            <v>0.31289999999999996</v>
          </cell>
          <cell r="K63">
            <v>281.73588954937679</v>
          </cell>
          <cell r="N63">
            <v>2</v>
          </cell>
          <cell r="T63">
            <v>2</v>
          </cell>
          <cell r="U63">
            <v>0.13037499999999999</v>
          </cell>
          <cell r="V63">
            <v>0.26074999999999998</v>
          </cell>
          <cell r="AK63">
            <v>5.7299999999999995</v>
          </cell>
          <cell r="AL63">
            <v>11.459999999999999</v>
          </cell>
          <cell r="AM63">
            <v>0</v>
          </cell>
          <cell r="AN63">
            <v>8.5785975000000008</v>
          </cell>
          <cell r="AO63">
            <v>0</v>
          </cell>
          <cell r="AP63">
            <v>0</v>
          </cell>
          <cell r="AQ63">
            <v>0</v>
          </cell>
          <cell r="AR63">
            <v>28.152719099999999</v>
          </cell>
          <cell r="AS63">
            <v>0</v>
          </cell>
          <cell r="AT63">
            <v>0</v>
          </cell>
          <cell r="AU63">
            <v>0</v>
          </cell>
          <cell r="AV63">
            <v>0</v>
          </cell>
          <cell r="AW63">
            <v>0</v>
          </cell>
          <cell r="AX63">
            <v>17.157195000000002</v>
          </cell>
          <cell r="AY63">
            <v>0</v>
          </cell>
          <cell r="AZ63">
            <v>0</v>
          </cell>
          <cell r="BA63">
            <v>0</v>
          </cell>
          <cell r="BB63">
            <v>56.305438199999998</v>
          </cell>
          <cell r="BC63">
            <v>0</v>
          </cell>
          <cell r="BD63">
            <v>0</v>
          </cell>
          <cell r="BE63">
            <v>0</v>
          </cell>
          <cell r="BF63">
            <v>0</v>
          </cell>
        </row>
        <row r="64">
          <cell r="A64" t="str">
            <v>b4</v>
          </cell>
          <cell r="E64">
            <v>4</v>
          </cell>
          <cell r="F64" t="str">
            <v>HB2B.2</v>
          </cell>
          <cell r="G64">
            <v>1.27</v>
          </cell>
          <cell r="H64">
            <v>0.25</v>
          </cell>
          <cell r="I64">
            <v>0.35</v>
          </cell>
          <cell r="J64">
            <v>0.26669999999999994</v>
          </cell>
          <cell r="K64">
            <v>284.01440719910016</v>
          </cell>
          <cell r="N64">
            <v>16</v>
          </cell>
          <cell r="T64">
            <v>16</v>
          </cell>
          <cell r="U64">
            <v>0.11112499999999999</v>
          </cell>
          <cell r="V64">
            <v>1.7779999999999998</v>
          </cell>
          <cell r="AK64">
            <v>5.7299999999999995</v>
          </cell>
          <cell r="AL64">
            <v>91.679999999999993</v>
          </cell>
          <cell r="AM64">
            <v>0</v>
          </cell>
          <cell r="AN64">
            <v>7.0188525000000004</v>
          </cell>
          <cell r="AO64">
            <v>0</v>
          </cell>
          <cell r="AP64">
            <v>0</v>
          </cell>
          <cell r="AQ64">
            <v>0</v>
          </cell>
          <cell r="AR64">
            <v>24.542248499999999</v>
          </cell>
          <cell r="AS64">
            <v>0</v>
          </cell>
          <cell r="AT64">
            <v>0</v>
          </cell>
          <cell r="AU64">
            <v>0</v>
          </cell>
          <cell r="AV64">
            <v>0</v>
          </cell>
          <cell r="AW64">
            <v>0</v>
          </cell>
          <cell r="AX64">
            <v>112.30164000000001</v>
          </cell>
          <cell r="AY64">
            <v>0</v>
          </cell>
          <cell r="AZ64">
            <v>0</v>
          </cell>
          <cell r="BA64">
            <v>0</v>
          </cell>
          <cell r="BB64">
            <v>392.67597599999999</v>
          </cell>
          <cell r="BC64">
            <v>0</v>
          </cell>
          <cell r="BD64">
            <v>0</v>
          </cell>
          <cell r="BE64">
            <v>0</v>
          </cell>
          <cell r="BF64">
            <v>0</v>
          </cell>
        </row>
        <row r="65">
          <cell r="A65" t="str">
            <v>b5</v>
          </cell>
          <cell r="E65">
            <v>5</v>
          </cell>
          <cell r="F65" t="str">
            <v>HB2C.2</v>
          </cell>
          <cell r="G65">
            <v>6.49</v>
          </cell>
          <cell r="H65">
            <v>0.25</v>
          </cell>
          <cell r="I65">
            <v>0.35</v>
          </cell>
          <cell r="J65">
            <v>1.3629</v>
          </cell>
          <cell r="K65">
            <v>254.49836513317189</v>
          </cell>
          <cell r="N65">
            <v>1</v>
          </cell>
          <cell r="T65">
            <v>1</v>
          </cell>
          <cell r="U65">
            <v>0.56787500000000002</v>
          </cell>
          <cell r="V65">
            <v>0.56787500000000002</v>
          </cell>
          <cell r="AK65">
            <v>5.7299999999999995</v>
          </cell>
          <cell r="AL65">
            <v>5.7299999999999995</v>
          </cell>
          <cell r="AM65">
            <v>0</v>
          </cell>
          <cell r="AN65">
            <v>34.314390000000003</v>
          </cell>
          <cell r="AO65">
            <v>0</v>
          </cell>
          <cell r="AP65">
            <v>0</v>
          </cell>
          <cell r="AQ65">
            <v>0</v>
          </cell>
          <cell r="AR65">
            <v>110.20886909999999</v>
          </cell>
          <cell r="AS65">
            <v>0</v>
          </cell>
          <cell r="AT65">
            <v>0</v>
          </cell>
          <cell r="AU65">
            <v>0</v>
          </cell>
          <cell r="AV65">
            <v>0</v>
          </cell>
          <cell r="AW65">
            <v>0</v>
          </cell>
          <cell r="AX65">
            <v>34.314390000000003</v>
          </cell>
          <cell r="AY65">
            <v>0</v>
          </cell>
          <cell r="AZ65">
            <v>0</v>
          </cell>
          <cell r="BA65">
            <v>0</v>
          </cell>
          <cell r="BB65">
            <v>110.20886909999999</v>
          </cell>
          <cell r="BC65">
            <v>0</v>
          </cell>
          <cell r="BD65">
            <v>0</v>
          </cell>
          <cell r="BE65">
            <v>0</v>
          </cell>
          <cell r="BF65">
            <v>0</v>
          </cell>
        </row>
        <row r="66">
          <cell r="A66" t="str">
            <v>b6</v>
          </cell>
          <cell r="E66">
            <v>6</v>
          </cell>
          <cell r="F66" t="str">
            <v>HB2D.2</v>
          </cell>
          <cell r="G66">
            <v>6.49</v>
          </cell>
          <cell r="H66">
            <v>0.25</v>
          </cell>
          <cell r="I66">
            <v>0.35</v>
          </cell>
          <cell r="J66">
            <v>1.3629</v>
          </cell>
          <cell r="K66">
            <v>254.49836513317189</v>
          </cell>
          <cell r="N66">
            <v>1</v>
          </cell>
          <cell r="T66">
            <v>1</v>
          </cell>
          <cell r="U66">
            <v>0.56787500000000002</v>
          </cell>
          <cell r="V66">
            <v>0.56787500000000002</v>
          </cell>
          <cell r="AK66">
            <v>5.7299999999999995</v>
          </cell>
          <cell r="AL66">
            <v>5.7299999999999995</v>
          </cell>
          <cell r="AM66">
            <v>0</v>
          </cell>
          <cell r="AN66">
            <v>34.314390000000003</v>
          </cell>
          <cell r="AO66">
            <v>0</v>
          </cell>
          <cell r="AP66">
            <v>0</v>
          </cell>
          <cell r="AQ66">
            <v>0</v>
          </cell>
          <cell r="AR66">
            <v>110.20886909999999</v>
          </cell>
          <cell r="AS66">
            <v>0</v>
          </cell>
          <cell r="AT66">
            <v>0</v>
          </cell>
          <cell r="AU66">
            <v>0</v>
          </cell>
          <cell r="AV66">
            <v>0</v>
          </cell>
          <cell r="AW66">
            <v>0</v>
          </cell>
          <cell r="AX66">
            <v>34.314390000000003</v>
          </cell>
          <cell r="AY66">
            <v>0</v>
          </cell>
          <cell r="AZ66">
            <v>0</v>
          </cell>
          <cell r="BA66">
            <v>0</v>
          </cell>
          <cell r="BB66">
            <v>110.20886909999999</v>
          </cell>
          <cell r="BC66">
            <v>0</v>
          </cell>
          <cell r="BD66">
            <v>0</v>
          </cell>
          <cell r="BE66">
            <v>0</v>
          </cell>
          <cell r="BF66">
            <v>0</v>
          </cell>
        </row>
        <row r="67">
          <cell r="A67" t="str">
            <v>b7</v>
          </cell>
          <cell r="E67">
            <v>7</v>
          </cell>
          <cell r="F67" t="str">
            <v>HB3.2</v>
          </cell>
          <cell r="G67">
            <v>2.94</v>
          </cell>
          <cell r="H67">
            <v>0.25</v>
          </cell>
          <cell r="I67">
            <v>0.35</v>
          </cell>
          <cell r="J67">
            <v>0.61739999999999995</v>
          </cell>
          <cell r="K67">
            <v>161.67949154518953</v>
          </cell>
          <cell r="N67">
            <v>4</v>
          </cell>
          <cell r="T67">
            <v>4</v>
          </cell>
          <cell r="U67">
            <v>0.25724999999999998</v>
          </cell>
          <cell r="V67">
            <v>1.0289999999999999</v>
          </cell>
          <cell r="AI67">
            <v>6.68</v>
          </cell>
          <cell r="AJ67">
            <v>26.72</v>
          </cell>
          <cell r="AM67">
            <v>0</v>
          </cell>
          <cell r="AN67">
            <v>15.597450000000002</v>
          </cell>
          <cell r="AO67">
            <v>0</v>
          </cell>
          <cell r="AP67">
            <v>0</v>
          </cell>
          <cell r="AQ67">
            <v>25.9945992</v>
          </cell>
          <cell r="AR67">
            <v>0</v>
          </cell>
          <cell r="AS67">
            <v>0</v>
          </cell>
          <cell r="AT67">
            <v>0</v>
          </cell>
          <cell r="AU67">
            <v>0</v>
          </cell>
          <cell r="AV67">
            <v>0</v>
          </cell>
          <cell r="AW67">
            <v>0</v>
          </cell>
          <cell r="AX67">
            <v>62.389800000000008</v>
          </cell>
          <cell r="AY67">
            <v>0</v>
          </cell>
          <cell r="AZ67">
            <v>0</v>
          </cell>
          <cell r="BA67">
            <v>103.9783968</v>
          </cell>
          <cell r="BB67">
            <v>0</v>
          </cell>
          <cell r="BC67">
            <v>0</v>
          </cell>
          <cell r="BD67">
            <v>0</v>
          </cell>
          <cell r="BE67">
            <v>0</v>
          </cell>
          <cell r="BF67">
            <v>0</v>
          </cell>
        </row>
        <row r="68">
          <cell r="A68" t="str">
            <v>b8</v>
          </cell>
          <cell r="E68">
            <v>8</v>
          </cell>
          <cell r="F68" t="str">
            <v>HB4.2</v>
          </cell>
          <cell r="G68">
            <v>2.94</v>
          </cell>
          <cell r="H68">
            <v>0.25</v>
          </cell>
          <cell r="I68">
            <v>0.35</v>
          </cell>
          <cell r="J68">
            <v>0.61739999999999995</v>
          </cell>
          <cell r="K68">
            <v>161.67949154518953</v>
          </cell>
          <cell r="N68">
            <v>6</v>
          </cell>
          <cell r="T68">
            <v>6</v>
          </cell>
          <cell r="U68">
            <v>0.25724999999999998</v>
          </cell>
          <cell r="V68">
            <v>1.5434999999999999</v>
          </cell>
          <cell r="AI68">
            <v>6.68</v>
          </cell>
          <cell r="AJ68">
            <v>40.08</v>
          </cell>
          <cell r="AM68">
            <v>0</v>
          </cell>
          <cell r="AN68">
            <v>15.597450000000002</v>
          </cell>
          <cell r="AO68">
            <v>0</v>
          </cell>
          <cell r="AP68">
            <v>0</v>
          </cell>
          <cell r="AQ68">
            <v>25.9945992</v>
          </cell>
          <cell r="AR68">
            <v>0</v>
          </cell>
          <cell r="AS68">
            <v>0</v>
          </cell>
          <cell r="AT68">
            <v>0</v>
          </cell>
          <cell r="AU68">
            <v>0</v>
          </cell>
          <cell r="AV68">
            <v>0</v>
          </cell>
          <cell r="AW68">
            <v>0</v>
          </cell>
          <cell r="AX68">
            <v>93.584700000000012</v>
          </cell>
          <cell r="AY68">
            <v>0</v>
          </cell>
          <cell r="AZ68">
            <v>0</v>
          </cell>
          <cell r="BA68">
            <v>155.96759520000001</v>
          </cell>
          <cell r="BB68">
            <v>0</v>
          </cell>
          <cell r="BC68">
            <v>0</v>
          </cell>
          <cell r="BD68">
            <v>0</v>
          </cell>
          <cell r="BE68">
            <v>0</v>
          </cell>
          <cell r="BF68">
            <v>0</v>
          </cell>
        </row>
        <row r="69">
          <cell r="A69" t="str">
            <v>b9</v>
          </cell>
          <cell r="E69">
            <v>9</v>
          </cell>
          <cell r="F69" t="str">
            <v>HB4'.2</v>
          </cell>
          <cell r="G69">
            <v>2.94</v>
          </cell>
          <cell r="H69">
            <v>0.25</v>
          </cell>
          <cell r="I69">
            <v>0.35</v>
          </cell>
          <cell r="J69">
            <v>0.61739999999999995</v>
          </cell>
          <cell r="K69">
            <v>161.67949154518953</v>
          </cell>
          <cell r="N69">
            <v>6</v>
          </cell>
          <cell r="T69">
            <v>6</v>
          </cell>
          <cell r="U69">
            <v>0.25724999999999998</v>
          </cell>
          <cell r="V69">
            <v>1.5434999999999999</v>
          </cell>
          <cell r="AI69">
            <v>6.68</v>
          </cell>
          <cell r="AJ69">
            <v>40.08</v>
          </cell>
          <cell r="AM69">
            <v>0</v>
          </cell>
          <cell r="AN69">
            <v>15.597450000000002</v>
          </cell>
          <cell r="AO69">
            <v>0</v>
          </cell>
          <cell r="AP69">
            <v>0</v>
          </cell>
          <cell r="AQ69">
            <v>25.9945992</v>
          </cell>
          <cell r="AR69">
            <v>0</v>
          </cell>
          <cell r="AS69">
            <v>0</v>
          </cell>
          <cell r="AT69">
            <v>0</v>
          </cell>
          <cell r="AU69">
            <v>0</v>
          </cell>
          <cell r="AV69">
            <v>0</v>
          </cell>
          <cell r="AW69">
            <v>0</v>
          </cell>
          <cell r="AX69">
            <v>93.584700000000012</v>
          </cell>
          <cell r="AY69">
            <v>0</v>
          </cell>
          <cell r="AZ69">
            <v>0</v>
          </cell>
          <cell r="BA69">
            <v>155.96759520000001</v>
          </cell>
          <cell r="BB69">
            <v>0</v>
          </cell>
          <cell r="BC69">
            <v>0</v>
          </cell>
          <cell r="BD69">
            <v>0</v>
          </cell>
          <cell r="BE69">
            <v>0</v>
          </cell>
          <cell r="BF69">
            <v>0</v>
          </cell>
        </row>
        <row r="70">
          <cell r="A70" t="str">
            <v>b10</v>
          </cell>
          <cell r="E70">
            <v>10</v>
          </cell>
          <cell r="F70" t="str">
            <v>HB5.2</v>
          </cell>
          <cell r="G70">
            <v>4.24</v>
          </cell>
          <cell r="H70">
            <v>0.25</v>
          </cell>
          <cell r="I70">
            <v>0.35</v>
          </cell>
          <cell r="J70">
            <v>0.89039999999999997</v>
          </cell>
          <cell r="K70">
            <v>162.22059218328843</v>
          </cell>
          <cell r="N70">
            <v>1</v>
          </cell>
          <cell r="T70">
            <v>1</v>
          </cell>
          <cell r="U70">
            <v>0.371</v>
          </cell>
          <cell r="V70">
            <v>0.371</v>
          </cell>
          <cell r="AI70">
            <v>6.68</v>
          </cell>
          <cell r="AJ70">
            <v>6.68</v>
          </cell>
          <cell r="AM70">
            <v>0</v>
          </cell>
          <cell r="AN70">
            <v>22.616302500000003</v>
          </cell>
          <cell r="AO70">
            <v>0</v>
          </cell>
          <cell r="AP70">
            <v>0</v>
          </cell>
          <cell r="AQ70">
            <v>37.567537200000004</v>
          </cell>
          <cell r="AR70">
            <v>0</v>
          </cell>
          <cell r="AS70">
            <v>0</v>
          </cell>
          <cell r="AT70">
            <v>0</v>
          </cell>
          <cell r="AU70">
            <v>0</v>
          </cell>
          <cell r="AV70">
            <v>0</v>
          </cell>
          <cell r="AW70">
            <v>0</v>
          </cell>
          <cell r="AX70">
            <v>22.616302500000003</v>
          </cell>
          <cell r="AY70">
            <v>0</v>
          </cell>
          <cell r="AZ70">
            <v>0</v>
          </cell>
          <cell r="BA70">
            <v>37.567537200000004</v>
          </cell>
          <cell r="BB70">
            <v>0</v>
          </cell>
          <cell r="BC70">
            <v>0</v>
          </cell>
          <cell r="BD70">
            <v>0</v>
          </cell>
          <cell r="BE70">
            <v>0</v>
          </cell>
          <cell r="BF70">
            <v>0</v>
          </cell>
        </row>
        <row r="71">
          <cell r="A71" t="str">
            <v>b11</v>
          </cell>
          <cell r="E71">
            <v>11</v>
          </cell>
          <cell r="F71" t="str">
            <v>HB5A.2</v>
          </cell>
          <cell r="G71">
            <v>4.24</v>
          </cell>
          <cell r="H71">
            <v>0.25</v>
          </cell>
          <cell r="I71">
            <v>0.35</v>
          </cell>
          <cell r="J71">
            <v>0.89039999999999997</v>
          </cell>
          <cell r="K71">
            <v>162.22059218328843</v>
          </cell>
          <cell r="N71">
            <v>1</v>
          </cell>
          <cell r="T71">
            <v>1</v>
          </cell>
          <cell r="U71">
            <v>0.371</v>
          </cell>
          <cell r="V71">
            <v>0.371</v>
          </cell>
          <cell r="AI71">
            <v>6.68</v>
          </cell>
          <cell r="AJ71">
            <v>6.68</v>
          </cell>
          <cell r="AM71">
            <v>0</v>
          </cell>
          <cell r="AN71">
            <v>22.616302500000003</v>
          </cell>
          <cell r="AO71">
            <v>0</v>
          </cell>
          <cell r="AP71">
            <v>0</v>
          </cell>
          <cell r="AQ71">
            <v>37.567537200000004</v>
          </cell>
          <cell r="AR71">
            <v>0</v>
          </cell>
          <cell r="AS71">
            <v>0</v>
          </cell>
          <cell r="AT71">
            <v>0</v>
          </cell>
          <cell r="AU71">
            <v>0</v>
          </cell>
          <cell r="AV71">
            <v>0</v>
          </cell>
          <cell r="AW71">
            <v>0</v>
          </cell>
          <cell r="AX71">
            <v>22.616302500000003</v>
          </cell>
          <cell r="AY71">
            <v>0</v>
          </cell>
          <cell r="AZ71">
            <v>0</v>
          </cell>
          <cell r="BA71">
            <v>37.567537200000004</v>
          </cell>
          <cell r="BB71">
            <v>0</v>
          </cell>
          <cell r="BC71">
            <v>0</v>
          </cell>
          <cell r="BD71">
            <v>0</v>
          </cell>
          <cell r="BE71">
            <v>0</v>
          </cell>
          <cell r="BF71">
            <v>0</v>
          </cell>
        </row>
        <row r="72">
          <cell r="A72" t="str">
            <v>b12</v>
          </cell>
          <cell r="E72">
            <v>12</v>
          </cell>
          <cell r="F72" t="str">
            <v>HB6.2</v>
          </cell>
          <cell r="G72">
            <v>2.94</v>
          </cell>
          <cell r="H72">
            <v>0.25</v>
          </cell>
          <cell r="I72">
            <v>0.35</v>
          </cell>
          <cell r="J72">
            <v>0.86032799999999987</v>
          </cell>
          <cell r="K72">
            <v>116.02658297765507</v>
          </cell>
          <cell r="N72">
            <v>12</v>
          </cell>
          <cell r="T72">
            <v>12</v>
          </cell>
          <cell r="U72">
            <v>0.35846999999999996</v>
          </cell>
          <cell r="V72">
            <v>4.301639999999999</v>
          </cell>
          <cell r="AI72">
            <v>6.68</v>
          </cell>
          <cell r="AJ72">
            <v>80.16</v>
          </cell>
          <cell r="AM72">
            <v>0</v>
          </cell>
          <cell r="AN72">
            <v>15.597450000000002</v>
          </cell>
          <cell r="AO72">
            <v>0</v>
          </cell>
          <cell r="AP72">
            <v>0</v>
          </cell>
          <cell r="AQ72">
            <v>25.9945992</v>
          </cell>
          <cell r="AR72">
            <v>0</v>
          </cell>
          <cell r="AS72">
            <v>0</v>
          </cell>
          <cell r="AT72">
            <v>0</v>
          </cell>
          <cell r="AU72">
            <v>0</v>
          </cell>
          <cell r="AV72">
            <v>0</v>
          </cell>
          <cell r="AW72">
            <v>0</v>
          </cell>
          <cell r="AX72">
            <v>187.16940000000002</v>
          </cell>
          <cell r="AY72">
            <v>0</v>
          </cell>
          <cell r="AZ72">
            <v>0</v>
          </cell>
          <cell r="BA72">
            <v>311.93519040000001</v>
          </cell>
          <cell r="BB72">
            <v>0</v>
          </cell>
          <cell r="BC72">
            <v>0</v>
          </cell>
          <cell r="BD72">
            <v>0</v>
          </cell>
          <cell r="BE72">
            <v>0</v>
          </cell>
          <cell r="BF72">
            <v>0</v>
          </cell>
        </row>
        <row r="73">
          <cell r="A73" t="str">
            <v>b13</v>
          </cell>
          <cell r="E73">
            <v>13</v>
          </cell>
          <cell r="F73" t="str">
            <v>HB10.2</v>
          </cell>
          <cell r="G73">
            <v>5.09</v>
          </cell>
          <cell r="H73">
            <v>0.15</v>
          </cell>
          <cell r="I73">
            <v>0.3</v>
          </cell>
          <cell r="J73">
            <v>0.73742399999999997</v>
          </cell>
          <cell r="K73">
            <v>235.72868482718224</v>
          </cell>
          <cell r="N73">
            <v>6</v>
          </cell>
          <cell r="T73">
            <v>6</v>
          </cell>
          <cell r="U73">
            <v>0.30725999999999998</v>
          </cell>
          <cell r="V73">
            <v>1.8435599999999999</v>
          </cell>
          <cell r="AI73">
            <v>6.68</v>
          </cell>
          <cell r="AJ73">
            <v>40.08</v>
          </cell>
          <cell r="AM73">
            <v>0</v>
          </cell>
          <cell r="AN73">
            <v>27.295537500000005</v>
          </cell>
          <cell r="AO73">
            <v>0</v>
          </cell>
          <cell r="AP73">
            <v>0</v>
          </cell>
          <cell r="AQ73">
            <v>45.134458200000005</v>
          </cell>
          <cell r="AR73">
            <v>0</v>
          </cell>
          <cell r="AS73">
            <v>0</v>
          </cell>
          <cell r="AT73">
            <v>0</v>
          </cell>
          <cell r="AU73">
            <v>0</v>
          </cell>
          <cell r="AV73">
            <v>0</v>
          </cell>
          <cell r="AW73">
            <v>0</v>
          </cell>
          <cell r="AX73">
            <v>163.77322500000002</v>
          </cell>
          <cell r="AY73">
            <v>0</v>
          </cell>
          <cell r="AZ73">
            <v>0</v>
          </cell>
          <cell r="BA73">
            <v>270.80674920000001</v>
          </cell>
          <cell r="BB73">
            <v>0</v>
          </cell>
          <cell r="BC73">
            <v>0</v>
          </cell>
          <cell r="BD73">
            <v>0</v>
          </cell>
          <cell r="BE73">
            <v>0</v>
          </cell>
          <cell r="BF73">
            <v>0</v>
          </cell>
        </row>
        <row r="74">
          <cell r="A74" t="str">
            <v>b14</v>
          </cell>
          <cell r="E74">
            <v>14</v>
          </cell>
          <cell r="F74" t="str">
            <v>HB11.2</v>
          </cell>
          <cell r="G74">
            <v>3.79</v>
          </cell>
          <cell r="H74">
            <v>0.25</v>
          </cell>
          <cell r="I74">
            <v>0.35</v>
          </cell>
          <cell r="J74">
            <v>0.79589999999999994</v>
          </cell>
          <cell r="K74">
            <v>162.34664214097251</v>
          </cell>
          <cell r="N74">
            <v>1</v>
          </cell>
          <cell r="T74">
            <v>1</v>
          </cell>
          <cell r="U74">
            <v>0.331625</v>
          </cell>
          <cell r="V74">
            <v>0.331625</v>
          </cell>
          <cell r="AI74">
            <v>6.68</v>
          </cell>
          <cell r="AJ74">
            <v>6.68</v>
          </cell>
          <cell r="AM74">
            <v>0</v>
          </cell>
          <cell r="AN74">
            <v>20.276685000000001</v>
          </cell>
          <cell r="AO74">
            <v>0</v>
          </cell>
          <cell r="AP74">
            <v>0</v>
          </cell>
          <cell r="AQ74">
            <v>33.561520200000004</v>
          </cell>
          <cell r="AR74">
            <v>0</v>
          </cell>
          <cell r="AS74">
            <v>0</v>
          </cell>
          <cell r="AT74">
            <v>0</v>
          </cell>
          <cell r="AU74">
            <v>0</v>
          </cell>
          <cell r="AV74">
            <v>0</v>
          </cell>
          <cell r="AW74">
            <v>0</v>
          </cell>
          <cell r="AX74">
            <v>20.276685000000001</v>
          </cell>
          <cell r="AY74">
            <v>0</v>
          </cell>
          <cell r="AZ74">
            <v>0</v>
          </cell>
          <cell r="BA74">
            <v>33.561520200000004</v>
          </cell>
          <cell r="BB74">
            <v>0</v>
          </cell>
          <cell r="BC74">
            <v>0</v>
          </cell>
          <cell r="BD74">
            <v>0</v>
          </cell>
          <cell r="BE74">
            <v>0</v>
          </cell>
          <cell r="BF74">
            <v>0</v>
          </cell>
        </row>
        <row r="75">
          <cell r="A75" t="str">
            <v>b15</v>
          </cell>
          <cell r="E75">
            <v>15</v>
          </cell>
          <cell r="F75" t="str">
            <v>HB11A.2</v>
          </cell>
          <cell r="G75">
            <v>2.2999999999999998</v>
          </cell>
          <cell r="H75">
            <v>0.25</v>
          </cell>
          <cell r="I75">
            <v>0.35</v>
          </cell>
          <cell r="J75">
            <v>0.48299999999999993</v>
          </cell>
          <cell r="K75">
            <v>162.85770335403728</v>
          </cell>
          <cell r="N75">
            <v>1</v>
          </cell>
          <cell r="T75">
            <v>1</v>
          </cell>
          <cell r="U75">
            <v>0.20124999999999998</v>
          </cell>
          <cell r="V75">
            <v>0.20124999999999998</v>
          </cell>
          <cell r="AI75">
            <v>6.68</v>
          </cell>
          <cell r="AJ75">
            <v>6.68</v>
          </cell>
          <cell r="AM75">
            <v>0</v>
          </cell>
          <cell r="AN75">
            <v>12.477960000000001</v>
          </cell>
          <cell r="AO75">
            <v>0</v>
          </cell>
          <cell r="AP75">
            <v>0</v>
          </cell>
          <cell r="AQ75">
            <v>20.297152799999999</v>
          </cell>
          <cell r="AR75">
            <v>0</v>
          </cell>
          <cell r="AS75">
            <v>0</v>
          </cell>
          <cell r="AT75">
            <v>0</v>
          </cell>
          <cell r="AU75">
            <v>0</v>
          </cell>
          <cell r="AV75">
            <v>0</v>
          </cell>
          <cell r="AW75">
            <v>0</v>
          </cell>
          <cell r="AX75">
            <v>12.477960000000001</v>
          </cell>
          <cell r="AY75">
            <v>0</v>
          </cell>
          <cell r="AZ75">
            <v>0</v>
          </cell>
          <cell r="BA75">
            <v>20.297152799999999</v>
          </cell>
          <cell r="BB75">
            <v>0</v>
          </cell>
          <cell r="BC75">
            <v>0</v>
          </cell>
          <cell r="BD75">
            <v>0</v>
          </cell>
          <cell r="BE75">
            <v>0</v>
          </cell>
          <cell r="BF75">
            <v>0</v>
          </cell>
        </row>
        <row r="76">
          <cell r="A76" t="str">
            <v>b16</v>
          </cell>
          <cell r="E76">
            <v>16</v>
          </cell>
          <cell r="F76" t="str">
            <v>HB1.3</v>
          </cell>
          <cell r="G76">
            <v>4.74</v>
          </cell>
          <cell r="H76">
            <v>0.25</v>
          </cell>
          <cell r="I76">
            <v>0.35</v>
          </cell>
          <cell r="J76">
            <v>0.99539999999999995</v>
          </cell>
          <cell r="K76">
            <v>156.98446003616638</v>
          </cell>
          <cell r="O76">
            <v>4</v>
          </cell>
          <cell r="T76">
            <v>4</v>
          </cell>
          <cell r="U76">
            <v>0.41475000000000001</v>
          </cell>
          <cell r="V76">
            <v>1.659</v>
          </cell>
          <cell r="AG76">
            <v>2.86</v>
          </cell>
          <cell r="AH76">
            <v>11.44</v>
          </cell>
          <cell r="AI76">
            <v>3.34</v>
          </cell>
          <cell r="AJ76">
            <v>13.36</v>
          </cell>
          <cell r="AM76">
            <v>0</v>
          </cell>
          <cell r="AN76">
            <v>24.955920000000003</v>
          </cell>
          <cell r="AO76">
            <v>0</v>
          </cell>
          <cell r="AP76">
            <v>19.1440512</v>
          </cell>
          <cell r="AQ76">
            <v>21.009333600000001</v>
          </cell>
          <cell r="AR76">
            <v>0</v>
          </cell>
          <cell r="AS76">
            <v>0</v>
          </cell>
          <cell r="AT76">
            <v>0</v>
          </cell>
          <cell r="AU76">
            <v>0</v>
          </cell>
          <cell r="AV76">
            <v>0</v>
          </cell>
          <cell r="AW76">
            <v>0</v>
          </cell>
          <cell r="AX76">
            <v>99.82368000000001</v>
          </cell>
          <cell r="AY76">
            <v>0</v>
          </cell>
          <cell r="AZ76">
            <v>76.576204799999999</v>
          </cell>
          <cell r="BA76">
            <v>84.037334400000006</v>
          </cell>
          <cell r="BB76">
            <v>0</v>
          </cell>
          <cell r="BC76">
            <v>0</v>
          </cell>
          <cell r="BD76">
            <v>0</v>
          </cell>
          <cell r="BE76">
            <v>0</v>
          </cell>
          <cell r="BF76">
            <v>0</v>
          </cell>
        </row>
        <row r="77">
          <cell r="A77" t="str">
            <v>b17</v>
          </cell>
          <cell r="E77">
            <v>17</v>
          </cell>
          <cell r="F77" t="str">
            <v>HB2.3</v>
          </cell>
          <cell r="G77">
            <v>6.49</v>
          </cell>
          <cell r="H77">
            <v>0.25</v>
          </cell>
          <cell r="I77">
            <v>0.35</v>
          </cell>
          <cell r="J77">
            <v>1.3629</v>
          </cell>
          <cell r="K77">
            <v>254.49836513317189</v>
          </cell>
          <cell r="O77">
            <v>10</v>
          </cell>
          <cell r="T77">
            <v>10</v>
          </cell>
          <cell r="U77">
            <v>0.56787500000000002</v>
          </cell>
          <cell r="V77">
            <v>5.67875</v>
          </cell>
          <cell r="AK77">
            <v>5.7299999999999995</v>
          </cell>
          <cell r="AL77">
            <v>57.3</v>
          </cell>
          <cell r="AM77">
            <v>0</v>
          </cell>
          <cell r="AN77">
            <v>34.314390000000003</v>
          </cell>
          <cell r="AO77">
            <v>0</v>
          </cell>
          <cell r="AP77">
            <v>0</v>
          </cell>
          <cell r="AQ77">
            <v>0</v>
          </cell>
          <cell r="AR77">
            <v>110.20886909999999</v>
          </cell>
          <cell r="AS77">
            <v>0</v>
          </cell>
          <cell r="AT77">
            <v>0</v>
          </cell>
          <cell r="AU77">
            <v>0</v>
          </cell>
          <cell r="AV77">
            <v>0</v>
          </cell>
          <cell r="AW77">
            <v>0</v>
          </cell>
          <cell r="AX77">
            <v>343.14390000000003</v>
          </cell>
          <cell r="AY77">
            <v>0</v>
          </cell>
          <cell r="AZ77">
            <v>0</v>
          </cell>
          <cell r="BA77">
            <v>0</v>
          </cell>
          <cell r="BB77">
            <v>1102.0886909999999</v>
          </cell>
          <cell r="BC77">
            <v>0</v>
          </cell>
          <cell r="BD77">
            <v>0</v>
          </cell>
          <cell r="BE77">
            <v>0</v>
          </cell>
          <cell r="BF77">
            <v>0</v>
          </cell>
        </row>
        <row r="78">
          <cell r="A78" t="str">
            <v>b18</v>
          </cell>
          <cell r="E78">
            <v>18</v>
          </cell>
          <cell r="F78" t="str">
            <v>HB2A.3</v>
          </cell>
          <cell r="G78">
            <v>1.49</v>
          </cell>
          <cell r="H78">
            <v>0.25</v>
          </cell>
          <cell r="I78">
            <v>0.35</v>
          </cell>
          <cell r="J78">
            <v>0.31289999999999996</v>
          </cell>
          <cell r="K78">
            <v>281.73588954937679</v>
          </cell>
          <cell r="O78">
            <v>2</v>
          </cell>
          <cell r="T78">
            <v>2</v>
          </cell>
          <cell r="U78">
            <v>0.13037499999999999</v>
          </cell>
          <cell r="V78">
            <v>0.26074999999999998</v>
          </cell>
          <cell r="AK78">
            <v>5.7299999999999995</v>
          </cell>
          <cell r="AL78">
            <v>11.459999999999999</v>
          </cell>
          <cell r="AM78">
            <v>0</v>
          </cell>
          <cell r="AN78">
            <v>8.5785975000000008</v>
          </cell>
          <cell r="AO78">
            <v>0</v>
          </cell>
          <cell r="AP78">
            <v>0</v>
          </cell>
          <cell r="AQ78">
            <v>0</v>
          </cell>
          <cell r="AR78">
            <v>28.152719099999999</v>
          </cell>
          <cell r="AS78">
            <v>0</v>
          </cell>
          <cell r="AT78">
            <v>0</v>
          </cell>
          <cell r="AU78">
            <v>0</v>
          </cell>
          <cell r="AV78">
            <v>0</v>
          </cell>
          <cell r="AW78">
            <v>0</v>
          </cell>
          <cell r="AX78">
            <v>17.157195000000002</v>
          </cell>
          <cell r="AY78">
            <v>0</v>
          </cell>
          <cell r="AZ78">
            <v>0</v>
          </cell>
          <cell r="BA78">
            <v>0</v>
          </cell>
          <cell r="BB78">
            <v>56.305438199999998</v>
          </cell>
          <cell r="BC78">
            <v>0</v>
          </cell>
          <cell r="BD78">
            <v>0</v>
          </cell>
          <cell r="BE78">
            <v>0</v>
          </cell>
          <cell r="BF78">
            <v>0</v>
          </cell>
        </row>
        <row r="79">
          <cell r="A79" t="str">
            <v>b19</v>
          </cell>
          <cell r="E79">
            <v>19</v>
          </cell>
          <cell r="F79" t="str">
            <v>HB2B.3</v>
          </cell>
          <cell r="G79">
            <v>1.27</v>
          </cell>
          <cell r="H79">
            <v>0.25</v>
          </cell>
          <cell r="I79">
            <v>0.35</v>
          </cell>
          <cell r="J79">
            <v>0.26669999999999994</v>
          </cell>
          <cell r="K79">
            <v>284.01440719910016</v>
          </cell>
          <cell r="O79">
            <v>16</v>
          </cell>
          <cell r="T79">
            <v>16</v>
          </cell>
          <cell r="U79">
            <v>0.11112499999999999</v>
          </cell>
          <cell r="V79">
            <v>1.7779999999999998</v>
          </cell>
          <cell r="AK79">
            <v>5.7299999999999995</v>
          </cell>
          <cell r="AL79">
            <v>91.679999999999993</v>
          </cell>
          <cell r="AM79">
            <v>0</v>
          </cell>
          <cell r="AN79">
            <v>7.0188525000000004</v>
          </cell>
          <cell r="AO79">
            <v>0</v>
          </cell>
          <cell r="AP79">
            <v>0</v>
          </cell>
          <cell r="AQ79">
            <v>0</v>
          </cell>
          <cell r="AR79">
            <v>24.542248499999999</v>
          </cell>
          <cell r="AS79">
            <v>0</v>
          </cell>
          <cell r="AT79">
            <v>0</v>
          </cell>
          <cell r="AU79">
            <v>0</v>
          </cell>
          <cell r="AV79">
            <v>0</v>
          </cell>
          <cell r="AW79">
            <v>0</v>
          </cell>
          <cell r="AX79">
            <v>112.30164000000001</v>
          </cell>
          <cell r="AY79">
            <v>0</v>
          </cell>
          <cell r="AZ79">
            <v>0</v>
          </cell>
          <cell r="BA79">
            <v>0</v>
          </cell>
          <cell r="BB79">
            <v>392.67597599999999</v>
          </cell>
          <cell r="BC79">
            <v>0</v>
          </cell>
          <cell r="BD79">
            <v>0</v>
          </cell>
          <cell r="BE79">
            <v>0</v>
          </cell>
          <cell r="BF79">
            <v>0</v>
          </cell>
        </row>
        <row r="80">
          <cell r="A80" t="str">
            <v>b20</v>
          </cell>
          <cell r="E80">
            <v>20</v>
          </cell>
          <cell r="F80" t="str">
            <v>HB2C.3</v>
          </cell>
          <cell r="G80">
            <v>6.49</v>
          </cell>
          <cell r="H80">
            <v>0.25</v>
          </cell>
          <cell r="I80">
            <v>0.35</v>
          </cell>
          <cell r="J80">
            <v>1.3629</v>
          </cell>
          <cell r="K80">
            <v>254.49836513317189</v>
          </cell>
          <cell r="O80">
            <v>1</v>
          </cell>
          <cell r="T80">
            <v>1</v>
          </cell>
          <cell r="U80">
            <v>0.56787500000000002</v>
          </cell>
          <cell r="V80">
            <v>0.56787500000000002</v>
          </cell>
          <cell r="AK80">
            <v>5.7299999999999995</v>
          </cell>
          <cell r="AL80">
            <v>5.7299999999999995</v>
          </cell>
          <cell r="AM80">
            <v>0</v>
          </cell>
          <cell r="AN80">
            <v>34.314390000000003</v>
          </cell>
          <cell r="AO80">
            <v>0</v>
          </cell>
          <cell r="AP80">
            <v>0</v>
          </cell>
          <cell r="AQ80">
            <v>0</v>
          </cell>
          <cell r="AR80">
            <v>110.20886909999999</v>
          </cell>
          <cell r="AS80">
            <v>0</v>
          </cell>
          <cell r="AT80">
            <v>0</v>
          </cell>
          <cell r="AU80">
            <v>0</v>
          </cell>
          <cell r="AV80">
            <v>0</v>
          </cell>
          <cell r="AW80">
            <v>0</v>
          </cell>
          <cell r="AX80">
            <v>34.314390000000003</v>
          </cell>
          <cell r="AY80">
            <v>0</v>
          </cell>
          <cell r="AZ80">
            <v>0</v>
          </cell>
          <cell r="BA80">
            <v>0</v>
          </cell>
          <cell r="BB80">
            <v>110.20886909999999</v>
          </cell>
          <cell r="BC80">
            <v>0</v>
          </cell>
          <cell r="BD80">
            <v>0</v>
          </cell>
          <cell r="BE80">
            <v>0</v>
          </cell>
          <cell r="BF80">
            <v>0</v>
          </cell>
        </row>
        <row r="81">
          <cell r="A81" t="str">
            <v>b21</v>
          </cell>
          <cell r="E81">
            <v>21</v>
          </cell>
          <cell r="F81" t="str">
            <v>HB2D.3</v>
          </cell>
          <cell r="G81">
            <v>6.49</v>
          </cell>
          <cell r="H81">
            <v>0.25</v>
          </cell>
          <cell r="I81">
            <v>0.35</v>
          </cell>
          <cell r="J81">
            <v>1.3629</v>
          </cell>
          <cell r="K81">
            <v>254.49836513317189</v>
          </cell>
          <cell r="O81">
            <v>1</v>
          </cell>
          <cell r="T81">
            <v>1</v>
          </cell>
          <cell r="U81">
            <v>0.56787500000000002</v>
          </cell>
          <cell r="V81">
            <v>0.56787500000000002</v>
          </cell>
          <cell r="AK81">
            <v>5.7299999999999995</v>
          </cell>
          <cell r="AL81">
            <v>5.7299999999999995</v>
          </cell>
          <cell r="AM81">
            <v>0</v>
          </cell>
          <cell r="AN81">
            <v>34.314390000000003</v>
          </cell>
          <cell r="AO81">
            <v>0</v>
          </cell>
          <cell r="AP81">
            <v>0</v>
          </cell>
          <cell r="AQ81">
            <v>0</v>
          </cell>
          <cell r="AR81">
            <v>110.20886909999999</v>
          </cell>
          <cell r="AS81">
            <v>0</v>
          </cell>
          <cell r="AT81">
            <v>0</v>
          </cell>
          <cell r="AU81">
            <v>0</v>
          </cell>
          <cell r="AV81">
            <v>0</v>
          </cell>
          <cell r="AW81">
            <v>0</v>
          </cell>
          <cell r="AX81">
            <v>34.314390000000003</v>
          </cell>
          <cell r="AY81">
            <v>0</v>
          </cell>
          <cell r="AZ81">
            <v>0</v>
          </cell>
          <cell r="BA81">
            <v>0</v>
          </cell>
          <cell r="BB81">
            <v>110.20886909999999</v>
          </cell>
          <cell r="BC81">
            <v>0</v>
          </cell>
          <cell r="BD81">
            <v>0</v>
          </cell>
          <cell r="BE81">
            <v>0</v>
          </cell>
          <cell r="BF81">
            <v>0</v>
          </cell>
        </row>
        <row r="82">
          <cell r="A82" t="str">
            <v>b22</v>
          </cell>
          <cell r="E82">
            <v>22</v>
          </cell>
          <cell r="F82" t="str">
            <v>HB3.3</v>
          </cell>
          <cell r="G82">
            <v>2.94</v>
          </cell>
          <cell r="H82">
            <v>0.25</v>
          </cell>
          <cell r="I82">
            <v>0.35</v>
          </cell>
          <cell r="J82">
            <v>0.61739999999999995</v>
          </cell>
          <cell r="K82">
            <v>161.67949154518953</v>
          </cell>
          <cell r="O82">
            <v>4</v>
          </cell>
          <cell r="T82">
            <v>4</v>
          </cell>
          <cell r="U82">
            <v>0.25724999999999998</v>
          </cell>
          <cell r="V82">
            <v>1.0289999999999999</v>
          </cell>
          <cell r="AI82">
            <v>6.68</v>
          </cell>
          <cell r="AJ82">
            <v>26.72</v>
          </cell>
          <cell r="AM82">
            <v>0</v>
          </cell>
          <cell r="AN82">
            <v>15.597450000000002</v>
          </cell>
          <cell r="AO82">
            <v>0</v>
          </cell>
          <cell r="AP82">
            <v>0</v>
          </cell>
          <cell r="AQ82">
            <v>25.9945992</v>
          </cell>
          <cell r="AR82">
            <v>0</v>
          </cell>
          <cell r="AS82">
            <v>0</v>
          </cell>
          <cell r="AT82">
            <v>0</v>
          </cell>
          <cell r="AU82">
            <v>0</v>
          </cell>
          <cell r="AV82">
            <v>0</v>
          </cell>
          <cell r="AW82">
            <v>0</v>
          </cell>
          <cell r="AX82">
            <v>62.389800000000008</v>
          </cell>
          <cell r="AY82">
            <v>0</v>
          </cell>
          <cell r="AZ82">
            <v>0</v>
          </cell>
          <cell r="BA82">
            <v>103.9783968</v>
          </cell>
          <cell r="BB82">
            <v>0</v>
          </cell>
          <cell r="BC82">
            <v>0</v>
          </cell>
          <cell r="BD82">
            <v>0</v>
          </cell>
          <cell r="BE82">
            <v>0</v>
          </cell>
          <cell r="BF82">
            <v>0</v>
          </cell>
        </row>
        <row r="83">
          <cell r="A83" t="str">
            <v>b23</v>
          </cell>
          <cell r="E83">
            <v>23</v>
          </cell>
          <cell r="F83" t="str">
            <v>HB4.3</v>
          </cell>
          <cell r="G83">
            <v>2.94</v>
          </cell>
          <cell r="H83">
            <v>0.25</v>
          </cell>
          <cell r="I83">
            <v>0.35</v>
          </cell>
          <cell r="J83">
            <v>0.61739999999999995</v>
          </cell>
          <cell r="K83">
            <v>161.67949154518953</v>
          </cell>
          <cell r="O83">
            <v>6</v>
          </cell>
          <cell r="T83">
            <v>6</v>
          </cell>
          <cell r="U83">
            <v>0.25724999999999998</v>
          </cell>
          <cell r="V83">
            <v>1.5434999999999999</v>
          </cell>
          <cell r="AI83">
            <v>6.68</v>
          </cell>
          <cell r="AJ83">
            <v>40.08</v>
          </cell>
          <cell r="AM83">
            <v>0</v>
          </cell>
          <cell r="AN83">
            <v>15.597450000000002</v>
          </cell>
          <cell r="AO83">
            <v>0</v>
          </cell>
          <cell r="AP83">
            <v>0</v>
          </cell>
          <cell r="AQ83">
            <v>25.9945992</v>
          </cell>
          <cell r="AR83">
            <v>0</v>
          </cell>
          <cell r="AS83">
            <v>0</v>
          </cell>
          <cell r="AT83">
            <v>0</v>
          </cell>
          <cell r="AU83">
            <v>0</v>
          </cell>
          <cell r="AV83">
            <v>0</v>
          </cell>
          <cell r="AW83">
            <v>0</v>
          </cell>
          <cell r="AX83">
            <v>93.584700000000012</v>
          </cell>
          <cell r="AY83">
            <v>0</v>
          </cell>
          <cell r="AZ83">
            <v>0</v>
          </cell>
          <cell r="BA83">
            <v>155.96759520000001</v>
          </cell>
          <cell r="BB83">
            <v>0</v>
          </cell>
          <cell r="BC83">
            <v>0</v>
          </cell>
          <cell r="BD83">
            <v>0</v>
          </cell>
          <cell r="BE83">
            <v>0</v>
          </cell>
          <cell r="BF83">
            <v>0</v>
          </cell>
        </row>
        <row r="84">
          <cell r="A84" t="str">
            <v>b24</v>
          </cell>
          <cell r="E84">
            <v>24</v>
          </cell>
          <cell r="F84" t="str">
            <v>HB4'.3</v>
          </cell>
          <cell r="G84">
            <v>2.94</v>
          </cell>
          <cell r="H84">
            <v>0.15</v>
          </cell>
          <cell r="I84">
            <v>0.3</v>
          </cell>
          <cell r="J84">
            <v>0.73742399999999997</v>
          </cell>
          <cell r="K84">
            <v>135.36434680726424</v>
          </cell>
          <cell r="O84">
            <v>6</v>
          </cell>
          <cell r="T84">
            <v>6</v>
          </cell>
          <cell r="U84">
            <v>0.30725999999999998</v>
          </cell>
          <cell r="V84">
            <v>1.8435599999999999</v>
          </cell>
          <cell r="AI84">
            <v>6.68</v>
          </cell>
          <cell r="AJ84">
            <v>40.08</v>
          </cell>
          <cell r="AM84">
            <v>0</v>
          </cell>
          <cell r="AN84">
            <v>15.597450000000002</v>
          </cell>
          <cell r="AO84">
            <v>0</v>
          </cell>
          <cell r="AP84">
            <v>0</v>
          </cell>
          <cell r="AQ84">
            <v>25.9945992</v>
          </cell>
          <cell r="AR84">
            <v>0</v>
          </cell>
          <cell r="AS84">
            <v>0</v>
          </cell>
          <cell r="AT84">
            <v>0</v>
          </cell>
          <cell r="AU84">
            <v>0</v>
          </cell>
          <cell r="AV84">
            <v>0</v>
          </cell>
          <cell r="AW84">
            <v>0</v>
          </cell>
          <cell r="AX84">
            <v>93.584700000000012</v>
          </cell>
          <cell r="AY84">
            <v>0</v>
          </cell>
          <cell r="AZ84">
            <v>0</v>
          </cell>
          <cell r="BA84">
            <v>155.96759520000001</v>
          </cell>
          <cell r="BB84">
            <v>0</v>
          </cell>
          <cell r="BC84">
            <v>0</v>
          </cell>
          <cell r="BD84">
            <v>0</v>
          </cell>
          <cell r="BE84">
            <v>0</v>
          </cell>
          <cell r="BF84">
            <v>0</v>
          </cell>
        </row>
        <row r="85">
          <cell r="A85" t="str">
            <v>b25</v>
          </cell>
          <cell r="E85">
            <v>25</v>
          </cell>
          <cell r="F85" t="str">
            <v>HB5.3</v>
          </cell>
          <cell r="G85">
            <v>4.24</v>
          </cell>
          <cell r="H85">
            <v>0.25</v>
          </cell>
          <cell r="I85">
            <v>0.35</v>
          </cell>
          <cell r="J85">
            <v>0.89039999999999997</v>
          </cell>
          <cell r="K85">
            <v>162.22059218328843</v>
          </cell>
          <cell r="O85">
            <v>1</v>
          </cell>
          <cell r="T85">
            <v>1</v>
          </cell>
          <cell r="U85">
            <v>0.371</v>
          </cell>
          <cell r="V85">
            <v>0.371</v>
          </cell>
          <cell r="AI85">
            <v>6.68</v>
          </cell>
          <cell r="AJ85">
            <v>6.68</v>
          </cell>
          <cell r="AM85">
            <v>0</v>
          </cell>
          <cell r="AN85">
            <v>22.616302500000003</v>
          </cell>
          <cell r="AO85">
            <v>0</v>
          </cell>
          <cell r="AP85">
            <v>0</v>
          </cell>
          <cell r="AQ85">
            <v>37.567537200000004</v>
          </cell>
          <cell r="AR85">
            <v>0</v>
          </cell>
          <cell r="AS85">
            <v>0</v>
          </cell>
          <cell r="AT85">
            <v>0</v>
          </cell>
          <cell r="AU85">
            <v>0</v>
          </cell>
          <cell r="AV85">
            <v>0</v>
          </cell>
          <cell r="AW85">
            <v>0</v>
          </cell>
          <cell r="AX85">
            <v>22.616302500000003</v>
          </cell>
          <cell r="AY85">
            <v>0</v>
          </cell>
          <cell r="AZ85">
            <v>0</v>
          </cell>
          <cell r="BA85">
            <v>37.567537200000004</v>
          </cell>
          <cell r="BB85">
            <v>0</v>
          </cell>
          <cell r="BC85">
            <v>0</v>
          </cell>
          <cell r="BD85">
            <v>0</v>
          </cell>
          <cell r="BE85">
            <v>0</v>
          </cell>
          <cell r="BF85">
            <v>0</v>
          </cell>
        </row>
        <row r="86">
          <cell r="A86" t="str">
            <v>b26</v>
          </cell>
          <cell r="E86">
            <v>26</v>
          </cell>
          <cell r="F86" t="str">
            <v>HB5A.3</v>
          </cell>
          <cell r="G86">
            <v>4.24</v>
          </cell>
          <cell r="H86">
            <v>0.25</v>
          </cell>
          <cell r="I86">
            <v>0.35</v>
          </cell>
          <cell r="J86">
            <v>0.89039999999999997</v>
          </cell>
          <cell r="K86">
            <v>162.22059218328843</v>
          </cell>
          <cell r="O86">
            <v>1</v>
          </cell>
          <cell r="T86">
            <v>1</v>
          </cell>
          <cell r="U86">
            <v>0.371</v>
          </cell>
          <cell r="V86">
            <v>0.371</v>
          </cell>
          <cell r="AI86">
            <v>6.68</v>
          </cell>
          <cell r="AJ86">
            <v>6.68</v>
          </cell>
          <cell r="AM86">
            <v>0</v>
          </cell>
          <cell r="AN86">
            <v>22.616302500000003</v>
          </cell>
          <cell r="AO86">
            <v>0</v>
          </cell>
          <cell r="AP86">
            <v>0</v>
          </cell>
          <cell r="AQ86">
            <v>37.567537200000004</v>
          </cell>
          <cell r="AR86">
            <v>0</v>
          </cell>
          <cell r="AS86">
            <v>0</v>
          </cell>
          <cell r="AT86">
            <v>0</v>
          </cell>
          <cell r="AU86">
            <v>0</v>
          </cell>
          <cell r="AV86">
            <v>0</v>
          </cell>
          <cell r="AW86">
            <v>0</v>
          </cell>
          <cell r="AX86">
            <v>22.616302500000003</v>
          </cell>
          <cell r="AY86">
            <v>0</v>
          </cell>
          <cell r="AZ86">
            <v>0</v>
          </cell>
          <cell r="BA86">
            <v>37.567537200000004</v>
          </cell>
          <cell r="BB86">
            <v>0</v>
          </cell>
          <cell r="BC86">
            <v>0</v>
          </cell>
          <cell r="BD86">
            <v>0</v>
          </cell>
          <cell r="BE86">
            <v>0</v>
          </cell>
          <cell r="BF86">
            <v>0</v>
          </cell>
        </row>
        <row r="87">
          <cell r="A87" t="str">
            <v>b27</v>
          </cell>
          <cell r="E87">
            <v>27</v>
          </cell>
          <cell r="F87" t="str">
            <v>HB6.3</v>
          </cell>
          <cell r="G87">
            <v>2.94</v>
          </cell>
          <cell r="H87">
            <v>0.25</v>
          </cell>
          <cell r="I87">
            <v>0.35</v>
          </cell>
          <cell r="J87">
            <v>0.61739999999999995</v>
          </cell>
          <cell r="K87">
            <v>161.67949154518953</v>
          </cell>
          <cell r="O87">
            <v>12</v>
          </cell>
          <cell r="T87">
            <v>12</v>
          </cell>
          <cell r="U87">
            <v>0.25724999999999998</v>
          </cell>
          <cell r="V87">
            <v>3.0869999999999997</v>
          </cell>
          <cell r="AI87">
            <v>6.68</v>
          </cell>
          <cell r="AJ87">
            <v>80.16</v>
          </cell>
          <cell r="AM87">
            <v>0</v>
          </cell>
          <cell r="AN87">
            <v>15.597450000000002</v>
          </cell>
          <cell r="AO87">
            <v>0</v>
          </cell>
          <cell r="AP87">
            <v>0</v>
          </cell>
          <cell r="AQ87">
            <v>25.9945992</v>
          </cell>
          <cell r="AR87">
            <v>0</v>
          </cell>
          <cell r="AS87">
            <v>0</v>
          </cell>
          <cell r="AT87">
            <v>0</v>
          </cell>
          <cell r="AU87">
            <v>0</v>
          </cell>
          <cell r="AV87">
            <v>0</v>
          </cell>
          <cell r="AW87">
            <v>0</v>
          </cell>
          <cell r="AX87">
            <v>187.16940000000002</v>
          </cell>
          <cell r="AY87">
            <v>0</v>
          </cell>
          <cell r="AZ87">
            <v>0</v>
          </cell>
          <cell r="BA87">
            <v>311.93519040000001</v>
          </cell>
          <cell r="BB87">
            <v>0</v>
          </cell>
          <cell r="BC87">
            <v>0</v>
          </cell>
          <cell r="BD87">
            <v>0</v>
          </cell>
          <cell r="BE87">
            <v>0</v>
          </cell>
          <cell r="BF87">
            <v>0</v>
          </cell>
        </row>
        <row r="88">
          <cell r="A88" t="str">
            <v>b28</v>
          </cell>
          <cell r="E88">
            <v>28</v>
          </cell>
          <cell r="F88" t="str">
            <v>HB10.3</v>
          </cell>
          <cell r="G88">
            <v>5.09</v>
          </cell>
          <cell r="H88">
            <v>0.25</v>
          </cell>
          <cell r="I88">
            <v>0.35</v>
          </cell>
          <cell r="J88">
            <v>1.0689</v>
          </cell>
          <cell r="K88">
            <v>162.62699006455236</v>
          </cell>
          <cell r="O88">
            <v>6</v>
          </cell>
          <cell r="T88">
            <v>6</v>
          </cell>
          <cell r="U88">
            <v>0.44537499999999997</v>
          </cell>
          <cell r="V88">
            <v>2.67225</v>
          </cell>
          <cell r="AI88">
            <v>6.68</v>
          </cell>
          <cell r="AJ88">
            <v>40.08</v>
          </cell>
          <cell r="AM88">
            <v>0</v>
          </cell>
          <cell r="AN88">
            <v>27.295537500000005</v>
          </cell>
          <cell r="AO88">
            <v>0</v>
          </cell>
          <cell r="AP88">
            <v>0</v>
          </cell>
          <cell r="AQ88">
            <v>45.134458200000005</v>
          </cell>
          <cell r="AR88">
            <v>0</v>
          </cell>
          <cell r="AS88">
            <v>0</v>
          </cell>
          <cell r="AT88">
            <v>0</v>
          </cell>
          <cell r="AU88">
            <v>0</v>
          </cell>
          <cell r="AV88">
            <v>0</v>
          </cell>
          <cell r="AW88">
            <v>0</v>
          </cell>
          <cell r="AX88">
            <v>163.77322500000002</v>
          </cell>
          <cell r="AY88">
            <v>0</v>
          </cell>
          <cell r="AZ88">
            <v>0</v>
          </cell>
          <cell r="BA88">
            <v>270.80674920000001</v>
          </cell>
          <cell r="BB88">
            <v>0</v>
          </cell>
          <cell r="BC88">
            <v>0</v>
          </cell>
          <cell r="BD88">
            <v>0</v>
          </cell>
          <cell r="BE88">
            <v>0</v>
          </cell>
          <cell r="BF88">
            <v>0</v>
          </cell>
        </row>
        <row r="89">
          <cell r="A89" t="str">
            <v>b29</v>
          </cell>
          <cell r="E89">
            <v>29</v>
          </cell>
          <cell r="F89" t="str">
            <v>HB11.3</v>
          </cell>
          <cell r="G89">
            <v>3.79</v>
          </cell>
          <cell r="H89">
            <v>0.25</v>
          </cell>
          <cell r="I89">
            <v>0.35</v>
          </cell>
          <cell r="J89">
            <v>0.79589999999999994</v>
          </cell>
          <cell r="K89">
            <v>162.34664214097251</v>
          </cell>
          <cell r="O89">
            <v>1</v>
          </cell>
          <cell r="T89">
            <v>1</v>
          </cell>
          <cell r="U89">
            <v>0.331625</v>
          </cell>
          <cell r="V89">
            <v>0.331625</v>
          </cell>
          <cell r="AI89">
            <v>6.68</v>
          </cell>
          <cell r="AJ89">
            <v>6.68</v>
          </cell>
          <cell r="AM89">
            <v>0</v>
          </cell>
          <cell r="AN89">
            <v>20.276685000000001</v>
          </cell>
          <cell r="AO89">
            <v>0</v>
          </cell>
          <cell r="AP89">
            <v>0</v>
          </cell>
          <cell r="AQ89">
            <v>33.561520200000004</v>
          </cell>
          <cell r="AR89">
            <v>0</v>
          </cell>
          <cell r="AS89">
            <v>0</v>
          </cell>
          <cell r="AT89">
            <v>0</v>
          </cell>
          <cell r="AU89">
            <v>0</v>
          </cell>
          <cell r="AV89">
            <v>0</v>
          </cell>
          <cell r="AW89">
            <v>0</v>
          </cell>
          <cell r="AX89">
            <v>20.276685000000001</v>
          </cell>
          <cell r="AY89">
            <v>0</v>
          </cell>
          <cell r="AZ89">
            <v>0</v>
          </cell>
          <cell r="BA89">
            <v>33.561520200000004</v>
          </cell>
          <cell r="BB89">
            <v>0</v>
          </cell>
          <cell r="BC89">
            <v>0</v>
          </cell>
          <cell r="BD89">
            <v>0</v>
          </cell>
          <cell r="BE89">
            <v>0</v>
          </cell>
          <cell r="BF89">
            <v>0</v>
          </cell>
        </row>
        <row r="90">
          <cell r="A90" t="str">
            <v>b30</v>
          </cell>
          <cell r="E90">
            <v>30</v>
          </cell>
          <cell r="F90" t="str">
            <v>HB11A.3</v>
          </cell>
          <cell r="G90">
            <v>2.2999999999999998</v>
          </cell>
          <cell r="H90">
            <v>0.25</v>
          </cell>
          <cell r="I90">
            <v>0.35</v>
          </cell>
          <cell r="J90">
            <v>0.48299999999999993</v>
          </cell>
          <cell r="K90">
            <v>162.85770335403728</v>
          </cell>
          <cell r="O90">
            <v>1</v>
          </cell>
          <cell r="T90">
            <v>1</v>
          </cell>
          <cell r="U90">
            <v>0.20124999999999998</v>
          </cell>
          <cell r="V90">
            <v>0.20124999999999998</v>
          </cell>
          <cell r="AI90">
            <v>6.68</v>
          </cell>
          <cell r="AJ90">
            <v>6.68</v>
          </cell>
          <cell r="AM90">
            <v>0</v>
          </cell>
          <cell r="AN90">
            <v>12.477960000000001</v>
          </cell>
          <cell r="AO90">
            <v>0</v>
          </cell>
          <cell r="AP90">
            <v>0</v>
          </cell>
          <cell r="AQ90">
            <v>20.297152799999999</v>
          </cell>
          <cell r="AR90">
            <v>0</v>
          </cell>
          <cell r="AS90">
            <v>0</v>
          </cell>
          <cell r="AT90">
            <v>0</v>
          </cell>
          <cell r="AU90">
            <v>0</v>
          </cell>
          <cell r="AV90">
            <v>0</v>
          </cell>
          <cell r="AW90">
            <v>0</v>
          </cell>
          <cell r="AX90">
            <v>12.477960000000001</v>
          </cell>
          <cell r="AY90">
            <v>0</v>
          </cell>
          <cell r="AZ90">
            <v>0</v>
          </cell>
          <cell r="BA90">
            <v>20.297152799999999</v>
          </cell>
          <cell r="BB90">
            <v>0</v>
          </cell>
          <cell r="BC90">
            <v>0</v>
          </cell>
          <cell r="BD90">
            <v>0</v>
          </cell>
          <cell r="BE90">
            <v>0</v>
          </cell>
          <cell r="BF90">
            <v>0</v>
          </cell>
        </row>
        <row r="91">
          <cell r="A91" t="str">
            <v>b31</v>
          </cell>
          <cell r="E91">
            <v>31</v>
          </cell>
          <cell r="F91" t="str">
            <v>HB1.4</v>
          </cell>
          <cell r="G91">
            <v>4.74</v>
          </cell>
          <cell r="H91">
            <v>0.25</v>
          </cell>
          <cell r="I91">
            <v>0.35</v>
          </cell>
          <cell r="J91">
            <v>0.99539999999999995</v>
          </cell>
          <cell r="K91">
            <v>156.98446003616638</v>
          </cell>
          <cell r="P91">
            <v>4</v>
          </cell>
          <cell r="T91">
            <v>4</v>
          </cell>
          <cell r="U91">
            <v>0.41475000000000001</v>
          </cell>
          <cell r="V91">
            <v>1.659</v>
          </cell>
          <cell r="AG91">
            <v>2.86</v>
          </cell>
          <cell r="AH91">
            <v>11.44</v>
          </cell>
          <cell r="AI91">
            <v>3.34</v>
          </cell>
          <cell r="AJ91">
            <v>13.36</v>
          </cell>
          <cell r="AM91">
            <v>0</v>
          </cell>
          <cell r="AN91">
            <v>24.955920000000003</v>
          </cell>
          <cell r="AO91">
            <v>0</v>
          </cell>
          <cell r="AP91">
            <v>19.1440512</v>
          </cell>
          <cell r="AQ91">
            <v>21.009333600000001</v>
          </cell>
          <cell r="AR91">
            <v>0</v>
          </cell>
          <cell r="AS91">
            <v>0</v>
          </cell>
          <cell r="AT91">
            <v>0</v>
          </cell>
          <cell r="AU91">
            <v>0</v>
          </cell>
          <cell r="AV91">
            <v>0</v>
          </cell>
          <cell r="AW91">
            <v>0</v>
          </cell>
          <cell r="AX91">
            <v>99.82368000000001</v>
          </cell>
          <cell r="AY91">
            <v>0</v>
          </cell>
          <cell r="AZ91">
            <v>76.576204799999999</v>
          </cell>
          <cell r="BA91">
            <v>84.037334400000006</v>
          </cell>
          <cell r="BB91">
            <v>0</v>
          </cell>
          <cell r="BC91">
            <v>0</v>
          </cell>
          <cell r="BD91">
            <v>0</v>
          </cell>
          <cell r="BE91">
            <v>0</v>
          </cell>
          <cell r="BF91">
            <v>0</v>
          </cell>
        </row>
        <row r="92">
          <cell r="A92" t="str">
            <v>b32</v>
          </cell>
          <cell r="E92">
            <v>32</v>
          </cell>
          <cell r="F92" t="str">
            <v>HB2.4</v>
          </cell>
          <cell r="G92">
            <v>6.49</v>
          </cell>
          <cell r="H92">
            <v>0.25</v>
          </cell>
          <cell r="I92">
            <v>0.35</v>
          </cell>
          <cell r="J92">
            <v>1.3629</v>
          </cell>
          <cell r="K92">
            <v>254.49836513317189</v>
          </cell>
          <cell r="P92">
            <v>10</v>
          </cell>
          <cell r="T92">
            <v>10</v>
          </cell>
          <cell r="U92">
            <v>0.56787500000000002</v>
          </cell>
          <cell r="V92">
            <v>5.67875</v>
          </cell>
          <cell r="AK92">
            <v>5.7299999999999995</v>
          </cell>
          <cell r="AL92">
            <v>57.3</v>
          </cell>
          <cell r="AM92">
            <v>0</v>
          </cell>
          <cell r="AN92">
            <v>34.314390000000003</v>
          </cell>
          <cell r="AO92">
            <v>0</v>
          </cell>
          <cell r="AP92">
            <v>0</v>
          </cell>
          <cell r="AQ92">
            <v>0</v>
          </cell>
          <cell r="AR92">
            <v>110.20886909999999</v>
          </cell>
          <cell r="AS92">
            <v>0</v>
          </cell>
          <cell r="AT92">
            <v>0</v>
          </cell>
          <cell r="AU92">
            <v>0</v>
          </cell>
          <cell r="AV92">
            <v>0</v>
          </cell>
          <cell r="AW92">
            <v>0</v>
          </cell>
          <cell r="AX92">
            <v>343.14390000000003</v>
          </cell>
          <cell r="AY92">
            <v>0</v>
          </cell>
          <cell r="AZ92">
            <v>0</v>
          </cell>
          <cell r="BA92">
            <v>0</v>
          </cell>
          <cell r="BB92">
            <v>1102.0886909999999</v>
          </cell>
          <cell r="BC92">
            <v>0</v>
          </cell>
          <cell r="BD92">
            <v>0</v>
          </cell>
          <cell r="BE92">
            <v>0</v>
          </cell>
          <cell r="BF92">
            <v>0</v>
          </cell>
        </row>
        <row r="93">
          <cell r="A93" t="str">
            <v>b33</v>
          </cell>
          <cell r="E93">
            <v>33</v>
          </cell>
          <cell r="F93" t="str">
            <v>HB2A.4</v>
          </cell>
          <cell r="G93">
            <v>1.49</v>
          </cell>
          <cell r="H93">
            <v>0.25</v>
          </cell>
          <cell r="I93">
            <v>0.35</v>
          </cell>
          <cell r="J93">
            <v>0.31289999999999996</v>
          </cell>
          <cell r="K93">
            <v>281.73588954937679</v>
          </cell>
          <cell r="P93">
            <v>2</v>
          </cell>
          <cell r="T93">
            <v>2</v>
          </cell>
          <cell r="U93">
            <v>0.13037499999999999</v>
          </cell>
          <cell r="V93">
            <v>0.26074999999999998</v>
          </cell>
          <cell r="AK93">
            <v>5.7299999999999995</v>
          </cell>
          <cell r="AL93">
            <v>11.459999999999999</v>
          </cell>
          <cell r="AM93">
            <v>0</v>
          </cell>
          <cell r="AN93">
            <v>8.5785975000000008</v>
          </cell>
          <cell r="AO93">
            <v>0</v>
          </cell>
          <cell r="AP93">
            <v>0</v>
          </cell>
          <cell r="AQ93">
            <v>0</v>
          </cell>
          <cell r="AR93">
            <v>28.152719099999999</v>
          </cell>
          <cell r="AS93">
            <v>0</v>
          </cell>
          <cell r="AT93">
            <v>0</v>
          </cell>
          <cell r="AU93">
            <v>0</v>
          </cell>
          <cell r="AV93">
            <v>0</v>
          </cell>
          <cell r="AW93">
            <v>0</v>
          </cell>
          <cell r="AX93">
            <v>17.157195000000002</v>
          </cell>
          <cell r="AY93">
            <v>0</v>
          </cell>
          <cell r="AZ93">
            <v>0</v>
          </cell>
          <cell r="BA93">
            <v>0</v>
          </cell>
          <cell r="BB93">
            <v>56.305438199999998</v>
          </cell>
          <cell r="BC93">
            <v>0</v>
          </cell>
          <cell r="BD93">
            <v>0</v>
          </cell>
          <cell r="BE93">
            <v>0</v>
          </cell>
          <cell r="BF93">
            <v>0</v>
          </cell>
        </row>
        <row r="94">
          <cell r="A94" t="str">
            <v>b34</v>
          </cell>
          <cell r="E94">
            <v>34</v>
          </cell>
          <cell r="F94" t="str">
            <v>HB2B.4</v>
          </cell>
          <cell r="G94">
            <v>1.27</v>
          </cell>
          <cell r="H94">
            <v>0.25</v>
          </cell>
          <cell r="I94">
            <v>0.35</v>
          </cell>
          <cell r="J94">
            <v>0.26669999999999994</v>
          </cell>
          <cell r="K94">
            <v>284.01440719910016</v>
          </cell>
          <cell r="P94">
            <v>16</v>
          </cell>
          <cell r="T94">
            <v>16</v>
          </cell>
          <cell r="U94">
            <v>0.11112499999999999</v>
          </cell>
          <cell r="V94">
            <v>1.7779999999999998</v>
          </cell>
          <cell r="AK94">
            <v>5.7299999999999995</v>
          </cell>
          <cell r="AL94">
            <v>91.679999999999993</v>
          </cell>
          <cell r="AM94">
            <v>0</v>
          </cell>
          <cell r="AN94">
            <v>7.0188525000000004</v>
          </cell>
          <cell r="AO94">
            <v>0</v>
          </cell>
          <cell r="AP94">
            <v>0</v>
          </cell>
          <cell r="AQ94">
            <v>0</v>
          </cell>
          <cell r="AR94">
            <v>24.542248499999999</v>
          </cell>
          <cell r="AS94">
            <v>0</v>
          </cell>
          <cell r="AT94">
            <v>0</v>
          </cell>
          <cell r="AU94">
            <v>0</v>
          </cell>
          <cell r="AV94">
            <v>0</v>
          </cell>
          <cell r="AW94">
            <v>0</v>
          </cell>
          <cell r="AX94">
            <v>112.30164000000001</v>
          </cell>
          <cell r="AY94">
            <v>0</v>
          </cell>
          <cell r="AZ94">
            <v>0</v>
          </cell>
          <cell r="BA94">
            <v>0</v>
          </cell>
          <cell r="BB94">
            <v>392.67597599999999</v>
          </cell>
          <cell r="BC94">
            <v>0</v>
          </cell>
          <cell r="BD94">
            <v>0</v>
          </cell>
          <cell r="BE94">
            <v>0</v>
          </cell>
          <cell r="BF94">
            <v>0</v>
          </cell>
        </row>
        <row r="95">
          <cell r="A95" t="str">
            <v>b35</v>
          </cell>
          <cell r="E95">
            <v>35</v>
          </cell>
          <cell r="F95" t="str">
            <v>HB2C.4</v>
          </cell>
          <cell r="G95">
            <v>6.49</v>
          </cell>
          <cell r="H95">
            <v>0.15</v>
          </cell>
          <cell r="I95">
            <v>0.3</v>
          </cell>
          <cell r="J95">
            <v>0.73742399999999997</v>
          </cell>
          <cell r="K95">
            <v>470.36144991212655</v>
          </cell>
          <cell r="P95">
            <v>1</v>
          </cell>
          <cell r="T95">
            <v>1</v>
          </cell>
          <cell r="U95">
            <v>0.30725999999999998</v>
          </cell>
          <cell r="V95">
            <v>0.30725999999999998</v>
          </cell>
          <cell r="AK95">
            <v>5.7299999999999995</v>
          </cell>
          <cell r="AL95">
            <v>5.7299999999999995</v>
          </cell>
          <cell r="AM95">
            <v>0</v>
          </cell>
          <cell r="AN95">
            <v>34.314390000000003</v>
          </cell>
          <cell r="AO95">
            <v>0</v>
          </cell>
          <cell r="AP95">
            <v>0</v>
          </cell>
          <cell r="AQ95">
            <v>0</v>
          </cell>
          <cell r="AR95">
            <v>110.20886909999999</v>
          </cell>
          <cell r="AS95">
            <v>0</v>
          </cell>
          <cell r="AT95">
            <v>0</v>
          </cell>
          <cell r="AU95">
            <v>0</v>
          </cell>
          <cell r="AV95">
            <v>0</v>
          </cell>
          <cell r="AW95">
            <v>0</v>
          </cell>
          <cell r="AX95">
            <v>34.314390000000003</v>
          </cell>
          <cell r="AY95">
            <v>0</v>
          </cell>
          <cell r="AZ95">
            <v>0</v>
          </cell>
          <cell r="BA95">
            <v>0</v>
          </cell>
          <cell r="BB95">
            <v>110.20886909999999</v>
          </cell>
          <cell r="BC95">
            <v>0</v>
          </cell>
          <cell r="BD95">
            <v>0</v>
          </cell>
          <cell r="BE95">
            <v>0</v>
          </cell>
          <cell r="BF95">
            <v>0</v>
          </cell>
        </row>
        <row r="96">
          <cell r="A96" t="str">
            <v>b36</v>
          </cell>
          <cell r="E96">
            <v>36</v>
          </cell>
          <cell r="F96" t="str">
            <v>HB2D.4</v>
          </cell>
          <cell r="G96">
            <v>6.49</v>
          </cell>
          <cell r="H96">
            <v>0.25</v>
          </cell>
          <cell r="I96">
            <v>0.35</v>
          </cell>
          <cell r="J96">
            <v>1.3629</v>
          </cell>
          <cell r="K96">
            <v>254.49836513317189</v>
          </cell>
          <cell r="P96">
            <v>1</v>
          </cell>
          <cell r="T96">
            <v>1</v>
          </cell>
          <cell r="U96">
            <v>0.56787500000000002</v>
          </cell>
          <cell r="V96">
            <v>0.56787500000000002</v>
          </cell>
          <cell r="AK96">
            <v>5.7299999999999995</v>
          </cell>
          <cell r="AL96">
            <v>5.7299999999999995</v>
          </cell>
          <cell r="AM96">
            <v>0</v>
          </cell>
          <cell r="AN96">
            <v>34.314390000000003</v>
          </cell>
          <cell r="AO96">
            <v>0</v>
          </cell>
          <cell r="AP96">
            <v>0</v>
          </cell>
          <cell r="AQ96">
            <v>0</v>
          </cell>
          <cell r="AR96">
            <v>110.20886909999999</v>
          </cell>
          <cell r="AS96">
            <v>0</v>
          </cell>
          <cell r="AT96">
            <v>0</v>
          </cell>
          <cell r="AU96">
            <v>0</v>
          </cell>
          <cell r="AV96">
            <v>0</v>
          </cell>
          <cell r="AW96">
            <v>0</v>
          </cell>
          <cell r="AX96">
            <v>34.314390000000003</v>
          </cell>
          <cell r="AY96">
            <v>0</v>
          </cell>
          <cell r="AZ96">
            <v>0</v>
          </cell>
          <cell r="BA96">
            <v>0</v>
          </cell>
          <cell r="BB96">
            <v>110.20886909999999</v>
          </cell>
          <cell r="BC96">
            <v>0</v>
          </cell>
          <cell r="BD96">
            <v>0</v>
          </cell>
          <cell r="BE96">
            <v>0</v>
          </cell>
          <cell r="BF96">
            <v>0</v>
          </cell>
        </row>
        <row r="97">
          <cell r="A97" t="str">
            <v>b37</v>
          </cell>
          <cell r="E97">
            <v>37</v>
          </cell>
          <cell r="F97" t="str">
            <v>HB3.4</v>
          </cell>
          <cell r="G97">
            <v>2.94</v>
          </cell>
          <cell r="H97">
            <v>0.25</v>
          </cell>
          <cell r="I97">
            <v>0.35</v>
          </cell>
          <cell r="J97">
            <v>0.61739999999999995</v>
          </cell>
          <cell r="K97">
            <v>132.28879766763853</v>
          </cell>
          <cell r="P97">
            <v>4</v>
          </cell>
          <cell r="T97">
            <v>4</v>
          </cell>
          <cell r="U97">
            <v>0.25724999999999998</v>
          </cell>
          <cell r="V97">
            <v>1.0289999999999999</v>
          </cell>
          <cell r="AG97">
            <v>5.72</v>
          </cell>
          <cell r="AH97">
            <v>22.88</v>
          </cell>
          <cell r="AM97">
            <v>0</v>
          </cell>
          <cell r="AN97">
            <v>15.597450000000002</v>
          </cell>
          <cell r="AO97">
            <v>0</v>
          </cell>
          <cell r="AP97">
            <v>18.433843200000002</v>
          </cell>
          <cell r="AQ97">
            <v>0</v>
          </cell>
          <cell r="AR97">
            <v>0</v>
          </cell>
          <cell r="AS97">
            <v>0</v>
          </cell>
          <cell r="AT97">
            <v>0</v>
          </cell>
          <cell r="AU97">
            <v>0</v>
          </cell>
          <cell r="AV97">
            <v>0</v>
          </cell>
          <cell r="AW97">
            <v>0</v>
          </cell>
          <cell r="AX97">
            <v>62.389800000000008</v>
          </cell>
          <cell r="AY97">
            <v>0</v>
          </cell>
          <cell r="AZ97">
            <v>73.735372800000007</v>
          </cell>
          <cell r="BA97">
            <v>0</v>
          </cell>
          <cell r="BB97">
            <v>0</v>
          </cell>
          <cell r="BC97">
            <v>0</v>
          </cell>
          <cell r="BD97">
            <v>0</v>
          </cell>
          <cell r="BE97">
            <v>0</v>
          </cell>
          <cell r="BF97">
            <v>0</v>
          </cell>
        </row>
        <row r="98">
          <cell r="A98" t="str">
            <v>b38</v>
          </cell>
          <cell r="E98">
            <v>38</v>
          </cell>
          <cell r="F98" t="str">
            <v>HB4.4</v>
          </cell>
          <cell r="G98">
            <v>2.94</v>
          </cell>
          <cell r="H98">
            <v>0.25</v>
          </cell>
          <cell r="I98">
            <v>0.35</v>
          </cell>
          <cell r="J98">
            <v>0.61739999999999995</v>
          </cell>
          <cell r="K98">
            <v>132.28879766763853</v>
          </cell>
          <cell r="P98">
            <v>6</v>
          </cell>
          <cell r="T98">
            <v>6</v>
          </cell>
          <cell r="U98">
            <v>0.25724999999999998</v>
          </cell>
          <cell r="V98">
            <v>1.5434999999999999</v>
          </cell>
          <cell r="AG98">
            <v>5.72</v>
          </cell>
          <cell r="AH98">
            <v>34.32</v>
          </cell>
          <cell r="AM98">
            <v>0</v>
          </cell>
          <cell r="AN98">
            <v>15.597450000000002</v>
          </cell>
          <cell r="AO98">
            <v>0</v>
          </cell>
          <cell r="AP98">
            <v>18.433843200000002</v>
          </cell>
          <cell r="AQ98">
            <v>0</v>
          </cell>
          <cell r="AR98">
            <v>0</v>
          </cell>
          <cell r="AS98">
            <v>0</v>
          </cell>
          <cell r="AT98">
            <v>0</v>
          </cell>
          <cell r="AU98">
            <v>0</v>
          </cell>
          <cell r="AV98">
            <v>0</v>
          </cell>
          <cell r="AW98">
            <v>0</v>
          </cell>
          <cell r="AX98">
            <v>93.584700000000012</v>
          </cell>
          <cell r="AY98">
            <v>0</v>
          </cell>
          <cell r="AZ98">
            <v>110.60305920000002</v>
          </cell>
          <cell r="BA98">
            <v>0</v>
          </cell>
          <cell r="BB98">
            <v>0</v>
          </cell>
          <cell r="BC98">
            <v>0</v>
          </cell>
          <cell r="BD98">
            <v>0</v>
          </cell>
          <cell r="BE98">
            <v>0</v>
          </cell>
          <cell r="BF98">
            <v>0</v>
          </cell>
        </row>
        <row r="99">
          <cell r="A99" t="str">
            <v>b39</v>
          </cell>
          <cell r="E99">
            <v>39</v>
          </cell>
          <cell r="F99" t="str">
            <v>HB4'.4</v>
          </cell>
          <cell r="G99">
            <v>2.94</v>
          </cell>
          <cell r="H99">
            <v>0.25</v>
          </cell>
          <cell r="I99">
            <v>0.35</v>
          </cell>
          <cell r="J99">
            <v>0.61739999999999995</v>
          </cell>
          <cell r="K99">
            <v>132.28879766763853</v>
          </cell>
          <cell r="P99">
            <v>6</v>
          </cell>
          <cell r="T99">
            <v>6</v>
          </cell>
          <cell r="U99">
            <v>0.25724999999999998</v>
          </cell>
          <cell r="V99">
            <v>1.5434999999999999</v>
          </cell>
          <cell r="AG99">
            <v>5.72</v>
          </cell>
          <cell r="AH99">
            <v>34.32</v>
          </cell>
          <cell r="AM99">
            <v>0</v>
          </cell>
          <cell r="AN99">
            <v>15.597450000000002</v>
          </cell>
          <cell r="AO99">
            <v>0</v>
          </cell>
          <cell r="AP99">
            <v>18.433843200000002</v>
          </cell>
          <cell r="AQ99">
            <v>0</v>
          </cell>
          <cell r="AR99">
            <v>0</v>
          </cell>
          <cell r="AS99">
            <v>0</v>
          </cell>
          <cell r="AT99">
            <v>0</v>
          </cell>
          <cell r="AU99">
            <v>0</v>
          </cell>
          <cell r="AV99">
            <v>0</v>
          </cell>
          <cell r="AW99">
            <v>0</v>
          </cell>
          <cell r="AX99">
            <v>93.584700000000012</v>
          </cell>
          <cell r="AY99">
            <v>0</v>
          </cell>
          <cell r="AZ99">
            <v>110.60305920000002</v>
          </cell>
          <cell r="BA99">
            <v>0</v>
          </cell>
          <cell r="BB99">
            <v>0</v>
          </cell>
          <cell r="BC99">
            <v>0</v>
          </cell>
          <cell r="BD99">
            <v>0</v>
          </cell>
          <cell r="BE99">
            <v>0</v>
          </cell>
          <cell r="BF99">
            <v>0</v>
          </cell>
        </row>
        <row r="100">
          <cell r="A100" t="str">
            <v>b40</v>
          </cell>
          <cell r="E100">
            <v>40</v>
          </cell>
          <cell r="F100" t="str">
            <v>HB5.4</v>
          </cell>
          <cell r="G100">
            <v>4.24</v>
          </cell>
          <cell r="H100">
            <v>0.25</v>
          </cell>
          <cell r="I100">
            <v>0.35</v>
          </cell>
          <cell r="J100">
            <v>0.89039999999999997</v>
          </cell>
          <cell r="K100">
            <v>132.76817708894882</v>
          </cell>
          <cell r="P100">
            <v>1</v>
          </cell>
          <cell r="T100">
            <v>1</v>
          </cell>
          <cell r="U100">
            <v>0.371</v>
          </cell>
          <cell r="V100">
            <v>0.371</v>
          </cell>
          <cell r="AG100">
            <v>5.72</v>
          </cell>
          <cell r="AH100">
            <v>5.72</v>
          </cell>
          <cell r="AM100">
            <v>0</v>
          </cell>
          <cell r="AN100">
            <v>22.616302500000003</v>
          </cell>
          <cell r="AO100">
            <v>0</v>
          </cell>
          <cell r="AP100">
            <v>26.640691200000003</v>
          </cell>
          <cell r="AQ100">
            <v>0</v>
          </cell>
          <cell r="AR100">
            <v>0</v>
          </cell>
          <cell r="AS100">
            <v>0</v>
          </cell>
          <cell r="AT100">
            <v>0</v>
          </cell>
          <cell r="AU100">
            <v>0</v>
          </cell>
          <cell r="AV100">
            <v>0</v>
          </cell>
          <cell r="AW100">
            <v>0</v>
          </cell>
          <cell r="AX100">
            <v>22.616302500000003</v>
          </cell>
          <cell r="AY100">
            <v>0</v>
          </cell>
          <cell r="AZ100">
            <v>26.640691200000003</v>
          </cell>
          <cell r="BA100">
            <v>0</v>
          </cell>
          <cell r="BB100">
            <v>0</v>
          </cell>
          <cell r="BC100">
            <v>0</v>
          </cell>
          <cell r="BD100">
            <v>0</v>
          </cell>
          <cell r="BE100">
            <v>0</v>
          </cell>
          <cell r="BF100">
            <v>0</v>
          </cell>
        </row>
        <row r="101">
          <cell r="A101" t="str">
            <v>b41</v>
          </cell>
          <cell r="E101">
            <v>41</v>
          </cell>
          <cell r="F101" t="str">
            <v>HB5A.4</v>
          </cell>
          <cell r="G101">
            <v>4.24</v>
          </cell>
          <cell r="H101">
            <v>0.25</v>
          </cell>
          <cell r="I101">
            <v>0.35</v>
          </cell>
          <cell r="J101">
            <v>0.89039999999999997</v>
          </cell>
          <cell r="K101">
            <v>132.76817708894882</v>
          </cell>
          <cell r="P101">
            <v>1</v>
          </cell>
          <cell r="T101">
            <v>1</v>
          </cell>
          <cell r="U101">
            <v>0.371</v>
          </cell>
          <cell r="V101">
            <v>0.371</v>
          </cell>
          <cell r="AG101">
            <v>5.72</v>
          </cell>
          <cell r="AH101">
            <v>5.72</v>
          </cell>
          <cell r="AM101">
            <v>0</v>
          </cell>
          <cell r="AN101">
            <v>22.616302500000003</v>
          </cell>
          <cell r="AO101">
            <v>0</v>
          </cell>
          <cell r="AP101">
            <v>26.640691200000003</v>
          </cell>
          <cell r="AQ101">
            <v>0</v>
          </cell>
          <cell r="AR101">
            <v>0</v>
          </cell>
          <cell r="AS101">
            <v>0</v>
          </cell>
          <cell r="AT101">
            <v>0</v>
          </cell>
          <cell r="AU101">
            <v>0</v>
          </cell>
          <cell r="AV101">
            <v>0</v>
          </cell>
          <cell r="AW101">
            <v>0</v>
          </cell>
          <cell r="AX101">
            <v>22.616302500000003</v>
          </cell>
          <cell r="AY101">
            <v>0</v>
          </cell>
          <cell r="AZ101">
            <v>26.640691200000003</v>
          </cell>
          <cell r="BA101">
            <v>0</v>
          </cell>
          <cell r="BB101">
            <v>0</v>
          </cell>
          <cell r="BC101">
            <v>0</v>
          </cell>
          <cell r="BD101">
            <v>0</v>
          </cell>
          <cell r="BE101">
            <v>0</v>
          </cell>
          <cell r="BF101">
            <v>0</v>
          </cell>
        </row>
        <row r="102">
          <cell r="A102" t="str">
            <v>b42</v>
          </cell>
          <cell r="E102">
            <v>42</v>
          </cell>
          <cell r="F102" t="str">
            <v>HB6.4</v>
          </cell>
          <cell r="G102">
            <v>2.94</v>
          </cell>
          <cell r="H102">
            <v>0.25</v>
          </cell>
          <cell r="I102">
            <v>0.35</v>
          </cell>
          <cell r="J102">
            <v>0.61739999999999995</v>
          </cell>
          <cell r="K102">
            <v>132.28879766763853</v>
          </cell>
          <cell r="P102">
            <v>12</v>
          </cell>
          <cell r="T102">
            <v>12</v>
          </cell>
          <cell r="U102">
            <v>0.25724999999999998</v>
          </cell>
          <cell r="V102">
            <v>3.0869999999999997</v>
          </cell>
          <cell r="AG102">
            <v>5.72</v>
          </cell>
          <cell r="AH102">
            <v>68.64</v>
          </cell>
          <cell r="AM102">
            <v>0</v>
          </cell>
          <cell r="AN102">
            <v>15.597450000000002</v>
          </cell>
          <cell r="AO102">
            <v>0</v>
          </cell>
          <cell r="AP102">
            <v>18.433843200000002</v>
          </cell>
          <cell r="AQ102">
            <v>0</v>
          </cell>
          <cell r="AR102">
            <v>0</v>
          </cell>
          <cell r="AS102">
            <v>0</v>
          </cell>
          <cell r="AT102">
            <v>0</v>
          </cell>
          <cell r="AU102">
            <v>0</v>
          </cell>
          <cell r="AV102">
            <v>0</v>
          </cell>
          <cell r="AW102">
            <v>0</v>
          </cell>
          <cell r="AX102">
            <v>187.16940000000002</v>
          </cell>
          <cell r="AY102">
            <v>0</v>
          </cell>
          <cell r="AZ102">
            <v>221.20611840000004</v>
          </cell>
          <cell r="BA102">
            <v>0</v>
          </cell>
          <cell r="BB102">
            <v>0</v>
          </cell>
          <cell r="BC102">
            <v>0</v>
          </cell>
          <cell r="BD102">
            <v>0</v>
          </cell>
          <cell r="BE102">
            <v>0</v>
          </cell>
          <cell r="BF102">
            <v>0</v>
          </cell>
        </row>
        <row r="103">
          <cell r="A103" t="str">
            <v>b43</v>
          </cell>
          <cell r="E103">
            <v>43</v>
          </cell>
          <cell r="F103" t="str">
            <v>HB10.4</v>
          </cell>
          <cell r="G103">
            <v>5.09</v>
          </cell>
          <cell r="H103">
            <v>0.15</v>
          </cell>
          <cell r="I103">
            <v>0.3</v>
          </cell>
          <cell r="J103">
            <v>0.73742399999999997</v>
          </cell>
          <cell r="K103">
            <v>193.00346514352668</v>
          </cell>
          <cell r="P103">
            <v>6</v>
          </cell>
          <cell r="T103">
            <v>6</v>
          </cell>
          <cell r="U103">
            <v>0.30725999999999998</v>
          </cell>
          <cell r="V103">
            <v>1.8435599999999999</v>
          </cell>
          <cell r="AG103">
            <v>5.72</v>
          </cell>
          <cell r="AH103">
            <v>34.32</v>
          </cell>
          <cell r="AM103">
            <v>0</v>
          </cell>
          <cell r="AN103">
            <v>27.295537500000005</v>
          </cell>
          <cell r="AO103">
            <v>0</v>
          </cell>
          <cell r="AP103">
            <v>32.006707200000001</v>
          </cell>
          <cell r="AQ103">
            <v>0</v>
          </cell>
          <cell r="AR103">
            <v>0</v>
          </cell>
          <cell r="AS103">
            <v>0</v>
          </cell>
          <cell r="AT103">
            <v>0</v>
          </cell>
          <cell r="AU103">
            <v>0</v>
          </cell>
          <cell r="AV103">
            <v>0</v>
          </cell>
          <cell r="AW103">
            <v>0</v>
          </cell>
          <cell r="AX103">
            <v>163.77322500000002</v>
          </cell>
          <cell r="AY103">
            <v>0</v>
          </cell>
          <cell r="AZ103">
            <v>192.04024320000002</v>
          </cell>
          <cell r="BA103">
            <v>0</v>
          </cell>
          <cell r="BB103">
            <v>0</v>
          </cell>
          <cell r="BC103">
            <v>0</v>
          </cell>
          <cell r="BD103">
            <v>0</v>
          </cell>
          <cell r="BE103">
            <v>0</v>
          </cell>
          <cell r="BF103">
            <v>0</v>
          </cell>
        </row>
        <row r="104">
          <cell r="A104" t="str">
            <v>b44</v>
          </cell>
          <cell r="E104">
            <v>44</v>
          </cell>
          <cell r="F104" t="str">
            <v>HB11.4</v>
          </cell>
          <cell r="G104">
            <v>3.79</v>
          </cell>
          <cell r="H104">
            <v>0.25</v>
          </cell>
          <cell r="I104">
            <v>0.35</v>
          </cell>
          <cell r="J104">
            <v>0.79589999999999994</v>
          </cell>
          <cell r="K104">
            <v>132.91080045231814</v>
          </cell>
          <cell r="P104">
            <v>1</v>
          </cell>
          <cell r="T104">
            <v>1</v>
          </cell>
          <cell r="U104">
            <v>0.331625</v>
          </cell>
          <cell r="V104">
            <v>0.331625</v>
          </cell>
          <cell r="AG104">
            <v>5.72</v>
          </cell>
          <cell r="AH104">
            <v>5.72</v>
          </cell>
          <cell r="AM104">
            <v>0</v>
          </cell>
          <cell r="AN104">
            <v>20.276685000000001</v>
          </cell>
          <cell r="AO104">
            <v>0</v>
          </cell>
          <cell r="AP104">
            <v>23.7998592</v>
          </cell>
          <cell r="AQ104">
            <v>0</v>
          </cell>
          <cell r="AR104">
            <v>0</v>
          </cell>
          <cell r="AS104">
            <v>0</v>
          </cell>
          <cell r="AT104">
            <v>0</v>
          </cell>
          <cell r="AU104">
            <v>0</v>
          </cell>
          <cell r="AV104">
            <v>0</v>
          </cell>
          <cell r="AW104">
            <v>0</v>
          </cell>
          <cell r="AX104">
            <v>20.276685000000001</v>
          </cell>
          <cell r="AY104">
            <v>0</v>
          </cell>
          <cell r="AZ104">
            <v>23.7998592</v>
          </cell>
          <cell r="BA104">
            <v>0</v>
          </cell>
          <cell r="BB104">
            <v>0</v>
          </cell>
          <cell r="BC104">
            <v>0</v>
          </cell>
          <cell r="BD104">
            <v>0</v>
          </cell>
          <cell r="BE104">
            <v>0</v>
          </cell>
          <cell r="BF104">
            <v>0</v>
          </cell>
        </row>
        <row r="105">
          <cell r="A105" t="str">
            <v>b45</v>
          </cell>
          <cell r="E105">
            <v>45</v>
          </cell>
          <cell r="F105" t="str">
            <v>HB11A.4</v>
          </cell>
          <cell r="G105">
            <v>2.2999999999999998</v>
          </cell>
          <cell r="H105">
            <v>0.25</v>
          </cell>
          <cell r="I105">
            <v>0.35</v>
          </cell>
          <cell r="J105">
            <v>0.48299999999999993</v>
          </cell>
          <cell r="K105">
            <v>133.52302509316772</v>
          </cell>
          <cell r="P105">
            <v>1</v>
          </cell>
          <cell r="T105">
            <v>1</v>
          </cell>
          <cell r="U105">
            <v>0.20124999999999998</v>
          </cell>
          <cell r="V105">
            <v>0.20124999999999998</v>
          </cell>
          <cell r="AG105">
            <v>5.72</v>
          </cell>
          <cell r="AH105">
            <v>5.72</v>
          </cell>
          <cell r="AM105">
            <v>0</v>
          </cell>
          <cell r="AN105">
            <v>12.477960000000001</v>
          </cell>
          <cell r="AO105">
            <v>0</v>
          </cell>
          <cell r="AP105">
            <v>14.393548800000001</v>
          </cell>
          <cell r="AQ105">
            <v>0</v>
          </cell>
          <cell r="AR105">
            <v>0</v>
          </cell>
          <cell r="AS105">
            <v>0</v>
          </cell>
          <cell r="AT105">
            <v>0</v>
          </cell>
          <cell r="AU105">
            <v>0</v>
          </cell>
          <cell r="AV105">
            <v>0</v>
          </cell>
          <cell r="AW105">
            <v>0</v>
          </cell>
          <cell r="AX105">
            <v>12.477960000000001</v>
          </cell>
          <cell r="AY105">
            <v>0</v>
          </cell>
          <cell r="AZ105">
            <v>14.393548800000001</v>
          </cell>
          <cell r="BA105">
            <v>0</v>
          </cell>
          <cell r="BB105">
            <v>0</v>
          </cell>
          <cell r="BC105">
            <v>0</v>
          </cell>
          <cell r="BD105">
            <v>0</v>
          </cell>
          <cell r="BE105">
            <v>0</v>
          </cell>
          <cell r="BF105">
            <v>0</v>
          </cell>
        </row>
        <row r="106">
          <cell r="A106" t="str">
            <v>b46</v>
          </cell>
          <cell r="E106">
            <v>46</v>
          </cell>
          <cell r="F106" t="str">
            <v>HB1.5</v>
          </cell>
          <cell r="G106">
            <v>4.74</v>
          </cell>
          <cell r="H106">
            <v>0.25</v>
          </cell>
          <cell r="I106">
            <v>0.35</v>
          </cell>
          <cell r="J106">
            <v>0.99539999999999995</v>
          </cell>
          <cell r="K106">
            <v>156.98446003616638</v>
          </cell>
          <cell r="Q106">
            <v>4</v>
          </cell>
          <cell r="T106">
            <v>4</v>
          </cell>
          <cell r="U106">
            <v>0.41475000000000001</v>
          </cell>
          <cell r="V106">
            <v>1.659</v>
          </cell>
          <cell r="AG106">
            <v>2.86</v>
          </cell>
          <cell r="AH106">
            <v>11.44</v>
          </cell>
          <cell r="AI106">
            <v>3.34</v>
          </cell>
          <cell r="AJ106">
            <v>13.36</v>
          </cell>
          <cell r="AM106">
            <v>0</v>
          </cell>
          <cell r="AN106">
            <v>24.955920000000003</v>
          </cell>
          <cell r="AO106">
            <v>0</v>
          </cell>
          <cell r="AP106">
            <v>19.1440512</v>
          </cell>
          <cell r="AQ106">
            <v>21.009333600000001</v>
          </cell>
          <cell r="AR106">
            <v>0</v>
          </cell>
          <cell r="AS106">
            <v>0</v>
          </cell>
          <cell r="AT106">
            <v>0</v>
          </cell>
          <cell r="AU106">
            <v>0</v>
          </cell>
          <cell r="AV106">
            <v>0</v>
          </cell>
          <cell r="AW106">
            <v>0</v>
          </cell>
          <cell r="AX106">
            <v>99.82368000000001</v>
          </cell>
          <cell r="AY106">
            <v>0</v>
          </cell>
          <cell r="AZ106">
            <v>76.576204799999999</v>
          </cell>
          <cell r="BA106">
            <v>84.037334400000006</v>
          </cell>
          <cell r="BB106">
            <v>0</v>
          </cell>
          <cell r="BC106">
            <v>0</v>
          </cell>
          <cell r="BD106">
            <v>0</v>
          </cell>
          <cell r="BE106">
            <v>0</v>
          </cell>
          <cell r="BF106">
            <v>0</v>
          </cell>
        </row>
        <row r="107">
          <cell r="A107" t="str">
            <v>b47</v>
          </cell>
          <cell r="E107">
            <v>47</v>
          </cell>
          <cell r="F107" t="str">
            <v>HB2.5</v>
          </cell>
          <cell r="G107">
            <v>6.49</v>
          </cell>
          <cell r="H107">
            <v>0.25</v>
          </cell>
          <cell r="I107">
            <v>0.35</v>
          </cell>
          <cell r="J107">
            <v>1.3629</v>
          </cell>
          <cell r="K107">
            <v>254.49836513317189</v>
          </cell>
          <cell r="Q107">
            <v>10</v>
          </cell>
          <cell r="T107">
            <v>10</v>
          </cell>
          <cell r="U107">
            <v>0.56787500000000002</v>
          </cell>
          <cell r="V107">
            <v>5.67875</v>
          </cell>
          <cell r="AK107">
            <v>5.7299999999999995</v>
          </cell>
          <cell r="AL107">
            <v>57.3</v>
          </cell>
          <cell r="AM107">
            <v>0</v>
          </cell>
          <cell r="AN107">
            <v>34.314390000000003</v>
          </cell>
          <cell r="AO107">
            <v>0</v>
          </cell>
          <cell r="AP107">
            <v>0</v>
          </cell>
          <cell r="AQ107">
            <v>0</v>
          </cell>
          <cell r="AR107">
            <v>110.20886909999999</v>
          </cell>
          <cell r="AS107">
            <v>0</v>
          </cell>
          <cell r="AT107">
            <v>0</v>
          </cell>
          <cell r="AU107">
            <v>0</v>
          </cell>
          <cell r="AV107">
            <v>0</v>
          </cell>
          <cell r="AW107">
            <v>0</v>
          </cell>
          <cell r="AX107">
            <v>343.14390000000003</v>
          </cell>
          <cell r="AY107">
            <v>0</v>
          </cell>
          <cell r="AZ107">
            <v>0</v>
          </cell>
          <cell r="BA107">
            <v>0</v>
          </cell>
          <cell r="BB107">
            <v>1102.0886909999999</v>
          </cell>
          <cell r="BC107">
            <v>0</v>
          </cell>
          <cell r="BD107">
            <v>0</v>
          </cell>
          <cell r="BE107">
            <v>0</v>
          </cell>
          <cell r="BF107">
            <v>0</v>
          </cell>
        </row>
        <row r="108">
          <cell r="A108" t="str">
            <v>b48</v>
          </cell>
          <cell r="E108">
            <v>48</v>
          </cell>
          <cell r="F108" t="str">
            <v>HB2A.5</v>
          </cell>
          <cell r="G108">
            <v>1.49</v>
          </cell>
          <cell r="H108">
            <v>0.25</v>
          </cell>
          <cell r="I108">
            <v>0.35</v>
          </cell>
          <cell r="J108">
            <v>0.31289999999999996</v>
          </cell>
          <cell r="K108">
            <v>281.73588954937679</v>
          </cell>
          <cell r="Q108">
            <v>2</v>
          </cell>
          <cell r="T108">
            <v>2</v>
          </cell>
          <cell r="U108">
            <v>0.13037499999999999</v>
          </cell>
          <cell r="V108">
            <v>0.26074999999999998</v>
          </cell>
          <cell r="AK108">
            <v>5.7299999999999995</v>
          </cell>
          <cell r="AL108">
            <v>11.459999999999999</v>
          </cell>
          <cell r="AM108">
            <v>0</v>
          </cell>
          <cell r="AN108">
            <v>8.5785975000000008</v>
          </cell>
          <cell r="AO108">
            <v>0</v>
          </cell>
          <cell r="AP108">
            <v>0</v>
          </cell>
          <cell r="AQ108">
            <v>0</v>
          </cell>
          <cell r="AR108">
            <v>28.152719099999999</v>
          </cell>
          <cell r="AS108">
            <v>0</v>
          </cell>
          <cell r="AT108">
            <v>0</v>
          </cell>
          <cell r="AU108">
            <v>0</v>
          </cell>
          <cell r="AV108">
            <v>0</v>
          </cell>
          <cell r="AW108">
            <v>0</v>
          </cell>
          <cell r="AX108">
            <v>17.157195000000002</v>
          </cell>
          <cell r="AY108">
            <v>0</v>
          </cell>
          <cell r="AZ108">
            <v>0</v>
          </cell>
          <cell r="BA108">
            <v>0</v>
          </cell>
          <cell r="BB108">
            <v>56.305438199999998</v>
          </cell>
          <cell r="BC108">
            <v>0</v>
          </cell>
          <cell r="BD108">
            <v>0</v>
          </cell>
          <cell r="BE108">
            <v>0</v>
          </cell>
          <cell r="BF108">
            <v>0</v>
          </cell>
        </row>
        <row r="109">
          <cell r="A109" t="str">
            <v>b49</v>
          </cell>
          <cell r="E109">
            <v>49</v>
          </cell>
          <cell r="F109" t="str">
            <v>HB2B.5</v>
          </cell>
          <cell r="G109">
            <v>1.27</v>
          </cell>
          <cell r="H109">
            <v>0.25</v>
          </cell>
          <cell r="I109">
            <v>0.35</v>
          </cell>
          <cell r="J109">
            <v>0.26669999999999994</v>
          </cell>
          <cell r="K109">
            <v>284.01440719910016</v>
          </cell>
          <cell r="Q109">
            <v>16</v>
          </cell>
          <cell r="T109">
            <v>16</v>
          </cell>
          <cell r="U109">
            <v>0.11112499999999999</v>
          </cell>
          <cell r="V109">
            <v>1.7779999999999998</v>
          </cell>
          <cell r="AK109">
            <v>5.7299999999999995</v>
          </cell>
          <cell r="AL109">
            <v>91.679999999999993</v>
          </cell>
          <cell r="AM109">
            <v>0</v>
          </cell>
          <cell r="AN109">
            <v>7.0188525000000004</v>
          </cell>
          <cell r="AO109">
            <v>0</v>
          </cell>
          <cell r="AP109">
            <v>0</v>
          </cell>
          <cell r="AQ109">
            <v>0</v>
          </cell>
          <cell r="AR109">
            <v>24.542248499999999</v>
          </cell>
          <cell r="AS109">
            <v>0</v>
          </cell>
          <cell r="AT109">
            <v>0</v>
          </cell>
          <cell r="AU109">
            <v>0</v>
          </cell>
          <cell r="AV109">
            <v>0</v>
          </cell>
          <cell r="AW109">
            <v>0</v>
          </cell>
          <cell r="AX109">
            <v>112.30164000000001</v>
          </cell>
          <cell r="AY109">
            <v>0</v>
          </cell>
          <cell r="AZ109">
            <v>0</v>
          </cell>
          <cell r="BA109">
            <v>0</v>
          </cell>
          <cell r="BB109">
            <v>392.67597599999999</v>
          </cell>
          <cell r="BC109">
            <v>0</v>
          </cell>
          <cell r="BD109">
            <v>0</v>
          </cell>
          <cell r="BE109">
            <v>0</v>
          </cell>
          <cell r="BF109">
            <v>0</v>
          </cell>
        </row>
        <row r="110">
          <cell r="A110" t="str">
            <v>b50</v>
          </cell>
          <cell r="E110">
            <v>50</v>
          </cell>
          <cell r="F110" t="str">
            <v>HB2C.5</v>
          </cell>
          <cell r="G110">
            <v>6.49</v>
          </cell>
          <cell r="H110">
            <v>0.25</v>
          </cell>
          <cell r="I110">
            <v>0.35</v>
          </cell>
          <cell r="J110">
            <v>1.3629</v>
          </cell>
          <cell r="K110">
            <v>254.49836513317189</v>
          </cell>
          <cell r="Q110">
            <v>1</v>
          </cell>
          <cell r="T110">
            <v>1</v>
          </cell>
          <cell r="U110">
            <v>0.56787500000000002</v>
          </cell>
          <cell r="V110">
            <v>0.56787500000000002</v>
          </cell>
          <cell r="AK110">
            <v>5.7299999999999995</v>
          </cell>
          <cell r="AL110">
            <v>5.7299999999999995</v>
          </cell>
          <cell r="AM110">
            <v>0</v>
          </cell>
          <cell r="AN110">
            <v>34.314390000000003</v>
          </cell>
          <cell r="AO110">
            <v>0</v>
          </cell>
          <cell r="AP110">
            <v>0</v>
          </cell>
          <cell r="AQ110">
            <v>0</v>
          </cell>
          <cell r="AR110">
            <v>110.20886909999999</v>
          </cell>
          <cell r="AS110">
            <v>0</v>
          </cell>
          <cell r="AT110">
            <v>0</v>
          </cell>
          <cell r="AU110">
            <v>0</v>
          </cell>
          <cell r="AV110">
            <v>0</v>
          </cell>
          <cell r="AW110">
            <v>0</v>
          </cell>
          <cell r="AX110">
            <v>34.314390000000003</v>
          </cell>
          <cell r="AY110">
            <v>0</v>
          </cell>
          <cell r="AZ110">
            <v>0</v>
          </cell>
          <cell r="BA110">
            <v>0</v>
          </cell>
          <cell r="BB110">
            <v>110.20886909999999</v>
          </cell>
          <cell r="BC110">
            <v>0</v>
          </cell>
          <cell r="BD110">
            <v>0</v>
          </cell>
          <cell r="BE110">
            <v>0</v>
          </cell>
          <cell r="BF110">
            <v>0</v>
          </cell>
        </row>
        <row r="111">
          <cell r="A111" t="str">
            <v>b51</v>
          </cell>
          <cell r="E111">
            <v>51</v>
          </cell>
          <cell r="F111" t="str">
            <v>HB2D.5</v>
          </cell>
          <cell r="G111">
            <v>6.49</v>
          </cell>
          <cell r="H111">
            <v>0.25</v>
          </cell>
          <cell r="I111">
            <v>0.35</v>
          </cell>
          <cell r="J111">
            <v>1.3629</v>
          </cell>
          <cell r="K111">
            <v>254.49836513317189</v>
          </cell>
          <cell r="Q111">
            <v>1</v>
          </cell>
          <cell r="T111">
            <v>1</v>
          </cell>
          <cell r="U111">
            <v>0.56787500000000002</v>
          </cell>
          <cell r="V111">
            <v>0.56787500000000002</v>
          </cell>
          <cell r="AK111">
            <v>5.7299999999999995</v>
          </cell>
          <cell r="AL111">
            <v>5.7299999999999995</v>
          </cell>
          <cell r="AM111">
            <v>0</v>
          </cell>
          <cell r="AN111">
            <v>34.314390000000003</v>
          </cell>
          <cell r="AO111">
            <v>0</v>
          </cell>
          <cell r="AP111">
            <v>0</v>
          </cell>
          <cell r="AQ111">
            <v>0</v>
          </cell>
          <cell r="AR111">
            <v>110.20886909999999</v>
          </cell>
          <cell r="AS111">
            <v>0</v>
          </cell>
          <cell r="AT111">
            <v>0</v>
          </cell>
          <cell r="AU111">
            <v>0</v>
          </cell>
          <cell r="AV111">
            <v>0</v>
          </cell>
          <cell r="AW111">
            <v>0</v>
          </cell>
          <cell r="AX111">
            <v>34.314390000000003</v>
          </cell>
          <cell r="AY111">
            <v>0</v>
          </cell>
          <cell r="AZ111">
            <v>0</v>
          </cell>
          <cell r="BA111">
            <v>0</v>
          </cell>
          <cell r="BB111">
            <v>110.20886909999999</v>
          </cell>
          <cell r="BC111">
            <v>0</v>
          </cell>
          <cell r="BD111">
            <v>0</v>
          </cell>
          <cell r="BE111">
            <v>0</v>
          </cell>
          <cell r="BF111">
            <v>0</v>
          </cell>
        </row>
        <row r="112">
          <cell r="A112" t="str">
            <v>b52</v>
          </cell>
          <cell r="E112">
            <v>52</v>
          </cell>
          <cell r="F112" t="str">
            <v>HB3.5</v>
          </cell>
          <cell r="G112">
            <v>2.94</v>
          </cell>
          <cell r="H112">
            <v>0.25</v>
          </cell>
          <cell r="I112">
            <v>0.35</v>
          </cell>
          <cell r="J112">
            <v>0.61739999999999995</v>
          </cell>
          <cell r="K112">
            <v>132.28879766763853</v>
          </cell>
          <cell r="Q112">
            <v>4</v>
          </cell>
          <cell r="T112">
            <v>4</v>
          </cell>
          <cell r="U112">
            <v>0.25724999999999998</v>
          </cell>
          <cell r="V112">
            <v>1.0289999999999999</v>
          </cell>
          <cell r="AG112">
            <v>5.72</v>
          </cell>
          <cell r="AH112">
            <v>22.88</v>
          </cell>
          <cell r="AM112">
            <v>0</v>
          </cell>
          <cell r="AN112">
            <v>15.597450000000002</v>
          </cell>
          <cell r="AO112">
            <v>0</v>
          </cell>
          <cell r="AP112">
            <v>18.433843200000002</v>
          </cell>
          <cell r="AQ112">
            <v>0</v>
          </cell>
          <cell r="AR112">
            <v>0</v>
          </cell>
          <cell r="AS112">
            <v>0</v>
          </cell>
          <cell r="AT112">
            <v>0</v>
          </cell>
          <cell r="AU112">
            <v>0</v>
          </cell>
          <cell r="AV112">
            <v>0</v>
          </cell>
          <cell r="AW112">
            <v>0</v>
          </cell>
          <cell r="AX112">
            <v>62.389800000000008</v>
          </cell>
          <cell r="AY112">
            <v>0</v>
          </cell>
          <cell r="AZ112">
            <v>73.735372800000007</v>
          </cell>
          <cell r="BA112">
            <v>0</v>
          </cell>
          <cell r="BB112">
            <v>0</v>
          </cell>
          <cell r="BC112">
            <v>0</v>
          </cell>
          <cell r="BD112">
            <v>0</v>
          </cell>
          <cell r="BE112">
            <v>0</v>
          </cell>
          <cell r="BF112">
            <v>0</v>
          </cell>
        </row>
        <row r="113">
          <cell r="A113" t="str">
            <v>b53</v>
          </cell>
          <cell r="E113">
            <v>53</v>
          </cell>
          <cell r="F113" t="str">
            <v>HB4.5</v>
          </cell>
          <cell r="G113">
            <v>2.94</v>
          </cell>
          <cell r="H113">
            <v>0.25</v>
          </cell>
          <cell r="I113">
            <v>0.35</v>
          </cell>
          <cell r="J113">
            <v>0.61739999999999995</v>
          </cell>
          <cell r="K113">
            <v>132.28879766763853</v>
          </cell>
          <cell r="Q113">
            <v>6</v>
          </cell>
          <cell r="T113">
            <v>6</v>
          </cell>
          <cell r="U113">
            <v>0.25724999999999998</v>
          </cell>
          <cell r="V113">
            <v>1.5434999999999999</v>
          </cell>
          <cell r="AG113">
            <v>5.72</v>
          </cell>
          <cell r="AH113">
            <v>34.32</v>
          </cell>
          <cell r="AM113">
            <v>0</v>
          </cell>
          <cell r="AN113">
            <v>15.597450000000002</v>
          </cell>
          <cell r="AO113">
            <v>0</v>
          </cell>
          <cell r="AP113">
            <v>18.433843200000002</v>
          </cell>
          <cell r="AQ113">
            <v>0</v>
          </cell>
          <cell r="AR113">
            <v>0</v>
          </cell>
          <cell r="AS113">
            <v>0</v>
          </cell>
          <cell r="AT113">
            <v>0</v>
          </cell>
          <cell r="AU113">
            <v>0</v>
          </cell>
          <cell r="AV113">
            <v>0</v>
          </cell>
          <cell r="AW113">
            <v>0</v>
          </cell>
          <cell r="AX113">
            <v>93.584700000000012</v>
          </cell>
          <cell r="AY113">
            <v>0</v>
          </cell>
          <cell r="AZ113">
            <v>110.60305920000002</v>
          </cell>
          <cell r="BA113">
            <v>0</v>
          </cell>
          <cell r="BB113">
            <v>0</v>
          </cell>
          <cell r="BC113">
            <v>0</v>
          </cell>
          <cell r="BD113">
            <v>0</v>
          </cell>
          <cell r="BE113">
            <v>0</v>
          </cell>
          <cell r="BF113">
            <v>0</v>
          </cell>
        </row>
        <row r="114">
          <cell r="A114" t="str">
            <v>b54</v>
          </cell>
          <cell r="E114">
            <v>54</v>
          </cell>
          <cell r="F114" t="str">
            <v>HB4'.5</v>
          </cell>
          <cell r="G114">
            <v>2.94</v>
          </cell>
          <cell r="H114">
            <v>0.25</v>
          </cell>
          <cell r="I114">
            <v>0.35</v>
          </cell>
          <cell r="J114">
            <v>0.61739999999999995</v>
          </cell>
          <cell r="K114">
            <v>132.28879766763853</v>
          </cell>
          <cell r="Q114">
            <v>6</v>
          </cell>
          <cell r="T114">
            <v>6</v>
          </cell>
          <cell r="U114">
            <v>0.25724999999999998</v>
          </cell>
          <cell r="V114">
            <v>1.5434999999999999</v>
          </cell>
          <cell r="AG114">
            <v>5.72</v>
          </cell>
          <cell r="AH114">
            <v>34.32</v>
          </cell>
          <cell r="AM114">
            <v>0</v>
          </cell>
          <cell r="AN114">
            <v>15.597450000000002</v>
          </cell>
          <cell r="AO114">
            <v>0</v>
          </cell>
          <cell r="AP114">
            <v>18.433843200000002</v>
          </cell>
          <cell r="AQ114">
            <v>0</v>
          </cell>
          <cell r="AR114">
            <v>0</v>
          </cell>
          <cell r="AS114">
            <v>0</v>
          </cell>
          <cell r="AT114">
            <v>0</v>
          </cell>
          <cell r="AU114">
            <v>0</v>
          </cell>
          <cell r="AV114">
            <v>0</v>
          </cell>
          <cell r="AW114">
            <v>0</v>
          </cell>
          <cell r="AX114">
            <v>93.584700000000012</v>
          </cell>
          <cell r="AY114">
            <v>0</v>
          </cell>
          <cell r="AZ114">
            <v>110.60305920000002</v>
          </cell>
          <cell r="BA114">
            <v>0</v>
          </cell>
          <cell r="BB114">
            <v>0</v>
          </cell>
          <cell r="BC114">
            <v>0</v>
          </cell>
          <cell r="BD114">
            <v>0</v>
          </cell>
          <cell r="BE114">
            <v>0</v>
          </cell>
          <cell r="BF114">
            <v>0</v>
          </cell>
        </row>
        <row r="115">
          <cell r="A115" t="str">
            <v>b55</v>
          </cell>
          <cell r="E115">
            <v>55</v>
          </cell>
          <cell r="F115" t="str">
            <v>HB5.5</v>
          </cell>
          <cell r="G115">
            <v>4.24</v>
          </cell>
          <cell r="H115">
            <v>0.25</v>
          </cell>
          <cell r="I115">
            <v>0.35</v>
          </cell>
          <cell r="J115">
            <v>0.89039999999999997</v>
          </cell>
          <cell r="K115">
            <v>132.76817708894882</v>
          </cell>
          <cell r="Q115">
            <v>1</v>
          </cell>
          <cell r="T115">
            <v>1</v>
          </cell>
          <cell r="U115">
            <v>0.371</v>
          </cell>
          <cell r="V115">
            <v>0.371</v>
          </cell>
          <cell r="AG115">
            <v>5.72</v>
          </cell>
          <cell r="AH115">
            <v>5.72</v>
          </cell>
          <cell r="AM115">
            <v>0</v>
          </cell>
          <cell r="AN115">
            <v>22.616302500000003</v>
          </cell>
          <cell r="AO115">
            <v>0</v>
          </cell>
          <cell r="AP115">
            <v>26.640691200000003</v>
          </cell>
          <cell r="AQ115">
            <v>0</v>
          </cell>
          <cell r="AR115">
            <v>0</v>
          </cell>
          <cell r="AS115">
            <v>0</v>
          </cell>
          <cell r="AT115">
            <v>0</v>
          </cell>
          <cell r="AU115">
            <v>0</v>
          </cell>
          <cell r="AV115">
            <v>0</v>
          </cell>
          <cell r="AW115">
            <v>0</v>
          </cell>
          <cell r="AX115">
            <v>22.616302500000003</v>
          </cell>
          <cell r="AY115">
            <v>0</v>
          </cell>
          <cell r="AZ115">
            <v>26.640691200000003</v>
          </cell>
          <cell r="BA115">
            <v>0</v>
          </cell>
          <cell r="BB115">
            <v>0</v>
          </cell>
          <cell r="BC115">
            <v>0</v>
          </cell>
          <cell r="BD115">
            <v>0</v>
          </cell>
          <cell r="BE115">
            <v>0</v>
          </cell>
          <cell r="BF115">
            <v>0</v>
          </cell>
        </row>
        <row r="116">
          <cell r="A116" t="str">
            <v>b56</v>
          </cell>
          <cell r="E116">
            <v>56</v>
          </cell>
          <cell r="F116" t="str">
            <v>HB5A.5</v>
          </cell>
          <cell r="G116">
            <v>4.24</v>
          </cell>
          <cell r="H116">
            <v>0.25</v>
          </cell>
          <cell r="I116">
            <v>0.35</v>
          </cell>
          <cell r="J116">
            <v>0.89039999999999997</v>
          </cell>
          <cell r="K116">
            <v>132.76817708894882</v>
          </cell>
          <cell r="Q116">
            <v>1</v>
          </cell>
          <cell r="T116">
            <v>1</v>
          </cell>
          <cell r="U116">
            <v>0.371</v>
          </cell>
          <cell r="V116">
            <v>0.371</v>
          </cell>
          <cell r="AG116">
            <v>5.72</v>
          </cell>
          <cell r="AH116">
            <v>5.72</v>
          </cell>
          <cell r="AM116">
            <v>0</v>
          </cell>
          <cell r="AN116">
            <v>22.616302500000003</v>
          </cell>
          <cell r="AO116">
            <v>0</v>
          </cell>
          <cell r="AP116">
            <v>26.640691200000003</v>
          </cell>
          <cell r="AQ116">
            <v>0</v>
          </cell>
          <cell r="AR116">
            <v>0</v>
          </cell>
          <cell r="AS116">
            <v>0</v>
          </cell>
          <cell r="AT116">
            <v>0</v>
          </cell>
          <cell r="AU116">
            <v>0</v>
          </cell>
          <cell r="AV116">
            <v>0</v>
          </cell>
          <cell r="AW116">
            <v>0</v>
          </cell>
          <cell r="AX116">
            <v>22.616302500000003</v>
          </cell>
          <cell r="AY116">
            <v>0</v>
          </cell>
          <cell r="AZ116">
            <v>26.640691200000003</v>
          </cell>
          <cell r="BA116">
            <v>0</v>
          </cell>
          <cell r="BB116">
            <v>0</v>
          </cell>
          <cell r="BC116">
            <v>0</v>
          </cell>
          <cell r="BD116">
            <v>0</v>
          </cell>
          <cell r="BE116">
            <v>0</v>
          </cell>
          <cell r="BF116">
            <v>0</v>
          </cell>
        </row>
        <row r="117">
          <cell r="A117" t="str">
            <v>b57</v>
          </cell>
          <cell r="E117">
            <v>57</v>
          </cell>
          <cell r="F117" t="str">
            <v>HB6.5</v>
          </cell>
          <cell r="G117">
            <v>2.94</v>
          </cell>
          <cell r="H117">
            <v>0.25</v>
          </cell>
          <cell r="I117">
            <v>0.35</v>
          </cell>
          <cell r="J117">
            <v>0.61739999999999995</v>
          </cell>
          <cell r="K117">
            <v>132.28879766763853</v>
          </cell>
          <cell r="Q117">
            <v>12</v>
          </cell>
          <cell r="T117">
            <v>12</v>
          </cell>
          <cell r="U117">
            <v>0.25724999999999998</v>
          </cell>
          <cell r="V117">
            <v>3.0869999999999997</v>
          </cell>
          <cell r="AG117">
            <v>5.72</v>
          </cell>
          <cell r="AH117">
            <v>68.64</v>
          </cell>
          <cell r="AM117">
            <v>0</v>
          </cell>
          <cell r="AN117">
            <v>15.597450000000002</v>
          </cell>
          <cell r="AO117">
            <v>0</v>
          </cell>
          <cell r="AP117">
            <v>18.433843200000002</v>
          </cell>
          <cell r="AQ117">
            <v>0</v>
          </cell>
          <cell r="AR117">
            <v>0</v>
          </cell>
          <cell r="AS117">
            <v>0</v>
          </cell>
          <cell r="AT117">
            <v>0</v>
          </cell>
          <cell r="AU117">
            <v>0</v>
          </cell>
          <cell r="AV117">
            <v>0</v>
          </cell>
          <cell r="AW117">
            <v>0</v>
          </cell>
          <cell r="AX117">
            <v>187.16940000000002</v>
          </cell>
          <cell r="AY117">
            <v>0</v>
          </cell>
          <cell r="AZ117">
            <v>221.20611840000004</v>
          </cell>
          <cell r="BA117">
            <v>0</v>
          </cell>
          <cell r="BB117">
            <v>0</v>
          </cell>
          <cell r="BC117">
            <v>0</v>
          </cell>
          <cell r="BD117">
            <v>0</v>
          </cell>
          <cell r="BE117">
            <v>0</v>
          </cell>
          <cell r="BF117">
            <v>0</v>
          </cell>
        </row>
        <row r="118">
          <cell r="A118" t="str">
            <v>b58</v>
          </cell>
          <cell r="E118">
            <v>58</v>
          </cell>
          <cell r="F118" t="str">
            <v>HB10.5</v>
          </cell>
          <cell r="G118">
            <v>5.09</v>
          </cell>
          <cell r="H118">
            <v>0.25</v>
          </cell>
          <cell r="I118">
            <v>0.35</v>
          </cell>
          <cell r="J118">
            <v>1.0689</v>
          </cell>
          <cell r="K118">
            <v>133.15126511366827</v>
          </cell>
          <cell r="Q118">
            <v>6</v>
          </cell>
          <cell r="T118">
            <v>6</v>
          </cell>
          <cell r="U118">
            <v>0.44537499999999997</v>
          </cell>
          <cell r="V118">
            <v>2.67225</v>
          </cell>
          <cell r="AG118">
            <v>5.72</v>
          </cell>
          <cell r="AH118">
            <v>34.32</v>
          </cell>
          <cell r="AM118">
            <v>0</v>
          </cell>
          <cell r="AN118">
            <v>27.295537500000005</v>
          </cell>
          <cell r="AO118">
            <v>0</v>
          </cell>
          <cell r="AP118">
            <v>32.006707200000001</v>
          </cell>
          <cell r="AQ118">
            <v>0</v>
          </cell>
          <cell r="AR118">
            <v>0</v>
          </cell>
          <cell r="AS118">
            <v>0</v>
          </cell>
          <cell r="AT118">
            <v>0</v>
          </cell>
          <cell r="AU118">
            <v>0</v>
          </cell>
          <cell r="AV118">
            <v>0</v>
          </cell>
          <cell r="AW118">
            <v>0</v>
          </cell>
          <cell r="AX118">
            <v>163.77322500000002</v>
          </cell>
          <cell r="AY118">
            <v>0</v>
          </cell>
          <cell r="AZ118">
            <v>192.04024320000002</v>
          </cell>
          <cell r="BA118">
            <v>0</v>
          </cell>
          <cell r="BB118">
            <v>0</v>
          </cell>
          <cell r="BC118">
            <v>0</v>
          </cell>
          <cell r="BD118">
            <v>0</v>
          </cell>
          <cell r="BE118">
            <v>0</v>
          </cell>
          <cell r="BF118">
            <v>0</v>
          </cell>
        </row>
        <row r="119">
          <cell r="A119" t="str">
            <v>b59</v>
          </cell>
          <cell r="E119">
            <v>59</v>
          </cell>
          <cell r="F119" t="str">
            <v>HB11.5</v>
          </cell>
          <cell r="G119">
            <v>3.79</v>
          </cell>
          <cell r="H119">
            <v>0.25</v>
          </cell>
          <cell r="I119">
            <v>0.35</v>
          </cell>
          <cell r="J119">
            <v>0.79589999999999994</v>
          </cell>
          <cell r="K119">
            <v>132.91080045231814</v>
          </cell>
          <cell r="Q119">
            <v>1</v>
          </cell>
          <cell r="T119">
            <v>1</v>
          </cell>
          <cell r="U119">
            <v>0.331625</v>
          </cell>
          <cell r="V119">
            <v>0.331625</v>
          </cell>
          <cell r="AG119">
            <v>5.72</v>
          </cell>
          <cell r="AH119">
            <v>5.72</v>
          </cell>
          <cell r="AM119">
            <v>0</v>
          </cell>
          <cell r="AN119">
            <v>20.276685000000001</v>
          </cell>
          <cell r="AO119">
            <v>0</v>
          </cell>
          <cell r="AP119">
            <v>23.7998592</v>
          </cell>
          <cell r="AQ119">
            <v>0</v>
          </cell>
          <cell r="AR119">
            <v>0</v>
          </cell>
          <cell r="AS119">
            <v>0</v>
          </cell>
          <cell r="AT119">
            <v>0</v>
          </cell>
          <cell r="AU119">
            <v>0</v>
          </cell>
          <cell r="AV119">
            <v>0</v>
          </cell>
          <cell r="AW119">
            <v>0</v>
          </cell>
          <cell r="AX119">
            <v>20.276685000000001</v>
          </cell>
          <cell r="AY119">
            <v>0</v>
          </cell>
          <cell r="AZ119">
            <v>23.7998592</v>
          </cell>
          <cell r="BA119">
            <v>0</v>
          </cell>
          <cell r="BB119">
            <v>0</v>
          </cell>
          <cell r="BC119">
            <v>0</v>
          </cell>
          <cell r="BD119">
            <v>0</v>
          </cell>
          <cell r="BE119">
            <v>0</v>
          </cell>
          <cell r="BF119">
            <v>0</v>
          </cell>
        </row>
        <row r="120">
          <cell r="A120" t="str">
            <v>b60</v>
          </cell>
          <cell r="E120">
            <v>60</v>
          </cell>
          <cell r="F120" t="str">
            <v>HB11A.5</v>
          </cell>
          <cell r="G120">
            <v>2.2999999999999998</v>
          </cell>
          <cell r="H120">
            <v>0.25</v>
          </cell>
          <cell r="I120">
            <v>0.35</v>
          </cell>
          <cell r="J120">
            <v>0.48299999999999993</v>
          </cell>
          <cell r="K120">
            <v>133.52302509316772</v>
          </cell>
          <cell r="Q120">
            <v>1</v>
          </cell>
          <cell r="T120">
            <v>1</v>
          </cell>
          <cell r="U120">
            <v>0.20124999999999998</v>
          </cell>
          <cell r="V120">
            <v>0.20124999999999998</v>
          </cell>
          <cell r="AG120">
            <v>5.72</v>
          </cell>
          <cell r="AH120">
            <v>5.72</v>
          </cell>
          <cell r="AM120">
            <v>0</v>
          </cell>
          <cell r="AN120">
            <v>12.477960000000001</v>
          </cell>
          <cell r="AO120">
            <v>0</v>
          </cell>
          <cell r="AP120">
            <v>14.393548800000001</v>
          </cell>
          <cell r="AQ120">
            <v>0</v>
          </cell>
          <cell r="AR120">
            <v>0</v>
          </cell>
          <cell r="AS120">
            <v>0</v>
          </cell>
          <cell r="AT120">
            <v>0</v>
          </cell>
          <cell r="AU120">
            <v>0</v>
          </cell>
          <cell r="AV120">
            <v>0</v>
          </cell>
          <cell r="AW120">
            <v>0</v>
          </cell>
          <cell r="AX120">
            <v>12.477960000000001</v>
          </cell>
          <cell r="AY120">
            <v>0</v>
          </cell>
          <cell r="AZ120">
            <v>14.393548800000001</v>
          </cell>
          <cell r="BA120">
            <v>0</v>
          </cell>
          <cell r="BB120">
            <v>0</v>
          </cell>
          <cell r="BC120">
            <v>0</v>
          </cell>
          <cell r="BD120">
            <v>0</v>
          </cell>
          <cell r="BE120">
            <v>0</v>
          </cell>
          <cell r="BF120">
            <v>0</v>
          </cell>
        </row>
        <row r="121">
          <cell r="A121" t="str">
            <v>b61</v>
          </cell>
          <cell r="E121">
            <v>61</v>
          </cell>
          <cell r="F121" t="str">
            <v>HB1.6</v>
          </cell>
          <cell r="G121">
            <v>4.74</v>
          </cell>
          <cell r="H121">
            <v>0.25</v>
          </cell>
          <cell r="I121">
            <v>0.35</v>
          </cell>
          <cell r="J121">
            <v>0.99539999999999995</v>
          </cell>
          <cell r="K121">
            <v>132.01468643761302</v>
          </cell>
          <cell r="R121">
            <v>4</v>
          </cell>
          <cell r="T121">
            <v>4</v>
          </cell>
          <cell r="U121">
            <v>0.41475000000000001</v>
          </cell>
          <cell r="V121">
            <v>1.659</v>
          </cell>
          <cell r="AG121">
            <v>5.72</v>
          </cell>
          <cell r="AH121">
            <v>22.88</v>
          </cell>
          <cell r="AM121">
            <v>0</v>
          </cell>
          <cell r="AN121">
            <v>24.955920000000003</v>
          </cell>
          <cell r="AO121">
            <v>0</v>
          </cell>
          <cell r="AP121">
            <v>29.797171200000001</v>
          </cell>
          <cell r="AQ121">
            <v>0</v>
          </cell>
          <cell r="AR121">
            <v>0</v>
          </cell>
          <cell r="AS121">
            <v>0</v>
          </cell>
          <cell r="AT121">
            <v>0</v>
          </cell>
          <cell r="AU121">
            <v>0</v>
          </cell>
          <cell r="AV121">
            <v>0</v>
          </cell>
          <cell r="AW121">
            <v>0</v>
          </cell>
          <cell r="AX121">
            <v>99.82368000000001</v>
          </cell>
          <cell r="AY121">
            <v>0</v>
          </cell>
          <cell r="AZ121">
            <v>119.1886848</v>
          </cell>
          <cell r="BA121">
            <v>0</v>
          </cell>
          <cell r="BB121">
            <v>0</v>
          </cell>
          <cell r="BC121">
            <v>0</v>
          </cell>
          <cell r="BD121">
            <v>0</v>
          </cell>
          <cell r="BE121">
            <v>0</v>
          </cell>
          <cell r="BF121">
            <v>0</v>
          </cell>
        </row>
        <row r="122">
          <cell r="A122" t="str">
            <v>b62</v>
          </cell>
          <cell r="E122">
            <v>62</v>
          </cell>
          <cell r="F122" t="str">
            <v>HB2.6</v>
          </cell>
          <cell r="G122">
            <v>6.49</v>
          </cell>
          <cell r="H122">
            <v>0.25</v>
          </cell>
          <cell r="I122">
            <v>0.35</v>
          </cell>
          <cell r="J122">
            <v>1.3629</v>
          </cell>
          <cell r="K122">
            <v>132.35173444860223</v>
          </cell>
          <cell r="R122">
            <v>10</v>
          </cell>
          <cell r="T122">
            <v>10</v>
          </cell>
          <cell r="U122">
            <v>0.56787500000000002</v>
          </cell>
          <cell r="V122">
            <v>5.67875</v>
          </cell>
          <cell r="AG122">
            <v>5.72</v>
          </cell>
          <cell r="AH122">
            <v>57.199999999999996</v>
          </cell>
          <cell r="AM122">
            <v>0</v>
          </cell>
          <cell r="AN122">
            <v>34.314390000000003</v>
          </cell>
          <cell r="AO122">
            <v>0</v>
          </cell>
          <cell r="AP122">
            <v>40.844851200000001</v>
          </cell>
          <cell r="AQ122">
            <v>0</v>
          </cell>
          <cell r="AR122">
            <v>0</v>
          </cell>
          <cell r="AS122">
            <v>0</v>
          </cell>
          <cell r="AT122">
            <v>0</v>
          </cell>
          <cell r="AU122">
            <v>0</v>
          </cell>
          <cell r="AV122">
            <v>0</v>
          </cell>
          <cell r="AW122">
            <v>0</v>
          </cell>
          <cell r="AX122">
            <v>343.14390000000003</v>
          </cell>
          <cell r="AY122">
            <v>0</v>
          </cell>
          <cell r="AZ122">
            <v>408.44851199999999</v>
          </cell>
          <cell r="BA122">
            <v>0</v>
          </cell>
          <cell r="BB122">
            <v>0</v>
          </cell>
          <cell r="BC122">
            <v>0</v>
          </cell>
          <cell r="BD122">
            <v>0</v>
          </cell>
          <cell r="BE122">
            <v>0</v>
          </cell>
          <cell r="BF122">
            <v>0</v>
          </cell>
        </row>
        <row r="123">
          <cell r="A123" t="str">
            <v>b63</v>
          </cell>
          <cell r="E123">
            <v>63</v>
          </cell>
          <cell r="F123" t="str">
            <v>HB2A.6</v>
          </cell>
          <cell r="G123">
            <v>1.49</v>
          </cell>
          <cell r="H123">
            <v>0.25</v>
          </cell>
          <cell r="I123">
            <v>0.35</v>
          </cell>
          <cell r="J123">
            <v>0.31289999999999996</v>
          </cell>
          <cell r="K123">
            <v>136.97908878235862</v>
          </cell>
          <cell r="R123">
            <v>2</v>
          </cell>
          <cell r="T123">
            <v>2</v>
          </cell>
          <cell r="U123">
            <v>0.13037499999999999</v>
          </cell>
          <cell r="V123">
            <v>0.26074999999999998</v>
          </cell>
          <cell r="AG123">
            <v>5.72</v>
          </cell>
          <cell r="AH123">
            <v>11.44</v>
          </cell>
          <cell r="AM123">
            <v>0</v>
          </cell>
          <cell r="AN123">
            <v>8.5785975000000008</v>
          </cell>
          <cell r="AO123">
            <v>0</v>
          </cell>
          <cell r="AP123">
            <v>9.2800512000000008</v>
          </cell>
          <cell r="AQ123">
            <v>0</v>
          </cell>
          <cell r="AR123">
            <v>0</v>
          </cell>
          <cell r="AS123">
            <v>0</v>
          </cell>
          <cell r="AT123">
            <v>0</v>
          </cell>
          <cell r="AU123">
            <v>0</v>
          </cell>
          <cell r="AV123">
            <v>0</v>
          </cell>
          <cell r="AW123">
            <v>0</v>
          </cell>
          <cell r="AX123">
            <v>17.157195000000002</v>
          </cell>
          <cell r="AY123">
            <v>0</v>
          </cell>
          <cell r="AZ123">
            <v>18.560102400000002</v>
          </cell>
          <cell r="BA123">
            <v>0</v>
          </cell>
          <cell r="BB123">
            <v>0</v>
          </cell>
          <cell r="BC123">
            <v>0</v>
          </cell>
          <cell r="BD123">
            <v>0</v>
          </cell>
          <cell r="BE123">
            <v>0</v>
          </cell>
          <cell r="BF123">
            <v>0</v>
          </cell>
        </row>
        <row r="124">
          <cell r="A124" t="str">
            <v>b64</v>
          </cell>
          <cell r="E124">
            <v>64</v>
          </cell>
          <cell r="F124" t="str">
            <v>HB2B.6</v>
          </cell>
          <cell r="G124">
            <v>1.27</v>
          </cell>
          <cell r="H124">
            <v>0.25</v>
          </cell>
          <cell r="I124">
            <v>0.35</v>
          </cell>
          <cell r="J124">
            <v>0.26669999999999994</v>
          </cell>
          <cell r="K124">
            <v>134.1737007874016</v>
          </cell>
          <cell r="R124">
            <v>16</v>
          </cell>
          <cell r="T124">
            <v>16</v>
          </cell>
          <cell r="U124">
            <v>0.11112499999999999</v>
          </cell>
          <cell r="V124">
            <v>1.7779999999999998</v>
          </cell>
          <cell r="AG124">
            <v>5.72</v>
          </cell>
          <cell r="AH124">
            <v>91.52</v>
          </cell>
          <cell r="AM124">
            <v>0</v>
          </cell>
          <cell r="AN124">
            <v>7.0188525000000004</v>
          </cell>
          <cell r="AO124">
            <v>0</v>
          </cell>
          <cell r="AP124">
            <v>7.8912000000000004</v>
          </cell>
          <cell r="AQ124">
            <v>0</v>
          </cell>
          <cell r="AR124">
            <v>0</v>
          </cell>
          <cell r="AS124">
            <v>0</v>
          </cell>
          <cell r="AT124">
            <v>0</v>
          </cell>
          <cell r="AU124">
            <v>0</v>
          </cell>
          <cell r="AV124">
            <v>0</v>
          </cell>
          <cell r="AW124">
            <v>0</v>
          </cell>
          <cell r="AX124">
            <v>112.30164000000001</v>
          </cell>
          <cell r="AY124">
            <v>0</v>
          </cell>
          <cell r="AZ124">
            <v>126.25920000000001</v>
          </cell>
          <cell r="BA124">
            <v>0</v>
          </cell>
          <cell r="BB124">
            <v>0</v>
          </cell>
          <cell r="BC124">
            <v>0</v>
          </cell>
          <cell r="BD124">
            <v>0</v>
          </cell>
          <cell r="BE124">
            <v>0</v>
          </cell>
          <cell r="BF124">
            <v>0</v>
          </cell>
        </row>
        <row r="125">
          <cell r="A125" t="str">
            <v>b65</v>
          </cell>
          <cell r="E125">
            <v>65</v>
          </cell>
          <cell r="F125" t="str">
            <v>HB3.6</v>
          </cell>
          <cell r="G125">
            <v>2.94</v>
          </cell>
          <cell r="H125">
            <v>0.25</v>
          </cell>
          <cell r="I125">
            <v>0.35</v>
          </cell>
          <cell r="J125">
            <v>0.61739999999999995</v>
          </cell>
          <cell r="K125">
            <v>132.28879766763853</v>
          </cell>
          <cell r="R125">
            <v>4</v>
          </cell>
          <cell r="T125">
            <v>4</v>
          </cell>
          <cell r="U125">
            <v>0.25724999999999998</v>
          </cell>
          <cell r="V125">
            <v>1.0289999999999999</v>
          </cell>
          <cell r="AG125">
            <v>5.72</v>
          </cell>
          <cell r="AH125">
            <v>22.88</v>
          </cell>
          <cell r="AM125">
            <v>0</v>
          </cell>
          <cell r="AN125">
            <v>15.597450000000002</v>
          </cell>
          <cell r="AO125">
            <v>0</v>
          </cell>
          <cell r="AP125">
            <v>18.433843200000002</v>
          </cell>
          <cell r="AQ125">
            <v>0</v>
          </cell>
          <cell r="AR125">
            <v>0</v>
          </cell>
          <cell r="AS125">
            <v>0</v>
          </cell>
          <cell r="AT125">
            <v>0</v>
          </cell>
          <cell r="AU125">
            <v>0</v>
          </cell>
          <cell r="AV125">
            <v>0</v>
          </cell>
          <cell r="AW125">
            <v>0</v>
          </cell>
          <cell r="AX125">
            <v>62.389800000000008</v>
          </cell>
          <cell r="AY125">
            <v>0</v>
          </cell>
          <cell r="AZ125">
            <v>73.735372800000007</v>
          </cell>
          <cell r="BA125">
            <v>0</v>
          </cell>
          <cell r="BB125">
            <v>0</v>
          </cell>
          <cell r="BC125">
            <v>0</v>
          </cell>
          <cell r="BD125">
            <v>0</v>
          </cell>
          <cell r="BE125">
            <v>0</v>
          </cell>
          <cell r="BF125">
            <v>0</v>
          </cell>
        </row>
        <row r="126">
          <cell r="A126" t="str">
            <v>b66</v>
          </cell>
          <cell r="E126">
            <v>66</v>
          </cell>
          <cell r="F126" t="str">
            <v>HB4.6</v>
          </cell>
          <cell r="G126">
            <v>2.94</v>
          </cell>
          <cell r="H126">
            <v>0.25</v>
          </cell>
          <cell r="I126">
            <v>0.35</v>
          </cell>
          <cell r="J126">
            <v>0.61739999999999995</v>
          </cell>
          <cell r="K126">
            <v>132.28879766763853</v>
          </cell>
          <cell r="R126">
            <v>6</v>
          </cell>
          <cell r="T126">
            <v>6</v>
          </cell>
          <cell r="U126">
            <v>0.25724999999999998</v>
          </cell>
          <cell r="V126">
            <v>1.5434999999999999</v>
          </cell>
          <cell r="AG126">
            <v>5.72</v>
          </cell>
          <cell r="AH126">
            <v>34.32</v>
          </cell>
          <cell r="AM126">
            <v>0</v>
          </cell>
          <cell r="AN126">
            <v>15.597450000000002</v>
          </cell>
          <cell r="AO126">
            <v>0</v>
          </cell>
          <cell r="AP126">
            <v>18.433843200000002</v>
          </cell>
          <cell r="AQ126">
            <v>0</v>
          </cell>
          <cell r="AR126">
            <v>0</v>
          </cell>
          <cell r="AS126">
            <v>0</v>
          </cell>
          <cell r="AT126">
            <v>0</v>
          </cell>
          <cell r="AU126">
            <v>0</v>
          </cell>
          <cell r="AV126">
            <v>0</v>
          </cell>
          <cell r="AW126">
            <v>0</v>
          </cell>
          <cell r="AX126">
            <v>93.584700000000012</v>
          </cell>
          <cell r="AY126">
            <v>0</v>
          </cell>
          <cell r="AZ126">
            <v>110.60305920000002</v>
          </cell>
          <cell r="BA126">
            <v>0</v>
          </cell>
          <cell r="BB126">
            <v>0</v>
          </cell>
          <cell r="BC126">
            <v>0</v>
          </cell>
          <cell r="BD126">
            <v>0</v>
          </cell>
          <cell r="BE126">
            <v>0</v>
          </cell>
          <cell r="BF126">
            <v>0</v>
          </cell>
        </row>
        <row r="127">
          <cell r="A127" t="str">
            <v>b67</v>
          </cell>
          <cell r="E127">
            <v>67</v>
          </cell>
          <cell r="F127" t="str">
            <v>HB4'.6</v>
          </cell>
          <cell r="G127">
            <v>2.94</v>
          </cell>
          <cell r="H127">
            <v>0.25</v>
          </cell>
          <cell r="I127">
            <v>0.35</v>
          </cell>
          <cell r="J127">
            <v>0.61739999999999995</v>
          </cell>
          <cell r="K127">
            <v>132.28879766763853</v>
          </cell>
          <cell r="R127">
            <v>6</v>
          </cell>
          <cell r="T127">
            <v>6</v>
          </cell>
          <cell r="U127">
            <v>0.25724999999999998</v>
          </cell>
          <cell r="V127">
            <v>1.5434999999999999</v>
          </cell>
          <cell r="AG127">
            <v>5.72</v>
          </cell>
          <cell r="AH127">
            <v>34.32</v>
          </cell>
          <cell r="AM127">
            <v>0</v>
          </cell>
          <cell r="AN127">
            <v>15.597450000000002</v>
          </cell>
          <cell r="AO127">
            <v>0</v>
          </cell>
          <cell r="AP127">
            <v>18.433843200000002</v>
          </cell>
          <cell r="AQ127">
            <v>0</v>
          </cell>
          <cell r="AR127">
            <v>0</v>
          </cell>
          <cell r="AS127">
            <v>0</v>
          </cell>
          <cell r="AT127">
            <v>0</v>
          </cell>
          <cell r="AU127">
            <v>0</v>
          </cell>
          <cell r="AV127">
            <v>0</v>
          </cell>
          <cell r="AW127">
            <v>0</v>
          </cell>
          <cell r="AX127">
            <v>93.584700000000012</v>
          </cell>
          <cell r="AY127">
            <v>0</v>
          </cell>
          <cell r="AZ127">
            <v>110.60305920000002</v>
          </cell>
          <cell r="BA127">
            <v>0</v>
          </cell>
          <cell r="BB127">
            <v>0</v>
          </cell>
          <cell r="BC127">
            <v>0</v>
          </cell>
          <cell r="BD127">
            <v>0</v>
          </cell>
          <cell r="BE127">
            <v>0</v>
          </cell>
          <cell r="BF127">
            <v>0</v>
          </cell>
        </row>
        <row r="128">
          <cell r="A128" t="str">
            <v>b68</v>
          </cell>
          <cell r="E128">
            <v>68</v>
          </cell>
          <cell r="F128" t="str">
            <v>HB5.6</v>
          </cell>
          <cell r="G128">
            <v>4.24</v>
          </cell>
          <cell r="H128">
            <v>0.25</v>
          </cell>
          <cell r="I128">
            <v>0.35</v>
          </cell>
          <cell r="J128">
            <v>0.89039999999999997</v>
          </cell>
          <cell r="K128">
            <v>132.76817708894882</v>
          </cell>
          <cell r="R128">
            <v>2</v>
          </cell>
          <cell r="T128">
            <v>2</v>
          </cell>
          <cell r="U128">
            <v>0.371</v>
          </cell>
          <cell r="V128">
            <v>0.74199999999999999</v>
          </cell>
          <cell r="AG128">
            <v>5.72</v>
          </cell>
          <cell r="AH128">
            <v>11.44</v>
          </cell>
          <cell r="AM128">
            <v>0</v>
          </cell>
          <cell r="AN128">
            <v>22.616302500000003</v>
          </cell>
          <cell r="AO128">
            <v>0</v>
          </cell>
          <cell r="AP128">
            <v>26.640691200000003</v>
          </cell>
          <cell r="AQ128">
            <v>0</v>
          </cell>
          <cell r="AR128">
            <v>0</v>
          </cell>
          <cell r="AS128">
            <v>0</v>
          </cell>
          <cell r="AT128">
            <v>0</v>
          </cell>
          <cell r="AU128">
            <v>0</v>
          </cell>
          <cell r="AV128">
            <v>0</v>
          </cell>
          <cell r="AW128">
            <v>0</v>
          </cell>
          <cell r="AX128">
            <v>45.232605000000007</v>
          </cell>
          <cell r="AY128">
            <v>0</v>
          </cell>
          <cell r="AZ128">
            <v>53.281382400000005</v>
          </cell>
          <cell r="BA128">
            <v>0</v>
          </cell>
          <cell r="BB128">
            <v>0</v>
          </cell>
          <cell r="BC128">
            <v>0</v>
          </cell>
          <cell r="BD128">
            <v>0</v>
          </cell>
          <cell r="BE128">
            <v>0</v>
          </cell>
          <cell r="BF128">
            <v>0</v>
          </cell>
        </row>
        <row r="129">
          <cell r="A129" t="str">
            <v>b69</v>
          </cell>
          <cell r="E129">
            <v>69</v>
          </cell>
          <cell r="F129" t="str">
            <v>HB6.6</v>
          </cell>
          <cell r="G129">
            <v>2.94</v>
          </cell>
          <cell r="H129">
            <v>0.25</v>
          </cell>
          <cell r="I129">
            <v>0.35</v>
          </cell>
          <cell r="J129">
            <v>0.61739999999999995</v>
          </cell>
          <cell r="K129">
            <v>132.28879766763853</v>
          </cell>
          <cell r="R129">
            <v>12</v>
          </cell>
          <cell r="T129">
            <v>12</v>
          </cell>
          <cell r="U129">
            <v>0.25724999999999998</v>
          </cell>
          <cell r="V129">
            <v>3.0869999999999997</v>
          </cell>
          <cell r="AG129">
            <v>5.72</v>
          </cell>
          <cell r="AH129">
            <v>68.64</v>
          </cell>
          <cell r="AM129">
            <v>0</v>
          </cell>
          <cell r="AN129">
            <v>15.597450000000002</v>
          </cell>
          <cell r="AO129">
            <v>0</v>
          </cell>
          <cell r="AP129">
            <v>18.433843200000002</v>
          </cell>
          <cell r="AQ129">
            <v>0</v>
          </cell>
          <cell r="AR129">
            <v>0</v>
          </cell>
          <cell r="AS129">
            <v>0</v>
          </cell>
          <cell r="AT129">
            <v>0</v>
          </cell>
          <cell r="AU129">
            <v>0</v>
          </cell>
          <cell r="AV129">
            <v>0</v>
          </cell>
          <cell r="AW129">
            <v>0</v>
          </cell>
          <cell r="AX129">
            <v>187.16940000000002</v>
          </cell>
          <cell r="AY129">
            <v>0</v>
          </cell>
          <cell r="AZ129">
            <v>221.20611840000004</v>
          </cell>
          <cell r="BA129">
            <v>0</v>
          </cell>
          <cell r="BB129">
            <v>0</v>
          </cell>
          <cell r="BC129">
            <v>0</v>
          </cell>
          <cell r="BD129">
            <v>0</v>
          </cell>
          <cell r="BE129">
            <v>0</v>
          </cell>
          <cell r="BF129">
            <v>0</v>
          </cell>
        </row>
        <row r="130">
          <cell r="A130" t="str">
            <v>b70</v>
          </cell>
          <cell r="E130">
            <v>70</v>
          </cell>
          <cell r="F130" t="str">
            <v>HB10.6</v>
          </cell>
          <cell r="G130">
            <v>5.09</v>
          </cell>
          <cell r="H130">
            <v>0.25</v>
          </cell>
          <cell r="I130">
            <v>0.35</v>
          </cell>
          <cell r="J130">
            <v>1.0689</v>
          </cell>
          <cell r="K130">
            <v>133.15126511366827</v>
          </cell>
          <cell r="R130">
            <v>6</v>
          </cell>
          <cell r="T130">
            <v>6</v>
          </cell>
          <cell r="U130">
            <v>0.44537499999999997</v>
          </cell>
          <cell r="V130">
            <v>2.67225</v>
          </cell>
          <cell r="AG130">
            <v>5.72</v>
          </cell>
          <cell r="AH130">
            <v>34.32</v>
          </cell>
          <cell r="AM130">
            <v>0</v>
          </cell>
          <cell r="AN130">
            <v>27.295537500000005</v>
          </cell>
          <cell r="AO130">
            <v>0</v>
          </cell>
          <cell r="AP130">
            <v>32.006707200000001</v>
          </cell>
          <cell r="AQ130">
            <v>0</v>
          </cell>
          <cell r="AR130">
            <v>0</v>
          </cell>
          <cell r="AS130">
            <v>0</v>
          </cell>
          <cell r="AT130">
            <v>0</v>
          </cell>
          <cell r="AU130">
            <v>0</v>
          </cell>
          <cell r="AV130">
            <v>0</v>
          </cell>
          <cell r="AW130">
            <v>0</v>
          </cell>
          <cell r="AX130">
            <v>163.77322500000002</v>
          </cell>
          <cell r="AY130">
            <v>0</v>
          </cell>
          <cell r="AZ130">
            <v>192.04024320000002</v>
          </cell>
          <cell r="BA130">
            <v>0</v>
          </cell>
          <cell r="BB130">
            <v>0</v>
          </cell>
          <cell r="BC130">
            <v>0</v>
          </cell>
          <cell r="BD130">
            <v>0</v>
          </cell>
          <cell r="BE130">
            <v>0</v>
          </cell>
          <cell r="BF130">
            <v>0</v>
          </cell>
        </row>
        <row r="131">
          <cell r="A131" t="str">
            <v>b71</v>
          </cell>
          <cell r="E131">
            <v>71</v>
          </cell>
          <cell r="F131" t="str">
            <v>HB11.6</v>
          </cell>
          <cell r="G131">
            <v>3.79</v>
          </cell>
          <cell r="H131">
            <v>0.25</v>
          </cell>
          <cell r="I131">
            <v>0.35</v>
          </cell>
          <cell r="J131">
            <v>0.79589999999999994</v>
          </cell>
          <cell r="K131">
            <v>132.91080045231814</v>
          </cell>
          <cell r="R131">
            <v>1</v>
          </cell>
          <cell r="T131">
            <v>1</v>
          </cell>
          <cell r="U131">
            <v>0.331625</v>
          </cell>
          <cell r="V131">
            <v>0.331625</v>
          </cell>
          <cell r="AG131">
            <v>5.72</v>
          </cell>
          <cell r="AH131">
            <v>5.72</v>
          </cell>
          <cell r="AM131">
            <v>0</v>
          </cell>
          <cell r="AN131">
            <v>20.276685000000001</v>
          </cell>
          <cell r="AO131">
            <v>0</v>
          </cell>
          <cell r="AP131">
            <v>23.7998592</v>
          </cell>
          <cell r="AQ131">
            <v>0</v>
          </cell>
          <cell r="AR131">
            <v>0</v>
          </cell>
          <cell r="AS131">
            <v>0</v>
          </cell>
          <cell r="AT131">
            <v>0</v>
          </cell>
          <cell r="AU131">
            <v>0</v>
          </cell>
          <cell r="AV131">
            <v>0</v>
          </cell>
          <cell r="AW131">
            <v>0</v>
          </cell>
          <cell r="AX131">
            <v>20.276685000000001</v>
          </cell>
          <cell r="AY131">
            <v>0</v>
          </cell>
          <cell r="AZ131">
            <v>23.7998592</v>
          </cell>
          <cell r="BA131">
            <v>0</v>
          </cell>
          <cell r="BB131">
            <v>0</v>
          </cell>
          <cell r="BC131">
            <v>0</v>
          </cell>
          <cell r="BD131">
            <v>0</v>
          </cell>
          <cell r="BE131">
            <v>0</v>
          </cell>
          <cell r="BF131">
            <v>0</v>
          </cell>
        </row>
        <row r="132">
          <cell r="A132" t="str">
            <v>b72</v>
          </cell>
          <cell r="E132">
            <v>72</v>
          </cell>
          <cell r="F132" t="str">
            <v>HB11A.6</v>
          </cell>
          <cell r="G132">
            <v>2.2999999999999998</v>
          </cell>
          <cell r="H132">
            <v>0.25</v>
          </cell>
          <cell r="I132">
            <v>0.35</v>
          </cell>
          <cell r="J132">
            <v>0.48299999999999993</v>
          </cell>
          <cell r="K132">
            <v>133.52302509316772</v>
          </cell>
          <cell r="R132">
            <v>1</v>
          </cell>
          <cell r="T132">
            <v>1</v>
          </cell>
          <cell r="U132">
            <v>0.20124999999999998</v>
          </cell>
          <cell r="V132">
            <v>0.20124999999999998</v>
          </cell>
          <cell r="AG132">
            <v>5.72</v>
          </cell>
          <cell r="AH132">
            <v>5.72</v>
          </cell>
          <cell r="AM132">
            <v>0</v>
          </cell>
          <cell r="AN132">
            <v>12.477960000000001</v>
          </cell>
          <cell r="AO132">
            <v>0</v>
          </cell>
          <cell r="AP132">
            <v>14.393548800000001</v>
          </cell>
          <cell r="AQ132">
            <v>0</v>
          </cell>
          <cell r="AR132">
            <v>0</v>
          </cell>
          <cell r="AS132">
            <v>0</v>
          </cell>
          <cell r="AT132">
            <v>0</v>
          </cell>
          <cell r="AU132">
            <v>0</v>
          </cell>
          <cell r="AV132">
            <v>0</v>
          </cell>
          <cell r="AW132">
            <v>0</v>
          </cell>
          <cell r="AX132">
            <v>12.477960000000001</v>
          </cell>
          <cell r="AY132">
            <v>0</v>
          </cell>
          <cell r="AZ132">
            <v>14.393548800000001</v>
          </cell>
          <cell r="BA132">
            <v>0</v>
          </cell>
          <cell r="BB132">
            <v>0</v>
          </cell>
          <cell r="BC132">
            <v>0</v>
          </cell>
          <cell r="BD132">
            <v>0</v>
          </cell>
          <cell r="BE132">
            <v>0</v>
          </cell>
          <cell r="BF132">
            <v>0</v>
          </cell>
        </row>
        <row r="133">
          <cell r="A133" t="str">
            <v>b73</v>
          </cell>
          <cell r="E133">
            <v>73</v>
          </cell>
          <cell r="F133" t="str">
            <v>HB2A.6</v>
          </cell>
          <cell r="G133">
            <v>1.49</v>
          </cell>
          <cell r="H133">
            <v>0.25</v>
          </cell>
          <cell r="I133">
            <v>0.35</v>
          </cell>
          <cell r="J133">
            <v>0.31289999999999996</v>
          </cell>
          <cell r="K133">
            <v>136.97908878235862</v>
          </cell>
          <cell r="R133">
            <v>2</v>
          </cell>
          <cell r="T133">
            <v>2</v>
          </cell>
          <cell r="U133">
            <v>0.13037499999999999</v>
          </cell>
          <cell r="V133">
            <v>0.26074999999999998</v>
          </cell>
          <cell r="AG133">
            <v>5.72</v>
          </cell>
          <cell r="AH133">
            <v>11.44</v>
          </cell>
          <cell r="AM133">
            <v>0</v>
          </cell>
          <cell r="AN133">
            <v>8.5785975000000008</v>
          </cell>
          <cell r="AO133">
            <v>0</v>
          </cell>
          <cell r="AP133">
            <v>9.2800512000000008</v>
          </cell>
          <cell r="AQ133">
            <v>0</v>
          </cell>
          <cell r="AR133">
            <v>0</v>
          </cell>
          <cell r="AS133">
            <v>0</v>
          </cell>
          <cell r="AT133">
            <v>0</v>
          </cell>
          <cell r="AU133">
            <v>0</v>
          </cell>
          <cell r="AV133">
            <v>0</v>
          </cell>
          <cell r="AW133">
            <v>0</v>
          </cell>
          <cell r="AX133">
            <v>17.157195000000002</v>
          </cell>
          <cell r="AY133">
            <v>0</v>
          </cell>
          <cell r="AZ133">
            <v>18.560102400000002</v>
          </cell>
          <cell r="BA133">
            <v>0</v>
          </cell>
          <cell r="BB133">
            <v>0</v>
          </cell>
          <cell r="BC133">
            <v>0</v>
          </cell>
          <cell r="BD133">
            <v>0</v>
          </cell>
          <cell r="BE133">
            <v>0</v>
          </cell>
          <cell r="BF133">
            <v>0</v>
          </cell>
        </row>
        <row r="134">
          <cell r="A134" t="str">
            <v>b74</v>
          </cell>
          <cell r="E134">
            <v>74</v>
          </cell>
          <cell r="F134" t="str">
            <v>HB2B.6</v>
          </cell>
          <cell r="G134">
            <v>1.27</v>
          </cell>
          <cell r="H134">
            <v>0.25</v>
          </cell>
          <cell r="I134">
            <v>0.35</v>
          </cell>
          <cell r="J134">
            <v>0.26669999999999994</v>
          </cell>
          <cell r="K134">
            <v>1073.3896062992128</v>
          </cell>
          <cell r="R134">
            <v>2</v>
          </cell>
          <cell r="T134">
            <v>2</v>
          </cell>
          <cell r="U134">
            <v>0.11112499999999999</v>
          </cell>
          <cell r="V134">
            <v>0.22224999999999998</v>
          </cell>
          <cell r="AG134">
            <v>5.72</v>
          </cell>
          <cell r="AH134">
            <v>11.44</v>
          </cell>
          <cell r="AM134">
            <v>0</v>
          </cell>
          <cell r="AN134">
            <v>56.150820000000003</v>
          </cell>
          <cell r="AO134">
            <v>0</v>
          </cell>
          <cell r="AP134">
            <v>63.129600000000003</v>
          </cell>
          <cell r="AQ134">
            <v>0</v>
          </cell>
          <cell r="AR134">
            <v>0</v>
          </cell>
          <cell r="AS134">
            <v>0</v>
          </cell>
          <cell r="AT134">
            <v>0</v>
          </cell>
          <cell r="AU134">
            <v>0</v>
          </cell>
          <cell r="AV134">
            <v>0</v>
          </cell>
          <cell r="AW134">
            <v>0</v>
          </cell>
          <cell r="AX134">
            <v>112.30164000000001</v>
          </cell>
          <cell r="AY134">
            <v>0</v>
          </cell>
          <cell r="AZ134">
            <v>126.25920000000001</v>
          </cell>
          <cell r="BA134">
            <v>0</v>
          </cell>
          <cell r="BB134">
            <v>0</v>
          </cell>
          <cell r="BC134">
            <v>0</v>
          </cell>
          <cell r="BD134">
            <v>0</v>
          </cell>
          <cell r="BE134">
            <v>0</v>
          </cell>
          <cell r="BF134">
            <v>0</v>
          </cell>
        </row>
        <row r="135">
          <cell r="A135" t="str">
            <v>b75</v>
          </cell>
          <cell r="E135">
            <v>75</v>
          </cell>
          <cell r="F135" t="str">
            <v>HB9.6</v>
          </cell>
          <cell r="G135">
            <v>3.05</v>
          </cell>
          <cell r="H135">
            <v>0.1</v>
          </cell>
          <cell r="I135">
            <v>0.35</v>
          </cell>
          <cell r="J135">
            <v>0.25619999999999998</v>
          </cell>
          <cell r="K135">
            <v>332.6050707259954</v>
          </cell>
          <cell r="R135">
            <v>14</v>
          </cell>
          <cell r="T135">
            <v>14</v>
          </cell>
          <cell r="U135">
            <v>0.10675</v>
          </cell>
          <cell r="V135">
            <v>1.4944999999999999</v>
          </cell>
          <cell r="AG135">
            <v>5.72</v>
          </cell>
          <cell r="AH135">
            <v>80.08</v>
          </cell>
          <cell r="AM135">
            <v>0</v>
          </cell>
          <cell r="AN135">
            <v>16.377322500000002</v>
          </cell>
          <cell r="AO135">
            <v>0</v>
          </cell>
          <cell r="AP135">
            <v>19.128268800000001</v>
          </cell>
          <cell r="AQ135">
            <v>0</v>
          </cell>
          <cell r="AR135">
            <v>0</v>
          </cell>
          <cell r="AS135">
            <v>0</v>
          </cell>
          <cell r="AT135">
            <v>0</v>
          </cell>
          <cell r="AU135">
            <v>0</v>
          </cell>
          <cell r="AV135">
            <v>0</v>
          </cell>
          <cell r="AW135">
            <v>0</v>
          </cell>
          <cell r="AX135">
            <v>229.28251500000002</v>
          </cell>
          <cell r="AY135">
            <v>0</v>
          </cell>
          <cell r="AZ135">
            <v>267.79576320000001</v>
          </cell>
          <cell r="BA135">
            <v>0</v>
          </cell>
          <cell r="BB135">
            <v>0</v>
          </cell>
          <cell r="BC135">
            <v>0</v>
          </cell>
          <cell r="BD135">
            <v>0</v>
          </cell>
          <cell r="BE135">
            <v>0</v>
          </cell>
          <cell r="BF135">
            <v>0</v>
          </cell>
        </row>
        <row r="136">
          <cell r="A136" t="str">
            <v>b76</v>
          </cell>
          <cell r="E136">
            <v>76</v>
          </cell>
          <cell r="F136" t="str">
            <v>HB9A.6</v>
          </cell>
          <cell r="G136">
            <v>4.3499999999999996</v>
          </cell>
          <cell r="H136">
            <v>0.1</v>
          </cell>
          <cell r="I136">
            <v>0.35</v>
          </cell>
          <cell r="J136">
            <v>0.3654</v>
          </cell>
          <cell r="K136">
            <v>333.21045517241384</v>
          </cell>
          <cell r="R136">
            <v>1</v>
          </cell>
          <cell r="T136">
            <v>1</v>
          </cell>
          <cell r="U136">
            <v>0.15225</v>
          </cell>
          <cell r="V136">
            <v>0.15225</v>
          </cell>
          <cell r="AG136">
            <v>5.72</v>
          </cell>
          <cell r="AH136">
            <v>5.72</v>
          </cell>
          <cell r="AM136">
            <v>0</v>
          </cell>
          <cell r="AN136">
            <v>23.396175000000003</v>
          </cell>
          <cell r="AO136">
            <v>0</v>
          </cell>
          <cell r="AP136">
            <v>27.335116800000002</v>
          </cell>
          <cell r="AQ136">
            <v>0</v>
          </cell>
          <cell r="AR136">
            <v>0</v>
          </cell>
          <cell r="AS136">
            <v>0</v>
          </cell>
          <cell r="AT136">
            <v>0</v>
          </cell>
          <cell r="AU136">
            <v>0</v>
          </cell>
          <cell r="AV136">
            <v>0</v>
          </cell>
          <cell r="AW136">
            <v>0</v>
          </cell>
          <cell r="AX136">
            <v>23.396175000000003</v>
          </cell>
          <cell r="AY136">
            <v>0</v>
          </cell>
          <cell r="AZ136">
            <v>27.335116800000002</v>
          </cell>
          <cell r="BA136">
            <v>0</v>
          </cell>
          <cell r="BB136">
            <v>0</v>
          </cell>
          <cell r="BC136">
            <v>0</v>
          </cell>
          <cell r="BD136">
            <v>0</v>
          </cell>
          <cell r="BE136">
            <v>0</v>
          </cell>
          <cell r="BF136">
            <v>0</v>
          </cell>
        </row>
        <row r="137">
          <cell r="A137" t="str">
            <v>b77</v>
          </cell>
          <cell r="E137">
            <v>77</v>
          </cell>
          <cell r="F137" t="str">
            <v>HB7.7</v>
          </cell>
          <cell r="G137">
            <v>4.24</v>
          </cell>
          <cell r="H137">
            <v>0.25</v>
          </cell>
          <cell r="I137">
            <v>0.35</v>
          </cell>
          <cell r="J137">
            <v>0.89039999999999997</v>
          </cell>
          <cell r="K137">
            <v>408.47196226415105</v>
          </cell>
          <cell r="S137">
            <v>2</v>
          </cell>
          <cell r="T137">
            <v>2</v>
          </cell>
          <cell r="U137">
            <v>0.371</v>
          </cell>
          <cell r="V137">
            <v>0.74199999999999999</v>
          </cell>
          <cell r="AK137">
            <v>5.7299999999999995</v>
          </cell>
          <cell r="AL137">
            <v>11.459999999999999</v>
          </cell>
          <cell r="AM137">
            <v>0</v>
          </cell>
          <cell r="AN137">
            <v>70.083720000000014</v>
          </cell>
          <cell r="AO137">
            <v>0</v>
          </cell>
          <cell r="AP137">
            <v>0</v>
          </cell>
          <cell r="AQ137">
            <v>0</v>
          </cell>
          <cell r="AR137">
            <v>81.459378000000015</v>
          </cell>
          <cell r="AS137">
            <v>0</v>
          </cell>
          <cell r="AT137">
            <v>0</v>
          </cell>
          <cell r="AU137">
            <v>0</v>
          </cell>
          <cell r="AV137">
            <v>0</v>
          </cell>
          <cell r="AW137">
            <v>0</v>
          </cell>
          <cell r="AX137">
            <v>140.16744000000003</v>
          </cell>
          <cell r="AY137">
            <v>0</v>
          </cell>
          <cell r="AZ137">
            <v>0</v>
          </cell>
          <cell r="BA137">
            <v>0</v>
          </cell>
          <cell r="BB137">
            <v>162.91875600000003</v>
          </cell>
          <cell r="BC137">
            <v>0</v>
          </cell>
          <cell r="BD137">
            <v>0</v>
          </cell>
          <cell r="BE137">
            <v>0</v>
          </cell>
          <cell r="BF137">
            <v>0</v>
          </cell>
        </row>
        <row r="138">
          <cell r="A138" t="str">
            <v>b78</v>
          </cell>
          <cell r="E138">
            <v>78</v>
          </cell>
          <cell r="F138" t="str">
            <v>HB8.7</v>
          </cell>
          <cell r="G138">
            <v>6.49</v>
          </cell>
          <cell r="H138">
            <v>0.25</v>
          </cell>
          <cell r="I138">
            <v>0.35</v>
          </cell>
          <cell r="J138">
            <v>1.3629</v>
          </cell>
          <cell r="K138">
            <v>503.19536077481854</v>
          </cell>
          <cell r="S138">
            <v>2</v>
          </cell>
          <cell r="T138">
            <v>2</v>
          </cell>
          <cell r="U138">
            <v>0.56787500000000002</v>
          </cell>
          <cell r="V138">
            <v>1.13575</v>
          </cell>
          <cell r="AK138">
            <v>5.7299999999999995</v>
          </cell>
          <cell r="AL138">
            <v>11.459999999999999</v>
          </cell>
          <cell r="AM138">
            <v>0</v>
          </cell>
          <cell r="AN138">
            <v>167.36742000000004</v>
          </cell>
          <cell r="AO138">
            <v>0</v>
          </cell>
          <cell r="AP138">
            <v>0</v>
          </cell>
          <cell r="AQ138">
            <v>0</v>
          </cell>
          <cell r="AR138">
            <v>118.3846455</v>
          </cell>
          <cell r="AS138">
            <v>0</v>
          </cell>
          <cell r="AT138">
            <v>0</v>
          </cell>
          <cell r="AU138">
            <v>0</v>
          </cell>
          <cell r="AV138">
            <v>0</v>
          </cell>
          <cell r="AW138">
            <v>0</v>
          </cell>
          <cell r="AX138">
            <v>334.73484000000008</v>
          </cell>
          <cell r="AY138">
            <v>0</v>
          </cell>
          <cell r="AZ138">
            <v>0</v>
          </cell>
          <cell r="BA138">
            <v>0</v>
          </cell>
          <cell r="BB138">
            <v>236.76929100000001</v>
          </cell>
          <cell r="BC138">
            <v>0</v>
          </cell>
          <cell r="BD138">
            <v>0</v>
          </cell>
          <cell r="BE138">
            <v>0</v>
          </cell>
          <cell r="BF138">
            <v>0</v>
          </cell>
        </row>
        <row r="139">
          <cell r="L139">
            <v>0</v>
          </cell>
          <cell r="M139">
            <v>0</v>
          </cell>
          <cell r="N139">
            <v>72</v>
          </cell>
          <cell r="O139">
            <v>72</v>
          </cell>
          <cell r="P139">
            <v>72</v>
          </cell>
          <cell r="Q139">
            <v>72</v>
          </cell>
          <cell r="R139">
            <v>89</v>
          </cell>
          <cell r="S139">
            <v>4</v>
          </cell>
          <cell r="T139">
            <v>381</v>
          </cell>
          <cell r="V139">
            <v>110.78033000000002</v>
          </cell>
          <cell r="X139">
            <v>0</v>
          </cell>
          <cell r="Z139">
            <v>0</v>
          </cell>
          <cell r="AB139">
            <v>0</v>
          </cell>
          <cell r="AD139">
            <v>0</v>
          </cell>
          <cell r="AF139">
            <v>0</v>
          </cell>
          <cell r="AH139">
            <v>989.56000000000051</v>
          </cell>
          <cell r="AJ139">
            <v>561.11999999999989</v>
          </cell>
          <cell r="AL139">
            <v>710.5200000000001</v>
          </cell>
          <cell r="AW139">
            <v>0</v>
          </cell>
          <cell r="AX139">
            <v>7386.1323749999974</v>
          </cell>
          <cell r="AY139">
            <v>0</v>
          </cell>
          <cell r="AZ139">
            <v>3817.6994304</v>
          </cell>
          <cell r="BA139">
            <v>2591.4478859999999</v>
          </cell>
          <cell r="BB139">
            <v>7485.6394205999986</v>
          </cell>
          <cell r="BC139">
            <v>0</v>
          </cell>
          <cell r="BD139">
            <v>0</v>
          </cell>
          <cell r="BE139">
            <v>0</v>
          </cell>
          <cell r="BF139">
            <v>0</v>
          </cell>
        </row>
        <row r="141">
          <cell r="A141" t="str">
            <v>s1</v>
          </cell>
          <cell r="C141">
            <v>6</v>
          </cell>
          <cell r="D141" t="str">
            <v>Pelat</v>
          </cell>
          <cell r="E141">
            <v>1</v>
          </cell>
          <cell r="F141" t="str">
            <v>S1.2</v>
          </cell>
          <cell r="G141">
            <v>3.1</v>
          </cell>
          <cell r="H141">
            <v>2.29</v>
          </cell>
          <cell r="I141">
            <v>0.12</v>
          </cell>
          <cell r="J141">
            <v>2.0445119999999997</v>
          </cell>
          <cell r="K141">
            <v>111.67806169883083</v>
          </cell>
          <cell r="L141" t="str">
            <v>Konvensional Luasan Lantai Dasar =  403.78 m2, Tebal 10 Cm</v>
          </cell>
          <cell r="N141">
            <v>22</v>
          </cell>
          <cell r="T141">
            <v>22</v>
          </cell>
          <cell r="U141">
            <v>0.85187999999999997</v>
          </cell>
          <cell r="V141">
            <v>18.74136</v>
          </cell>
          <cell r="AM141">
            <v>91.190707200000006</v>
          </cell>
          <cell r="AN141">
            <v>3.9456000000000007</v>
          </cell>
          <cell r="AO141">
            <v>0</v>
          </cell>
          <cell r="AP141">
            <v>0</v>
          </cell>
          <cell r="AQ141">
            <v>0</v>
          </cell>
          <cell r="AR141">
            <v>0</v>
          </cell>
          <cell r="AS141">
            <v>0</v>
          </cell>
          <cell r="AT141">
            <v>0</v>
          </cell>
          <cell r="AU141">
            <v>0</v>
          </cell>
          <cell r="AV141">
            <v>0</v>
          </cell>
          <cell r="AW141">
            <v>2006.1955584000002</v>
          </cell>
          <cell r="AX141">
            <v>86.803200000000018</v>
          </cell>
          <cell r="AY141">
            <v>0</v>
          </cell>
          <cell r="AZ141">
            <v>0</v>
          </cell>
          <cell r="BA141">
            <v>0</v>
          </cell>
          <cell r="BB141">
            <v>0</v>
          </cell>
          <cell r="BC141">
            <v>0</v>
          </cell>
          <cell r="BD141">
            <v>0</v>
          </cell>
          <cell r="BE141">
            <v>0</v>
          </cell>
          <cell r="BF141">
            <v>0</v>
          </cell>
        </row>
        <row r="142">
          <cell r="A142" t="str">
            <v>s2</v>
          </cell>
          <cell r="E142">
            <v>2</v>
          </cell>
          <cell r="F142" t="str">
            <v>S1A.2</v>
          </cell>
          <cell r="G142">
            <v>3.1</v>
          </cell>
          <cell r="H142">
            <v>2.29</v>
          </cell>
          <cell r="I142">
            <v>0.12</v>
          </cell>
          <cell r="J142">
            <v>2.0445119999999997</v>
          </cell>
          <cell r="K142">
            <v>111.67806169883083</v>
          </cell>
          <cell r="N142">
            <v>1</v>
          </cell>
          <cell r="T142">
            <v>1</v>
          </cell>
          <cell r="U142">
            <v>0.85187999999999997</v>
          </cell>
          <cell r="V142">
            <v>0.85187999999999997</v>
          </cell>
          <cell r="AM142">
            <v>91.190707200000006</v>
          </cell>
          <cell r="AN142">
            <v>3.9456000000000007</v>
          </cell>
          <cell r="AO142">
            <v>0</v>
          </cell>
          <cell r="AP142">
            <v>0</v>
          </cell>
          <cell r="AQ142">
            <v>0</v>
          </cell>
          <cell r="AR142">
            <v>0</v>
          </cell>
          <cell r="AS142">
            <v>0</v>
          </cell>
          <cell r="AT142">
            <v>0</v>
          </cell>
          <cell r="AU142">
            <v>0</v>
          </cell>
          <cell r="AV142">
            <v>0</v>
          </cell>
          <cell r="AW142">
            <v>91.190707200000006</v>
          </cell>
          <cell r="AX142">
            <v>3.9456000000000007</v>
          </cell>
          <cell r="AY142">
            <v>0</v>
          </cell>
          <cell r="AZ142">
            <v>0</v>
          </cell>
          <cell r="BA142">
            <v>0</v>
          </cell>
          <cell r="BB142">
            <v>0</v>
          </cell>
          <cell r="BC142">
            <v>0</v>
          </cell>
          <cell r="BD142">
            <v>0</v>
          </cell>
          <cell r="BE142">
            <v>0</v>
          </cell>
          <cell r="BF142">
            <v>0</v>
          </cell>
        </row>
        <row r="143">
          <cell r="A143" t="str">
            <v>s3</v>
          </cell>
          <cell r="E143">
            <v>3</v>
          </cell>
          <cell r="F143" t="str">
            <v>S1B.2</v>
          </cell>
          <cell r="G143">
            <v>3.1</v>
          </cell>
          <cell r="H143">
            <v>2.29</v>
          </cell>
          <cell r="I143">
            <v>0.12</v>
          </cell>
          <cell r="J143">
            <v>2.0445119999999997</v>
          </cell>
          <cell r="K143">
            <v>111.67806169883083</v>
          </cell>
          <cell r="N143">
            <v>1</v>
          </cell>
          <cell r="T143">
            <v>1</v>
          </cell>
          <cell r="U143">
            <v>0.85187999999999997</v>
          </cell>
          <cell r="V143">
            <v>0.85187999999999997</v>
          </cell>
          <cell r="AM143">
            <v>91.190707200000006</v>
          </cell>
          <cell r="AN143">
            <v>3.9456000000000007</v>
          </cell>
          <cell r="AO143">
            <v>0</v>
          </cell>
          <cell r="AP143">
            <v>0</v>
          </cell>
          <cell r="AQ143">
            <v>0</v>
          </cell>
          <cell r="AR143">
            <v>0</v>
          </cell>
          <cell r="AS143">
            <v>0</v>
          </cell>
          <cell r="AT143">
            <v>0</v>
          </cell>
          <cell r="AU143">
            <v>0</v>
          </cell>
          <cell r="AV143">
            <v>0</v>
          </cell>
          <cell r="AW143">
            <v>91.190707200000006</v>
          </cell>
          <cell r="AX143">
            <v>3.9456000000000007</v>
          </cell>
          <cell r="AY143">
            <v>0</v>
          </cell>
          <cell r="AZ143">
            <v>0</v>
          </cell>
          <cell r="BA143">
            <v>0</v>
          </cell>
          <cell r="BB143">
            <v>0</v>
          </cell>
          <cell r="BC143">
            <v>0</v>
          </cell>
          <cell r="BD143">
            <v>0</v>
          </cell>
          <cell r="BE143">
            <v>0</v>
          </cell>
          <cell r="BF143">
            <v>0</v>
          </cell>
        </row>
        <row r="144">
          <cell r="A144" t="str">
            <v>s4</v>
          </cell>
          <cell r="E144">
            <v>3</v>
          </cell>
          <cell r="F144" t="str">
            <v>S2.2</v>
          </cell>
          <cell r="G144">
            <v>3.1</v>
          </cell>
          <cell r="H144">
            <v>2.29</v>
          </cell>
          <cell r="I144">
            <v>0.12</v>
          </cell>
          <cell r="J144">
            <v>2.0445119999999997</v>
          </cell>
          <cell r="K144">
            <v>111.67806169883083</v>
          </cell>
          <cell r="N144">
            <v>12</v>
          </cell>
          <cell r="T144">
            <v>12</v>
          </cell>
          <cell r="U144">
            <v>0.85187999999999997</v>
          </cell>
          <cell r="V144">
            <v>10.22256</v>
          </cell>
          <cell r="AM144">
            <v>91.190707200000006</v>
          </cell>
          <cell r="AN144">
            <v>3.9456000000000007</v>
          </cell>
          <cell r="AO144">
            <v>0</v>
          </cell>
          <cell r="AP144">
            <v>0</v>
          </cell>
          <cell r="AQ144">
            <v>0</v>
          </cell>
          <cell r="AR144">
            <v>0</v>
          </cell>
          <cell r="AS144">
            <v>0</v>
          </cell>
          <cell r="AT144">
            <v>0</v>
          </cell>
          <cell r="AU144">
            <v>0</v>
          </cell>
          <cell r="AV144">
            <v>0</v>
          </cell>
          <cell r="AW144">
            <v>1094.2884864</v>
          </cell>
          <cell r="AX144">
            <v>47.347200000000008</v>
          </cell>
          <cell r="AY144">
            <v>0</v>
          </cell>
          <cell r="AZ144">
            <v>0</v>
          </cell>
          <cell r="BA144">
            <v>0</v>
          </cell>
          <cell r="BB144">
            <v>0</v>
          </cell>
          <cell r="BC144">
            <v>0</v>
          </cell>
          <cell r="BD144">
            <v>0</v>
          </cell>
          <cell r="BE144">
            <v>0</v>
          </cell>
          <cell r="BF144">
            <v>0</v>
          </cell>
        </row>
        <row r="145">
          <cell r="A145" t="str">
            <v>s5</v>
          </cell>
          <cell r="E145">
            <v>4</v>
          </cell>
          <cell r="F145" t="str">
            <v>S3.2</v>
          </cell>
          <cell r="G145">
            <v>3.1</v>
          </cell>
          <cell r="H145">
            <v>1.5050000000000001</v>
          </cell>
          <cell r="I145">
            <v>0.09</v>
          </cell>
          <cell r="J145">
            <v>1.0077480000000001</v>
          </cell>
          <cell r="K145">
            <v>161.97919194084236</v>
          </cell>
          <cell r="N145">
            <v>14</v>
          </cell>
          <cell r="T145">
            <v>14</v>
          </cell>
          <cell r="U145">
            <v>0.41989500000000002</v>
          </cell>
          <cell r="V145">
            <v>5.8785300000000005</v>
          </cell>
          <cell r="AM145">
            <v>64.06865280000001</v>
          </cell>
          <cell r="AN145">
            <v>3.9456000000000011</v>
          </cell>
          <cell r="AO145">
            <v>0</v>
          </cell>
          <cell r="AP145">
            <v>0</v>
          </cell>
          <cell r="AQ145">
            <v>0</v>
          </cell>
          <cell r="AR145">
            <v>0</v>
          </cell>
          <cell r="AS145">
            <v>0</v>
          </cell>
          <cell r="AT145">
            <v>0</v>
          </cell>
          <cell r="AU145">
            <v>0</v>
          </cell>
          <cell r="AV145">
            <v>0</v>
          </cell>
          <cell r="AW145">
            <v>896.96113920000005</v>
          </cell>
          <cell r="AX145">
            <v>55.238400000000013</v>
          </cell>
          <cell r="AY145">
            <v>0</v>
          </cell>
          <cell r="AZ145">
            <v>0</v>
          </cell>
          <cell r="BA145">
            <v>0</v>
          </cell>
          <cell r="BB145">
            <v>0</v>
          </cell>
          <cell r="BC145">
            <v>0</v>
          </cell>
          <cell r="BD145">
            <v>0</v>
          </cell>
          <cell r="BE145">
            <v>0</v>
          </cell>
          <cell r="BF145">
            <v>0</v>
          </cell>
        </row>
        <row r="146">
          <cell r="A146" t="str">
            <v>s6</v>
          </cell>
          <cell r="E146">
            <v>5</v>
          </cell>
          <cell r="F146" t="str">
            <v>S4.2</v>
          </cell>
          <cell r="G146">
            <v>4.4000000000000004</v>
          </cell>
          <cell r="H146">
            <v>1.5050000000000001</v>
          </cell>
          <cell r="I146">
            <v>0.09</v>
          </cell>
          <cell r="J146">
            <v>1.4303520000000001</v>
          </cell>
          <cell r="K146">
            <v>156.52508607671396</v>
          </cell>
          <cell r="N146">
            <v>1</v>
          </cell>
          <cell r="T146">
            <v>1</v>
          </cell>
          <cell r="U146">
            <v>0.59598000000000007</v>
          </cell>
          <cell r="V146">
            <v>0.59598000000000007</v>
          </cell>
          <cell r="AM146">
            <v>89.340220799999997</v>
          </cell>
          <cell r="AN146">
            <v>3.9456000000000007</v>
          </cell>
          <cell r="AO146">
            <v>0</v>
          </cell>
          <cell r="AP146">
            <v>0</v>
          </cell>
          <cell r="AQ146">
            <v>0</v>
          </cell>
          <cell r="AR146">
            <v>0</v>
          </cell>
          <cell r="AS146">
            <v>0</v>
          </cell>
          <cell r="AT146">
            <v>0</v>
          </cell>
          <cell r="AU146">
            <v>0</v>
          </cell>
          <cell r="AV146">
            <v>0</v>
          </cell>
          <cell r="AW146">
            <v>89.340220799999997</v>
          </cell>
          <cell r="AX146">
            <v>3.9456000000000007</v>
          </cell>
          <cell r="AY146">
            <v>0</v>
          </cell>
          <cell r="AZ146">
            <v>0</v>
          </cell>
          <cell r="BA146">
            <v>0</v>
          </cell>
          <cell r="BB146">
            <v>0</v>
          </cell>
          <cell r="BC146">
            <v>0</v>
          </cell>
          <cell r="BD146">
            <v>0</v>
          </cell>
          <cell r="BE146">
            <v>0</v>
          </cell>
          <cell r="BF146">
            <v>0</v>
          </cell>
        </row>
        <row r="147">
          <cell r="A147" t="str">
            <v>s7</v>
          </cell>
          <cell r="E147">
            <v>6</v>
          </cell>
          <cell r="F147" t="str">
            <v>S5.2</v>
          </cell>
          <cell r="G147">
            <v>3</v>
          </cell>
          <cell r="H147">
            <v>2.9099999999999997</v>
          </cell>
          <cell r="I147">
            <v>0.12</v>
          </cell>
          <cell r="J147">
            <v>2.5142399999999996</v>
          </cell>
          <cell r="K147">
            <v>107.37786941580757</v>
          </cell>
          <cell r="N147">
            <v>1</v>
          </cell>
          <cell r="T147">
            <v>1</v>
          </cell>
          <cell r="U147">
            <v>1.0475999999999999</v>
          </cell>
          <cell r="V147">
            <v>1.0475999999999999</v>
          </cell>
          <cell r="AM147">
            <v>108.54345599999999</v>
          </cell>
          <cell r="AN147">
            <v>3.9456000000000007</v>
          </cell>
          <cell r="AO147">
            <v>0</v>
          </cell>
          <cell r="AP147">
            <v>0</v>
          </cell>
          <cell r="AQ147">
            <v>0</v>
          </cell>
          <cell r="AR147">
            <v>0</v>
          </cell>
          <cell r="AS147">
            <v>0</v>
          </cell>
          <cell r="AT147">
            <v>0</v>
          </cell>
          <cell r="AU147">
            <v>0</v>
          </cell>
          <cell r="AV147">
            <v>0</v>
          </cell>
          <cell r="AW147">
            <v>108.54345599999999</v>
          </cell>
          <cell r="AX147">
            <v>3.9456000000000007</v>
          </cell>
          <cell r="AY147">
            <v>0</v>
          </cell>
          <cell r="AZ147">
            <v>0</v>
          </cell>
          <cell r="BA147">
            <v>0</v>
          </cell>
          <cell r="BB147">
            <v>0</v>
          </cell>
          <cell r="BC147">
            <v>0</v>
          </cell>
          <cell r="BD147">
            <v>0</v>
          </cell>
          <cell r="BE147">
            <v>0</v>
          </cell>
          <cell r="BF147">
            <v>0</v>
          </cell>
        </row>
        <row r="148">
          <cell r="A148" t="str">
            <v>s8</v>
          </cell>
          <cell r="E148">
            <v>7</v>
          </cell>
          <cell r="F148" t="str">
            <v>S6.2</v>
          </cell>
          <cell r="G148">
            <v>1.35</v>
          </cell>
          <cell r="H148">
            <v>1.05</v>
          </cell>
          <cell r="I148">
            <v>0.12</v>
          </cell>
          <cell r="J148">
            <v>0.40824000000000005</v>
          </cell>
          <cell r="K148">
            <v>148.73125925925922</v>
          </cell>
          <cell r="N148">
            <v>1</v>
          </cell>
          <cell r="T148">
            <v>1</v>
          </cell>
          <cell r="U148">
            <v>0.17010000000000003</v>
          </cell>
          <cell r="V148">
            <v>0.17010000000000003</v>
          </cell>
          <cell r="AM148">
            <v>21.3535872</v>
          </cell>
          <cell r="AN148">
            <v>3.9456000000000007</v>
          </cell>
          <cell r="AO148">
            <v>0</v>
          </cell>
          <cell r="AP148">
            <v>0</v>
          </cell>
          <cell r="AQ148">
            <v>0</v>
          </cell>
          <cell r="AR148">
            <v>0</v>
          </cell>
          <cell r="AS148">
            <v>0</v>
          </cell>
          <cell r="AT148">
            <v>0</v>
          </cell>
          <cell r="AU148">
            <v>0</v>
          </cell>
          <cell r="AV148">
            <v>0</v>
          </cell>
          <cell r="AW148">
            <v>21.3535872</v>
          </cell>
          <cell r="AX148">
            <v>3.9456000000000007</v>
          </cell>
          <cell r="AY148">
            <v>0</v>
          </cell>
          <cell r="AZ148">
            <v>0</v>
          </cell>
          <cell r="BA148">
            <v>0</v>
          </cell>
          <cell r="BB148">
            <v>0</v>
          </cell>
          <cell r="BC148">
            <v>0</v>
          </cell>
          <cell r="BD148">
            <v>0</v>
          </cell>
          <cell r="BE148">
            <v>0</v>
          </cell>
          <cell r="BF148">
            <v>0</v>
          </cell>
        </row>
        <row r="149">
          <cell r="A149" t="str">
            <v>s9</v>
          </cell>
          <cell r="E149">
            <v>8</v>
          </cell>
          <cell r="F149" t="str">
            <v>S7.2</v>
          </cell>
          <cell r="G149">
            <v>4.4000000000000004</v>
          </cell>
          <cell r="H149">
            <v>1.9000000000000001</v>
          </cell>
          <cell r="I149">
            <v>0.12</v>
          </cell>
          <cell r="J149">
            <v>2.40768</v>
          </cell>
          <cell r="K149">
            <v>110.04574162679425</v>
          </cell>
          <cell r="N149">
            <v>2</v>
          </cell>
          <cell r="T149">
            <v>2</v>
          </cell>
          <cell r="U149">
            <v>1.0032000000000001</v>
          </cell>
          <cell r="V149">
            <v>2.0064000000000002</v>
          </cell>
          <cell r="AM149">
            <v>106.45228800000001</v>
          </cell>
          <cell r="AN149">
            <v>3.9456000000000007</v>
          </cell>
          <cell r="AO149">
            <v>0</v>
          </cell>
          <cell r="AP149">
            <v>0</v>
          </cell>
          <cell r="AQ149">
            <v>0</v>
          </cell>
          <cell r="AR149">
            <v>0</v>
          </cell>
          <cell r="AS149">
            <v>0</v>
          </cell>
          <cell r="AT149">
            <v>0</v>
          </cell>
          <cell r="AU149">
            <v>0</v>
          </cell>
          <cell r="AV149">
            <v>0</v>
          </cell>
          <cell r="AW149">
            <v>212.90457600000002</v>
          </cell>
          <cell r="AX149">
            <v>7.8912000000000013</v>
          </cell>
          <cell r="AY149">
            <v>0</v>
          </cell>
          <cell r="AZ149">
            <v>0</v>
          </cell>
          <cell r="BA149">
            <v>0</v>
          </cell>
          <cell r="BB149">
            <v>0</v>
          </cell>
          <cell r="BC149">
            <v>0</v>
          </cell>
          <cell r="BD149">
            <v>0</v>
          </cell>
          <cell r="BE149">
            <v>0</v>
          </cell>
          <cell r="BF149">
            <v>0</v>
          </cell>
        </row>
        <row r="150">
          <cell r="A150" t="str">
            <v>s10</v>
          </cell>
          <cell r="E150">
            <v>9</v>
          </cell>
          <cell r="F150" t="str">
            <v>S8.2</v>
          </cell>
          <cell r="G150">
            <v>1.03</v>
          </cell>
          <cell r="H150">
            <v>0.64500000000000002</v>
          </cell>
          <cell r="I150">
            <v>0.12</v>
          </cell>
          <cell r="J150">
            <v>0.1913328</v>
          </cell>
          <cell r="K150">
            <v>206.08462406863853</v>
          </cell>
          <cell r="N150">
            <v>12</v>
          </cell>
          <cell r="T150">
            <v>12</v>
          </cell>
          <cell r="U150">
            <v>7.9722000000000001E-2</v>
          </cell>
          <cell r="V150">
            <v>0.95666399999999996</v>
          </cell>
          <cell r="AM150">
            <v>12.4838784</v>
          </cell>
          <cell r="AN150">
            <v>3.9456000000000007</v>
          </cell>
          <cell r="AO150">
            <v>0</v>
          </cell>
          <cell r="AP150">
            <v>0</v>
          </cell>
          <cell r="AQ150">
            <v>0</v>
          </cell>
          <cell r="AR150">
            <v>0</v>
          </cell>
          <cell r="AS150">
            <v>0</v>
          </cell>
          <cell r="AT150">
            <v>0</v>
          </cell>
          <cell r="AU150">
            <v>0</v>
          </cell>
          <cell r="AV150">
            <v>0</v>
          </cell>
          <cell r="AW150">
            <v>149.80654079999999</v>
          </cell>
          <cell r="AX150">
            <v>47.347200000000008</v>
          </cell>
          <cell r="AY150">
            <v>0</v>
          </cell>
          <cell r="AZ150">
            <v>0</v>
          </cell>
          <cell r="BA150">
            <v>0</v>
          </cell>
          <cell r="BB150">
            <v>0</v>
          </cell>
          <cell r="BC150">
            <v>0</v>
          </cell>
          <cell r="BD150">
            <v>0</v>
          </cell>
          <cell r="BE150">
            <v>0</v>
          </cell>
          <cell r="BF150">
            <v>0</v>
          </cell>
        </row>
        <row r="151">
          <cell r="A151" t="str">
            <v>s11</v>
          </cell>
          <cell r="E151">
            <v>10</v>
          </cell>
          <cell r="F151" t="str">
            <v>S1.3</v>
          </cell>
          <cell r="G151">
            <v>3.1</v>
          </cell>
          <cell r="H151">
            <v>2.29</v>
          </cell>
          <cell r="I151">
            <v>0.12</v>
          </cell>
          <cell r="J151">
            <v>2.0445119999999997</v>
          </cell>
          <cell r="K151">
            <v>111.67806169883083</v>
          </cell>
          <cell r="O151">
            <v>22</v>
          </cell>
          <cell r="T151">
            <v>22</v>
          </cell>
          <cell r="U151">
            <v>0.85187999999999997</v>
          </cell>
          <cell r="V151">
            <v>18.74136</v>
          </cell>
          <cell r="AM151">
            <v>91.190707200000006</v>
          </cell>
          <cell r="AN151">
            <v>3.9456000000000007</v>
          </cell>
          <cell r="AO151">
            <v>0</v>
          </cell>
          <cell r="AP151">
            <v>0</v>
          </cell>
          <cell r="AQ151">
            <v>0</v>
          </cell>
          <cell r="AR151">
            <v>0</v>
          </cell>
          <cell r="AS151">
            <v>0</v>
          </cell>
          <cell r="AT151">
            <v>0</v>
          </cell>
          <cell r="AU151">
            <v>0</v>
          </cell>
          <cell r="AV151">
            <v>0</v>
          </cell>
          <cell r="AW151">
            <v>2006.1955584000002</v>
          </cell>
          <cell r="AX151">
            <v>86.803200000000018</v>
          </cell>
          <cell r="AY151">
            <v>0</v>
          </cell>
          <cell r="AZ151">
            <v>0</v>
          </cell>
          <cell r="BA151">
            <v>0</v>
          </cell>
          <cell r="BB151">
            <v>0</v>
          </cell>
          <cell r="BC151">
            <v>0</v>
          </cell>
          <cell r="BD151">
            <v>0</v>
          </cell>
          <cell r="BE151">
            <v>0</v>
          </cell>
          <cell r="BF151">
            <v>0</v>
          </cell>
        </row>
        <row r="152">
          <cell r="A152" t="str">
            <v>s12</v>
          </cell>
          <cell r="E152">
            <v>11</v>
          </cell>
          <cell r="F152" t="str">
            <v>S1A.3</v>
          </cell>
          <cell r="G152">
            <v>3.1</v>
          </cell>
          <cell r="H152">
            <v>2.29</v>
          </cell>
          <cell r="I152">
            <v>0.12</v>
          </cell>
          <cell r="J152">
            <v>2.0445119999999997</v>
          </cell>
          <cell r="K152">
            <v>111.67806169883083</v>
          </cell>
          <cell r="O152">
            <v>1</v>
          </cell>
          <cell r="T152">
            <v>1</v>
          </cell>
          <cell r="U152">
            <v>0.85187999999999997</v>
          </cell>
          <cell r="V152">
            <v>0.85187999999999997</v>
          </cell>
          <cell r="AM152">
            <v>91.190707200000006</v>
          </cell>
          <cell r="AN152">
            <v>3.9456000000000007</v>
          </cell>
          <cell r="AO152">
            <v>0</v>
          </cell>
          <cell r="AP152">
            <v>0</v>
          </cell>
          <cell r="AQ152">
            <v>0</v>
          </cell>
          <cell r="AR152">
            <v>0</v>
          </cell>
          <cell r="AS152">
            <v>0</v>
          </cell>
          <cell r="AT152">
            <v>0</v>
          </cell>
          <cell r="AU152">
            <v>0</v>
          </cell>
          <cell r="AV152">
            <v>0</v>
          </cell>
          <cell r="AW152">
            <v>91.190707200000006</v>
          </cell>
          <cell r="AX152">
            <v>3.9456000000000007</v>
          </cell>
          <cell r="AY152">
            <v>0</v>
          </cell>
          <cell r="AZ152">
            <v>0</v>
          </cell>
          <cell r="BA152">
            <v>0</v>
          </cell>
          <cell r="BB152">
            <v>0</v>
          </cell>
          <cell r="BC152">
            <v>0</v>
          </cell>
          <cell r="BD152">
            <v>0</v>
          </cell>
          <cell r="BE152">
            <v>0</v>
          </cell>
          <cell r="BF152">
            <v>0</v>
          </cell>
        </row>
        <row r="153">
          <cell r="A153" t="str">
            <v>s13</v>
          </cell>
          <cell r="E153">
            <v>12</v>
          </cell>
          <cell r="F153" t="str">
            <v>S1B.3</v>
          </cell>
          <cell r="G153">
            <v>3.1</v>
          </cell>
          <cell r="H153">
            <v>2.29</v>
          </cell>
          <cell r="I153">
            <v>0.12</v>
          </cell>
          <cell r="J153">
            <v>2.0445119999999997</v>
          </cell>
          <cell r="K153">
            <v>111.67806169883083</v>
          </cell>
          <cell r="O153">
            <v>1</v>
          </cell>
          <cell r="T153">
            <v>1</v>
          </cell>
          <cell r="U153">
            <v>0.85187999999999997</v>
          </cell>
          <cell r="V153">
            <v>0.85187999999999997</v>
          </cell>
          <cell r="AM153">
            <v>91.190707200000006</v>
          </cell>
          <cell r="AN153">
            <v>3.9456000000000007</v>
          </cell>
          <cell r="AO153">
            <v>0</v>
          </cell>
          <cell r="AP153">
            <v>0</v>
          </cell>
          <cell r="AQ153">
            <v>0</v>
          </cell>
          <cell r="AR153">
            <v>0</v>
          </cell>
          <cell r="AS153">
            <v>0</v>
          </cell>
          <cell r="AT153">
            <v>0</v>
          </cell>
          <cell r="AU153">
            <v>0</v>
          </cell>
          <cell r="AV153">
            <v>0</v>
          </cell>
          <cell r="AW153">
            <v>91.190707200000006</v>
          </cell>
          <cell r="AX153">
            <v>3.9456000000000007</v>
          </cell>
          <cell r="AY153">
            <v>0</v>
          </cell>
          <cell r="AZ153">
            <v>0</v>
          </cell>
          <cell r="BA153">
            <v>0</v>
          </cell>
          <cell r="BB153">
            <v>0</v>
          </cell>
          <cell r="BC153">
            <v>0</v>
          </cell>
          <cell r="BD153">
            <v>0</v>
          </cell>
          <cell r="BE153">
            <v>0</v>
          </cell>
          <cell r="BF153">
            <v>0</v>
          </cell>
        </row>
        <row r="154">
          <cell r="A154" t="str">
            <v>s14</v>
          </cell>
          <cell r="E154">
            <v>13</v>
          </cell>
          <cell r="F154" t="str">
            <v>S2.3</v>
          </cell>
          <cell r="G154">
            <v>3.1</v>
          </cell>
          <cell r="H154">
            <v>2.29</v>
          </cell>
          <cell r="I154">
            <v>0.12</v>
          </cell>
          <cell r="J154">
            <v>2.0445119999999997</v>
          </cell>
          <cell r="K154">
            <v>58.154849978870267</v>
          </cell>
          <cell r="O154">
            <v>12</v>
          </cell>
          <cell r="T154">
            <v>12</v>
          </cell>
          <cell r="U154">
            <v>0.85187999999999997</v>
          </cell>
          <cell r="V154">
            <v>10.22256</v>
          </cell>
          <cell r="AM154">
            <v>45.595353600000003</v>
          </cell>
          <cell r="AN154">
            <v>3.9456000000000007</v>
          </cell>
          <cell r="AO154">
            <v>0</v>
          </cell>
          <cell r="AP154">
            <v>0</v>
          </cell>
          <cell r="AQ154">
            <v>0</v>
          </cell>
          <cell r="AR154">
            <v>0</v>
          </cell>
          <cell r="AS154">
            <v>0</v>
          </cell>
          <cell r="AT154">
            <v>0</v>
          </cell>
          <cell r="AU154">
            <v>0</v>
          </cell>
          <cell r="AV154">
            <v>0</v>
          </cell>
          <cell r="AW154">
            <v>547.14424320000001</v>
          </cell>
          <cell r="AX154">
            <v>47.347200000000008</v>
          </cell>
          <cell r="AY154">
            <v>0</v>
          </cell>
          <cell r="AZ154">
            <v>0</v>
          </cell>
          <cell r="BA154">
            <v>0</v>
          </cell>
          <cell r="BB154">
            <v>0</v>
          </cell>
          <cell r="BC154">
            <v>0</v>
          </cell>
          <cell r="BD154">
            <v>0</v>
          </cell>
          <cell r="BE154">
            <v>0</v>
          </cell>
          <cell r="BF154">
            <v>0</v>
          </cell>
        </row>
        <row r="155">
          <cell r="A155" t="str">
            <v>s15</v>
          </cell>
          <cell r="E155">
            <v>14</v>
          </cell>
          <cell r="F155" t="str">
            <v>S3.3</v>
          </cell>
          <cell r="G155">
            <v>3.1</v>
          </cell>
          <cell r="H155">
            <v>1.5050000000000001</v>
          </cell>
          <cell r="I155">
            <v>0.09</v>
          </cell>
          <cell r="J155">
            <v>1.0077480000000001</v>
          </cell>
          <cell r="K155">
            <v>161.97919194084236</v>
          </cell>
          <cell r="O155">
            <v>14</v>
          </cell>
          <cell r="T155">
            <v>14</v>
          </cell>
          <cell r="U155">
            <v>0.41989500000000002</v>
          </cell>
          <cell r="V155">
            <v>5.8785300000000005</v>
          </cell>
          <cell r="AM155">
            <v>64.06865280000001</v>
          </cell>
          <cell r="AN155">
            <v>3.9456000000000011</v>
          </cell>
          <cell r="AO155">
            <v>0</v>
          </cell>
          <cell r="AP155">
            <v>0</v>
          </cell>
          <cell r="AQ155">
            <v>0</v>
          </cell>
          <cell r="AR155">
            <v>0</v>
          </cell>
          <cell r="AS155">
            <v>0</v>
          </cell>
          <cell r="AT155">
            <v>0</v>
          </cell>
          <cell r="AU155">
            <v>0</v>
          </cell>
          <cell r="AV155">
            <v>0</v>
          </cell>
          <cell r="AW155">
            <v>896.96113920000005</v>
          </cell>
          <cell r="AX155">
            <v>55.238400000000013</v>
          </cell>
          <cell r="AY155">
            <v>0</v>
          </cell>
          <cell r="AZ155">
            <v>0</v>
          </cell>
          <cell r="BA155">
            <v>0</v>
          </cell>
          <cell r="BB155">
            <v>0</v>
          </cell>
          <cell r="BC155">
            <v>0</v>
          </cell>
          <cell r="BD155">
            <v>0</v>
          </cell>
          <cell r="BE155">
            <v>0</v>
          </cell>
          <cell r="BF155">
            <v>0</v>
          </cell>
        </row>
        <row r="156">
          <cell r="A156" t="str">
            <v>s16</v>
          </cell>
          <cell r="E156">
            <v>15</v>
          </cell>
          <cell r="F156" t="str">
            <v>S4.3</v>
          </cell>
          <cell r="G156">
            <v>4.4000000000000004</v>
          </cell>
          <cell r="H156">
            <v>1.5050000000000001</v>
          </cell>
          <cell r="I156">
            <v>0.09</v>
          </cell>
          <cell r="J156">
            <v>1.4303520000000001</v>
          </cell>
          <cell r="K156">
            <v>156.52508607671396</v>
          </cell>
          <cell r="O156">
            <v>1</v>
          </cell>
          <cell r="T156">
            <v>1</v>
          </cell>
          <cell r="U156">
            <v>0.59598000000000007</v>
          </cell>
          <cell r="V156">
            <v>0.59598000000000007</v>
          </cell>
          <cell r="AM156">
            <v>89.340220799999997</v>
          </cell>
          <cell r="AN156">
            <v>3.9456000000000007</v>
          </cell>
          <cell r="AO156">
            <v>0</v>
          </cell>
          <cell r="AP156">
            <v>0</v>
          </cell>
          <cell r="AQ156">
            <v>0</v>
          </cell>
          <cell r="AR156">
            <v>0</v>
          </cell>
          <cell r="AS156">
            <v>0</v>
          </cell>
          <cell r="AT156">
            <v>0</v>
          </cell>
          <cell r="AU156">
            <v>0</v>
          </cell>
          <cell r="AV156">
            <v>0</v>
          </cell>
          <cell r="AW156">
            <v>89.340220799999997</v>
          </cell>
          <cell r="AX156">
            <v>3.9456000000000007</v>
          </cell>
          <cell r="AY156">
            <v>0</v>
          </cell>
          <cell r="AZ156">
            <v>0</v>
          </cell>
          <cell r="BA156">
            <v>0</v>
          </cell>
          <cell r="BB156">
            <v>0</v>
          </cell>
          <cell r="BC156">
            <v>0</v>
          </cell>
          <cell r="BD156">
            <v>0</v>
          </cell>
          <cell r="BE156">
            <v>0</v>
          </cell>
          <cell r="BF156">
            <v>0</v>
          </cell>
        </row>
        <row r="157">
          <cell r="A157" t="str">
            <v>s17</v>
          </cell>
          <cell r="E157">
            <v>16</v>
          </cell>
          <cell r="F157" t="str">
            <v>S5.3</v>
          </cell>
          <cell r="G157">
            <v>3</v>
          </cell>
          <cell r="H157">
            <v>2.9099999999999997</v>
          </cell>
          <cell r="I157">
            <v>0.12</v>
          </cell>
          <cell r="J157">
            <v>2.5142399999999996</v>
          </cell>
          <cell r="K157">
            <v>107.37786941580757</v>
          </cell>
          <cell r="O157">
            <v>1</v>
          </cell>
          <cell r="T157">
            <v>1</v>
          </cell>
          <cell r="U157">
            <v>1.0475999999999999</v>
          </cell>
          <cell r="V157">
            <v>1.0475999999999999</v>
          </cell>
          <cell r="AM157">
            <v>108.54345599999999</v>
          </cell>
          <cell r="AN157">
            <v>3.9456000000000007</v>
          </cell>
          <cell r="AO157">
            <v>0</v>
          </cell>
          <cell r="AP157">
            <v>0</v>
          </cell>
          <cell r="AQ157">
            <v>0</v>
          </cell>
          <cell r="AR157">
            <v>0</v>
          </cell>
          <cell r="AS157">
            <v>0</v>
          </cell>
          <cell r="AT157">
            <v>0</v>
          </cell>
          <cell r="AU157">
            <v>0</v>
          </cell>
          <cell r="AV157">
            <v>0</v>
          </cell>
          <cell r="AW157">
            <v>108.54345599999999</v>
          </cell>
          <cell r="AX157">
            <v>3.9456000000000007</v>
          </cell>
          <cell r="AY157">
            <v>0</v>
          </cell>
          <cell r="AZ157">
            <v>0</v>
          </cell>
          <cell r="BA157">
            <v>0</v>
          </cell>
          <cell r="BB157">
            <v>0</v>
          </cell>
          <cell r="BC157">
            <v>0</v>
          </cell>
          <cell r="BD157">
            <v>0</v>
          </cell>
          <cell r="BE157">
            <v>0</v>
          </cell>
          <cell r="BF157">
            <v>0</v>
          </cell>
        </row>
        <row r="158">
          <cell r="A158" t="str">
            <v>s18</v>
          </cell>
          <cell r="E158">
            <v>17</v>
          </cell>
          <cell r="F158" t="str">
            <v>S6.3</v>
          </cell>
          <cell r="G158">
            <v>1.35</v>
          </cell>
          <cell r="H158">
            <v>1.05</v>
          </cell>
          <cell r="I158">
            <v>0.12</v>
          </cell>
          <cell r="J158">
            <v>0.40824000000000005</v>
          </cell>
          <cell r="K158">
            <v>148.73125925925922</v>
          </cell>
          <cell r="O158">
            <v>1</v>
          </cell>
          <cell r="T158">
            <v>1</v>
          </cell>
          <cell r="U158">
            <v>0.17010000000000003</v>
          </cell>
          <cell r="V158">
            <v>0.17010000000000003</v>
          </cell>
          <cell r="AM158">
            <v>21.3535872</v>
          </cell>
          <cell r="AN158">
            <v>3.9456000000000007</v>
          </cell>
          <cell r="AO158">
            <v>0</v>
          </cell>
          <cell r="AP158">
            <v>0</v>
          </cell>
          <cell r="AQ158">
            <v>0</v>
          </cell>
          <cell r="AR158">
            <v>0</v>
          </cell>
          <cell r="AS158">
            <v>0</v>
          </cell>
          <cell r="AT158">
            <v>0</v>
          </cell>
          <cell r="AU158">
            <v>0</v>
          </cell>
          <cell r="AV158">
            <v>0</v>
          </cell>
          <cell r="AW158">
            <v>21.3535872</v>
          </cell>
          <cell r="AX158">
            <v>3.9456000000000007</v>
          </cell>
          <cell r="AY158">
            <v>0</v>
          </cell>
          <cell r="AZ158">
            <v>0</v>
          </cell>
          <cell r="BA158">
            <v>0</v>
          </cell>
          <cell r="BB158">
            <v>0</v>
          </cell>
          <cell r="BC158">
            <v>0</v>
          </cell>
          <cell r="BD158">
            <v>0</v>
          </cell>
          <cell r="BE158">
            <v>0</v>
          </cell>
          <cell r="BF158">
            <v>0</v>
          </cell>
        </row>
        <row r="159">
          <cell r="A159" t="str">
            <v>s19</v>
          </cell>
          <cell r="E159">
            <v>18</v>
          </cell>
          <cell r="F159" t="str">
            <v>S7.3</v>
          </cell>
          <cell r="G159">
            <v>4.4000000000000004</v>
          </cell>
          <cell r="H159">
            <v>1.9000000000000001</v>
          </cell>
          <cell r="I159">
            <v>0.12</v>
          </cell>
          <cell r="J159">
            <v>2.40768</v>
          </cell>
          <cell r="K159">
            <v>110.04574162679425</v>
          </cell>
          <cell r="O159">
            <v>2</v>
          </cell>
          <cell r="T159">
            <v>2</v>
          </cell>
          <cell r="U159">
            <v>1.0032000000000001</v>
          </cell>
          <cell r="V159">
            <v>2.0064000000000002</v>
          </cell>
          <cell r="AM159">
            <v>106.45228800000001</v>
          </cell>
          <cell r="AN159">
            <v>3.9456000000000007</v>
          </cell>
          <cell r="AO159">
            <v>0</v>
          </cell>
          <cell r="AP159">
            <v>0</v>
          </cell>
          <cell r="AQ159">
            <v>0</v>
          </cell>
          <cell r="AR159">
            <v>0</v>
          </cell>
          <cell r="AS159">
            <v>0</v>
          </cell>
          <cell r="AT159">
            <v>0</v>
          </cell>
          <cell r="AU159">
            <v>0</v>
          </cell>
          <cell r="AV159">
            <v>0</v>
          </cell>
          <cell r="AW159">
            <v>212.90457600000002</v>
          </cell>
          <cell r="AX159">
            <v>7.8912000000000013</v>
          </cell>
          <cell r="AY159">
            <v>0</v>
          </cell>
          <cell r="AZ159">
            <v>0</v>
          </cell>
          <cell r="BA159">
            <v>0</v>
          </cell>
          <cell r="BB159">
            <v>0</v>
          </cell>
          <cell r="BC159">
            <v>0</v>
          </cell>
          <cell r="BD159">
            <v>0</v>
          </cell>
          <cell r="BE159">
            <v>0</v>
          </cell>
          <cell r="BF159">
            <v>0</v>
          </cell>
        </row>
        <row r="160">
          <cell r="A160" t="str">
            <v>s20</v>
          </cell>
          <cell r="E160">
            <v>19</v>
          </cell>
          <cell r="F160" t="str">
            <v>S8.3</v>
          </cell>
          <cell r="G160">
            <v>1.03</v>
          </cell>
          <cell r="H160">
            <v>0.64500000000000002</v>
          </cell>
          <cell r="I160">
            <v>0.12</v>
          </cell>
          <cell r="J160">
            <v>0.1913328</v>
          </cell>
          <cell r="K160">
            <v>206.08462406863853</v>
          </cell>
          <cell r="O160">
            <v>12</v>
          </cell>
          <cell r="T160">
            <v>12</v>
          </cell>
          <cell r="U160">
            <v>7.9722000000000001E-2</v>
          </cell>
          <cell r="V160">
            <v>0.95666399999999996</v>
          </cell>
          <cell r="AM160">
            <v>12.4838784</v>
          </cell>
          <cell r="AN160">
            <v>3.9456000000000007</v>
          </cell>
          <cell r="AO160">
            <v>0</v>
          </cell>
          <cell r="AP160">
            <v>0</v>
          </cell>
          <cell r="AQ160">
            <v>0</v>
          </cell>
          <cell r="AR160">
            <v>0</v>
          </cell>
          <cell r="AS160">
            <v>0</v>
          </cell>
          <cell r="AT160">
            <v>0</v>
          </cell>
          <cell r="AU160">
            <v>0</v>
          </cell>
          <cell r="AV160">
            <v>0</v>
          </cell>
          <cell r="AW160">
            <v>149.80654079999999</v>
          </cell>
          <cell r="AX160">
            <v>47.347200000000008</v>
          </cell>
          <cell r="AY160">
            <v>0</v>
          </cell>
          <cell r="AZ160">
            <v>0</v>
          </cell>
          <cell r="BA160">
            <v>0</v>
          </cell>
          <cell r="BB160">
            <v>0</v>
          </cell>
          <cell r="BC160">
            <v>0</v>
          </cell>
          <cell r="BD160">
            <v>0</v>
          </cell>
          <cell r="BE160">
            <v>0</v>
          </cell>
          <cell r="BF160">
            <v>0</v>
          </cell>
        </row>
        <row r="161">
          <cell r="A161" t="str">
            <v>s21</v>
          </cell>
          <cell r="E161">
            <v>20</v>
          </cell>
          <cell r="F161" t="str">
            <v>S1.4</v>
          </cell>
          <cell r="G161">
            <v>3.1</v>
          </cell>
          <cell r="H161">
            <v>2.29</v>
          </cell>
          <cell r="I161">
            <v>0.12</v>
          </cell>
          <cell r="J161">
            <v>2.0445119999999997</v>
          </cell>
          <cell r="K161">
            <v>111.67806169883083</v>
          </cell>
          <cell r="P161">
            <v>22</v>
          </cell>
          <cell r="T161">
            <v>22</v>
          </cell>
          <cell r="U161">
            <v>0.85187999999999997</v>
          </cell>
          <cell r="V161">
            <v>18.74136</v>
          </cell>
          <cell r="AM161">
            <v>91.190707200000006</v>
          </cell>
          <cell r="AN161">
            <v>3.9456000000000007</v>
          </cell>
          <cell r="AO161">
            <v>0</v>
          </cell>
          <cell r="AP161">
            <v>0</v>
          </cell>
          <cell r="AQ161">
            <v>0</v>
          </cell>
          <cell r="AR161">
            <v>0</v>
          </cell>
          <cell r="AS161">
            <v>0</v>
          </cell>
          <cell r="AT161">
            <v>0</v>
          </cell>
          <cell r="AU161">
            <v>0</v>
          </cell>
          <cell r="AV161">
            <v>0</v>
          </cell>
          <cell r="AW161">
            <v>2006.1955584000002</v>
          </cell>
          <cell r="AX161">
            <v>86.803200000000018</v>
          </cell>
          <cell r="AY161">
            <v>0</v>
          </cell>
          <cell r="AZ161">
            <v>0</v>
          </cell>
          <cell r="BA161">
            <v>0</v>
          </cell>
          <cell r="BB161">
            <v>0</v>
          </cell>
          <cell r="BC161">
            <v>0</v>
          </cell>
          <cell r="BD161">
            <v>0</v>
          </cell>
          <cell r="BE161">
            <v>0</v>
          </cell>
          <cell r="BF161">
            <v>0</v>
          </cell>
        </row>
        <row r="162">
          <cell r="A162" t="str">
            <v>s22</v>
          </cell>
          <cell r="E162">
            <v>21</v>
          </cell>
          <cell r="F162" t="str">
            <v>S1A.4</v>
          </cell>
          <cell r="G162">
            <v>3.1</v>
          </cell>
          <cell r="H162">
            <v>2.29</v>
          </cell>
          <cell r="I162">
            <v>0.12</v>
          </cell>
          <cell r="J162">
            <v>2.0445119999999997</v>
          </cell>
          <cell r="K162">
            <v>111.67806169883083</v>
          </cell>
          <cell r="P162">
            <v>1</v>
          </cell>
          <cell r="T162">
            <v>1</v>
          </cell>
          <cell r="U162">
            <v>0.85187999999999997</v>
          </cell>
          <cell r="V162">
            <v>0.85187999999999997</v>
          </cell>
          <cell r="AM162">
            <v>91.190707200000006</v>
          </cell>
          <cell r="AN162">
            <v>3.9456000000000007</v>
          </cell>
          <cell r="AO162">
            <v>0</v>
          </cell>
          <cell r="AP162">
            <v>0</v>
          </cell>
          <cell r="AQ162">
            <v>0</v>
          </cell>
          <cell r="AR162">
            <v>0</v>
          </cell>
          <cell r="AS162">
            <v>0</v>
          </cell>
          <cell r="AT162">
            <v>0</v>
          </cell>
          <cell r="AU162">
            <v>0</v>
          </cell>
          <cell r="AV162">
            <v>0</v>
          </cell>
          <cell r="AW162">
            <v>91.190707200000006</v>
          </cell>
          <cell r="AX162">
            <v>3.9456000000000007</v>
          </cell>
          <cell r="AY162">
            <v>0</v>
          </cell>
          <cell r="AZ162">
            <v>0</v>
          </cell>
          <cell r="BA162">
            <v>0</v>
          </cell>
          <cell r="BB162">
            <v>0</v>
          </cell>
          <cell r="BC162">
            <v>0</v>
          </cell>
          <cell r="BD162">
            <v>0</v>
          </cell>
          <cell r="BE162">
            <v>0</v>
          </cell>
          <cell r="BF162">
            <v>0</v>
          </cell>
        </row>
        <row r="163">
          <cell r="A163" t="str">
            <v>s23</v>
          </cell>
          <cell r="E163">
            <v>22</v>
          </cell>
          <cell r="F163" t="str">
            <v>S1B.4</v>
          </cell>
          <cell r="G163">
            <v>3.1</v>
          </cell>
          <cell r="H163">
            <v>2.29</v>
          </cell>
          <cell r="I163">
            <v>0.12</v>
          </cell>
          <cell r="J163">
            <v>2.0445119999999997</v>
          </cell>
          <cell r="K163">
            <v>111.67806169883083</v>
          </cell>
          <cell r="P163">
            <v>1</v>
          </cell>
          <cell r="T163">
            <v>1</v>
          </cell>
          <cell r="U163">
            <v>0.85187999999999997</v>
          </cell>
          <cell r="V163">
            <v>0.85187999999999997</v>
          </cell>
          <cell r="AM163">
            <v>91.190707200000006</v>
          </cell>
          <cell r="AN163">
            <v>3.9456000000000007</v>
          </cell>
          <cell r="AO163">
            <v>0</v>
          </cell>
          <cell r="AP163">
            <v>0</v>
          </cell>
          <cell r="AQ163">
            <v>0</v>
          </cell>
          <cell r="AR163">
            <v>0</v>
          </cell>
          <cell r="AS163">
            <v>0</v>
          </cell>
          <cell r="AT163">
            <v>0</v>
          </cell>
          <cell r="AU163">
            <v>0</v>
          </cell>
          <cell r="AV163">
            <v>0</v>
          </cell>
          <cell r="AW163">
            <v>91.190707200000006</v>
          </cell>
          <cell r="AX163">
            <v>3.9456000000000007</v>
          </cell>
          <cell r="AY163">
            <v>0</v>
          </cell>
          <cell r="AZ163">
            <v>0</v>
          </cell>
          <cell r="BA163">
            <v>0</v>
          </cell>
          <cell r="BB163">
            <v>0</v>
          </cell>
          <cell r="BC163">
            <v>0</v>
          </cell>
          <cell r="BD163">
            <v>0</v>
          </cell>
          <cell r="BE163">
            <v>0</v>
          </cell>
          <cell r="BF163">
            <v>0</v>
          </cell>
        </row>
        <row r="164">
          <cell r="A164" t="str">
            <v>s24</v>
          </cell>
          <cell r="E164">
            <v>23</v>
          </cell>
          <cell r="F164" t="str">
            <v>S2.4</v>
          </cell>
          <cell r="G164">
            <v>3.1</v>
          </cell>
          <cell r="H164">
            <v>2.29</v>
          </cell>
          <cell r="I164">
            <v>0.12</v>
          </cell>
          <cell r="J164">
            <v>2.0445119999999997</v>
          </cell>
          <cell r="K164">
            <v>111.67806169883083</v>
          </cell>
          <cell r="P164">
            <v>12</v>
          </cell>
          <cell r="T164">
            <v>12</v>
          </cell>
          <cell r="U164">
            <v>0.85187999999999997</v>
          </cell>
          <cell r="V164">
            <v>10.22256</v>
          </cell>
          <cell r="AM164">
            <v>91.190707200000006</v>
          </cell>
          <cell r="AN164">
            <v>3.9456000000000007</v>
          </cell>
          <cell r="AO164">
            <v>0</v>
          </cell>
          <cell r="AP164">
            <v>0</v>
          </cell>
          <cell r="AQ164">
            <v>0</v>
          </cell>
          <cell r="AR164">
            <v>0</v>
          </cell>
          <cell r="AS164">
            <v>0</v>
          </cell>
          <cell r="AT164">
            <v>0</v>
          </cell>
          <cell r="AU164">
            <v>0</v>
          </cell>
          <cell r="AV164">
            <v>0</v>
          </cell>
          <cell r="AW164">
            <v>1094.2884864</v>
          </cell>
          <cell r="AX164">
            <v>47.347200000000008</v>
          </cell>
          <cell r="AY164">
            <v>0</v>
          </cell>
          <cell r="AZ164">
            <v>0</v>
          </cell>
          <cell r="BA164">
            <v>0</v>
          </cell>
          <cell r="BB164">
            <v>0</v>
          </cell>
          <cell r="BC164">
            <v>0</v>
          </cell>
          <cell r="BD164">
            <v>0</v>
          </cell>
          <cell r="BE164">
            <v>0</v>
          </cell>
          <cell r="BF164">
            <v>0</v>
          </cell>
        </row>
        <row r="165">
          <cell r="A165" t="str">
            <v>s25</v>
          </cell>
          <cell r="E165">
            <v>24</v>
          </cell>
          <cell r="F165" t="str">
            <v>S3.4</v>
          </cell>
          <cell r="G165">
            <v>3.1</v>
          </cell>
          <cell r="H165">
            <v>1.5050000000000001</v>
          </cell>
          <cell r="I165">
            <v>0.09</v>
          </cell>
          <cell r="J165">
            <v>1.0077480000000001</v>
          </cell>
          <cell r="K165">
            <v>161.97919194084236</v>
          </cell>
          <cell r="P165">
            <v>14</v>
          </cell>
          <cell r="T165">
            <v>14</v>
          </cell>
          <cell r="U165">
            <v>0.41989500000000002</v>
          </cell>
          <cell r="V165">
            <v>5.8785300000000005</v>
          </cell>
          <cell r="AM165">
            <v>64.06865280000001</v>
          </cell>
          <cell r="AN165">
            <v>3.9456000000000011</v>
          </cell>
          <cell r="AO165">
            <v>0</v>
          </cell>
          <cell r="AP165">
            <v>0</v>
          </cell>
          <cell r="AQ165">
            <v>0</v>
          </cell>
          <cell r="AR165">
            <v>0</v>
          </cell>
          <cell r="AS165">
            <v>0</v>
          </cell>
          <cell r="AT165">
            <v>0</v>
          </cell>
          <cell r="AU165">
            <v>0</v>
          </cell>
          <cell r="AV165">
            <v>0</v>
          </cell>
          <cell r="AW165">
            <v>896.96113920000005</v>
          </cell>
          <cell r="AX165">
            <v>55.238400000000013</v>
          </cell>
          <cell r="AY165">
            <v>0</v>
          </cell>
          <cell r="AZ165">
            <v>0</v>
          </cell>
          <cell r="BA165">
            <v>0</v>
          </cell>
          <cell r="BB165">
            <v>0</v>
          </cell>
          <cell r="BC165">
            <v>0</v>
          </cell>
          <cell r="BD165">
            <v>0</v>
          </cell>
          <cell r="BE165">
            <v>0</v>
          </cell>
          <cell r="BF165">
            <v>0</v>
          </cell>
        </row>
        <row r="166">
          <cell r="A166" t="str">
            <v>s26</v>
          </cell>
          <cell r="E166">
            <v>25</v>
          </cell>
          <cell r="F166" t="str">
            <v>S4.4</v>
          </cell>
          <cell r="G166">
            <v>4.4000000000000004</v>
          </cell>
          <cell r="H166">
            <v>1.5050000000000001</v>
          </cell>
          <cell r="I166">
            <v>0.09</v>
          </cell>
          <cell r="J166">
            <v>1.4303520000000001</v>
          </cell>
          <cell r="K166">
            <v>156.52508607671396</v>
          </cell>
          <cell r="P166">
            <v>1</v>
          </cell>
          <cell r="T166">
            <v>1</v>
          </cell>
          <cell r="U166">
            <v>0.59598000000000007</v>
          </cell>
          <cell r="V166">
            <v>0.59598000000000007</v>
          </cell>
          <cell r="AM166">
            <v>89.340220799999997</v>
          </cell>
          <cell r="AN166">
            <v>3.9456000000000007</v>
          </cell>
          <cell r="AO166">
            <v>0</v>
          </cell>
          <cell r="AP166">
            <v>0</v>
          </cell>
          <cell r="AQ166">
            <v>0</v>
          </cell>
          <cell r="AR166">
            <v>0</v>
          </cell>
          <cell r="AS166">
            <v>0</v>
          </cell>
          <cell r="AT166">
            <v>0</v>
          </cell>
          <cell r="AU166">
            <v>0</v>
          </cell>
          <cell r="AV166">
            <v>0</v>
          </cell>
          <cell r="AW166">
            <v>89.340220799999997</v>
          </cell>
          <cell r="AX166">
            <v>3.9456000000000007</v>
          </cell>
          <cell r="AY166">
            <v>0</v>
          </cell>
          <cell r="AZ166">
            <v>0</v>
          </cell>
          <cell r="BA166">
            <v>0</v>
          </cell>
          <cell r="BB166">
            <v>0</v>
          </cell>
          <cell r="BC166">
            <v>0</v>
          </cell>
          <cell r="BD166">
            <v>0</v>
          </cell>
          <cell r="BE166">
            <v>0</v>
          </cell>
          <cell r="BF166">
            <v>0</v>
          </cell>
        </row>
        <row r="167">
          <cell r="A167" t="str">
            <v>s27</v>
          </cell>
          <cell r="E167">
            <v>26</v>
          </cell>
          <cell r="F167" t="str">
            <v>S5.4</v>
          </cell>
          <cell r="G167">
            <v>3</v>
          </cell>
          <cell r="H167">
            <v>2.9099999999999997</v>
          </cell>
          <cell r="I167">
            <v>0.12</v>
          </cell>
          <cell r="J167">
            <v>2.5142399999999996</v>
          </cell>
          <cell r="K167">
            <v>107.37786941580757</v>
          </cell>
          <cell r="P167">
            <v>1</v>
          </cell>
          <cell r="T167">
            <v>1</v>
          </cell>
          <cell r="U167">
            <v>1.0475999999999999</v>
          </cell>
          <cell r="V167">
            <v>1.0475999999999999</v>
          </cell>
          <cell r="AM167">
            <v>108.54345599999999</v>
          </cell>
          <cell r="AN167">
            <v>3.9456000000000007</v>
          </cell>
          <cell r="AO167">
            <v>0</v>
          </cell>
          <cell r="AP167">
            <v>0</v>
          </cell>
          <cell r="AQ167">
            <v>0</v>
          </cell>
          <cell r="AR167">
            <v>0</v>
          </cell>
          <cell r="AS167">
            <v>0</v>
          </cell>
          <cell r="AT167">
            <v>0</v>
          </cell>
          <cell r="AU167">
            <v>0</v>
          </cell>
          <cell r="AV167">
            <v>0</v>
          </cell>
          <cell r="AW167">
            <v>108.54345599999999</v>
          </cell>
          <cell r="AX167">
            <v>3.9456000000000007</v>
          </cell>
          <cell r="AY167">
            <v>0</v>
          </cell>
          <cell r="AZ167">
            <v>0</v>
          </cell>
          <cell r="BA167">
            <v>0</v>
          </cell>
          <cell r="BB167">
            <v>0</v>
          </cell>
          <cell r="BC167">
            <v>0</v>
          </cell>
          <cell r="BD167">
            <v>0</v>
          </cell>
          <cell r="BE167">
            <v>0</v>
          </cell>
          <cell r="BF167">
            <v>0</v>
          </cell>
        </row>
        <row r="168">
          <cell r="A168" t="str">
            <v>s28</v>
          </cell>
          <cell r="E168">
            <v>27</v>
          </cell>
          <cell r="F168" t="str">
            <v>S6.4</v>
          </cell>
          <cell r="G168">
            <v>1.35</v>
          </cell>
          <cell r="H168">
            <v>1.05</v>
          </cell>
          <cell r="I168">
            <v>0.12</v>
          </cell>
          <cell r="J168">
            <v>0.40824000000000005</v>
          </cell>
          <cell r="K168">
            <v>148.73125925925922</v>
          </cell>
          <cell r="P168">
            <v>1</v>
          </cell>
          <cell r="T168">
            <v>1</v>
          </cell>
          <cell r="U168">
            <v>0.17010000000000003</v>
          </cell>
          <cell r="V168">
            <v>0.17010000000000003</v>
          </cell>
          <cell r="AM168">
            <v>21.3535872</v>
          </cell>
          <cell r="AN168">
            <v>3.9456000000000007</v>
          </cell>
          <cell r="AO168">
            <v>0</v>
          </cell>
          <cell r="AP168">
            <v>0</v>
          </cell>
          <cell r="AQ168">
            <v>0</v>
          </cell>
          <cell r="AR168">
            <v>0</v>
          </cell>
          <cell r="AS168">
            <v>0</v>
          </cell>
          <cell r="AT168">
            <v>0</v>
          </cell>
          <cell r="AU168">
            <v>0</v>
          </cell>
          <cell r="AV168">
            <v>0</v>
          </cell>
          <cell r="AW168">
            <v>21.3535872</v>
          </cell>
          <cell r="AX168">
            <v>3.9456000000000007</v>
          </cell>
          <cell r="AY168">
            <v>0</v>
          </cell>
          <cell r="AZ168">
            <v>0</v>
          </cell>
          <cell r="BA168">
            <v>0</v>
          </cell>
          <cell r="BB168">
            <v>0</v>
          </cell>
          <cell r="BC168">
            <v>0</v>
          </cell>
          <cell r="BD168">
            <v>0</v>
          </cell>
          <cell r="BE168">
            <v>0</v>
          </cell>
          <cell r="BF168">
            <v>0</v>
          </cell>
        </row>
        <row r="169">
          <cell r="A169" t="str">
            <v>s29</v>
          </cell>
          <cell r="E169">
            <v>28</v>
          </cell>
          <cell r="F169" t="str">
            <v>S7.4</v>
          </cell>
          <cell r="G169">
            <v>4.4000000000000004</v>
          </cell>
          <cell r="H169">
            <v>1.9000000000000001</v>
          </cell>
          <cell r="I169">
            <v>0.12</v>
          </cell>
          <cell r="J169">
            <v>2.40768</v>
          </cell>
          <cell r="K169">
            <v>110.04574162679425</v>
          </cell>
          <cell r="P169">
            <v>2</v>
          </cell>
          <cell r="T169">
            <v>2</v>
          </cell>
          <cell r="U169">
            <v>1.0032000000000001</v>
          </cell>
          <cell r="V169">
            <v>2.0064000000000002</v>
          </cell>
          <cell r="AM169">
            <v>106.45228800000001</v>
          </cell>
          <cell r="AN169">
            <v>3.9456000000000007</v>
          </cell>
          <cell r="AO169">
            <v>0</v>
          </cell>
          <cell r="AP169">
            <v>0</v>
          </cell>
          <cell r="AQ169">
            <v>0</v>
          </cell>
          <cell r="AR169">
            <v>0</v>
          </cell>
          <cell r="AS169">
            <v>0</v>
          </cell>
          <cell r="AT169">
            <v>0</v>
          </cell>
          <cell r="AU169">
            <v>0</v>
          </cell>
          <cell r="AV169">
            <v>0</v>
          </cell>
          <cell r="AW169">
            <v>212.90457600000002</v>
          </cell>
          <cell r="AX169">
            <v>7.8912000000000013</v>
          </cell>
          <cell r="AY169">
            <v>0</v>
          </cell>
          <cell r="AZ169">
            <v>0</v>
          </cell>
          <cell r="BA169">
            <v>0</v>
          </cell>
          <cell r="BB169">
            <v>0</v>
          </cell>
          <cell r="BC169">
            <v>0</v>
          </cell>
          <cell r="BD169">
            <v>0</v>
          </cell>
          <cell r="BE169">
            <v>0</v>
          </cell>
          <cell r="BF169">
            <v>0</v>
          </cell>
        </row>
        <row r="170">
          <cell r="A170" t="str">
            <v>s30</v>
          </cell>
          <cell r="E170">
            <v>29</v>
          </cell>
          <cell r="F170" t="str">
            <v>S8.4</v>
          </cell>
          <cell r="G170">
            <v>1.03</v>
          </cell>
          <cell r="H170">
            <v>0.64500000000000002</v>
          </cell>
          <cell r="I170">
            <v>0.12</v>
          </cell>
          <cell r="J170">
            <v>0.1913328</v>
          </cell>
          <cell r="K170">
            <v>206.08462406863853</v>
          </cell>
          <cell r="P170">
            <v>12</v>
          </cell>
          <cell r="T170">
            <v>12</v>
          </cell>
          <cell r="U170">
            <v>7.9722000000000001E-2</v>
          </cell>
          <cell r="V170">
            <v>0.95666399999999996</v>
          </cell>
          <cell r="AM170">
            <v>12.4838784</v>
          </cell>
          <cell r="AN170">
            <v>3.9456000000000007</v>
          </cell>
          <cell r="AO170">
            <v>0</v>
          </cell>
          <cell r="AP170">
            <v>0</v>
          </cell>
          <cell r="AQ170">
            <v>0</v>
          </cell>
          <cell r="AR170">
            <v>0</v>
          </cell>
          <cell r="AS170">
            <v>0</v>
          </cell>
          <cell r="AT170">
            <v>0</v>
          </cell>
          <cell r="AU170">
            <v>0</v>
          </cell>
          <cell r="AV170">
            <v>0</v>
          </cell>
          <cell r="AW170">
            <v>149.80654079999999</v>
          </cell>
          <cell r="AX170">
            <v>47.347200000000008</v>
          </cell>
          <cell r="AY170">
            <v>0</v>
          </cell>
          <cell r="AZ170">
            <v>0</v>
          </cell>
          <cell r="BA170">
            <v>0</v>
          </cell>
          <cell r="BB170">
            <v>0</v>
          </cell>
          <cell r="BC170">
            <v>0</v>
          </cell>
          <cell r="BD170">
            <v>0</v>
          </cell>
          <cell r="BE170">
            <v>0</v>
          </cell>
          <cell r="BF170">
            <v>0</v>
          </cell>
        </row>
        <row r="171">
          <cell r="A171" t="str">
            <v>s31</v>
          </cell>
          <cell r="E171">
            <v>30</v>
          </cell>
          <cell r="F171" t="str">
            <v>S1.5</v>
          </cell>
          <cell r="G171">
            <v>3.1</v>
          </cell>
          <cell r="H171">
            <v>2.29</v>
          </cell>
          <cell r="I171">
            <v>0.12</v>
          </cell>
          <cell r="J171">
            <v>2.0445119999999997</v>
          </cell>
          <cell r="K171">
            <v>111.67806169883083</v>
          </cell>
          <cell r="Q171">
            <v>22</v>
          </cell>
          <cell r="T171">
            <v>22</v>
          </cell>
          <cell r="U171">
            <v>0.85187999999999997</v>
          </cell>
          <cell r="V171">
            <v>18.74136</v>
          </cell>
          <cell r="AM171">
            <v>91.190707200000006</v>
          </cell>
          <cell r="AN171">
            <v>3.9456000000000007</v>
          </cell>
          <cell r="AO171">
            <v>0</v>
          </cell>
          <cell r="AP171">
            <v>0</v>
          </cell>
          <cell r="AQ171">
            <v>0</v>
          </cell>
          <cell r="AR171">
            <v>0</v>
          </cell>
          <cell r="AS171">
            <v>0</v>
          </cell>
          <cell r="AT171">
            <v>0</v>
          </cell>
          <cell r="AU171">
            <v>0</v>
          </cell>
          <cell r="AV171">
            <v>0</v>
          </cell>
          <cell r="AW171">
            <v>2006.1955584000002</v>
          </cell>
          <cell r="AX171">
            <v>86.803200000000018</v>
          </cell>
          <cell r="AY171">
            <v>0</v>
          </cell>
          <cell r="AZ171">
            <v>0</v>
          </cell>
          <cell r="BA171">
            <v>0</v>
          </cell>
          <cell r="BB171">
            <v>0</v>
          </cell>
          <cell r="BC171">
            <v>0</v>
          </cell>
          <cell r="BD171">
            <v>0</v>
          </cell>
          <cell r="BE171">
            <v>0</v>
          </cell>
          <cell r="BF171">
            <v>0</v>
          </cell>
        </row>
        <row r="172">
          <cell r="A172" t="str">
            <v>s32</v>
          </cell>
          <cell r="E172">
            <v>31</v>
          </cell>
          <cell r="F172" t="str">
            <v>S1A.5</v>
          </cell>
          <cell r="G172">
            <v>3.1</v>
          </cell>
          <cell r="H172">
            <v>2.29</v>
          </cell>
          <cell r="I172">
            <v>0.12</v>
          </cell>
          <cell r="J172">
            <v>2.0445119999999997</v>
          </cell>
          <cell r="K172">
            <v>111.67806169883083</v>
          </cell>
          <cell r="Q172">
            <v>1</v>
          </cell>
          <cell r="T172">
            <v>1</v>
          </cell>
          <cell r="U172">
            <v>0.85187999999999997</v>
          </cell>
          <cell r="V172">
            <v>0.85187999999999997</v>
          </cell>
          <cell r="AM172">
            <v>91.190707200000006</v>
          </cell>
          <cell r="AN172">
            <v>3.9456000000000007</v>
          </cell>
          <cell r="AO172">
            <v>0</v>
          </cell>
          <cell r="AP172">
            <v>0</v>
          </cell>
          <cell r="AQ172">
            <v>0</v>
          </cell>
          <cell r="AR172">
            <v>0</v>
          </cell>
          <cell r="AS172">
            <v>0</v>
          </cell>
          <cell r="AT172">
            <v>0</v>
          </cell>
          <cell r="AU172">
            <v>0</v>
          </cell>
          <cell r="AV172">
            <v>0</v>
          </cell>
          <cell r="AW172">
            <v>91.190707200000006</v>
          </cell>
          <cell r="AX172">
            <v>3.9456000000000007</v>
          </cell>
          <cell r="AY172">
            <v>0</v>
          </cell>
          <cell r="AZ172">
            <v>0</v>
          </cell>
          <cell r="BA172">
            <v>0</v>
          </cell>
          <cell r="BB172">
            <v>0</v>
          </cell>
          <cell r="BC172">
            <v>0</v>
          </cell>
          <cell r="BD172">
            <v>0</v>
          </cell>
          <cell r="BE172">
            <v>0</v>
          </cell>
          <cell r="BF172">
            <v>0</v>
          </cell>
        </row>
        <row r="173">
          <cell r="A173" t="str">
            <v>s33</v>
          </cell>
          <cell r="E173">
            <v>32</v>
          </cell>
          <cell r="F173" t="str">
            <v>S1B.5</v>
          </cell>
          <cell r="G173">
            <v>3.1</v>
          </cell>
          <cell r="H173">
            <v>2.29</v>
          </cell>
          <cell r="I173">
            <v>0.12</v>
          </cell>
          <cell r="J173">
            <v>2.0445119999999997</v>
          </cell>
          <cell r="K173">
            <v>111.67806169883083</v>
          </cell>
          <cell r="Q173">
            <v>1</v>
          </cell>
          <cell r="T173">
            <v>1</v>
          </cell>
          <cell r="U173">
            <v>0.85187999999999997</v>
          </cell>
          <cell r="V173">
            <v>0.85187999999999997</v>
          </cell>
          <cell r="AM173">
            <v>91.190707200000006</v>
          </cell>
          <cell r="AN173">
            <v>3.9456000000000007</v>
          </cell>
          <cell r="AO173">
            <v>0</v>
          </cell>
          <cell r="AP173">
            <v>0</v>
          </cell>
          <cell r="AQ173">
            <v>0</v>
          </cell>
          <cell r="AR173">
            <v>0</v>
          </cell>
          <cell r="AS173">
            <v>0</v>
          </cell>
          <cell r="AT173">
            <v>0</v>
          </cell>
          <cell r="AU173">
            <v>0</v>
          </cell>
          <cell r="AV173">
            <v>0</v>
          </cell>
          <cell r="AW173">
            <v>91.190707200000006</v>
          </cell>
          <cell r="AX173">
            <v>3.9456000000000007</v>
          </cell>
          <cell r="AY173">
            <v>0</v>
          </cell>
          <cell r="AZ173">
            <v>0</v>
          </cell>
          <cell r="BA173">
            <v>0</v>
          </cell>
          <cell r="BB173">
            <v>0</v>
          </cell>
          <cell r="BC173">
            <v>0</v>
          </cell>
          <cell r="BD173">
            <v>0</v>
          </cell>
          <cell r="BE173">
            <v>0</v>
          </cell>
          <cell r="BF173">
            <v>0</v>
          </cell>
        </row>
        <row r="174">
          <cell r="A174" t="str">
            <v>s34</v>
          </cell>
          <cell r="E174">
            <v>33</v>
          </cell>
          <cell r="F174" t="str">
            <v>S2.5</v>
          </cell>
          <cell r="G174">
            <v>3.1</v>
          </cell>
          <cell r="H174">
            <v>2.29</v>
          </cell>
          <cell r="I174">
            <v>0.12</v>
          </cell>
          <cell r="J174">
            <v>2.0445119999999997</v>
          </cell>
          <cell r="K174">
            <v>111.67806169883083</v>
          </cell>
          <cell r="Q174">
            <v>12</v>
          </cell>
          <cell r="T174">
            <v>12</v>
          </cell>
          <cell r="U174">
            <v>0.85187999999999997</v>
          </cell>
          <cell r="V174">
            <v>10.22256</v>
          </cell>
          <cell r="AM174">
            <v>91.190707200000006</v>
          </cell>
          <cell r="AN174">
            <v>3.9456000000000007</v>
          </cell>
          <cell r="AO174">
            <v>0</v>
          </cell>
          <cell r="AP174">
            <v>0</v>
          </cell>
          <cell r="AQ174">
            <v>0</v>
          </cell>
          <cell r="AR174">
            <v>0</v>
          </cell>
          <cell r="AS174">
            <v>0</v>
          </cell>
          <cell r="AT174">
            <v>0</v>
          </cell>
          <cell r="AU174">
            <v>0</v>
          </cell>
          <cell r="AV174">
            <v>0</v>
          </cell>
          <cell r="AW174">
            <v>1094.2884864</v>
          </cell>
          <cell r="AX174">
            <v>47.347200000000008</v>
          </cell>
          <cell r="AY174">
            <v>0</v>
          </cell>
          <cell r="AZ174">
            <v>0</v>
          </cell>
          <cell r="BA174">
            <v>0</v>
          </cell>
          <cell r="BB174">
            <v>0</v>
          </cell>
          <cell r="BC174">
            <v>0</v>
          </cell>
          <cell r="BD174">
            <v>0</v>
          </cell>
          <cell r="BE174">
            <v>0</v>
          </cell>
          <cell r="BF174">
            <v>0</v>
          </cell>
        </row>
        <row r="175">
          <cell r="A175" t="str">
            <v>s35</v>
          </cell>
          <cell r="E175">
            <v>34</v>
          </cell>
          <cell r="F175" t="str">
            <v>S3.5</v>
          </cell>
          <cell r="G175">
            <v>3.1</v>
          </cell>
          <cell r="H175">
            <v>1.5050000000000001</v>
          </cell>
          <cell r="I175">
            <v>0.09</v>
          </cell>
          <cell r="J175">
            <v>1.0077480000000001</v>
          </cell>
          <cell r="K175">
            <v>161.97919194084236</v>
          </cell>
          <cell r="Q175">
            <v>14</v>
          </cell>
          <cell r="T175">
            <v>14</v>
          </cell>
          <cell r="U175">
            <v>0.41989500000000002</v>
          </cell>
          <cell r="V175">
            <v>5.8785300000000005</v>
          </cell>
          <cell r="AM175">
            <v>64.06865280000001</v>
          </cell>
          <cell r="AN175">
            <v>3.9456000000000011</v>
          </cell>
          <cell r="AO175">
            <v>0</v>
          </cell>
          <cell r="AP175">
            <v>0</v>
          </cell>
          <cell r="AQ175">
            <v>0</v>
          </cell>
          <cell r="AR175">
            <v>0</v>
          </cell>
          <cell r="AS175">
            <v>0</v>
          </cell>
          <cell r="AT175">
            <v>0</v>
          </cell>
          <cell r="AU175">
            <v>0</v>
          </cell>
          <cell r="AV175">
            <v>0</v>
          </cell>
          <cell r="AW175">
            <v>896.96113920000005</v>
          </cell>
          <cell r="AX175">
            <v>55.238400000000013</v>
          </cell>
          <cell r="AY175">
            <v>0</v>
          </cell>
          <cell r="AZ175">
            <v>0</v>
          </cell>
          <cell r="BA175">
            <v>0</v>
          </cell>
          <cell r="BB175">
            <v>0</v>
          </cell>
          <cell r="BC175">
            <v>0</v>
          </cell>
          <cell r="BD175">
            <v>0</v>
          </cell>
          <cell r="BE175">
            <v>0</v>
          </cell>
          <cell r="BF175">
            <v>0</v>
          </cell>
        </row>
        <row r="176">
          <cell r="A176" t="str">
            <v>s36</v>
          </cell>
          <cell r="E176">
            <v>35</v>
          </cell>
          <cell r="F176" t="str">
            <v>S4.5</v>
          </cell>
          <cell r="G176">
            <v>4.4000000000000004</v>
          </cell>
          <cell r="H176">
            <v>1.5050000000000001</v>
          </cell>
          <cell r="I176">
            <v>0.09</v>
          </cell>
          <cell r="J176">
            <v>1.4303520000000001</v>
          </cell>
          <cell r="K176">
            <v>156.52508607671396</v>
          </cell>
          <cell r="Q176">
            <v>1</v>
          </cell>
          <cell r="T176">
            <v>1</v>
          </cell>
          <cell r="U176">
            <v>0.59598000000000007</v>
          </cell>
          <cell r="V176">
            <v>0.59598000000000007</v>
          </cell>
          <cell r="AM176">
            <v>89.340220799999997</v>
          </cell>
          <cell r="AN176">
            <v>3.9456000000000007</v>
          </cell>
          <cell r="AO176">
            <v>0</v>
          </cell>
          <cell r="AP176">
            <v>0</v>
          </cell>
          <cell r="AQ176">
            <v>0</v>
          </cell>
          <cell r="AR176">
            <v>0</v>
          </cell>
          <cell r="AS176">
            <v>0</v>
          </cell>
          <cell r="AT176">
            <v>0</v>
          </cell>
          <cell r="AU176">
            <v>0</v>
          </cell>
          <cell r="AV176">
            <v>0</v>
          </cell>
          <cell r="AW176">
            <v>89.340220799999997</v>
          </cell>
          <cell r="AX176">
            <v>3.9456000000000007</v>
          </cell>
          <cell r="AY176">
            <v>0</v>
          </cell>
          <cell r="AZ176">
            <v>0</v>
          </cell>
          <cell r="BA176">
            <v>0</v>
          </cell>
          <cell r="BB176">
            <v>0</v>
          </cell>
          <cell r="BC176">
            <v>0</v>
          </cell>
          <cell r="BD176">
            <v>0</v>
          </cell>
          <cell r="BE176">
            <v>0</v>
          </cell>
          <cell r="BF176">
            <v>0</v>
          </cell>
        </row>
        <row r="177">
          <cell r="A177" t="str">
            <v>s37</v>
          </cell>
          <cell r="E177">
            <v>36</v>
          </cell>
          <cell r="F177" t="str">
            <v>S5.5</v>
          </cell>
          <cell r="G177">
            <v>3</v>
          </cell>
          <cell r="H177">
            <v>2.9099999999999997</v>
          </cell>
          <cell r="I177">
            <v>0.12</v>
          </cell>
          <cell r="J177">
            <v>2.5142399999999996</v>
          </cell>
          <cell r="K177">
            <v>107.37786941580757</v>
          </cell>
          <cell r="Q177">
            <v>1</v>
          </cell>
          <cell r="T177">
            <v>1</v>
          </cell>
          <cell r="U177">
            <v>1.0475999999999999</v>
          </cell>
          <cell r="V177">
            <v>1.0475999999999999</v>
          </cell>
          <cell r="AM177">
            <v>108.54345599999999</v>
          </cell>
          <cell r="AN177">
            <v>3.9456000000000007</v>
          </cell>
          <cell r="AO177">
            <v>0</v>
          </cell>
          <cell r="AP177">
            <v>0</v>
          </cell>
          <cell r="AQ177">
            <v>0</v>
          </cell>
          <cell r="AR177">
            <v>0</v>
          </cell>
          <cell r="AS177">
            <v>0</v>
          </cell>
          <cell r="AT177">
            <v>0</v>
          </cell>
          <cell r="AU177">
            <v>0</v>
          </cell>
          <cell r="AV177">
            <v>0</v>
          </cell>
          <cell r="AW177">
            <v>108.54345599999999</v>
          </cell>
          <cell r="AX177">
            <v>3.9456000000000007</v>
          </cell>
          <cell r="AY177">
            <v>0</v>
          </cell>
          <cell r="AZ177">
            <v>0</v>
          </cell>
          <cell r="BA177">
            <v>0</v>
          </cell>
          <cell r="BB177">
            <v>0</v>
          </cell>
          <cell r="BC177">
            <v>0</v>
          </cell>
          <cell r="BD177">
            <v>0</v>
          </cell>
          <cell r="BE177">
            <v>0</v>
          </cell>
          <cell r="BF177">
            <v>0</v>
          </cell>
        </row>
        <row r="178">
          <cell r="A178" t="str">
            <v>s38</v>
          </cell>
          <cell r="E178">
            <v>37</v>
          </cell>
          <cell r="F178" t="str">
            <v>S6.5</v>
          </cell>
          <cell r="G178">
            <v>1.35</v>
          </cell>
          <cell r="H178">
            <v>1.05</v>
          </cell>
          <cell r="I178">
            <v>0.12</v>
          </cell>
          <cell r="J178">
            <v>0.40824000000000005</v>
          </cell>
          <cell r="K178">
            <v>148.73125925925922</v>
          </cell>
          <cell r="Q178">
            <v>1</v>
          </cell>
          <cell r="T178">
            <v>1</v>
          </cell>
          <cell r="U178">
            <v>0.17010000000000003</v>
          </cell>
          <cell r="V178">
            <v>0.17010000000000003</v>
          </cell>
          <cell r="AM178">
            <v>21.3535872</v>
          </cell>
          <cell r="AN178">
            <v>3.9456000000000007</v>
          </cell>
          <cell r="AO178">
            <v>0</v>
          </cell>
          <cell r="AP178">
            <v>0</v>
          </cell>
          <cell r="AQ178">
            <v>0</v>
          </cell>
          <cell r="AR178">
            <v>0</v>
          </cell>
          <cell r="AS178">
            <v>0</v>
          </cell>
          <cell r="AT178">
            <v>0</v>
          </cell>
          <cell r="AU178">
            <v>0</v>
          </cell>
          <cell r="AV178">
            <v>0</v>
          </cell>
          <cell r="AW178">
            <v>21.3535872</v>
          </cell>
          <cell r="AX178">
            <v>3.9456000000000007</v>
          </cell>
          <cell r="AY178">
            <v>0</v>
          </cell>
          <cell r="AZ178">
            <v>0</v>
          </cell>
          <cell r="BA178">
            <v>0</v>
          </cell>
          <cell r="BB178">
            <v>0</v>
          </cell>
          <cell r="BC178">
            <v>0</v>
          </cell>
          <cell r="BD178">
            <v>0</v>
          </cell>
          <cell r="BE178">
            <v>0</v>
          </cell>
          <cell r="BF178">
            <v>0</v>
          </cell>
        </row>
        <row r="179">
          <cell r="A179" t="str">
            <v>s39</v>
          </cell>
          <cell r="E179">
            <v>38</v>
          </cell>
          <cell r="F179" t="str">
            <v>S7.5</v>
          </cell>
          <cell r="G179">
            <v>4.4000000000000004</v>
          </cell>
          <cell r="H179">
            <v>1.9000000000000001</v>
          </cell>
          <cell r="I179">
            <v>0.12</v>
          </cell>
          <cell r="J179">
            <v>2.40768</v>
          </cell>
          <cell r="K179">
            <v>110.04574162679425</v>
          </cell>
          <cell r="Q179">
            <v>2</v>
          </cell>
          <cell r="T179">
            <v>2</v>
          </cell>
          <cell r="U179">
            <v>1.0032000000000001</v>
          </cell>
          <cell r="V179">
            <v>2.0064000000000002</v>
          </cell>
          <cell r="AM179">
            <v>106.45228800000001</v>
          </cell>
          <cell r="AN179">
            <v>3.9456000000000007</v>
          </cell>
          <cell r="AO179">
            <v>0</v>
          </cell>
          <cell r="AP179">
            <v>0</v>
          </cell>
          <cell r="AQ179">
            <v>0</v>
          </cell>
          <cell r="AR179">
            <v>0</v>
          </cell>
          <cell r="AS179">
            <v>0</v>
          </cell>
          <cell r="AT179">
            <v>0</v>
          </cell>
          <cell r="AU179">
            <v>0</v>
          </cell>
          <cell r="AV179">
            <v>0</v>
          </cell>
          <cell r="AW179">
            <v>212.90457600000002</v>
          </cell>
          <cell r="AX179">
            <v>7.8912000000000013</v>
          </cell>
          <cell r="AY179">
            <v>0</v>
          </cell>
          <cell r="AZ179">
            <v>0</v>
          </cell>
          <cell r="BA179">
            <v>0</v>
          </cell>
          <cell r="BB179">
            <v>0</v>
          </cell>
          <cell r="BC179">
            <v>0</v>
          </cell>
          <cell r="BD179">
            <v>0</v>
          </cell>
          <cell r="BE179">
            <v>0</v>
          </cell>
          <cell r="BF179">
            <v>0</v>
          </cell>
        </row>
        <row r="180">
          <cell r="A180" t="str">
            <v>s40</v>
          </cell>
          <cell r="E180">
            <v>39</v>
          </cell>
          <cell r="F180" t="str">
            <v>S8.5</v>
          </cell>
          <cell r="G180">
            <v>1.03</v>
          </cell>
          <cell r="H180">
            <v>0.64500000000000002</v>
          </cell>
          <cell r="I180">
            <v>0.12</v>
          </cell>
          <cell r="J180">
            <v>0.1913328</v>
          </cell>
          <cell r="K180">
            <v>206.08462406863853</v>
          </cell>
          <cell r="Q180">
            <v>12</v>
          </cell>
          <cell r="T180">
            <v>12</v>
          </cell>
          <cell r="U180">
            <v>7.9722000000000001E-2</v>
          </cell>
          <cell r="V180">
            <v>0.95666399999999996</v>
          </cell>
          <cell r="AM180">
            <v>12.4838784</v>
          </cell>
          <cell r="AN180">
            <v>3.9456000000000007</v>
          </cell>
          <cell r="AO180">
            <v>0</v>
          </cell>
          <cell r="AP180">
            <v>0</v>
          </cell>
          <cell r="AQ180">
            <v>0</v>
          </cell>
          <cell r="AR180">
            <v>0</v>
          </cell>
          <cell r="AS180">
            <v>0</v>
          </cell>
          <cell r="AT180">
            <v>0</v>
          </cell>
          <cell r="AU180">
            <v>0</v>
          </cell>
          <cell r="AV180">
            <v>0</v>
          </cell>
          <cell r="AW180">
            <v>149.80654079999999</v>
          </cell>
          <cell r="AX180">
            <v>47.347200000000008</v>
          </cell>
          <cell r="AY180">
            <v>0</v>
          </cell>
          <cell r="AZ180">
            <v>0</v>
          </cell>
          <cell r="BA180">
            <v>0</v>
          </cell>
          <cell r="BB180">
            <v>0</v>
          </cell>
          <cell r="BC180">
            <v>0</v>
          </cell>
          <cell r="BD180">
            <v>0</v>
          </cell>
          <cell r="BE180">
            <v>0</v>
          </cell>
          <cell r="BF180">
            <v>0</v>
          </cell>
        </row>
        <row r="181">
          <cell r="A181" t="str">
            <v>s41</v>
          </cell>
          <cell r="E181">
            <v>40</v>
          </cell>
          <cell r="F181" t="str">
            <v>S9.6</v>
          </cell>
          <cell r="G181">
            <v>4.4000000000000004</v>
          </cell>
          <cell r="H181">
            <v>1.7625000000000002</v>
          </cell>
          <cell r="I181">
            <v>0.15</v>
          </cell>
          <cell r="J181">
            <v>2.7918000000000003</v>
          </cell>
          <cell r="K181">
            <v>88.811190715667308</v>
          </cell>
          <cell r="R181">
            <v>1</v>
          </cell>
          <cell r="T181">
            <v>1</v>
          </cell>
          <cell r="U181">
            <v>1.1632500000000001</v>
          </cell>
          <cell r="V181">
            <v>1.1632500000000001</v>
          </cell>
          <cell r="AM181">
            <v>99.364017600000011</v>
          </cell>
          <cell r="AN181">
            <v>3.9456000000000007</v>
          </cell>
          <cell r="AO181">
            <v>0</v>
          </cell>
          <cell r="AP181">
            <v>0</v>
          </cell>
          <cell r="AQ181">
            <v>0</v>
          </cell>
          <cell r="AR181">
            <v>0</v>
          </cell>
          <cell r="AS181">
            <v>0</v>
          </cell>
          <cell r="AT181">
            <v>0</v>
          </cell>
          <cell r="AU181">
            <v>0</v>
          </cell>
          <cell r="AV181">
            <v>0</v>
          </cell>
          <cell r="AW181">
            <v>99.364017600000011</v>
          </cell>
          <cell r="AX181">
            <v>3.9456000000000007</v>
          </cell>
          <cell r="AY181">
            <v>0</v>
          </cell>
          <cell r="AZ181">
            <v>0</v>
          </cell>
          <cell r="BA181">
            <v>0</v>
          </cell>
          <cell r="BB181">
            <v>0</v>
          </cell>
          <cell r="BC181">
            <v>0</v>
          </cell>
          <cell r="BD181">
            <v>0</v>
          </cell>
          <cell r="BE181">
            <v>0</v>
          </cell>
          <cell r="BF181">
            <v>0</v>
          </cell>
        </row>
        <row r="182">
          <cell r="A182" t="str">
            <v>s42</v>
          </cell>
          <cell r="E182">
            <v>41</v>
          </cell>
          <cell r="F182" t="str">
            <v>S10.6</v>
          </cell>
          <cell r="G182">
            <v>4.4000000000000004</v>
          </cell>
          <cell r="H182">
            <v>1.5175000000000001</v>
          </cell>
          <cell r="I182">
            <v>0.15</v>
          </cell>
          <cell r="J182">
            <v>2.4037199999999999</v>
          </cell>
          <cell r="K182">
            <v>93.446762318406456</v>
          </cell>
          <cell r="R182">
            <v>2</v>
          </cell>
          <cell r="T182">
            <v>2</v>
          </cell>
          <cell r="U182">
            <v>1.0015499999999999</v>
          </cell>
          <cell r="V182">
            <v>2.0030999999999999</v>
          </cell>
          <cell r="AM182">
            <v>89.646004799999986</v>
          </cell>
          <cell r="AN182">
            <v>3.9456000000000007</v>
          </cell>
          <cell r="AO182">
            <v>0</v>
          </cell>
          <cell r="AP182">
            <v>0</v>
          </cell>
          <cell r="AQ182">
            <v>0</v>
          </cell>
          <cell r="AR182">
            <v>0</v>
          </cell>
          <cell r="AS182">
            <v>0</v>
          </cell>
          <cell r="AT182">
            <v>0</v>
          </cell>
          <cell r="AU182">
            <v>0</v>
          </cell>
          <cell r="AV182">
            <v>0</v>
          </cell>
          <cell r="AW182">
            <v>179.29200959999997</v>
          </cell>
          <cell r="AX182">
            <v>7.8912000000000013</v>
          </cell>
          <cell r="AY182">
            <v>0</v>
          </cell>
          <cell r="AZ182">
            <v>0</v>
          </cell>
          <cell r="BA182">
            <v>0</v>
          </cell>
          <cell r="BB182">
            <v>0</v>
          </cell>
          <cell r="BC182">
            <v>0</v>
          </cell>
          <cell r="BD182">
            <v>0</v>
          </cell>
          <cell r="BE182">
            <v>0</v>
          </cell>
          <cell r="BF182">
            <v>0</v>
          </cell>
        </row>
        <row r="183">
          <cell r="A183" t="str">
            <v>s43</v>
          </cell>
          <cell r="E183">
            <v>42</v>
          </cell>
          <cell r="F183" t="str">
            <v>S11.6</v>
          </cell>
          <cell r="G183">
            <v>4.4000000000000004</v>
          </cell>
          <cell r="H183">
            <v>1.5175000000000001</v>
          </cell>
          <cell r="I183">
            <v>0.15</v>
          </cell>
          <cell r="J183">
            <v>2.4037199999999999</v>
          </cell>
          <cell r="K183">
            <v>93.446762318406456</v>
          </cell>
          <cell r="R183">
            <v>1</v>
          </cell>
          <cell r="T183">
            <v>1</v>
          </cell>
          <cell r="U183">
            <v>1.0015499999999999</v>
          </cell>
          <cell r="V183">
            <v>1.0015499999999999</v>
          </cell>
          <cell r="AM183">
            <v>89.646004799999986</v>
          </cell>
          <cell r="AN183">
            <v>3.9456000000000007</v>
          </cell>
          <cell r="AO183">
            <v>0</v>
          </cell>
          <cell r="AP183">
            <v>0</v>
          </cell>
          <cell r="AQ183">
            <v>0</v>
          </cell>
          <cell r="AR183">
            <v>0</v>
          </cell>
          <cell r="AS183">
            <v>0</v>
          </cell>
          <cell r="AT183">
            <v>0</v>
          </cell>
          <cell r="AU183">
            <v>0</v>
          </cell>
          <cell r="AV183">
            <v>0</v>
          </cell>
          <cell r="AW183">
            <v>89.646004799999986</v>
          </cell>
          <cell r="AX183">
            <v>3.9456000000000007</v>
          </cell>
          <cell r="AY183">
            <v>0</v>
          </cell>
          <cell r="AZ183">
            <v>0</v>
          </cell>
          <cell r="BA183">
            <v>0</v>
          </cell>
          <cell r="BB183">
            <v>0</v>
          </cell>
          <cell r="BC183">
            <v>0</v>
          </cell>
          <cell r="BD183">
            <v>0</v>
          </cell>
          <cell r="BE183">
            <v>0</v>
          </cell>
          <cell r="BF183">
            <v>0</v>
          </cell>
        </row>
        <row r="184">
          <cell r="A184" t="str">
            <v>s44</v>
          </cell>
          <cell r="E184">
            <v>43</v>
          </cell>
          <cell r="F184" t="str">
            <v>S12.7</v>
          </cell>
          <cell r="G184">
            <v>4.4000000000000004</v>
          </cell>
          <cell r="H184">
            <v>1.7450000000000001</v>
          </cell>
          <cell r="I184">
            <v>0.12</v>
          </cell>
          <cell r="J184">
            <v>2.2112639999999999</v>
          </cell>
          <cell r="K184">
            <v>111.66267257098202</v>
          </cell>
          <cell r="S184">
            <v>2</v>
          </cell>
          <cell r="T184">
            <v>2</v>
          </cell>
          <cell r="U184">
            <v>0.92136000000000007</v>
          </cell>
          <cell r="V184">
            <v>1.8427200000000001</v>
          </cell>
          <cell r="AM184">
            <v>98.93592000000001</v>
          </cell>
          <cell r="AN184">
            <v>3.9456000000000007</v>
          </cell>
          <cell r="AO184">
            <v>0</v>
          </cell>
          <cell r="AP184">
            <v>0</v>
          </cell>
          <cell r="AQ184">
            <v>0</v>
          </cell>
          <cell r="AR184">
            <v>0</v>
          </cell>
          <cell r="AS184">
            <v>0</v>
          </cell>
          <cell r="AT184">
            <v>0</v>
          </cell>
          <cell r="AU184">
            <v>0</v>
          </cell>
          <cell r="AV184">
            <v>0</v>
          </cell>
          <cell r="AW184">
            <v>197.87184000000002</v>
          </cell>
          <cell r="AX184">
            <v>7.8912000000000013</v>
          </cell>
          <cell r="AY184">
            <v>0</v>
          </cell>
          <cell r="AZ184">
            <v>0</v>
          </cell>
          <cell r="BA184">
            <v>0</v>
          </cell>
          <cell r="BB184">
            <v>0</v>
          </cell>
          <cell r="BC184">
            <v>0</v>
          </cell>
          <cell r="BD184">
            <v>0</v>
          </cell>
          <cell r="BE184">
            <v>0</v>
          </cell>
          <cell r="BF184">
            <v>0</v>
          </cell>
        </row>
        <row r="185">
          <cell r="A185" t="str">
            <v>s45</v>
          </cell>
          <cell r="E185">
            <v>44</v>
          </cell>
          <cell r="F185" t="str">
            <v>S13.7</v>
          </cell>
          <cell r="G185">
            <v>4.4000000000000004</v>
          </cell>
          <cell r="H185">
            <v>1.7450000000000001</v>
          </cell>
          <cell r="I185">
            <v>0.12</v>
          </cell>
          <cell r="J185">
            <v>2.2112639999999999</v>
          </cell>
          <cell r="K185">
            <v>111.66267257098202</v>
          </cell>
          <cell r="S185">
            <v>2</v>
          </cell>
          <cell r="T185">
            <v>2</v>
          </cell>
          <cell r="U185">
            <v>0.92136000000000007</v>
          </cell>
          <cell r="V185">
            <v>1.8427200000000001</v>
          </cell>
          <cell r="AM185">
            <v>98.93592000000001</v>
          </cell>
          <cell r="AN185">
            <v>3.9456000000000007</v>
          </cell>
          <cell r="AO185">
            <v>0</v>
          </cell>
          <cell r="AP185">
            <v>0</v>
          </cell>
          <cell r="AQ185">
            <v>0</v>
          </cell>
          <cell r="AR185">
            <v>0</v>
          </cell>
          <cell r="AS185">
            <v>0</v>
          </cell>
          <cell r="AT185">
            <v>0</v>
          </cell>
          <cell r="AU185">
            <v>0</v>
          </cell>
          <cell r="AV185">
            <v>0</v>
          </cell>
          <cell r="AW185">
            <v>197.87184000000002</v>
          </cell>
          <cell r="AX185">
            <v>7.8912000000000013</v>
          </cell>
          <cell r="AY185">
            <v>0</v>
          </cell>
          <cell r="AZ185">
            <v>0</v>
          </cell>
          <cell r="BA185">
            <v>0</v>
          </cell>
          <cell r="BB185">
            <v>0</v>
          </cell>
          <cell r="BC185">
            <v>0</v>
          </cell>
          <cell r="BD185">
            <v>0</v>
          </cell>
          <cell r="BE185">
            <v>0</v>
          </cell>
          <cell r="BF185">
            <v>0</v>
          </cell>
        </row>
        <row r="186">
          <cell r="L186">
            <v>0</v>
          </cell>
          <cell r="M186">
            <v>0</v>
          </cell>
          <cell r="N186">
            <v>67</v>
          </cell>
          <cell r="O186">
            <v>67</v>
          </cell>
          <cell r="P186">
            <v>67</v>
          </cell>
          <cell r="Q186">
            <v>67</v>
          </cell>
          <cell r="R186">
            <v>4</v>
          </cell>
          <cell r="S186">
            <v>4</v>
          </cell>
          <cell r="T186">
            <v>276</v>
          </cell>
          <cell r="V186">
            <v>173.14515599999999</v>
          </cell>
          <cell r="X186">
            <v>0</v>
          </cell>
          <cell r="Z186">
            <v>0</v>
          </cell>
          <cell r="AB186">
            <v>0</v>
          </cell>
          <cell r="AD186">
            <v>0</v>
          </cell>
          <cell r="AF186">
            <v>0</v>
          </cell>
          <cell r="AH186">
            <v>0</v>
          </cell>
          <cell r="AJ186">
            <v>0</v>
          </cell>
          <cell r="AL186">
            <v>0</v>
          </cell>
          <cell r="AW186">
            <v>19264.001385600008</v>
          </cell>
          <cell r="AX186">
            <v>1088.9856000000007</v>
          </cell>
          <cell r="AY186">
            <v>0</v>
          </cell>
          <cell r="AZ186">
            <v>0</v>
          </cell>
          <cell r="BA186">
            <v>0</v>
          </cell>
          <cell r="BB186">
            <v>0</v>
          </cell>
          <cell r="BC186">
            <v>0</v>
          </cell>
          <cell r="BD186">
            <v>0</v>
          </cell>
          <cell r="BE186">
            <v>0</v>
          </cell>
          <cell r="BF186">
            <v>0</v>
          </cell>
        </row>
        <row r="188">
          <cell r="A188" t="str">
            <v>ts1</v>
          </cell>
          <cell r="C188">
            <v>7</v>
          </cell>
          <cell r="D188" t="str">
            <v>Tangga</v>
          </cell>
          <cell r="E188">
            <v>1</v>
          </cell>
          <cell r="F188" t="str">
            <v>TS.D</v>
          </cell>
          <cell r="G188">
            <v>5.25</v>
          </cell>
          <cell r="H188">
            <v>1.5</v>
          </cell>
          <cell r="I188">
            <v>2.1</v>
          </cell>
          <cell r="J188">
            <v>4.5151199999999996</v>
          </cell>
          <cell r="K188">
            <v>180.49880119576355</v>
          </cell>
          <cell r="L188">
            <v>2</v>
          </cell>
          <cell r="T188">
            <v>2</v>
          </cell>
          <cell r="U188">
            <v>1.8813</v>
          </cell>
          <cell r="V188">
            <v>3.7625999999999999</v>
          </cell>
          <cell r="AM188">
            <v>18.402870172599929</v>
          </cell>
          <cell r="AN188">
            <v>53.493643918688072</v>
          </cell>
          <cell r="AO188">
            <v>227.0999610629415</v>
          </cell>
          <cell r="AP188">
            <v>40.575919535360434</v>
          </cell>
          <cell r="AQ188">
            <v>0</v>
          </cell>
          <cell r="AR188">
            <v>0</v>
          </cell>
          <cell r="AS188">
            <v>0</v>
          </cell>
          <cell r="AT188">
            <v>0</v>
          </cell>
          <cell r="AU188">
            <v>0</v>
          </cell>
          <cell r="AV188">
            <v>0</v>
          </cell>
          <cell r="AW188">
            <v>36.805740345199858</v>
          </cell>
          <cell r="AX188">
            <v>106.98728783737614</v>
          </cell>
          <cell r="AY188">
            <v>454.19992212588301</v>
          </cell>
          <cell r="AZ188">
            <v>81.151839070720868</v>
          </cell>
          <cell r="BA188">
            <v>0</v>
          </cell>
          <cell r="BB188">
            <v>0</v>
          </cell>
          <cell r="BC188">
            <v>0</v>
          </cell>
          <cell r="BD188">
            <v>0</v>
          </cell>
          <cell r="BE188">
            <v>0</v>
          </cell>
          <cell r="BF188">
            <v>0</v>
          </cell>
        </row>
        <row r="189">
          <cell r="A189" t="str">
            <v>ts2</v>
          </cell>
          <cell r="E189">
            <v>2</v>
          </cell>
          <cell r="F189" t="str">
            <v>TS.2</v>
          </cell>
          <cell r="G189">
            <v>5.25</v>
          </cell>
          <cell r="H189">
            <v>1.5</v>
          </cell>
          <cell r="I189">
            <v>1.5</v>
          </cell>
          <cell r="J189">
            <v>4.21488</v>
          </cell>
          <cell r="K189">
            <v>180.49880119576355</v>
          </cell>
          <cell r="N189">
            <v>4</v>
          </cell>
          <cell r="T189">
            <v>4</v>
          </cell>
          <cell r="U189">
            <v>1.7562000000000002</v>
          </cell>
          <cell r="V189">
            <v>7.0248000000000008</v>
          </cell>
          <cell r="AM189">
            <v>17.1791424</v>
          </cell>
          <cell r="AN189">
            <v>49.936500000000002</v>
          </cell>
          <cell r="AO189">
            <v>211.99859225999995</v>
          </cell>
          <cell r="AP189">
            <v>37.877760000000002</v>
          </cell>
          <cell r="AQ189">
            <v>0</v>
          </cell>
          <cell r="AR189">
            <v>0</v>
          </cell>
          <cell r="AS189">
            <v>0</v>
          </cell>
          <cell r="AT189">
            <v>0</v>
          </cell>
          <cell r="AU189">
            <v>0</v>
          </cell>
          <cell r="AV189">
            <v>0</v>
          </cell>
          <cell r="AW189">
            <v>68.7165696</v>
          </cell>
          <cell r="AX189">
            <v>199.74600000000001</v>
          </cell>
          <cell r="AY189">
            <v>847.99436903999981</v>
          </cell>
          <cell r="AZ189">
            <v>151.51104000000001</v>
          </cell>
          <cell r="BA189">
            <v>0</v>
          </cell>
          <cell r="BB189">
            <v>0</v>
          </cell>
          <cell r="BC189">
            <v>0</v>
          </cell>
          <cell r="BD189">
            <v>0</v>
          </cell>
          <cell r="BE189">
            <v>0</v>
          </cell>
          <cell r="BF189">
            <v>0</v>
          </cell>
        </row>
        <row r="190">
          <cell r="A190" t="str">
            <v>ts3</v>
          </cell>
          <cell r="E190">
            <v>3</v>
          </cell>
          <cell r="F190" t="str">
            <v>TS.3</v>
          </cell>
          <cell r="G190">
            <v>5.25</v>
          </cell>
          <cell r="H190">
            <v>1.5</v>
          </cell>
          <cell r="I190">
            <v>1.5</v>
          </cell>
          <cell r="J190">
            <v>4.21488</v>
          </cell>
          <cell r="K190">
            <v>180.49880119576355</v>
          </cell>
          <cell r="O190">
            <v>4</v>
          </cell>
          <cell r="T190">
            <v>4</v>
          </cell>
          <cell r="U190">
            <v>1.7562000000000002</v>
          </cell>
          <cell r="V190">
            <v>7.0248000000000008</v>
          </cell>
          <cell r="AM190">
            <v>17.1791424</v>
          </cell>
          <cell r="AN190">
            <v>49.936500000000002</v>
          </cell>
          <cell r="AO190">
            <v>211.99859225999995</v>
          </cell>
          <cell r="AP190">
            <v>37.877760000000002</v>
          </cell>
          <cell r="AQ190">
            <v>0</v>
          </cell>
          <cell r="AR190">
            <v>0</v>
          </cell>
          <cell r="AS190">
            <v>0</v>
          </cell>
          <cell r="AT190">
            <v>0</v>
          </cell>
          <cell r="AU190">
            <v>0</v>
          </cell>
          <cell r="AV190">
            <v>0</v>
          </cell>
          <cell r="AW190">
            <v>68.7165696</v>
          </cell>
          <cell r="AX190">
            <v>199.74600000000001</v>
          </cell>
          <cell r="AY190">
            <v>847.99436903999981</v>
          </cell>
          <cell r="AZ190">
            <v>151.51104000000001</v>
          </cell>
          <cell r="BA190">
            <v>0</v>
          </cell>
          <cell r="BB190">
            <v>0</v>
          </cell>
          <cell r="BC190">
            <v>0</v>
          </cell>
          <cell r="BD190">
            <v>0</v>
          </cell>
          <cell r="BE190">
            <v>0</v>
          </cell>
          <cell r="BF190">
            <v>0</v>
          </cell>
        </row>
        <row r="191">
          <cell r="A191" t="str">
            <v>ts4</v>
          </cell>
          <cell r="E191">
            <v>4</v>
          </cell>
          <cell r="F191" t="str">
            <v>TS.4</v>
          </cell>
          <cell r="G191">
            <v>5.25</v>
          </cell>
          <cell r="H191">
            <v>1.5</v>
          </cell>
          <cell r="I191">
            <v>1.5</v>
          </cell>
          <cell r="J191">
            <v>4.21488</v>
          </cell>
          <cell r="K191">
            <v>180.49880119576355</v>
          </cell>
          <cell r="P191">
            <v>4</v>
          </cell>
          <cell r="T191">
            <v>4</v>
          </cell>
          <cell r="U191">
            <v>1.7562000000000002</v>
          </cell>
          <cell r="V191">
            <v>7.0248000000000008</v>
          </cell>
          <cell r="AM191">
            <v>17.1791424</v>
          </cell>
          <cell r="AN191">
            <v>49.936500000000002</v>
          </cell>
          <cell r="AO191">
            <v>211.99859225999995</v>
          </cell>
          <cell r="AP191">
            <v>37.877760000000002</v>
          </cell>
          <cell r="AQ191">
            <v>0</v>
          </cell>
          <cell r="AR191">
            <v>0</v>
          </cell>
          <cell r="AS191">
            <v>0</v>
          </cell>
          <cell r="AT191">
            <v>0</v>
          </cell>
          <cell r="AU191">
            <v>0</v>
          </cell>
          <cell r="AV191">
            <v>0</v>
          </cell>
          <cell r="AW191">
            <v>68.7165696</v>
          </cell>
          <cell r="AX191">
            <v>199.74600000000001</v>
          </cell>
          <cell r="AY191">
            <v>847.99436903999981</v>
          </cell>
          <cell r="AZ191">
            <v>151.51104000000001</v>
          </cell>
          <cell r="BA191">
            <v>0</v>
          </cell>
          <cell r="BB191">
            <v>0</v>
          </cell>
          <cell r="BC191">
            <v>0</v>
          </cell>
          <cell r="BD191">
            <v>0</v>
          </cell>
          <cell r="BE191">
            <v>0</v>
          </cell>
          <cell r="BF191">
            <v>0</v>
          </cell>
        </row>
        <row r="192">
          <cell r="A192" t="str">
            <v>ts5</v>
          </cell>
          <cell r="E192">
            <v>5</v>
          </cell>
          <cell r="F192" t="str">
            <v>TS.5</v>
          </cell>
          <cell r="G192">
            <v>5.25</v>
          </cell>
          <cell r="H192">
            <v>1.5</v>
          </cell>
          <cell r="I192">
            <v>1.5</v>
          </cell>
          <cell r="J192">
            <v>4.21488</v>
          </cell>
          <cell r="K192">
            <v>180.49880119576355</v>
          </cell>
          <cell r="Q192">
            <v>2</v>
          </cell>
          <cell r="T192">
            <v>2</v>
          </cell>
          <cell r="U192">
            <v>1.7562000000000002</v>
          </cell>
          <cell r="V192">
            <v>3.5124000000000004</v>
          </cell>
          <cell r="AM192">
            <v>17.1791424</v>
          </cell>
          <cell r="AN192">
            <v>49.936500000000002</v>
          </cell>
          <cell r="AO192">
            <v>211.99859225999995</v>
          </cell>
          <cell r="AP192">
            <v>37.877760000000002</v>
          </cell>
          <cell r="AQ192">
            <v>0</v>
          </cell>
          <cell r="AR192">
            <v>0</v>
          </cell>
          <cell r="AS192">
            <v>0</v>
          </cell>
          <cell r="AT192">
            <v>0</v>
          </cell>
          <cell r="AU192">
            <v>0</v>
          </cell>
          <cell r="AV192">
            <v>0</v>
          </cell>
          <cell r="AW192">
            <v>34.3582848</v>
          </cell>
          <cell r="AX192">
            <v>99.873000000000005</v>
          </cell>
          <cell r="AY192">
            <v>423.99718451999991</v>
          </cell>
          <cell r="AZ192">
            <v>75.755520000000004</v>
          </cell>
          <cell r="BA192">
            <v>0</v>
          </cell>
          <cell r="BB192">
            <v>0</v>
          </cell>
          <cell r="BC192">
            <v>0</v>
          </cell>
          <cell r="BD192">
            <v>0</v>
          </cell>
          <cell r="BE192">
            <v>0</v>
          </cell>
          <cell r="BF192">
            <v>0</v>
          </cell>
        </row>
        <row r="193">
          <cell r="L193">
            <v>2</v>
          </cell>
          <cell r="M193">
            <v>0</v>
          </cell>
          <cell r="N193">
            <v>4</v>
          </cell>
          <cell r="O193">
            <v>4</v>
          </cell>
          <cell r="P193">
            <v>4</v>
          </cell>
          <cell r="Q193">
            <v>2</v>
          </cell>
          <cell r="R193">
            <v>0</v>
          </cell>
          <cell r="S193">
            <v>0</v>
          </cell>
          <cell r="T193">
            <v>16</v>
          </cell>
          <cell r="V193">
            <v>28.349400000000003</v>
          </cell>
          <cell r="AW193">
            <v>277.31373394519983</v>
          </cell>
          <cell r="AX193">
            <v>806.09828783737623</v>
          </cell>
          <cell r="AY193">
            <v>3422.1802137658824</v>
          </cell>
          <cell r="AZ193">
            <v>611.44047907072093</v>
          </cell>
          <cell r="BA193">
            <v>0</v>
          </cell>
          <cell r="BB193">
            <v>0</v>
          </cell>
          <cell r="BC193">
            <v>0</v>
          </cell>
          <cell r="BD193">
            <v>0</v>
          </cell>
          <cell r="BE193">
            <v>0</v>
          </cell>
          <cell r="BF193">
            <v>0</v>
          </cell>
        </row>
        <row r="195">
          <cell r="K195" t="str">
            <v>TOTAL =</v>
          </cell>
          <cell r="L195">
            <v>123</v>
          </cell>
          <cell r="M195">
            <v>0</v>
          </cell>
          <cell r="N195">
            <v>177</v>
          </cell>
          <cell r="O195">
            <v>177</v>
          </cell>
          <cell r="P195">
            <v>177</v>
          </cell>
          <cell r="Q195">
            <v>175</v>
          </cell>
          <cell r="R195">
            <v>97</v>
          </cell>
          <cell r="S195">
            <v>8</v>
          </cell>
          <cell r="T195">
            <v>934</v>
          </cell>
          <cell r="V195">
            <v>420.09849100000002</v>
          </cell>
          <cell r="X195">
            <v>0.59173920000000002</v>
          </cell>
          <cell r="Z195">
            <v>9.4537680000000019</v>
          </cell>
          <cell r="AB195">
            <v>9.4537680000000019</v>
          </cell>
          <cell r="AD195">
            <v>1085.7600000000004</v>
          </cell>
          <cell r="AF195">
            <v>1357.2000000000003</v>
          </cell>
          <cell r="AH195">
            <v>989.56000000000051</v>
          </cell>
          <cell r="AJ195">
            <v>561.11999999999989</v>
          </cell>
          <cell r="AL195">
            <v>710.5200000000001</v>
          </cell>
          <cell r="AW195">
            <v>19541.315119545208</v>
          </cell>
          <cell r="AX195">
            <v>14206.138842837372</v>
          </cell>
          <cell r="AY195">
            <v>4034.2876512658822</v>
          </cell>
          <cell r="AZ195">
            <v>8035.0774096307214</v>
          </cell>
          <cell r="BA195">
            <v>14179.866916139999</v>
          </cell>
          <cell r="BB195">
            <v>7485.6394205999986</v>
          </cell>
          <cell r="BC195">
            <v>0</v>
          </cell>
          <cell r="BD195">
            <v>0</v>
          </cell>
          <cell r="BE195">
            <v>0</v>
          </cell>
          <cell r="BF195">
            <v>0</v>
          </cell>
          <cell r="BG195">
            <v>67482.325360019182</v>
          </cell>
        </row>
        <row r="196">
          <cell r="X196">
            <v>42</v>
          </cell>
          <cell r="Y196" t="str">
            <v>Zak</v>
          </cell>
          <cell r="Z196">
            <v>166</v>
          </cell>
          <cell r="AA196" t="str">
            <v>Zak</v>
          </cell>
          <cell r="AB196">
            <v>14</v>
          </cell>
          <cell r="AC196" t="str">
            <v>m3</v>
          </cell>
        </row>
      </sheetData>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CH"/>
      <sheetName val="Minat"/>
      <sheetName val="perbandingan"/>
      <sheetName val="SRT"/>
      <sheetName val="Rek"/>
      <sheetName val="BQ"/>
      <sheetName val="Ana.Maj"/>
      <sheetName val="Sheet1"/>
      <sheetName val="Sheet2"/>
      <sheetName val="Meth"/>
      <sheetName val="hsd"/>
      <sheetName val="Ana.+aspal"/>
      <sheetName val="Lamp.Meth"/>
      <sheetName val="Ana.Non "/>
      <sheetName val="Meth.Non"/>
      <sheetName val="MOS"/>
      <sheetName val="AN-E"/>
      <sheetName val="ALAT"/>
      <sheetName val="PENG."/>
      <sheetName val="PENG.2"/>
      <sheetName val="PENG.3"/>
      <sheetName val="Major"/>
      <sheetName val="CHECK"/>
      <sheetName val="GEL"/>
      <sheetName val="STAF"/>
      <sheetName val="ORG2"/>
      <sheetName val="CUR"/>
      <sheetName val="KOP"/>
      <sheetName val="IND"/>
      <sheetName val="Rekap-Bdg"/>
      <sheetName val="#REF"/>
      <sheetName val="DAFTAR  BESI IWF"/>
      <sheetName val="Harsat Upah"/>
      <sheetName val="DAFTAR BESI KANAL C SIKU"/>
      <sheetName val="Material"/>
      <sheetName val="Elektrikal"/>
      <sheetName val="RAB"/>
      <sheetName val="L-Mechanical"/>
      <sheetName val="Pipe"/>
      <sheetName val="Analisa Harga Satuan"/>
      <sheetName val="5-ALAT(1)"/>
      <sheetName val="BAHAN 2017"/>
      <sheetName val="AN STR"/>
      <sheetName val="AN MEP"/>
      <sheetName val="AN BONGKARAN"/>
      <sheetName val="AN_E"/>
      <sheetName val="meth hsl nego"/>
      <sheetName val="Rekap Biaya"/>
      <sheetName val="UPAH"/>
      <sheetName val="Ind.MP Sch."/>
      <sheetName val="RAB 2007"/>
      <sheetName val="Cover Daf-2"/>
      <sheetName val="NP (2)"/>
      <sheetName val="CEMPAKA"/>
      <sheetName val="marka"/>
      <sheetName val="DAFTAR HARGA"/>
      <sheetName val="MT_an"/>
      <sheetName val="pvc"/>
      <sheetName val="Agregat Halus &amp; Kasar"/>
      <sheetName val="STR"/>
      <sheetName val="Perm. Test"/>
      <sheetName val="DK&amp;H"/>
      <sheetName val="Sales"/>
      <sheetName val="Cover"/>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l-Alt"/>
      <sheetName val="D"/>
      <sheetName val="C"/>
      <sheetName val="SAT-DAS"/>
      <sheetName val="Ls-Mob"/>
      <sheetName val="Ur-Anl"/>
      <sheetName val="ANL"/>
      <sheetName val="BQ"/>
      <sheetName val="REKAP"/>
      <sheetName val="SCH"/>
      <sheetName val="ONSITE"/>
      <sheetName val="PLANT"/>
      <sheetName val="LAMP"/>
      <sheetName val="DF-UTM"/>
      <sheetName val="DF-ALT"/>
      <sheetName val="STAF"/>
      <sheetName val="SUBKON"/>
      <sheetName val="In-Umum"/>
    </sheetNames>
    <sheetDataSet>
      <sheetData sheetId="0"/>
      <sheetData sheetId="1"/>
      <sheetData sheetId="2"/>
      <sheetData sheetId="3">
        <row r="27">
          <cell r="I27">
            <v>35200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hboard"/>
      <sheetName val="Sheet1"/>
      <sheetName val="harsat_pek"/>
      <sheetName val="ana_arsitek"/>
      <sheetName val="Harsat_marina"/>
      <sheetName val="ana_struktur"/>
      <sheetName val="upah_borong"/>
      <sheetName val="satuan_alat"/>
      <sheetName val="harsat"/>
      <sheetName val="ana_str"/>
      <sheetName val="ana_ars"/>
      <sheetName val="resume"/>
      <sheetName val="upah"/>
      <sheetName val="satuan_pek_str"/>
      <sheetName val="satuan_pek_ars"/>
      <sheetName val="dewatering"/>
      <sheetName val="A"/>
      <sheetName val="L-Mechanical"/>
      <sheetName val="Markup"/>
      <sheetName val="TOWN"/>
      <sheetName val="baladewa"/>
      <sheetName val="Cover Daf-2"/>
      <sheetName val="DAF_2"/>
      <sheetName val="ALAT"/>
      <sheetName val="Sat. Pek."/>
      <sheetName val="Daf_ No_ _ 4_2"/>
      <sheetName val="sat-utama1"/>
      <sheetName val="SP"/>
      <sheetName val="Fill this out first..."/>
      <sheetName val="DAFTAR  BESI IWF"/>
      <sheetName val="Harsat Upah"/>
      <sheetName val="DAFTAR BESI KANAL C SIKU"/>
      <sheetName val="BAHAN"/>
      <sheetName val="REKAP PAGAR DEPAN"/>
      <sheetName val="REKAP LOKAL"/>
      <sheetName val="REKAP PAGAR SAMPING"/>
      <sheetName val="REKAP GERBANG"/>
      <sheetName val="AN-E"/>
      <sheetName val="Meth"/>
      <sheetName val="rab me (by owner) "/>
      <sheetName val="BQ (by owner)"/>
      <sheetName val="rab me (fisik)"/>
      <sheetName val="boq"/>
      <sheetName val="BQ ARS"/>
      <sheetName val="Rekap-Bdg"/>
      <sheetName val="analisa_marina_struktur"/>
      <sheetName val="REKAP"/>
      <sheetName val="Fill this out first___"/>
    </sheetNames>
    <sheetDataSet>
      <sheetData sheetId="0" refreshError="1"/>
      <sheetData sheetId="1" refreshError="1"/>
      <sheetData sheetId="2" refreshError="1"/>
      <sheetData sheetId="3" refreshError="1"/>
      <sheetData sheetId="4" refreshError="1">
        <row r="47">
          <cell r="I47" t="str">
            <v>Supply by owner</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l this out first___"/>
      <sheetName val="Fill this out first..."/>
      <sheetName val="Front"/>
      <sheetName val="Contents"/>
      <sheetName val="Basis"/>
      <sheetName val="Inclusions"/>
      <sheetName val="Exclusions"/>
      <sheetName val="Areas"/>
      <sheetName val="Overall Summary"/>
      <sheetName val="Basement"/>
      <sheetName val="Foundations Budget"/>
      <sheetName val="Parking"/>
      <sheetName val="Ground Floor Budget"/>
      <sheetName val="L1 &amp; 2"/>
      <sheetName val="2nd Floor Budget"/>
      <sheetName val="L3-4 Wards"/>
      <sheetName val="Parking 3-5 Budget"/>
      <sheetName val="L5-10 Strata Title"/>
      <sheetName val="Office Levels 6-13 Budget"/>
      <sheetName val="Level 11 - 14 Offices"/>
      <sheetName val="L15 Exec Offices"/>
      <sheetName val="Multipurpose Room Summary"/>
      <sheetName val="Multipurpose Room Budget1"/>
      <sheetName val="MP Summary"/>
      <sheetName val="MP Budget"/>
      <sheetName val="Siteworks Areas"/>
      <sheetName val="Siteworks Summary"/>
      <sheetName val="Siteworks Budget"/>
      <sheetName val="Section 5 Areas"/>
      <sheetName val="Alternates"/>
      <sheetName val="Comparison Summary"/>
      <sheetName val="Harsat_marina"/>
      <sheetName val="bill"/>
      <sheetName val="BQ"/>
      <sheetName val="Rkp"/>
      <sheetName val="Markup"/>
      <sheetName val="ADDENDUM"/>
      <sheetName val="TOWN"/>
      <sheetName val="baladewa"/>
      <sheetName val="analisa"/>
      <sheetName val="CALC (2)"/>
      <sheetName val="Hit Vol_Sk"/>
      <sheetName val="Urai _ Guide Post"/>
      <sheetName val="Urai_Galian Tanah"/>
      <sheetName val="AN-E"/>
      <sheetName val="Meth"/>
      <sheetName val="H-BHN"/>
      <sheetName val="THPDMoi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l this out first___"/>
      <sheetName val="harga Satua Dasar"/>
      <sheetName val="BIIL ASLI"/>
      <sheetName val="Harsat_marina"/>
      <sheetName val="ADDENDUM"/>
      <sheetName val="Fill this out first..."/>
      <sheetName val="REMUNERASISTANDAR"/>
      <sheetName val="TABEL-DETASIR"/>
      <sheetName val="TOWN"/>
      <sheetName val="Gudang non AC-AC Struktur"/>
      <sheetName val="Markup"/>
      <sheetName val="Met_Pas Batu"/>
      <sheetName val="Met_ Minor"/>
      <sheetName val="Terbilang"/>
      <sheetName val="BQ"/>
      <sheetName val="boq"/>
      <sheetName val="SDM"/>
      <sheetName val="Harga bahan &amp; upah"/>
      <sheetName val="STRUKTUR"/>
      <sheetName val="HARSAT"/>
      <sheetName val="Tataudara"/>
      <sheetName val="rab_analisa"/>
      <sheetName val="D4"/>
      <sheetName val="D6"/>
      <sheetName val="D7"/>
      <sheetName val="D8"/>
      <sheetName val="ANALISA PEK.UMU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Q"/>
      <sheetName val="COMPARATION"/>
      <sheetName val="DBP-0100"/>
      <sheetName val="MAKER"/>
      <sheetName val="SCOPE"/>
      <sheetName val="ESCON"/>
      <sheetName val="SRT"/>
      <sheetName val="SUM-PRO"/>
      <sheetName val="PROFIT"/>
      <sheetName val="SEX"/>
      <sheetName val="DBP-0200"/>
      <sheetName val="ME"/>
      <sheetName val="data profit"/>
      <sheetName val="0504"/>
      <sheetName val="sumpro"/>
      <sheetName val="Fill this out first___"/>
      <sheetName val="Fill this out first..."/>
      <sheetName val="rab me (by owner) "/>
      <sheetName val="BQ (by owner)"/>
      <sheetName val="rab me (fisik)"/>
      <sheetName val="TOWN"/>
      <sheetName val="Harsat_marina"/>
      <sheetName val="STRUKTUR"/>
      <sheetName val="ADDENDUM"/>
      <sheetName val="K"/>
      <sheetName val="SITE-E"/>
      <sheetName val="covere"/>
      <sheetName val="PO2"/>
      <sheetName val="Rkp"/>
      <sheetName val="Rekap"/>
      <sheetName val="schedule"/>
      <sheetName val="Currency Rate"/>
      <sheetName val="An Arsitektur"/>
      <sheetName val="Unit Rate (2)"/>
      <sheetName val="An Struktur"/>
      <sheetName val="FORM X COST"/>
      <sheetName val="ELEMENT SUM"/>
      <sheetName val="STAFFSCHED "/>
      <sheetName val="FDK-R2"/>
      <sheetName val="data_profit"/>
      <sheetName val="Currency_Rate"/>
      <sheetName val="An_Arsitektur"/>
      <sheetName val="Unit_Rate_(2)"/>
      <sheetName val="An_Struktur"/>
      <sheetName val="FORM_X_COST"/>
      <sheetName val="ELEMENT_SUM"/>
      <sheetName val="STAFFSCHED_"/>
      <sheetName val="H.Satuan"/>
      <sheetName val="A"/>
      <sheetName val="HSD"/>
      <sheetName val="Plumbing"/>
      <sheetName val="BAG-III"/>
      <sheetName val="Bill 2.1 DW"/>
      <sheetName val="Analisa"/>
      <sheetName val="RAB ME"/>
      <sheetName val="DIVI6"/>
      <sheetName val="Umum"/>
      <sheetName val="Mall"/>
      <sheetName val="BQ_1A"/>
      <sheetName val="Rekap Direct Cost"/>
      <sheetName val="Piping"/>
      <sheetName val="Elec-ins"/>
      <sheetName val="P.M(Monitoring Sche)"/>
      <sheetName val="Lab Sche (Summary)."/>
      <sheetName val="HRG BHN"/>
      <sheetName val="Fill_this_out_first___"/>
      <sheetName val="Bill_2_1_DW"/>
      <sheetName val="RAB_ME"/>
      <sheetName val="Rekap_Direct_Cost"/>
      <sheetName val="Unit Price"/>
      <sheetName val="tifico"/>
      <sheetName val="data_profit1"/>
      <sheetName val="Currency_Rate1"/>
      <sheetName val="An_Arsitektur1"/>
      <sheetName val="Unit_Rate_(2)1"/>
      <sheetName val="An_Struktur1"/>
      <sheetName val="FORM_X_COST1"/>
      <sheetName val="ELEMENT_SUM1"/>
      <sheetName val="STAFFSCHED_1"/>
      <sheetName val="Fill_this_out_first___1"/>
      <sheetName val="Bill_2_1_DW1"/>
      <sheetName val="RAB_ME1"/>
      <sheetName val="Rekap_Direct_Cost1"/>
      <sheetName val="Bahan "/>
      <sheetName val="Upah"/>
      <sheetName val="Pekerjaan "/>
      <sheetName val="prelim"/>
      <sheetName val="r.tank"/>
      <sheetName val="Plumbing &amp; Fire"/>
      <sheetName val="Sheet1"/>
      <sheetName val="Price Biaya Cadangan"/>
      <sheetName val="BQ.Rekapitulasi  Akhir"/>
      <sheetName val="BAG-2"/>
      <sheetName val="B - Norelec"/>
      <sheetName val="BQ ARS"/>
      <sheetName val="CKMPARATION"/>
      <sheetName val="DB_x0010_-0100"/>
      <sheetName val="SBOPE"/>
      <sheetName val="SBT"/>
      <sheetName val="SUM-@RO"/>
      <sheetName val="SAP"/>
      <sheetName val="304_06"/>
      <sheetName val="Bill rekap"/>
      <sheetName val="BAHAN"/>
      <sheetName val="DB_x005f_x0010_-0100"/>
      <sheetName val="DB_x005f_x005f_x005f_x0010_-0100"/>
      <sheetName val="Pipe"/>
      <sheetName val="Elec_ins"/>
      <sheetName val="Bill.1.VAC-Supply-A"/>
      <sheetName val="Material"/>
      <sheetName val="Panel,feeder,elek"/>
      <sheetName val="D _ W sizes"/>
      <sheetName val="analisa alat"/>
      <sheetName val="alat"/>
      <sheetName val="SUB LAIN2"/>
      <sheetName val="SUB ME"/>
      <sheetName val="SUB KUSEN"/>
      <sheetName val="analisa pekerjaan"/>
      <sheetName val="ars asrama "/>
      <sheetName val="str asrama"/>
      <sheetName val="mechanical asrama"/>
      <sheetName val="electrical asrama"/>
      <sheetName val="ME. Kelas"/>
      <sheetName val="ars kelas"/>
      <sheetName val="str kelas"/>
      <sheetName val="REKAP MERAH"/>
      <sheetName val="I_KAMAR"/>
      <sheetName val="G_SUMMARY"/>
      <sheetName val="data_profit2"/>
      <sheetName val="Currency_Rate2"/>
      <sheetName val="An_Arsitektur2"/>
      <sheetName val="Unit_Rate_(2)2"/>
      <sheetName val="An_Struktur2"/>
      <sheetName val="FORM_X_COST2"/>
      <sheetName val="ELEMENT_SUM2"/>
      <sheetName val="STAFFSCHED_2"/>
      <sheetName val="H_Satuan"/>
      <sheetName val="Fill_this_out_first___2"/>
      <sheetName val="Bill_2_1_DW2"/>
      <sheetName val="RAB_ME2"/>
      <sheetName val="Rekap_Direct_Cost2"/>
      <sheetName val="P_M(Monitoring_Sche)"/>
      <sheetName val="Lab_Sche_(Summary)_"/>
      <sheetName val="HRG_BHN"/>
      <sheetName val="Unit_Price"/>
      <sheetName val="Bahan_"/>
      <sheetName val="Pekerjaan_"/>
      <sheetName val="r_tank"/>
      <sheetName val="Plumbing_&amp;_Fire"/>
      <sheetName val="Price_Biaya_Cadangan"/>
      <sheetName val="BQ_Rekapitulasi__Akhir"/>
      <sheetName val="B_-_Norelec"/>
      <sheetName val="BQ_ARS"/>
      <sheetName val="DB-0100"/>
      <sheetName val="Bill_rekap"/>
      <sheetName val="rab_me_(by_owner)_"/>
      <sheetName val="BQ_(by_owner)"/>
      <sheetName val="rab_me_(fisik)"/>
      <sheetName val="Fill_this_out_first___3"/>
      <sheetName val="Bill_1_VAC-Supply-A"/>
      <sheetName val="D___W_sizes"/>
      <sheetName val="analisa_alat"/>
      <sheetName val="SUB_LAIN2"/>
      <sheetName val="SUB_ME"/>
      <sheetName val="SUB_KUSEN"/>
      <sheetName val="analisa_pekerjaan"/>
      <sheetName val="ars_asrama_"/>
      <sheetName val="str_asrama"/>
      <sheetName val="mechanical_asrama"/>
      <sheetName val="electrical_asrama"/>
      <sheetName val="ME__Kelas"/>
      <sheetName val="ars_kelas"/>
      <sheetName val="str_kelas"/>
      <sheetName val="REKAP_MERAH"/>
      <sheetName val="AKTRANSK"/>
      <sheetName val="Weight Bridge"/>
      <sheetName val="共機計算"/>
      <sheetName val="共機J"/>
      <sheetName val="L-Mechanical"/>
      <sheetName val="index"/>
      <sheetName val="eqp-rek"/>
      <sheetName val="Site Expenses"/>
      <sheetName val="BQ AC- SEMANAN"/>
      <sheetName val="Factor Sheet"/>
      <sheetName val="DB_x005f_x005f_x005f_x005f_x005f_x005f_x005f_x0010_-010"/>
      <sheetName val="당초"/>
      <sheetName val="Kuantitas &amp; Harga"/>
      <sheetName val="DB_x005f_x005f_x005f_x005f_x005f_x005f_x005f_x005f_x005"/>
      <sheetName val="DAF-1"/>
      <sheetName val="WF "/>
      <sheetName val="harsat"/>
      <sheetName val="DAF-2"/>
      <sheetName val="Rekap Prelim"/>
      <sheetName val="CNI"/>
      <sheetName val="valve"/>
      <sheetName val="Cash Flow bulanan"/>
      <sheetName val="DETAIL "/>
      <sheetName val="DB_x005f_x005f_x005f_x0010_-010"/>
      <sheetName val="DB_x005f_x005f_x005f_x005f_x005"/>
      <sheetName val="Rekap_D_X_x0000__x0000__x0000__x0000__x0000__x0001__x0000_"/>
      <sheetName val="sort2"/>
      <sheetName val="data_profit3"/>
      <sheetName val="Currency_Rate3"/>
      <sheetName val="An_Arsitektur3"/>
      <sheetName val="Unit_Rate_(2)3"/>
      <sheetName val="An_Struktur3"/>
      <sheetName val="FORM_X_COST3"/>
      <sheetName val="ELEMENT_SUM3"/>
      <sheetName val="STAFFSCHED_3"/>
      <sheetName val="Bill_2_1_DW3"/>
      <sheetName val="RAB_ME3"/>
      <sheetName val="Rekap_Direct_Cost3"/>
      <sheetName val="P_M(Monitoring_Sche)1"/>
      <sheetName val="Lab_Sche_(Summary)_1"/>
      <sheetName val="HRG_BHN1"/>
      <sheetName val="Bahan_1"/>
      <sheetName val="Pekerjaan_1"/>
      <sheetName val="r_tank1"/>
      <sheetName val="Plumbing_&amp;_Fire1"/>
      <sheetName val="H_Satuan1"/>
      <sheetName val="Unit_Price1"/>
      <sheetName val="Bill_rekap1"/>
      <sheetName val="Price_Biaya_Cadangan1"/>
      <sheetName val="BQ_Rekapitulasi__Akhir1"/>
      <sheetName val="B_-_Norelec1"/>
      <sheetName val="BQ_ARS1"/>
      <sheetName val="rab_me_(by_owner)_1"/>
      <sheetName val="BQ_(by_owner)1"/>
      <sheetName val="rab_me_(fisik)1"/>
      <sheetName val="Site_Expenses"/>
      <sheetName val="Fill_this_out_first___4"/>
      <sheetName val="BQ_AC-_SEMANAN"/>
      <sheetName val="Factor_Sheet"/>
      <sheetName val="WF_"/>
      <sheetName val="Currency_Rate5"/>
      <sheetName val="data_profit4"/>
      <sheetName val="Currency_Rate4"/>
      <sheetName val="An_Arsitektur4"/>
      <sheetName val="Unit_Rate_(2)4"/>
      <sheetName val="An_Struktur4"/>
      <sheetName val="FORM_X_COST4"/>
      <sheetName val="ELEMENT_SUM4"/>
      <sheetName val="STAFFSCHED_4"/>
      <sheetName val="Fill_this_out_first___5"/>
      <sheetName val="Bill_2_1_DW4"/>
      <sheetName val="RAB_ME4"/>
      <sheetName val="Rekap_Direct_Cost4"/>
      <sheetName val="P_M(Monitoring_Sche)2"/>
      <sheetName val="Lab_Sche_(Summary)_2"/>
      <sheetName val="HRG_BHN2"/>
      <sheetName val="Bahan_2"/>
      <sheetName val="Pekerjaan_2"/>
      <sheetName val="r_tank2"/>
      <sheetName val="Plumbing_&amp;_Fire2"/>
      <sheetName val="H_Satuan2"/>
      <sheetName val="Unit_Price2"/>
      <sheetName val="Bill_rekap2"/>
      <sheetName val="D___W_sizes1"/>
      <sheetName val="Price_Biaya_Cadangan2"/>
      <sheetName val="BQ_Rekapitulasi__Akhir2"/>
      <sheetName val="B_-_Norelec2"/>
      <sheetName val="BQ_ARS2"/>
      <sheetName val="rab_me_(by_owner)_2"/>
      <sheetName val="BQ_(by_owner)2"/>
      <sheetName val="rab_me_(fisik)2"/>
      <sheetName val="analisa_alat1"/>
      <sheetName val="SUB_LAIN21"/>
      <sheetName val="SUB_ME1"/>
      <sheetName val="SUB_KUSEN1"/>
      <sheetName val="analisa_pekerjaan1"/>
      <sheetName val="ars_asrama_1"/>
      <sheetName val="str_asrama1"/>
      <sheetName val="mechanical_asrama1"/>
      <sheetName val="electrical_asrama1"/>
      <sheetName val="ME__Kelas1"/>
      <sheetName val="ars_kelas1"/>
      <sheetName val="str_kelas1"/>
      <sheetName val="REKAP_MERAH1"/>
      <sheetName val="Site_Expenses1"/>
      <sheetName val="Fill_this_out_first___6"/>
      <sheetName val="BQ_AC-_SEMANAN1"/>
      <sheetName val="Factor_Sheet1"/>
      <sheetName val="WF_1"/>
      <sheetName val="Rekap_D_X?????_x0001_?"/>
      <sheetName val="rutan"/>
      <sheetName val="HB "/>
      <sheetName val="meth hsl nego"/>
      <sheetName val="RAB"/>
      <sheetName val="BQ-1A"/>
      <sheetName val="Markup"/>
      <sheetName val="DAF_1"/>
      <sheetName val="Upah_Bahan"/>
      <sheetName val="RAB &amp; RCO OWNER VERS."/>
      <sheetName val="Sch1"/>
      <sheetName val="TATA UDARA"/>
      <sheetName val="ELEKTRIKAL"/>
      <sheetName val="Rekap-Bdg"/>
      <sheetName val="Hargamat"/>
      <sheetName val="Hit Vol_Sk"/>
      <sheetName val="ANALISA HARGA SATUAN"/>
      <sheetName val="Supl.X"/>
      <sheetName val="Lt 1"/>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sheetData sheetId="60"/>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sheetData sheetId="176" refreshError="1"/>
      <sheetData sheetId="177" refreshError="1"/>
      <sheetData sheetId="178"/>
      <sheetData sheetId="179"/>
      <sheetData sheetId="180"/>
      <sheetData sheetId="181"/>
      <sheetData sheetId="182"/>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TOTAL"/>
      <sheetName val="DAF-1"/>
      <sheetName val="DAF-2"/>
      <sheetName val="DAF-3"/>
      <sheetName val="Analisa G   K"/>
      <sheetName val="Analisa  F  I"/>
      <sheetName val="pre_sum"/>
      <sheetName val="person "/>
      <sheetName val="equipment"/>
      <sheetName val="hitungan"/>
      <sheetName val="Summary-PI"/>
      <sheetName val="Keterangan"/>
      <sheetName val="DAF_2"/>
      <sheetName val="REKAP"/>
      <sheetName val="Fill this out first___"/>
      <sheetName val="H.Satuan"/>
      <sheetName val="Cover"/>
      <sheetName val="TOWN"/>
      <sheetName val="3.1"/>
      <sheetName val="ADDENDUM"/>
      <sheetName val="BQ ARS"/>
      <sheetName val="BQ"/>
      <sheetName val="Markup"/>
      <sheetName val="Rek-SA"/>
      <sheetName val="MHR-ANLIS"/>
      <sheetName val="Rekap Direct Cost"/>
      <sheetName val="Sheet1"/>
      <sheetName val="harsat"/>
      <sheetName val="Harsat_marina"/>
      <sheetName val="ALAT"/>
      <sheetName val="Analisa"/>
      <sheetName val="SNI-17-3-09"/>
      <sheetName val="Fill this out first..."/>
      <sheetName val="Harga Satuan"/>
      <sheetName val="labor1"/>
      <sheetName val="Rkp"/>
      <sheetName val="A"/>
      <sheetName val="Bill of Qty"/>
      <sheetName val="Analisa Kayu"/>
      <sheetName val="Hit Vol_Sk"/>
      <sheetName val="Pag_hal"/>
      <sheetName val="rINCIAN"/>
      <sheetName val="SDM"/>
      <sheetName val="ana_str"/>
      <sheetName val="Upah"/>
      <sheetName val="Tataudara"/>
      <sheetName val="BAHAN"/>
      <sheetName val="RAB &amp; RCO OWNER VERS."/>
      <sheetName val="실행철강하도"/>
      <sheetName val="I-KAMAR"/>
      <sheetName val="harga"/>
      <sheetName val="work break down rev1"/>
      <sheetName val="Mall"/>
      <sheetName val="BQ All-2"/>
      <sheetName val="Analisa ARS"/>
      <sheetName val="Cover Daf-2"/>
      <sheetName val="unit_rate"/>
      <sheetName val="Anls_BKL"/>
      <sheetName val="Harga bahan &amp; upah"/>
      <sheetName val="Bill No.1"/>
      <sheetName val="peѲson "/>
      <sheetName val="Profil"/>
      <sheetName val="lokasari-el"/>
      <sheetName val="Sat. Pek."/>
      <sheetName val="Material"/>
      <sheetName val="B-12082012 (2)"/>
      <sheetName val="FINISHING"/>
      <sheetName val="BAG-2"/>
      <sheetName val="Plumbing"/>
      <sheetName val="baladewa"/>
      <sheetName val="3-DIV8"/>
      <sheetName val="STR"/>
      <sheetName val="Unit Rate"/>
      <sheetName val="Sat"/>
      <sheetName val="Me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overed_Sheet1"/>
      <sheetName val="BOQ-1 (BL)"/>
      <sheetName val="2-UMUM"/>
      <sheetName val="MPU-1"/>
      <sheetName val="3-DIV1"/>
      <sheetName val="3-DIV2"/>
      <sheetName val="schedule"/>
      <sheetName val="AgregatK-B"/>
      <sheetName val="3-DIV5"/>
      <sheetName val="3-DIV6"/>
      <sheetName val="3-DIV7"/>
      <sheetName val="BETON"/>
      <sheetName val="3-DIV3"/>
      <sheetName val="3-DIV7(GIRDER) (2)"/>
      <sheetName val="K-500 (Girder)"/>
      <sheetName val="3-DIV8"/>
      <sheetName val="BOQ-1"/>
      <sheetName val="BOQ-1 (BL) (2)"/>
      <sheetName val="3-DIV8(Conc.Pav)"/>
      <sheetName val="5-ALAT"/>
      <sheetName val="5-ALAT (2)"/>
      <sheetName val="4-BASIC"/>
      <sheetName val="4-MOS"/>
      <sheetName val="4-QUARRY"/>
      <sheetName val="6-AGREGAT"/>
      <sheetName val="COVER"/>
      <sheetName val="COVER BAB"/>
      <sheetName val="Sheet1"/>
      <sheetName val="Sheet3"/>
      <sheetName val="Sheet4"/>
      <sheetName val="MPU-TDK DIPAKAI"/>
      <sheetName val="Met_Pas Batu"/>
      <sheetName val="Met_ Minor"/>
      <sheetName val="unit_rate"/>
      <sheetName val="BQ"/>
      <sheetName val="ANALISA PEK.UMUM"/>
      <sheetName val="DAF-2"/>
      <sheetName val="Fill this out first___"/>
      <sheetName val="rab - persiapan &amp; lantai-1"/>
      <sheetName val="Hrg.Sat"/>
      <sheetName val="AC-2"/>
      <sheetName val="Indire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itulasi"/>
      <sheetName val="sheet1"/>
      <sheetName val="Sheet2"/>
      <sheetName val="Real Cost"/>
      <sheetName val="rincian biaya"/>
      <sheetName val="harga sat"/>
      <sheetName val="upah"/>
      <sheetName val="Bahan "/>
      <sheetName val="Analisa"/>
      <sheetName val="Indirect"/>
      <sheetName val="harsat"/>
      <sheetName val="analis azaa"/>
      <sheetName val="DAF_2"/>
      <sheetName val="Fill this out first___"/>
      <sheetName val="TOWN"/>
      <sheetName val="Elekt"/>
      <sheetName val="ME UMY"/>
      <sheetName val="HARGA BAHAN"/>
      <sheetName val="name"/>
      <sheetName val="DAF-2"/>
      <sheetName val="SAT-BHN"/>
      <sheetName val="BQ"/>
      <sheetName val="unit_rate"/>
      <sheetName val="ANALISA PEK.UMUM"/>
      <sheetName val="3-DIV8"/>
      <sheetName val="FAK"/>
      <sheetName val="U&amp;B"/>
      <sheetName val="110 cs EW"/>
      <sheetName val="SEX"/>
      <sheetName val="8"/>
      <sheetName val="Real_Cost"/>
      <sheetName val="rincian_biaya"/>
      <sheetName val="harga_sat"/>
      <sheetName val="Bahan_"/>
      <sheetName val="RAB &amp; RCO OWNER VERS."/>
      <sheetName val="INPUT"/>
      <sheetName val="8LT 12"/>
      <sheetName val="index"/>
      <sheetName val="SNI-17-3-09"/>
      <sheetName val="Pag_hal"/>
      <sheetName val="PL (MONTHLY)"/>
      <sheetName val="BQBI3"/>
      <sheetName val="HARGA MATERIAL"/>
      <sheetName val="Real_Cost1"/>
      <sheetName val="rincian_biaya1"/>
      <sheetName val="harga_sat1"/>
      <sheetName val="Bahan_1"/>
      <sheetName val="analis_azaa1"/>
      <sheetName val="HARGA_MATERIAL1"/>
      <sheetName val="Fill_this_out_first___1"/>
      <sheetName val="8LT_121"/>
      <sheetName val="analis_azaa"/>
      <sheetName val="HARGA_MATERIAL"/>
      <sheetName val="Fill_this_out_first___"/>
      <sheetName val="8LT_12"/>
      <sheetName val="Real_Cost2"/>
      <sheetName val="rincian_biaya2"/>
      <sheetName val="harga_sat2"/>
      <sheetName val="Bahan_2"/>
      <sheetName val="analis_azaa2"/>
      <sheetName val="HARGA_MATERIAL2"/>
      <sheetName val="Fill_this_out_first___2"/>
      <sheetName val="8LT_122"/>
      <sheetName val="Real_Cost3"/>
      <sheetName val="rincian_biaya3"/>
      <sheetName val="harga_sat3"/>
      <sheetName val="Bahan_3"/>
      <sheetName val="analis_azaa3"/>
      <sheetName val="HARGA_MATERIAL3"/>
      <sheetName val="Fill_this_out_first___3"/>
      <sheetName val="8LT_123"/>
      <sheetName val="rkp"/>
      <sheetName val="Rekap Direct Cost"/>
      <sheetName val="Analisa -Baku"/>
      <sheetName val="hsd"/>
      <sheetName val="BQ All-2"/>
      <sheetName val="Profil"/>
      <sheetName val="An HarSatPek"/>
      <sheetName val="CH"/>
      <sheetName val="SCHEDULE "/>
      <sheetName val="PENAWARAN"/>
      <sheetName val="Volume"/>
      <sheetName val="rINCIAN"/>
      <sheetName val="HB me"/>
      <sheetName val="Jamur Jelatang"/>
      <sheetName val="BQ ARS"/>
      <sheetName val="REKAP"/>
      <sheetName val="공조기설계(게파트)"/>
      <sheetName val="RekBq"/>
      <sheetName val="MUK-List"/>
      <sheetName val="ES-aLL"/>
      <sheetName val="ana_str"/>
      <sheetName val="Bill_2"/>
      <sheetName val="dasboard"/>
      <sheetName val="DI-ESTI"/>
      <sheetName val="BQ All_2"/>
      <sheetName val="Sat Bah &amp; Up"/>
      <sheetName val="AC"/>
      <sheetName val="atap"/>
      <sheetName val="rumus"/>
      <sheetName val="RAB"/>
      <sheetName val="Daftar Harga Material"/>
      <sheetName val="anal"/>
      <sheetName val="BAG-III"/>
      <sheetName val="RAB-SPL2"/>
      <sheetName val="Sat_Bah_&amp;_Up"/>
      <sheetName val="BQ-1A prelim"/>
      <sheetName val="H.Satuan"/>
      <sheetName val="BAG-2"/>
      <sheetName val="GTS I PS"/>
      <sheetName val="BAG_2"/>
      <sheetName val="Harsat_marina"/>
      <sheetName val="HB"/>
      <sheetName val="O&amp;O"/>
      <sheetName val="BasicPrice"/>
      <sheetName val="hs pipa"/>
      <sheetName val="Pipe"/>
      <sheetName val="Material List T 55 M "/>
      <sheetName val="bahan"/>
      <sheetName val="HG_JADI"/>
      <sheetName val="DAFTAR HARGA UPAH"/>
      <sheetName val="summary"/>
      <sheetName val="Siring Bt Kajang"/>
      <sheetName val="SAT_BHN"/>
      <sheetName val="Rate"/>
      <sheetName val="Rekap Anl"/>
      <sheetName val="Cover"/>
      <sheetName val="PERSI"/>
      <sheetName val="SKAT"/>
      <sheetName val="SURAT"/>
      <sheetName val="Source"/>
      <sheetName val="Harga upah dan bahan"/>
      <sheetName val="Analisa Harga Satuan"/>
      <sheetName val="price"/>
      <sheetName val="Data Ukuran"/>
      <sheetName val="Isian Biodata"/>
      <sheetName val="4-Basic Price"/>
      <sheetName val="Other"/>
      <sheetName val="Unit"/>
      <sheetName val="PAD-F"/>
      <sheetName val="Analisa STR"/>
      <sheetName val="Sub"/>
      <sheetName val="struktur"/>
      <sheetName val="Markup"/>
      <sheetName val="sat-jadi"/>
      <sheetName val="Supl.X"/>
      <sheetName val="satuan"/>
      <sheetName val="2.Sorinangka Weir"/>
      <sheetName val="4.Irr.Struc.Work"/>
      <sheetName val="3.Irr.Canal Work"/>
      <sheetName val="6.Tertiary Work"/>
      <sheetName val="Bill-2"/>
      <sheetName val="HARGA ALAT"/>
      <sheetName val="HargaSat"/>
      <sheetName val="Anl SNI"/>
      <sheetName val="srtberkas"/>
      <sheetName val="baladewa"/>
      <sheetName val="SNI'02"/>
      <sheetName val="Master Edit"/>
      <sheetName val="Terbilang"/>
      <sheetName val="Sat Das"/>
      <sheetName val="HARSAT-lain"/>
      <sheetName val="HARSAT-tanah"/>
      <sheetName val="HARSAT-lhn"/>
      <sheetName val="Anls"/>
      <sheetName val="Div2"/>
      <sheetName val="Lamp_V"/>
      <sheetName val="BAHN"/>
      <sheetName val="HARGA SATUAN"/>
      <sheetName val="ANALIS"/>
      <sheetName val="L-Mechanical"/>
      <sheetName val="H_BHN"/>
      <sheetName val="A_BANTU"/>
      <sheetName val="A"/>
      <sheetName val="K"/>
      <sheetName val="4-Analisa Quarry"/>
      <sheetName val="pricing"/>
      <sheetName val="UPH BHN"/>
      <sheetName val="RAB 3"/>
      <sheetName val="Daftar harga"/>
      <sheetName val="BREAKER"/>
      <sheetName val="TOEVOER"/>
      <sheetName val="SAT PL"/>
      <sheetName val="ALAT"/>
      <sheetName val="Analisa BOW 08 NP"/>
      <sheetName val="MATERIAL"/>
      <sheetName val="boq"/>
      <sheetName val="An.Ars"/>
      <sheetName val="Fatur DPR EDIT"/>
      <sheetName val="TS"/>
      <sheetName val="H Satuan Dasar"/>
      <sheetName val="gaji"/>
      <sheetName val="Anah"/>
      <sheetName val="Sat~Bahu"/>
      <sheetName val="MHR-ANLIS"/>
      <sheetName val="Fill this out first..."/>
      <sheetName val="Upah dan Bahan "/>
      <sheetName val="TOTAL"/>
      <sheetName val="DAFTAR 7"/>
      <sheetName val="DAFTAR_8"/>
      <sheetName val="Upah_Bahan"/>
      <sheetName val="AC-2"/>
      <sheetName val="Preliminaries"/>
      <sheetName val="An-Prelim"/>
      <sheetName val="HS"/>
      <sheetName val="Kusen"/>
      <sheetName val="Bill of Quantity"/>
      <sheetName val="PileCap"/>
      <sheetName val="Tie Beam"/>
      <sheetName val="Balok"/>
      <sheetName val="Kolom"/>
      <sheetName val="Tangga"/>
      <sheetName val="BQEL"/>
      <sheetName val="BQPL"/>
      <sheetName val="BQAC&amp;ESCALATOR"/>
      <sheetName val="Gross"/>
      <sheetName val="TB"/>
      <sheetName val="DdgBeton"/>
      <sheetName val="Plat"/>
      <sheetName val="k-320"/>
      <sheetName val="k-520"/>
      <sheetName val="k-121"/>
      <sheetName val="Hargamaterial"/>
      <sheetName val="Sumber Daya"/>
      <sheetName val="SPH"/>
      <sheetName val="Lamp 8.7,9"/>
      <sheetName val="EE-PROP"/>
      <sheetName val="std.wt."/>
      <sheetName val="BAHAN_STR"/>
      <sheetName val="F-PC"/>
      <sheetName val="Normalisasi"/>
      <sheetName val="hsp_STR_ARS"/>
      <sheetName val="Sensitivitas"/>
      <sheetName val="Harga ME "/>
      <sheetName val="REF.ONLY"/>
      <sheetName val="Agregat Halus &amp; Kasar"/>
      <sheetName val="Master Schedule"/>
      <sheetName val="elektrikal"/>
      <sheetName val="REMUNERASISTANDAR"/>
      <sheetName val="TABEL-DETASIR"/>
      <sheetName val="Rekap Biaya"/>
      <sheetName val="Sch-5"/>
      <sheetName val="TEKNIS"/>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rsat"/>
      <sheetName val="upah_harian"/>
      <sheetName val="upah_borong"/>
      <sheetName val="Analisa"/>
      <sheetName val="satuan_alat"/>
      <sheetName val="sewa_alat"/>
      <sheetName val="PERBAND-ANLS"/>
      <sheetName val="VOLUME"/>
      <sheetName val="Perubahan"/>
      <sheetName val="Data Base Pegawai Divisi I"/>
      <sheetName val="#REF"/>
      <sheetName val="SPK"/>
      <sheetName val="Koef"/>
      <sheetName val="ANALISA PEK.UMUM"/>
      <sheetName val="DAF-7"/>
      <sheetName val="Material"/>
      <sheetName val="hargaSatuan"/>
      <sheetName val="Cover"/>
      <sheetName val="UPAH"/>
      <sheetName val="HRG BHN"/>
      <sheetName val="BAHAN"/>
    </sheetNames>
    <sheetDataSet>
      <sheetData sheetId="0" refreshError="1">
        <row r="22">
          <cell r="H22">
            <v>6360</v>
          </cell>
        </row>
        <row r="112">
          <cell r="H112">
            <v>573000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a"/>
      <sheetName val="REKAP_ALL"/>
      <sheetName val="Rekap"/>
      <sheetName val="Str_bf"/>
      <sheetName val="Fin_bf"/>
      <sheetName val="Str_shr"/>
      <sheetName val="Fin_Shr"/>
      <sheetName val="Pag_hal"/>
      <sheetName val="Elektrikal"/>
      <sheetName val="PL &amp; Pem"/>
      <sheetName val="AC&amp;Vent"/>
      <sheetName val="Dafmat"/>
      <sheetName val="luas"/>
      <sheetName val="upah bahan"/>
      <sheetName val="Cost of Money"/>
      <sheetName val="Pre-Person"/>
      <sheetName val="Pre-Equip"/>
      <sheetName val="Tot-Prelim"/>
      <sheetName val="type"/>
      <sheetName val="pc"/>
      <sheetName val="tb"/>
      <sheetName val="kolom"/>
      <sheetName val="balok"/>
      <sheetName val="DAF-2"/>
      <sheetName val="upah"/>
      <sheetName val="STR"/>
      <sheetName val="index"/>
      <sheetName val="3-DIV8"/>
      <sheetName val="Har-sat-dasr"/>
      <sheetName val="Analisa ARS"/>
      <sheetName val="Conn. Lib"/>
      <sheetName val="harsat"/>
      <sheetName val="SAT-ALAT"/>
      <sheetName val="DAF_2"/>
      <sheetName val="name"/>
      <sheetName val="SAP"/>
      <sheetName val="BQ All_2"/>
      <sheetName val="Indirect"/>
      <sheetName val="rekap.c"/>
      <sheetName val="BQ"/>
      <sheetName val="uph show-ars"/>
      <sheetName val="uph bgkl-str"/>
      <sheetName val="uph bgkl-ars"/>
      <sheetName val="fas"/>
      <sheetName val="bahan "/>
      <sheetName val="BQ All-2"/>
      <sheetName val="Harga ME "/>
      <sheetName val="TOWN"/>
      <sheetName val="Plambing"/>
      <sheetName val="Fill this out first___"/>
      <sheetName val="38"/>
      <sheetName val="analisa rev"/>
      <sheetName val="Sheet1"/>
      <sheetName val="HSBHN"/>
      <sheetName val="RINCIAN"/>
      <sheetName val="ANALISA KONST BTN"/>
      <sheetName val="SUB_KON"/>
      <sheetName val="ANALISA TENDER"/>
      <sheetName val="110 cs EW"/>
      <sheetName val="Fins-Beng&amp;Fas"/>
      <sheetName val="Pag-hal-pos"/>
      <sheetName val="unit_rate"/>
      <sheetName val="Fins_Beng_Fas"/>
      <sheetName val="daf-3(OK)"/>
      <sheetName val="daf-7(OK)"/>
      <sheetName val="Fill this out first..."/>
      <sheetName val="M_Up"/>
      <sheetName val="TSS"/>
      <sheetName val="Hargamaterial"/>
      <sheetName val="공조기설계(게파트)"/>
      <sheetName val="Mall"/>
      <sheetName val="Finishing"/>
      <sheetName val="Struktur"/>
      <sheetName val="analis azaa"/>
      <sheetName val="Meto"/>
      <sheetName val="16 - 30"/>
      <sheetName val="hs pipa"/>
      <sheetName val="AC-2"/>
      <sheetName val="analisa struktur"/>
      <sheetName val="Isolasi Luar Dalam"/>
      <sheetName val="Isolasi Luar"/>
      <sheetName val="Elekt"/>
      <sheetName val="Sub"/>
      <sheetName val="List Material"/>
      <sheetName val="Markup"/>
      <sheetName val="Kompilasi Analisa"/>
      <sheetName val="KH-Q1,Q2,01"/>
      <sheetName val="U&amp;B"/>
      <sheetName val="?????(???)"/>
      <sheetName val="SAT-BHN"/>
      <sheetName val="Cashflow"/>
      <sheetName val="std.wt."/>
      <sheetName val="Cover Daf-2"/>
      <sheetName val="ALAT"/>
      <sheetName val="8"/>
      <sheetName val="Price Biaya Cadangan"/>
      <sheetName val="BQ.Rekapitulasi  Akhir"/>
      <sheetName val="Pipe"/>
      <sheetName val="bq-standard"/>
      <sheetName val="ANALISA PEK.UMUM"/>
      <sheetName val="Tataudara"/>
      <sheetName val="Analisa Upah &amp; Bahan Plum"/>
      <sheetName val="_____(___)"/>
      <sheetName val="dinding"/>
      <sheetName val="RAB &amp; RCO OWNER VERS."/>
      <sheetName val="Cover"/>
      <sheetName val="SAT_BHN"/>
      <sheetName val="An HarSatPek"/>
      <sheetName val="HVAC"/>
      <sheetName val="Master Supplier"/>
      <sheetName val="Bq (ok)"/>
      <sheetName val="Steel"/>
      <sheetName val="coeff"/>
      <sheetName val="Cable 150kV Ref."/>
      <sheetName val="Data"/>
      <sheetName val="RAB AR&amp;STR"/>
      <sheetName val="BAG-III"/>
      <sheetName val="me"/>
      <sheetName val="price"/>
      <sheetName val="H.Satuan"/>
      <sheetName val="boq"/>
      <sheetName val="A"/>
      <sheetName val="Analisa ME "/>
      <sheetName val="lokasari-el"/>
      <sheetName val="DI-ESTI"/>
      <sheetName val="Summary"/>
      <sheetName val="3.1"/>
      <sheetName val="FAK"/>
      <sheetName val="Sheet4"/>
      <sheetName val="An H.Sat Pek.Ut"/>
      <sheetName val="SCHEDULE"/>
      <sheetName val="RAB"/>
      <sheetName val="ANALISA SNI'08(ubh bgsting)"/>
      <sheetName val="Resume"/>
      <sheetName val="Sheet3"/>
      <sheetName val="MAP"/>
      <sheetName val="MU"/>
      <sheetName val="PAD-F"/>
      <sheetName val="DAFTAR ALAT"/>
      <sheetName val="Jadwal"/>
      <sheetName val="REKAP RAB FINISHINGperlantai"/>
      <sheetName val="Organisasi"/>
      <sheetName val="prog-mgu"/>
      <sheetName val="Rinci-Pendapatan"/>
      <sheetName val="Sheet1 (3)"/>
      <sheetName val="Supl.X"/>
      <sheetName val="CODE CK"/>
      <sheetName val="Bill No_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Penawaran"/>
      <sheetName val="Ls-Mobilisasi (OK)"/>
      <sheetName val="SAT-DAS"/>
      <sheetName val="Ur-Anl (ok punya)"/>
      <sheetName val="Rekap"/>
      <sheetName val="R A B"/>
      <sheetName val="Daf Kuan &amp; Harga"/>
      <sheetName val="Analisa (ok punya)"/>
      <sheetName val="Anl-Alt (2)"/>
      <sheetName val="Lamp-11 (Sub-kont) ok"/>
      <sheetName val="Lamp-1 (Schedule ok"/>
      <sheetName val="Lamp-1 (Schedule2)ok"/>
      <sheetName val="Data Personalia"/>
      <sheetName val="Anl-Bhn (ok)"/>
      <sheetName val="Lamp-14 -Hit-Alt"/>
      <sheetName val="Lamp-13-Pengg Alat"/>
      <sheetName val="Lamp-4 (Pemel. Rutin)"/>
      <sheetName val="Lamp-5 (On Site)"/>
      <sheetName val="Lamp-6 (Plant)"/>
      <sheetName val="Lamp-7 (Df-Utm) ok"/>
      <sheetName val="Lamp-8 (Kont Seleksi)"/>
      <sheetName val="Lamp-9 (Df-Alat)"/>
      <sheetName val="Lamp-14 (Lamp-Penaw) O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H-Q1,Q2,01"/>
      <sheetName val="BCCTQT-XLD4"/>
      <sheetName val="BCQT-TTD1"/>
      <sheetName val="CT-chuacoDT"/>
      <sheetName val="Sheet5"/>
      <sheetName val="Sheet6"/>
      <sheetName val="Sheet7"/>
      <sheetName val="Sheet8"/>
      <sheetName val="Sheet9"/>
      <sheetName val="Sheet10"/>
      <sheetName val="Sheet11"/>
      <sheetName val="Sheet12"/>
      <sheetName val="Sheet13"/>
      <sheetName val="Sheet14"/>
      <sheetName val="Sheet15"/>
      <sheetName val="Sheet16"/>
      <sheetName val="Sheet17"/>
      <sheetName val="Sheet18"/>
      <sheetName val="Sheet19"/>
      <sheetName val="Sheet20"/>
      <sheetName val="XL4Poppy"/>
      <sheetName val="Material"/>
      <sheetName val="harsat"/>
      <sheetName val="UPAH"/>
      <sheetName val="tbl-sk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UMUM"/>
      <sheetName val="siap"/>
      <sheetName val="pondasi"/>
      <sheetName val="Rekap LT.I"/>
      <sheetName val="lt.I"/>
      <sheetName val="rekap LT.II"/>
      <sheetName val="LT.II"/>
      <sheetName val="analisa"/>
      <sheetName val="harsat"/>
      <sheetName val="BKT"/>
      <sheetName val="inderect"/>
      <sheetName val="alat"/>
      <sheetName val="gaji"/>
      <sheetName val="dashboard"/>
      <sheetName val="dc"/>
      <sheetName val="STR"/>
      <sheetName val="Persiapan"/>
      <sheetName val="Rekap"/>
      <sheetName val="Hargamat"/>
      <sheetName val="Harpek"/>
      <sheetName val="Upah"/>
      <sheetName val="analisa Str"/>
      <sheetName val="Analisa (2)"/>
      <sheetName val="Ana Sanitair"/>
      <sheetName val="KH-Q1,Q2,01"/>
      <sheetName val="Pt"/>
      <sheetName val="Cover"/>
      <sheetName val="DAF-1"/>
      <sheetName val="Daf-3.6"/>
      <sheetName val="Anls"/>
      <sheetName val="H.Satuan"/>
      <sheetName val="KH_Q1_Q2_01"/>
      <sheetName val="Bill of Qty MEP"/>
      <sheetName val="Posisi Biaya"/>
      <sheetName val="C_Flow"/>
      <sheetName val="Currency Rate"/>
      <sheetName val="BHN-UPH-ALT"/>
      <sheetName val="FAK"/>
      <sheetName val="Upah_borong"/>
      <sheetName val="POL"/>
      <sheetName val="FINISHING"/>
      <sheetName val="BAHAN"/>
      <sheetName val="HB me"/>
      <sheetName val="BQ"/>
      <sheetName val="LAMP-A"/>
      <sheetName val="daffin"/>
      <sheetName val="KODE"/>
      <sheetName val="hsd Alat"/>
      <sheetName val="Sheet1"/>
      <sheetName val="K-2007"/>
      <sheetName val="Analisa Harga Satuan"/>
      <sheetName val="RAB.SEKRETARIAT (1)"/>
      <sheetName val="Harga Dasar"/>
      <sheetName val="PAD-F"/>
      <sheetName val="coeff"/>
      <sheetName val="HRG BHN"/>
      <sheetName val="TSS"/>
      <sheetName val="Material"/>
      <sheetName val="K.311.TP"/>
      <sheetName val="K.323"/>
      <sheetName val="MAIN BQ"/>
      <sheetName val="C3"/>
      <sheetName val="HSATUAN"/>
      <sheetName val="Daftar Harga Bahan"/>
      <sheetName val="A-11 Steel Str (2)"/>
      <sheetName val="Harsat Upah"/>
      <sheetName val="A-ars"/>
      <sheetName val="Tie Beam GN"/>
      <sheetName val="PileCap"/>
      <sheetName val="Rekap RAP real"/>
      <sheetName val="DAFTAR UPAH"/>
      <sheetName val="DAF_7"/>
      <sheetName val="Daftar Harga Upah"/>
      <sheetName val="mat&amp;upah"/>
      <sheetName val="K"/>
      <sheetName val="Hal_Pagar"/>
      <sheetName val="Str-Bengkel"/>
      <sheetName val="Str-Showroom"/>
      <sheetName val="harga bahan"/>
      <sheetName val="index"/>
      <sheetName val="LPP"/>
      <sheetName val="DKH"/>
      <sheetName val="Daft 2.1"/>
      <sheetName val="harga"/>
      <sheetName val="1771.2"/>
      <sheetName val="price"/>
      <sheetName val="Harga Satuan"/>
      <sheetName val="Links"/>
      <sheetName val="Lead"/>
      <sheetName val="prog-mgu"/>
      <sheetName val="Rkp"/>
      <sheetName val="Supl.X"/>
      <sheetName val="Daftar Harga Upah dan Bahan"/>
      <sheetName val="Bahan1"/>
      <sheetName val="112-885"/>
      <sheetName val="Anl.+"/>
      <sheetName val="REKAP_UMUM1"/>
      <sheetName val="Rekap_LT_I1"/>
      <sheetName val="lt_I1"/>
      <sheetName val="rekap_LT_II1"/>
      <sheetName val="LT_II1"/>
      <sheetName val="analisa_Str1"/>
      <sheetName val="Analisa_(2)1"/>
      <sheetName val="Ana_Sanitair1"/>
      <sheetName val="H_Satuan1"/>
      <sheetName val="Daf-3_61"/>
      <sheetName val="Tie_Beam_GN1"/>
      <sheetName val="Anl_+1"/>
      <sheetName val="Posisi_Biaya1"/>
      <sheetName val="HRG_BHN1"/>
      <sheetName val="HB_me1"/>
      <sheetName val="REKAP_UMUM"/>
      <sheetName val="Rekap_LT_I"/>
      <sheetName val="lt_I"/>
      <sheetName val="rekap_LT_II"/>
      <sheetName val="LT_II"/>
      <sheetName val="analisa_Str"/>
      <sheetName val="Analisa_(2)"/>
      <sheetName val="Ana_Sanitair"/>
      <sheetName val="H_Satuan"/>
      <sheetName val="Daf-3_6"/>
      <sheetName val="Tie_Beam_GN"/>
      <sheetName val="Anl_+"/>
      <sheetName val="Posisi_Biaya"/>
      <sheetName val="HRG_BHN"/>
      <sheetName val="HB_me"/>
      <sheetName val="REKAP_UMUM2"/>
      <sheetName val="Rekap_LT_I2"/>
      <sheetName val="lt_I2"/>
      <sheetName val="rekap_LT_II2"/>
      <sheetName val="LT_II2"/>
      <sheetName val="analisa_Str2"/>
      <sheetName val="Analisa_(2)2"/>
      <sheetName val="Ana_Sanitair2"/>
      <sheetName val="H_Satuan2"/>
      <sheetName val="Daf-3_62"/>
      <sheetName val="Tie_Beam_GN2"/>
      <sheetName val="Anl_+2"/>
      <sheetName val="Posisi_Biaya2"/>
      <sheetName val="HRG_BHN2"/>
      <sheetName val="HB_me2"/>
      <sheetName val="REKAP_UMUM3"/>
      <sheetName val="Rekap_LT_I3"/>
      <sheetName val="lt_I3"/>
      <sheetName val="rekap_LT_II3"/>
      <sheetName val="LT_II3"/>
      <sheetName val="analisa_Str3"/>
      <sheetName val="Analisa_(2)3"/>
      <sheetName val="Ana_Sanitair3"/>
      <sheetName val="H_Satuan3"/>
      <sheetName val="Daf-3_63"/>
      <sheetName val="Tie_Beam_GN3"/>
      <sheetName val="Anl_+3"/>
      <sheetName val="Posisi_Biaya3"/>
      <sheetName val="HRG_BHN3"/>
      <sheetName val="HB_me3"/>
      <sheetName val="#REF"/>
      <sheetName val="L-Mechanical"/>
      <sheetName val="Pen Macadam"/>
      <sheetName val="SCH"/>
      <sheetName val="Analisa -Baku"/>
      <sheetName val="IND LB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22">
          <cell r="G22">
            <v>6000</v>
          </cell>
        </row>
        <row r="49">
          <cell r="G49">
            <v>3500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RTEK"/>
    </sheetNames>
    <sheetDataSet>
      <sheetData sheetId="0"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
      <sheetName val="REKAP-STR"/>
      <sheetName val="REKAP-T"/>
      <sheetName val="BQ-STR"/>
      <sheetName val="DASHBOARD"/>
      <sheetName val="ANALISA"/>
      <sheetName val="HSATUAN"/>
      <sheetName val="KURVAS"/>
      <sheetName val="ALAT"/>
      <sheetName val="ALAT_MSK_PERS"/>
      <sheetName val="MASUK_PERS"/>
      <sheetName val="PERSIAPAN"/>
      <sheetName val="BAU"/>
      <sheetName val="RUPA"/>
      <sheetName val="BANK"/>
      <sheetName val="DFTRALAT"/>
      <sheetName val="Data Base Pegawai Divisi I"/>
      <sheetName val="UPAH"/>
      <sheetName val="harsat"/>
      <sheetName val="COST"/>
      <sheetName val="Harsat Upah"/>
      <sheetName val="Harsat Bahan"/>
      <sheetName val="SATUAN JADI "/>
      <sheetName val="H.Satuan"/>
      <sheetName val="Pt"/>
      <sheetName val="KH-Q1,Q2,01"/>
      <sheetName val="D_harga"/>
      <sheetName val="C. Analisa "/>
      <sheetName val="Elektrikal"/>
      <sheetName val="beton"/>
      <sheetName val="HRG SATUAN"/>
      <sheetName val="index"/>
      <sheetName val="BAHAN"/>
      <sheetName val="UTILITAS"/>
      <sheetName val="HARGA BAHAN 2016"/>
      <sheetName val="Analisa HarSat "/>
      <sheetName val="BQ ARS"/>
      <sheetName val="L-Mechanical"/>
      <sheetName val="anaUTama"/>
    </sheetNames>
    <sheetDataSet>
      <sheetData sheetId="0" refreshError="1"/>
      <sheetData sheetId="1" refreshError="1"/>
      <sheetData sheetId="2" refreshError="1"/>
      <sheetData sheetId="3" refreshError="1"/>
      <sheetData sheetId="4" refreshError="1"/>
      <sheetData sheetId="5" refreshError="1"/>
      <sheetData sheetId="6" refreshError="1">
        <row r="206">
          <cell r="H206">
            <v>5000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kap"/>
      <sheetName val="Elektrikal"/>
      <sheetName val="Elektronik"/>
      <sheetName val="AC"/>
      <sheetName val="Plumbing"/>
      <sheetName val="spek"/>
      <sheetName val="rekap.evals"/>
      <sheetName val="elec.evals"/>
      <sheetName val="elka.evals"/>
      <sheetName val="AC.evals"/>
      <sheetName val="Plum.evals"/>
      <sheetName val="ana_str"/>
      <sheetName val="Pipe"/>
      <sheetName val="Bill No 6 Koord &amp; Attendance"/>
      <sheetName val="KH-Q1,Q2,01"/>
      <sheetName val="HSATUAN"/>
      <sheetName val="B _ Norelec"/>
      <sheetName val="Analisa Upah &amp; Bahan Plum"/>
      <sheetName val="C. Analisa "/>
      <sheetName val="Analisa STR"/>
      <sheetName val="Pt"/>
      <sheetName val="harsat"/>
      <sheetName val="Analisa"/>
      <sheetName val="COST"/>
      <sheetName val="Sheet1"/>
      <sheetName val="Sat~Bahu"/>
      <sheetName val="BQ-1A"/>
      <sheetName val="BQ"/>
      <sheetName val="analis"/>
      <sheetName val="Harsat Upah"/>
      <sheetName val="Harsat Bahan"/>
      <sheetName val="Fill this out first___"/>
      <sheetName val="STRUKTUR"/>
      <sheetName val="UPAH"/>
      <sheetName val="name"/>
      <sheetName val="A+Supl."/>
      <sheetName val="7"/>
      <sheetName val="beton"/>
      <sheetName val="BAHAN"/>
      <sheetName val="GRAND REKAP"/>
      <sheetName val="Agregat Halus &amp; Kasar"/>
      <sheetName val="HARGA MATERIAL"/>
      <sheetName val="Tie Beam GN"/>
      <sheetName val="PileCap"/>
      <sheetName val="A"/>
      <sheetName val="Supl.X"/>
      <sheetName val="Kolom"/>
      <sheetName val="harga asli"/>
      <sheetName val="KH_Q1_Q2_01"/>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sboard"/>
      <sheetName val="Ana-sdm"/>
      <sheetName val="Prelim"/>
      <sheetName val="Bill of Qty"/>
      <sheetName val="BQ Takur"/>
      <sheetName val="Analisa"/>
      <sheetName val="Hargamat"/>
      <sheetName val="Analisa Str"/>
      <sheetName val="Hargamat Str"/>
      <sheetName val="H-BHN"/>
      <sheetName val="A-BANTU"/>
      <sheetName val="bq"/>
      <sheetName val="Elektrikal"/>
      <sheetName val="List Material"/>
      <sheetName val="Pipe"/>
      <sheetName val="RAB"/>
      <sheetName val="HSATUAN"/>
      <sheetName val="harsat"/>
      <sheetName val="KH_Q1_Q2_01"/>
      <sheetName val="GEDUNG_A"/>
      <sheetName val="Boq"/>
      <sheetName val="SUB STRUCTURE"/>
      <sheetName val="REKAP"/>
      <sheetName val="Penjumlahan"/>
      <sheetName val="FINISHING"/>
      <sheetName val="HSD"/>
      <sheetName val="Analisa 2"/>
      <sheetName val="H.Satuan"/>
      <sheetName val="Pt"/>
      <sheetName val="HB me"/>
      <sheetName val="beton"/>
      <sheetName val="POL"/>
      <sheetName val="Data"/>
      <sheetName val="KH-Q1,Q2,01"/>
      <sheetName val="Hargamaterial"/>
      <sheetName val="A"/>
      <sheetName val="Sat~Bahu"/>
      <sheetName val="harga"/>
      <sheetName val="BQ-1A"/>
      <sheetName val="ANalisa "/>
      <sheetName val="AC-2"/>
      <sheetName val="CH"/>
      <sheetName val="Harsat Upah"/>
      <sheetName val="analis"/>
      <sheetName val="Harsat Bahan"/>
      <sheetName val="COST"/>
      <sheetName val="UPAH"/>
      <sheetName val="Str BT"/>
      <sheetName val="13.Nangakara Weir"/>
      <sheetName val="14.Irr.Canal Work"/>
      <sheetName val="15.Irr. Struc.Work"/>
      <sheetName val="16.Pipe Inst."/>
      <sheetName val="18.Lateral Pipe"/>
      <sheetName val="1.General "/>
      <sheetName val="RAB STR KARIMUN"/>
      <sheetName val="Sheet1"/>
      <sheetName val="rINCIAN"/>
      <sheetName val="1"/>
      <sheetName val="Fill this out first..."/>
      <sheetName val="HRG BHN"/>
      <sheetName val="atap"/>
      <sheetName val="D3"/>
      <sheetName val="Kantor"/>
      <sheetName val="Cover Daf-2"/>
      <sheetName val="name"/>
      <sheetName val="Plumb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Anl-Alt"/>
      <sheetName val="Lamp 2a(Schedule) ok"/>
      <sheetName val="Jadwal Alat"/>
      <sheetName val="Jadwal Bahan"/>
      <sheetName val="Ls-Mobilisasi (OK)"/>
      <sheetName val="Lamp-3a(Analisa)"/>
      <sheetName val="Lamp-3b(Ur-Anl)"/>
      <sheetName val="REKAP"/>
      <sheetName val="BQ"/>
      <sheetName val="SAT-DAS"/>
      <sheetName val="Anl-Bhn (ok)"/>
      <sheetName val="Lamp-14 -Hit-Alt"/>
      <sheetName val="Lamp-4 (Pemel. Rutin)"/>
      <sheetName val="Lamp-5 (On Site)"/>
      <sheetName val="Lamp-6 (Plant)"/>
      <sheetName val="Lamp-7 (Df-Utm) ok"/>
      <sheetName val="Lamp-8 (Kont Seleksi)"/>
      <sheetName val="Lamp-9 (Df-Alat)"/>
      <sheetName val="Lamp-10"/>
      <sheetName val="Lamp-11 (Sub-kont) ok"/>
      <sheetName val="Lamp-14 (Lamp-Penaw) OK"/>
    </sheetNames>
    <sheetDataSet>
      <sheetData sheetId="0"/>
      <sheetData sheetId="1"/>
      <sheetData sheetId="2"/>
      <sheetData sheetId="3"/>
      <sheetData sheetId="4"/>
      <sheetData sheetId="5"/>
      <sheetData sheetId="6"/>
      <sheetData sheetId="7"/>
      <sheetData sheetId="8"/>
      <sheetData sheetId="9"/>
      <sheetData sheetId="10"/>
      <sheetData sheetId="11">
        <row r="28">
          <cell r="J28">
            <v>15700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
      <sheetName val="7.1"/>
      <sheetName val="7.2"/>
      <sheetName val="7.3"/>
      <sheetName val="7.4"/>
      <sheetName val="7.5"/>
      <sheetName val="7.6"/>
      <sheetName val="7.7"/>
      <sheetName val="7.8"/>
      <sheetName val="7.9"/>
      <sheetName val="Neraca"/>
      <sheetName val="Person1"/>
      <sheetName val="Person2"/>
      <sheetName val="Person3"/>
      <sheetName val="7.14"/>
      <sheetName val="7.15"/>
      <sheetName val="7.16"/>
      <sheetName val="7.17"/>
      <sheetName val="7.18"/>
      <sheetName val="ALAT.19"/>
      <sheetName val="Lamp.20"/>
      <sheetName val="Riwayat"/>
      <sheetName val="Karyawan"/>
      <sheetName val="cover"/>
      <sheetName val="kop"/>
      <sheetName val="Judul"/>
      <sheetName val="7.19"/>
      <sheetName val="FORM X COST"/>
      <sheetName val="Analisa"/>
      <sheetName val="RAB"/>
      <sheetName val="Elektrikal"/>
      <sheetName val="Cover Daf-2"/>
      <sheetName val="UPAH"/>
      <sheetName val="beton"/>
      <sheetName val="HSATUAN"/>
      <sheetName val="BHN1"/>
      <sheetName val="A"/>
      <sheetName val="BQ"/>
      <sheetName val="Harsat Bahan"/>
      <sheetName val="BAG-2"/>
      <sheetName val="Perhitungan RAB"/>
      <sheetName val="Sheet1"/>
      <sheetName val="RAB STR KARIMUN"/>
      <sheetName val="DAF-2"/>
      <sheetName val="Harsat Upah"/>
      <sheetName val="HARSAT"/>
      <sheetName val="LISTRIK"/>
      <sheetName val="H.Satuan"/>
      <sheetName val="Fill this out first..."/>
      <sheetName val="gvl"/>
      <sheetName val="PEMBESIAN BALOK tukang (2)"/>
      <sheetName val="bahan"/>
      <sheetName val="BoQ"/>
      <sheetName val="Gedung Kantor"/>
      <sheetName val="FINISHING"/>
      <sheetName val="Fill this out first___"/>
      <sheetName val="Divisi 9"/>
      <sheetName val="FAKTOR"/>
      <sheetName val="H_Satuan"/>
      <sheetName val="Pipe"/>
      <sheetName val="Harga Satuan"/>
      <sheetName val="Schedul RD"/>
    </sheetNames>
    <sheetDataSet>
      <sheetData sheetId="0" refreshError="1">
        <row r="1">
          <cell r="A1" t="str">
            <v>PT. LIE JASIN ENGINEERING</v>
          </cell>
        </row>
        <row r="3">
          <cell r="A3" t="str">
            <v>Yohannes A. Efferin</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XXXX"/>
      <sheetName val="Anl-Alt"/>
      <sheetName val="Lamp 2a(Schedule) ok"/>
      <sheetName val="Jadwal Alat"/>
      <sheetName val="Jadwal Bahan"/>
      <sheetName val="Ls-Mobilisasi (OK)"/>
      <sheetName val="Lamp. 3a"/>
      <sheetName val="Ur-Anl"/>
      <sheetName val="REKAP"/>
      <sheetName val="BQ"/>
      <sheetName val="Analisa (ok)"/>
      <sheetName val="SAT-DAS"/>
      <sheetName val="Anl-Bhn (ok)"/>
      <sheetName val="Lamp-14 -Hit-Alt"/>
      <sheetName val="Lamp-4 (Pemel. Rutin)"/>
      <sheetName val="Lamp-5 (On Site)"/>
      <sheetName val="Lamp-6 (Plant)"/>
      <sheetName val="Lamp-7 (Df-Utm) ok"/>
      <sheetName val="Lamp-8 (Kont Seleksi)"/>
      <sheetName val="Lamp-9 (Df-Alat)"/>
      <sheetName val="Lamp-10"/>
      <sheetName val="Lamp-11 (Sub-kont) ok"/>
      <sheetName val="Lamp-14 (Lamp-Penaw) O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ow r="66">
          <cell r="J66">
            <v>198627.38</v>
          </cell>
        </row>
        <row r="70">
          <cell r="J70">
            <v>87258.96</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総括1"/>
      <sheetName val="NET表"/>
      <sheetName val="BQ表"/>
      <sheetName val="A"/>
      <sheetName val="Fill this out first___"/>
      <sheetName val="Ch"/>
      <sheetName val="Analisa Harga Satuan"/>
      <sheetName val="bq"/>
      <sheetName val="Analisa SNI STANDART "/>
      <sheetName val="Cover Daf-2"/>
      <sheetName val="KH-Q1,Q2,01"/>
      <sheetName val="Indirect"/>
      <sheetName val="daf-3(OK)"/>
      <sheetName val="daf-7(OK)"/>
      <sheetName val="PLUMBING"/>
      <sheetName val="Estimate"/>
      <sheetName val="DAF-2"/>
      <sheetName val="Fill this out first..."/>
      <sheetName val="Analisa"/>
      <sheetName val="nama PT."/>
      <sheetName val="PEMBESIAN BALOK tukang (2)"/>
      <sheetName val="Parameters"/>
      <sheetName val="RAB"/>
      <sheetName val="Submission Form"/>
      <sheetName val="gvl"/>
      <sheetName val="AnalisaSIPIL RIIL"/>
      <sheetName val="Listrik"/>
      <sheetName val="Daftar Harga"/>
      <sheetName val="JICA概総"/>
      <sheetName val="391.各"/>
      <sheetName val="Cover"/>
      <sheetName val="Harsat Upah"/>
      <sheetName val="ANALISA ME"/>
      <sheetName val="Harsat_marina"/>
      <sheetName val="ganda"/>
      <sheetName val="BoQ"/>
      <sheetName val="Konfirm"/>
      <sheetName val="Ana. PU"/>
      <sheetName val="CASE A1 CPP"/>
      <sheetName val="TOWN"/>
      <sheetName val="Elektrikal"/>
      <sheetName val="HSATUAN"/>
      <sheetName val="harsat"/>
      <sheetName val="Stampduty"/>
      <sheetName val="Currency Rate"/>
      <sheetName val="AnalisaSIPIL_RIIL"/>
      <sheetName val="Currency_Rate"/>
      <sheetName val="INDEX"/>
      <sheetName val="Rekap"/>
      <sheetName val="P.M(Monitoring Sche)"/>
      <sheetName val="Analisa Upah &amp; Bahan Plum"/>
      <sheetName val="struktur tdk dipakai"/>
      <sheetName val="#REF!"/>
      <sheetName val="환산표"/>
      <sheetName val="MUKA"/>
      <sheetName val="I-KAMAR"/>
      <sheetName val="No.1"/>
      <sheetName val="Markup"/>
      <sheetName val="BAG-2"/>
      <sheetName val="sort2"/>
      <sheetName val="AnalisaSIPIL_RIIL2"/>
      <sheetName val="Currency_Rate2"/>
      <sheetName val="Submission_Form1"/>
      <sheetName val="P_M(Monitoring_Sche)1"/>
      <sheetName val="Fill_this_out_first___1"/>
      <sheetName val="Cover_Daf-21"/>
      <sheetName val="No_11"/>
      <sheetName val="AnalisaSIPIL_RIIL1"/>
      <sheetName val="Currency_Rate1"/>
      <sheetName val="Submission_Form"/>
      <sheetName val="P_M(Monitoring_Sche)"/>
      <sheetName val="Fill_this_out_first___"/>
      <sheetName val="Cover_Daf-2"/>
      <sheetName val="No_1"/>
      <sheetName val="Instructions"/>
      <sheetName val="DAF_2"/>
      <sheetName val="Plat"/>
      <sheetName val="Sheet1"/>
      <sheetName val="Pile"/>
      <sheetName val="為替前提"/>
      <sheetName val="tifico"/>
      <sheetName val="lam-moi"/>
      <sheetName val="SEX"/>
      <sheetName val="予算票"/>
      <sheetName val="Price Biaya Cadangan"/>
      <sheetName val="BQ.Rekapitulasi  Akhir"/>
      <sheetName val="INS"/>
      <sheetName val="FAKTOR"/>
      <sheetName val="NAMES"/>
      <sheetName val="Final Summary"/>
      <sheetName val="機器表2"/>
      <sheetName val="AnalisaSIPIL_RIIL3"/>
      <sheetName val="HRG BHN"/>
      <sheetName val="Cover Daf_2"/>
      <sheetName val="MEK"/>
      <sheetName val="M_Up"/>
      <sheetName val="PRICE LIST"/>
      <sheetName val="Slab"/>
      <sheetName val="ana_str"/>
      <sheetName val="FINISHING"/>
      <sheetName val="cek 2061"/>
      <sheetName val="D4"/>
      <sheetName val="D6"/>
      <sheetName val="D7"/>
      <sheetName val="D8"/>
      <sheetName val="Pipe"/>
      <sheetName val="Analisa ARS"/>
      <sheetName val="z_ft"/>
      <sheetName val="Anls"/>
      <sheetName val="STR"/>
      <sheetName val="Bill of Qty MEP"/>
      <sheetName val="GBY.C企"/>
      <sheetName val="BQ(CME)"/>
      <sheetName val="H.Satuan"/>
      <sheetName val="細目"/>
      <sheetName val="STAFFSCHED "/>
      <sheetName val="TE TS FA LAN MATV"/>
      <sheetName val="Harga Satuan"/>
      <sheetName val="rab me (by owner) "/>
      <sheetName val="BQ (by owner)"/>
      <sheetName val="rab me (fisik)"/>
      <sheetName val="Sheet"/>
      <sheetName val="AC"/>
      <sheetName val="ARP-7"/>
      <sheetName val="bahan "/>
      <sheetName val="HS_TRG"/>
      <sheetName val="Upah"/>
      <sheetName val="rekap.c"/>
      <sheetName val="GRAND REKAP"/>
      <sheetName val="D &amp; W sizes"/>
      <sheetName val="ALAT"/>
      <sheetName val="STR(CANCEL)"/>
      <sheetName val="Ｎｏ.13"/>
      <sheetName val="schedule "/>
      <sheetName val="Weight Bridge"/>
      <sheetName val="AN-ALT"/>
      <sheetName val="Pt"/>
      <sheetName val="1"/>
      <sheetName val="Elec-ins"/>
      <sheetName val="DD"/>
      <sheetName val="escon"/>
      <sheetName val="Bahan"/>
      <sheetName val="Ahs.1"/>
      <sheetName val="Ahs.2"/>
      <sheetName val="BQ ARS"/>
      <sheetName val="mu"/>
      <sheetName val="Daftar Upah"/>
      <sheetName val="HRG BAHAN &amp; UPAH okk"/>
      <sheetName val="Analis Kusen okk"/>
      <sheetName val="Analisa RAP"/>
      <sheetName val="General"/>
      <sheetName val="Grafik Lab"/>
      <sheetName val="初期値設定"/>
      <sheetName val="P-late"/>
      <sheetName val="分類"/>
      <sheetName val="配管単価"/>
      <sheetName val="ELEMENT SUM"/>
      <sheetName val="HARGA MATERIAL"/>
      <sheetName val="rab g10"/>
      <sheetName val="BQ All_2"/>
      <sheetName val="Analisa 2"/>
      <sheetName val="BQ_E20_02_Rp_"/>
      <sheetName val="外構・目次"/>
      <sheetName val="工場棟・目次"/>
      <sheetName val="事務棟・目次"/>
      <sheetName val="020Comparison Sheet "/>
      <sheetName val="020Comparison_Sheet_"/>
      <sheetName val="HRG_BHN"/>
      <sheetName val="個案9411"/>
      <sheetName val="DTCT"/>
      <sheetName val="電気設備表"/>
      <sheetName val="Stations"/>
      <sheetName val="Construction"/>
      <sheetName val="Gia vat tu"/>
      <sheetName val="TSO_CHUNG"/>
      <sheetName val="Sheet2"/>
      <sheetName val="新规"/>
      <sheetName val="GB1"/>
      <sheetName val="IBASE"/>
      <sheetName val="D_MUC"/>
      <sheetName val="harga"/>
      <sheetName val="bobot"/>
      <sheetName val="BQ-E20-02(Rp)"/>
      <sheetName val="Daf 1"/>
      <sheetName val="input"/>
      <sheetName val="Key Assumptions"/>
      <sheetName val="AnalisaSIPIL_RIIL4"/>
      <sheetName val="Currency_Rate3"/>
      <sheetName val="Submission_Form2"/>
      <sheetName val="P_M(Monitoring_Sche)2"/>
      <sheetName val="Fill_this_out_first___2"/>
      <sheetName val="Cover_Daf-22"/>
      <sheetName val="No_12"/>
      <sheetName val="Analisa_Upah_&amp;_Bahan_Plum"/>
      <sheetName val="struktur_tdk_dipakai"/>
      <sheetName val="cek_2061"/>
      <sheetName val="GBY_C企"/>
      <sheetName val="Bill_of_Qty_MEP"/>
      <sheetName val="Price_Biaya_Cadangan"/>
      <sheetName val="BQ_Rekapitulasi__Akhir"/>
      <sheetName val="schedule_"/>
      <sheetName val="Analisa_SNI_STANDART_"/>
      <sheetName val="Analisa_Harga_Satuan"/>
      <sheetName val="Fill_this_out_first___3"/>
      <sheetName val="nama_PT_"/>
      <sheetName val="Harsat_Upah"/>
      <sheetName val="Final_Summary"/>
      <sheetName val="HRG_BHN1"/>
      <sheetName val="Cover_Daf_2"/>
      <sheetName val="Weight_Bridge"/>
      <sheetName val="TE_TS_FA_LAN_MATV"/>
      <sheetName val="Harga_Satuan"/>
      <sheetName val="rab_me_(by_owner)_"/>
      <sheetName val="BQ_(by_owner)"/>
      <sheetName val="rab_me_(fisik)"/>
      <sheetName val="bahan_"/>
      <sheetName val="H_Satuan"/>
      <sheetName val="rekap_c"/>
      <sheetName val="GRAND_REKAP"/>
      <sheetName val="ANALISA_ME"/>
      <sheetName val="Ahs_1"/>
      <sheetName val="Ahs_2"/>
      <sheetName val="BQ_ARS"/>
      <sheetName val="Daftar_Upah"/>
      <sheetName val="Daftar_Harga"/>
      <sheetName val="HRG_BAHAN_&amp;_UPAH_okk"/>
      <sheetName val="Analis_Kusen_okk"/>
      <sheetName val="Analisa_RAP"/>
      <sheetName val="STAFFSCHED_"/>
      <sheetName val="Grafik_Lab"/>
      <sheetName val="PRICE_LIST"/>
      <sheetName val="Analisa_ARS"/>
      <sheetName val="020Comparison_Sheet_1"/>
      <sheetName val="Gia_vat_tu"/>
      <sheetName val="D_&amp;_W_sizes"/>
      <sheetName val="Daf_1"/>
      <sheetName val="Kihon-Jiko"/>
      <sheetName val="실행철강하도"/>
      <sheetName val="Tra_bang"/>
      <sheetName val="BIDDING-SUM"/>
      <sheetName val="H-BHN"/>
      <sheetName val="P9 SEC.C"/>
      <sheetName val="P9 SEC.D"/>
      <sheetName val="DAF-1"/>
      <sheetName val="TEKIYO"/>
      <sheetName val="Ｎｏ_13"/>
      <sheetName val="ELEMENT_SUM"/>
      <sheetName val="HARGA_MATERIAL"/>
      <sheetName val="rab_g10"/>
      <sheetName val="BQ_All_2"/>
      <sheetName val="Analisa_2"/>
      <sheetName val="Key_Assumptions"/>
      <sheetName val="PEMBESIAN_BALOK_tukang_(2)"/>
      <sheetName val="AnalisaSIPIL_RIIL5"/>
      <sheetName val="Currency_Rate4"/>
      <sheetName val="Submission_Form3"/>
      <sheetName val="P_M(Monitoring_Sche)3"/>
      <sheetName val="Fill_this_out_first___4"/>
      <sheetName val="Cover_Daf-23"/>
      <sheetName val="No_13"/>
      <sheetName val="cek_20611"/>
      <sheetName val="Analisa_Upah_&amp;_Bahan_Plum1"/>
      <sheetName val="struktur_tdk_dipakai1"/>
      <sheetName val="Final_Summary1"/>
      <sheetName val="HRG_BHN2"/>
      <sheetName val="Cover_Daf_21"/>
      <sheetName val="Analisa_ARS1"/>
      <sheetName val="Price_Biaya_Cadangan1"/>
      <sheetName val="BQ_Rekapitulasi__Akhir1"/>
      <sheetName val="PRICE_LIST1"/>
      <sheetName val="Bill_of_Qty_MEP1"/>
      <sheetName val="GBY_C企1"/>
      <sheetName val="H_Satuan1"/>
      <sheetName val="STAFFSCHED_1"/>
      <sheetName val="TE_TS_FA_LAN_MATV1"/>
      <sheetName val="Harga_Satuan1"/>
      <sheetName val="rab_me_(by_owner)_1"/>
      <sheetName val="BQ_(by_owner)1"/>
      <sheetName val="rab_me_(fisik)1"/>
      <sheetName val="bahan_1"/>
      <sheetName val="rekap_c1"/>
      <sheetName val="GRAND_REKAP1"/>
      <sheetName val="ANALISA_ME1"/>
      <sheetName val="D_&amp;_W_sizes1"/>
      <sheetName val="Analisa_Harga_Satuan1"/>
      <sheetName val="Ｎｏ_131"/>
      <sheetName val="schedule_1"/>
      <sheetName val="Analisa_SNI_STANDART_1"/>
      <sheetName val="Fill_this_out_first___5"/>
      <sheetName val="nama_PT_1"/>
      <sheetName val="Harsat_Upah1"/>
      <sheetName val="Weight_Bridge1"/>
      <sheetName val="Ahs_11"/>
      <sheetName val="Ahs_21"/>
      <sheetName val="BQ_ARS1"/>
      <sheetName val="Daftar_Upah1"/>
      <sheetName val="Daftar_Harga1"/>
      <sheetName val="HRG_BAHAN_&amp;_UPAH_okk1"/>
      <sheetName val="Analis_Kusen_okk1"/>
      <sheetName val="Analisa_RAP1"/>
      <sheetName val="Grafik_Lab1"/>
      <sheetName val="ELEMENT_SUM1"/>
      <sheetName val="HARGA_MATERIAL1"/>
      <sheetName val="rab_g101"/>
      <sheetName val="BQ_All_21"/>
      <sheetName val="Analisa_21"/>
      <sheetName val="020Comparison_Sheet_2"/>
      <sheetName val="Key_Assumptions1"/>
      <sheetName val="PEMBESIAN_BALOK_tukang_(2)1"/>
      <sheetName val="Gia_vat_tu1"/>
      <sheetName val="Daf_11"/>
      <sheetName val="SCH"/>
      <sheetName val="prelim"/>
      <sheetName val="SUMMARY"/>
      <sheetName val="Du_lieu"/>
      <sheetName val="an-jln"/>
      <sheetName val="an-pipa"/>
      <sheetName val="HDasar"/>
      <sheetName val="Peralatan"/>
      <sheetName val="rab lt 2 bo"/>
      <sheetName val="Consolidated Projects"/>
      <sheetName val="Developer rev 99"/>
      <sheetName val=" Ad Sales  exp"/>
      <sheetName val="Bus Dev"/>
      <sheetName val="corp. exp"/>
      <sheetName val="P10-Section N"/>
      <sheetName val="手动计画"/>
      <sheetName val="개산공사비"/>
      <sheetName val="単価表"/>
      <sheetName val="Worksheet"/>
      <sheetName val="dtct cong"/>
      <sheetName val="Quantity"/>
      <sheetName val="제출계산서"/>
      <sheetName val="SH-E"/>
      <sheetName val="SH-C"/>
      <sheetName val="I-slab"/>
      <sheetName val="Mat_Source"/>
      <sheetName val="EXF"/>
      <sheetName val="DON GIA CAN THO"/>
      <sheetName val="諸経費"/>
      <sheetName val="清水計算営業税率関連"/>
      <sheetName val="harmony_done"/>
      <sheetName val="집계표"/>
      <sheetName val="Testing"/>
      <sheetName val="SourceData"/>
      <sheetName val="Pile径1m･27"/>
      <sheetName val="Doha WBS Clean"/>
      <sheetName val="SL dau tien"/>
      <sheetName val="차액보증"/>
      <sheetName val="NKC6"/>
      <sheetName val="BANRA"/>
      <sheetName val="İhzar"/>
      <sheetName val="CATEGORY"/>
      <sheetName val="ANALISA TENDER"/>
      <sheetName val="Q2 update summarized demand"/>
      <sheetName val="Direct Area COW"/>
      <sheetName val="BAG_2"/>
      <sheetName val="Price"/>
      <sheetName val="UP"/>
      <sheetName val="Breakdown"/>
      <sheetName val="Cash Flow bulanan"/>
      <sheetName val="Harga S Dasar UNTUK IDISI"/>
      <sheetName val="isian"/>
      <sheetName val="RAB_ASRAMA_(7.A)"/>
      <sheetName val="GM &amp; TA"/>
      <sheetName val="Wag&amp;Sal"/>
      <sheetName val="2002Shipment"/>
      <sheetName val="DonGia chetao"/>
      <sheetName val="DonGia VatTuLK"/>
      <sheetName val="D02A"/>
      <sheetName val="汎用設備調達日程表"/>
      <sheetName val="SAN REDUCED 1"/>
      <sheetName val="H-DsrReal"/>
      <sheetName val="RPP01-5"/>
      <sheetName val="satuan_pek"/>
      <sheetName val="Master 1.0"/>
      <sheetName val="IDX06"/>
      <sheetName val="TTS"/>
      <sheetName val="PP-8000AB"/>
      <sheetName val="Eval-bul"/>
      <sheetName val="Ahs_12"/>
      <sheetName val="Ahs_22"/>
      <sheetName val="IN OUT"/>
      <sheetName val="Scurve LL1  komplit "/>
      <sheetName val="Summary LP 1 (2)"/>
      <sheetName val="Scurve LL2 komplit"/>
      <sheetName val="Summary LP 2"/>
      <sheetName val="Scurve LL3 komplit (2)"/>
      <sheetName val="Summary LP 3"/>
      <sheetName val="overall (eng+Civ+RS) (2)"/>
      <sheetName val="Summary ALL"/>
      <sheetName val="overall (eng+Civ+RS) (3)"/>
      <sheetName val="overall (eng+Civ+RS)"/>
      <sheetName val="Cash flow"/>
      <sheetName val="Sheet5"/>
      <sheetName val="Sheet3"/>
      <sheetName val="analisa Volume "/>
      <sheetName val="Summary LP 1"/>
      <sheetName val="Rekap Prelim"/>
      <sheetName val="FORM"/>
      <sheetName val="Parameter"/>
      <sheetName val="TB"/>
      <sheetName val="List"/>
      <sheetName val="Format Report-for analysis only"/>
      <sheetName val="XREF"/>
      <sheetName val="Ahs_13"/>
      <sheetName val="Ahs_23"/>
      <sheetName val="셀명"/>
      <sheetName val="수지표"/>
      <sheetName val="Daftar Harga Bahan"/>
      <sheetName val="Ahs_14"/>
      <sheetName val="Ahs_24"/>
      <sheetName val="Cover_Daf-24"/>
      <sheetName val="391_各"/>
      <sheetName val="IN_OUT"/>
      <sheetName val="Scurve_LL1__komplit_"/>
      <sheetName val="Summary_LP_1_(2)"/>
      <sheetName val="Scurve_LL2_komplit"/>
      <sheetName val="Summary_LP_2"/>
      <sheetName val="Scurve_LL3_komplit_(2)"/>
      <sheetName val="Summary_LP_3"/>
      <sheetName val="overall_(eng+Civ+RS)_(2)"/>
      <sheetName val="Summary_ALL"/>
      <sheetName val="overall_(eng+Civ+RS)_(3)"/>
      <sheetName val="overall_(eng+Civ+RS)"/>
      <sheetName val="Cash_flow"/>
      <sheetName val="analisa_Volume_"/>
      <sheetName val="Summary_LP_1"/>
      <sheetName val="Rekap_Prelim"/>
      <sheetName val="Format_Report-for_analysis_only"/>
      <sheetName val="Daftar_Harga_Bahan"/>
      <sheetName val="PL (MONTHLY)"/>
      <sheetName val="Agregat Halus &amp; Kasar"/>
      <sheetName val="main summary"/>
      <sheetName val="Fill_this_out_first___6"/>
      <sheetName val="Ahs_15"/>
      <sheetName val="Ahs_25"/>
      <sheetName val="Cover_Daf-25"/>
      <sheetName val="Fill_this_out_first___7"/>
      <sheetName val="391_各1"/>
      <sheetName val="IN_OUT1"/>
      <sheetName val="Scurve_LL1__komplit_1"/>
      <sheetName val="Summary_LP_1_(2)1"/>
      <sheetName val="Scurve_LL2_komplit1"/>
      <sheetName val="Summary_LP_21"/>
      <sheetName val="Scurve_LL3_komplit_(2)1"/>
      <sheetName val="Summary_LP_31"/>
      <sheetName val="overall_(eng+Civ+RS)_(2)1"/>
      <sheetName val="Summary_ALL1"/>
      <sheetName val="overall_(eng+Civ+RS)_(3)1"/>
      <sheetName val="overall_(eng+Civ+RS)1"/>
      <sheetName val="Cash_flow1"/>
      <sheetName val="analisa_Volume_1"/>
      <sheetName val="Summary_LP_11"/>
      <sheetName val="Rekap_Prelim1"/>
      <sheetName val="Penyusutan Kendaraan"/>
      <sheetName val="DATA PROYEK"/>
      <sheetName val="talent pools"/>
      <sheetName val="masterGRADE"/>
      <sheetName val="Account Code"/>
      <sheetName val="NP"/>
      <sheetName val="PC VO"/>
      <sheetName val="Assumptions.Changes"/>
      <sheetName val="Format_Report-for_analysis_onl1"/>
      <sheetName val="Daftar_Harga_Bahan1"/>
      <sheetName val="main_summary"/>
      <sheetName val="Penyusutan_Kendaraan"/>
      <sheetName val="AnalisaSIPIL RIIL RAP"/>
      <sheetName val="REKAP MC 1"/>
      <sheetName val="BILL MC 1"/>
      <sheetName val="ANALISA railing"/>
      <sheetName val="ANALISA GRS TENGAH"/>
      <sheetName val="fcsp-w"/>
      <sheetName val="Data"/>
      <sheetName val="CondPol"/>
      <sheetName val="AnalisaSIPIL_RIIL6"/>
      <sheetName val="Currency_Rate5"/>
      <sheetName val="Submission_Form4"/>
      <sheetName val="P_M(Monitoring_Sche)4"/>
      <sheetName val="No_14"/>
      <sheetName val="cek_20612"/>
      <sheetName val="Analisa_Upah_&amp;_Bahan_Plum2"/>
      <sheetName val="struktur_tdk_dipakai2"/>
      <sheetName val="Final_Summary2"/>
      <sheetName val="HRG_BHN3"/>
      <sheetName val="Cover_Daf_22"/>
      <sheetName val="Analisa_ARS2"/>
      <sheetName val="Price_Biaya_Cadangan2"/>
      <sheetName val="BQ_Rekapitulasi__Akhir2"/>
      <sheetName val="PRICE_LIST2"/>
      <sheetName val="Bill_of_Qty_MEP2"/>
      <sheetName val="GBY_C企2"/>
      <sheetName val="H_Satuan2"/>
      <sheetName val="STAFFSCHED_2"/>
      <sheetName val="TE_TS_FA_LAN_MATV2"/>
      <sheetName val="Harga_Satuan2"/>
      <sheetName val="rab_me_(by_owner)_2"/>
      <sheetName val="BQ_(by_owner)2"/>
      <sheetName val="rab_me_(fisik)2"/>
      <sheetName val="bahan_2"/>
      <sheetName val="rekap_c2"/>
      <sheetName val="GRAND_REKAP2"/>
      <sheetName val="ANALISA_ME2"/>
      <sheetName val="D_&amp;_W_sizes2"/>
      <sheetName val="Analisa_Harga_Satuan2"/>
      <sheetName val="Ｎｏ_132"/>
      <sheetName val="schedule_2"/>
      <sheetName val="Analisa_SNI_STANDART_2"/>
      <sheetName val="nama_PT_2"/>
      <sheetName val="Harsat_Upah2"/>
      <sheetName val="Weight_Bridge2"/>
      <sheetName val="BQ_ARS2"/>
      <sheetName val="Daftar_Upah2"/>
      <sheetName val="Daftar_Harga2"/>
      <sheetName val="HRG_BAHAN_&amp;_UPAH_okk2"/>
      <sheetName val="Analis_Kusen_okk2"/>
      <sheetName val="Analisa_RAP2"/>
      <sheetName val="Grafik_Lab2"/>
      <sheetName val="020Comparison_Sheet_3"/>
      <sheetName val="ELEMENT_SUM2"/>
      <sheetName val="HARGA_MATERIAL2"/>
      <sheetName val="rab_g102"/>
      <sheetName val="BQ_All_22"/>
      <sheetName val="Analisa_22"/>
      <sheetName val="Key_Assumptions2"/>
      <sheetName val="PEMBESIAN_BALOK_tukang_(2)2"/>
      <sheetName val="Gia_vat_tu2"/>
      <sheetName val="Daf_12"/>
      <sheetName val="P9_SEC_C"/>
      <sheetName val="P9_SEC_D"/>
      <sheetName val="rab_lt_2_bo"/>
      <sheetName val="Consolidated_Projects"/>
      <sheetName val="Developer_rev_99"/>
      <sheetName val="_Ad_Sales__exp"/>
      <sheetName val="Bus_Dev"/>
      <sheetName val="corp__exp"/>
      <sheetName val="P10-Section_N"/>
      <sheetName val="dtct_cong"/>
      <sheetName val="DON_GIA_CAN_THO"/>
      <sheetName val="Doha_WBS_Clean"/>
      <sheetName val="SL_dau_tien"/>
      <sheetName val="Q2_update_summarized_demand"/>
      <sheetName val="Direct_Area_COW"/>
      <sheetName val="GM_&amp;_TA"/>
      <sheetName val="ANALISA_TENDER"/>
      <sheetName val="DonGia_chetao"/>
      <sheetName val="DonGia_VatTuLK"/>
      <sheetName val="Cash_Flow_bulanan"/>
      <sheetName val="Harga_S_Dasar_UNTUK_IDISI"/>
      <sheetName val="RAB_ASRAMA_(7_A)"/>
      <sheetName val="Master_1_0"/>
      <sheetName val="Micro"/>
      <sheetName val="Macro"/>
      <sheetName val="Scaff-Rose"/>
      <sheetName val="토량산출서"/>
      <sheetName val="MPL 技連"/>
      <sheetName val="342E BLOCK"/>
      <sheetName val="Copa Steakhouse-0346"/>
      <sheetName val=" Food Court Forecast"/>
      <sheetName val="Golden Court Forecast"/>
      <sheetName val="Mezzanibe Buffet Forecast"/>
      <sheetName val="Rest'e Perola Forecast"/>
      <sheetName val="AnalisaSIPIL_RIIL7"/>
      <sheetName val="Currency_Rate6"/>
      <sheetName val="Submission_Form5"/>
      <sheetName val="P_M(Monitoring_Sche)5"/>
      <sheetName val="No_15"/>
      <sheetName val="Fill_this_out_first___8"/>
      <sheetName val="Analisa_Upah_&amp;_Bahan_Plum3"/>
      <sheetName val="struktur_tdk_dipakai3"/>
      <sheetName val="schedule_3"/>
      <sheetName val="cek_20613"/>
      <sheetName val="GBY_C企3"/>
      <sheetName val="Bill_of_Qty_MEP3"/>
      <sheetName val="Price_Biaya_Cadangan3"/>
      <sheetName val="BQ_Rekapitulasi__Akhir3"/>
      <sheetName val="Analisa_SNI_STANDART_3"/>
      <sheetName val="Analisa_Harga_Satuan3"/>
      <sheetName val="Fill_this_out_first___9"/>
      <sheetName val="nama_PT_3"/>
      <sheetName val="Harsat_Upah3"/>
      <sheetName val="Final_Summary3"/>
      <sheetName val="HRG_BHN4"/>
      <sheetName val="Cover_Daf_23"/>
      <sheetName val="TE_TS_FA_LAN_MATV3"/>
      <sheetName val="Harga_Satuan3"/>
      <sheetName val="rab_me_(by_owner)_3"/>
      <sheetName val="BQ_(by_owner)3"/>
      <sheetName val="rab_me_(fisik)3"/>
      <sheetName val="bahan_3"/>
      <sheetName val="H_Satuan3"/>
      <sheetName val="rekap_c3"/>
      <sheetName val="GRAND_REKAP3"/>
      <sheetName val="ANALISA_ME3"/>
      <sheetName val="Weight_Bridge3"/>
      <sheetName val="BQ_ARS3"/>
      <sheetName val="Daftar_Upah3"/>
      <sheetName val="Daftar_Harga3"/>
      <sheetName val="HRG_BAHAN_&amp;_UPAH_okk3"/>
      <sheetName val="Analis_Kusen_okk3"/>
      <sheetName val="Analisa_RAP3"/>
      <sheetName val="STAFFSCHED_3"/>
      <sheetName val="Grafik_Lab3"/>
      <sheetName val="PRICE_LIST3"/>
      <sheetName val="Analisa_ARS3"/>
      <sheetName val="020Comparison_Sheet_4"/>
      <sheetName val="Daf_13"/>
      <sheetName val="D_&amp;_W_sizes3"/>
      <sheetName val="Gia_vat_tu3"/>
      <sheetName val="P9_SEC_C2"/>
      <sheetName val="P9_SEC_D2"/>
      <sheetName val="P10-Section_N2"/>
      <sheetName val="P9_SEC_C1"/>
      <sheetName val="P9_SEC_D1"/>
      <sheetName val="P10-Section_N1"/>
      <sheetName val="AnalisaSIPIL_RIIL9"/>
      <sheetName val="Currency_Rate8"/>
      <sheetName val="Submission_Form7"/>
      <sheetName val="P_M(Monitoring_Sche)7"/>
      <sheetName val="No_17"/>
      <sheetName val="Fill_this_out_first___12"/>
      <sheetName val="Cover_Daf-27"/>
      <sheetName val="Analisa_Upah_&amp;_Bahan_Plum5"/>
      <sheetName val="struktur_tdk_dipakai5"/>
      <sheetName val="schedule_5"/>
      <sheetName val="cek_20615"/>
      <sheetName val="GBY_C企5"/>
      <sheetName val="Bill_of_Qty_MEP5"/>
      <sheetName val="Price_Biaya_Cadangan5"/>
      <sheetName val="BQ_Rekapitulasi__Akhir5"/>
      <sheetName val="Analisa_SNI_STANDART_5"/>
      <sheetName val="Analisa_Harga_Satuan5"/>
      <sheetName val="Fill_this_out_first___13"/>
      <sheetName val="nama_PT_5"/>
      <sheetName val="Harsat_Upah5"/>
      <sheetName val="Final_Summary5"/>
      <sheetName val="HRG_BHN6"/>
      <sheetName val="Cover_Daf_25"/>
      <sheetName val="TE_TS_FA_LAN_MATV5"/>
      <sheetName val="Harga_Satuan5"/>
      <sheetName val="rab_me_(by_owner)_5"/>
      <sheetName val="BQ_(by_owner)5"/>
      <sheetName val="rab_me_(fisik)5"/>
      <sheetName val="bahan_5"/>
      <sheetName val="H_Satuan5"/>
      <sheetName val="rekap_c5"/>
      <sheetName val="GRAND_REKAP5"/>
      <sheetName val="ANALISA_ME5"/>
      <sheetName val="Weight_Bridge5"/>
      <sheetName val="BQ_ARS5"/>
      <sheetName val="Daftar_Upah5"/>
      <sheetName val="Daftar_Harga5"/>
      <sheetName val="HRG_BAHAN_&amp;_UPAH_okk5"/>
      <sheetName val="Analis_Kusen_okk5"/>
      <sheetName val="Analisa_RAP5"/>
      <sheetName val="STAFFSCHED_5"/>
      <sheetName val="Grafik_Lab5"/>
      <sheetName val="PRICE_LIST5"/>
      <sheetName val="Analisa_ARS5"/>
      <sheetName val="020Comparison_Sheet_6"/>
      <sheetName val="Daf_15"/>
      <sheetName val="D_&amp;_W_sizes5"/>
      <sheetName val="Gia_vat_tu5"/>
      <sheetName val="P9_SEC_C4"/>
      <sheetName val="P9_SEC_D4"/>
      <sheetName val="PEMBESIAN_BALOK_tukang_(2)4"/>
      <sheetName val="P10-Section_N3"/>
      <sheetName val="AnalisaSIPIL_RIIL8"/>
      <sheetName val="Currency_Rate7"/>
      <sheetName val="Submission_Form6"/>
      <sheetName val="P_M(Monitoring_Sche)6"/>
      <sheetName val="No_16"/>
      <sheetName val="Fill_this_out_first___10"/>
      <sheetName val="Cover_Daf-26"/>
      <sheetName val="Analisa_Upah_&amp;_Bahan_Plum4"/>
      <sheetName val="struktur_tdk_dipakai4"/>
      <sheetName val="schedule_4"/>
      <sheetName val="cek_20614"/>
      <sheetName val="GBY_C企4"/>
      <sheetName val="Bill_of_Qty_MEP4"/>
      <sheetName val="Price_Biaya_Cadangan4"/>
      <sheetName val="BQ_Rekapitulasi__Akhir4"/>
      <sheetName val="Analisa_SNI_STANDART_4"/>
      <sheetName val="Analisa_Harga_Satuan4"/>
      <sheetName val="Fill_this_out_first___11"/>
      <sheetName val="nama_PT_4"/>
      <sheetName val="Harsat_Upah4"/>
      <sheetName val="Final_Summary4"/>
      <sheetName val="HRG_BHN5"/>
      <sheetName val="Cover_Daf_24"/>
      <sheetName val="TE_TS_FA_LAN_MATV4"/>
      <sheetName val="Harga_Satuan4"/>
      <sheetName val="rab_me_(by_owner)_4"/>
      <sheetName val="BQ_(by_owner)4"/>
      <sheetName val="rab_me_(fisik)4"/>
      <sheetName val="bahan_4"/>
      <sheetName val="H_Satuan4"/>
      <sheetName val="rekap_c4"/>
      <sheetName val="GRAND_REKAP4"/>
      <sheetName val="ANALISA_ME4"/>
      <sheetName val="Weight_Bridge4"/>
      <sheetName val="BQ_ARS4"/>
      <sheetName val="Daftar_Upah4"/>
      <sheetName val="Daftar_Harga4"/>
      <sheetName val="HRG_BAHAN_&amp;_UPAH_okk4"/>
      <sheetName val="Analis_Kusen_okk4"/>
      <sheetName val="Analisa_RAP4"/>
      <sheetName val="STAFFSCHED_4"/>
      <sheetName val="Grafik_Lab4"/>
      <sheetName val="PRICE_LIST4"/>
      <sheetName val="Analisa_ARS4"/>
      <sheetName val="020Comparison_Sheet_5"/>
      <sheetName val="Daf_14"/>
      <sheetName val="D_&amp;_W_sizes4"/>
      <sheetName val="Gia_vat_tu4"/>
      <sheetName val="P9_SEC_C3"/>
      <sheetName val="P9_SEC_D3"/>
      <sheetName val="PEMBESIAN_BALOK_tukang_(2)3"/>
      <sheetName val="AnalisaSIPIL_RIIL10"/>
      <sheetName val="Currency_Rate9"/>
      <sheetName val="Submission_Form8"/>
      <sheetName val="P_M(Monitoring_Sche)8"/>
      <sheetName val="No_18"/>
      <sheetName val="Fill_this_out_first___14"/>
      <sheetName val="Cover_Daf-28"/>
      <sheetName val="Analisa_Upah_&amp;_Bahan_Plum6"/>
      <sheetName val="struktur_tdk_dipakai6"/>
      <sheetName val="schedule_6"/>
      <sheetName val="cek_20616"/>
      <sheetName val="GBY_C企6"/>
      <sheetName val="Bill_of_Qty_MEP6"/>
      <sheetName val="Price_Biaya_Cadangan6"/>
      <sheetName val="BQ_Rekapitulasi__Akhir6"/>
      <sheetName val="Analisa_SNI_STANDART_6"/>
      <sheetName val="Analisa_Harga_Satuan6"/>
      <sheetName val="Fill_this_out_first___15"/>
      <sheetName val="nama_PT_6"/>
      <sheetName val="Harsat_Upah6"/>
      <sheetName val="Final_Summary6"/>
      <sheetName val="HRG_BHN7"/>
      <sheetName val="Cover_Daf_26"/>
      <sheetName val="TE_TS_FA_LAN_MATV6"/>
      <sheetName val="Harga_Satuan6"/>
      <sheetName val="rab_me_(by_owner)_6"/>
      <sheetName val="BQ_(by_owner)6"/>
      <sheetName val="rab_me_(fisik)6"/>
      <sheetName val="bahan_6"/>
      <sheetName val="H_Satuan6"/>
      <sheetName val="rekap_c6"/>
      <sheetName val="GRAND_REKAP6"/>
      <sheetName val="ANALISA_ME6"/>
      <sheetName val="Weight_Bridge6"/>
      <sheetName val="Ahs_16"/>
      <sheetName val="Ahs_26"/>
      <sheetName val="BQ_ARS6"/>
      <sheetName val="Daftar_Upah6"/>
      <sheetName val="Daftar_Harga6"/>
      <sheetName val="HRG_BAHAN_&amp;_UPAH_okk6"/>
      <sheetName val="Analis_Kusen_okk6"/>
      <sheetName val="Analisa_RAP6"/>
      <sheetName val="STAFFSCHED_6"/>
      <sheetName val="Grafik_Lab6"/>
      <sheetName val="AnalisaSIPIL_RIIL11"/>
      <sheetName val="Currency_Rate10"/>
      <sheetName val="Submission_Form9"/>
      <sheetName val="P_M(Monitoring_Sche)9"/>
      <sheetName val="No_19"/>
      <sheetName val="Fill_this_out_first___16"/>
      <sheetName val="Cover_Daf-29"/>
      <sheetName val="Analisa_Upah_&amp;_Bahan_Plum7"/>
      <sheetName val="struktur_tdk_dipakai7"/>
      <sheetName val="schedule_7"/>
      <sheetName val="cek_20617"/>
      <sheetName val="GBY_C企7"/>
      <sheetName val="Bill_of_Qty_MEP7"/>
      <sheetName val="Price_Biaya_Cadangan7"/>
      <sheetName val="BQ_Rekapitulasi__Akhir7"/>
      <sheetName val="Analisa_SNI_STANDART_7"/>
      <sheetName val="Analisa_Harga_Satuan7"/>
      <sheetName val="Fill_this_out_first___17"/>
      <sheetName val="nama_PT_7"/>
      <sheetName val="Harsat_Upah7"/>
      <sheetName val="Final_Summary7"/>
      <sheetName val="HRG_BHN8"/>
      <sheetName val="Cover_Daf_27"/>
      <sheetName val="TE_TS_FA_LAN_MATV7"/>
      <sheetName val="Harga_Satuan7"/>
      <sheetName val="rab_me_(by_owner)_7"/>
      <sheetName val="BQ_(by_owner)7"/>
      <sheetName val="rab_me_(fisik)7"/>
      <sheetName val="bahan_7"/>
      <sheetName val="H_Satuan7"/>
      <sheetName val="rekap_c7"/>
      <sheetName val="GRAND_REKAP7"/>
      <sheetName val="ANALISA_ME7"/>
      <sheetName val="Weight_Bridge7"/>
      <sheetName val="Ahs_17"/>
      <sheetName val="Ahs_27"/>
      <sheetName val="BQ_ARS7"/>
      <sheetName val="Daftar_Upah7"/>
      <sheetName val="Daftar_Harga7"/>
      <sheetName val="HRG_BAHAN_&amp;_UPAH_okk7"/>
      <sheetName val="Analis_Kusen_okk7"/>
      <sheetName val="Analisa_RAP7"/>
      <sheetName val="STAFFSCHED_7"/>
      <sheetName val="Grafik_Lab7"/>
      <sheetName val="PRICE_LIST6"/>
      <sheetName val="Analisa_ARS6"/>
      <sheetName val="020Comparison_Sheet_7"/>
      <sheetName val="Daf_16"/>
      <sheetName val="D_&amp;_W_sizes6"/>
      <sheetName val="Gia_vat_tu6"/>
      <sheetName val="P9_SEC_C5"/>
      <sheetName val="P9_SEC_D5"/>
      <sheetName val="PEMBESIAN_BALOK_tukang_(2)5"/>
      <sheetName val="P10-Section_N4"/>
      <sheetName val="LPP-201"/>
      <sheetName val="weekly"/>
      <sheetName val="RAB AR&amp;STR"/>
      <sheetName val="Satuan"/>
      <sheetName val="AKTIVA2007"/>
      <sheetName val="UPAH BAHAN ALAT"/>
      <sheetName val="harga dasar"/>
      <sheetName val=""/>
      <sheetName val="Divisi 9"/>
      <sheetName val="hardas"/>
      <sheetName val="DHS"/>
      <sheetName val="Anal"/>
      <sheetName val="HIDRO"/>
      <sheetName val="DIVI6"/>
      <sheetName val="Kuantitas &amp; Harga"/>
      <sheetName val="SAP"/>
      <sheetName val="Gedung Kantor"/>
      <sheetName val="AHS (Kusen)"/>
      <sheetName val="hargaSatuan"/>
      <sheetName val="TKDN"/>
      <sheetName val="Sat~Bahu"/>
      <sheetName val="bahan upah"/>
      <sheetName val="BASIC"/>
      <sheetName val="Subcont"/>
      <sheetName val="BAU"/>
      <sheetName val="Hardasar-PSJJ"/>
      <sheetName val="REF.ONLY"/>
      <sheetName val="Hargamat"/>
      <sheetName val="Analis"/>
      <sheetName val="4-Analisa Quarry"/>
      <sheetName val="MAP"/>
      <sheetName val="HARSATALAT"/>
      <sheetName val="SCHEDULE"/>
      <sheetName val="auto-PPN"/>
      <sheetName val="UPH BHN"/>
      <sheetName val="HB me"/>
      <sheetName val="L-Mechanical"/>
      <sheetName val="労務単価表"/>
      <sheetName val="DG3285"/>
      <sheetName val="00-まとめ"/>
      <sheetName val="2003Bud"/>
      <sheetName val="Harga Bahan &amp; Upah "/>
      <sheetName val="부대tu"/>
      <sheetName val="건축-물가변동"/>
      <sheetName val="tong du toan"/>
      <sheetName val="UNIT RATE"/>
      <sheetName val="Equip Codes"/>
      <sheetName val="预算200326"/>
      <sheetName val="Man Power &amp; Comp"/>
      <sheetName val="TPI"/>
      <sheetName val="Price Persiapan dan Penunjang"/>
      <sheetName val="SATUAN JADI "/>
      <sheetName val="DAF.ALAT"/>
      <sheetName val="WI"/>
      <sheetName val="daf-alat"/>
      <sheetName val="resume"/>
      <sheetName val="bill of quantity"/>
      <sheetName val="BOW"/>
      <sheetName val="CASE_A1_CPP"/>
      <sheetName val="SAN_REDUCED_1"/>
      <sheetName val="Ｎｏ_134"/>
      <sheetName val="ELEMENT_SUM4"/>
      <sheetName val="HARGA_MATERIAL4"/>
      <sheetName val="rab_g104"/>
      <sheetName val="BQ_All_24"/>
      <sheetName val="Analisa_24"/>
      <sheetName val="dtct_cong2"/>
      <sheetName val="Key_Assumptions4"/>
      <sheetName val="rab_lt_2_bo2"/>
      <sheetName val="Consolidated_Projects2"/>
      <sheetName val="Developer_rev_992"/>
      <sheetName val="_Ad_Sales__exp2"/>
      <sheetName val="Bus_Dev2"/>
      <sheetName val="corp__exp2"/>
      <sheetName val="DON_GIA_CAN_THO2"/>
      <sheetName val="Doha_WBS_Clean2"/>
      <sheetName val="SL_dau_tien2"/>
      <sheetName val="Q2_update_summarized_demand2"/>
      <sheetName val="Direct_Area_COW2"/>
      <sheetName val="GM_&amp;_TA2"/>
      <sheetName val="ANALISA_TENDER2"/>
      <sheetName val="DonGia_chetao2"/>
      <sheetName val="DonGia_VatTuLK2"/>
      <sheetName val="Cash_Flow_bulanan2"/>
      <sheetName val="Harga_S_Dasar_UNTUK_IDISI2"/>
      <sheetName val="RAB_ASRAMA_(7_A)2"/>
      <sheetName val="CASE_A1_CPP2"/>
      <sheetName val="SAN_REDUCED_12"/>
      <sheetName val="391_各3"/>
      <sheetName val="IN_OUT3"/>
      <sheetName val="Scurve_LL1__komplit_3"/>
      <sheetName val="Summary_LP_1_(2)3"/>
      <sheetName val="Scurve_LL2_komplit3"/>
      <sheetName val="Summary_LP_23"/>
      <sheetName val="Scurve_LL3_komplit_(2)3"/>
      <sheetName val="Summary_LP_33"/>
      <sheetName val="overall_(eng+Civ+RS)_(2)3"/>
      <sheetName val="Summary_ALL3"/>
      <sheetName val="overall_(eng+Civ+RS)_(3)3"/>
      <sheetName val="overall_(eng+Civ+RS)3"/>
      <sheetName val="Cash_flow3"/>
      <sheetName val="analisa_Volume_3"/>
      <sheetName val="Summary_LP_13"/>
      <sheetName val="Rekap_Prelim3"/>
      <sheetName val="Format_Report-for_analysis_onl3"/>
      <sheetName val="Daftar_Harga_Bahan3"/>
      <sheetName val="PL_(MONTHLY)1"/>
      <sheetName val="Agregat_Halus_&amp;_Kasar1"/>
      <sheetName val="main_summary2"/>
      <sheetName val="Penyusutan_Kendaraan2"/>
      <sheetName val="DATA_PROYEK1"/>
      <sheetName val="talent_pools1"/>
      <sheetName val="Account_Code1"/>
      <sheetName val="PC_VO1"/>
      <sheetName val="Master_1_02"/>
      <sheetName val="AnalisaSIPIL_RIIL_RAP1"/>
      <sheetName val="REKAP_MC_11"/>
      <sheetName val="BILL_MC_11"/>
      <sheetName val="ANALISA_railing1"/>
      <sheetName val="ANALISA_GRS_TENGAH1"/>
      <sheetName val="Assumptions_Changes1"/>
      <sheetName val="bill_of_quantity1"/>
      <sheetName val="Ｎｏ_133"/>
      <sheetName val="ELEMENT_SUM3"/>
      <sheetName val="HARGA_MATERIAL3"/>
      <sheetName val="rab_g103"/>
      <sheetName val="BQ_All_23"/>
      <sheetName val="Analisa_23"/>
      <sheetName val="dtct_cong1"/>
      <sheetName val="Key_Assumptions3"/>
      <sheetName val="rab_lt_2_bo1"/>
      <sheetName val="Consolidated_Projects1"/>
      <sheetName val="Developer_rev_991"/>
      <sheetName val="_Ad_Sales__exp1"/>
      <sheetName val="Bus_Dev1"/>
      <sheetName val="corp__exp1"/>
      <sheetName val="DON_GIA_CAN_THO1"/>
      <sheetName val="Doha_WBS_Clean1"/>
      <sheetName val="SL_dau_tien1"/>
      <sheetName val="Q2_update_summarized_demand1"/>
      <sheetName val="Direct_Area_COW1"/>
      <sheetName val="GM_&amp;_TA1"/>
      <sheetName val="ANALISA_TENDER1"/>
      <sheetName val="DonGia_chetao1"/>
      <sheetName val="DonGia_VatTuLK1"/>
      <sheetName val="Cash_Flow_bulanan1"/>
      <sheetName val="Harga_S_Dasar_UNTUK_IDISI1"/>
      <sheetName val="RAB_ASRAMA_(7_A)1"/>
      <sheetName val="CASE_A1_CPP1"/>
      <sheetName val="SAN_REDUCED_11"/>
      <sheetName val="391_各2"/>
      <sheetName val="IN_OUT2"/>
      <sheetName val="Scurve_LL1__komplit_2"/>
      <sheetName val="Summary_LP_1_(2)2"/>
      <sheetName val="Scurve_LL2_komplit2"/>
      <sheetName val="Summary_LP_22"/>
      <sheetName val="Scurve_LL3_komplit_(2)2"/>
      <sheetName val="Summary_LP_32"/>
      <sheetName val="overall_(eng+Civ+RS)_(2)2"/>
      <sheetName val="Summary_ALL2"/>
      <sheetName val="overall_(eng+Civ+RS)_(3)2"/>
      <sheetName val="overall_(eng+Civ+RS)2"/>
      <sheetName val="Cash_flow2"/>
      <sheetName val="analisa_Volume_2"/>
      <sheetName val="Summary_LP_12"/>
      <sheetName val="Rekap_Prelim2"/>
      <sheetName val="Format_Report-for_analysis_onl2"/>
      <sheetName val="Daftar_Harga_Bahan2"/>
      <sheetName val="PL_(MONTHLY)"/>
      <sheetName val="Agregat_Halus_&amp;_Kasar"/>
      <sheetName val="main_summary1"/>
      <sheetName val="Penyusutan_Kendaraan1"/>
      <sheetName val="DATA_PROYEK"/>
      <sheetName val="talent_pools"/>
      <sheetName val="Account_Code"/>
      <sheetName val="PC_VO"/>
      <sheetName val="Master_1_01"/>
      <sheetName val="AnalisaSIPIL_RIIL_RAP"/>
      <sheetName val="REKAP_MC_1"/>
      <sheetName val="BILL_MC_1"/>
      <sheetName val="ANALISA_railing"/>
      <sheetName val="ANALISA_GRS_TENGAH"/>
      <sheetName val="Assumptions_Changes"/>
      <sheetName val="bill_of_quantity"/>
      <sheetName val="PERF TEST Pre MP"/>
      <sheetName val="Analtanah"/>
      <sheetName val="dafharbhn"/>
      <sheetName val="2"/>
      <sheetName val="U,B"/>
      <sheetName val="An.Q"/>
      <sheetName val="3"/>
      <sheetName val="5"/>
      <sheetName val="B.Dsr"/>
      <sheetName val="Volume"/>
      <sheetName val="UPH,BHN,ALT"/>
      <sheetName val="REK-ANALISA"/>
      <sheetName val="Harsat Bahan"/>
      <sheetName val="C. Analisa "/>
      <sheetName val="MT"/>
      <sheetName val="GeneralInfo"/>
      <sheetName val="HVAC (2)"/>
      <sheetName val="FireAlarm"/>
      <sheetName val="SUB"/>
      <sheetName val="TS"/>
      <sheetName val="Hrg.Sat"/>
      <sheetName val="CSD"/>
      <sheetName val="Accounts"/>
      <sheetName val="SE"/>
      <sheetName val="Material"/>
      <sheetName val="Pekerjaan "/>
    </sheetNames>
    <sheetDataSet>
      <sheetData sheetId="0" refreshError="1">
        <row r="1">
          <cell r="A1">
            <v>0</v>
          </cell>
          <cell r="C1" t="str">
            <v>新 概算事業費積算総括表(1998-05-25)</v>
          </cell>
          <cell r="G1" t="str">
            <v>★操作方法(CTRL+Ｂ:ｷ-)</v>
          </cell>
        </row>
        <row r="2">
          <cell r="G2" t="str">
            <v>★操作方法(CTRL+Ｂ:ｷ-)</v>
          </cell>
        </row>
        <row r="3">
          <cell r="E3" t="str">
            <v xml:space="preserve">   概 算 事 業 費 積 算 総 括 表 (   期 ) (新築・改修)</v>
          </cell>
          <cell r="M3" t="str">
            <v>(建築案件の場合)</v>
          </cell>
        </row>
        <row r="4">
          <cell r="C4" t="str">
            <v xml:space="preserve"> 案  件  名 (年度)</v>
          </cell>
          <cell r="E4" t="str">
            <v>フィリピン国 地域保健所改修・機材整備計画</v>
          </cell>
          <cell r="I4" t="str">
            <v>平成11年</v>
          </cell>
          <cell r="K4" t="str">
            <v xml:space="preserve"> コンサルタント名</v>
          </cell>
          <cell r="M4" t="str">
            <v xml:space="preserve"> 株式会社　久 米 設 計</v>
          </cell>
        </row>
        <row r="5">
          <cell r="C5" t="str">
            <v xml:space="preserve"> 建　　設　　地</v>
          </cell>
          <cell r="E5" t="str">
            <v>フィリピン国</v>
          </cell>
          <cell r="F5" t="str">
            <v>ﾊﾞﾀ-ﾝ,ﾌﾞﾗｶﾝ,ﾇｴﾊﾞｴｼﾊ,ﾊﾟﾝﾊﾟﾝｶﾞ,ｻﾞﾝﾊﾞﾗｽ,ﾀ-ﾗｯｸ州</v>
          </cell>
          <cell r="K5" t="str">
            <v xml:space="preserve"> 積 算 時 点</v>
          </cell>
          <cell r="M5" t="str">
            <v xml:space="preserve">  平成10年 10月(1998年)</v>
          </cell>
        </row>
        <row r="6">
          <cell r="C6" t="str">
            <v xml:space="preserve"> 工　　　　　期</v>
          </cell>
          <cell r="E6" t="str">
            <v>1999 年 ６ 月初より 2000 年 3 月末まで ( 9.5 ｹ月間 )</v>
          </cell>
          <cell r="K6" t="str">
            <v xml:space="preserve"> 換 算 レ － ト</v>
          </cell>
          <cell r="M6" t="str">
            <v xml:space="preserve"> 1 US$=138.7円=40.8Peso</v>
          </cell>
        </row>
        <row r="7">
          <cell r="C7" t="str">
            <v>1. 用　　　　途</v>
          </cell>
          <cell r="E7" t="str">
            <v xml:space="preserve">医 　療 </v>
          </cell>
          <cell r="K7" t="str">
            <v xml:space="preserve"> 換 算 レ － ト</v>
          </cell>
          <cell r="M7" t="str">
            <v xml:space="preserve"> 1 Peso = 3.40 円</v>
          </cell>
        </row>
        <row r="8">
          <cell r="C8" t="str">
            <v>2. 敷 地  面 積</v>
          </cell>
          <cell r="E8">
            <v>33294</v>
          </cell>
          <cell r="F8" t="str">
            <v>m2</v>
          </cell>
          <cell r="G8" t="str">
            <v xml:space="preserve"> 3. 建築面積</v>
          </cell>
          <cell r="H8">
            <v>16160</v>
          </cell>
          <cell r="I8" t="str">
            <v>m2</v>
          </cell>
          <cell r="J8" t="str">
            <v xml:space="preserve"> 施 設 概 要</v>
          </cell>
          <cell r="K8" t="str">
            <v xml:space="preserve"> 地下 0階,地上 1階,軒高 3.7m (計)83 棟</v>
          </cell>
        </row>
        <row r="9">
          <cell r="C9" t="str">
            <v>4. 延 床  面 積</v>
          </cell>
          <cell r="E9">
            <v>16160</v>
          </cell>
          <cell r="F9" t="str">
            <v xml:space="preserve">m2 </v>
          </cell>
          <cell r="G9" t="str">
            <v xml:space="preserve"> 5. 面積内訳</v>
          </cell>
          <cell r="H9" t="str">
            <v>MCHC=2020.0 m2 :</v>
          </cell>
          <cell r="J9" t="str">
            <v>主体基礎構造</v>
          </cell>
          <cell r="K9" t="str">
            <v xml:space="preserve">  ＲＣ造 : 直 接 基 礎 </v>
          </cell>
        </row>
        <row r="10">
          <cell r="C10" t="str">
            <v>6. 施 工 床 面 積</v>
          </cell>
          <cell r="E10">
            <v>19018</v>
          </cell>
          <cell r="F10" t="str">
            <v>m2</v>
          </cell>
          <cell r="G10" t="str">
            <v>RHU=2460.0 m2: BHS=3600.0 m2:</v>
          </cell>
        </row>
        <row r="11">
          <cell r="E11">
            <v>19018</v>
          </cell>
          <cell r="F11" t="str">
            <v>m2</v>
          </cell>
          <cell r="G11" t="str">
            <v>RHU=2460.0 m2: BHS=3600.0 m2:</v>
          </cell>
        </row>
        <row r="12">
          <cell r="E12" t="str">
            <v xml:space="preserve">        現 地 調 達</v>
          </cell>
          <cell r="H12" t="str">
            <v xml:space="preserve">     第 三 国 調 達</v>
          </cell>
          <cell r="K12" t="str">
            <v xml:space="preserve">  日 本 調 達</v>
          </cell>
          <cell r="N12" t="str">
            <v xml:space="preserve"> 構成比(%)</v>
          </cell>
        </row>
        <row r="13">
          <cell r="C13" t="str">
            <v>工　事　名　称</v>
          </cell>
          <cell r="E13" t="str">
            <v xml:space="preserve">  現地貨 ( Peso )</v>
          </cell>
          <cell r="G13" t="str">
            <v>円 換 算</v>
          </cell>
          <cell r="H13" t="str">
            <v xml:space="preserve">  第三国 ( US$ )</v>
          </cell>
          <cell r="J13" t="str">
            <v>円 換 算</v>
          </cell>
          <cell r="K13" t="str">
            <v xml:space="preserve">  日 本 円 (\) </v>
          </cell>
          <cell r="M13" t="str">
            <v>総 合 計</v>
          </cell>
          <cell r="N13" t="str">
            <v>単価</v>
          </cell>
        </row>
        <row r="14">
          <cell r="E14" t="str">
            <v xml:space="preserve"> Ａ</v>
          </cell>
          <cell r="F14" t="str">
            <v xml:space="preserve"> Ｂ</v>
          </cell>
          <cell r="H14" t="str">
            <v xml:space="preserve"> Ｃ</v>
          </cell>
          <cell r="I14" t="str">
            <v xml:space="preserve"> Ｄ</v>
          </cell>
          <cell r="M14" t="str">
            <v xml:space="preserve"> </v>
          </cell>
          <cell r="N14" t="str">
            <v>(千円／m2)</v>
          </cell>
        </row>
        <row r="15">
          <cell r="C15" t="str">
            <v xml:space="preserve"> 総 　事　 業　 費</v>
          </cell>
          <cell r="E15">
            <v>205568815</v>
          </cell>
          <cell r="F15">
            <v>0</v>
          </cell>
          <cell r="G15">
            <v>698933971</v>
          </cell>
          <cell r="H15">
            <v>0</v>
          </cell>
          <cell r="I15">
            <v>0</v>
          </cell>
          <cell r="J15">
            <v>0</v>
          </cell>
          <cell r="K15">
            <v>64919000</v>
          </cell>
          <cell r="M15">
            <v>763852971</v>
          </cell>
          <cell r="N15">
            <v>100</v>
          </cell>
        </row>
        <row r="16">
          <cell r="C16" t="str">
            <v>Ｉ. 建 築 建 設 費</v>
          </cell>
          <cell r="E16">
            <v>205568815</v>
          </cell>
          <cell r="F16">
            <v>0</v>
          </cell>
          <cell r="G16">
            <v>698933971</v>
          </cell>
          <cell r="H16">
            <v>0</v>
          </cell>
          <cell r="I16">
            <v>0</v>
          </cell>
          <cell r="J16">
            <v>0</v>
          </cell>
          <cell r="K16">
            <v>64919000</v>
          </cell>
          <cell r="M16">
            <v>763852971</v>
          </cell>
          <cell r="N16">
            <v>100</v>
          </cell>
          <cell r="O16">
            <v>100</v>
          </cell>
        </row>
        <row r="17">
          <cell r="C17" t="str">
            <v>Ａ.直 接 工 事 費</v>
          </cell>
          <cell r="E17">
            <v>205568815</v>
          </cell>
          <cell r="F17">
            <v>0</v>
          </cell>
          <cell r="G17">
            <v>698933971</v>
          </cell>
          <cell r="H17">
            <v>0</v>
          </cell>
          <cell r="I17">
            <v>0</v>
          </cell>
          <cell r="J17">
            <v>0</v>
          </cell>
          <cell r="K17">
            <v>0</v>
          </cell>
          <cell r="M17">
            <v>698933971</v>
          </cell>
          <cell r="O17">
            <v>91.501113111465529</v>
          </cell>
        </row>
        <row r="18">
          <cell r="C18" t="str">
            <v xml:space="preserve"> １.建　築　費</v>
          </cell>
          <cell r="E18">
            <v>177146892</v>
          </cell>
          <cell r="F18">
            <v>0</v>
          </cell>
          <cell r="G18">
            <v>602299432</v>
          </cell>
          <cell r="H18">
            <v>0</v>
          </cell>
          <cell r="I18">
            <v>0</v>
          </cell>
          <cell r="J18">
            <v>0</v>
          </cell>
          <cell r="K18">
            <v>0</v>
          </cell>
          <cell r="M18">
            <v>602299432</v>
          </cell>
        </row>
        <row r="19">
          <cell r="C19" t="str">
            <v>(1) 直接仮設</v>
          </cell>
          <cell r="E19">
            <v>5080885</v>
          </cell>
          <cell r="F19">
            <v>0</v>
          </cell>
          <cell r="G19">
            <v>17275009</v>
          </cell>
          <cell r="H19">
            <v>0</v>
          </cell>
          <cell r="I19">
            <v>0</v>
          </cell>
          <cell r="J19">
            <v>0</v>
          </cell>
          <cell r="K19">
            <v>0</v>
          </cell>
          <cell r="M19">
            <v>17275009</v>
          </cell>
        </row>
        <row r="20">
          <cell r="C20" t="str">
            <v>(2) 地業工事</v>
          </cell>
          <cell r="E20">
            <v>0</v>
          </cell>
          <cell r="F20">
            <v>0</v>
          </cell>
          <cell r="G20">
            <v>0</v>
          </cell>
          <cell r="H20">
            <v>0</v>
          </cell>
          <cell r="I20">
            <v>0</v>
          </cell>
          <cell r="J20">
            <v>0</v>
          </cell>
          <cell r="K20">
            <v>0</v>
          </cell>
          <cell r="M20">
            <v>0</v>
          </cell>
        </row>
        <row r="21">
          <cell r="C21" t="str">
            <v>(3) 土 工 事</v>
          </cell>
          <cell r="E21">
            <v>1774839</v>
          </cell>
          <cell r="F21">
            <v>0</v>
          </cell>
          <cell r="G21">
            <v>6034452</v>
          </cell>
          <cell r="H21">
            <v>0</v>
          </cell>
          <cell r="I21">
            <v>0</v>
          </cell>
          <cell r="J21">
            <v>0</v>
          </cell>
          <cell r="K21">
            <v>0</v>
          </cell>
          <cell r="M21">
            <v>6034452</v>
          </cell>
        </row>
        <row r="22">
          <cell r="C22" t="str">
            <v>(4) 躯体工事</v>
          </cell>
          <cell r="E22">
            <v>66767310</v>
          </cell>
          <cell r="F22">
            <v>0</v>
          </cell>
          <cell r="G22">
            <v>227008854</v>
          </cell>
          <cell r="H22">
            <v>0</v>
          </cell>
          <cell r="I22">
            <v>0</v>
          </cell>
          <cell r="J22">
            <v>0</v>
          </cell>
          <cell r="K22">
            <v>0</v>
          </cell>
          <cell r="M22">
            <v>227008854</v>
          </cell>
        </row>
        <row r="23">
          <cell r="C23" t="str">
            <v>(5) 仕上工事</v>
          </cell>
          <cell r="E23">
            <v>103523858</v>
          </cell>
          <cell r="F23">
            <v>0</v>
          </cell>
          <cell r="G23">
            <v>351981117</v>
          </cell>
          <cell r="H23">
            <v>0</v>
          </cell>
          <cell r="I23">
            <v>0</v>
          </cell>
          <cell r="J23">
            <v>0</v>
          </cell>
          <cell r="K23">
            <v>0</v>
          </cell>
          <cell r="M23">
            <v>351981117</v>
          </cell>
        </row>
        <row r="24">
          <cell r="C24" t="str">
            <v xml:space="preserve"> ２.設　備　費</v>
          </cell>
          <cell r="E24">
            <v>0</v>
          </cell>
          <cell r="F24">
            <v>0</v>
          </cell>
          <cell r="G24">
            <v>0</v>
          </cell>
          <cell r="H24">
            <v>0</v>
          </cell>
          <cell r="I24">
            <v>0</v>
          </cell>
          <cell r="J24">
            <v>0</v>
          </cell>
          <cell r="K24">
            <v>0</v>
          </cell>
          <cell r="M24">
            <v>0</v>
          </cell>
        </row>
        <row r="25">
          <cell r="C25" t="str">
            <v>(1) 電気設備工事</v>
          </cell>
          <cell r="E25">
            <v>0</v>
          </cell>
          <cell r="F25">
            <v>0</v>
          </cell>
          <cell r="G25">
            <v>0</v>
          </cell>
          <cell r="H25">
            <v>0</v>
          </cell>
          <cell r="I25">
            <v>0</v>
          </cell>
          <cell r="J25">
            <v>0</v>
          </cell>
          <cell r="K25">
            <v>0</v>
          </cell>
          <cell r="M25">
            <v>0</v>
          </cell>
        </row>
        <row r="26">
          <cell r="C26" t="str">
            <v xml:space="preserve"> 1. 受電・幹線動力</v>
          </cell>
          <cell r="E26">
            <v>0</v>
          </cell>
          <cell r="F26">
            <v>0</v>
          </cell>
          <cell r="G26">
            <v>0</v>
          </cell>
          <cell r="H26">
            <v>0</v>
          </cell>
          <cell r="I26">
            <v>0</v>
          </cell>
          <cell r="J26">
            <v>0</v>
          </cell>
          <cell r="K26">
            <v>0</v>
          </cell>
          <cell r="M26">
            <v>0</v>
          </cell>
        </row>
        <row r="27">
          <cell r="C27" t="str">
            <v xml:space="preserve"> 2. 照明器具設備等</v>
          </cell>
          <cell r="E27">
            <v>0</v>
          </cell>
          <cell r="F27">
            <v>0</v>
          </cell>
          <cell r="G27">
            <v>0</v>
          </cell>
          <cell r="H27">
            <v>0</v>
          </cell>
          <cell r="I27">
            <v>0</v>
          </cell>
          <cell r="J27">
            <v>0</v>
          </cell>
          <cell r="K27">
            <v>0</v>
          </cell>
          <cell r="M27">
            <v>0</v>
          </cell>
        </row>
        <row r="28">
          <cell r="C28" t="str">
            <v xml:space="preserve"> 3. 弱電設備等</v>
          </cell>
          <cell r="E28">
            <v>0</v>
          </cell>
          <cell r="F28">
            <v>0</v>
          </cell>
          <cell r="G28">
            <v>0</v>
          </cell>
          <cell r="H28">
            <v>0</v>
          </cell>
          <cell r="I28">
            <v>0</v>
          </cell>
          <cell r="J28">
            <v>0</v>
          </cell>
          <cell r="K28">
            <v>0</v>
          </cell>
          <cell r="M28">
            <v>0</v>
          </cell>
        </row>
        <row r="29">
          <cell r="C29" t="str">
            <v>(2) 給排水衛生設備</v>
          </cell>
          <cell r="E29">
            <v>0</v>
          </cell>
          <cell r="F29">
            <v>0</v>
          </cell>
          <cell r="G29">
            <v>0</v>
          </cell>
          <cell r="H29">
            <v>0</v>
          </cell>
          <cell r="I29">
            <v>0</v>
          </cell>
          <cell r="J29">
            <v>0</v>
          </cell>
          <cell r="K29">
            <v>0</v>
          </cell>
          <cell r="M29">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ow r="248">
          <cell r="BR248">
            <v>0.51365764197114638</v>
          </cell>
        </row>
      </sheetData>
      <sheetData sheetId="187">
        <row r="248">
          <cell r="BR248">
            <v>0.51365764197114638</v>
          </cell>
        </row>
      </sheetData>
      <sheetData sheetId="188">
        <row r="248">
          <cell r="BR248">
            <v>0.51365764197114638</v>
          </cell>
        </row>
      </sheetData>
      <sheetData sheetId="189">
        <row r="248">
          <cell r="BR248">
            <v>0.51365764197114638</v>
          </cell>
        </row>
      </sheetData>
      <sheetData sheetId="190">
        <row r="248">
          <cell r="BR248">
            <v>0.51365764197114638</v>
          </cell>
        </row>
      </sheetData>
      <sheetData sheetId="191">
        <row r="248">
          <cell r="BR248">
            <v>0.51365764197114638</v>
          </cell>
        </row>
      </sheetData>
      <sheetData sheetId="192">
        <row r="248">
          <cell r="BR248">
            <v>0.51365764197114638</v>
          </cell>
        </row>
      </sheetData>
      <sheetData sheetId="193">
        <row r="248">
          <cell r="BR248">
            <v>0.51365764197114638</v>
          </cell>
        </row>
      </sheetData>
      <sheetData sheetId="194">
        <row r="248">
          <cell r="BR248">
            <v>0.51365764197114638</v>
          </cell>
        </row>
      </sheetData>
      <sheetData sheetId="195">
        <row r="248">
          <cell r="BR248">
            <v>0.51365764197114638</v>
          </cell>
        </row>
      </sheetData>
      <sheetData sheetId="196">
        <row r="248">
          <cell r="BR248">
            <v>0.51365764197114638</v>
          </cell>
        </row>
      </sheetData>
      <sheetData sheetId="197">
        <row r="248">
          <cell r="BR248">
            <v>0.51365764197114638</v>
          </cell>
        </row>
      </sheetData>
      <sheetData sheetId="198">
        <row r="248">
          <cell r="BR248">
            <v>0.51365764197114638</v>
          </cell>
        </row>
      </sheetData>
      <sheetData sheetId="199">
        <row r="248">
          <cell r="BR248">
            <v>0.51365764197114638</v>
          </cell>
        </row>
      </sheetData>
      <sheetData sheetId="200">
        <row r="248">
          <cell r="BR248">
            <v>0.51365764197114638</v>
          </cell>
        </row>
      </sheetData>
      <sheetData sheetId="201">
        <row r="248">
          <cell r="BR248">
            <v>0.51365764197114638</v>
          </cell>
        </row>
      </sheetData>
      <sheetData sheetId="202">
        <row r="248">
          <cell r="BR248">
            <v>0.51365764197114638</v>
          </cell>
        </row>
      </sheetData>
      <sheetData sheetId="203">
        <row r="248">
          <cell r="BR248">
            <v>0.51365764197114638</v>
          </cell>
        </row>
      </sheetData>
      <sheetData sheetId="204">
        <row r="248">
          <cell r="BR248">
            <v>0.51365764197114638</v>
          </cell>
        </row>
      </sheetData>
      <sheetData sheetId="205">
        <row r="248">
          <cell r="BR248">
            <v>0.51365764197114638</v>
          </cell>
        </row>
      </sheetData>
      <sheetData sheetId="206">
        <row r="248">
          <cell r="BR248">
            <v>0.51365764197114638</v>
          </cell>
        </row>
      </sheetData>
      <sheetData sheetId="207">
        <row r="248">
          <cell r="BR248">
            <v>0.51365764197114638</v>
          </cell>
        </row>
      </sheetData>
      <sheetData sheetId="208">
        <row r="248">
          <cell r="BR248">
            <v>0.51365764197114638</v>
          </cell>
        </row>
      </sheetData>
      <sheetData sheetId="209">
        <row r="248">
          <cell r="BR248">
            <v>0.51365764197114638</v>
          </cell>
        </row>
      </sheetData>
      <sheetData sheetId="210">
        <row r="248">
          <cell r="BR248">
            <v>0.51365764197114638</v>
          </cell>
        </row>
      </sheetData>
      <sheetData sheetId="211">
        <row r="248">
          <cell r="BR248">
            <v>0.51365764197114638</v>
          </cell>
        </row>
      </sheetData>
      <sheetData sheetId="212">
        <row r="248">
          <cell r="BR248">
            <v>0.51365764197114638</v>
          </cell>
        </row>
      </sheetData>
      <sheetData sheetId="213">
        <row r="248">
          <cell r="BR248">
            <v>0.51365764197114638</v>
          </cell>
        </row>
      </sheetData>
      <sheetData sheetId="214">
        <row r="248">
          <cell r="BR248">
            <v>0.51365764197114638</v>
          </cell>
        </row>
      </sheetData>
      <sheetData sheetId="215">
        <row r="248">
          <cell r="BR248">
            <v>0.51365764197114638</v>
          </cell>
        </row>
      </sheetData>
      <sheetData sheetId="216">
        <row r="248">
          <cell r="BR248">
            <v>0.51365764197114638</v>
          </cell>
        </row>
      </sheetData>
      <sheetData sheetId="217">
        <row r="248">
          <cell r="BR248">
            <v>0.51365764197114638</v>
          </cell>
        </row>
      </sheetData>
      <sheetData sheetId="218">
        <row r="248">
          <cell r="BR248">
            <v>0.51365764197114638</v>
          </cell>
        </row>
      </sheetData>
      <sheetData sheetId="219">
        <row r="248">
          <cell r="BR248">
            <v>0.51365764197114638</v>
          </cell>
        </row>
      </sheetData>
      <sheetData sheetId="220">
        <row r="248">
          <cell r="BR248">
            <v>0.51365764197114638</v>
          </cell>
        </row>
      </sheetData>
      <sheetData sheetId="221">
        <row r="248">
          <cell r="BR248">
            <v>0.51365764197114638</v>
          </cell>
        </row>
      </sheetData>
      <sheetData sheetId="222">
        <row r="248">
          <cell r="BR248">
            <v>0.51365764197114638</v>
          </cell>
        </row>
      </sheetData>
      <sheetData sheetId="223">
        <row r="248">
          <cell r="BR248">
            <v>0.51365764197114638</v>
          </cell>
        </row>
      </sheetData>
      <sheetData sheetId="224">
        <row r="248">
          <cell r="BR248">
            <v>0.51365764197114638</v>
          </cell>
        </row>
      </sheetData>
      <sheetData sheetId="225">
        <row r="248">
          <cell r="BR248">
            <v>0.51365764197114638</v>
          </cell>
        </row>
      </sheetData>
      <sheetData sheetId="226">
        <row r="248">
          <cell r="BR248">
            <v>0.51365764197114638</v>
          </cell>
        </row>
      </sheetData>
      <sheetData sheetId="227">
        <row r="248">
          <cell r="BR248">
            <v>0.51365764197114638</v>
          </cell>
        </row>
      </sheetData>
      <sheetData sheetId="228">
        <row r="248">
          <cell r="BR248">
            <v>0.51365764197114638</v>
          </cell>
        </row>
      </sheetData>
      <sheetData sheetId="229">
        <row r="248">
          <cell r="BR248">
            <v>0.51365764197114638</v>
          </cell>
        </row>
      </sheetData>
      <sheetData sheetId="230">
        <row r="248">
          <cell r="BR248">
            <v>0.51365764197114638</v>
          </cell>
        </row>
      </sheetData>
      <sheetData sheetId="231">
        <row r="248">
          <cell r="BR248">
            <v>0.51365764197114638</v>
          </cell>
        </row>
      </sheetData>
      <sheetData sheetId="232">
        <row r="248">
          <cell r="BR248">
            <v>0.51365764197114638</v>
          </cell>
        </row>
      </sheetData>
      <sheetData sheetId="233">
        <row r="248">
          <cell r="BR248">
            <v>0.51365764197114638</v>
          </cell>
        </row>
      </sheetData>
      <sheetData sheetId="234">
        <row r="248">
          <cell r="BR248">
            <v>0.51365764197114638</v>
          </cell>
        </row>
      </sheetData>
      <sheetData sheetId="235">
        <row r="248">
          <cell r="BR248">
            <v>0.51365764197114638</v>
          </cell>
        </row>
      </sheetData>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ow r="248">
          <cell r="BR248">
            <v>0.51365764197114638</v>
          </cell>
        </row>
      </sheetData>
      <sheetData sheetId="246">
        <row r="248">
          <cell r="BR248">
            <v>0.51365764197114638</v>
          </cell>
        </row>
      </sheetData>
      <sheetData sheetId="247">
        <row r="248">
          <cell r="BR248">
            <v>0.51365764197114638</v>
          </cell>
        </row>
      </sheetData>
      <sheetData sheetId="248">
        <row r="248">
          <cell r="BR248">
            <v>0.51365764197114638</v>
          </cell>
        </row>
      </sheetData>
      <sheetData sheetId="249">
        <row r="248">
          <cell r="BR248">
            <v>0.51365764197114638</v>
          </cell>
        </row>
      </sheetData>
      <sheetData sheetId="250">
        <row r="248">
          <cell r="BR248">
            <v>0.51365764197114638</v>
          </cell>
        </row>
      </sheetData>
      <sheetData sheetId="251">
        <row r="248">
          <cell r="BR248">
            <v>0.51365764197114638</v>
          </cell>
        </row>
      </sheetData>
      <sheetData sheetId="252">
        <row r="248">
          <cell r="BR248">
            <v>0.51365764197114638</v>
          </cell>
        </row>
      </sheetData>
      <sheetData sheetId="253">
        <row r="248">
          <cell r="BR248">
            <v>0.51365764197114638</v>
          </cell>
        </row>
      </sheetData>
      <sheetData sheetId="254">
        <row r="248">
          <cell r="BR248">
            <v>0.51365764197114638</v>
          </cell>
        </row>
      </sheetData>
      <sheetData sheetId="255">
        <row r="248">
          <cell r="BR248">
            <v>0.51365764197114638</v>
          </cell>
        </row>
      </sheetData>
      <sheetData sheetId="256">
        <row r="248">
          <cell r="BR248">
            <v>0.51365764197114638</v>
          </cell>
        </row>
      </sheetData>
      <sheetData sheetId="257">
        <row r="248">
          <cell r="BR248">
            <v>0.51365764197114638</v>
          </cell>
        </row>
      </sheetData>
      <sheetData sheetId="258">
        <row r="248">
          <cell r="BR248">
            <v>0.51365764197114638</v>
          </cell>
        </row>
      </sheetData>
      <sheetData sheetId="259">
        <row r="248">
          <cell r="BR248">
            <v>0.51365764197114638</v>
          </cell>
        </row>
      </sheetData>
      <sheetData sheetId="260">
        <row r="248">
          <cell r="BR248">
            <v>0.51365764197114638</v>
          </cell>
        </row>
      </sheetData>
      <sheetData sheetId="261">
        <row r="248">
          <cell r="BR248">
            <v>0.51365764197114638</v>
          </cell>
        </row>
      </sheetData>
      <sheetData sheetId="262">
        <row r="248">
          <cell r="BR248">
            <v>0.51365764197114638</v>
          </cell>
        </row>
      </sheetData>
      <sheetData sheetId="263">
        <row r="248">
          <cell r="BR248">
            <v>0.51365764197114638</v>
          </cell>
        </row>
      </sheetData>
      <sheetData sheetId="264">
        <row r="248">
          <cell r="BR248">
            <v>0.51365764197114638</v>
          </cell>
        </row>
      </sheetData>
      <sheetData sheetId="265">
        <row r="248">
          <cell r="BR248">
            <v>0.51365764197114638</v>
          </cell>
        </row>
      </sheetData>
      <sheetData sheetId="266">
        <row r="248">
          <cell r="BR248">
            <v>0.51365764197114638</v>
          </cell>
        </row>
      </sheetData>
      <sheetData sheetId="267">
        <row r="248">
          <cell r="BR248">
            <v>0.51365764197114638</v>
          </cell>
        </row>
      </sheetData>
      <sheetData sheetId="268">
        <row r="248">
          <cell r="BR248">
            <v>0.51365764197114638</v>
          </cell>
        </row>
      </sheetData>
      <sheetData sheetId="269">
        <row r="248">
          <cell r="BR248">
            <v>0.51365764197114638</v>
          </cell>
        </row>
      </sheetData>
      <sheetData sheetId="270">
        <row r="248">
          <cell r="BR248">
            <v>0.51365764197114638</v>
          </cell>
        </row>
      </sheetData>
      <sheetData sheetId="271">
        <row r="248">
          <cell r="BR248">
            <v>0.51365764197114638</v>
          </cell>
        </row>
      </sheetData>
      <sheetData sheetId="272">
        <row r="248">
          <cell r="BR248">
            <v>0.51365764197114638</v>
          </cell>
        </row>
      </sheetData>
      <sheetData sheetId="273">
        <row r="248">
          <cell r="BR248">
            <v>0.51365764197114638</v>
          </cell>
        </row>
      </sheetData>
      <sheetData sheetId="274">
        <row r="248">
          <cell r="BR248">
            <v>0.51365764197114638</v>
          </cell>
        </row>
      </sheetData>
      <sheetData sheetId="275">
        <row r="248">
          <cell r="BR248">
            <v>0.51365764197114638</v>
          </cell>
        </row>
      </sheetData>
      <sheetData sheetId="276">
        <row r="248">
          <cell r="BR248">
            <v>0.51365764197114638</v>
          </cell>
        </row>
      </sheetData>
      <sheetData sheetId="277">
        <row r="248">
          <cell r="BR248">
            <v>0.51365764197114638</v>
          </cell>
        </row>
      </sheetData>
      <sheetData sheetId="278">
        <row r="248">
          <cell r="BR248">
            <v>0.51365764197114638</v>
          </cell>
        </row>
      </sheetData>
      <sheetData sheetId="279">
        <row r="248">
          <cell r="BR248">
            <v>0.51365764197114638</v>
          </cell>
        </row>
      </sheetData>
      <sheetData sheetId="280">
        <row r="248">
          <cell r="BR248">
            <v>0.51365764197114638</v>
          </cell>
        </row>
      </sheetData>
      <sheetData sheetId="281">
        <row r="248">
          <cell r="BR248">
            <v>0.51365764197114638</v>
          </cell>
        </row>
      </sheetData>
      <sheetData sheetId="282">
        <row r="248">
          <cell r="BR248">
            <v>0.51365764197114638</v>
          </cell>
        </row>
      </sheetData>
      <sheetData sheetId="283">
        <row r="248">
          <cell r="BR248">
            <v>0.51365764197114638</v>
          </cell>
        </row>
      </sheetData>
      <sheetData sheetId="284">
        <row r="248">
          <cell r="BR248">
            <v>0.51365764197114638</v>
          </cell>
        </row>
      </sheetData>
      <sheetData sheetId="285">
        <row r="248">
          <cell r="BR248">
            <v>0.51365764197114638</v>
          </cell>
        </row>
      </sheetData>
      <sheetData sheetId="286">
        <row r="248">
          <cell r="BR248">
            <v>0.51365764197114638</v>
          </cell>
        </row>
      </sheetData>
      <sheetData sheetId="287">
        <row r="248">
          <cell r="BR248">
            <v>0.51365764197114638</v>
          </cell>
        </row>
      </sheetData>
      <sheetData sheetId="288">
        <row r="248">
          <cell r="BR248">
            <v>0.51365764197114638</v>
          </cell>
        </row>
      </sheetData>
      <sheetData sheetId="289"/>
      <sheetData sheetId="290">
        <row r="248">
          <cell r="BR248">
            <v>0.51365764197114638</v>
          </cell>
        </row>
      </sheetData>
      <sheetData sheetId="291">
        <row r="248">
          <cell r="BR248">
            <v>0.51365764197114638</v>
          </cell>
        </row>
      </sheetData>
      <sheetData sheetId="292">
        <row r="248">
          <cell r="BR248">
            <v>0.51365764197114638</v>
          </cell>
        </row>
      </sheetData>
      <sheetData sheetId="293">
        <row r="248">
          <cell r="BR248">
            <v>0.51365764197114638</v>
          </cell>
        </row>
      </sheetData>
      <sheetData sheetId="294">
        <row r="248">
          <cell r="BR248">
            <v>0.51365764197114638</v>
          </cell>
        </row>
      </sheetData>
      <sheetData sheetId="295">
        <row r="248">
          <cell r="BR248">
            <v>0.51365764197114638</v>
          </cell>
        </row>
      </sheetData>
      <sheetData sheetId="296">
        <row r="248">
          <cell r="BR248">
            <v>0.51365764197114638</v>
          </cell>
        </row>
      </sheetData>
      <sheetData sheetId="297">
        <row r="248">
          <cell r="BR248">
            <v>0.51365764197114638</v>
          </cell>
        </row>
      </sheetData>
      <sheetData sheetId="298">
        <row r="248">
          <cell r="BR248">
            <v>0.51365764197114638</v>
          </cell>
        </row>
      </sheetData>
      <sheetData sheetId="299">
        <row r="248">
          <cell r="BR248">
            <v>0.51365764197114638</v>
          </cell>
        </row>
      </sheetData>
      <sheetData sheetId="300">
        <row r="248">
          <cell r="BR248">
            <v>0.51365764197114638</v>
          </cell>
        </row>
      </sheetData>
      <sheetData sheetId="301">
        <row r="248">
          <cell r="BR248">
            <v>0.51365764197114638</v>
          </cell>
        </row>
      </sheetData>
      <sheetData sheetId="302">
        <row r="248">
          <cell r="BR248">
            <v>0.51365764197114638</v>
          </cell>
        </row>
      </sheetData>
      <sheetData sheetId="303">
        <row r="248">
          <cell r="BR248">
            <v>0.51365764197114638</v>
          </cell>
        </row>
      </sheetData>
      <sheetData sheetId="304">
        <row r="248">
          <cell r="BR248">
            <v>0.51365764197114638</v>
          </cell>
        </row>
      </sheetData>
      <sheetData sheetId="305">
        <row r="248">
          <cell r="BR248">
            <v>0.51365764197114638</v>
          </cell>
        </row>
      </sheetData>
      <sheetData sheetId="306">
        <row r="248">
          <cell r="BR248">
            <v>0.51365764197114638</v>
          </cell>
        </row>
      </sheetData>
      <sheetData sheetId="307">
        <row r="248">
          <cell r="BR248">
            <v>0.51365764197114638</v>
          </cell>
        </row>
      </sheetData>
      <sheetData sheetId="308">
        <row r="248">
          <cell r="BR248">
            <v>0.51365764197114638</v>
          </cell>
        </row>
      </sheetData>
      <sheetData sheetId="309">
        <row r="248">
          <cell r="BR248">
            <v>0.51365764197114638</v>
          </cell>
        </row>
      </sheetData>
      <sheetData sheetId="310">
        <row r="248">
          <cell r="BR248">
            <v>0.51365764197114638</v>
          </cell>
        </row>
      </sheetData>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ow r="248">
          <cell r="BR248">
            <v>0.51365764197114638</v>
          </cell>
        </row>
      </sheetData>
      <sheetData sheetId="384">
        <row r="248">
          <cell r="BR248">
            <v>0.51365764197114638</v>
          </cell>
        </row>
      </sheetData>
      <sheetData sheetId="385">
        <row r="248">
          <cell r="BR248">
            <v>0.51365764197114638</v>
          </cell>
        </row>
      </sheetData>
      <sheetData sheetId="386">
        <row r="248">
          <cell r="BR248">
            <v>0.51365764197114638</v>
          </cell>
        </row>
      </sheetData>
      <sheetData sheetId="387">
        <row r="248">
          <cell r="BR248">
            <v>0.51365764197114638</v>
          </cell>
        </row>
      </sheetData>
      <sheetData sheetId="388">
        <row r="248">
          <cell r="BR248">
            <v>0.51365764197114638</v>
          </cell>
        </row>
      </sheetData>
      <sheetData sheetId="389">
        <row r="248">
          <cell r="BR248">
            <v>0.51365764197114638</v>
          </cell>
        </row>
      </sheetData>
      <sheetData sheetId="390">
        <row r="248">
          <cell r="BR248">
            <v>0.51365764197114638</v>
          </cell>
        </row>
      </sheetData>
      <sheetData sheetId="391">
        <row r="248">
          <cell r="BR248">
            <v>0.51365764197114638</v>
          </cell>
        </row>
      </sheetData>
      <sheetData sheetId="392">
        <row r="248">
          <cell r="BR248">
            <v>0.51365764197114638</v>
          </cell>
        </row>
      </sheetData>
      <sheetData sheetId="393">
        <row r="248">
          <cell r="BR248">
            <v>0.51365764197114638</v>
          </cell>
        </row>
      </sheetData>
      <sheetData sheetId="394">
        <row r="248">
          <cell r="BR248">
            <v>0.51365764197114638</v>
          </cell>
        </row>
      </sheetData>
      <sheetData sheetId="395">
        <row r="248">
          <cell r="BR248">
            <v>0.51365764197114638</v>
          </cell>
        </row>
      </sheetData>
      <sheetData sheetId="396">
        <row r="248">
          <cell r="BR248">
            <v>0.51365764197114638</v>
          </cell>
        </row>
      </sheetData>
      <sheetData sheetId="397">
        <row r="248">
          <cell r="BR248">
            <v>0.51365764197114638</v>
          </cell>
        </row>
      </sheetData>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ow r="248">
          <cell r="BR248">
            <v>0.51365764197114638</v>
          </cell>
        </row>
      </sheetData>
      <sheetData sheetId="411">
        <row r="248">
          <cell r="BR248">
            <v>0.51365764197114638</v>
          </cell>
        </row>
      </sheetData>
      <sheetData sheetId="412">
        <row r="248">
          <cell r="BR248">
            <v>0.51365764197114638</v>
          </cell>
        </row>
      </sheetData>
      <sheetData sheetId="413">
        <row r="248">
          <cell r="BR248">
            <v>0.51365764197114638</v>
          </cell>
        </row>
      </sheetData>
      <sheetData sheetId="414">
        <row r="248">
          <cell r="BR248">
            <v>0.51365764197114638</v>
          </cell>
        </row>
      </sheetData>
      <sheetData sheetId="415">
        <row r="248">
          <cell r="BR248">
            <v>0.51365764197114638</v>
          </cell>
        </row>
      </sheetData>
      <sheetData sheetId="416">
        <row r="248">
          <cell r="BR248">
            <v>0.51365764197114638</v>
          </cell>
        </row>
      </sheetData>
      <sheetData sheetId="417">
        <row r="248">
          <cell r="BR248">
            <v>0.51365764197114638</v>
          </cell>
        </row>
      </sheetData>
      <sheetData sheetId="418">
        <row r="248">
          <cell r="BR248">
            <v>0.51365764197114638</v>
          </cell>
        </row>
      </sheetData>
      <sheetData sheetId="419">
        <row r="248">
          <cell r="BR248">
            <v>0.51365764197114638</v>
          </cell>
        </row>
      </sheetData>
      <sheetData sheetId="420">
        <row r="248">
          <cell r="BR248">
            <v>0.51365764197114638</v>
          </cell>
        </row>
      </sheetData>
      <sheetData sheetId="421">
        <row r="248">
          <cell r="BR248">
            <v>0.51365764197114638</v>
          </cell>
        </row>
      </sheetData>
      <sheetData sheetId="422">
        <row r="248">
          <cell r="BR248">
            <v>0.51365764197114638</v>
          </cell>
        </row>
      </sheetData>
      <sheetData sheetId="423">
        <row r="248">
          <cell r="BR248">
            <v>0.51365764197114638</v>
          </cell>
        </row>
      </sheetData>
      <sheetData sheetId="424">
        <row r="248">
          <cell r="BR248">
            <v>0.51365764197114638</v>
          </cell>
        </row>
      </sheetData>
      <sheetData sheetId="425">
        <row r="248">
          <cell r="BR248">
            <v>0.51365764197114638</v>
          </cell>
        </row>
      </sheetData>
      <sheetData sheetId="426">
        <row r="248">
          <cell r="BR248">
            <v>0.51365764197114638</v>
          </cell>
        </row>
      </sheetData>
      <sheetData sheetId="427">
        <row r="248">
          <cell r="BR248">
            <v>0.51365764197114638</v>
          </cell>
        </row>
      </sheetData>
      <sheetData sheetId="428">
        <row r="248">
          <cell r="BR248">
            <v>0.51365764197114638</v>
          </cell>
        </row>
      </sheetData>
      <sheetData sheetId="429">
        <row r="248">
          <cell r="BR248">
            <v>0.51365764197114638</v>
          </cell>
        </row>
      </sheetData>
      <sheetData sheetId="430">
        <row r="248">
          <cell r="BR248">
            <v>0.51365764197114638</v>
          </cell>
        </row>
      </sheetData>
      <sheetData sheetId="431" refreshError="1"/>
      <sheetData sheetId="432" refreshError="1"/>
      <sheetData sheetId="433" refreshError="1"/>
      <sheetData sheetId="434">
        <row r="248">
          <cell r="BR248">
            <v>0.51365764197114638</v>
          </cell>
        </row>
      </sheetData>
      <sheetData sheetId="435">
        <row r="248">
          <cell r="BR248">
            <v>0.51365764197114638</v>
          </cell>
        </row>
      </sheetData>
      <sheetData sheetId="436">
        <row r="248">
          <cell r="BR248">
            <v>0.51365764197114638</v>
          </cell>
        </row>
      </sheetData>
      <sheetData sheetId="437">
        <row r="248">
          <cell r="BR248">
            <v>0.51365764197114638</v>
          </cell>
        </row>
      </sheetData>
      <sheetData sheetId="438">
        <row r="248">
          <cell r="BR248">
            <v>0.51365764197114638</v>
          </cell>
        </row>
      </sheetData>
      <sheetData sheetId="439">
        <row r="248">
          <cell r="BR248">
            <v>0.51365764197114638</v>
          </cell>
        </row>
      </sheetData>
      <sheetData sheetId="440">
        <row r="248">
          <cell r="BR248">
            <v>0.51365764197114638</v>
          </cell>
        </row>
      </sheetData>
      <sheetData sheetId="441">
        <row r="248">
          <cell r="BR248">
            <v>0.51365764197114638</v>
          </cell>
        </row>
      </sheetData>
      <sheetData sheetId="442">
        <row r="248">
          <cell r="BR248">
            <v>0.51365764197114638</v>
          </cell>
        </row>
      </sheetData>
      <sheetData sheetId="443">
        <row r="248">
          <cell r="BR248">
            <v>0.51365764197114638</v>
          </cell>
        </row>
      </sheetData>
      <sheetData sheetId="444">
        <row r="248">
          <cell r="BR248">
            <v>0.51365764197114638</v>
          </cell>
        </row>
      </sheetData>
      <sheetData sheetId="445">
        <row r="248">
          <cell r="BR248">
            <v>0.51365764197114638</v>
          </cell>
        </row>
      </sheetData>
      <sheetData sheetId="446">
        <row r="248">
          <cell r="BR248">
            <v>0.51365764197114638</v>
          </cell>
        </row>
      </sheetData>
      <sheetData sheetId="447">
        <row r="248">
          <cell r="BR248">
            <v>0.51365764197114638</v>
          </cell>
        </row>
      </sheetData>
      <sheetData sheetId="448">
        <row r="248">
          <cell r="BR248">
            <v>0.51365764197114638</v>
          </cell>
        </row>
      </sheetData>
      <sheetData sheetId="449">
        <row r="248">
          <cell r="BR248">
            <v>0.51365764197114638</v>
          </cell>
        </row>
      </sheetData>
      <sheetData sheetId="450">
        <row r="248">
          <cell r="BR248">
            <v>0.51365764197114638</v>
          </cell>
        </row>
      </sheetData>
      <sheetData sheetId="451">
        <row r="248">
          <cell r="BR248">
            <v>0.51365764197114638</v>
          </cell>
        </row>
      </sheetData>
      <sheetData sheetId="452">
        <row r="248">
          <cell r="BR248">
            <v>0.51365764197114638</v>
          </cell>
        </row>
      </sheetData>
      <sheetData sheetId="453">
        <row r="248">
          <cell r="BR248">
            <v>0.51365764197114638</v>
          </cell>
        </row>
      </sheetData>
      <sheetData sheetId="454">
        <row r="248">
          <cell r="BR248">
            <v>0.51365764197114638</v>
          </cell>
        </row>
      </sheetData>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ow r="248">
          <cell r="BR248">
            <v>0.51365764197114638</v>
          </cell>
        </row>
      </sheetData>
      <sheetData sheetId="464">
        <row r="248">
          <cell r="BR248">
            <v>0.51365764197114638</v>
          </cell>
        </row>
      </sheetData>
      <sheetData sheetId="465">
        <row r="248">
          <cell r="BR248">
            <v>0.51365764197114638</v>
          </cell>
        </row>
      </sheetData>
      <sheetData sheetId="466">
        <row r="248">
          <cell r="BR248">
            <v>0.51365764197114638</v>
          </cell>
        </row>
      </sheetData>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ow r="248">
          <cell r="BR248">
            <v>0.51365764197114638</v>
          </cell>
        </row>
      </sheetData>
      <sheetData sheetId="829" refreshError="1"/>
      <sheetData sheetId="830">
        <row r="248">
          <cell r="BR248">
            <v>0.51365764197114638</v>
          </cell>
        </row>
      </sheetData>
      <sheetData sheetId="831">
        <row r="248">
          <cell r="BR248">
            <v>0.51365764197114638</v>
          </cell>
        </row>
      </sheetData>
      <sheetData sheetId="832">
        <row r="248">
          <cell r="BR248">
            <v>0.51365764197114638</v>
          </cell>
        </row>
      </sheetData>
      <sheetData sheetId="833">
        <row r="248">
          <cell r="BR248">
            <v>0.51365764197114638</v>
          </cell>
        </row>
      </sheetData>
      <sheetData sheetId="834">
        <row r="248">
          <cell r="BR248">
            <v>0.51365764197114638</v>
          </cell>
        </row>
      </sheetData>
      <sheetData sheetId="835">
        <row r="248">
          <cell r="BR248">
            <v>0.51365764197114638</v>
          </cell>
        </row>
      </sheetData>
      <sheetData sheetId="836">
        <row r="248">
          <cell r="BR248">
            <v>0.51365764197114638</v>
          </cell>
        </row>
      </sheetData>
      <sheetData sheetId="837">
        <row r="248">
          <cell r="BR248">
            <v>0.51365764197114638</v>
          </cell>
        </row>
      </sheetData>
      <sheetData sheetId="838">
        <row r="248">
          <cell r="BR248">
            <v>0.51365764197114638</v>
          </cell>
        </row>
      </sheetData>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row r="248">
          <cell r="BR248">
            <v>0.51365764197114638</v>
          </cell>
        </row>
      </sheetData>
      <sheetData sheetId="907">
        <row r="248">
          <cell r="BR248">
            <v>0.51365764197114638</v>
          </cell>
        </row>
      </sheetData>
      <sheetData sheetId="908">
        <row r="248">
          <cell r="BR248">
            <v>0.51365764197114638</v>
          </cell>
        </row>
      </sheetData>
      <sheetData sheetId="909">
        <row r="248">
          <cell r="BR248">
            <v>0.51365764197114638</v>
          </cell>
        </row>
      </sheetData>
      <sheetData sheetId="910">
        <row r="248">
          <cell r="BR248">
            <v>0.51365764197114638</v>
          </cell>
        </row>
      </sheetData>
      <sheetData sheetId="911">
        <row r="248">
          <cell r="BR248">
            <v>0.51365764197114638</v>
          </cell>
        </row>
      </sheetData>
      <sheetData sheetId="912">
        <row r="248">
          <cell r="BR248">
            <v>0.51365764197114638</v>
          </cell>
        </row>
      </sheetData>
      <sheetData sheetId="913">
        <row r="248">
          <cell r="BR248">
            <v>0.51365764197114638</v>
          </cell>
        </row>
      </sheetData>
      <sheetData sheetId="914">
        <row r="248">
          <cell r="BR248">
            <v>0.51365764197114638</v>
          </cell>
        </row>
      </sheetData>
      <sheetData sheetId="915">
        <row r="248">
          <cell r="BR248">
            <v>0.51365764197114638</v>
          </cell>
        </row>
      </sheetData>
      <sheetData sheetId="916">
        <row r="248">
          <cell r="BR248">
            <v>0.51365764197114638</v>
          </cell>
        </row>
      </sheetData>
      <sheetData sheetId="917">
        <row r="248">
          <cell r="BR248">
            <v>0.51365764197114638</v>
          </cell>
        </row>
      </sheetData>
      <sheetData sheetId="918">
        <row r="248">
          <cell r="BR248">
            <v>0.51365764197114638</v>
          </cell>
        </row>
      </sheetData>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row r="248">
          <cell r="BR248">
            <v>0.51365764197114638</v>
          </cell>
        </row>
      </sheetData>
      <sheetData sheetId="969">
        <row r="248">
          <cell r="BR248">
            <v>0.51365764197114638</v>
          </cell>
        </row>
      </sheetData>
      <sheetData sheetId="970">
        <row r="248">
          <cell r="BR248">
            <v>0.51365764197114638</v>
          </cell>
        </row>
      </sheetData>
      <sheetData sheetId="971">
        <row r="248">
          <cell r="BR248">
            <v>0.51365764197114638</v>
          </cell>
        </row>
      </sheetData>
      <sheetData sheetId="972">
        <row r="248">
          <cell r="BR248">
            <v>0.51365764197114638</v>
          </cell>
        </row>
      </sheetData>
      <sheetData sheetId="973">
        <row r="248">
          <cell r="BR248">
            <v>0.51365764197114638</v>
          </cell>
        </row>
      </sheetData>
      <sheetData sheetId="974">
        <row r="248">
          <cell r="BR248">
            <v>0.51365764197114638</v>
          </cell>
        </row>
      </sheetData>
      <sheetData sheetId="975">
        <row r="248">
          <cell r="BR248">
            <v>0.51365764197114638</v>
          </cell>
        </row>
      </sheetData>
      <sheetData sheetId="976">
        <row r="248">
          <cell r="BR248">
            <v>0.51365764197114638</v>
          </cell>
        </row>
      </sheetData>
      <sheetData sheetId="977">
        <row r="248">
          <cell r="BR248">
            <v>0.51365764197114638</v>
          </cell>
        </row>
      </sheetData>
      <sheetData sheetId="978">
        <row r="248">
          <cell r="BR248">
            <v>0.51365764197114638</v>
          </cell>
        </row>
      </sheetData>
      <sheetData sheetId="979">
        <row r="248">
          <cell r="BR248">
            <v>0.51365764197114638</v>
          </cell>
        </row>
      </sheetData>
      <sheetData sheetId="980">
        <row r="248">
          <cell r="BR248">
            <v>0.51365764197114638</v>
          </cell>
        </row>
      </sheetData>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Q表"/>
      <sheetName val="NET表"/>
      <sheetName val="srt"/>
      <sheetName val="escon"/>
      <sheetName val="scope"/>
      <sheetName val="maker"/>
      <sheetName val="bq"/>
      <sheetName val="data profit"/>
      <sheetName val="0504"/>
      <sheetName val="profit"/>
      <sheetName val="sumpro"/>
      <sheetName val="sex"/>
      <sheetName val="BQ・"/>
      <sheetName val="NET・"/>
      <sheetName val="概総括1"/>
      <sheetName val="AnalisaSIPIL RIIL"/>
      <sheetName val="Estimate"/>
      <sheetName val="Fill this out first___"/>
      <sheetName val="ANALISA"/>
      <sheetName val="Ch"/>
      <sheetName val="Submission Form"/>
      <sheetName val="ana_str"/>
      <sheetName val="Cover Daf-2"/>
      <sheetName val="Analisa SNI STANDART "/>
      <sheetName val="BAG-2"/>
      <sheetName val="PLUMBING"/>
      <sheetName val="DAF-1"/>
      <sheetName val="analisa Str"/>
      <sheetName val="BQ-Tenis"/>
      <sheetName val="Arsitektur"/>
      <sheetName val="Material"/>
      <sheetName val="BOQ_Aula"/>
      <sheetName val="Prelim"/>
      <sheetName val="gvl"/>
      <sheetName val="Profil"/>
      <sheetName val="HB me"/>
      <sheetName val="Material&amp;Alat"/>
      <sheetName val="DB"/>
      <sheetName val="DATA"/>
      <sheetName val="7.공정표"/>
      <sheetName val="BoQ"/>
      <sheetName val="Konfirm"/>
      <sheetName val="Isolasi Luar Dalam"/>
      <sheetName val="Isolasi Luar"/>
      <sheetName val="data_profit"/>
      <sheetName val="AnalisaSIPIL_RIIL"/>
      <sheetName val="Kihon-Jiko"/>
      <sheetName val="Summary"/>
      <sheetName val="환산표"/>
      <sheetName val="A"/>
      <sheetName val="Currency Rate"/>
      <sheetName val="Elektrikal"/>
      <sheetName val="HSATUAN"/>
    </sheetNames>
    <sheetDataSet>
      <sheetData sheetId="0" refreshError="1"/>
      <sheetData sheetId="1" refreshError="1"/>
      <sheetData sheetId="2"/>
      <sheetData sheetId="3"/>
      <sheetData sheetId="4"/>
      <sheetData sheetId="5"/>
      <sheetData sheetId="6" refreshError="1">
        <row r="1">
          <cell r="Y1" t="str">
            <v>Rp.</v>
          </cell>
          <cell r="AA1" t="str">
            <v>MANDAYS</v>
          </cell>
        </row>
        <row r="2">
          <cell r="V2" t="e">
            <v>#REF!</v>
          </cell>
          <cell r="Y2" t="e">
            <v>#REF!</v>
          </cell>
          <cell r="AA2" t="e">
            <v>#REF!</v>
          </cell>
          <cell r="AB2" t="e">
            <v>#REF!</v>
          </cell>
        </row>
        <row r="3">
          <cell r="V3" t="e">
            <v>#REF!</v>
          </cell>
          <cell r="Y3" t="e">
            <v>#REF!</v>
          </cell>
          <cell r="AA3" t="e">
            <v>#REF!</v>
          </cell>
          <cell r="AB3" t="e">
            <v>#REF!</v>
          </cell>
        </row>
        <row r="4">
          <cell r="V4" t="e">
            <v>#REF!</v>
          </cell>
          <cell r="Y4" t="e">
            <v>#REF!</v>
          </cell>
          <cell r="AA4" t="e">
            <v>#REF!</v>
          </cell>
          <cell r="AB4" t="e">
            <v>#REF!</v>
          </cell>
        </row>
        <row r="5">
          <cell r="V5" t="e">
            <v>#REF!</v>
          </cell>
          <cell r="Y5" t="e">
            <v>#REF!</v>
          </cell>
          <cell r="AA5" t="e">
            <v>#REF!</v>
          </cell>
          <cell r="AB5" t="e">
            <v>#REF!</v>
          </cell>
        </row>
        <row r="6">
          <cell r="V6" t="e">
            <v>#REF!</v>
          </cell>
          <cell r="Y6" t="e">
            <v>#REF!</v>
          </cell>
        </row>
        <row r="7">
          <cell r="V7" t="e">
            <v>#REF!</v>
          </cell>
        </row>
        <row r="8">
          <cell r="V8" t="e">
            <v>#REF!</v>
          </cell>
        </row>
        <row r="68">
          <cell r="E68" t="str">
            <v>B.2.3.</v>
          </cell>
          <cell r="G68" t="str">
            <v>SANITARY FIXTURES</v>
          </cell>
        </row>
        <row r="69">
          <cell r="E69" t="str">
            <v>B.2.4.</v>
          </cell>
          <cell r="G69" t="str">
            <v>WATER SUPPLY PIPING SYSTEM</v>
          </cell>
        </row>
        <row r="70">
          <cell r="E70" t="str">
            <v>B.2.5.</v>
          </cell>
          <cell r="G70" t="str">
            <v>DRAINAGE PIPING WORKS</v>
          </cell>
        </row>
        <row r="71">
          <cell r="E71" t="str">
            <v>B.2.6.</v>
          </cell>
          <cell r="G71" t="str">
            <v>FIRE PROTECTION PIPING WORK</v>
          </cell>
        </row>
        <row r="75">
          <cell r="E75" t="str">
            <v>B.3.1.</v>
          </cell>
          <cell r="G75" t="str">
            <v>SANITARY FIXTURES</v>
          </cell>
        </row>
        <row r="76">
          <cell r="E76" t="str">
            <v>B.3.2.</v>
          </cell>
          <cell r="G76" t="str">
            <v>WATER SUPPLY PIPING SYSTEM</v>
          </cell>
        </row>
        <row r="77">
          <cell r="E77" t="str">
            <v>B.3.3.</v>
          </cell>
          <cell r="G77" t="str">
            <v>DRAINAGE PIPING WORKS</v>
          </cell>
        </row>
      </sheetData>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b seluruh"/>
      <sheetName val="Analisa Lampu"/>
      <sheetName val="Analisa Panel"/>
      <sheetName val="ANALISA KABEL"/>
      <sheetName val="Harga Satuan"/>
      <sheetName val="Sheet1"/>
    </sheetNames>
    <sheetDataSet>
      <sheetData sheetId="0"/>
      <sheetData sheetId="1">
        <row r="10">
          <cell r="C10" t="str">
            <v>Titik Instalasi Penerangan</v>
          </cell>
        </row>
      </sheetData>
      <sheetData sheetId="2">
        <row r="77">
          <cell r="C77" t="str">
            <v>Amperemeter digital</v>
          </cell>
        </row>
      </sheetData>
      <sheetData sheetId="3">
        <row r="17">
          <cell r="C17" t="str">
            <v>Kabel NYY 4 x 185 mm2</v>
          </cell>
        </row>
      </sheetData>
      <sheetData sheetId="4"/>
      <sheetData sheetId="5"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URAIAN ANALISA"/>
      <sheetName val="HARGA ME"/>
      <sheetName val="ANALISA ME"/>
      <sheetName val="SATPEK"/>
      <sheetName val="RAB GEDUNG"/>
      <sheetName val="RAB SITE PLAN"/>
      <sheetName val="REKAP"/>
      <sheetName val="TERBILANG"/>
    </sheetNames>
    <sheetDataSet>
      <sheetData sheetId="0"/>
      <sheetData sheetId="1">
        <row r="9">
          <cell r="B9" t="str">
            <v>Kepala Tukang Pipa</v>
          </cell>
        </row>
        <row r="13">
          <cell r="B13" t="str">
            <v xml:space="preserve">Tukang Pipa </v>
          </cell>
        </row>
        <row r="83">
          <cell r="B83" t="str">
            <v>Lampu led slim 40 W, 4000 lm, 6500 K</v>
          </cell>
        </row>
        <row r="140">
          <cell r="D140">
            <v>945500</v>
          </cell>
        </row>
        <row r="141">
          <cell r="D141">
            <v>1350000</v>
          </cell>
        </row>
        <row r="142">
          <cell r="D142">
            <v>4253000</v>
          </cell>
        </row>
        <row r="143">
          <cell r="D143">
            <v>1028000</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F3D85-BC33-49C6-9472-96F16E15D1FE}">
  <sheetPr>
    <tabColor rgb="FFFF0000"/>
  </sheetPr>
  <dimension ref="A1:I95"/>
  <sheetViews>
    <sheetView view="pageBreakPreview" zoomScaleNormal="100" zoomScaleSheetLayoutView="100" workbookViewId="0">
      <selection activeCell="J15" sqref="J14:J15"/>
    </sheetView>
  </sheetViews>
  <sheetFormatPr defaultColWidth="9.08984375" defaultRowHeight="14.5"/>
  <cols>
    <col min="1" max="1" width="7" style="158" customWidth="1"/>
    <col min="2" max="3" width="9.08984375" style="127"/>
    <col min="4" max="4" width="43" style="127" customWidth="1"/>
    <col min="5" max="5" width="19" style="127" customWidth="1"/>
    <col min="6" max="6" width="10.6328125" style="127" customWidth="1"/>
    <col min="7" max="7" width="16.6328125" style="899" bestFit="1" customWidth="1"/>
    <col min="8" max="8" width="9.08984375" style="127"/>
    <col min="9" max="9" width="16.81640625" style="127" bestFit="1" customWidth="1"/>
    <col min="10" max="16384" width="9.08984375" style="127"/>
  </cols>
  <sheetData>
    <row r="1" spans="1:7" ht="18">
      <c r="A1" s="1592" t="s">
        <v>3547</v>
      </c>
      <c r="B1" s="1592"/>
      <c r="C1" s="1592"/>
      <c r="D1" s="1592"/>
      <c r="E1" s="1592"/>
    </row>
    <row r="2" spans="1:7" ht="18">
      <c r="A2" s="1592" t="s">
        <v>4140</v>
      </c>
      <c r="B2" s="1592"/>
      <c r="C2" s="1592"/>
      <c r="D2" s="1592"/>
      <c r="E2" s="1592"/>
    </row>
    <row r="3" spans="1:7">
      <c r="A3" s="128"/>
      <c r="B3" s="128"/>
      <c r="C3" s="128"/>
      <c r="D3" s="128"/>
      <c r="E3" s="129"/>
    </row>
    <row r="4" spans="1:7">
      <c r="A4" s="130"/>
      <c r="B4" s="131" t="s">
        <v>3232</v>
      </c>
      <c r="C4" s="132"/>
      <c r="D4" s="133" t="s">
        <v>3672</v>
      </c>
      <c r="E4" s="129"/>
    </row>
    <row r="5" spans="1:7">
      <c r="A5" s="130"/>
      <c r="B5" s="131" t="s">
        <v>3233</v>
      </c>
      <c r="C5" s="132"/>
      <c r="D5" s="133" t="s">
        <v>3671</v>
      </c>
      <c r="E5" s="129"/>
    </row>
    <row r="6" spans="1:7">
      <c r="A6" s="130"/>
      <c r="B6" s="131" t="s">
        <v>3234</v>
      </c>
      <c r="C6" s="132"/>
      <c r="D6" s="133" t="s">
        <v>3670</v>
      </c>
      <c r="E6" s="129"/>
    </row>
    <row r="7" spans="1:7">
      <c r="A7" s="128"/>
      <c r="B7" s="134"/>
      <c r="C7" s="135"/>
      <c r="D7" s="132"/>
      <c r="E7" s="129"/>
    </row>
    <row r="8" spans="1:7" ht="15" thickBot="1">
      <c r="A8" s="128"/>
      <c r="B8" s="128"/>
      <c r="C8" s="128"/>
      <c r="D8" s="134"/>
      <c r="E8" s="946" t="s">
        <v>4105</v>
      </c>
      <c r="F8" s="947"/>
    </row>
    <row r="9" spans="1:7">
      <c r="A9" s="1593" t="s">
        <v>3235</v>
      </c>
      <c r="B9" s="1595" t="s">
        <v>0</v>
      </c>
      <c r="C9" s="1596"/>
      <c r="D9" s="1596"/>
      <c r="E9" s="136" t="s">
        <v>3239</v>
      </c>
    </row>
    <row r="10" spans="1:7" ht="15" thickBot="1">
      <c r="A10" s="1594"/>
      <c r="B10" s="1597"/>
      <c r="C10" s="1598"/>
      <c r="D10" s="1598"/>
      <c r="E10" s="137" t="s">
        <v>3240</v>
      </c>
    </row>
    <row r="11" spans="1:7" s="132" customFormat="1" ht="15" customHeight="1">
      <c r="A11" s="138"/>
      <c r="B11" s="1599"/>
      <c r="C11" s="1600"/>
      <c r="D11" s="1601"/>
      <c r="E11" s="139"/>
      <c r="F11" s="140"/>
      <c r="G11" s="900"/>
    </row>
    <row r="12" spans="1:7" s="132" customFormat="1" ht="15" customHeight="1">
      <c r="A12" s="141" t="s">
        <v>45</v>
      </c>
      <c r="B12" s="216" t="s">
        <v>3663</v>
      </c>
      <c r="C12" s="217"/>
      <c r="D12" s="218"/>
      <c r="E12" s="142">
        <f>'3.BOQ STR'!I16</f>
        <v>0</v>
      </c>
      <c r="F12" s="140"/>
      <c r="G12" s="900"/>
    </row>
    <row r="13" spans="1:7" s="132" customFormat="1" ht="15" customHeight="1">
      <c r="A13" s="141"/>
      <c r="B13" s="216"/>
      <c r="C13" s="217"/>
      <c r="D13" s="218"/>
      <c r="E13" s="142"/>
      <c r="F13" s="140"/>
      <c r="G13" s="900"/>
    </row>
    <row r="14" spans="1:7" s="132" customFormat="1" ht="15" customHeight="1">
      <c r="A14" s="141" t="s">
        <v>53</v>
      </c>
      <c r="B14" s="1602" t="s">
        <v>3874</v>
      </c>
      <c r="C14" s="1603"/>
      <c r="D14" s="1604"/>
      <c r="E14" s="142">
        <f>'3.BOQ STR'!I36</f>
        <v>0</v>
      </c>
      <c r="F14" s="140"/>
      <c r="G14" s="900"/>
    </row>
    <row r="15" spans="1:7" s="132" customFormat="1" ht="15" customHeight="1">
      <c r="A15" s="141"/>
      <c r="B15" s="216"/>
      <c r="C15" s="217"/>
      <c r="D15" s="218"/>
      <c r="E15" s="142"/>
      <c r="F15" s="140"/>
      <c r="G15" s="900"/>
    </row>
    <row r="16" spans="1:7" s="132" customFormat="1" ht="15" customHeight="1">
      <c r="A16" s="141" t="s">
        <v>45</v>
      </c>
      <c r="B16" s="1589" t="s">
        <v>4104</v>
      </c>
      <c r="C16" s="1590"/>
      <c r="D16" s="1591"/>
      <c r="E16" s="142">
        <f>+SUM(E17:E22)</f>
        <v>0</v>
      </c>
      <c r="F16" s="140"/>
      <c r="G16" s="900"/>
    </row>
    <row r="17" spans="1:9" s="132" customFormat="1" ht="15" customHeight="1">
      <c r="A17" s="143"/>
      <c r="B17" s="214" t="s">
        <v>3548</v>
      </c>
      <c r="C17" s="214"/>
      <c r="D17" s="215"/>
      <c r="E17" s="156">
        <f>'3.BOQ STR'!I45</f>
        <v>0</v>
      </c>
      <c r="F17" s="140"/>
      <c r="G17" s="901"/>
    </row>
    <row r="18" spans="1:9" s="132" customFormat="1" ht="15" customHeight="1">
      <c r="A18" s="143"/>
      <c r="B18" s="214" t="s">
        <v>3549</v>
      </c>
      <c r="C18" s="214"/>
      <c r="D18" s="215"/>
      <c r="E18" s="156">
        <f>'3.BOQ STR'!I51</f>
        <v>0</v>
      </c>
      <c r="F18" s="140"/>
      <c r="G18" s="901"/>
    </row>
    <row r="19" spans="1:9" s="132" customFormat="1" ht="15" customHeight="1">
      <c r="A19" s="143"/>
      <c r="B19" s="214" t="s">
        <v>3752</v>
      </c>
      <c r="C19" s="214"/>
      <c r="D19" s="215"/>
      <c r="E19" s="156">
        <f>'3.BOQ STR'!I92</f>
        <v>0</v>
      </c>
      <c r="F19" s="140"/>
      <c r="G19" s="901"/>
    </row>
    <row r="20" spans="1:9" s="132" customFormat="1" ht="15" customHeight="1">
      <c r="A20" s="143"/>
      <c r="B20" s="214" t="s">
        <v>4025</v>
      </c>
      <c r="C20" s="214"/>
      <c r="D20" s="215"/>
      <c r="E20" s="156">
        <f>+'3.BOQ STR'!I115</f>
        <v>0</v>
      </c>
      <c r="F20" s="140"/>
      <c r="G20" s="901"/>
    </row>
    <row r="21" spans="1:9" s="132" customFormat="1" ht="15" customHeight="1">
      <c r="A21" s="143"/>
      <c r="B21" s="214" t="s">
        <v>4038</v>
      </c>
      <c r="C21" s="214"/>
      <c r="D21" s="215"/>
      <c r="E21" s="156">
        <f>+'3.BOQ STR'!I126</f>
        <v>0</v>
      </c>
      <c r="F21" s="140"/>
      <c r="G21" s="901"/>
    </row>
    <row r="22" spans="1:9" s="132" customFormat="1" ht="15" customHeight="1">
      <c r="A22" s="143"/>
      <c r="B22" s="214" t="s">
        <v>4026</v>
      </c>
      <c r="C22" s="214"/>
      <c r="D22" s="215"/>
      <c r="E22" s="156">
        <f>+'3.BOQ STR'!I151</f>
        <v>0</v>
      </c>
      <c r="F22" s="140"/>
      <c r="G22" s="901"/>
    </row>
    <row r="23" spans="1:9" s="132" customFormat="1" ht="15" customHeight="1">
      <c r="A23" s="143"/>
      <c r="B23" s="147"/>
      <c r="C23" s="145"/>
      <c r="D23" s="146"/>
      <c r="E23" s="144"/>
      <c r="F23" s="140"/>
      <c r="G23" s="902"/>
    </row>
    <row r="24" spans="1:9" s="132" customFormat="1" ht="15" customHeight="1">
      <c r="A24" s="141" t="s">
        <v>53</v>
      </c>
      <c r="B24" s="209" t="s">
        <v>3626</v>
      </c>
      <c r="C24" s="145"/>
      <c r="D24" s="146"/>
      <c r="E24" s="213">
        <f>+SUM(E25:E25)</f>
        <v>0</v>
      </c>
      <c r="F24" s="140"/>
      <c r="G24" s="900"/>
    </row>
    <row r="25" spans="1:9" s="132" customFormat="1" ht="15" customHeight="1">
      <c r="A25" s="143"/>
      <c r="B25" s="147" t="s">
        <v>3627</v>
      </c>
      <c r="C25" s="145"/>
      <c r="D25" s="146"/>
      <c r="E25" s="144">
        <f>'4. BOQ ARS'!I104</f>
        <v>0</v>
      </c>
      <c r="F25" s="140"/>
      <c r="G25" s="902"/>
    </row>
    <row r="26" spans="1:9" s="132" customFormat="1" ht="15" customHeight="1">
      <c r="A26" s="143"/>
      <c r="B26" s="147"/>
      <c r="C26" s="145"/>
      <c r="D26" s="146"/>
      <c r="E26" s="144"/>
      <c r="F26" s="140"/>
      <c r="G26" s="902"/>
      <c r="I26" s="634"/>
    </row>
    <row r="27" spans="1:9" s="132" customFormat="1" ht="15" customHeight="1">
      <c r="A27" s="141" t="s">
        <v>65</v>
      </c>
      <c r="B27" s="209" t="s">
        <v>3628</v>
      </c>
      <c r="C27" s="145"/>
      <c r="D27" s="146"/>
      <c r="E27" s="213">
        <f>+SUM(E28:E40)</f>
        <v>0</v>
      </c>
      <c r="F27" s="140"/>
      <c r="G27" s="900"/>
    </row>
    <row r="28" spans="1:9" s="132" customFormat="1" ht="15" customHeight="1">
      <c r="A28" s="143"/>
      <c r="B28" s="214" t="s">
        <v>4039</v>
      </c>
      <c r="C28" s="214"/>
      <c r="D28" s="215"/>
      <c r="E28" s="156">
        <f>'5. BOQ ME'!I13</f>
        <v>0</v>
      </c>
      <c r="F28" s="140"/>
      <c r="G28" s="901"/>
    </row>
    <row r="29" spans="1:9" s="132" customFormat="1" ht="15" customHeight="1">
      <c r="A29" s="143"/>
      <c r="B29" s="214" t="s">
        <v>4040</v>
      </c>
      <c r="C29" s="214"/>
      <c r="D29" s="215"/>
      <c r="E29" s="156">
        <f>'5. BOQ ME'!I22</f>
        <v>0</v>
      </c>
      <c r="F29" s="140"/>
      <c r="G29" s="901"/>
    </row>
    <row r="30" spans="1:9" s="132" customFormat="1" ht="15" customHeight="1">
      <c r="A30" s="143"/>
      <c r="B30" s="214" t="s">
        <v>4041</v>
      </c>
      <c r="C30" s="214"/>
      <c r="D30" s="215"/>
      <c r="E30" s="156">
        <f>'5. BOQ ME'!I29</f>
        <v>0</v>
      </c>
      <c r="F30" s="140"/>
      <c r="G30" s="901"/>
    </row>
    <row r="31" spans="1:9" s="132" customFormat="1" ht="15" customHeight="1">
      <c r="A31" s="143"/>
      <c r="B31" s="214" t="s">
        <v>4042</v>
      </c>
      <c r="C31" s="214"/>
      <c r="D31" s="215"/>
      <c r="E31" s="156">
        <f>'5. BOQ ME'!I33</f>
        <v>0</v>
      </c>
      <c r="F31" s="140"/>
      <c r="G31" s="901"/>
    </row>
    <row r="32" spans="1:9" s="132" customFormat="1" ht="15" customHeight="1">
      <c r="A32" s="143"/>
      <c r="B32" s="214" t="s">
        <v>4043</v>
      </c>
      <c r="C32" s="214"/>
      <c r="D32" s="215"/>
      <c r="E32" s="156">
        <f>'5. BOQ ME'!I41</f>
        <v>0</v>
      </c>
      <c r="F32" s="140"/>
      <c r="G32" s="901"/>
    </row>
    <row r="33" spans="1:7" s="132" customFormat="1" ht="15" customHeight="1">
      <c r="A33" s="143"/>
      <c r="B33" s="214" t="s">
        <v>4044</v>
      </c>
      <c r="C33" s="214"/>
      <c r="D33" s="215"/>
      <c r="E33" s="156">
        <f>'5. BOQ ME'!I60</f>
        <v>0</v>
      </c>
      <c r="F33" s="140"/>
      <c r="G33" s="901"/>
    </row>
    <row r="34" spans="1:7" s="132" customFormat="1" ht="15" customHeight="1">
      <c r="A34" s="143"/>
      <c r="B34" s="214" t="s">
        <v>4045</v>
      </c>
      <c r="C34" s="214"/>
      <c r="D34" s="215"/>
      <c r="E34" s="156">
        <f>'5. BOQ ME'!I68</f>
        <v>0</v>
      </c>
      <c r="F34" s="140"/>
      <c r="G34" s="901"/>
    </row>
    <row r="35" spans="1:7" s="132" customFormat="1" ht="15" customHeight="1">
      <c r="A35" s="143"/>
      <c r="B35" s="214" t="s">
        <v>4046</v>
      </c>
      <c r="C35" s="214"/>
      <c r="D35" s="215"/>
      <c r="E35" s="156">
        <f>'5. BOQ ME'!I84</f>
        <v>0</v>
      </c>
      <c r="F35" s="140"/>
      <c r="G35" s="901"/>
    </row>
    <row r="36" spans="1:7" s="132" customFormat="1" ht="15" customHeight="1">
      <c r="A36" s="143"/>
      <c r="B36" s="214" t="s">
        <v>4047</v>
      </c>
      <c r="C36" s="214"/>
      <c r="D36" s="215"/>
      <c r="E36" s="156">
        <f>'5. BOQ ME'!I98</f>
        <v>0</v>
      </c>
      <c r="F36" s="140"/>
      <c r="G36" s="901"/>
    </row>
    <row r="37" spans="1:7" s="132" customFormat="1" ht="15" customHeight="1">
      <c r="A37" s="143"/>
      <c r="B37" s="214" t="s">
        <v>4048</v>
      </c>
      <c r="C37" s="214"/>
      <c r="D37" s="215"/>
      <c r="E37" s="156">
        <f>'5. BOQ ME'!I114</f>
        <v>0</v>
      </c>
      <c r="F37" s="140"/>
      <c r="G37" s="901"/>
    </row>
    <row r="38" spans="1:7" s="132" customFormat="1" ht="15" customHeight="1">
      <c r="A38" s="143"/>
      <c r="B38" s="214" t="s">
        <v>4049</v>
      </c>
      <c r="C38" s="214"/>
      <c r="D38" s="215"/>
      <c r="E38" s="156">
        <f>'5. BOQ ME'!I127</f>
        <v>0</v>
      </c>
      <c r="F38" s="140"/>
      <c r="G38" s="901"/>
    </row>
    <row r="39" spans="1:7" s="132" customFormat="1" ht="15" customHeight="1">
      <c r="A39" s="143"/>
      <c r="B39" s="214" t="s">
        <v>4050</v>
      </c>
      <c r="C39" s="214"/>
      <c r="D39" s="215"/>
      <c r="E39" s="156">
        <f>'5. BOQ ME'!I142</f>
        <v>0</v>
      </c>
      <c r="F39" s="140"/>
      <c r="G39" s="901"/>
    </row>
    <row r="40" spans="1:7" s="132" customFormat="1" ht="15" customHeight="1">
      <c r="A40" s="143"/>
      <c r="B40" s="214" t="s">
        <v>4051</v>
      </c>
      <c r="C40" s="214"/>
      <c r="D40" s="215"/>
      <c r="E40" s="156">
        <f>'5. BOQ ME'!I161</f>
        <v>0</v>
      </c>
      <c r="F40" s="140"/>
      <c r="G40" s="901"/>
    </row>
    <row r="41" spans="1:7" s="132" customFormat="1" ht="15" customHeight="1" thickBot="1">
      <c r="A41" s="320"/>
      <c r="B41" s="937"/>
      <c r="C41" s="938"/>
      <c r="D41" s="321"/>
      <c r="E41" s="322"/>
      <c r="F41" s="140"/>
      <c r="G41" s="900"/>
    </row>
    <row r="42" spans="1:7" s="132" customFormat="1" ht="15" customHeight="1">
      <c r="A42" s="323"/>
      <c r="B42" s="324"/>
      <c r="C42" s="325"/>
      <c r="D42" s="326"/>
      <c r="E42" s="327"/>
      <c r="F42" s="140"/>
      <c r="G42" s="902"/>
    </row>
    <row r="43" spans="1:7" s="132" customFormat="1" ht="15" customHeight="1">
      <c r="A43" s="328"/>
      <c r="B43" s="329"/>
      <c r="C43" s="148"/>
      <c r="D43" s="149" t="s">
        <v>3506</v>
      </c>
      <c r="E43" s="334">
        <f>+E12+E14+E16+E24+E27</f>
        <v>0</v>
      </c>
      <c r="F43" s="140"/>
      <c r="G43" s="902"/>
    </row>
    <row r="44" spans="1:7" s="132" customFormat="1" ht="15" customHeight="1">
      <c r="A44" s="328"/>
      <c r="B44" s="329"/>
      <c r="C44" s="148"/>
      <c r="D44" s="149" t="s">
        <v>3769</v>
      </c>
      <c r="E44" s="334">
        <f>+E43*0.11</f>
        <v>0</v>
      </c>
      <c r="F44" s="140"/>
      <c r="G44" s="902"/>
    </row>
    <row r="45" spans="1:7" s="132" customFormat="1" ht="15" customHeight="1">
      <c r="A45" s="328"/>
      <c r="B45" s="329"/>
      <c r="C45" s="148"/>
      <c r="D45" s="149" t="s">
        <v>3629</v>
      </c>
      <c r="E45" s="334">
        <f>+E44+E43</f>
        <v>0</v>
      </c>
      <c r="F45" s="140"/>
      <c r="G45" s="902"/>
    </row>
    <row r="46" spans="1:7" s="132" customFormat="1" ht="15" customHeight="1" thickBot="1">
      <c r="A46" s="330"/>
      <c r="B46" s="331"/>
      <c r="C46" s="332"/>
      <c r="D46" s="333" t="s">
        <v>3630</v>
      </c>
      <c r="E46" s="565">
        <f>ROUND(E45,-6)</f>
        <v>0</v>
      </c>
      <c r="F46" s="140"/>
      <c r="G46" s="950"/>
    </row>
    <row r="95" spans="2:2">
      <c r="B95" s="949" t="s">
        <v>4106</v>
      </c>
    </row>
  </sheetData>
  <mergeCells count="7">
    <mergeCell ref="B16:D16"/>
    <mergeCell ref="A1:E1"/>
    <mergeCell ref="A2:E2"/>
    <mergeCell ref="A9:A10"/>
    <mergeCell ref="B9:D10"/>
    <mergeCell ref="B11:D11"/>
    <mergeCell ref="B14:D14"/>
  </mergeCells>
  <printOptions horizontalCentered="1"/>
  <pageMargins left="0.39370078740157483" right="0.39370078740157483" top="0.59055118110236227" bottom="0.59055118110236227" header="0.31496062992125984" footer="0.31496062992125984"/>
  <pageSetup paperSize="9" scale="8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66385-6B0E-4FF6-B0D9-6367D54DDAED}">
  <sheetPr>
    <tabColor rgb="FFFF0000"/>
  </sheetPr>
  <dimension ref="A1:Q151"/>
  <sheetViews>
    <sheetView view="pageBreakPreview" topLeftCell="A148" zoomScaleNormal="85" zoomScaleSheetLayoutView="100" workbookViewId="0">
      <selection activeCell="D4" sqref="D4"/>
    </sheetView>
  </sheetViews>
  <sheetFormatPr defaultColWidth="9.08984375" defaultRowHeight="14.5"/>
  <cols>
    <col min="1" max="1" width="9.08984375" style="276"/>
    <col min="2" max="3" width="9.08984375" style="219"/>
    <col min="4" max="4" width="45.54296875" style="219" customWidth="1"/>
    <col min="5" max="5" width="10.08984375" style="219" customWidth="1"/>
    <col min="6" max="6" width="7" style="219" customWidth="1"/>
    <col min="7" max="7" width="15.6328125" style="219" customWidth="1"/>
    <col min="8" max="9" width="19.6328125" style="219" customWidth="1"/>
    <col min="10" max="10" width="9.08984375" style="219"/>
    <col min="11" max="11" width="13.36328125" style="219" bestFit="1" customWidth="1"/>
    <col min="12" max="16384" width="9.08984375" style="219"/>
  </cols>
  <sheetData>
    <row r="1" spans="1:11" ht="18">
      <c r="A1" s="1592" t="s">
        <v>4142</v>
      </c>
      <c r="B1" s="1592"/>
      <c r="C1" s="1592"/>
      <c r="D1" s="1592"/>
      <c r="E1" s="1592"/>
      <c r="F1" s="1592"/>
      <c r="G1" s="1592"/>
      <c r="H1" s="1592"/>
      <c r="I1" s="1592"/>
    </row>
    <row r="2" spans="1:11">
      <c r="A2" s="220"/>
      <c r="B2" s="220"/>
      <c r="C2" s="220"/>
      <c r="D2" s="220"/>
      <c r="E2" s="220"/>
      <c r="F2" s="220"/>
      <c r="G2" s="220"/>
      <c r="H2" s="221"/>
      <c r="I2" s="222"/>
    </row>
    <row r="3" spans="1:11">
      <c r="A3" s="223"/>
      <c r="B3" s="224" t="s">
        <v>3232</v>
      </c>
      <c r="C3" s="225"/>
      <c r="D3" s="226" t="s">
        <v>3672</v>
      </c>
      <c r="E3" s="226"/>
      <c r="F3" s="228"/>
      <c r="G3" s="220"/>
      <c r="H3" s="221"/>
      <c r="I3" s="222"/>
    </row>
    <row r="4" spans="1:11">
      <c r="A4" s="223"/>
      <c r="B4" s="224" t="s">
        <v>3233</v>
      </c>
      <c r="C4" s="225"/>
      <c r="D4" s="226" t="s">
        <v>4614</v>
      </c>
      <c r="E4" s="226"/>
      <c r="F4" s="228"/>
      <c r="G4" s="220"/>
      <c r="H4" s="221"/>
      <c r="I4" s="222"/>
    </row>
    <row r="5" spans="1:11">
      <c r="A5" s="223"/>
      <c r="B5" s="224" t="s">
        <v>3234</v>
      </c>
      <c r="C5" s="225"/>
      <c r="D5" s="226" t="s">
        <v>3670</v>
      </c>
      <c r="E5" s="226"/>
      <c r="F5" s="228"/>
      <c r="G5" s="220"/>
      <c r="H5" s="221"/>
      <c r="I5" s="222"/>
    </row>
    <row r="6" spans="1:11">
      <c r="A6" s="220"/>
      <c r="B6" s="229"/>
      <c r="C6" s="230"/>
      <c r="D6" s="225"/>
      <c r="E6" s="225"/>
      <c r="F6" s="228"/>
      <c r="G6" s="220"/>
      <c r="H6" s="221"/>
      <c r="I6" s="222"/>
    </row>
    <row r="7" spans="1:11" ht="15" thickBot="1">
      <c r="A7" s="220"/>
      <c r="B7" s="220"/>
      <c r="C7" s="220"/>
      <c r="D7" s="229"/>
      <c r="E7" s="229"/>
      <c r="F7" s="228"/>
      <c r="G7" s="228"/>
      <c r="H7" s="231"/>
      <c r="I7" s="232"/>
    </row>
    <row r="8" spans="1:11">
      <c r="A8" s="1613" t="s">
        <v>3235</v>
      </c>
      <c r="B8" s="1615" t="s">
        <v>0</v>
      </c>
      <c r="C8" s="1616"/>
      <c r="D8" s="1616"/>
      <c r="E8" s="1626" t="s">
        <v>3236</v>
      </c>
      <c r="F8" s="1627"/>
      <c r="G8" s="1619" t="s">
        <v>3237</v>
      </c>
      <c r="H8" s="233" t="s">
        <v>3238</v>
      </c>
      <c r="I8" s="234" t="s">
        <v>3239</v>
      </c>
    </row>
    <row r="9" spans="1:11" ht="15" thickBot="1">
      <c r="A9" s="1614"/>
      <c r="B9" s="1617"/>
      <c r="C9" s="1618"/>
      <c r="D9" s="1618"/>
      <c r="E9" s="1617"/>
      <c r="F9" s="1628"/>
      <c r="G9" s="1620"/>
      <c r="H9" s="235" t="s">
        <v>1954</v>
      </c>
      <c r="I9" s="236" t="s">
        <v>3240</v>
      </c>
    </row>
    <row r="10" spans="1:11" s="385" customFormat="1" ht="15" customHeight="1">
      <c r="A10" s="380" t="s">
        <v>3753</v>
      </c>
      <c r="B10" s="1602" t="s">
        <v>3754</v>
      </c>
      <c r="C10" s="1603"/>
      <c r="D10" s="1604"/>
      <c r="E10" s="884"/>
      <c r="F10" s="566"/>
      <c r="G10" s="381"/>
      <c r="H10" s="382"/>
      <c r="I10" s="249"/>
      <c r="J10" s="383"/>
      <c r="K10" s="384"/>
    </row>
    <row r="11" spans="1:11" s="385" customFormat="1" ht="15" customHeight="1">
      <c r="A11" s="386">
        <v>1</v>
      </c>
      <c r="B11" s="387" t="s">
        <v>3755</v>
      </c>
      <c r="C11" s="388"/>
      <c r="D11" s="389"/>
      <c r="E11" s="254">
        <v>1</v>
      </c>
      <c r="F11" s="567" t="s">
        <v>158</v>
      </c>
      <c r="G11" s="390" t="s">
        <v>3631</v>
      </c>
      <c r="H11" s="391">
        <v>0</v>
      </c>
      <c r="I11" s="258">
        <f>+E11*H11</f>
        <v>0</v>
      </c>
      <c r="J11" s="383"/>
    </row>
    <row r="12" spans="1:11" s="385" customFormat="1" ht="15" customHeight="1">
      <c r="A12" s="386">
        <f>+A11+1</f>
        <v>2</v>
      </c>
      <c r="B12" s="338" t="s">
        <v>3661</v>
      </c>
      <c r="C12" s="388"/>
      <c r="D12" s="389"/>
      <c r="E12" s="254">
        <f>12+12+24+24</f>
        <v>72</v>
      </c>
      <c r="F12" s="339" t="s">
        <v>2911</v>
      </c>
      <c r="G12" s="390" t="str">
        <f>HSP!C10</f>
        <v xml:space="preserve">A.2.2.1.4.  </v>
      </c>
      <c r="H12" s="391">
        <f>HSP!F10</f>
        <v>0</v>
      </c>
      <c r="I12" s="258">
        <f t="shared" ref="I12:I14" si="0">+E12*H12</f>
        <v>0</v>
      </c>
      <c r="J12" s="383"/>
    </row>
    <row r="13" spans="1:11" s="385" customFormat="1" ht="15" customHeight="1">
      <c r="A13" s="386">
        <v>3</v>
      </c>
      <c r="B13" s="337" t="s">
        <v>543</v>
      </c>
      <c r="C13" s="388"/>
      <c r="D13" s="389"/>
      <c r="E13" s="254">
        <f>24*12</f>
        <v>288</v>
      </c>
      <c r="F13" s="339" t="s">
        <v>376</v>
      </c>
      <c r="G13" s="390" t="str">
        <f>HSP!C15</f>
        <v xml:space="preserve">A.2.2.1.9. </v>
      </c>
      <c r="H13" s="391">
        <f>HSP!F15</f>
        <v>0</v>
      </c>
      <c r="I13" s="258">
        <f t="shared" si="0"/>
        <v>0</v>
      </c>
      <c r="J13" s="383"/>
    </row>
    <row r="14" spans="1:11" s="385" customFormat="1" ht="15" customHeight="1">
      <c r="A14" s="386">
        <f t="shared" ref="A14" si="1">+A13+1</f>
        <v>4</v>
      </c>
      <c r="B14" s="337" t="s">
        <v>3662</v>
      </c>
      <c r="C14" s="388"/>
      <c r="D14" s="389"/>
      <c r="E14" s="254">
        <v>1</v>
      </c>
      <c r="F14" s="339" t="s">
        <v>158</v>
      </c>
      <c r="G14" s="390" t="str">
        <f>+G11</f>
        <v>Taksir</v>
      </c>
      <c r="H14" s="391">
        <v>0</v>
      </c>
      <c r="I14" s="258">
        <f t="shared" si="0"/>
        <v>0</v>
      </c>
      <c r="J14" s="383"/>
    </row>
    <row r="15" spans="1:11" s="385" customFormat="1" ht="15" customHeight="1">
      <c r="A15" s="386"/>
      <c r="B15" s="387"/>
      <c r="C15" s="388"/>
      <c r="D15" s="389"/>
      <c r="E15" s="388"/>
      <c r="F15" s="568"/>
      <c r="G15" s="390"/>
      <c r="H15" s="391"/>
      <c r="I15" s="258"/>
      <c r="J15" s="383"/>
    </row>
    <row r="16" spans="1:11" s="385" customFormat="1" ht="15" customHeight="1">
      <c r="A16" s="392"/>
      <c r="B16" s="393"/>
      <c r="C16" s="393"/>
      <c r="D16" s="394"/>
      <c r="E16" s="393"/>
      <c r="F16" s="1621"/>
      <c r="G16" s="1621"/>
      <c r="H16" s="1622"/>
      <c r="I16" s="395">
        <f>+SUM(I11:I14)</f>
        <v>0</v>
      </c>
      <c r="J16" s="383"/>
    </row>
    <row r="17" spans="1:11" s="385" customFormat="1" ht="15" customHeight="1">
      <c r="A17" s="380" t="s">
        <v>3113</v>
      </c>
      <c r="B17" s="1602" t="s">
        <v>3874</v>
      </c>
      <c r="C17" s="1603"/>
      <c r="D17" s="1604"/>
      <c r="E17" s="884"/>
      <c r="F17" s="569"/>
      <c r="G17" s="381"/>
      <c r="H17" s="382"/>
      <c r="I17" s="249"/>
      <c r="J17" s="383"/>
      <c r="K17" s="384"/>
    </row>
    <row r="18" spans="1:11" s="385" customFormat="1" ht="15" customHeight="1">
      <c r="A18" s="386">
        <v>1</v>
      </c>
      <c r="B18" s="387" t="s">
        <v>3756</v>
      </c>
      <c r="C18" s="388"/>
      <c r="D18" s="389"/>
      <c r="E18" s="388"/>
      <c r="F18" s="567"/>
      <c r="G18" s="390"/>
      <c r="H18" s="391"/>
      <c r="I18" s="258"/>
      <c r="J18" s="383"/>
    </row>
    <row r="19" spans="1:11" s="385" customFormat="1" ht="15" customHeight="1">
      <c r="A19" s="386"/>
      <c r="B19" s="387" t="s">
        <v>3664</v>
      </c>
      <c r="C19" s="388"/>
      <c r="D19" s="389"/>
      <c r="E19" s="388"/>
      <c r="F19" s="567"/>
      <c r="G19" s="390"/>
      <c r="H19" s="391"/>
      <c r="I19" s="258"/>
      <c r="J19" s="383"/>
    </row>
    <row r="20" spans="1:11" s="385" customFormat="1" ht="15" customHeight="1">
      <c r="A20" s="386"/>
      <c r="B20" s="387" t="s">
        <v>3665</v>
      </c>
      <c r="C20" s="388"/>
      <c r="D20" s="389"/>
      <c r="E20" s="388"/>
      <c r="F20" s="567"/>
      <c r="G20" s="390"/>
      <c r="H20" s="391"/>
      <c r="I20" s="258"/>
      <c r="J20" s="383"/>
    </row>
    <row r="21" spans="1:11" s="385" customFormat="1" ht="15" customHeight="1">
      <c r="A21" s="386"/>
      <c r="B21" s="387" t="s">
        <v>3757</v>
      </c>
      <c r="C21" s="388"/>
      <c r="D21" s="389"/>
      <c r="E21" s="254">
        <v>1</v>
      </c>
      <c r="F21" s="567" t="s">
        <v>3257</v>
      </c>
      <c r="G21" s="390" t="s">
        <v>3631</v>
      </c>
      <c r="H21" s="391">
        <v>0</v>
      </c>
      <c r="I21" s="258">
        <f t="shared" ref="I21:I22" si="2">+E21*H21</f>
        <v>0</v>
      </c>
      <c r="J21" s="383"/>
    </row>
    <row r="22" spans="1:11" s="385" customFormat="1" ht="15" customHeight="1">
      <c r="A22" s="386"/>
      <c r="B22" s="387" t="s">
        <v>3758</v>
      </c>
      <c r="C22" s="388"/>
      <c r="D22" s="389"/>
      <c r="E22" s="254">
        <v>1</v>
      </c>
      <c r="F22" s="567" t="s">
        <v>3257</v>
      </c>
      <c r="G22" s="390" t="s">
        <v>3631</v>
      </c>
      <c r="H22" s="391">
        <v>0</v>
      </c>
      <c r="I22" s="258">
        <f t="shared" si="2"/>
        <v>0</v>
      </c>
      <c r="J22" s="383"/>
    </row>
    <row r="23" spans="1:11" s="385" customFormat="1" ht="15" customHeight="1">
      <c r="A23" s="386"/>
      <c r="B23" s="387" t="s">
        <v>3666</v>
      </c>
      <c r="C23" s="388"/>
      <c r="D23" s="389"/>
      <c r="E23" s="254"/>
      <c r="F23" s="567"/>
      <c r="G23" s="390" t="s">
        <v>3631</v>
      </c>
      <c r="H23" s="391"/>
      <c r="I23" s="258"/>
      <c r="J23" s="383"/>
    </row>
    <row r="24" spans="1:11" s="385" customFormat="1" ht="16.5" customHeight="1">
      <c r="A24" s="386"/>
      <c r="B24" s="1623" t="s">
        <v>3759</v>
      </c>
      <c r="C24" s="1624"/>
      <c r="D24" s="1625"/>
      <c r="E24" s="254">
        <v>20</v>
      </c>
      <c r="F24" s="567" t="s">
        <v>259</v>
      </c>
      <c r="G24" s="390" t="s">
        <v>3631</v>
      </c>
      <c r="H24" s="391">
        <v>0</v>
      </c>
      <c r="I24" s="258">
        <f t="shared" ref="I24:I26" si="3">+E24*H24</f>
        <v>0</v>
      </c>
      <c r="J24" s="383"/>
    </row>
    <row r="25" spans="1:11" s="385" customFormat="1" ht="15" customHeight="1">
      <c r="A25" s="386"/>
      <c r="B25" s="387" t="s">
        <v>3760</v>
      </c>
      <c r="C25" s="388"/>
      <c r="D25" s="389"/>
      <c r="E25" s="254">
        <v>20</v>
      </c>
      <c r="F25" s="567" t="s">
        <v>259</v>
      </c>
      <c r="G25" s="390" t="s">
        <v>3631</v>
      </c>
      <c r="H25" s="391">
        <v>0</v>
      </c>
      <c r="I25" s="258">
        <f t="shared" si="3"/>
        <v>0</v>
      </c>
      <c r="J25" s="383"/>
    </row>
    <row r="26" spans="1:11" s="385" customFormat="1" ht="15" customHeight="1">
      <c r="A26" s="386"/>
      <c r="B26" s="387" t="s">
        <v>3761</v>
      </c>
      <c r="C26" s="388"/>
      <c r="D26" s="389"/>
      <c r="E26" s="254">
        <v>20</v>
      </c>
      <c r="F26" s="567" t="s">
        <v>3667</v>
      </c>
      <c r="G26" s="390" t="s">
        <v>3631</v>
      </c>
      <c r="H26" s="391">
        <v>0</v>
      </c>
      <c r="I26" s="258">
        <f t="shared" si="3"/>
        <v>0</v>
      </c>
      <c r="J26" s="383"/>
    </row>
    <row r="27" spans="1:11" s="385" customFormat="1" ht="15" customHeight="1">
      <c r="A27" s="386"/>
      <c r="B27" s="387" t="s">
        <v>3668</v>
      </c>
      <c r="C27" s="388"/>
      <c r="D27" s="389"/>
      <c r="E27" s="254"/>
      <c r="F27" s="567"/>
      <c r="G27" s="390"/>
      <c r="H27" s="391"/>
      <c r="I27" s="258"/>
      <c r="J27" s="383"/>
    </row>
    <row r="28" spans="1:11" s="385" customFormat="1" ht="15" customHeight="1">
      <c r="A28" s="386"/>
      <c r="B28" s="387" t="s">
        <v>3762</v>
      </c>
      <c r="C28" s="388"/>
      <c r="D28" s="389"/>
      <c r="E28" s="254">
        <v>5</v>
      </c>
      <c r="F28" s="567" t="s">
        <v>259</v>
      </c>
      <c r="G28" s="390" t="s">
        <v>3631</v>
      </c>
      <c r="H28" s="391">
        <v>0</v>
      </c>
      <c r="I28" s="258">
        <f t="shared" ref="I28:I30" si="4">+E28*H28</f>
        <v>0</v>
      </c>
      <c r="J28" s="383"/>
    </row>
    <row r="29" spans="1:11" s="385" customFormat="1" ht="15" customHeight="1">
      <c r="A29" s="386"/>
      <c r="B29" s="387" t="s">
        <v>3763</v>
      </c>
      <c r="C29" s="388"/>
      <c r="D29" s="389"/>
      <c r="E29" s="254">
        <v>5</v>
      </c>
      <c r="F29" s="567" t="s">
        <v>259</v>
      </c>
      <c r="G29" s="390" t="s">
        <v>3631</v>
      </c>
      <c r="H29" s="391">
        <v>0</v>
      </c>
      <c r="I29" s="258">
        <f t="shared" si="4"/>
        <v>0</v>
      </c>
      <c r="J29" s="383"/>
    </row>
    <row r="30" spans="1:11" s="385" customFormat="1" ht="15" customHeight="1">
      <c r="A30" s="386"/>
      <c r="B30" s="387" t="s">
        <v>3764</v>
      </c>
      <c r="C30" s="388"/>
      <c r="D30" s="389"/>
      <c r="E30" s="254">
        <v>1</v>
      </c>
      <c r="F30" s="567" t="s">
        <v>3257</v>
      </c>
      <c r="G30" s="390" t="s">
        <v>3631</v>
      </c>
      <c r="H30" s="391">
        <v>0</v>
      </c>
      <c r="I30" s="258">
        <f t="shared" si="4"/>
        <v>0</v>
      </c>
      <c r="J30" s="383"/>
    </row>
    <row r="31" spans="1:11" s="385" customFormat="1" ht="15" customHeight="1">
      <c r="A31" s="386">
        <v>2</v>
      </c>
      <c r="B31" s="387" t="s">
        <v>3669</v>
      </c>
      <c r="C31" s="388"/>
      <c r="D31" s="389"/>
      <c r="E31" s="254"/>
      <c r="F31" s="567"/>
      <c r="G31" s="390"/>
      <c r="H31" s="391"/>
      <c r="I31" s="258"/>
      <c r="J31" s="383"/>
    </row>
    <row r="32" spans="1:11" s="385" customFormat="1" ht="15" customHeight="1">
      <c r="A32" s="386"/>
      <c r="B32" s="387" t="s">
        <v>3765</v>
      </c>
      <c r="C32" s="388"/>
      <c r="D32" s="389"/>
      <c r="E32" s="254">
        <v>3</v>
      </c>
      <c r="F32" s="567" t="s">
        <v>259</v>
      </c>
      <c r="G32" s="390" t="s">
        <v>3631</v>
      </c>
      <c r="H32" s="391">
        <v>0</v>
      </c>
      <c r="I32" s="258">
        <f t="shared" ref="I32:I34" si="5">+E32*H32</f>
        <v>0</v>
      </c>
      <c r="J32" s="383"/>
    </row>
    <row r="33" spans="1:12" s="385" customFormat="1" ht="15" customHeight="1">
      <c r="A33" s="386"/>
      <c r="B33" s="387" t="s">
        <v>3766</v>
      </c>
      <c r="C33" s="388"/>
      <c r="D33" s="389"/>
      <c r="E33" s="254">
        <v>2</v>
      </c>
      <c r="F33" s="567" t="s">
        <v>259</v>
      </c>
      <c r="G33" s="390" t="s">
        <v>3631</v>
      </c>
      <c r="H33" s="391">
        <v>0</v>
      </c>
      <c r="I33" s="258">
        <f t="shared" si="5"/>
        <v>0</v>
      </c>
      <c r="J33" s="383"/>
    </row>
    <row r="34" spans="1:12" s="385" customFormat="1" ht="15" customHeight="1">
      <c r="A34" s="386"/>
      <c r="B34" s="387" t="s">
        <v>3767</v>
      </c>
      <c r="C34" s="388"/>
      <c r="D34" s="389"/>
      <c r="E34" s="254">
        <v>4</v>
      </c>
      <c r="F34" s="567" t="s">
        <v>259</v>
      </c>
      <c r="G34" s="390" t="s">
        <v>3631</v>
      </c>
      <c r="H34" s="391">
        <v>0</v>
      </c>
      <c r="I34" s="258">
        <f t="shared" si="5"/>
        <v>0</v>
      </c>
      <c r="J34" s="383"/>
    </row>
    <row r="35" spans="1:12" s="385" customFormat="1" ht="15" customHeight="1">
      <c r="A35" s="386"/>
      <c r="B35" s="387"/>
      <c r="C35" s="388"/>
      <c r="D35" s="389"/>
      <c r="E35" s="388"/>
      <c r="F35" s="568"/>
      <c r="G35" s="390"/>
      <c r="H35" s="391"/>
      <c r="I35" s="258"/>
      <c r="J35" s="383"/>
    </row>
    <row r="36" spans="1:12" s="385" customFormat="1" ht="15" customHeight="1">
      <c r="A36" s="392"/>
      <c r="B36" s="393"/>
      <c r="C36" s="393"/>
      <c r="D36" s="394"/>
      <c r="E36" s="393"/>
      <c r="F36" s="1621"/>
      <c r="G36" s="1621"/>
      <c r="H36" s="1622"/>
      <c r="I36" s="395">
        <f>SUM(I21:I35)</f>
        <v>0</v>
      </c>
      <c r="J36" s="383"/>
    </row>
    <row r="37" spans="1:12" s="225" customFormat="1" ht="15" customHeight="1">
      <c r="A37" s="237" t="s">
        <v>3840</v>
      </c>
      <c r="B37" s="1610" t="s">
        <v>3241</v>
      </c>
      <c r="C37" s="1611"/>
      <c r="D37" s="1612"/>
      <c r="E37" s="667"/>
      <c r="F37" s="239"/>
      <c r="G37" s="240"/>
      <c r="H37" s="241"/>
      <c r="I37" s="242"/>
      <c r="J37" s="243"/>
    </row>
    <row r="38" spans="1:12" s="225" customFormat="1" ht="15" customHeight="1">
      <c r="A38" s="244" t="s">
        <v>3242</v>
      </c>
      <c r="B38" s="1605" t="s">
        <v>3243</v>
      </c>
      <c r="C38" s="1606"/>
      <c r="D38" s="1607"/>
      <c r="E38" s="335"/>
      <c r="F38" s="246"/>
      <c r="G38" s="247"/>
      <c r="H38" s="248"/>
      <c r="I38" s="249"/>
      <c r="J38" s="243"/>
      <c r="K38" s="250"/>
    </row>
    <row r="39" spans="1:12" s="225" customFormat="1" ht="15" customHeight="1">
      <c r="A39" s="251">
        <v>1</v>
      </c>
      <c r="B39" s="252" t="s">
        <v>3673</v>
      </c>
      <c r="C39" s="335"/>
      <c r="D39" s="336"/>
      <c r="E39" s="254">
        <f>'VOL STR'!V31</f>
        <v>14.4</v>
      </c>
      <c r="F39" s="255" t="s">
        <v>375</v>
      </c>
      <c r="G39" s="378" t="str">
        <f>+HSP!C19</f>
        <v xml:space="preserve">A.2.2.1.13. </v>
      </c>
      <c r="H39" s="379">
        <f>+HSP!F19</f>
        <v>0</v>
      </c>
      <c r="I39" s="258">
        <f t="shared" ref="I39:I44" si="6">+E39*H39</f>
        <v>0</v>
      </c>
      <c r="J39" s="243"/>
      <c r="K39" s="250"/>
    </row>
    <row r="40" spans="1:12" s="225" customFormat="1" ht="15" customHeight="1">
      <c r="A40" s="251">
        <v>2</v>
      </c>
      <c r="B40" s="252" t="s">
        <v>3244</v>
      </c>
      <c r="C40" s="253"/>
      <c r="D40" s="253"/>
      <c r="E40" s="254">
        <f>'VOL STR'!T33+'VOL STR'!T34</f>
        <v>192.38400000000001</v>
      </c>
      <c r="F40" s="255" t="s">
        <v>375</v>
      </c>
      <c r="G40" s="263" t="s">
        <v>551</v>
      </c>
      <c r="H40" s="257">
        <f>+HSP!F25</f>
        <v>0</v>
      </c>
      <c r="I40" s="258">
        <f t="shared" si="6"/>
        <v>0</v>
      </c>
      <c r="J40" s="243"/>
    </row>
    <row r="41" spans="1:12" s="225" customFormat="1" ht="15" customHeight="1">
      <c r="A41" s="251">
        <f>A40+1</f>
        <v>3</v>
      </c>
      <c r="B41" s="252" t="s">
        <v>3674</v>
      </c>
      <c r="C41" s="259"/>
      <c r="D41" s="260"/>
      <c r="E41" s="261">
        <f>'VOL STR'!T35</f>
        <v>42.24</v>
      </c>
      <c r="F41" s="255" t="s">
        <v>375</v>
      </c>
      <c r="G41" s="263" t="str">
        <f>+G40</f>
        <v xml:space="preserve">A.2.3.1.1. </v>
      </c>
      <c r="H41" s="257">
        <f>+H40</f>
        <v>0</v>
      </c>
      <c r="I41" s="258">
        <f t="shared" si="6"/>
        <v>0</v>
      </c>
      <c r="J41" s="243"/>
    </row>
    <row r="42" spans="1:12" s="225" customFormat="1" ht="15" customHeight="1">
      <c r="A42" s="251">
        <f t="shared" ref="A42:A44" si="7">A41+1</f>
        <v>4</v>
      </c>
      <c r="B42" s="262" t="s">
        <v>3245</v>
      </c>
      <c r="C42" s="259"/>
      <c r="D42" s="260"/>
      <c r="E42" s="277">
        <f>'VOL STR'!V40</f>
        <v>78.208000000000013</v>
      </c>
      <c r="F42" s="278" t="s">
        <v>375</v>
      </c>
      <c r="G42" s="263" t="str">
        <f>+HSP!C33</f>
        <v xml:space="preserve">A.2.3.1.9. </v>
      </c>
      <c r="H42" s="257">
        <f>+HSP!F33</f>
        <v>0</v>
      </c>
      <c r="I42" s="258">
        <f t="shared" si="6"/>
        <v>0</v>
      </c>
      <c r="J42" s="243"/>
      <c r="K42" s="279"/>
    </row>
    <row r="43" spans="1:12" s="225" customFormat="1" ht="15" customHeight="1">
      <c r="A43" s="251">
        <f t="shared" si="7"/>
        <v>5</v>
      </c>
      <c r="B43" s="262" t="s">
        <v>3675</v>
      </c>
      <c r="C43" s="259"/>
      <c r="D43" s="260"/>
      <c r="E43" s="277">
        <f>4.9*12*1</f>
        <v>58.800000000000004</v>
      </c>
      <c r="F43" s="278" t="s">
        <v>375</v>
      </c>
      <c r="G43" s="263" t="str">
        <f>+HSP!C39</f>
        <v xml:space="preserve">A.2.3.1.14. </v>
      </c>
      <c r="H43" s="257">
        <f>+HSP!F39</f>
        <v>0</v>
      </c>
      <c r="I43" s="258">
        <f t="shared" si="6"/>
        <v>0</v>
      </c>
      <c r="J43" s="243"/>
      <c r="K43" s="279"/>
    </row>
    <row r="44" spans="1:12" s="225" customFormat="1" ht="15" customHeight="1">
      <c r="A44" s="251">
        <f t="shared" si="7"/>
        <v>6</v>
      </c>
      <c r="B44" s="262" t="s">
        <v>3246</v>
      </c>
      <c r="C44" s="259"/>
      <c r="D44" s="260"/>
      <c r="E44" s="277">
        <f>(+E43+E42)/4</f>
        <v>34.252000000000002</v>
      </c>
      <c r="F44" s="278" t="s">
        <v>375</v>
      </c>
      <c r="G44" s="256" t="str">
        <f>+HSP!C36</f>
        <v>A.2.3.1.11.a</v>
      </c>
      <c r="H44" s="257">
        <f>+HSP!F36</f>
        <v>0</v>
      </c>
      <c r="I44" s="258">
        <f t="shared" si="6"/>
        <v>0</v>
      </c>
      <c r="J44" s="243"/>
    </row>
    <row r="45" spans="1:12" s="225" customFormat="1" ht="15" customHeight="1">
      <c r="A45" s="280"/>
      <c r="B45" s="274"/>
      <c r="C45" s="274"/>
      <c r="D45" s="274"/>
      <c r="E45" s="274"/>
      <c r="F45" s="1608"/>
      <c r="G45" s="1608"/>
      <c r="H45" s="1609"/>
      <c r="I45" s="275">
        <f>SUM(I39:I44)</f>
        <v>0</v>
      </c>
      <c r="J45" s="243"/>
      <c r="L45" s="281"/>
    </row>
    <row r="46" spans="1:12" s="225" customFormat="1" ht="15" customHeight="1">
      <c r="A46" s="282" t="s">
        <v>3248</v>
      </c>
      <c r="B46" s="283" t="s">
        <v>3249</v>
      </c>
      <c r="C46" s="284"/>
      <c r="D46" s="285"/>
      <c r="E46" s="284"/>
      <c r="F46" s="278"/>
      <c r="G46" s="286"/>
      <c r="H46" s="287"/>
      <c r="I46" s="288"/>
      <c r="J46" s="243"/>
    </row>
    <row r="47" spans="1:12" s="225" customFormat="1" ht="15" customHeight="1">
      <c r="A47" s="289">
        <v>1</v>
      </c>
      <c r="B47" s="290" t="s">
        <v>3250</v>
      </c>
      <c r="C47" s="284"/>
      <c r="D47" s="285"/>
      <c r="E47" s="885">
        <f>'VOL STR'!V77</f>
        <v>95.39200000000001</v>
      </c>
      <c r="F47" s="278" t="s">
        <v>375</v>
      </c>
      <c r="G47" s="286" t="str">
        <f>HSP!C44</f>
        <v xml:space="preserve">A.3.2.1.3. </v>
      </c>
      <c r="H47" s="287">
        <f>HSP!F44</f>
        <v>0</v>
      </c>
      <c r="I47" s="258">
        <f t="shared" ref="I47:I50" si="8">+E47*H47</f>
        <v>0</v>
      </c>
      <c r="J47" s="243"/>
    </row>
    <row r="48" spans="1:12" s="225" customFormat="1" ht="15" customHeight="1">
      <c r="A48" s="289">
        <v>2</v>
      </c>
      <c r="B48" s="290" t="s">
        <v>3251</v>
      </c>
      <c r="C48" s="284"/>
      <c r="D48" s="285"/>
      <c r="E48" s="885">
        <f>'VOL STR'!V74</f>
        <v>34.688000000000009</v>
      </c>
      <c r="F48" s="278" t="s">
        <v>375</v>
      </c>
      <c r="G48" s="291" t="str">
        <f>HSP!C50</f>
        <v xml:space="preserve">A.3.2.1.9. </v>
      </c>
      <c r="H48" s="287">
        <f>HSP!F50</f>
        <v>0</v>
      </c>
      <c r="I48" s="258">
        <f t="shared" si="8"/>
        <v>0</v>
      </c>
      <c r="J48" s="243"/>
    </row>
    <row r="49" spans="1:10" s="225" customFormat="1" ht="15" customHeight="1">
      <c r="A49" s="289">
        <v>3</v>
      </c>
      <c r="B49" s="290" t="s">
        <v>3554</v>
      </c>
      <c r="C49" s="284"/>
      <c r="D49" s="285"/>
      <c r="E49" s="885">
        <f>'VOL STR'!V80</f>
        <v>8.68</v>
      </c>
      <c r="F49" s="278" t="s">
        <v>93</v>
      </c>
      <c r="G49" s="291" t="str">
        <f>HSP!C76</f>
        <v xml:space="preserve">A.4.1.1.17   </v>
      </c>
      <c r="H49" s="287">
        <f>HSP!F76/10</f>
        <v>0</v>
      </c>
      <c r="I49" s="258">
        <f t="shared" si="8"/>
        <v>0</v>
      </c>
      <c r="J49" s="243"/>
    </row>
    <row r="50" spans="1:10">
      <c r="A50" s="292">
        <v>4</v>
      </c>
      <c r="B50" s="293" t="s">
        <v>3253</v>
      </c>
      <c r="C50" s="284"/>
      <c r="D50" s="285"/>
      <c r="E50" s="885">
        <f>'VOL STR'!V63</f>
        <v>8.9280000000000026</v>
      </c>
      <c r="F50" s="294" t="s">
        <v>375</v>
      </c>
      <c r="G50" s="291" t="str">
        <f>HSP!C35</f>
        <v xml:space="preserve">A.2.3.1.11. </v>
      </c>
      <c r="H50" s="295">
        <f>HSP!F35</f>
        <v>0</v>
      </c>
      <c r="I50" s="258">
        <f t="shared" si="8"/>
        <v>0</v>
      </c>
    </row>
    <row r="51" spans="1:10" s="225" customFormat="1" ht="15" customHeight="1">
      <c r="A51" s="273"/>
      <c r="B51" s="274"/>
      <c r="C51" s="274"/>
      <c r="D51" s="274"/>
      <c r="E51" s="274"/>
      <c r="F51" s="1608"/>
      <c r="G51" s="1608"/>
      <c r="H51" s="1609"/>
      <c r="I51" s="275">
        <f>SUM(I47:I50)</f>
        <v>0</v>
      </c>
      <c r="J51" s="243"/>
    </row>
    <row r="52" spans="1:10">
      <c r="A52" s="296" t="s">
        <v>3254</v>
      </c>
      <c r="B52" s="297" t="s">
        <v>3255</v>
      </c>
      <c r="C52" s="298"/>
      <c r="D52" s="299"/>
      <c r="E52" s="298"/>
      <c r="F52" s="300"/>
      <c r="G52" s="301"/>
      <c r="H52" s="302"/>
      <c r="I52" s="303"/>
    </row>
    <row r="53" spans="1:10">
      <c r="A53" s="296"/>
      <c r="B53" s="297" t="s">
        <v>4004</v>
      </c>
      <c r="C53" s="298"/>
      <c r="D53" s="299"/>
      <c r="E53" s="298"/>
      <c r="F53" s="300"/>
      <c r="G53" s="301"/>
      <c r="H53" s="302"/>
      <c r="I53" s="288"/>
    </row>
    <row r="54" spans="1:10">
      <c r="A54" s="305">
        <v>1</v>
      </c>
      <c r="B54" s="290" t="s">
        <v>3676</v>
      </c>
      <c r="C54" s="284"/>
      <c r="D54" s="285"/>
      <c r="E54" s="284"/>
      <c r="F54" s="294"/>
      <c r="G54" s="286"/>
      <c r="H54" s="295"/>
      <c r="I54" s="306"/>
    </row>
    <row r="55" spans="1:10">
      <c r="A55" s="305"/>
      <c r="B55" s="290" t="s">
        <v>3677</v>
      </c>
      <c r="C55" s="284"/>
      <c r="D55" s="285"/>
      <c r="E55" s="885">
        <f>'VOL STR'!V97</f>
        <v>25.088000000000005</v>
      </c>
      <c r="F55" s="294" t="s">
        <v>375</v>
      </c>
      <c r="G55" s="291" t="s">
        <v>3881</v>
      </c>
      <c r="H55" s="295">
        <f>+HSP!F67</f>
        <v>0</v>
      </c>
      <c r="I55" s="258">
        <f t="shared" ref="I55:I59" si="9">+E55*H55</f>
        <v>0</v>
      </c>
    </row>
    <row r="56" spans="1:10">
      <c r="A56" s="305"/>
      <c r="B56" s="290" t="s">
        <v>3258</v>
      </c>
      <c r="C56" s="284"/>
      <c r="D56" s="285"/>
      <c r="E56" s="885">
        <f>'VOL STR'!V100</f>
        <v>4676.8758400000006</v>
      </c>
      <c r="F56" s="294" t="s">
        <v>93</v>
      </c>
      <c r="G56" s="291" t="str">
        <f>G49</f>
        <v xml:space="preserve">A.4.1.1.17   </v>
      </c>
      <c r="H56" s="295">
        <f>H49</f>
        <v>0</v>
      </c>
      <c r="I56" s="258">
        <f t="shared" si="9"/>
        <v>0</v>
      </c>
    </row>
    <row r="57" spans="1:10">
      <c r="A57" s="305"/>
      <c r="B57" s="290" t="s">
        <v>3259</v>
      </c>
      <c r="C57" s="284"/>
      <c r="D57" s="285"/>
      <c r="E57" s="885">
        <f>'VOL STR'!V105</f>
        <v>62.719999999999992</v>
      </c>
      <c r="F57" s="294" t="s">
        <v>376</v>
      </c>
      <c r="G57" s="291" t="str">
        <f>HSP!C79</f>
        <v xml:space="preserve">A.4.1.1.20   </v>
      </c>
      <c r="H57" s="295">
        <f>HSP!F79</f>
        <v>0</v>
      </c>
      <c r="I57" s="258">
        <f t="shared" si="9"/>
        <v>0</v>
      </c>
    </row>
    <row r="58" spans="1:10">
      <c r="A58" s="305"/>
      <c r="B58" s="293" t="s">
        <v>3260</v>
      </c>
      <c r="C58" s="284"/>
      <c r="D58" s="285"/>
      <c r="E58" s="885">
        <f>'VOL STR'!V89</f>
        <v>3.584000000000001</v>
      </c>
      <c r="F58" s="294" t="s">
        <v>375</v>
      </c>
      <c r="G58" s="291" t="s">
        <v>600</v>
      </c>
      <c r="H58" s="295">
        <f>+HSP!F62</f>
        <v>0</v>
      </c>
      <c r="I58" s="258">
        <f t="shared" si="9"/>
        <v>0</v>
      </c>
    </row>
    <row r="59" spans="1:10">
      <c r="A59" s="305"/>
      <c r="B59" s="293" t="s">
        <v>3261</v>
      </c>
      <c r="C59" s="284"/>
      <c r="D59" s="285"/>
      <c r="E59" s="885">
        <f>'VOL STR'!V109</f>
        <v>7.1680000000000019</v>
      </c>
      <c r="F59" s="294" t="s">
        <v>375</v>
      </c>
      <c r="G59" s="291" t="str">
        <f>G50</f>
        <v xml:space="preserve">A.2.3.1.11. </v>
      </c>
      <c r="H59" s="295">
        <f>H50</f>
        <v>0</v>
      </c>
      <c r="I59" s="258">
        <f t="shared" si="9"/>
        <v>0</v>
      </c>
    </row>
    <row r="60" spans="1:10">
      <c r="A60" s="305">
        <v>2</v>
      </c>
      <c r="B60" s="307" t="s">
        <v>3678</v>
      </c>
      <c r="C60" s="308"/>
      <c r="D60" s="285"/>
      <c r="E60" s="284"/>
      <c r="F60" s="294"/>
      <c r="G60" s="286"/>
      <c r="H60" s="295"/>
      <c r="I60" s="288"/>
    </row>
    <row r="61" spans="1:10">
      <c r="A61" s="309"/>
      <c r="B61" s="290" t="s">
        <v>3677</v>
      </c>
      <c r="C61" s="308"/>
      <c r="D61" s="285"/>
      <c r="E61" s="885">
        <f>'VOL STR'!V116</f>
        <v>13.5</v>
      </c>
      <c r="F61" s="294" t="s">
        <v>375</v>
      </c>
      <c r="G61" s="291" t="str">
        <f>G55</f>
        <v xml:space="preserve">A.4.1.1.8.a </v>
      </c>
      <c r="H61" s="295">
        <f>H55</f>
        <v>0</v>
      </c>
      <c r="I61" s="258">
        <f t="shared" ref="I61:I63" si="10">+E61*H61</f>
        <v>0</v>
      </c>
    </row>
    <row r="62" spans="1:10">
      <c r="A62" s="309"/>
      <c r="B62" s="290" t="s">
        <v>3258</v>
      </c>
      <c r="C62" s="308"/>
      <c r="D62" s="285"/>
      <c r="E62" s="885">
        <f>'VOL STR'!V119</f>
        <v>1924.1599999999999</v>
      </c>
      <c r="F62" s="294" t="s">
        <v>93</v>
      </c>
      <c r="G62" s="291" t="str">
        <f>G56</f>
        <v xml:space="preserve">A.4.1.1.17   </v>
      </c>
      <c r="H62" s="295">
        <f>H56</f>
        <v>0</v>
      </c>
      <c r="I62" s="258">
        <f t="shared" si="10"/>
        <v>0</v>
      </c>
    </row>
    <row r="63" spans="1:10">
      <c r="A63" s="310"/>
      <c r="B63" s="290" t="s">
        <v>3865</v>
      </c>
      <c r="C63" s="311"/>
      <c r="D63" s="312"/>
      <c r="E63" s="886">
        <f>'VOL STR'!V128</f>
        <v>108</v>
      </c>
      <c r="F63" s="313" t="s">
        <v>376</v>
      </c>
      <c r="G63" s="291" t="str">
        <f>HSP!C80</f>
        <v xml:space="preserve">A.4.1.1.21   </v>
      </c>
      <c r="H63" s="314">
        <f>HSP!F80</f>
        <v>0</v>
      </c>
      <c r="I63" s="258">
        <f t="shared" si="10"/>
        <v>0</v>
      </c>
    </row>
    <row r="64" spans="1:10">
      <c r="A64" s="305">
        <v>3</v>
      </c>
      <c r="B64" s="307" t="s">
        <v>3262</v>
      </c>
      <c r="C64" s="308"/>
      <c r="D64" s="285"/>
      <c r="E64" s="284"/>
      <c r="F64" s="294"/>
      <c r="G64" s="286"/>
      <c r="H64" s="295"/>
      <c r="I64" s="288"/>
    </row>
    <row r="65" spans="1:9">
      <c r="A65" s="309"/>
      <c r="B65" s="290" t="s">
        <v>3263</v>
      </c>
      <c r="C65" s="308"/>
      <c r="D65" s="285"/>
      <c r="E65" s="885">
        <f>'VOL STR'!V135</f>
        <v>1.1039999999999999</v>
      </c>
      <c r="F65" s="294" t="s">
        <v>375</v>
      </c>
      <c r="G65" s="291" t="str">
        <f t="shared" ref="G65:H67" si="11">G61</f>
        <v xml:space="preserve">A.4.1.1.8.a </v>
      </c>
      <c r="H65" s="295">
        <f t="shared" si="11"/>
        <v>0</v>
      </c>
      <c r="I65" s="258">
        <f t="shared" ref="I65:I67" si="12">+E65*H65</f>
        <v>0</v>
      </c>
    </row>
    <row r="66" spans="1:9">
      <c r="A66" s="309"/>
      <c r="B66" s="290" t="s">
        <v>3258</v>
      </c>
      <c r="C66" s="308"/>
      <c r="D66" s="285"/>
      <c r="E66" s="885">
        <f>'VOL STR'!V138</f>
        <v>205.63839999999999</v>
      </c>
      <c r="F66" s="294" t="s">
        <v>93</v>
      </c>
      <c r="G66" s="291" t="str">
        <f t="shared" si="11"/>
        <v xml:space="preserve">A.4.1.1.17   </v>
      </c>
      <c r="H66" s="295">
        <f t="shared" si="11"/>
        <v>0</v>
      </c>
      <c r="I66" s="258">
        <f t="shared" si="12"/>
        <v>0</v>
      </c>
    </row>
    <row r="67" spans="1:9">
      <c r="A67" s="310"/>
      <c r="B67" s="290" t="s">
        <v>3865</v>
      </c>
      <c r="C67" s="311"/>
      <c r="D67" s="312"/>
      <c r="E67" s="886">
        <f>'VOL STR'!V147</f>
        <v>14.719999999999999</v>
      </c>
      <c r="F67" s="313" t="s">
        <v>376</v>
      </c>
      <c r="G67" s="291" t="str">
        <f t="shared" si="11"/>
        <v xml:space="preserve">A.4.1.1.21   </v>
      </c>
      <c r="H67" s="295">
        <f t="shared" si="11"/>
        <v>0</v>
      </c>
      <c r="I67" s="258">
        <f t="shared" si="12"/>
        <v>0</v>
      </c>
    </row>
    <row r="68" spans="1:9">
      <c r="A68" s="305">
        <v>4</v>
      </c>
      <c r="B68" s="307" t="s">
        <v>3679</v>
      </c>
      <c r="C68" s="308"/>
      <c r="D68" s="285"/>
      <c r="E68" s="284"/>
      <c r="F68" s="294"/>
      <c r="G68" s="286"/>
      <c r="H68" s="295"/>
      <c r="I68" s="288"/>
    </row>
    <row r="69" spans="1:9">
      <c r="A69" s="309"/>
      <c r="B69" s="290" t="s">
        <v>3677</v>
      </c>
      <c r="C69" s="308"/>
      <c r="D69" s="285"/>
      <c r="E69" s="885">
        <f>'VOL STR'!V154</f>
        <v>17.6645</v>
      </c>
      <c r="F69" s="294" t="s">
        <v>375</v>
      </c>
      <c r="G69" s="291" t="str">
        <f>G65</f>
        <v xml:space="preserve">A.4.1.1.8.a </v>
      </c>
      <c r="H69" s="295">
        <f>H65</f>
        <v>0</v>
      </c>
      <c r="I69" s="258">
        <f t="shared" ref="I69:I71" si="13">+E69*H69</f>
        <v>0</v>
      </c>
    </row>
    <row r="70" spans="1:9">
      <c r="A70" s="309"/>
      <c r="B70" s="290" t="s">
        <v>3258</v>
      </c>
      <c r="C70" s="308"/>
      <c r="D70" s="285"/>
      <c r="E70" s="885">
        <f>'VOL STR'!V157</f>
        <v>2836.9452631578952</v>
      </c>
      <c r="F70" s="294" t="s">
        <v>93</v>
      </c>
      <c r="G70" s="291" t="str">
        <f>G66</f>
        <v xml:space="preserve">A.4.1.1.17   </v>
      </c>
      <c r="H70" s="295">
        <f>H66</f>
        <v>0</v>
      </c>
      <c r="I70" s="258">
        <f t="shared" si="13"/>
        <v>0</v>
      </c>
    </row>
    <row r="71" spans="1:9">
      <c r="A71" s="310"/>
      <c r="B71" s="290" t="s">
        <v>3865</v>
      </c>
      <c r="C71" s="311"/>
      <c r="D71" s="312"/>
      <c r="E71" s="886">
        <f>'VOL STR'!V165</f>
        <v>201.88</v>
      </c>
      <c r="F71" s="313" t="s">
        <v>376</v>
      </c>
      <c r="G71" s="291" t="str">
        <f>HSP!C81</f>
        <v xml:space="preserve">A.4.1.1.22   </v>
      </c>
      <c r="H71" s="314">
        <f>HSP!F81</f>
        <v>0</v>
      </c>
      <c r="I71" s="258">
        <f t="shared" si="13"/>
        <v>0</v>
      </c>
    </row>
    <row r="72" spans="1:9">
      <c r="A72" s="305">
        <v>4</v>
      </c>
      <c r="B72" s="307" t="s">
        <v>3987</v>
      </c>
      <c r="C72" s="308"/>
      <c r="D72" s="285"/>
      <c r="E72" s="284"/>
      <c r="F72" s="294"/>
      <c r="G72" s="286"/>
      <c r="H72" s="295"/>
      <c r="I72" s="288"/>
    </row>
    <row r="73" spans="1:9">
      <c r="A73" s="309"/>
      <c r="B73" s="290" t="s">
        <v>3988</v>
      </c>
      <c r="C73" s="308"/>
      <c r="D73" s="285"/>
      <c r="E73" s="885">
        <f>'VOL STR'!V171</f>
        <v>1.62</v>
      </c>
      <c r="F73" s="294" t="s">
        <v>375</v>
      </c>
      <c r="G73" s="291" t="str">
        <f>G69</f>
        <v xml:space="preserve">A.4.1.1.8.a </v>
      </c>
      <c r="H73" s="295">
        <f>H69</f>
        <v>0</v>
      </c>
      <c r="I73" s="258">
        <f t="shared" ref="I73:I75" si="14">+E73*H73</f>
        <v>0</v>
      </c>
    </row>
    <row r="74" spans="1:9">
      <c r="A74" s="309"/>
      <c r="B74" s="290" t="s">
        <v>3258</v>
      </c>
      <c r="C74" s="308"/>
      <c r="D74" s="285"/>
      <c r="E74" s="885">
        <f>'VOL STR'!V174</f>
        <v>295.24800000000005</v>
      </c>
      <c r="F74" s="294" t="s">
        <v>93</v>
      </c>
      <c r="G74" s="291" t="str">
        <f>G70</f>
        <v xml:space="preserve">A.4.1.1.17   </v>
      </c>
      <c r="H74" s="295">
        <f>H70</f>
        <v>0</v>
      </c>
      <c r="I74" s="258">
        <f t="shared" si="14"/>
        <v>0</v>
      </c>
    </row>
    <row r="75" spans="1:9">
      <c r="A75" s="310"/>
      <c r="B75" s="290" t="s">
        <v>3865</v>
      </c>
      <c r="C75" s="311"/>
      <c r="D75" s="312"/>
      <c r="E75" s="886">
        <f>'VOL STR'!V182</f>
        <v>43.2</v>
      </c>
      <c r="F75" s="313" t="s">
        <v>376</v>
      </c>
      <c r="G75" s="291" t="str">
        <f>HSP!C85</f>
        <v xml:space="preserve">A.4.1.1.26   </v>
      </c>
      <c r="H75" s="314">
        <f>HSP!F85</f>
        <v>0</v>
      </c>
      <c r="I75" s="258">
        <f t="shared" si="14"/>
        <v>0</v>
      </c>
    </row>
    <row r="76" spans="1:9">
      <c r="A76" s="305">
        <v>5</v>
      </c>
      <c r="B76" s="307" t="s">
        <v>3680</v>
      </c>
      <c r="C76" s="308"/>
      <c r="D76" s="285"/>
      <c r="E76" s="284"/>
      <c r="F76" s="294"/>
      <c r="G76" s="286"/>
      <c r="H76" s="295"/>
      <c r="I76" s="288"/>
    </row>
    <row r="77" spans="1:9">
      <c r="A77" s="309"/>
      <c r="B77" s="290" t="s">
        <v>3677</v>
      </c>
      <c r="C77" s="308"/>
      <c r="D77" s="285"/>
      <c r="E77" s="885">
        <f>'VOL STR'!V189</f>
        <v>20.64</v>
      </c>
      <c r="F77" s="294" t="s">
        <v>375</v>
      </c>
      <c r="G77" s="291" t="str">
        <f>G69</f>
        <v xml:space="preserve">A.4.1.1.8.a </v>
      </c>
      <c r="H77" s="295">
        <f>H69</f>
        <v>0</v>
      </c>
      <c r="I77" s="258">
        <f t="shared" ref="I77:I83" si="15">+E77*H77</f>
        <v>0</v>
      </c>
    </row>
    <row r="78" spans="1:9">
      <c r="A78" s="309"/>
      <c r="B78" s="290" t="s">
        <v>3258</v>
      </c>
      <c r="C78" s="308"/>
      <c r="D78" s="285"/>
      <c r="E78" s="885">
        <f>'VOL STR'!V193</f>
        <v>3093.9735272727276</v>
      </c>
      <c r="F78" s="294" t="s">
        <v>93</v>
      </c>
      <c r="G78" s="291" t="str">
        <f>G70</f>
        <v xml:space="preserve">A.4.1.1.17   </v>
      </c>
      <c r="H78" s="295">
        <f>H70</f>
        <v>0</v>
      </c>
      <c r="I78" s="258">
        <f t="shared" si="15"/>
        <v>0</v>
      </c>
    </row>
    <row r="79" spans="1:9">
      <c r="A79" s="310"/>
      <c r="B79" s="290" t="s">
        <v>3865</v>
      </c>
      <c r="C79" s="311"/>
      <c r="D79" s="312"/>
      <c r="E79" s="886">
        <f>'VOL STR'!V203</f>
        <v>216.72</v>
      </c>
      <c r="F79" s="313" t="s">
        <v>376</v>
      </c>
      <c r="G79" s="291" t="str">
        <f>HSP!C82</f>
        <v xml:space="preserve">A.4.1.1.23   </v>
      </c>
      <c r="H79" s="314">
        <f>HSP!F82</f>
        <v>0</v>
      </c>
      <c r="I79" s="258">
        <f t="shared" si="15"/>
        <v>0</v>
      </c>
    </row>
    <row r="80" spans="1:9">
      <c r="A80" s="305">
        <v>6</v>
      </c>
      <c r="B80" s="307" t="s">
        <v>3681</v>
      </c>
      <c r="C80" s="308"/>
      <c r="D80" s="285"/>
      <c r="E80" s="284"/>
      <c r="F80" s="294"/>
      <c r="G80" s="286"/>
      <c r="H80" s="295"/>
      <c r="I80" s="258"/>
    </row>
    <row r="81" spans="1:10">
      <c r="A81" s="309"/>
      <c r="B81" s="290" t="s">
        <v>3677</v>
      </c>
      <c r="C81" s="308"/>
      <c r="D81" s="285"/>
      <c r="E81" s="885">
        <f>'VOL STR'!V211</f>
        <v>6.1199999999999992</v>
      </c>
      <c r="F81" s="294" t="s">
        <v>375</v>
      </c>
      <c r="G81" s="291" t="str">
        <f t="shared" ref="G81:H83" si="16">G77</f>
        <v xml:space="preserve">A.4.1.1.8.a </v>
      </c>
      <c r="H81" s="295">
        <f t="shared" si="16"/>
        <v>0</v>
      </c>
      <c r="I81" s="258">
        <f t="shared" si="15"/>
        <v>0</v>
      </c>
    </row>
    <row r="82" spans="1:10">
      <c r="A82" s="309"/>
      <c r="B82" s="290" t="s">
        <v>3258</v>
      </c>
      <c r="C82" s="308"/>
      <c r="D82" s="285"/>
      <c r="E82" s="885">
        <f>'VOL STR'!V215</f>
        <v>972.98026666666658</v>
      </c>
      <c r="F82" s="294" t="s">
        <v>93</v>
      </c>
      <c r="G82" s="291" t="str">
        <f t="shared" si="16"/>
        <v xml:space="preserve">A.4.1.1.17   </v>
      </c>
      <c r="H82" s="295">
        <f t="shared" si="16"/>
        <v>0</v>
      </c>
      <c r="I82" s="258">
        <f t="shared" si="15"/>
        <v>0</v>
      </c>
    </row>
    <row r="83" spans="1:10">
      <c r="A83" s="310"/>
      <c r="B83" s="290" t="s">
        <v>3865</v>
      </c>
      <c r="C83" s="311"/>
      <c r="D83" s="312"/>
      <c r="E83" s="886">
        <f>'VOL STR'!V225</f>
        <v>69.359999999999985</v>
      </c>
      <c r="F83" s="313" t="s">
        <v>376</v>
      </c>
      <c r="G83" s="291" t="str">
        <f t="shared" si="16"/>
        <v xml:space="preserve">A.4.1.1.23   </v>
      </c>
      <c r="H83" s="314">
        <f t="shared" si="16"/>
        <v>0</v>
      </c>
      <c r="I83" s="258">
        <f t="shared" si="15"/>
        <v>0</v>
      </c>
    </row>
    <row r="84" spans="1:10">
      <c r="A84" s="305">
        <v>7</v>
      </c>
      <c r="B84" s="307" t="s">
        <v>3877</v>
      </c>
      <c r="C84" s="308"/>
      <c r="D84" s="285"/>
      <c r="E84" s="284"/>
      <c r="F84" s="294"/>
      <c r="G84" s="286"/>
      <c r="H84" s="295"/>
      <c r="I84" s="288"/>
    </row>
    <row r="85" spans="1:10">
      <c r="A85" s="309"/>
      <c r="B85" s="290" t="s">
        <v>3677</v>
      </c>
      <c r="C85" s="308"/>
      <c r="D85" s="285"/>
      <c r="E85" s="885">
        <f>'VOL STR'!V233</f>
        <v>3.3567</v>
      </c>
      <c r="F85" s="294" t="s">
        <v>375</v>
      </c>
      <c r="G85" s="291" t="str">
        <f>G77</f>
        <v xml:space="preserve">A.4.1.1.8.a </v>
      </c>
      <c r="H85" s="295">
        <f>H77</f>
        <v>0</v>
      </c>
      <c r="I85" s="258">
        <f t="shared" ref="I85:I87" si="17">+E85*H85</f>
        <v>0</v>
      </c>
    </row>
    <row r="86" spans="1:10">
      <c r="A86" s="309"/>
      <c r="B86" s="290" t="s">
        <v>3258</v>
      </c>
      <c r="C86" s="308"/>
      <c r="D86" s="285"/>
      <c r="E86" s="885">
        <f>'VOL STR'!V237</f>
        <v>460.2408666666667</v>
      </c>
      <c r="F86" s="294" t="s">
        <v>93</v>
      </c>
      <c r="G86" s="291" t="str">
        <f>G78</f>
        <v xml:space="preserve">A.4.1.1.17   </v>
      </c>
      <c r="H86" s="295">
        <f>H78</f>
        <v>0</v>
      </c>
      <c r="I86" s="258">
        <f t="shared" si="17"/>
        <v>0</v>
      </c>
    </row>
    <row r="87" spans="1:10">
      <c r="A87" s="309"/>
      <c r="B87" s="290" t="s">
        <v>3865</v>
      </c>
      <c r="C87" s="308"/>
      <c r="D87" s="285"/>
      <c r="E87" s="885">
        <f>'VOL STR'!V242</f>
        <v>27.9725</v>
      </c>
      <c r="F87" s="294" t="s">
        <v>376</v>
      </c>
      <c r="G87" s="291" t="str">
        <f>HSP!C79</f>
        <v xml:space="preserve">A.4.1.1.20   </v>
      </c>
      <c r="H87" s="295">
        <f>+H91</f>
        <v>0</v>
      </c>
      <c r="I87" s="258">
        <f t="shared" si="17"/>
        <v>0</v>
      </c>
    </row>
    <row r="88" spans="1:10">
      <c r="A88" s="305">
        <v>8</v>
      </c>
      <c r="B88" s="307" t="s">
        <v>3749</v>
      </c>
      <c r="C88" s="308"/>
      <c r="D88" s="285"/>
      <c r="E88" s="284"/>
      <c r="F88" s="294"/>
      <c r="G88" s="286"/>
      <c r="H88" s="295"/>
      <c r="I88" s="288"/>
    </row>
    <row r="89" spans="1:10">
      <c r="A89" s="309"/>
      <c r="B89" s="290" t="s">
        <v>3677</v>
      </c>
      <c r="C89" s="308"/>
      <c r="D89" s="285"/>
      <c r="E89" s="885">
        <f>'VOL STR'!V248</f>
        <v>45.619199999999992</v>
      </c>
      <c r="F89" s="294" t="s">
        <v>375</v>
      </c>
      <c r="G89" s="291" t="str">
        <f>G81</f>
        <v xml:space="preserve">A.4.1.1.8.a </v>
      </c>
      <c r="H89" s="295">
        <f>H81</f>
        <v>0</v>
      </c>
      <c r="I89" s="258">
        <f t="shared" ref="I89:I91" si="18">+E89*H89</f>
        <v>0</v>
      </c>
    </row>
    <row r="90" spans="1:10">
      <c r="A90" s="309"/>
      <c r="B90" s="290" t="s">
        <v>3258</v>
      </c>
      <c r="C90" s="308"/>
      <c r="D90" s="285"/>
      <c r="E90" s="885">
        <f>'VOL STR'!V252</f>
        <v>5361.3421714285714</v>
      </c>
      <c r="F90" s="294" t="s">
        <v>93</v>
      </c>
      <c r="G90" s="291" t="str">
        <f>G82</f>
        <v xml:space="preserve">A.4.1.1.17   </v>
      </c>
      <c r="H90" s="295">
        <f>H82</f>
        <v>0</v>
      </c>
      <c r="I90" s="258">
        <f t="shared" si="18"/>
        <v>0</v>
      </c>
    </row>
    <row r="91" spans="1:10">
      <c r="A91" s="309"/>
      <c r="B91" s="290" t="s">
        <v>3865</v>
      </c>
      <c r="C91" s="308"/>
      <c r="D91" s="285"/>
      <c r="E91" s="885">
        <f>'VOL STR'!V257</f>
        <v>380.15999999999997</v>
      </c>
      <c r="F91" s="294" t="s">
        <v>376</v>
      </c>
      <c r="G91" s="291" t="str">
        <f>HSP!C83</f>
        <v xml:space="preserve">A.4.1.1.24   </v>
      </c>
      <c r="H91" s="295">
        <f>HSP!F83</f>
        <v>0</v>
      </c>
      <c r="I91" s="258">
        <f t="shared" si="18"/>
        <v>0</v>
      </c>
    </row>
    <row r="92" spans="1:10" s="225" customFormat="1" ht="15" customHeight="1">
      <c r="A92" s="273"/>
      <c r="B92" s="274"/>
      <c r="C92" s="274"/>
      <c r="D92" s="274"/>
      <c r="E92" s="274"/>
      <c r="F92" s="1608"/>
      <c r="G92" s="1608"/>
      <c r="H92" s="1609"/>
      <c r="I92" s="275">
        <f>SUM(I53:I91)</f>
        <v>0</v>
      </c>
      <c r="J92" s="243"/>
    </row>
    <row r="93" spans="1:10">
      <c r="A93" s="296" t="s">
        <v>3519</v>
      </c>
      <c r="B93" s="297" t="s">
        <v>3882</v>
      </c>
      <c r="C93" s="298"/>
      <c r="D93" s="299"/>
      <c r="E93" s="298"/>
      <c r="F93" s="300"/>
      <c r="G93" s="301"/>
      <c r="H93" s="302"/>
      <c r="I93" s="304"/>
    </row>
    <row r="94" spans="1:10" s="361" customFormat="1">
      <c r="A94" s="305">
        <v>1</v>
      </c>
      <c r="B94" s="290" t="s">
        <v>3841</v>
      </c>
      <c r="C94" s="308"/>
      <c r="D94" s="285"/>
      <c r="E94" s="885">
        <f>+'VOL STR'!V363+'VOL STR'!V469</f>
        <v>45.995000000000005</v>
      </c>
      <c r="F94" s="294" t="s">
        <v>375</v>
      </c>
      <c r="G94" s="263" t="str">
        <f>+G129</f>
        <v xml:space="preserve">A.2.3.1.1. </v>
      </c>
      <c r="H94" s="295">
        <f>+H129</f>
        <v>0</v>
      </c>
      <c r="I94" s="288">
        <f t="shared" ref="I94" si="19">+E94*H94</f>
        <v>0</v>
      </c>
    </row>
    <row r="95" spans="1:10" s="225" customFormat="1" ht="15" customHeight="1">
      <c r="A95" s="289">
        <f>+A94+1</f>
        <v>2</v>
      </c>
      <c r="B95" s="948" t="s">
        <v>4106</v>
      </c>
      <c r="C95" s="284"/>
      <c r="D95" s="285"/>
      <c r="E95" s="885">
        <f>+'VOL STR'!V370+'VOL STR'!V475</f>
        <v>9.6800000000000015</v>
      </c>
      <c r="F95" s="278" t="s">
        <v>375</v>
      </c>
      <c r="G95" s="286" t="str">
        <f>G47</f>
        <v xml:space="preserve">A.3.2.1.3. </v>
      </c>
      <c r="H95" s="287">
        <f>H47</f>
        <v>0</v>
      </c>
      <c r="I95" s="258">
        <f t="shared" ref="I95:I97" si="20">+E95*H95</f>
        <v>0</v>
      </c>
      <c r="J95" s="243"/>
    </row>
    <row r="96" spans="1:10" s="225" customFormat="1" ht="15" customHeight="1">
      <c r="A96" s="289">
        <f t="shared" ref="A96:A98" si="21">+A95+1</f>
        <v>3</v>
      </c>
      <c r="B96" s="290" t="s">
        <v>3251</v>
      </c>
      <c r="C96" s="284"/>
      <c r="D96" s="285"/>
      <c r="E96" s="885">
        <f>+'VOL STR'!V368+'VOL STR'!V472</f>
        <v>3.3880000000000008</v>
      </c>
      <c r="F96" s="278" t="s">
        <v>375</v>
      </c>
      <c r="G96" s="291" t="s">
        <v>591</v>
      </c>
      <c r="H96" s="287">
        <f>H48</f>
        <v>0</v>
      </c>
      <c r="I96" s="258">
        <f t="shared" si="20"/>
        <v>0</v>
      </c>
      <c r="J96" s="243"/>
    </row>
    <row r="97" spans="1:9">
      <c r="A97" s="289">
        <f t="shared" si="21"/>
        <v>4</v>
      </c>
      <c r="B97" s="293" t="s">
        <v>4024</v>
      </c>
      <c r="C97" s="284"/>
      <c r="D97" s="285"/>
      <c r="E97" s="885">
        <f>+'VOL STR'!V373+'VOL STR'!V455+'VOL STR'!V478+'VOL STR'!V561</f>
        <v>2.367</v>
      </c>
      <c r="F97" s="294" t="s">
        <v>375</v>
      </c>
      <c r="G97" s="291" t="s">
        <v>569</v>
      </c>
      <c r="H97" s="295">
        <f>H50</f>
        <v>0</v>
      </c>
      <c r="I97" s="258">
        <f t="shared" si="20"/>
        <v>0</v>
      </c>
    </row>
    <row r="98" spans="1:9">
      <c r="A98" s="289">
        <f t="shared" si="21"/>
        <v>5</v>
      </c>
      <c r="B98" s="307" t="s">
        <v>3262</v>
      </c>
      <c r="C98" s="308"/>
      <c r="D98" s="285"/>
      <c r="E98" s="284"/>
      <c r="F98" s="294"/>
      <c r="G98" s="286"/>
      <c r="H98" s="295"/>
      <c r="I98" s="288"/>
    </row>
    <row r="99" spans="1:9">
      <c r="A99" s="309"/>
      <c r="B99" s="290" t="s">
        <v>4021</v>
      </c>
      <c r="C99" s="308"/>
      <c r="D99" s="285"/>
      <c r="E99" s="885">
        <f>+'VOL STR'!V381+'VOL STR'!V486</f>
        <v>0.7260000000000002</v>
      </c>
      <c r="F99" s="294" t="s">
        <v>375</v>
      </c>
      <c r="G99" s="291" t="s">
        <v>3881</v>
      </c>
      <c r="H99" s="295">
        <f>H61</f>
        <v>0</v>
      </c>
      <c r="I99" s="258">
        <f t="shared" ref="I99:I101" si="22">+E99*H99</f>
        <v>0</v>
      </c>
    </row>
    <row r="100" spans="1:9">
      <c r="A100" s="309"/>
      <c r="B100" s="290" t="s">
        <v>3258</v>
      </c>
      <c r="C100" s="308"/>
      <c r="D100" s="285"/>
      <c r="E100" s="885">
        <f>+'VOL STR'!V384+'VOL STR'!V489</f>
        <v>196.23296000000005</v>
      </c>
      <c r="F100" s="294" t="s">
        <v>93</v>
      </c>
      <c r="G100" s="291" t="s">
        <v>1830</v>
      </c>
      <c r="H100" s="295">
        <f>H62</f>
        <v>0</v>
      </c>
      <c r="I100" s="258">
        <f t="shared" si="22"/>
        <v>0</v>
      </c>
    </row>
    <row r="101" spans="1:9">
      <c r="A101" s="310"/>
      <c r="B101" s="290" t="s">
        <v>3865</v>
      </c>
      <c r="C101" s="311"/>
      <c r="D101" s="312"/>
      <c r="E101" s="886">
        <f>+'VOL STR'!V393+'VOL STR'!V498</f>
        <v>9.6800000000000015</v>
      </c>
      <c r="F101" s="313" t="s">
        <v>376</v>
      </c>
      <c r="G101" s="291" t="s">
        <v>630</v>
      </c>
      <c r="H101" s="295">
        <f>H63</f>
        <v>0</v>
      </c>
      <c r="I101" s="258">
        <f t="shared" si="22"/>
        <v>0</v>
      </c>
    </row>
    <row r="102" spans="1:9">
      <c r="A102" s="305">
        <v>6</v>
      </c>
      <c r="B102" s="307" t="s">
        <v>4023</v>
      </c>
      <c r="C102" s="308"/>
      <c r="D102" s="285"/>
      <c r="E102" s="284"/>
      <c r="F102" s="294"/>
      <c r="G102" s="286"/>
      <c r="H102" s="295"/>
      <c r="I102" s="288"/>
    </row>
    <row r="103" spans="1:9">
      <c r="A103" s="309"/>
      <c r="B103" s="290" t="s">
        <v>3677</v>
      </c>
      <c r="C103" s="308"/>
      <c r="D103" s="285"/>
      <c r="E103" s="885">
        <f>+'VOL STR'!V400+'VOL STR'!V505</f>
        <v>0.54</v>
      </c>
      <c r="F103" s="294" t="s">
        <v>375</v>
      </c>
      <c r="G103" s="291" t="s">
        <v>3881</v>
      </c>
      <c r="H103" s="295">
        <f>H99</f>
        <v>0</v>
      </c>
      <c r="I103" s="258">
        <f t="shared" ref="I103:I105" si="23">+E103*H103</f>
        <v>0</v>
      </c>
    </row>
    <row r="104" spans="1:9">
      <c r="A104" s="309"/>
      <c r="B104" s="290" t="s">
        <v>3258</v>
      </c>
      <c r="C104" s="308"/>
      <c r="D104" s="285"/>
      <c r="E104" s="885">
        <f>+'VOL STR'!V403+'VOL STR'!V508</f>
        <v>159.7056</v>
      </c>
      <c r="F104" s="294" t="s">
        <v>93</v>
      </c>
      <c r="G104" s="291" t="str">
        <f>G96</f>
        <v xml:space="preserve">A.3.2.1.9. </v>
      </c>
      <c r="H104" s="295">
        <f>H100</f>
        <v>0</v>
      </c>
      <c r="I104" s="258">
        <f t="shared" si="23"/>
        <v>0</v>
      </c>
    </row>
    <row r="105" spans="1:9">
      <c r="A105" s="310"/>
      <c r="B105" s="290" t="s">
        <v>3865</v>
      </c>
      <c r="C105" s="311"/>
      <c r="D105" s="312"/>
      <c r="E105" s="886">
        <f>+'VOL STR'!V411+'VOL STR'!V516</f>
        <v>10.799999999999999</v>
      </c>
      <c r="F105" s="313" t="s">
        <v>376</v>
      </c>
      <c r="G105" s="291" t="str">
        <f>HSP!C112</f>
        <v xml:space="preserve">A.4.1.2.17. </v>
      </c>
      <c r="H105" s="314">
        <f>+H71</f>
        <v>0</v>
      </c>
      <c r="I105" s="258">
        <f t="shared" si="23"/>
        <v>0</v>
      </c>
    </row>
    <row r="106" spans="1:9">
      <c r="A106" s="305">
        <v>7</v>
      </c>
      <c r="B106" s="307" t="s">
        <v>4022</v>
      </c>
      <c r="C106" s="308"/>
      <c r="D106" s="285"/>
      <c r="E106" s="284"/>
      <c r="F106" s="294"/>
      <c r="G106" s="286"/>
      <c r="H106" s="295"/>
      <c r="I106" s="288"/>
    </row>
    <row r="107" spans="1:9">
      <c r="A107" s="309"/>
      <c r="B107" s="290" t="s">
        <v>3677</v>
      </c>
      <c r="C107" s="308"/>
      <c r="D107" s="285"/>
      <c r="E107" s="885">
        <f>+'VOL STR'!V419+'VOL STR'!V524</f>
        <v>0.7260000000000002</v>
      </c>
      <c r="F107" s="294" t="s">
        <v>375</v>
      </c>
      <c r="G107" s="291" t="str">
        <f>G99</f>
        <v xml:space="preserve">A.4.1.1.8.a </v>
      </c>
      <c r="H107" s="295">
        <f>H99</f>
        <v>0</v>
      </c>
      <c r="I107" s="258">
        <f t="shared" ref="I107:I109" si="24">+E107*H107</f>
        <v>0</v>
      </c>
    </row>
    <row r="108" spans="1:9">
      <c r="A108" s="309"/>
      <c r="B108" s="290" t="s">
        <v>3258</v>
      </c>
      <c r="C108" s="308"/>
      <c r="D108" s="285"/>
      <c r="E108" s="885">
        <f>+'VOL STR'!V422+'VOL STR'!V527</f>
        <v>196.23296000000005</v>
      </c>
      <c r="F108" s="294" t="s">
        <v>93</v>
      </c>
      <c r="G108" s="291" t="str">
        <f>G100</f>
        <v xml:space="preserve">A.4.1.1.17   </v>
      </c>
      <c r="H108" s="295">
        <f>H100</f>
        <v>0</v>
      </c>
      <c r="I108" s="258">
        <f t="shared" si="24"/>
        <v>0</v>
      </c>
    </row>
    <row r="109" spans="1:9">
      <c r="A109" s="310"/>
      <c r="B109" s="290" t="s">
        <v>3865</v>
      </c>
      <c r="C109" s="311"/>
      <c r="D109" s="312"/>
      <c r="E109" s="886">
        <f>+'VOL STR'!V431+'VOL STR'!V536</f>
        <v>9.6800000000000015</v>
      </c>
      <c r="F109" s="313" t="s">
        <v>376</v>
      </c>
      <c r="G109" s="291" t="s">
        <v>632</v>
      </c>
      <c r="H109" s="314">
        <f>+H79</f>
        <v>0</v>
      </c>
      <c r="I109" s="258">
        <f t="shared" si="24"/>
        <v>0</v>
      </c>
    </row>
    <row r="110" spans="1:9">
      <c r="A110" s="305">
        <v>8</v>
      </c>
      <c r="B110" s="307" t="s">
        <v>4033</v>
      </c>
      <c r="C110" s="308"/>
      <c r="D110" s="285"/>
      <c r="E110" s="284"/>
      <c r="F110" s="294"/>
      <c r="G110" s="286"/>
      <c r="H110" s="295"/>
      <c r="I110" s="288"/>
    </row>
    <row r="111" spans="1:9">
      <c r="A111" s="309"/>
      <c r="B111" s="290" t="s">
        <v>3677</v>
      </c>
      <c r="C111" s="308"/>
      <c r="D111" s="285"/>
      <c r="E111" s="885">
        <f>+'VOL STR'!V438+'VOL STR'!V543</f>
        <v>1.3919999999999999</v>
      </c>
      <c r="F111" s="294" t="s">
        <v>375</v>
      </c>
      <c r="G111" s="291" t="str">
        <f>G103</f>
        <v xml:space="preserve">A.4.1.1.8.a </v>
      </c>
      <c r="H111" s="295">
        <f>H103</f>
        <v>0</v>
      </c>
      <c r="I111" s="258">
        <f>+E111*H111</f>
        <v>0</v>
      </c>
    </row>
    <row r="112" spans="1:9">
      <c r="A112" s="309"/>
      <c r="B112" s="290" t="s">
        <v>3258</v>
      </c>
      <c r="C112" s="308"/>
      <c r="D112" s="285"/>
      <c r="E112" s="885">
        <f>+'VOL STR'!V442+'VOL STR'!V547</f>
        <v>190.85866666666666</v>
      </c>
      <c r="F112" s="294" t="s">
        <v>93</v>
      </c>
      <c r="G112" s="291" t="str">
        <f>G104</f>
        <v xml:space="preserve">A.3.2.1.9. </v>
      </c>
      <c r="H112" s="295">
        <f>H104</f>
        <v>0</v>
      </c>
      <c r="I112" s="258">
        <f>+E112*H112</f>
        <v>0</v>
      </c>
    </row>
    <row r="113" spans="1:17">
      <c r="A113" s="309"/>
      <c r="B113" s="290" t="s">
        <v>3865</v>
      </c>
      <c r="C113" s="308"/>
      <c r="D113" s="285"/>
      <c r="E113" s="885">
        <f>+'VOL STR'!V447+'VOL STR'!V552</f>
        <v>11.6</v>
      </c>
      <c r="F113" s="294" t="s">
        <v>376</v>
      </c>
      <c r="G113" s="291" t="s">
        <v>633</v>
      </c>
      <c r="H113" s="295">
        <f>+H91</f>
        <v>0</v>
      </c>
      <c r="I113" s="258">
        <f>+E113*H113</f>
        <v>0</v>
      </c>
    </row>
    <row r="114" spans="1:17" s="361" customFormat="1">
      <c r="A114" s="309"/>
      <c r="B114" s="290"/>
      <c r="C114" s="308"/>
      <c r="D114" s="285"/>
      <c r="E114" s="284"/>
      <c r="F114" s="294"/>
      <c r="G114" s="291"/>
      <c r="H114" s="295"/>
      <c r="I114" s="258"/>
    </row>
    <row r="115" spans="1:17">
      <c r="A115" s="273"/>
      <c r="B115" s="274"/>
      <c r="C115" s="274"/>
      <c r="D115" s="274"/>
      <c r="E115" s="274"/>
      <c r="F115" s="1608"/>
      <c r="G115" s="1608"/>
      <c r="H115" s="1609"/>
      <c r="I115" s="275">
        <f>+SUM(I94:I113)</f>
        <v>0</v>
      </c>
    </row>
    <row r="116" spans="1:17">
      <c r="A116" s="296" t="s">
        <v>3393</v>
      </c>
      <c r="B116" s="297" t="s">
        <v>4037</v>
      </c>
      <c r="C116" s="298"/>
      <c r="D116" s="299"/>
      <c r="E116" s="298"/>
      <c r="F116" s="300"/>
      <c r="G116" s="301"/>
      <c r="H116" s="302"/>
      <c r="I116" s="304"/>
    </row>
    <row r="117" spans="1:17" s="361" customFormat="1">
      <c r="A117" s="305">
        <v>1</v>
      </c>
      <c r="B117" s="290" t="s">
        <v>3841</v>
      </c>
      <c r="C117" s="308"/>
      <c r="D117" s="285"/>
      <c r="E117" s="885">
        <f>2.5*1*0.65</f>
        <v>1.625</v>
      </c>
      <c r="F117" s="294" t="s">
        <v>375</v>
      </c>
      <c r="G117" s="263" t="str">
        <f>G129</f>
        <v xml:space="preserve">A.2.3.1.1. </v>
      </c>
      <c r="H117" s="295">
        <f>H129</f>
        <v>0</v>
      </c>
      <c r="I117" s="288">
        <f t="shared" ref="I117:I120" si="25">+E117*H117</f>
        <v>0</v>
      </c>
    </row>
    <row r="118" spans="1:17" s="361" customFormat="1">
      <c r="A118" s="305">
        <f>+A117+1</f>
        <v>2</v>
      </c>
      <c r="B118" s="290" t="s">
        <v>3842</v>
      </c>
      <c r="C118" s="308"/>
      <c r="D118" s="285"/>
      <c r="E118" s="896">
        <f>+E117/3</f>
        <v>0.54166666666666663</v>
      </c>
      <c r="F118" s="294" t="s">
        <v>375</v>
      </c>
      <c r="G118" s="291" t="s">
        <v>562</v>
      </c>
      <c r="H118" s="295">
        <f>H130</f>
        <v>0</v>
      </c>
      <c r="I118" s="258">
        <f t="shared" si="25"/>
        <v>0</v>
      </c>
    </row>
    <row r="119" spans="1:17" s="361" customFormat="1">
      <c r="A119" s="305">
        <f t="shared" ref="A119:A121" si="26">+A118+1</f>
        <v>3</v>
      </c>
      <c r="B119" s="290" t="s">
        <v>4032</v>
      </c>
      <c r="C119" s="308"/>
      <c r="D119" s="285"/>
      <c r="E119" s="885">
        <f>2.5*1*0.05</f>
        <v>0.125</v>
      </c>
      <c r="F119" s="294" t="s">
        <v>375</v>
      </c>
      <c r="G119" s="263" t="str">
        <f>G140</f>
        <v xml:space="preserve">A.2.3.1.11. </v>
      </c>
      <c r="H119" s="295">
        <f>H140</f>
        <v>0</v>
      </c>
      <c r="I119" s="258">
        <f t="shared" si="25"/>
        <v>0</v>
      </c>
    </row>
    <row r="120" spans="1:17" s="225" customFormat="1" ht="15" customHeight="1">
      <c r="A120" s="305">
        <f t="shared" si="26"/>
        <v>4</v>
      </c>
      <c r="B120" s="290" t="s">
        <v>3250</v>
      </c>
      <c r="C120" s="284"/>
      <c r="D120" s="285"/>
      <c r="E120" s="885">
        <f>2.5*1*0.6</f>
        <v>1.5</v>
      </c>
      <c r="F120" s="278" t="s">
        <v>375</v>
      </c>
      <c r="G120" s="286" t="str">
        <f>G95</f>
        <v xml:space="preserve">A.3.2.1.3. </v>
      </c>
      <c r="H120" s="287">
        <f>H95</f>
        <v>0</v>
      </c>
      <c r="I120" s="258">
        <f t="shared" si="25"/>
        <v>0</v>
      </c>
      <c r="J120" s="243"/>
    </row>
    <row r="121" spans="1:17">
      <c r="A121" s="305">
        <f t="shared" si="26"/>
        <v>5</v>
      </c>
      <c r="B121" s="307" t="s">
        <v>4034</v>
      </c>
      <c r="C121" s="308"/>
      <c r="D121" s="285"/>
      <c r="E121" s="284"/>
      <c r="F121" s="294"/>
      <c r="G121" s="286"/>
      <c r="H121" s="295"/>
      <c r="I121" s="288"/>
    </row>
    <row r="122" spans="1:17">
      <c r="A122" s="309"/>
      <c r="B122" s="290" t="s">
        <v>3677</v>
      </c>
      <c r="C122" s="308"/>
      <c r="D122" s="285"/>
      <c r="E122" s="885">
        <f>'VOL STR'!V572</f>
        <v>0.5</v>
      </c>
      <c r="F122" s="294" t="s">
        <v>375</v>
      </c>
      <c r="G122" s="291" t="s">
        <v>582</v>
      </c>
      <c r="H122" s="295">
        <f>H111</f>
        <v>0</v>
      </c>
      <c r="I122" s="258">
        <f>+E122*H122</f>
        <v>0</v>
      </c>
    </row>
    <row r="123" spans="1:17">
      <c r="A123" s="309"/>
      <c r="B123" s="290" t="s">
        <v>3258</v>
      </c>
      <c r="C123" s="308"/>
      <c r="D123" s="285"/>
      <c r="E123" s="885">
        <f>'VOL STR'!V576</f>
        <v>52</v>
      </c>
      <c r="F123" s="294" t="s">
        <v>93</v>
      </c>
      <c r="G123" s="291" t="s">
        <v>591</v>
      </c>
      <c r="H123" s="295">
        <f>H112</f>
        <v>0</v>
      </c>
      <c r="I123" s="258">
        <f>+E123*H123</f>
        <v>0</v>
      </c>
    </row>
    <row r="124" spans="1:17">
      <c r="A124" s="309"/>
      <c r="B124" s="290" t="s">
        <v>3865</v>
      </c>
      <c r="C124" s="308"/>
      <c r="D124" s="285"/>
      <c r="E124" s="885">
        <f>+'VOL STR'!V457+'VOL STR'!V562</f>
        <v>34.5</v>
      </c>
      <c r="F124" s="294" t="s">
        <v>376</v>
      </c>
      <c r="G124" s="291" t="s">
        <v>633</v>
      </c>
      <c r="H124" s="295">
        <f>H113</f>
        <v>0</v>
      </c>
      <c r="I124" s="258">
        <f>+E124*H124</f>
        <v>0</v>
      </c>
    </row>
    <row r="125" spans="1:17" s="361" customFormat="1">
      <c r="A125" s="309"/>
      <c r="B125" s="290"/>
      <c r="C125" s="308"/>
      <c r="D125" s="285"/>
      <c r="E125" s="284"/>
      <c r="F125" s="294"/>
      <c r="G125" s="291"/>
      <c r="H125" s="295"/>
      <c r="I125" s="258"/>
    </row>
    <row r="126" spans="1:17">
      <c r="A126" s="273"/>
      <c r="B126" s="274"/>
      <c r="C126" s="274"/>
      <c r="D126" s="274"/>
      <c r="E126" s="274"/>
      <c r="F126" s="1608"/>
      <c r="G126" s="1608"/>
      <c r="H126" s="1609"/>
      <c r="I126" s="275">
        <f>+SUM(I117:I124)</f>
        <v>0</v>
      </c>
    </row>
    <row r="127" spans="1:17">
      <c r="A127" s="296" t="s">
        <v>3521</v>
      </c>
      <c r="B127" s="297" t="s">
        <v>4086</v>
      </c>
      <c r="C127" s="298"/>
      <c r="D127" s="299"/>
      <c r="E127" s="298"/>
      <c r="F127" s="300"/>
      <c r="G127" s="301"/>
      <c r="H127" s="302"/>
      <c r="I127" s="304"/>
      <c r="Q127" s="219">
        <f>1.75+0.25</f>
        <v>2</v>
      </c>
    </row>
    <row r="128" spans="1:17" s="361" customFormat="1">
      <c r="A128" s="584"/>
      <c r="B128" s="297" t="s">
        <v>3243</v>
      </c>
      <c r="C128" s="308"/>
      <c r="D128" s="285"/>
      <c r="E128" s="284"/>
      <c r="F128" s="294"/>
      <c r="G128" s="286"/>
      <c r="H128" s="295"/>
      <c r="I128" s="288"/>
      <c r="Q128" s="361">
        <f>+Q127/2</f>
        <v>1</v>
      </c>
    </row>
    <row r="129" spans="1:9" s="361" customFormat="1">
      <c r="A129" s="305">
        <v>1</v>
      </c>
      <c r="B129" s="290" t="s">
        <v>3841</v>
      </c>
      <c r="C129" s="308"/>
      <c r="D129" s="285"/>
      <c r="E129" s="885">
        <f>+'VOL STR'!V267</f>
        <v>323.98849999999999</v>
      </c>
      <c r="F129" s="294" t="s">
        <v>375</v>
      </c>
      <c r="G129" s="263" t="s">
        <v>551</v>
      </c>
      <c r="H129" s="295">
        <f>H40</f>
        <v>0</v>
      </c>
      <c r="I129" s="258">
        <f t="shared" ref="I129:I133" si="27">+E129*H129</f>
        <v>0</v>
      </c>
    </row>
    <row r="130" spans="1:9" s="361" customFormat="1">
      <c r="A130" s="305">
        <f>+A129+1</f>
        <v>2</v>
      </c>
      <c r="B130" s="290" t="s">
        <v>3842</v>
      </c>
      <c r="C130" s="308"/>
      <c r="D130" s="285"/>
      <c r="E130" s="896">
        <f>+E129/3</f>
        <v>107.99616666666667</v>
      </c>
      <c r="F130" s="294" t="s">
        <v>375</v>
      </c>
      <c r="G130" s="291" t="s">
        <v>562</v>
      </c>
      <c r="H130" s="295">
        <f>H42</f>
        <v>0</v>
      </c>
      <c r="I130" s="258">
        <f t="shared" si="27"/>
        <v>0</v>
      </c>
    </row>
    <row r="131" spans="1:9" s="361" customFormat="1">
      <c r="A131" s="305">
        <v>3</v>
      </c>
      <c r="B131" s="293" t="s">
        <v>3844</v>
      </c>
      <c r="C131" s="586"/>
      <c r="D131" s="299"/>
      <c r="E131" s="897">
        <f>+'VOL STR'!V270</f>
        <v>50.53</v>
      </c>
      <c r="F131" s="300" t="s">
        <v>3639</v>
      </c>
      <c r="G131" s="291" t="s">
        <v>3848</v>
      </c>
      <c r="H131" s="302">
        <f>HSP!F56</f>
        <v>0</v>
      </c>
      <c r="I131" s="258">
        <f t="shared" si="27"/>
        <v>0</v>
      </c>
    </row>
    <row r="132" spans="1:9" s="361" customFormat="1">
      <c r="A132" s="895">
        <v>4</v>
      </c>
      <c r="B132" s="293" t="s">
        <v>4002</v>
      </c>
      <c r="C132" s="586"/>
      <c r="D132" s="299"/>
      <c r="E132" s="898">
        <f>+'VOL STR'!V274</f>
        <v>48.53</v>
      </c>
      <c r="F132" s="300" t="s">
        <v>2911</v>
      </c>
      <c r="G132" s="291" t="s">
        <v>1366</v>
      </c>
      <c r="H132" s="302">
        <f>+HSP!F474</f>
        <v>0</v>
      </c>
      <c r="I132" s="258">
        <f t="shared" si="27"/>
        <v>0</v>
      </c>
    </row>
    <row r="133" spans="1:9" s="361" customFormat="1">
      <c r="A133" s="895">
        <v>5</v>
      </c>
      <c r="B133" s="293" t="s">
        <v>4087</v>
      </c>
      <c r="C133" s="586"/>
      <c r="D133" s="299"/>
      <c r="E133" s="898">
        <f>+(17*1.75)+(4*1.75)+(1*23)+(1.2*0.25)+(7.4*0.25)</f>
        <v>61.9</v>
      </c>
      <c r="F133" s="300" t="s">
        <v>376</v>
      </c>
      <c r="G133" s="256" t="s">
        <v>3859</v>
      </c>
      <c r="H133" s="302">
        <f>'4. BOQ ARS'!H29</f>
        <v>0</v>
      </c>
      <c r="I133" s="258">
        <f t="shared" si="27"/>
        <v>0</v>
      </c>
    </row>
    <row r="134" spans="1:9" s="361" customFormat="1">
      <c r="A134" s="296"/>
      <c r="B134" s="297" t="s">
        <v>3843</v>
      </c>
      <c r="C134" s="298"/>
      <c r="D134" s="299"/>
      <c r="E134" s="298"/>
      <c r="F134" s="300"/>
      <c r="G134" s="301"/>
      <c r="H134" s="302"/>
      <c r="I134" s="258"/>
    </row>
    <row r="135" spans="1:9">
      <c r="A135" s="305">
        <v>6</v>
      </c>
      <c r="B135" s="290" t="s">
        <v>3846</v>
      </c>
      <c r="C135" s="284"/>
      <c r="D135" s="285"/>
      <c r="E135" s="284"/>
      <c r="F135" s="294"/>
      <c r="G135" s="286"/>
      <c r="H135" s="295"/>
      <c r="I135" s="306"/>
    </row>
    <row r="136" spans="1:9">
      <c r="A136" s="305"/>
      <c r="B136" s="290" t="s">
        <v>3677</v>
      </c>
      <c r="C136" s="284"/>
      <c r="D136" s="285"/>
      <c r="E136" s="885">
        <f>+'VOL STR'!V292+'VOL STR'!V311</f>
        <v>36.039749999999998</v>
      </c>
      <c r="F136" s="294" t="s">
        <v>375</v>
      </c>
      <c r="G136" s="291" t="s">
        <v>605</v>
      </c>
      <c r="H136" s="295">
        <f>H55</f>
        <v>0</v>
      </c>
      <c r="I136" s="258">
        <f t="shared" ref="I136:I140" si="28">+E136*H136</f>
        <v>0</v>
      </c>
    </row>
    <row r="137" spans="1:9">
      <c r="A137" s="305"/>
      <c r="B137" s="290" t="s">
        <v>3258</v>
      </c>
      <c r="C137" s="284"/>
      <c r="D137" s="285"/>
      <c r="E137" s="885">
        <f>+'VOL STR'!V295+'VOL STR'!V314</f>
        <v>4212.6145386666667</v>
      </c>
      <c r="F137" s="294" t="s">
        <v>93</v>
      </c>
      <c r="G137" s="291" t="s">
        <v>1830</v>
      </c>
      <c r="H137" s="295">
        <f>H56</f>
        <v>0</v>
      </c>
      <c r="I137" s="258">
        <f t="shared" si="28"/>
        <v>0</v>
      </c>
    </row>
    <row r="138" spans="1:9">
      <c r="A138" s="305"/>
      <c r="B138" s="290" t="s">
        <v>3259</v>
      </c>
      <c r="C138" s="284"/>
      <c r="D138" s="285"/>
      <c r="E138" s="885">
        <f>+'VOL STR'!V300+'VOL STR'!V319</f>
        <v>64.421999999999997</v>
      </c>
      <c r="F138" s="294" t="s">
        <v>376</v>
      </c>
      <c r="G138" s="291" t="s">
        <v>628</v>
      </c>
      <c r="H138" s="295">
        <f>H57</f>
        <v>0</v>
      </c>
      <c r="I138" s="258">
        <f t="shared" si="28"/>
        <v>0</v>
      </c>
    </row>
    <row r="139" spans="1:9">
      <c r="A139" s="305"/>
      <c r="B139" s="293" t="s">
        <v>3260</v>
      </c>
      <c r="C139" s="284"/>
      <c r="D139" s="285"/>
      <c r="E139" s="885">
        <f>+'VOL STR'!V306+'VOL STR'!V325</f>
        <v>10.724500000000001</v>
      </c>
      <c r="F139" s="294" t="s">
        <v>375</v>
      </c>
      <c r="G139" s="291" t="s">
        <v>597</v>
      </c>
      <c r="H139" s="295">
        <f>H58</f>
        <v>0</v>
      </c>
      <c r="I139" s="258">
        <f t="shared" si="28"/>
        <v>0</v>
      </c>
    </row>
    <row r="140" spans="1:9">
      <c r="A140" s="305"/>
      <c r="B140" s="293" t="s">
        <v>3845</v>
      </c>
      <c r="C140" s="284"/>
      <c r="D140" s="285"/>
      <c r="E140" s="885">
        <f>'VOL STR'!V304+'VOL STR'!V323</f>
        <v>10.724500000000001</v>
      </c>
      <c r="F140" s="294" t="s">
        <v>375</v>
      </c>
      <c r="G140" s="291" t="s">
        <v>569</v>
      </c>
      <c r="H140" s="295">
        <f>H59</f>
        <v>0</v>
      </c>
      <c r="I140" s="258">
        <f t="shared" si="28"/>
        <v>0</v>
      </c>
    </row>
    <row r="141" spans="1:9" s="361" customFormat="1">
      <c r="A141" s="305">
        <v>7</v>
      </c>
      <c r="B141" s="307" t="s">
        <v>3847</v>
      </c>
      <c r="C141" s="308"/>
      <c r="D141" s="285"/>
      <c r="E141" s="284"/>
      <c r="F141" s="294"/>
      <c r="G141" s="286"/>
      <c r="H141" s="295"/>
      <c r="I141" s="258"/>
    </row>
    <row r="142" spans="1:9" s="361" customFormat="1">
      <c r="A142" s="305"/>
      <c r="B142" s="290" t="s">
        <v>3677</v>
      </c>
      <c r="C142" s="308"/>
      <c r="D142" s="285"/>
      <c r="E142" s="885">
        <f>'VOL STR'!V330+'VOL STR'!V345</f>
        <v>42.495225000000005</v>
      </c>
      <c r="F142" s="294" t="s">
        <v>375</v>
      </c>
      <c r="G142" s="291" t="s">
        <v>605</v>
      </c>
      <c r="H142" s="295">
        <f>H136</f>
        <v>0</v>
      </c>
      <c r="I142" s="258">
        <f t="shared" ref="I142:I149" si="29">+E142*H142</f>
        <v>0</v>
      </c>
    </row>
    <row r="143" spans="1:9" s="361" customFormat="1">
      <c r="A143" s="305"/>
      <c r="B143" s="290" t="s">
        <v>3258</v>
      </c>
      <c r="C143" s="308"/>
      <c r="D143" s="285"/>
      <c r="E143" s="885">
        <f>'VOL STR'!V334+'VOL STR'!V349</f>
        <v>7981.1137199999994</v>
      </c>
      <c r="F143" s="294" t="s">
        <v>93</v>
      </c>
      <c r="G143" s="291" t="s">
        <v>1830</v>
      </c>
      <c r="H143" s="295">
        <f>H137</f>
        <v>0</v>
      </c>
      <c r="I143" s="258">
        <f t="shared" si="29"/>
        <v>0</v>
      </c>
    </row>
    <row r="144" spans="1:9" s="361" customFormat="1">
      <c r="A144" s="585"/>
      <c r="B144" s="290" t="s">
        <v>3865</v>
      </c>
      <c r="C144" s="311"/>
      <c r="D144" s="312"/>
      <c r="E144" s="886">
        <f>+'VOL STR'!V339+'VOL STR'!V354</f>
        <v>256.15200000000004</v>
      </c>
      <c r="F144" s="313" t="s">
        <v>376</v>
      </c>
      <c r="G144" s="291" t="s">
        <v>634</v>
      </c>
      <c r="H144" s="314">
        <f>HSP!F84</f>
        <v>0</v>
      </c>
      <c r="I144" s="258">
        <f t="shared" si="29"/>
        <v>0</v>
      </c>
    </row>
    <row r="145" spans="1:10" s="230" customFormat="1" ht="15" customHeight="1">
      <c r="A145" s="251">
        <v>8</v>
      </c>
      <c r="B145" s="268" t="s">
        <v>4112</v>
      </c>
      <c r="C145" s="259"/>
      <c r="D145" s="260"/>
      <c r="E145" s="254"/>
      <c r="F145" s="255"/>
      <c r="G145" s="263"/>
      <c r="H145" s="257"/>
      <c r="I145" s="318"/>
      <c r="J145" s="243"/>
    </row>
    <row r="146" spans="1:10" s="230" customFormat="1" ht="15" customHeight="1">
      <c r="A146" s="251"/>
      <c r="B146" s="951" t="s">
        <v>4113</v>
      </c>
      <c r="C146" s="259"/>
      <c r="D146" s="260"/>
      <c r="E146" s="254">
        <f>0.6*0.5*60</f>
        <v>18</v>
      </c>
      <c r="F146" s="255" t="s">
        <v>375</v>
      </c>
      <c r="G146" s="263" t="str">
        <f>'3.BOQ STR'!G129</f>
        <v xml:space="preserve">A.2.3.1.1. </v>
      </c>
      <c r="H146" s="257">
        <f>H40</f>
        <v>0</v>
      </c>
      <c r="I146" s="258">
        <f t="shared" si="29"/>
        <v>0</v>
      </c>
      <c r="J146" s="243"/>
    </row>
    <row r="147" spans="1:10" s="230" customFormat="1" ht="15" customHeight="1">
      <c r="A147" s="251"/>
      <c r="B147" s="951" t="s">
        <v>4116</v>
      </c>
      <c r="C147" s="259"/>
      <c r="D147" s="260"/>
      <c r="E147" s="254">
        <f>60*0.5*0.1</f>
        <v>3</v>
      </c>
      <c r="F147" s="255" t="s">
        <v>375</v>
      </c>
      <c r="G147" s="263" t="str">
        <f>G58</f>
        <v xml:space="preserve">A.4.1.1.4  </v>
      </c>
      <c r="H147" s="257">
        <f>H58</f>
        <v>0</v>
      </c>
      <c r="I147" s="258">
        <f t="shared" si="29"/>
        <v>0</v>
      </c>
      <c r="J147" s="243"/>
    </row>
    <row r="148" spans="1:10" s="230" customFormat="1" ht="15" customHeight="1">
      <c r="A148" s="251"/>
      <c r="B148" s="951" t="s">
        <v>4114</v>
      </c>
      <c r="C148" s="259"/>
      <c r="D148" s="260"/>
      <c r="E148" s="254">
        <f>0.6*60</f>
        <v>36</v>
      </c>
      <c r="F148" s="255" t="s">
        <v>376</v>
      </c>
      <c r="G148" s="263" t="s">
        <v>3851</v>
      </c>
      <c r="H148" s="257">
        <f>HSP!F710</f>
        <v>0</v>
      </c>
      <c r="I148" s="258">
        <f t="shared" si="29"/>
        <v>0</v>
      </c>
      <c r="J148" s="243"/>
    </row>
    <row r="149" spans="1:10" s="230" customFormat="1" ht="15" customHeight="1">
      <c r="A149" s="251"/>
      <c r="B149" s="951" t="s">
        <v>4115</v>
      </c>
      <c r="C149" s="259"/>
      <c r="D149" s="260"/>
      <c r="E149" s="254">
        <v>60</v>
      </c>
      <c r="F149" s="255" t="s">
        <v>2911</v>
      </c>
      <c r="G149" s="263" t="s">
        <v>3851</v>
      </c>
      <c r="H149" s="257">
        <f>HSP!F708</f>
        <v>0</v>
      </c>
      <c r="I149" s="258">
        <f t="shared" si="29"/>
        <v>0</v>
      </c>
      <c r="J149" s="243"/>
    </row>
    <row r="150" spans="1:10" s="361" customFormat="1">
      <c r="A150" s="309"/>
      <c r="B150" s="290"/>
      <c r="C150" s="308"/>
      <c r="D150" s="285"/>
      <c r="E150" s="284"/>
      <c r="F150" s="294"/>
      <c r="G150" s="291"/>
      <c r="H150" s="295"/>
      <c r="I150" s="258"/>
    </row>
    <row r="151" spans="1:10">
      <c r="A151" s="273"/>
      <c r="B151" s="274"/>
      <c r="C151" s="274"/>
      <c r="D151" s="274"/>
      <c r="E151" s="274"/>
      <c r="F151" s="1608"/>
      <c r="G151" s="1608"/>
      <c r="H151" s="1609"/>
      <c r="I151" s="275">
        <f>+SUM(I129:I149)</f>
        <v>0</v>
      </c>
    </row>
  </sheetData>
  <mergeCells count="18">
    <mergeCell ref="B37:D37"/>
    <mergeCell ref="A1:I1"/>
    <mergeCell ref="A8:A9"/>
    <mergeCell ref="B8:D9"/>
    <mergeCell ref="G8:G9"/>
    <mergeCell ref="B10:D10"/>
    <mergeCell ref="F16:H16"/>
    <mergeCell ref="B17:D17"/>
    <mergeCell ref="F36:H36"/>
    <mergeCell ref="B24:D24"/>
    <mergeCell ref="E8:F9"/>
    <mergeCell ref="B38:D38"/>
    <mergeCell ref="F45:H45"/>
    <mergeCell ref="F51:H51"/>
    <mergeCell ref="F151:H151"/>
    <mergeCell ref="F92:H92"/>
    <mergeCell ref="F115:H115"/>
    <mergeCell ref="F126:H126"/>
  </mergeCells>
  <printOptions horizontalCentered="1"/>
  <pageMargins left="0.39370078740157483" right="0.39370078740157483" top="0.59055118110236227" bottom="0.59055118110236227" header="0.31496062992125984" footer="0.31496062992125984"/>
  <pageSetup paperSize="9" scale="65" orientation="portrait" r:id="rId1"/>
  <rowBreaks count="1" manualBreakCount="1">
    <brk id="75"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37C1B-1400-497E-A123-CBFF47144240}">
  <sheetPr>
    <tabColor rgb="FFFF0000"/>
  </sheetPr>
  <dimension ref="A1:T108"/>
  <sheetViews>
    <sheetView view="pageBreakPreview" topLeftCell="A94" zoomScaleNormal="70" zoomScaleSheetLayoutView="100" workbookViewId="0">
      <selection activeCell="D4" sqref="D4"/>
    </sheetView>
  </sheetViews>
  <sheetFormatPr defaultColWidth="9.08984375" defaultRowHeight="14.5"/>
  <cols>
    <col min="1" max="1" width="9.08984375" style="276"/>
    <col min="2" max="3" width="9.08984375" style="219"/>
    <col min="4" max="4" width="52" style="219" customWidth="1"/>
    <col min="5" max="5" width="11.6328125" style="219" customWidth="1"/>
    <col min="6" max="6" width="7.36328125" style="219" customWidth="1"/>
    <col min="7" max="7" width="15.6328125" style="361" customWidth="1"/>
    <col min="8" max="9" width="16.36328125" style="361" customWidth="1"/>
    <col min="10" max="14" width="0" style="219" hidden="1" customWidth="1"/>
    <col min="15" max="15" width="16" style="219" hidden="1" customWidth="1"/>
    <col min="16" max="16384" width="9.08984375" style="219"/>
  </cols>
  <sheetData>
    <row r="1" spans="1:11" ht="18">
      <c r="A1" s="1592" t="s">
        <v>4141</v>
      </c>
      <c r="B1" s="1592"/>
      <c r="C1" s="1592"/>
      <c r="D1" s="1592"/>
      <c r="E1" s="1592"/>
      <c r="F1" s="1592"/>
      <c r="G1" s="1592"/>
      <c r="H1" s="1592"/>
      <c r="I1" s="1592"/>
    </row>
    <row r="2" spans="1:11">
      <c r="A2" s="220"/>
      <c r="B2" s="220"/>
      <c r="C2" s="220"/>
      <c r="D2" s="220"/>
      <c r="E2" s="220"/>
      <c r="F2" s="220"/>
      <c r="G2" s="220"/>
      <c r="H2" s="221"/>
      <c r="I2" s="222"/>
    </row>
    <row r="3" spans="1:11">
      <c r="A3" s="223"/>
      <c r="B3" s="224" t="s">
        <v>3232</v>
      </c>
      <c r="C3" s="225"/>
      <c r="D3" s="226" t="s">
        <v>3672</v>
      </c>
      <c r="E3" s="227"/>
      <c r="F3" s="228"/>
      <c r="G3" s="220"/>
      <c r="H3" s="221"/>
      <c r="I3" s="222"/>
    </row>
    <row r="4" spans="1:11">
      <c r="A4" s="223"/>
      <c r="B4" s="224" t="s">
        <v>3233</v>
      </c>
      <c r="C4" s="225"/>
      <c r="D4" s="226" t="s">
        <v>4614</v>
      </c>
      <c r="E4" s="228"/>
      <c r="F4" s="228"/>
      <c r="G4" s="220"/>
      <c r="H4" s="221"/>
      <c r="I4" s="222"/>
    </row>
    <row r="5" spans="1:11">
      <c r="A5" s="223"/>
      <c r="B5" s="224" t="s">
        <v>3234</v>
      </c>
      <c r="C5" s="225"/>
      <c r="D5" s="226" t="s">
        <v>3670</v>
      </c>
      <c r="E5" s="228"/>
      <c r="F5" s="228"/>
      <c r="G5" s="220"/>
      <c r="H5" s="221"/>
      <c r="I5" s="222"/>
    </row>
    <row r="6" spans="1:11">
      <c r="A6" s="220"/>
      <c r="B6" s="229"/>
      <c r="C6" s="230"/>
      <c r="D6" s="225"/>
      <c r="E6" s="228"/>
      <c r="F6" s="228"/>
      <c r="G6" s="220"/>
      <c r="H6" s="221"/>
      <c r="I6" s="222"/>
    </row>
    <row r="7" spans="1:11" ht="15" thickBot="1">
      <c r="A7" s="220"/>
      <c r="B7" s="220"/>
      <c r="C7" s="220"/>
      <c r="D7" s="229"/>
      <c r="E7" s="228"/>
      <c r="F7" s="228"/>
      <c r="G7" s="228"/>
      <c r="H7" s="231"/>
      <c r="I7" s="232"/>
    </row>
    <row r="8" spans="1:11">
      <c r="A8" s="1613" t="s">
        <v>3235</v>
      </c>
      <c r="B8" s="1615" t="s">
        <v>0</v>
      </c>
      <c r="C8" s="1616"/>
      <c r="D8" s="1616"/>
      <c r="E8" s="1626" t="s">
        <v>3236</v>
      </c>
      <c r="F8" s="1627"/>
      <c r="G8" s="1619" t="s">
        <v>3237</v>
      </c>
      <c r="H8" s="233" t="s">
        <v>3238</v>
      </c>
      <c r="I8" s="234" t="s">
        <v>3239</v>
      </c>
    </row>
    <row r="9" spans="1:11" ht="15" thickBot="1">
      <c r="A9" s="1614"/>
      <c r="B9" s="1617"/>
      <c r="C9" s="1618"/>
      <c r="D9" s="1618"/>
      <c r="E9" s="1617"/>
      <c r="F9" s="1628"/>
      <c r="G9" s="1620"/>
      <c r="H9" s="235" t="s">
        <v>1954</v>
      </c>
      <c r="I9" s="236" t="s">
        <v>3240</v>
      </c>
    </row>
    <row r="10" spans="1:11" s="225" customFormat="1" ht="15" customHeight="1">
      <c r="A10" s="237" t="s">
        <v>53</v>
      </c>
      <c r="B10" s="1610" t="s">
        <v>3512</v>
      </c>
      <c r="C10" s="1611"/>
      <c r="D10" s="1612"/>
      <c r="E10" s="238"/>
      <c r="F10" s="239"/>
      <c r="G10" s="240"/>
      <c r="H10" s="241"/>
      <c r="I10" s="242"/>
      <c r="J10" s="243"/>
    </row>
    <row r="11" spans="1:11" s="225" customFormat="1" ht="15" customHeight="1">
      <c r="A11" s="244" t="s">
        <v>3242</v>
      </c>
      <c r="B11" s="1605" t="s">
        <v>3513</v>
      </c>
      <c r="C11" s="1606"/>
      <c r="D11" s="1607"/>
      <c r="E11" s="245"/>
      <c r="F11" s="246"/>
      <c r="G11" s="247"/>
      <c r="H11" s="248"/>
      <c r="I11" s="249"/>
      <c r="J11" s="243"/>
      <c r="K11" s="250" t="s">
        <v>3838</v>
      </c>
    </row>
    <row r="12" spans="1:11" s="225" customFormat="1" ht="15" customHeight="1">
      <c r="A12" s="939">
        <v>1</v>
      </c>
      <c r="B12" s="252" t="s">
        <v>3514</v>
      </c>
      <c r="C12" s="253"/>
      <c r="D12" s="253"/>
      <c r="E12" s="254">
        <f>VOL.ARS!I227</f>
        <v>79</v>
      </c>
      <c r="F12" s="255" t="s">
        <v>2911</v>
      </c>
      <c r="G12" s="256" t="str">
        <f>HSP!C94</f>
        <v xml:space="preserve">A.4.1.1.35   </v>
      </c>
      <c r="H12" s="257">
        <f>HSP!F94</f>
        <v>0</v>
      </c>
      <c r="I12" s="318">
        <f>E12*H12</f>
        <v>0</v>
      </c>
      <c r="J12" s="243" t="s">
        <v>3802</v>
      </c>
      <c r="K12" s="225" t="s">
        <v>3839</v>
      </c>
    </row>
    <row r="13" spans="1:11" s="225" customFormat="1" ht="15" customHeight="1">
      <c r="A13" s="939">
        <v>2</v>
      </c>
      <c r="B13" s="252" t="s">
        <v>4127</v>
      </c>
      <c r="C13" s="259"/>
      <c r="D13" s="260"/>
      <c r="E13" s="261">
        <f>VOL.ARS!E222</f>
        <v>41.769000000000005</v>
      </c>
      <c r="F13" s="255" t="s">
        <v>2911</v>
      </c>
      <c r="G13" s="256" t="str">
        <f>HSP!C95</f>
        <v xml:space="preserve">A.4.1.1.36   </v>
      </c>
      <c r="H13" s="257">
        <f>HSP!F95</f>
        <v>0</v>
      </c>
      <c r="I13" s="318">
        <f>E13*H13</f>
        <v>0</v>
      </c>
      <c r="J13" s="243" t="s">
        <v>3802</v>
      </c>
    </row>
    <row r="14" spans="1:11" s="225" customFormat="1" ht="15" customHeight="1">
      <c r="A14" s="251"/>
      <c r="B14" s="262"/>
      <c r="C14" s="259"/>
      <c r="D14" s="260"/>
      <c r="E14" s="261"/>
      <c r="F14" s="255"/>
      <c r="G14" s="263"/>
      <c r="H14" s="257"/>
      <c r="I14" s="319"/>
      <c r="J14" s="243"/>
    </row>
    <row r="15" spans="1:11" s="225" customFormat="1" ht="15" customHeight="1">
      <c r="A15" s="244" t="s">
        <v>3248</v>
      </c>
      <c r="B15" s="1605" t="s">
        <v>3515</v>
      </c>
      <c r="C15" s="1606"/>
      <c r="D15" s="1607"/>
      <c r="E15" s="245"/>
      <c r="F15" s="246"/>
      <c r="G15" s="247"/>
      <c r="H15" s="248"/>
      <c r="I15" s="319"/>
      <c r="J15" s="243"/>
      <c r="K15" s="250"/>
    </row>
    <row r="16" spans="1:11" s="225" customFormat="1" ht="15" customHeight="1">
      <c r="A16" s="251">
        <v>1</v>
      </c>
      <c r="B16" s="252" t="s">
        <v>3553</v>
      </c>
      <c r="C16" s="253"/>
      <c r="D16" s="253"/>
      <c r="E16" s="254">
        <f>VOL.ARS!I45</f>
        <v>659.87104699999998</v>
      </c>
      <c r="F16" s="255" t="s">
        <v>376</v>
      </c>
      <c r="G16" s="263" t="str">
        <f>HSP!C174</f>
        <v xml:space="preserve">A.4.4.1.26 </v>
      </c>
      <c r="H16" s="257">
        <f>HSP!F174</f>
        <v>0</v>
      </c>
      <c r="I16" s="318">
        <f>E16*H16</f>
        <v>0</v>
      </c>
      <c r="J16" s="243" t="s">
        <v>3802</v>
      </c>
    </row>
    <row r="17" spans="1:20" s="225" customFormat="1" ht="15" customHeight="1">
      <c r="A17" s="251"/>
      <c r="B17" s="262"/>
      <c r="C17" s="259"/>
      <c r="D17" s="260"/>
      <c r="E17" s="261"/>
      <c r="F17" s="255"/>
      <c r="G17" s="263"/>
      <c r="H17" s="257"/>
      <c r="I17" s="319"/>
      <c r="J17" s="243"/>
      <c r="T17" s="944">
        <f>+E23+E86</f>
        <v>305.62700000000001</v>
      </c>
    </row>
    <row r="18" spans="1:20" s="225" customFormat="1" ht="15" customHeight="1">
      <c r="A18" s="244" t="s">
        <v>3254</v>
      </c>
      <c r="B18" s="1605" t="s">
        <v>3518</v>
      </c>
      <c r="C18" s="1606"/>
      <c r="D18" s="1607"/>
      <c r="E18" s="245"/>
      <c r="F18" s="246"/>
      <c r="G18" s="247"/>
      <c r="H18" s="248"/>
      <c r="I18" s="319"/>
      <c r="J18" s="243"/>
      <c r="K18" s="250"/>
    </row>
    <row r="19" spans="1:20" s="225" customFormat="1" ht="15" customHeight="1">
      <c r="A19" s="251">
        <v>1</v>
      </c>
      <c r="B19" s="252" t="s">
        <v>3516</v>
      </c>
      <c r="C19" s="253"/>
      <c r="D19" s="253"/>
      <c r="E19" s="254">
        <f>VOL.ARS!I47</f>
        <v>1518.9422725099996</v>
      </c>
      <c r="F19" s="255" t="s">
        <v>376</v>
      </c>
      <c r="G19" s="256" t="str">
        <f>HSP!C204</f>
        <v xml:space="preserve">A.4.4.2.28. </v>
      </c>
      <c r="H19" s="257">
        <f>HSP!F204</f>
        <v>0</v>
      </c>
      <c r="I19" s="318">
        <f>E19*H19</f>
        <v>0</v>
      </c>
      <c r="J19" s="243" t="s">
        <v>3802</v>
      </c>
    </row>
    <row r="20" spans="1:20" s="225" customFormat="1" ht="15" customHeight="1">
      <c r="A20" s="251">
        <v>2</v>
      </c>
      <c r="B20" s="252" t="s">
        <v>3517</v>
      </c>
      <c r="C20" s="253"/>
      <c r="D20" s="253"/>
      <c r="E20" s="254">
        <f>E49+E50</f>
        <v>1711.7709740000005</v>
      </c>
      <c r="F20" s="255" t="s">
        <v>376</v>
      </c>
      <c r="G20" s="256" t="str">
        <f>HSP!C205</f>
        <v xml:space="preserve">A.4.4.2.29. </v>
      </c>
      <c r="H20" s="257">
        <f>HSP!F205</f>
        <v>0</v>
      </c>
      <c r="I20" s="318">
        <f>E20*H20</f>
        <v>0</v>
      </c>
      <c r="J20" s="243"/>
    </row>
    <row r="21" spans="1:20" s="225" customFormat="1" ht="15" customHeight="1">
      <c r="A21" s="251"/>
      <c r="B21" s="262"/>
      <c r="C21" s="259"/>
      <c r="D21" s="260"/>
      <c r="E21" s="261"/>
      <c r="F21" s="255"/>
      <c r="G21" s="263"/>
      <c r="H21" s="257"/>
      <c r="I21" s="319"/>
      <c r="J21" s="243"/>
    </row>
    <row r="22" spans="1:20" s="225" customFormat="1" ht="15" customHeight="1">
      <c r="A22" s="244" t="s">
        <v>3519</v>
      </c>
      <c r="B22" s="264" t="s">
        <v>3520</v>
      </c>
      <c r="C22" s="259"/>
      <c r="D22" s="260"/>
      <c r="E22" s="261"/>
      <c r="F22" s="255"/>
      <c r="G22" s="263"/>
      <c r="H22" s="257"/>
      <c r="I22" s="319"/>
      <c r="J22" s="243"/>
    </row>
    <row r="23" spans="1:20" s="225" customFormat="1" ht="15" customHeight="1">
      <c r="A23" s="251">
        <v>1</v>
      </c>
      <c r="B23" s="262" t="s">
        <v>4052</v>
      </c>
      <c r="C23" s="265"/>
      <c r="D23" s="266"/>
      <c r="E23" s="261">
        <f>+((24*12)+(3*8))-E24</f>
        <v>302</v>
      </c>
      <c r="F23" s="255" t="s">
        <v>376</v>
      </c>
      <c r="G23" s="256" t="s">
        <v>970</v>
      </c>
      <c r="H23" s="257">
        <f>+HSP!F254</f>
        <v>0</v>
      </c>
      <c r="I23" s="318">
        <f>E23*H23</f>
        <v>0</v>
      </c>
      <c r="J23" s="243" t="s">
        <v>3802</v>
      </c>
    </row>
    <row r="24" spans="1:20" s="225" customFormat="1" ht="15" customHeight="1">
      <c r="A24" s="251">
        <f>+A23+1</f>
        <v>2</v>
      </c>
      <c r="B24" s="262" t="s">
        <v>4053</v>
      </c>
      <c r="C24" s="265"/>
      <c r="D24" s="266"/>
      <c r="E24" s="261">
        <f>2.5*4</f>
        <v>10</v>
      </c>
      <c r="F24" s="255" t="s">
        <v>376</v>
      </c>
      <c r="G24" s="256" t="str">
        <f>HSP!C209</f>
        <v>A.4.4.3.2.</v>
      </c>
      <c r="H24" s="257">
        <f>+H19</f>
        <v>0</v>
      </c>
      <c r="I24" s="318">
        <f>E24*H24</f>
        <v>0</v>
      </c>
      <c r="J24" s="243" t="s">
        <v>3802</v>
      </c>
    </row>
    <row r="25" spans="1:20" s="225" customFormat="1" ht="15" customHeight="1">
      <c r="A25" s="251">
        <v>3</v>
      </c>
      <c r="B25" s="262" t="s">
        <v>3601</v>
      </c>
      <c r="C25" s="265"/>
      <c r="D25" s="266"/>
      <c r="E25" s="261">
        <f>VOL.ARS!I89</f>
        <v>408.81760100000002</v>
      </c>
      <c r="F25" s="255" t="s">
        <v>376</v>
      </c>
      <c r="G25" s="256" t="s">
        <v>3605</v>
      </c>
      <c r="H25" s="257">
        <f>HSP!F435</f>
        <v>0</v>
      </c>
      <c r="I25" s="318">
        <f>E25*H25</f>
        <v>0</v>
      </c>
      <c r="J25" s="243" t="s">
        <v>3802</v>
      </c>
    </row>
    <row r="26" spans="1:20" s="225" customFormat="1" ht="15" customHeight="1">
      <c r="A26" s="244"/>
      <c r="B26" s="264"/>
      <c r="C26" s="259"/>
      <c r="D26" s="260"/>
      <c r="E26" s="261"/>
      <c r="F26" s="255"/>
      <c r="G26" s="263"/>
      <c r="H26" s="257"/>
      <c r="I26" s="319"/>
      <c r="J26" s="243"/>
    </row>
    <row r="27" spans="1:20" s="225" customFormat="1" ht="15" customHeight="1">
      <c r="A27" s="244" t="s">
        <v>3521</v>
      </c>
      <c r="B27" s="264" t="s">
        <v>3522</v>
      </c>
      <c r="C27" s="259"/>
      <c r="D27" s="260"/>
      <c r="E27" s="261"/>
      <c r="F27" s="255"/>
      <c r="G27" s="263"/>
      <c r="H27" s="257"/>
      <c r="I27" s="319"/>
      <c r="J27" s="243"/>
    </row>
    <row r="28" spans="1:20" s="225" customFormat="1" ht="15" customHeight="1">
      <c r="A28" s="251">
        <v>1</v>
      </c>
      <c r="B28" s="262" t="s">
        <v>4057</v>
      </c>
      <c r="C28" s="265"/>
      <c r="D28" s="266"/>
      <c r="E28" s="261">
        <f>VOL.ARS!I121</f>
        <v>82.16</v>
      </c>
      <c r="F28" s="255" t="s">
        <v>376</v>
      </c>
      <c r="G28" s="256" t="s">
        <v>970</v>
      </c>
      <c r="H28" s="257">
        <f>+H23</f>
        <v>0</v>
      </c>
      <c r="I28" s="318">
        <f>E28*H28</f>
        <v>0</v>
      </c>
      <c r="J28" s="243" t="s">
        <v>3802</v>
      </c>
    </row>
    <row r="29" spans="1:20" s="225" customFormat="1" ht="15" customHeight="1">
      <c r="A29" s="251">
        <v>2</v>
      </c>
      <c r="B29" s="262" t="s">
        <v>4060</v>
      </c>
      <c r="C29" s="265"/>
      <c r="D29" s="266"/>
      <c r="E29" s="261">
        <f>+(((24+12+24)*3.5)-'AHS KUSEN'!M106)+(0.35*4*4*3.5)</f>
        <v>229.6</v>
      </c>
      <c r="F29" s="255" t="s">
        <v>376</v>
      </c>
      <c r="G29" s="256" t="s">
        <v>3859</v>
      </c>
      <c r="H29" s="257">
        <f>+HSP!F269</f>
        <v>0</v>
      </c>
      <c r="I29" s="318">
        <f>E29*H29</f>
        <v>0</v>
      </c>
      <c r="J29" s="243"/>
    </row>
    <row r="30" spans="1:20" s="225" customFormat="1" ht="15" customHeight="1">
      <c r="A30" s="251">
        <v>3</v>
      </c>
      <c r="B30" s="262" t="s">
        <v>4058</v>
      </c>
      <c r="C30" s="265"/>
      <c r="D30" s="266"/>
      <c r="E30" s="261">
        <f>+(14.65+14.65+26.65+26.65)*0.1</f>
        <v>8.26</v>
      </c>
      <c r="F30" s="255" t="s">
        <v>376</v>
      </c>
      <c r="G30" s="256" t="s">
        <v>4059</v>
      </c>
      <c r="H30" s="257">
        <f>+H16+H45</f>
        <v>0</v>
      </c>
      <c r="I30" s="318">
        <f>E30*H30</f>
        <v>0</v>
      </c>
      <c r="J30" s="243"/>
    </row>
    <row r="31" spans="1:20" s="225" customFormat="1" ht="15" customHeight="1">
      <c r="A31" s="244"/>
      <c r="B31" s="264"/>
      <c r="C31" s="259"/>
      <c r="D31" s="260"/>
      <c r="E31" s="261"/>
      <c r="F31" s="255"/>
      <c r="G31" s="263"/>
      <c r="H31" s="257"/>
      <c r="I31" s="319"/>
      <c r="J31" s="243"/>
    </row>
    <row r="32" spans="1:20" s="225" customFormat="1" ht="15" customHeight="1">
      <c r="A32" s="244" t="s">
        <v>3527</v>
      </c>
      <c r="B32" s="264" t="s">
        <v>3525</v>
      </c>
      <c r="C32" s="259"/>
      <c r="D32" s="260"/>
      <c r="E32" s="261"/>
      <c r="F32" s="255"/>
      <c r="G32" s="263"/>
      <c r="H32" s="257"/>
      <c r="I32" s="319"/>
      <c r="J32" s="243"/>
    </row>
    <row r="33" spans="1:10" s="225" customFormat="1" ht="15" customHeight="1">
      <c r="A33" s="251">
        <v>1</v>
      </c>
      <c r="B33" s="262" t="s">
        <v>3535</v>
      </c>
      <c r="C33" s="259"/>
      <c r="D33" s="260"/>
      <c r="E33" s="261">
        <v>2</v>
      </c>
      <c r="F33" s="255" t="s">
        <v>2333</v>
      </c>
      <c r="G33" s="256" t="str">
        <f>HSP!C401</f>
        <v>Anls.1</v>
      </c>
      <c r="H33" s="257">
        <f>+HSP!F401</f>
        <v>0</v>
      </c>
      <c r="I33" s="318">
        <f t="shared" ref="I33:I39" si="0">E33*H33</f>
        <v>0</v>
      </c>
      <c r="J33" s="243" t="s">
        <v>3802</v>
      </c>
    </row>
    <row r="34" spans="1:10" s="225" customFormat="1" ht="15" customHeight="1">
      <c r="A34" s="251">
        <f>+A33+1</f>
        <v>2</v>
      </c>
      <c r="B34" s="262" t="s">
        <v>3536</v>
      </c>
      <c r="C34" s="259"/>
      <c r="D34" s="260"/>
      <c r="E34" s="261">
        <v>11</v>
      </c>
      <c r="F34" s="255" t="s">
        <v>2333</v>
      </c>
      <c r="G34" s="256" t="str">
        <f>HSP!C402</f>
        <v>Anls.2</v>
      </c>
      <c r="H34" s="257">
        <f>HSP!F402</f>
        <v>0</v>
      </c>
      <c r="I34" s="318">
        <f t="shared" si="0"/>
        <v>0</v>
      </c>
      <c r="J34" s="243" t="s">
        <v>3802</v>
      </c>
    </row>
    <row r="35" spans="1:10" s="225" customFormat="1" ht="15" customHeight="1">
      <c r="A35" s="251">
        <f>+A34+1</f>
        <v>3</v>
      </c>
      <c r="B35" s="262" t="s">
        <v>4062</v>
      </c>
      <c r="C35" s="259"/>
      <c r="D35" s="260"/>
      <c r="E35" s="261">
        <v>1</v>
      </c>
      <c r="F35" s="255" t="s">
        <v>2333</v>
      </c>
      <c r="G35" s="256" t="s">
        <v>3608</v>
      </c>
      <c r="H35" s="257">
        <f>+HSP!F403</f>
        <v>0</v>
      </c>
      <c r="I35" s="318">
        <f t="shared" si="0"/>
        <v>0</v>
      </c>
      <c r="J35" s="243" t="s">
        <v>3802</v>
      </c>
    </row>
    <row r="36" spans="1:10" s="225" customFormat="1" ht="15" customHeight="1">
      <c r="A36" s="251">
        <f>+A34+1</f>
        <v>3</v>
      </c>
      <c r="B36" s="262" t="s">
        <v>3820</v>
      </c>
      <c r="C36" s="259"/>
      <c r="D36" s="260"/>
      <c r="E36" s="261">
        <v>2</v>
      </c>
      <c r="F36" s="255" t="s">
        <v>2333</v>
      </c>
      <c r="G36" s="256" t="s">
        <v>3852</v>
      </c>
      <c r="H36" s="257">
        <f>+HSP!F405</f>
        <v>0</v>
      </c>
      <c r="I36" s="318">
        <f t="shared" si="0"/>
        <v>0</v>
      </c>
      <c r="J36" s="243" t="s">
        <v>3802</v>
      </c>
    </row>
    <row r="37" spans="1:10" s="225" customFormat="1" ht="15" customHeight="1">
      <c r="A37" s="251">
        <f>+A36+1</f>
        <v>4</v>
      </c>
      <c r="B37" s="262" t="s">
        <v>3821</v>
      </c>
      <c r="C37" s="259"/>
      <c r="D37" s="260"/>
      <c r="E37" s="261">
        <v>3</v>
      </c>
      <c r="F37" s="255" t="s">
        <v>2333</v>
      </c>
      <c r="G37" s="256" t="s">
        <v>3609</v>
      </c>
      <c r="H37" s="257">
        <f>+HSP!F404</f>
        <v>0</v>
      </c>
      <c r="I37" s="318">
        <f t="shared" si="0"/>
        <v>0</v>
      </c>
      <c r="J37" s="243" t="s">
        <v>3802</v>
      </c>
    </row>
    <row r="38" spans="1:10" s="225" customFormat="1" ht="15" customHeight="1">
      <c r="A38" s="251">
        <f>+A37+1</f>
        <v>5</v>
      </c>
      <c r="B38" s="262" t="s">
        <v>3537</v>
      </c>
      <c r="C38" s="259"/>
      <c r="D38" s="260"/>
      <c r="E38" s="261">
        <v>5</v>
      </c>
      <c r="F38" s="255" t="s">
        <v>2333</v>
      </c>
      <c r="G38" s="256" t="str">
        <f>HSP!C406</f>
        <v>Anls.6</v>
      </c>
      <c r="H38" s="257">
        <f>HSP!F406</f>
        <v>0</v>
      </c>
      <c r="I38" s="318">
        <f t="shared" si="0"/>
        <v>0</v>
      </c>
      <c r="J38" s="243" t="s">
        <v>3802</v>
      </c>
    </row>
    <row r="39" spans="1:10" s="225" customFormat="1" ht="15" customHeight="1">
      <c r="A39" s="251">
        <f>+A38+1</f>
        <v>6</v>
      </c>
      <c r="B39" s="262" t="s">
        <v>3822</v>
      </c>
      <c r="C39" s="259"/>
      <c r="D39" s="260"/>
      <c r="E39" s="261">
        <v>3</v>
      </c>
      <c r="F39" s="255" t="s">
        <v>2333</v>
      </c>
      <c r="G39" s="256" t="s">
        <v>4066</v>
      </c>
      <c r="H39" s="257">
        <f>+HSP!F407</f>
        <v>0</v>
      </c>
      <c r="I39" s="318">
        <f t="shared" si="0"/>
        <v>0</v>
      </c>
      <c r="J39" s="243" t="s">
        <v>3802</v>
      </c>
    </row>
    <row r="40" spans="1:10" s="225" customFormat="1" ht="15" customHeight="1">
      <c r="A40" s="244"/>
      <c r="B40" s="264"/>
      <c r="C40" s="259"/>
      <c r="D40" s="260"/>
      <c r="E40" s="261"/>
      <c r="F40" s="255"/>
      <c r="G40" s="263"/>
      <c r="H40" s="257"/>
      <c r="I40" s="319"/>
      <c r="J40" s="243"/>
    </row>
    <row r="41" spans="1:10" s="225" customFormat="1" ht="15" customHeight="1">
      <c r="A41" s="244" t="s">
        <v>3528</v>
      </c>
      <c r="B41" s="264" t="s">
        <v>3524</v>
      </c>
      <c r="C41" s="259"/>
      <c r="D41" s="260"/>
      <c r="E41" s="261"/>
      <c r="F41" s="255"/>
      <c r="G41" s="263"/>
      <c r="H41" s="257"/>
      <c r="I41" s="319"/>
      <c r="J41" s="243"/>
    </row>
    <row r="42" spans="1:10" s="225" customFormat="1" ht="15" customHeight="1">
      <c r="A42" s="251">
        <v>1</v>
      </c>
      <c r="B42" s="262" t="s">
        <v>3742</v>
      </c>
      <c r="C42" s="265"/>
      <c r="D42" s="266"/>
      <c r="E42" s="261">
        <f>VOL.ARS!I137</f>
        <v>226.45899999999995</v>
      </c>
      <c r="F42" s="255" t="s">
        <v>376</v>
      </c>
      <c r="G42" s="256" t="str">
        <f>HSP!C288</f>
        <v xml:space="preserve">A.4.5.1.7. </v>
      </c>
      <c r="H42" s="257">
        <f>HSP!F288</f>
        <v>0</v>
      </c>
      <c r="I42" s="318">
        <f>E42*H42</f>
        <v>0</v>
      </c>
      <c r="J42" s="243" t="s">
        <v>3802</v>
      </c>
    </row>
    <row r="43" spans="1:10" s="225" customFormat="1" ht="15" customHeight="1">
      <c r="A43" s="251">
        <f>+A42+1</f>
        <v>2</v>
      </c>
      <c r="B43" s="262" t="s">
        <v>4061</v>
      </c>
      <c r="C43" s="265"/>
      <c r="D43" s="266"/>
      <c r="E43" s="261">
        <f>VOL.ARS!I142</f>
        <v>12.570674999999998</v>
      </c>
      <c r="F43" s="255" t="s">
        <v>376</v>
      </c>
      <c r="G43" s="256" t="s">
        <v>3565</v>
      </c>
      <c r="H43" s="257">
        <f>HSP!F289</f>
        <v>0</v>
      </c>
      <c r="I43" s="318">
        <f>E43*H43</f>
        <v>0</v>
      </c>
      <c r="J43" s="243" t="s">
        <v>3802</v>
      </c>
    </row>
    <row r="44" spans="1:10" s="225" customFormat="1" ht="15" customHeight="1">
      <c r="A44" s="251">
        <f>+A43+1</f>
        <v>3</v>
      </c>
      <c r="B44" s="262" t="s">
        <v>3825</v>
      </c>
      <c r="C44" s="265"/>
      <c r="D44" s="266"/>
      <c r="E44" s="261">
        <f>VOL.ARS!I145</f>
        <v>114.375047</v>
      </c>
      <c r="F44" s="255" t="s">
        <v>376</v>
      </c>
      <c r="G44" s="256" t="s">
        <v>736</v>
      </c>
      <c r="H44" s="257">
        <f>HSP!F134</f>
        <v>0</v>
      </c>
      <c r="I44" s="318">
        <f>E44*H44</f>
        <v>0</v>
      </c>
      <c r="J44" s="243" t="s">
        <v>3802</v>
      </c>
    </row>
    <row r="45" spans="1:10" s="225" customFormat="1" ht="15" customHeight="1">
      <c r="A45" s="251">
        <f>+A44+1</f>
        <v>4</v>
      </c>
      <c r="B45" s="262" t="s">
        <v>3564</v>
      </c>
      <c r="C45" s="265"/>
      <c r="D45" s="266"/>
      <c r="E45" s="261">
        <f>E42+E43+E44</f>
        <v>353.40472199999994</v>
      </c>
      <c r="F45" s="255" t="s">
        <v>376</v>
      </c>
      <c r="G45" s="256" t="str">
        <f>HSP!C143</f>
        <v xml:space="preserve">A.4.2.1.21. </v>
      </c>
      <c r="H45" s="257">
        <f>HSP!F143</f>
        <v>0</v>
      </c>
      <c r="I45" s="318">
        <f>E45*H45</f>
        <v>0</v>
      </c>
      <c r="J45" s="243" t="s">
        <v>3802</v>
      </c>
    </row>
    <row r="46" spans="1:10" s="225" customFormat="1" ht="15" customHeight="1">
      <c r="A46" s="251">
        <f>+A45+1</f>
        <v>5</v>
      </c>
      <c r="B46" s="262" t="s">
        <v>3538</v>
      </c>
      <c r="C46" s="265"/>
      <c r="D46" s="266"/>
      <c r="E46" s="261">
        <f>VOL.ARS!I164</f>
        <v>230.70099999999999</v>
      </c>
      <c r="F46" s="255" t="s">
        <v>2911</v>
      </c>
      <c r="G46" s="256" t="str">
        <f>HSP!C296</f>
        <v>A.4.5.1.10.a</v>
      </c>
      <c r="H46" s="257">
        <f>HSP!F296</f>
        <v>0</v>
      </c>
      <c r="I46" s="318">
        <f>E46*H46</f>
        <v>0</v>
      </c>
      <c r="J46" s="243" t="s">
        <v>3802</v>
      </c>
    </row>
    <row r="47" spans="1:10" s="225" customFormat="1" ht="15" customHeight="1">
      <c r="A47" s="244"/>
      <c r="B47" s="264"/>
      <c r="C47" s="259"/>
      <c r="D47" s="260"/>
      <c r="E47" s="261"/>
      <c r="F47" s="255"/>
      <c r="G47" s="263"/>
      <c r="H47" s="257"/>
      <c r="I47" s="319"/>
      <c r="J47" s="243"/>
    </row>
    <row r="48" spans="1:10" s="225" customFormat="1" ht="15" customHeight="1">
      <c r="A48" s="244" t="s">
        <v>3529</v>
      </c>
      <c r="B48" s="264" t="s">
        <v>3523</v>
      </c>
      <c r="C48" s="259"/>
      <c r="D48" s="260"/>
      <c r="E48" s="261"/>
      <c r="F48" s="255"/>
      <c r="G48" s="263"/>
      <c r="H48" s="257"/>
      <c r="I48" s="319"/>
      <c r="J48" s="243"/>
    </row>
    <row r="49" spans="1:20" s="225" customFormat="1" ht="15" customHeight="1">
      <c r="A49" s="251">
        <v>1</v>
      </c>
      <c r="B49" s="262" t="s">
        <v>3539</v>
      </c>
      <c r="C49" s="265"/>
      <c r="D49" s="266"/>
      <c r="E49" s="261">
        <f>VOL.ARS!I206</f>
        <v>846.42468700000018</v>
      </c>
      <c r="F49" s="255" t="s">
        <v>376</v>
      </c>
      <c r="G49" s="256" t="str">
        <f>HSP!C420</f>
        <v>A.4.7.1.10.a</v>
      </c>
      <c r="H49" s="257">
        <f>HSP!F420</f>
        <v>0</v>
      </c>
      <c r="I49" s="318">
        <f>E49*H49</f>
        <v>0</v>
      </c>
      <c r="J49" s="243" t="s">
        <v>3802</v>
      </c>
    </row>
    <row r="50" spans="1:20" s="225" customFormat="1" ht="15" customHeight="1">
      <c r="A50" s="251">
        <f>+A49+1</f>
        <v>2</v>
      </c>
      <c r="B50" s="262" t="s">
        <v>3826</v>
      </c>
      <c r="C50" s="265"/>
      <c r="D50" s="266"/>
      <c r="E50" s="261">
        <f>+VOL.ARS!I210</f>
        <v>865.34628700000019</v>
      </c>
      <c r="F50" s="255" t="s">
        <v>376</v>
      </c>
      <c r="G50" s="256" t="s">
        <v>3577</v>
      </c>
      <c r="H50" s="257">
        <f>HSP!F421</f>
        <v>0</v>
      </c>
      <c r="I50" s="318">
        <f>E50*H50</f>
        <v>0</v>
      </c>
      <c r="J50" s="243" t="s">
        <v>3802</v>
      </c>
    </row>
    <row r="51" spans="1:20" s="225" customFormat="1" ht="15" customHeight="1">
      <c r="A51" s="251">
        <f>+A50+1</f>
        <v>3</v>
      </c>
      <c r="B51" s="262" t="s">
        <v>3540</v>
      </c>
      <c r="C51" s="265"/>
      <c r="D51" s="266"/>
      <c r="E51" s="261">
        <f>E42+E43</f>
        <v>239.02967499999994</v>
      </c>
      <c r="F51" s="255" t="s">
        <v>376</v>
      </c>
      <c r="G51" s="256" t="s">
        <v>3582</v>
      </c>
      <c r="H51" s="257">
        <f>HSP!F422</f>
        <v>0</v>
      </c>
      <c r="I51" s="318">
        <f>E51*H51</f>
        <v>0</v>
      </c>
      <c r="J51" s="243" t="s">
        <v>3802</v>
      </c>
    </row>
    <row r="52" spans="1:20" s="225" customFormat="1" ht="15" customHeight="1">
      <c r="A52" s="251">
        <f>+A51+1</f>
        <v>4</v>
      </c>
      <c r="B52" s="262" t="s">
        <v>3824</v>
      </c>
      <c r="C52" s="265"/>
      <c r="D52" s="266"/>
      <c r="E52" s="261">
        <f>VOL.ARS!I88+VOL.ARS!I66</f>
        <v>21.543849999999999</v>
      </c>
      <c r="F52" s="255" t="s">
        <v>376</v>
      </c>
      <c r="G52" s="256" t="s">
        <v>3851</v>
      </c>
      <c r="H52" s="257">
        <f>+H49+H20</f>
        <v>0</v>
      </c>
      <c r="I52" s="318">
        <f>E52*H52</f>
        <v>0</v>
      </c>
      <c r="J52" s="243" t="s">
        <v>3802</v>
      </c>
    </row>
    <row r="53" spans="1:20" s="225" customFormat="1" ht="15" customHeight="1">
      <c r="A53" s="244"/>
      <c r="B53" s="264"/>
      <c r="C53" s="259"/>
      <c r="D53" s="260"/>
      <c r="E53" s="261"/>
      <c r="F53" s="255"/>
      <c r="G53" s="263"/>
      <c r="H53" s="257"/>
      <c r="I53" s="319"/>
      <c r="J53" s="243"/>
    </row>
    <row r="54" spans="1:20" s="225" customFormat="1" ht="15" customHeight="1">
      <c r="A54" s="244" t="s">
        <v>3530</v>
      </c>
      <c r="B54" s="264" t="s">
        <v>3526</v>
      </c>
      <c r="C54" s="259"/>
      <c r="D54" s="260"/>
      <c r="E54" s="261"/>
      <c r="F54" s="255"/>
      <c r="G54" s="263"/>
      <c r="H54" s="257"/>
      <c r="I54" s="319"/>
      <c r="J54" s="243"/>
    </row>
    <row r="55" spans="1:20" s="225" customFormat="1" ht="15" customHeight="1">
      <c r="A55" s="251">
        <v>1</v>
      </c>
      <c r="B55" s="262" t="s">
        <v>3541</v>
      </c>
      <c r="C55" s="259"/>
      <c r="D55" s="260"/>
      <c r="E55" s="261">
        <v>3</v>
      </c>
      <c r="F55" s="255" t="s">
        <v>259</v>
      </c>
      <c r="G55" s="256" t="str">
        <f>HSP!C438</f>
        <v xml:space="preserve">A.5.1.1.1. </v>
      </c>
      <c r="H55" s="257">
        <f>HSP!F438</f>
        <v>0</v>
      </c>
      <c r="I55" s="318">
        <f t="shared" ref="I55:I62" si="1">E55*H55</f>
        <v>0</v>
      </c>
      <c r="J55" s="243" t="s">
        <v>3802</v>
      </c>
      <c r="T55" s="225">
        <f>2.15+1.38</f>
        <v>3.53</v>
      </c>
    </row>
    <row r="56" spans="1:20" s="225" customFormat="1" ht="15" customHeight="1">
      <c r="A56" s="251">
        <f t="shared" ref="A56:A63" si="2">+A55+1</f>
        <v>2</v>
      </c>
      <c r="B56" s="262" t="s">
        <v>3542</v>
      </c>
      <c r="C56" s="259"/>
      <c r="D56" s="260"/>
      <c r="E56" s="261">
        <v>3</v>
      </c>
      <c r="F56" s="255" t="s">
        <v>259</v>
      </c>
      <c r="G56" s="256" t="str">
        <f>HSP!C439</f>
        <v xml:space="preserve">A.5.1.1.1.a </v>
      </c>
      <c r="H56" s="257">
        <f>HSP!F439</f>
        <v>0</v>
      </c>
      <c r="I56" s="318">
        <f t="shared" si="1"/>
        <v>0</v>
      </c>
      <c r="J56" s="243" t="s">
        <v>3802</v>
      </c>
      <c r="T56" s="225">
        <f>+T55/2</f>
        <v>1.7649999999999999</v>
      </c>
    </row>
    <row r="57" spans="1:20" s="225" customFormat="1" ht="15" customHeight="1">
      <c r="A57" s="251">
        <f t="shared" si="2"/>
        <v>3</v>
      </c>
      <c r="B57" s="262" t="s">
        <v>2243</v>
      </c>
      <c r="C57" s="259"/>
      <c r="D57" s="260"/>
      <c r="E57" s="261">
        <v>3</v>
      </c>
      <c r="F57" s="255" t="s">
        <v>259</v>
      </c>
      <c r="G57" s="256" t="str">
        <f>HSP!C456</f>
        <v xml:space="preserve">A.5.1.1 14. </v>
      </c>
      <c r="H57" s="257">
        <f>HSP!F456</f>
        <v>0</v>
      </c>
      <c r="I57" s="318">
        <f t="shared" si="1"/>
        <v>0</v>
      </c>
      <c r="J57" s="243" t="s">
        <v>3802</v>
      </c>
    </row>
    <row r="58" spans="1:20" s="225" customFormat="1" ht="15" customHeight="1">
      <c r="A58" s="251">
        <f t="shared" si="2"/>
        <v>4</v>
      </c>
      <c r="B58" s="262" t="s">
        <v>3543</v>
      </c>
      <c r="C58" s="259"/>
      <c r="D58" s="260"/>
      <c r="E58" s="261">
        <v>3</v>
      </c>
      <c r="F58" s="255" t="s">
        <v>259</v>
      </c>
      <c r="G58" s="256" t="str">
        <f>HSP!C440</f>
        <v xml:space="preserve">A.5.1.1.1.b </v>
      </c>
      <c r="H58" s="257">
        <f>HSP!F440</f>
        <v>0</v>
      </c>
      <c r="I58" s="318">
        <f t="shared" si="1"/>
        <v>0</v>
      </c>
      <c r="J58" s="243" t="s">
        <v>3802</v>
      </c>
    </row>
    <row r="59" spans="1:20" s="225" customFormat="1" ht="15" customHeight="1">
      <c r="A59" s="251">
        <f t="shared" si="2"/>
        <v>5</v>
      </c>
      <c r="B59" s="262" t="s">
        <v>255</v>
      </c>
      <c r="C59" s="259"/>
      <c r="D59" s="260"/>
      <c r="E59" s="261">
        <v>1</v>
      </c>
      <c r="F59" s="255" t="s">
        <v>259</v>
      </c>
      <c r="G59" s="256" t="str">
        <f>HSP!C446</f>
        <v xml:space="preserve">A.5.1.1 4. </v>
      </c>
      <c r="H59" s="257">
        <f>HSP!F446</f>
        <v>0</v>
      </c>
      <c r="I59" s="318">
        <f t="shared" si="1"/>
        <v>0</v>
      </c>
      <c r="J59" s="243" t="s">
        <v>3802</v>
      </c>
    </row>
    <row r="60" spans="1:20" s="225" customFormat="1" ht="15" customHeight="1">
      <c r="A60" s="251">
        <f t="shared" si="2"/>
        <v>6</v>
      </c>
      <c r="B60" s="262" t="s">
        <v>3685</v>
      </c>
      <c r="C60" s="259"/>
      <c r="D60" s="260"/>
      <c r="E60" s="261">
        <v>1</v>
      </c>
      <c r="F60" s="255" t="s">
        <v>259</v>
      </c>
      <c r="G60" s="256" t="s">
        <v>3593</v>
      </c>
      <c r="H60" s="257">
        <f>HSP!F441</f>
        <v>0</v>
      </c>
      <c r="I60" s="318">
        <f t="shared" si="1"/>
        <v>0</v>
      </c>
      <c r="J60" s="243" t="s">
        <v>3802</v>
      </c>
    </row>
    <row r="61" spans="1:20" s="225" customFormat="1" ht="15" customHeight="1">
      <c r="A61" s="251">
        <f t="shared" si="2"/>
        <v>7</v>
      </c>
      <c r="B61" s="262" t="s">
        <v>3684</v>
      </c>
      <c r="C61" s="259"/>
      <c r="D61" s="260"/>
      <c r="E61" s="261">
        <v>7</v>
      </c>
      <c r="F61" s="255" t="s">
        <v>259</v>
      </c>
      <c r="G61" s="256" t="s">
        <v>1313</v>
      </c>
      <c r="H61" s="257">
        <f>HSP!F447</f>
        <v>0</v>
      </c>
      <c r="I61" s="318">
        <f t="shared" si="1"/>
        <v>0</v>
      </c>
      <c r="J61" s="243" t="s">
        <v>3802</v>
      </c>
    </row>
    <row r="62" spans="1:20" s="225" customFormat="1" ht="15" customHeight="1">
      <c r="A62" s="251">
        <f t="shared" si="2"/>
        <v>8</v>
      </c>
      <c r="B62" s="262" t="s">
        <v>3690</v>
      </c>
      <c r="C62" s="259"/>
      <c r="D62" s="260"/>
      <c r="E62" s="261">
        <v>1</v>
      </c>
      <c r="F62" s="255" t="s">
        <v>259</v>
      </c>
      <c r="G62" s="256" t="s">
        <v>1327</v>
      </c>
      <c r="H62" s="257">
        <f>HSP!F444</f>
        <v>0</v>
      </c>
      <c r="I62" s="318">
        <f t="shared" si="1"/>
        <v>0</v>
      </c>
      <c r="J62" s="243" t="s">
        <v>3802</v>
      </c>
    </row>
    <row r="63" spans="1:20" s="225" customFormat="1" ht="15" customHeight="1">
      <c r="A63" s="251">
        <f t="shared" si="2"/>
        <v>9</v>
      </c>
      <c r="B63" s="262" t="s">
        <v>4067</v>
      </c>
      <c r="C63" s="259"/>
      <c r="D63" s="260"/>
      <c r="E63" s="261"/>
      <c r="F63" s="255"/>
      <c r="G63" s="256"/>
      <c r="H63" s="257"/>
      <c r="I63" s="319"/>
      <c r="J63" s="243" t="s">
        <v>3802</v>
      </c>
    </row>
    <row r="64" spans="1:20" s="225" customFormat="1" ht="15" customHeight="1">
      <c r="A64" s="251"/>
      <c r="B64" s="267" t="s">
        <v>3550</v>
      </c>
      <c r="C64" s="259"/>
      <c r="D64" s="260"/>
      <c r="E64" s="261">
        <f>+(2.728*0.6*0.09)</f>
        <v>0.147312</v>
      </c>
      <c r="F64" s="255" t="s">
        <v>375</v>
      </c>
      <c r="G64" s="256" t="s">
        <v>1791</v>
      </c>
      <c r="H64" s="257">
        <f>HSP!F63</f>
        <v>0</v>
      </c>
      <c r="I64" s="318">
        <f>E64*H64</f>
        <v>0</v>
      </c>
      <c r="J64" s="243" t="s">
        <v>3802</v>
      </c>
    </row>
    <row r="65" spans="1:10" s="225" customFormat="1" ht="15" customHeight="1">
      <c r="A65" s="251"/>
      <c r="B65" s="267" t="s">
        <v>3551</v>
      </c>
      <c r="C65" s="259"/>
      <c r="D65" s="260"/>
      <c r="E65" s="261">
        <f>+((2.728/0.2)+(0.6/0.15))*2*0.67</f>
        <v>23.637600000000003</v>
      </c>
      <c r="F65" s="255" t="s">
        <v>93</v>
      </c>
      <c r="G65" s="256" t="s">
        <v>1830</v>
      </c>
      <c r="H65" s="257">
        <f>+HSP!F76/10</f>
        <v>0</v>
      </c>
      <c r="I65" s="318">
        <f>E65*H65</f>
        <v>0</v>
      </c>
      <c r="J65" s="243" t="s">
        <v>3802</v>
      </c>
    </row>
    <row r="66" spans="1:10" s="225" customFormat="1" ht="15" customHeight="1">
      <c r="A66" s="251"/>
      <c r="B66" s="267" t="s">
        <v>3552</v>
      </c>
      <c r="C66" s="259"/>
      <c r="D66" s="260"/>
      <c r="E66" s="261">
        <f>(2.728*0.6)+(0.09*0.6*2)+(2.728*0.09)</f>
        <v>1.9903200000000001</v>
      </c>
      <c r="F66" s="255" t="s">
        <v>376</v>
      </c>
      <c r="G66" s="256" t="s">
        <v>633</v>
      </c>
      <c r="H66" s="257">
        <f>H85</f>
        <v>0</v>
      </c>
      <c r="I66" s="318">
        <f>E66*H66</f>
        <v>0</v>
      </c>
      <c r="J66" s="243" t="s">
        <v>3802</v>
      </c>
    </row>
    <row r="67" spans="1:10" s="225" customFormat="1" ht="15" customHeight="1">
      <c r="A67" s="251"/>
      <c r="B67" s="267" t="s">
        <v>3834</v>
      </c>
      <c r="C67" s="259"/>
      <c r="D67" s="260"/>
      <c r="E67" s="261">
        <f>E66</f>
        <v>1.9903200000000001</v>
      </c>
      <c r="F67" s="255" t="s">
        <v>376</v>
      </c>
      <c r="G67" s="256" t="s">
        <v>3555</v>
      </c>
      <c r="H67" s="257">
        <f>HSP!F241</f>
        <v>0</v>
      </c>
      <c r="I67" s="318">
        <f>E67*H67</f>
        <v>0</v>
      </c>
      <c r="J67" s="243" t="s">
        <v>3802</v>
      </c>
    </row>
    <row r="68" spans="1:10" s="225" customFormat="1" ht="15" customHeight="1">
      <c r="A68" s="251"/>
      <c r="B68" s="262"/>
      <c r="C68" s="259"/>
      <c r="D68" s="260"/>
      <c r="E68" s="261"/>
      <c r="F68" s="255"/>
      <c r="G68" s="263"/>
      <c r="H68" s="257"/>
      <c r="I68" s="319"/>
      <c r="J68" s="243"/>
    </row>
    <row r="69" spans="1:10" s="230" customFormat="1" ht="15" customHeight="1">
      <c r="A69" s="244" t="s">
        <v>3777</v>
      </c>
      <c r="B69" s="269" t="s">
        <v>4107</v>
      </c>
      <c r="C69" s="259"/>
      <c r="D69" s="260"/>
      <c r="E69" s="270"/>
      <c r="F69" s="246"/>
      <c r="G69" s="271"/>
      <c r="H69" s="571"/>
      <c r="I69" s="319"/>
      <c r="J69" s="272"/>
    </row>
    <row r="70" spans="1:10" s="225" customFormat="1" ht="15" customHeight="1">
      <c r="A70" s="251">
        <v>1</v>
      </c>
      <c r="B70" s="262" t="s">
        <v>4108</v>
      </c>
      <c r="C70" s="259"/>
      <c r="D70" s="260"/>
      <c r="E70" s="261">
        <v>4.72</v>
      </c>
      <c r="F70" s="255" t="s">
        <v>3170</v>
      </c>
      <c r="G70" s="263" t="s">
        <v>3631</v>
      </c>
      <c r="H70" s="257">
        <v>0</v>
      </c>
      <c r="I70" s="318">
        <f>E70*H70</f>
        <v>0</v>
      </c>
      <c r="J70" s="243"/>
    </row>
    <row r="71" spans="1:10" s="225" customFormat="1" ht="15" customHeight="1">
      <c r="A71" s="251">
        <v>2</v>
      </c>
      <c r="B71" s="262" t="s">
        <v>4109</v>
      </c>
      <c r="C71" s="259"/>
      <c r="D71" s="260"/>
      <c r="E71" s="261">
        <f>+E70*3.5</f>
        <v>16.52</v>
      </c>
      <c r="F71" s="255" t="s">
        <v>376</v>
      </c>
      <c r="G71" s="263" t="s">
        <v>3631</v>
      </c>
      <c r="H71" s="257">
        <v>0</v>
      </c>
      <c r="I71" s="318">
        <f>E71*H71</f>
        <v>0</v>
      </c>
      <c r="J71" s="243"/>
    </row>
    <row r="72" spans="1:10" s="225" customFormat="1" ht="15" customHeight="1">
      <c r="A72" s="251">
        <v>3</v>
      </c>
      <c r="B72" s="262" t="s">
        <v>4110</v>
      </c>
      <c r="C72" s="259"/>
      <c r="D72" s="260"/>
      <c r="E72" s="261">
        <f>2.72*1</f>
        <v>2.72</v>
      </c>
      <c r="F72" s="255" t="s">
        <v>376</v>
      </c>
      <c r="G72" s="263" t="s">
        <v>3631</v>
      </c>
      <c r="H72" s="257">
        <v>0</v>
      </c>
      <c r="I72" s="318">
        <f>E72*H72</f>
        <v>0</v>
      </c>
      <c r="J72" s="243"/>
    </row>
    <row r="73" spans="1:10" s="225" customFormat="1" ht="15" customHeight="1">
      <c r="A73" s="251"/>
      <c r="B73" s="262"/>
      <c r="C73" s="259"/>
      <c r="D73" s="260"/>
      <c r="E73" s="261"/>
      <c r="F73" s="255"/>
      <c r="G73" s="263"/>
      <c r="H73" s="257"/>
      <c r="I73" s="319"/>
      <c r="J73" s="243"/>
    </row>
    <row r="74" spans="1:10" s="230" customFormat="1" ht="15" customHeight="1">
      <c r="A74" s="244" t="s">
        <v>4027</v>
      </c>
      <c r="B74" s="269" t="s">
        <v>4028</v>
      </c>
      <c r="C74" s="259"/>
      <c r="D74" s="260"/>
      <c r="E74" s="270"/>
      <c r="F74" s="246"/>
      <c r="G74" s="271"/>
      <c r="H74" s="571"/>
      <c r="I74" s="319"/>
      <c r="J74" s="272"/>
    </row>
    <row r="75" spans="1:10" s="225" customFormat="1" ht="15" customHeight="1">
      <c r="A75" s="251">
        <v>1</v>
      </c>
      <c r="B75" s="252" t="s">
        <v>3553</v>
      </c>
      <c r="C75" s="259"/>
      <c r="D75" s="260"/>
      <c r="E75" s="261">
        <f>+'VOL STR'!V453+'VOL STR'!V558</f>
        <v>34.5</v>
      </c>
      <c r="F75" s="255" t="s">
        <v>376</v>
      </c>
      <c r="G75" s="256" t="s">
        <v>1790</v>
      </c>
      <c r="H75" s="257">
        <f>H16</f>
        <v>0</v>
      </c>
      <c r="I75" s="318">
        <f>E75*H75</f>
        <v>0</v>
      </c>
      <c r="J75" s="243"/>
    </row>
    <row r="76" spans="1:10" s="225" customFormat="1" ht="15" customHeight="1">
      <c r="A76" s="251">
        <f>+A75+1</f>
        <v>2</v>
      </c>
      <c r="B76" s="252" t="s">
        <v>3516</v>
      </c>
      <c r="C76" s="259"/>
      <c r="D76" s="260"/>
      <c r="E76" s="261">
        <f>+E75*2</f>
        <v>69</v>
      </c>
      <c r="F76" s="255" t="s">
        <v>376</v>
      </c>
      <c r="G76" s="256" t="s">
        <v>864</v>
      </c>
      <c r="H76" s="257">
        <f>H19</f>
        <v>0</v>
      </c>
      <c r="I76" s="318">
        <f>E76*H76</f>
        <v>0</v>
      </c>
      <c r="J76" s="243"/>
    </row>
    <row r="77" spans="1:10" s="225" customFormat="1" ht="15" customHeight="1">
      <c r="A77" s="251">
        <f>+A76+1</f>
        <v>3</v>
      </c>
      <c r="B77" s="252" t="s">
        <v>3517</v>
      </c>
      <c r="C77" s="259"/>
      <c r="D77" s="260"/>
      <c r="E77" s="261">
        <f>+E76</f>
        <v>69</v>
      </c>
      <c r="F77" s="255" t="s">
        <v>376</v>
      </c>
      <c r="G77" s="256" t="s">
        <v>867</v>
      </c>
      <c r="H77" s="257">
        <f>H20</f>
        <v>0</v>
      </c>
      <c r="I77" s="318">
        <f>E77*H77</f>
        <v>0</v>
      </c>
      <c r="J77" s="243"/>
    </row>
    <row r="78" spans="1:10" s="225" customFormat="1" ht="15" customHeight="1">
      <c r="A78" s="251">
        <f>+A77+1</f>
        <v>4</v>
      </c>
      <c r="B78" s="267" t="s">
        <v>4103</v>
      </c>
      <c r="C78" s="259"/>
      <c r="D78" s="260"/>
      <c r="E78" s="261">
        <f>+'VOL STR'!V456+'VOL STR'!V561</f>
        <v>1.52</v>
      </c>
      <c r="F78" s="255" t="s">
        <v>375</v>
      </c>
      <c r="G78" s="256" t="s">
        <v>600</v>
      </c>
      <c r="H78" s="257">
        <f>+HSP!F62</f>
        <v>0</v>
      </c>
      <c r="I78" s="318">
        <f>E78*H78</f>
        <v>0</v>
      </c>
      <c r="J78" s="243"/>
    </row>
    <row r="79" spans="1:10" s="225" customFormat="1" ht="15" customHeight="1">
      <c r="A79" s="251">
        <f>+A78+1</f>
        <v>5</v>
      </c>
      <c r="B79" s="267" t="s">
        <v>4029</v>
      </c>
      <c r="C79" s="259"/>
      <c r="D79" s="260"/>
      <c r="E79" s="261">
        <f>+'VOL STR'!V562+'VOL STR'!V563</f>
        <v>26</v>
      </c>
      <c r="F79" s="255" t="s">
        <v>376</v>
      </c>
      <c r="G79" s="256" t="s">
        <v>3605</v>
      </c>
      <c r="H79" s="257">
        <f>+HSP!F435</f>
        <v>0</v>
      </c>
      <c r="I79" s="318">
        <f>E79*H79</f>
        <v>0</v>
      </c>
      <c r="J79" s="243"/>
    </row>
    <row r="80" spans="1:10" s="225" customFormat="1" ht="15" customHeight="1">
      <c r="A80" s="251"/>
      <c r="B80" s="267"/>
      <c r="C80" s="259"/>
      <c r="D80" s="260"/>
      <c r="E80" s="261"/>
      <c r="F80" s="255"/>
      <c r="G80" s="256"/>
      <c r="H80" s="257"/>
      <c r="I80" s="318"/>
      <c r="J80" s="243"/>
    </row>
    <row r="81" spans="1:10" s="230" customFormat="1" ht="15" customHeight="1">
      <c r="A81" s="244" t="s">
        <v>4111</v>
      </c>
      <c r="B81" s="269" t="s">
        <v>3545</v>
      </c>
      <c r="C81" s="259"/>
      <c r="D81" s="260"/>
      <c r="E81" s="270"/>
      <c r="F81" s="246"/>
      <c r="G81" s="271"/>
      <c r="H81" s="571"/>
      <c r="I81" s="319"/>
      <c r="J81" s="272"/>
    </row>
    <row r="82" spans="1:10" s="225" customFormat="1" ht="15" customHeight="1">
      <c r="A82" s="251">
        <v>1</v>
      </c>
      <c r="B82" s="262" t="s">
        <v>4068</v>
      </c>
      <c r="C82" s="259"/>
      <c r="D82" s="260"/>
      <c r="E82" s="261"/>
      <c r="F82" s="255"/>
      <c r="G82" s="256"/>
      <c r="H82" s="257"/>
      <c r="I82" s="319"/>
      <c r="J82" s="243" t="s">
        <v>3802</v>
      </c>
    </row>
    <row r="83" spans="1:10" s="225" customFormat="1" ht="15" customHeight="1">
      <c r="A83" s="251"/>
      <c r="B83" s="267" t="s">
        <v>3550</v>
      </c>
      <c r="C83" s="259"/>
      <c r="D83" s="260"/>
      <c r="E83" s="261">
        <f>+(5.1*0.6*0.09)</f>
        <v>0.27539999999999998</v>
      </c>
      <c r="F83" s="255" t="s">
        <v>375</v>
      </c>
      <c r="G83" s="256" t="s">
        <v>1791</v>
      </c>
      <c r="H83" s="257">
        <f>HSP!F63</f>
        <v>0</v>
      </c>
      <c r="I83" s="318">
        <f t="shared" ref="I83:I90" si="3">E83*H83</f>
        <v>0</v>
      </c>
      <c r="J83" s="243" t="s">
        <v>3802</v>
      </c>
    </row>
    <row r="84" spans="1:10" s="225" customFormat="1" ht="15" customHeight="1">
      <c r="A84" s="251"/>
      <c r="B84" s="267" t="s">
        <v>3551</v>
      </c>
      <c r="C84" s="259"/>
      <c r="D84" s="260"/>
      <c r="E84" s="261">
        <f>+((5.1/2)+(0.6/0.15))*2*0.67</f>
        <v>8.777000000000001</v>
      </c>
      <c r="F84" s="255" t="s">
        <v>93</v>
      </c>
      <c r="G84" s="256" t="s">
        <v>1830</v>
      </c>
      <c r="H84" s="257">
        <f>HSP!F76/10</f>
        <v>0</v>
      </c>
      <c r="I84" s="318">
        <f t="shared" si="3"/>
        <v>0</v>
      </c>
      <c r="J84" s="243" t="s">
        <v>3802</v>
      </c>
    </row>
    <row r="85" spans="1:10" s="225" customFormat="1" ht="15" customHeight="1">
      <c r="A85" s="251"/>
      <c r="B85" s="267" t="s">
        <v>3552</v>
      </c>
      <c r="C85" s="259"/>
      <c r="D85" s="260"/>
      <c r="E85" s="261">
        <f>(5.1*0.6)+(0.09*0.6*2)+(5.1*0.09)</f>
        <v>3.6269999999999998</v>
      </c>
      <c r="F85" s="255" t="s">
        <v>376</v>
      </c>
      <c r="G85" s="256" t="s">
        <v>633</v>
      </c>
      <c r="H85" s="257">
        <f>HSP!F83</f>
        <v>0</v>
      </c>
      <c r="I85" s="318">
        <f t="shared" si="3"/>
        <v>0</v>
      </c>
      <c r="J85" s="243" t="s">
        <v>3802</v>
      </c>
    </row>
    <row r="86" spans="1:10" s="225" customFormat="1" ht="15" customHeight="1">
      <c r="A86" s="251"/>
      <c r="B86" s="267" t="s">
        <v>3834</v>
      </c>
      <c r="C86" s="259"/>
      <c r="D86" s="260"/>
      <c r="E86" s="261">
        <f>E85</f>
        <v>3.6269999999999998</v>
      </c>
      <c r="F86" s="255" t="s">
        <v>376</v>
      </c>
      <c r="G86" s="256" t="s">
        <v>3555</v>
      </c>
      <c r="H86" s="257">
        <f>H67</f>
        <v>0</v>
      </c>
      <c r="I86" s="318">
        <f t="shared" si="3"/>
        <v>0</v>
      </c>
      <c r="J86" s="243" t="s">
        <v>3802</v>
      </c>
    </row>
    <row r="87" spans="1:10" s="230" customFormat="1" ht="15" customHeight="1">
      <c r="A87" s="251">
        <v>2</v>
      </c>
      <c r="B87" s="268" t="s">
        <v>4094</v>
      </c>
      <c r="C87" s="259"/>
      <c r="D87" s="260"/>
      <c r="E87" s="254">
        <f>14.7+12.15</f>
        <v>26.85</v>
      </c>
      <c r="F87" s="255" t="s">
        <v>2911</v>
      </c>
      <c r="G87" s="263" t="s">
        <v>3851</v>
      </c>
      <c r="H87" s="257">
        <f>HSP!F706</f>
        <v>0</v>
      </c>
      <c r="I87" s="318">
        <f t="shared" si="3"/>
        <v>0</v>
      </c>
      <c r="J87" s="243" t="s">
        <v>3802</v>
      </c>
    </row>
    <row r="88" spans="1:10" s="230" customFormat="1" ht="15" customHeight="1">
      <c r="A88" s="251">
        <f t="shared" ref="A88:A95" si="4">+A87+1</f>
        <v>3</v>
      </c>
      <c r="B88" s="268" t="s">
        <v>4095</v>
      </c>
      <c r="C88" s="259"/>
      <c r="D88" s="260"/>
      <c r="E88" s="254">
        <f>4.88+2.99+2.99</f>
        <v>10.86</v>
      </c>
      <c r="F88" s="255" t="s">
        <v>2911</v>
      </c>
      <c r="G88" s="263" t="s">
        <v>3851</v>
      </c>
      <c r="H88" s="257">
        <f>HSP!F707</f>
        <v>0</v>
      </c>
      <c r="I88" s="318">
        <f t="shared" si="3"/>
        <v>0</v>
      </c>
      <c r="J88" s="243" t="s">
        <v>3802</v>
      </c>
    </row>
    <row r="89" spans="1:10" s="230" customFormat="1" ht="15" customHeight="1">
      <c r="A89" s="251">
        <f t="shared" si="4"/>
        <v>4</v>
      </c>
      <c r="B89" s="268" t="s">
        <v>4096</v>
      </c>
      <c r="C89" s="259"/>
      <c r="D89" s="260"/>
      <c r="E89" s="254">
        <f>+(E87*0.2)+(E88*0.4)</f>
        <v>9.7140000000000022</v>
      </c>
      <c r="F89" s="255" t="s">
        <v>376</v>
      </c>
      <c r="G89" s="263" t="s">
        <v>3631</v>
      </c>
      <c r="H89" s="257">
        <v>0</v>
      </c>
      <c r="I89" s="318">
        <f t="shared" si="3"/>
        <v>0</v>
      </c>
      <c r="J89" s="243" t="s">
        <v>3802</v>
      </c>
    </row>
    <row r="90" spans="1:10" s="230" customFormat="1" ht="15" customHeight="1">
      <c r="A90" s="251">
        <f t="shared" si="4"/>
        <v>5</v>
      </c>
      <c r="B90" s="268" t="s">
        <v>4102</v>
      </c>
      <c r="C90" s="259"/>
      <c r="D90" s="260"/>
      <c r="E90" s="254">
        <v>6</v>
      </c>
      <c r="F90" s="255" t="s">
        <v>259</v>
      </c>
      <c r="G90" s="263" t="s">
        <v>3851</v>
      </c>
      <c r="H90" s="257">
        <f>+HSP!F709</f>
        <v>0</v>
      </c>
      <c r="I90" s="318">
        <f t="shared" si="3"/>
        <v>0</v>
      </c>
      <c r="J90" s="243" t="s">
        <v>3802</v>
      </c>
    </row>
    <row r="91" spans="1:10" s="230" customFormat="1" ht="15" customHeight="1">
      <c r="A91" s="251">
        <f t="shared" si="4"/>
        <v>6</v>
      </c>
      <c r="B91" s="268" t="s">
        <v>3778</v>
      </c>
      <c r="C91" s="259"/>
      <c r="D91" s="260"/>
      <c r="E91" s="254">
        <f>31.729+6</f>
        <v>37.728999999999999</v>
      </c>
      <c r="F91" s="255" t="s">
        <v>2911</v>
      </c>
      <c r="G91" s="263" t="s">
        <v>3851</v>
      </c>
      <c r="H91" s="257">
        <f>+HSP!F704</f>
        <v>0</v>
      </c>
      <c r="I91" s="318">
        <f t="shared" ref="I91:I99" si="5">E91*H91</f>
        <v>0</v>
      </c>
      <c r="J91" s="243" t="s">
        <v>3802</v>
      </c>
    </row>
    <row r="92" spans="1:10" s="230" customFormat="1" ht="15" customHeight="1">
      <c r="A92" s="251">
        <f t="shared" si="4"/>
        <v>7</v>
      </c>
      <c r="B92" s="268" t="s">
        <v>4069</v>
      </c>
      <c r="C92" s="259"/>
      <c r="D92" s="260"/>
      <c r="E92" s="254">
        <v>341.7</v>
      </c>
      <c r="F92" s="255" t="s">
        <v>376</v>
      </c>
      <c r="G92" s="263" t="str">
        <f>+HSP!C269</f>
        <v>A.4.4.3.58.</v>
      </c>
      <c r="H92" s="257">
        <f>+HSP!F269</f>
        <v>0</v>
      </c>
      <c r="I92" s="318">
        <f t="shared" si="5"/>
        <v>0</v>
      </c>
      <c r="J92" s="243"/>
    </row>
    <row r="93" spans="1:10" s="230" customFormat="1" ht="15" customHeight="1">
      <c r="A93" s="251">
        <f t="shared" si="4"/>
        <v>8</v>
      </c>
      <c r="B93" s="268" t="s">
        <v>4139</v>
      </c>
      <c r="C93" s="259"/>
      <c r="D93" s="260"/>
      <c r="E93" s="254">
        <v>143.58000000000001</v>
      </c>
      <c r="F93" s="255" t="s">
        <v>376</v>
      </c>
      <c r="G93" s="263" t="str">
        <f>+HSP!C278</f>
        <v xml:space="preserve">A.4.4.3.67. </v>
      </c>
      <c r="H93" s="257">
        <f>+HSP!F276</f>
        <v>0</v>
      </c>
      <c r="I93" s="318">
        <f t="shared" si="5"/>
        <v>0</v>
      </c>
      <c r="J93" s="243" t="s">
        <v>3802</v>
      </c>
    </row>
    <row r="94" spans="1:10" s="225" customFormat="1" ht="15" customHeight="1">
      <c r="A94" s="251">
        <f t="shared" si="4"/>
        <v>9</v>
      </c>
      <c r="B94" s="268" t="s">
        <v>3835</v>
      </c>
      <c r="C94" s="259"/>
      <c r="D94" s="260"/>
      <c r="E94" s="254">
        <v>660.9</v>
      </c>
      <c r="F94" s="255" t="s">
        <v>376</v>
      </c>
      <c r="G94" s="256" t="s">
        <v>3631</v>
      </c>
      <c r="H94" s="257">
        <v>0</v>
      </c>
      <c r="I94" s="318">
        <f t="shared" si="5"/>
        <v>0</v>
      </c>
      <c r="J94" s="243" t="s">
        <v>3802</v>
      </c>
    </row>
    <row r="95" spans="1:10" s="225" customFormat="1" ht="15" customHeight="1">
      <c r="A95" s="251">
        <f t="shared" si="4"/>
        <v>10</v>
      </c>
      <c r="B95" s="262" t="s">
        <v>4099</v>
      </c>
      <c r="C95" s="259"/>
      <c r="D95" s="260"/>
      <c r="E95" s="254"/>
      <c r="F95" s="255"/>
      <c r="G95" s="256"/>
      <c r="H95" s="257"/>
      <c r="I95" s="318"/>
      <c r="J95" s="243"/>
    </row>
    <row r="96" spans="1:10" s="225" customFormat="1" ht="15" customHeight="1">
      <c r="A96" s="251"/>
      <c r="B96" s="267" t="s">
        <v>4100</v>
      </c>
      <c r="C96" s="259"/>
      <c r="D96" s="260"/>
      <c r="E96" s="254">
        <f>28.72*(2.8+0.5)</f>
        <v>94.775999999999996</v>
      </c>
      <c r="F96" s="255" t="s">
        <v>376</v>
      </c>
      <c r="G96" s="256" t="s">
        <v>1790</v>
      </c>
      <c r="H96" s="257">
        <f>+HSP!F174</f>
        <v>0</v>
      </c>
      <c r="I96" s="318">
        <f t="shared" si="5"/>
        <v>0</v>
      </c>
      <c r="J96" s="243"/>
    </row>
    <row r="97" spans="1:10" s="225" customFormat="1" ht="15" customHeight="1">
      <c r="A97" s="251"/>
      <c r="B97" s="267" t="s">
        <v>4101</v>
      </c>
      <c r="C97" s="259"/>
      <c r="D97" s="260"/>
      <c r="E97" s="254">
        <f>28.72*(2.8+0.5)</f>
        <v>94.775999999999996</v>
      </c>
      <c r="F97" s="255" t="s">
        <v>376</v>
      </c>
      <c r="G97" s="256" t="s">
        <v>833</v>
      </c>
      <c r="H97" s="257">
        <f>+HSP!F199</f>
        <v>0</v>
      </c>
      <c r="I97" s="318">
        <f t="shared" si="5"/>
        <v>0</v>
      </c>
      <c r="J97" s="243"/>
    </row>
    <row r="98" spans="1:10" s="225" customFormat="1" ht="15" customHeight="1">
      <c r="A98" s="251"/>
      <c r="B98" s="267" t="s">
        <v>3836</v>
      </c>
      <c r="C98" s="259"/>
      <c r="D98" s="260"/>
      <c r="E98" s="254">
        <f>28.72*(0.3*0.3*1)</f>
        <v>2.5848</v>
      </c>
      <c r="F98" s="255" t="s">
        <v>375</v>
      </c>
      <c r="G98" s="263" t="s">
        <v>3631</v>
      </c>
      <c r="H98" s="257">
        <v>0</v>
      </c>
      <c r="I98" s="318">
        <f t="shared" si="5"/>
        <v>0</v>
      </c>
      <c r="J98" s="583" t="s">
        <v>3837</v>
      </c>
    </row>
    <row r="99" spans="1:10" s="225" customFormat="1" ht="15" customHeight="1">
      <c r="A99" s="251"/>
      <c r="B99" s="267" t="s">
        <v>4106</v>
      </c>
      <c r="C99" s="259"/>
      <c r="D99" s="260"/>
      <c r="E99" s="254">
        <v>30</v>
      </c>
      <c r="F99" s="255" t="s">
        <v>259</v>
      </c>
      <c r="G99" s="263" t="s">
        <v>3631</v>
      </c>
      <c r="H99" s="257">
        <v>0</v>
      </c>
      <c r="I99" s="318">
        <f t="shared" si="5"/>
        <v>0</v>
      </c>
      <c r="J99" s="583" t="s">
        <v>3837</v>
      </c>
    </row>
    <row r="100" spans="1:10" s="225" customFormat="1" ht="14">
      <c r="A100" s="251">
        <v>11</v>
      </c>
      <c r="B100" s="1629" t="s">
        <v>3686</v>
      </c>
      <c r="C100" s="1630"/>
      <c r="D100" s="1631"/>
      <c r="E100" s="254">
        <f>2*16</f>
        <v>32</v>
      </c>
      <c r="F100" s="255" t="s">
        <v>259</v>
      </c>
      <c r="G100" s="263" t="s">
        <v>3631</v>
      </c>
      <c r="H100" s="257">
        <v>0</v>
      </c>
      <c r="I100" s="318">
        <f t="shared" ref="I100" si="6">E100*H100</f>
        <v>0</v>
      </c>
      <c r="J100" s="243" t="s">
        <v>3802</v>
      </c>
    </row>
    <row r="101" spans="1:10" s="225" customFormat="1" ht="14">
      <c r="A101" s="251">
        <v>12</v>
      </c>
      <c r="B101" s="1629" t="s">
        <v>3687</v>
      </c>
      <c r="C101" s="1630"/>
      <c r="D101" s="1631"/>
      <c r="E101" s="254">
        <f>14*2</f>
        <v>28</v>
      </c>
      <c r="F101" s="255" t="s">
        <v>259</v>
      </c>
      <c r="G101" s="263" t="s">
        <v>3631</v>
      </c>
      <c r="H101" s="257">
        <v>0</v>
      </c>
      <c r="I101" s="318">
        <f t="shared" ref="I101:I102" si="7">E101*H101</f>
        <v>0</v>
      </c>
      <c r="J101" s="243" t="s">
        <v>3802</v>
      </c>
    </row>
    <row r="102" spans="1:10" s="225" customFormat="1" ht="14">
      <c r="A102" s="251">
        <v>13</v>
      </c>
      <c r="B102" s="1629" t="s">
        <v>3779</v>
      </c>
      <c r="C102" s="1630"/>
      <c r="D102" s="1631"/>
      <c r="E102" s="254">
        <v>2</v>
      </c>
      <c r="F102" s="255" t="s">
        <v>259</v>
      </c>
      <c r="G102" s="263" t="s">
        <v>3631</v>
      </c>
      <c r="H102" s="257">
        <v>0</v>
      </c>
      <c r="I102" s="319">
        <f t="shared" si="7"/>
        <v>0</v>
      </c>
      <c r="J102" s="243" t="s">
        <v>3802</v>
      </c>
    </row>
    <row r="103" spans="1:10" s="225" customFormat="1" ht="15" customHeight="1">
      <c r="A103" s="251"/>
      <c r="B103" s="268"/>
      <c r="C103" s="259"/>
      <c r="D103" s="260"/>
      <c r="E103" s="254"/>
      <c r="F103" s="255"/>
      <c r="G103" s="263"/>
      <c r="H103" s="257"/>
      <c r="I103" s="319"/>
      <c r="J103" s="243"/>
    </row>
    <row r="104" spans="1:10" s="225" customFormat="1" ht="15" customHeight="1">
      <c r="A104" s="273"/>
      <c r="B104" s="274"/>
      <c r="C104" s="274"/>
      <c r="D104" s="274"/>
      <c r="E104" s="1608" t="s">
        <v>3247</v>
      </c>
      <c r="F104" s="1608"/>
      <c r="G104" s="1608"/>
      <c r="H104" s="1609"/>
      <c r="I104" s="275">
        <f>+SUM(I12:I103)</f>
        <v>0</v>
      </c>
      <c r="J104" s="243"/>
    </row>
    <row r="108" spans="1:10">
      <c r="D108" s="582"/>
    </row>
  </sheetData>
  <mergeCells count="13">
    <mergeCell ref="B101:D101"/>
    <mergeCell ref="B10:D10"/>
    <mergeCell ref="E104:H104"/>
    <mergeCell ref="B11:D11"/>
    <mergeCell ref="B15:D15"/>
    <mergeCell ref="B18:D18"/>
    <mergeCell ref="B100:D100"/>
    <mergeCell ref="B102:D102"/>
    <mergeCell ref="A1:I1"/>
    <mergeCell ref="A8:A9"/>
    <mergeCell ref="B8:D9"/>
    <mergeCell ref="E8:F9"/>
    <mergeCell ref="G8:G9"/>
  </mergeCells>
  <printOptions horizontalCentered="1"/>
  <pageMargins left="0.39370078740157483" right="0.39370078740157483" top="0.59055118110236227" bottom="0.59055118110236227" header="0.31496062992125984" footer="0.31496062992125984"/>
  <pageSetup paperSize="9" scale="6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ACB9B-A710-43D5-8864-025222E44932}">
  <dimension ref="A1:W1439"/>
  <sheetViews>
    <sheetView topLeftCell="B1383" workbookViewId="0"/>
  </sheetViews>
  <sheetFormatPr defaultColWidth="6.54296875" defaultRowHeight="14.5"/>
  <cols>
    <col min="1" max="3" width="6.54296875" style="127"/>
    <col min="4" max="4" width="13.6328125" style="127" bestFit="1" customWidth="1"/>
    <col min="5" max="5" width="10.6328125" style="127" customWidth="1"/>
    <col min="6" max="6" width="14.54296875" style="127" customWidth="1"/>
    <col min="7" max="16384" width="6.54296875" style="127"/>
  </cols>
  <sheetData>
    <row r="1" spans="2:23">
      <c r="B1" s="127" t="s">
        <v>3268</v>
      </c>
    </row>
    <row r="2" spans="2:23">
      <c r="S2" s="159" t="s">
        <v>3269</v>
      </c>
      <c r="T2" s="159"/>
      <c r="U2" s="159"/>
      <c r="V2" s="159"/>
      <c r="W2" s="159"/>
    </row>
    <row r="3" spans="2:23" s="160" customFormat="1" ht="15" thickBot="1">
      <c r="B3" s="160" t="s">
        <v>3270</v>
      </c>
      <c r="C3" s="160" t="s">
        <v>3271</v>
      </c>
      <c r="F3" s="160" t="s">
        <v>3272</v>
      </c>
      <c r="G3" s="160" t="s">
        <v>3273</v>
      </c>
      <c r="S3" s="159"/>
      <c r="T3" s="159"/>
      <c r="U3" s="159"/>
      <c r="V3" s="159"/>
      <c r="W3" s="159"/>
    </row>
    <row r="4" spans="2:23">
      <c r="E4" s="127" t="s">
        <v>3274</v>
      </c>
      <c r="F4" s="127">
        <f>2*26</f>
        <v>52</v>
      </c>
      <c r="G4" s="127">
        <v>9</v>
      </c>
      <c r="H4" s="127">
        <f>F4*G4</f>
        <v>468</v>
      </c>
      <c r="S4" s="1632" t="s">
        <v>3275</v>
      </c>
      <c r="T4" s="1633"/>
      <c r="U4" s="161" t="s">
        <v>3276</v>
      </c>
      <c r="V4" s="161" t="s">
        <v>3277</v>
      </c>
      <c r="W4" s="162" t="s">
        <v>3278</v>
      </c>
    </row>
    <row r="5" spans="2:23" ht="15" thickBot="1">
      <c r="E5" s="127" t="s">
        <v>3279</v>
      </c>
      <c r="F5" s="127">
        <v>10</v>
      </c>
      <c r="G5" s="127">
        <v>9</v>
      </c>
      <c r="H5" s="127">
        <f>F5*G5</f>
        <v>90</v>
      </c>
      <c r="S5" s="163" t="s">
        <v>3280</v>
      </c>
      <c r="T5" s="164" t="s">
        <v>3281</v>
      </c>
      <c r="U5" s="164" t="s">
        <v>3282</v>
      </c>
      <c r="V5" s="164" t="s">
        <v>3283</v>
      </c>
      <c r="W5" s="165" t="s">
        <v>3284</v>
      </c>
    </row>
    <row r="6" spans="2:23">
      <c r="S6" s="166"/>
      <c r="T6" s="167"/>
      <c r="U6" s="167"/>
      <c r="V6" s="167"/>
      <c r="W6" s="168"/>
    </row>
    <row r="7" spans="2:23">
      <c r="F7" s="127">
        <f>SUM(F4:F5)</f>
        <v>62</v>
      </c>
      <c r="G7" s="127" t="s">
        <v>3256</v>
      </c>
      <c r="H7" s="127">
        <f>SUM(H4:H6)</f>
        <v>558</v>
      </c>
      <c r="I7" s="127" t="s">
        <v>113</v>
      </c>
      <c r="S7" s="169" t="s">
        <v>3285</v>
      </c>
      <c r="T7" s="170" t="s">
        <v>3286</v>
      </c>
      <c r="U7" s="170">
        <v>6</v>
      </c>
      <c r="V7" s="171">
        <f>(0.25*22/7*(U7/10)^2)</f>
        <v>0.28285714285714286</v>
      </c>
      <c r="W7" s="172">
        <f>7850*22/7*0.25*(U7/1000)^2</f>
        <v>0.22204285714285715</v>
      </c>
    </row>
    <row r="8" spans="2:23">
      <c r="S8" s="173" t="s">
        <v>3287</v>
      </c>
      <c r="T8" s="174" t="s">
        <v>3288</v>
      </c>
      <c r="U8" s="174">
        <v>8</v>
      </c>
      <c r="V8" s="171">
        <f>(0.25*22/7*(U8/10)^2)</f>
        <v>0.50285714285714289</v>
      </c>
      <c r="W8" s="172">
        <f t="shared" ref="W8:W28" si="0">7850*22/7*0.25*(U8/1000)^2</f>
        <v>0.39474285714285712</v>
      </c>
    </row>
    <row r="9" spans="2:23" s="160" customFormat="1">
      <c r="B9" s="160" t="s">
        <v>3270</v>
      </c>
      <c r="C9" s="160" t="s">
        <v>3289</v>
      </c>
      <c r="S9" s="173" t="s">
        <v>3290</v>
      </c>
      <c r="T9" s="174" t="s">
        <v>3291</v>
      </c>
      <c r="U9" s="174">
        <v>9</v>
      </c>
      <c r="V9" s="171">
        <f>(0.25*22/7*(U9/10)^2)</f>
        <v>0.63642857142857145</v>
      </c>
      <c r="W9" s="172">
        <f>7850*22/7*0.25*(U9/1000)^2</f>
        <v>0.49959642857142855</v>
      </c>
    </row>
    <row r="10" spans="2:23" s="160" customFormat="1">
      <c r="C10" s="160" t="s">
        <v>3292</v>
      </c>
      <c r="D10" s="160" t="s">
        <v>3293</v>
      </c>
      <c r="E10" s="160" t="s">
        <v>3294</v>
      </c>
      <c r="F10" s="160" t="s">
        <v>3294</v>
      </c>
      <c r="G10" s="160" t="s">
        <v>3295</v>
      </c>
      <c r="H10" s="160" t="s">
        <v>3296</v>
      </c>
      <c r="S10" s="173" t="s">
        <v>3297</v>
      </c>
      <c r="T10" s="174" t="s">
        <v>3298</v>
      </c>
      <c r="U10" s="174">
        <v>10</v>
      </c>
      <c r="V10" s="171">
        <f>(0.25*22/7*(U10/10)^2)</f>
        <v>0.7857142857142857</v>
      </c>
      <c r="W10" s="172">
        <f t="shared" si="0"/>
        <v>0.61678571428571438</v>
      </c>
    </row>
    <row r="11" spans="2:23" s="160" customFormat="1">
      <c r="E11" s="160">
        <v>1</v>
      </c>
      <c r="F11" s="160">
        <v>1.6</v>
      </c>
      <c r="G11" s="160">
        <v>0.5</v>
      </c>
      <c r="H11" s="160">
        <v>26</v>
      </c>
      <c r="I11" s="160">
        <f>E11*F11*G11*H11</f>
        <v>20.8</v>
      </c>
      <c r="J11" s="160" t="s">
        <v>375</v>
      </c>
      <c r="S11" s="173" t="s">
        <v>3299</v>
      </c>
      <c r="T11" s="174" t="s">
        <v>3300</v>
      </c>
      <c r="U11" s="174">
        <v>12</v>
      </c>
      <c r="V11" s="171">
        <f>(0.25*22/7*(U11/10)^2)</f>
        <v>1.1314285714285715</v>
      </c>
      <c r="W11" s="172">
        <f t="shared" si="0"/>
        <v>0.88817142857142861</v>
      </c>
    </row>
    <row r="12" spans="2:23" s="175" customFormat="1">
      <c r="D12" s="175" t="s">
        <v>3268</v>
      </c>
      <c r="E12" s="175">
        <f>E11+0.3</f>
        <v>1.3</v>
      </c>
      <c r="F12" s="175">
        <f>F11+0.3</f>
        <v>1.9000000000000001</v>
      </c>
      <c r="G12" s="175">
        <v>0.05</v>
      </c>
      <c r="H12" s="175">
        <f>H11</f>
        <v>26</v>
      </c>
      <c r="I12" s="175">
        <f t="shared" ref="I12:I14" si="1">E12*F12*G12*H12</f>
        <v>3.2110000000000003</v>
      </c>
      <c r="J12" s="175" t="s">
        <v>375</v>
      </c>
      <c r="S12" s="176"/>
      <c r="T12" s="177"/>
      <c r="U12" s="177"/>
      <c r="V12" s="178"/>
      <c r="W12" s="179"/>
    </row>
    <row r="13" spans="2:23" s="175" customFormat="1">
      <c r="D13" s="175" t="s">
        <v>3253</v>
      </c>
      <c r="E13" s="175">
        <f>E12</f>
        <v>1.3</v>
      </c>
      <c r="F13" s="175">
        <f>F12</f>
        <v>1.9000000000000001</v>
      </c>
      <c r="G13" s="175">
        <v>0.1</v>
      </c>
      <c r="H13" s="175">
        <f>H12</f>
        <v>26</v>
      </c>
      <c r="I13" s="175">
        <f t="shared" si="1"/>
        <v>6.4220000000000006</v>
      </c>
      <c r="J13" s="175" t="s">
        <v>375</v>
      </c>
      <c r="S13" s="176"/>
      <c r="T13" s="177"/>
      <c r="U13" s="177"/>
      <c r="V13" s="178"/>
      <c r="W13" s="179"/>
    </row>
    <row r="14" spans="2:23" s="175" customFormat="1">
      <c r="D14" s="175" t="s">
        <v>3301</v>
      </c>
      <c r="E14" s="175">
        <f>E13</f>
        <v>1.3</v>
      </c>
      <c r="F14" s="175">
        <f>F13</f>
        <v>1.9000000000000001</v>
      </c>
      <c r="G14" s="175">
        <v>1.25</v>
      </c>
      <c r="H14" s="175">
        <f>H13</f>
        <v>26</v>
      </c>
      <c r="I14" s="175">
        <f t="shared" si="1"/>
        <v>80.275000000000006</v>
      </c>
      <c r="J14" s="175" t="s">
        <v>375</v>
      </c>
      <c r="S14" s="176"/>
      <c r="T14" s="177"/>
      <c r="U14" s="177"/>
      <c r="V14" s="178"/>
      <c r="W14" s="179"/>
    </row>
    <row r="15" spans="2:23">
      <c r="S15" s="173" t="s">
        <v>3302</v>
      </c>
      <c r="T15" s="174" t="s">
        <v>3303</v>
      </c>
      <c r="U15" s="174">
        <v>13</v>
      </c>
      <c r="V15" s="171">
        <f t="shared" ref="V15:V28" si="2">(0.25*22/7*(U15/10)^2)</f>
        <v>1.3278571428571431</v>
      </c>
      <c r="W15" s="172">
        <f t="shared" si="0"/>
        <v>1.0423678571428572</v>
      </c>
    </row>
    <row r="16" spans="2:23" s="160" customFormat="1">
      <c r="D16" s="160" t="s">
        <v>3304</v>
      </c>
      <c r="K16" s="160">
        <f>SUM(K18:K29)</f>
        <v>3674.9647403857148</v>
      </c>
      <c r="L16" s="160" t="s">
        <v>3305</v>
      </c>
      <c r="S16" s="173" t="s">
        <v>3306</v>
      </c>
      <c r="T16" s="174" t="s">
        <v>3307</v>
      </c>
      <c r="U16" s="174">
        <v>14</v>
      </c>
      <c r="V16" s="171">
        <f t="shared" si="2"/>
        <v>1.5399999999999998</v>
      </c>
      <c r="W16" s="172">
        <f t="shared" si="0"/>
        <v>1.2089000000000001</v>
      </c>
    </row>
    <row r="17" spans="4:23">
      <c r="D17" s="127" t="s">
        <v>3308</v>
      </c>
      <c r="E17" s="127" t="s">
        <v>3309</v>
      </c>
      <c r="F17" s="127" t="s">
        <v>3310</v>
      </c>
      <c r="G17" s="127" t="s">
        <v>3296</v>
      </c>
      <c r="H17" s="127" t="s">
        <v>3296</v>
      </c>
      <c r="I17" s="127" t="s">
        <v>3311</v>
      </c>
      <c r="S17" s="173" t="s">
        <v>3312</v>
      </c>
      <c r="T17" s="174" t="s">
        <v>3313</v>
      </c>
      <c r="U17" s="174">
        <v>16</v>
      </c>
      <c r="V17" s="171">
        <f t="shared" si="2"/>
        <v>2.0114285714285716</v>
      </c>
      <c r="W17" s="172">
        <f t="shared" si="0"/>
        <v>1.5789714285714285</v>
      </c>
    </row>
    <row r="18" spans="4:23">
      <c r="E18" s="127">
        <v>1.5</v>
      </c>
      <c r="G18" s="127">
        <v>11</v>
      </c>
      <c r="H18" s="127">
        <f>H11</f>
        <v>26</v>
      </c>
      <c r="I18" s="180">
        <f>W17</f>
        <v>1.5789714285714285</v>
      </c>
      <c r="K18" s="127">
        <f>E18*G18*H18*I18</f>
        <v>677.37874285714281</v>
      </c>
      <c r="L18" s="127" t="s">
        <v>93</v>
      </c>
      <c r="S18" s="173" t="s">
        <v>3314</v>
      </c>
      <c r="T18" s="174" t="s">
        <v>3315</v>
      </c>
      <c r="U18" s="174">
        <v>18</v>
      </c>
      <c r="V18" s="171">
        <f t="shared" si="2"/>
        <v>2.5457142857142858</v>
      </c>
      <c r="W18" s="172">
        <f t="shared" si="0"/>
        <v>1.9983857142857142</v>
      </c>
    </row>
    <row r="19" spans="4:23">
      <c r="I19" s="127" t="s">
        <v>3316</v>
      </c>
      <c r="S19" s="173" t="s">
        <v>3317</v>
      </c>
      <c r="T19" s="174" t="s">
        <v>3318</v>
      </c>
      <c r="U19" s="174">
        <v>19</v>
      </c>
      <c r="V19" s="171">
        <f t="shared" si="2"/>
        <v>2.8364285714285713</v>
      </c>
      <c r="W19" s="172">
        <f t="shared" si="0"/>
        <v>2.2265964285714288</v>
      </c>
    </row>
    <row r="20" spans="4:23">
      <c r="F20" s="127">
        <v>1.68</v>
      </c>
      <c r="G20" s="127">
        <v>11</v>
      </c>
      <c r="H20" s="127">
        <f>H18</f>
        <v>26</v>
      </c>
      <c r="I20" s="180">
        <f>W19</f>
        <v>2.2265964285714288</v>
      </c>
      <c r="K20" s="127">
        <f>F20*G20*H20*I20</f>
        <v>1069.8350520000001</v>
      </c>
      <c r="L20" s="127" t="s">
        <v>93</v>
      </c>
      <c r="S20" s="173" t="s">
        <v>3319</v>
      </c>
      <c r="T20" s="174" t="s">
        <v>3320</v>
      </c>
      <c r="U20" s="174">
        <v>20</v>
      </c>
      <c r="V20" s="171">
        <f t="shared" si="2"/>
        <v>3.1428571428571428</v>
      </c>
      <c r="W20" s="172">
        <f t="shared" si="0"/>
        <v>2.4671428571428575</v>
      </c>
    </row>
    <row r="21" spans="4:23">
      <c r="S21" s="173" t="s">
        <v>3321</v>
      </c>
      <c r="T21" s="174" t="s">
        <v>3322</v>
      </c>
      <c r="U21" s="174">
        <v>22</v>
      </c>
      <c r="V21" s="171">
        <f t="shared" si="2"/>
        <v>3.8028571428571434</v>
      </c>
      <c r="W21" s="172">
        <f>7850*22/7*0.25*(U21/1000)^2</f>
        <v>2.9852428571428571</v>
      </c>
    </row>
    <row r="22" spans="4:23">
      <c r="D22" s="127" t="s">
        <v>3323</v>
      </c>
      <c r="E22" s="127" t="s">
        <v>3309</v>
      </c>
      <c r="F22" s="127" t="s">
        <v>3310</v>
      </c>
      <c r="G22" s="127" t="s">
        <v>3296</v>
      </c>
      <c r="H22" s="127" t="s">
        <v>3296</v>
      </c>
      <c r="I22" s="127" t="s">
        <v>3311</v>
      </c>
      <c r="S22" s="173" t="s">
        <v>3324</v>
      </c>
      <c r="T22" s="174" t="s">
        <v>3325</v>
      </c>
      <c r="U22" s="174">
        <v>25</v>
      </c>
      <c r="V22" s="171">
        <f t="shared" si="2"/>
        <v>4.9107142857142856</v>
      </c>
      <c r="W22" s="172">
        <f t="shared" si="0"/>
        <v>3.8549107142857153</v>
      </c>
    </row>
    <row r="23" spans="4:23">
      <c r="E23" s="127">
        <v>2.1</v>
      </c>
      <c r="G23" s="127">
        <v>7</v>
      </c>
      <c r="H23" s="127">
        <f>H18</f>
        <v>26</v>
      </c>
      <c r="I23" s="180">
        <f>I18</f>
        <v>1.5789714285714285</v>
      </c>
      <c r="K23" s="127">
        <f>E23*G23*H23*I23</f>
        <v>603.48288000000002</v>
      </c>
      <c r="L23" s="127" t="s">
        <v>93</v>
      </c>
      <c r="S23" s="173" t="s">
        <v>3326</v>
      </c>
      <c r="T23" s="174" t="s">
        <v>3327</v>
      </c>
      <c r="U23" s="174">
        <v>28</v>
      </c>
      <c r="V23" s="171">
        <f t="shared" si="2"/>
        <v>6.1599999999999993</v>
      </c>
      <c r="W23" s="172">
        <f t="shared" si="0"/>
        <v>4.8356000000000003</v>
      </c>
    </row>
    <row r="24" spans="4:23">
      <c r="I24" s="127" t="s">
        <v>3316</v>
      </c>
      <c r="S24" s="173"/>
      <c r="T24" s="174" t="s">
        <v>3328</v>
      </c>
      <c r="U24" s="174">
        <v>29</v>
      </c>
      <c r="V24" s="171">
        <f t="shared" si="2"/>
        <v>6.6078571428571431</v>
      </c>
      <c r="W24" s="172">
        <f t="shared" si="0"/>
        <v>5.1871678571428577</v>
      </c>
    </row>
    <row r="25" spans="4:23">
      <c r="F25" s="127">
        <v>2.286</v>
      </c>
      <c r="G25" s="127">
        <v>7</v>
      </c>
      <c r="H25" s="127">
        <f>H20</f>
        <v>26</v>
      </c>
      <c r="I25" s="180">
        <f>I20</f>
        <v>2.2265964285714288</v>
      </c>
      <c r="K25" s="127">
        <f>F25*G25*H25*I25</f>
        <v>926.37989730000004</v>
      </c>
      <c r="L25" s="127" t="s">
        <v>93</v>
      </c>
      <c r="S25" s="173" t="s">
        <v>3329</v>
      </c>
      <c r="T25" s="174" t="s">
        <v>3330</v>
      </c>
      <c r="U25" s="174">
        <v>32</v>
      </c>
      <c r="V25" s="171">
        <f t="shared" si="2"/>
        <v>8.0457142857142863</v>
      </c>
      <c r="W25" s="172">
        <f t="shared" si="0"/>
        <v>6.3158857142857139</v>
      </c>
    </row>
    <row r="26" spans="4:23">
      <c r="S26" s="173"/>
      <c r="T26" s="174" t="s">
        <v>3331</v>
      </c>
      <c r="U26" s="174">
        <v>36</v>
      </c>
      <c r="V26" s="171">
        <f t="shared" si="2"/>
        <v>10.182857142857143</v>
      </c>
      <c r="W26" s="172">
        <f t="shared" si="0"/>
        <v>7.9935428571428568</v>
      </c>
    </row>
    <row r="27" spans="4:23">
      <c r="D27" s="127" t="s">
        <v>3332</v>
      </c>
      <c r="S27" s="173"/>
      <c r="T27" s="174" t="s">
        <v>3333</v>
      </c>
      <c r="U27" s="174">
        <v>40</v>
      </c>
      <c r="V27" s="171">
        <f t="shared" si="2"/>
        <v>12.571428571428571</v>
      </c>
      <c r="W27" s="172">
        <f t="shared" si="0"/>
        <v>9.8685714285714301</v>
      </c>
    </row>
    <row r="28" spans="4:23" ht="15" thickBot="1">
      <c r="E28" s="127" t="s">
        <v>3296</v>
      </c>
      <c r="F28" s="127" t="s">
        <v>3334</v>
      </c>
      <c r="G28" s="127" t="s">
        <v>3334</v>
      </c>
      <c r="H28" s="127" t="s">
        <v>3296</v>
      </c>
      <c r="I28" s="127" t="s">
        <v>3311</v>
      </c>
      <c r="S28" s="163"/>
      <c r="T28" s="164" t="s">
        <v>3335</v>
      </c>
      <c r="U28" s="164">
        <v>50</v>
      </c>
      <c r="V28" s="181">
        <f t="shared" si="2"/>
        <v>19.642857142857142</v>
      </c>
      <c r="W28" s="182">
        <f t="shared" si="0"/>
        <v>15.419642857142861</v>
      </c>
    </row>
    <row r="29" spans="4:23">
      <c r="E29" s="127">
        <v>4</v>
      </c>
      <c r="F29" s="127">
        <f>1.52</f>
        <v>1.52</v>
      </c>
      <c r="G29" s="127">
        <v>0.90300000000000002</v>
      </c>
      <c r="H29" s="127">
        <f>H23</f>
        <v>26</v>
      </c>
      <c r="I29" s="180">
        <f>I23</f>
        <v>1.5789714285714285</v>
      </c>
      <c r="K29" s="127">
        <f>(G29+F29)*E29*H29*I29</f>
        <v>397.88816822857143</v>
      </c>
      <c r="L29" s="127" t="s">
        <v>93</v>
      </c>
    </row>
    <row r="32" spans="4:23" s="160" customFormat="1">
      <c r="D32" s="160" t="s">
        <v>3336</v>
      </c>
    </row>
    <row r="33" spans="3:23" s="160" customFormat="1">
      <c r="E33" s="160">
        <f>E11</f>
        <v>1</v>
      </c>
      <c r="F33" s="160">
        <f>F11</f>
        <v>1.6</v>
      </c>
      <c r="G33" s="160">
        <f>G11</f>
        <v>0.5</v>
      </c>
      <c r="H33" s="160">
        <f>H11</f>
        <v>26</v>
      </c>
      <c r="I33" s="160">
        <f>G33*(F33+E33+F33+E33)*H33</f>
        <v>67.600000000000009</v>
      </c>
      <c r="J33" s="160" t="s">
        <v>376</v>
      </c>
    </row>
    <row r="35" spans="3:23" s="160" customFormat="1">
      <c r="C35" s="160" t="s">
        <v>3337</v>
      </c>
      <c r="D35" s="160" t="s">
        <v>3293</v>
      </c>
      <c r="E35" s="160" t="s">
        <v>3294</v>
      </c>
      <c r="F35" s="160" t="s">
        <v>3294</v>
      </c>
      <c r="G35" s="160" t="s">
        <v>3295</v>
      </c>
      <c r="H35" s="160" t="s">
        <v>3296</v>
      </c>
    </row>
    <row r="36" spans="3:23" s="160" customFormat="1">
      <c r="C36" s="183" t="s">
        <v>3338</v>
      </c>
      <c r="E36" s="160">
        <v>1</v>
      </c>
      <c r="F36" s="160">
        <v>1</v>
      </c>
      <c r="G36" s="160">
        <v>0.5</v>
      </c>
      <c r="H36" s="160">
        <f>7+5</f>
        <v>12</v>
      </c>
      <c r="I36" s="160">
        <f>E36*F36*G36*H36</f>
        <v>6</v>
      </c>
      <c r="J36" s="160" t="s">
        <v>375</v>
      </c>
    </row>
    <row r="37" spans="3:23" s="175" customFormat="1">
      <c r="D37" s="175" t="s">
        <v>3268</v>
      </c>
      <c r="E37" s="175">
        <f>E36+0.3</f>
        <v>1.3</v>
      </c>
      <c r="F37" s="175">
        <f>F36+0.3</f>
        <v>1.3</v>
      </c>
      <c r="G37" s="175">
        <v>0.05</v>
      </c>
      <c r="H37" s="175">
        <f>H36</f>
        <v>12</v>
      </c>
      <c r="I37" s="175">
        <f t="shared" ref="I37:I39" si="3">E37*F37*G37*H37</f>
        <v>1.0140000000000002</v>
      </c>
      <c r="J37" s="175" t="s">
        <v>375</v>
      </c>
      <c r="S37" s="184"/>
      <c r="T37" s="184"/>
      <c r="U37" s="184"/>
      <c r="V37" s="185"/>
      <c r="W37" s="185"/>
    </row>
    <row r="38" spans="3:23" s="175" customFormat="1">
      <c r="D38" s="175" t="s">
        <v>3253</v>
      </c>
      <c r="E38" s="175">
        <f>E37</f>
        <v>1.3</v>
      </c>
      <c r="F38" s="175">
        <f>F37</f>
        <v>1.3</v>
      </c>
      <c r="G38" s="175">
        <v>0.1</v>
      </c>
      <c r="H38" s="175">
        <f>H37</f>
        <v>12</v>
      </c>
      <c r="I38" s="175">
        <f t="shared" si="3"/>
        <v>2.0280000000000005</v>
      </c>
      <c r="J38" s="175" t="s">
        <v>375</v>
      </c>
      <c r="S38" s="184"/>
      <c r="T38" s="184"/>
      <c r="U38" s="184"/>
      <c r="V38" s="185"/>
      <c r="W38" s="185"/>
    </row>
    <row r="39" spans="3:23" s="175" customFormat="1">
      <c r="D39" s="175" t="s">
        <v>3301</v>
      </c>
      <c r="E39" s="175">
        <f>E38</f>
        <v>1.3</v>
      </c>
      <c r="F39" s="175">
        <f>F38</f>
        <v>1.3</v>
      </c>
      <c r="G39" s="175">
        <v>1.25</v>
      </c>
      <c r="H39" s="175">
        <f>H38</f>
        <v>12</v>
      </c>
      <c r="I39" s="175">
        <f t="shared" si="3"/>
        <v>25.35</v>
      </c>
      <c r="J39" s="175" t="s">
        <v>375</v>
      </c>
      <c r="S39" s="184"/>
      <c r="T39" s="184"/>
      <c r="U39" s="184"/>
      <c r="V39" s="185"/>
      <c r="W39" s="185"/>
    </row>
    <row r="41" spans="3:23" s="160" customFormat="1">
      <c r="D41" s="160" t="s">
        <v>3304</v>
      </c>
      <c r="K41" s="160">
        <f>SUM(K43:K54)</f>
        <v>1163.2132512000001</v>
      </c>
    </row>
    <row r="42" spans="3:23">
      <c r="D42" s="127" t="s">
        <v>3308</v>
      </c>
      <c r="E42" s="127" t="s">
        <v>3309</v>
      </c>
      <c r="F42" s="127" t="s">
        <v>3310</v>
      </c>
      <c r="G42" s="127" t="s">
        <v>3339</v>
      </c>
      <c r="H42" s="127" t="s">
        <v>3296</v>
      </c>
      <c r="I42" s="127" t="s">
        <v>3311</v>
      </c>
    </row>
    <row r="43" spans="3:23">
      <c r="E43" s="127">
        <v>1.5</v>
      </c>
      <c r="G43" s="127">
        <v>7</v>
      </c>
      <c r="H43" s="127">
        <f>H36</f>
        <v>12</v>
      </c>
      <c r="I43" s="180">
        <f>W17</f>
        <v>1.5789714285714285</v>
      </c>
      <c r="K43" s="127">
        <f>E43*G43*H43*I43</f>
        <v>198.95039999999997</v>
      </c>
      <c r="L43" s="127" t="s">
        <v>93</v>
      </c>
    </row>
    <row r="44" spans="3:23">
      <c r="I44" s="127" t="s">
        <v>3316</v>
      </c>
      <c r="S44" s="186"/>
      <c r="T44" s="186"/>
      <c r="U44" s="186"/>
      <c r="V44" s="187"/>
      <c r="W44" s="188"/>
    </row>
    <row r="45" spans="3:23">
      <c r="F45" s="127">
        <v>1.68</v>
      </c>
      <c r="G45" s="127">
        <v>7</v>
      </c>
      <c r="H45" s="127">
        <f>H43</f>
        <v>12</v>
      </c>
      <c r="I45" s="180">
        <f>W19</f>
        <v>2.2265964285714288</v>
      </c>
      <c r="K45" s="127">
        <f>F45*G45*H45*I45</f>
        <v>314.21728800000005</v>
      </c>
      <c r="L45" s="127" t="s">
        <v>93</v>
      </c>
      <c r="S45" s="186"/>
      <c r="T45" s="186"/>
      <c r="U45" s="186"/>
      <c r="V45" s="187"/>
      <c r="W45" s="188"/>
    </row>
    <row r="47" spans="3:23">
      <c r="D47" s="127" t="s">
        <v>3323</v>
      </c>
      <c r="E47" s="127" t="s">
        <v>3309</v>
      </c>
      <c r="F47" s="127" t="s">
        <v>3310</v>
      </c>
      <c r="G47" s="127" t="s">
        <v>3296</v>
      </c>
      <c r="H47" s="127" t="s">
        <v>3296</v>
      </c>
      <c r="I47" s="127" t="s">
        <v>3311</v>
      </c>
    </row>
    <row r="48" spans="3:23">
      <c r="E48" s="127">
        <v>1.5</v>
      </c>
      <c r="G48" s="127">
        <v>7</v>
      </c>
      <c r="H48" s="127">
        <f>H43</f>
        <v>12</v>
      </c>
      <c r="I48" s="180">
        <f>I43</f>
        <v>1.5789714285714285</v>
      </c>
      <c r="K48" s="127">
        <f>E48*G48*H48*I48</f>
        <v>198.95039999999997</v>
      </c>
      <c r="L48" s="127" t="s">
        <v>93</v>
      </c>
    </row>
    <row r="49" spans="3:23">
      <c r="I49" s="127" t="s">
        <v>3316</v>
      </c>
      <c r="S49" s="186"/>
      <c r="T49" s="186"/>
      <c r="U49" s="186"/>
      <c r="V49" s="187"/>
      <c r="W49" s="188"/>
    </row>
    <row r="50" spans="3:23">
      <c r="F50" s="127">
        <v>1.68</v>
      </c>
      <c r="G50" s="127">
        <v>7</v>
      </c>
      <c r="H50" s="127">
        <f>H48</f>
        <v>12</v>
      </c>
      <c r="I50" s="180">
        <f>I45</f>
        <v>2.2265964285714288</v>
      </c>
      <c r="K50" s="127">
        <f>F50*G50*H50*I50</f>
        <v>314.21728800000005</v>
      </c>
      <c r="L50" s="127" t="s">
        <v>93</v>
      </c>
      <c r="S50" s="186"/>
      <c r="T50" s="186"/>
      <c r="U50" s="186"/>
      <c r="V50" s="187"/>
      <c r="W50" s="188"/>
    </row>
    <row r="52" spans="3:23">
      <c r="D52" s="127" t="s">
        <v>3332</v>
      </c>
    </row>
    <row r="53" spans="3:23">
      <c r="E53" s="127" t="s">
        <v>3296</v>
      </c>
      <c r="F53" s="127" t="s">
        <v>3334</v>
      </c>
      <c r="G53" s="127" t="s">
        <v>3334</v>
      </c>
      <c r="H53" s="127" t="s">
        <v>3296</v>
      </c>
      <c r="I53" s="127" t="s">
        <v>3311</v>
      </c>
    </row>
    <row r="54" spans="3:23">
      <c r="E54" s="127">
        <v>4</v>
      </c>
      <c r="F54" s="127">
        <v>0.90300000000000002</v>
      </c>
      <c r="G54" s="127">
        <v>0.90300000000000002</v>
      </c>
      <c r="H54" s="127">
        <f>H48</f>
        <v>12</v>
      </c>
      <c r="I54" s="180">
        <f>I48</f>
        <v>1.5789714285714285</v>
      </c>
      <c r="K54" s="127">
        <f>(G54+F54)*E54*H54*I54</f>
        <v>136.87787520000001</v>
      </c>
      <c r="L54" s="127" t="s">
        <v>93</v>
      </c>
    </row>
    <row r="57" spans="3:23" s="160" customFormat="1">
      <c r="D57" s="160" t="s">
        <v>3336</v>
      </c>
    </row>
    <row r="58" spans="3:23" s="160" customFormat="1">
      <c r="E58" s="160">
        <f>E36</f>
        <v>1</v>
      </c>
      <c r="F58" s="160">
        <f t="shared" ref="F58:H58" si="4">F36</f>
        <v>1</v>
      </c>
      <c r="G58" s="160">
        <f t="shared" si="4"/>
        <v>0.5</v>
      </c>
      <c r="H58" s="160">
        <f t="shared" si="4"/>
        <v>12</v>
      </c>
      <c r="I58" s="160">
        <f>G58*(F58+E58+F58+E58)*H58</f>
        <v>24</v>
      </c>
      <c r="J58" s="160" t="s">
        <v>376</v>
      </c>
    </row>
    <row r="60" spans="3:23" s="160" customFormat="1">
      <c r="C60" s="160" t="s">
        <v>3340</v>
      </c>
      <c r="D60" s="160" t="s">
        <v>3293</v>
      </c>
      <c r="E60" s="160" t="s">
        <v>3294</v>
      </c>
      <c r="F60" s="160" t="s">
        <v>3294</v>
      </c>
      <c r="G60" s="160" t="s">
        <v>3295</v>
      </c>
      <c r="H60" s="160" t="s">
        <v>3296</v>
      </c>
    </row>
    <row r="61" spans="3:23" s="160" customFormat="1">
      <c r="E61" s="160">
        <v>1.5</v>
      </c>
      <c r="F61" s="160">
        <v>1.5</v>
      </c>
      <c r="G61" s="160">
        <v>0.25</v>
      </c>
      <c r="H61" s="160">
        <v>2</v>
      </c>
      <c r="I61" s="160">
        <f>E61*F61*G61*H61</f>
        <v>1.125</v>
      </c>
      <c r="J61" s="160" t="s">
        <v>375</v>
      </c>
    </row>
    <row r="62" spans="3:23" s="175" customFormat="1">
      <c r="D62" s="175" t="s">
        <v>3268</v>
      </c>
      <c r="E62" s="175">
        <f>E61+0.3</f>
        <v>1.8</v>
      </c>
      <c r="F62" s="175">
        <f>F61+0.3</f>
        <v>1.8</v>
      </c>
      <c r="G62" s="175">
        <v>0.05</v>
      </c>
      <c r="H62" s="175">
        <f>H61</f>
        <v>2</v>
      </c>
      <c r="I62" s="175">
        <f t="shared" ref="I62:I64" si="5">E62*F62*G62*H62</f>
        <v>0.32400000000000007</v>
      </c>
      <c r="J62" s="175" t="s">
        <v>375</v>
      </c>
      <c r="S62" s="184"/>
      <c r="T62" s="184"/>
      <c r="U62" s="184"/>
      <c r="V62" s="185"/>
      <c r="W62" s="185"/>
    </row>
    <row r="63" spans="3:23" s="175" customFormat="1">
      <c r="D63" s="175" t="s">
        <v>3253</v>
      </c>
      <c r="E63" s="175">
        <f>E62</f>
        <v>1.8</v>
      </c>
      <c r="F63" s="175">
        <f>F62</f>
        <v>1.8</v>
      </c>
      <c r="G63" s="175">
        <v>0.1</v>
      </c>
      <c r="H63" s="175">
        <f>H62</f>
        <v>2</v>
      </c>
      <c r="I63" s="175">
        <f t="shared" si="5"/>
        <v>0.64800000000000013</v>
      </c>
      <c r="J63" s="175" t="s">
        <v>375</v>
      </c>
      <c r="S63" s="184"/>
      <c r="T63" s="184"/>
      <c r="U63" s="184"/>
      <c r="V63" s="185"/>
      <c r="W63" s="185"/>
    </row>
    <row r="64" spans="3:23" s="175" customFormat="1">
      <c r="D64" s="175" t="s">
        <v>3301</v>
      </c>
      <c r="E64" s="175">
        <f>E63</f>
        <v>1.8</v>
      </c>
      <c r="F64" s="175">
        <f>F63</f>
        <v>1.8</v>
      </c>
      <c r="G64" s="175">
        <v>1.25</v>
      </c>
      <c r="H64" s="175">
        <f>H63</f>
        <v>2</v>
      </c>
      <c r="I64" s="175">
        <f t="shared" si="5"/>
        <v>8.1000000000000014</v>
      </c>
      <c r="J64" s="175" t="s">
        <v>375</v>
      </c>
      <c r="S64" s="184"/>
      <c r="T64" s="184"/>
      <c r="U64" s="184"/>
      <c r="V64" s="185"/>
      <c r="W64" s="185"/>
    </row>
    <row r="66" spans="4:23" s="160" customFormat="1">
      <c r="D66" s="160" t="s">
        <v>3304</v>
      </c>
      <c r="K66" s="160">
        <f>SUM(K68:K79)</f>
        <v>138.5579008</v>
      </c>
    </row>
    <row r="67" spans="4:23">
      <c r="D67" s="127" t="s">
        <v>3308</v>
      </c>
      <c r="E67" s="127" t="s">
        <v>3309</v>
      </c>
      <c r="F67" s="127" t="s">
        <v>3310</v>
      </c>
      <c r="G67" s="127" t="s">
        <v>3296</v>
      </c>
      <c r="H67" s="127" t="s">
        <v>3296</v>
      </c>
      <c r="I67" s="127" t="s">
        <v>3341</v>
      </c>
    </row>
    <row r="68" spans="4:23">
      <c r="E68" s="127">
        <v>1.6</v>
      </c>
      <c r="G68" s="127">
        <v>8</v>
      </c>
      <c r="H68" s="127">
        <f>H61</f>
        <v>2</v>
      </c>
      <c r="I68" s="180">
        <f>W15</f>
        <v>1.0423678571428572</v>
      </c>
      <c r="K68" s="127">
        <f>E68*G68*H68*I68</f>
        <v>26.684617142857146</v>
      </c>
      <c r="L68" s="127" t="s">
        <v>93</v>
      </c>
    </row>
    <row r="69" spans="4:23">
      <c r="I69" s="127" t="s">
        <v>3311</v>
      </c>
      <c r="S69" s="186"/>
      <c r="T69" s="186"/>
      <c r="U69" s="186"/>
      <c r="V69" s="187"/>
      <c r="W69" s="188"/>
    </row>
    <row r="70" spans="4:23">
      <c r="F70" s="127">
        <v>1.6859999999999999</v>
      </c>
      <c r="G70" s="127">
        <v>8</v>
      </c>
      <c r="H70" s="127">
        <f>H68</f>
        <v>2</v>
      </c>
      <c r="I70" s="180">
        <f>I54</f>
        <v>1.5789714285714285</v>
      </c>
      <c r="K70" s="127">
        <f>F70*G70*H70*I70</f>
        <v>42.59433325714285</v>
      </c>
      <c r="L70" s="127" t="s">
        <v>93</v>
      </c>
      <c r="S70" s="186"/>
      <c r="T70" s="186"/>
      <c r="U70" s="186"/>
      <c r="V70" s="187"/>
      <c r="W70" s="188"/>
    </row>
    <row r="72" spans="4:23">
      <c r="D72" s="127" t="s">
        <v>3323</v>
      </c>
      <c r="E72" s="127" t="s">
        <v>3309</v>
      </c>
      <c r="F72" s="127" t="s">
        <v>3310</v>
      </c>
      <c r="G72" s="127" t="s">
        <v>3296</v>
      </c>
      <c r="H72" s="127" t="s">
        <v>3296</v>
      </c>
      <c r="I72" s="127" t="s">
        <v>3341</v>
      </c>
    </row>
    <row r="73" spans="4:23">
      <c r="E73" s="127">
        <v>1.6</v>
      </c>
      <c r="G73" s="127">
        <v>8</v>
      </c>
      <c r="H73" s="127">
        <f>H68</f>
        <v>2</v>
      </c>
      <c r="I73" s="180">
        <f>I68</f>
        <v>1.0423678571428572</v>
      </c>
      <c r="K73" s="127">
        <f>E73*G73*H73*I73</f>
        <v>26.684617142857146</v>
      </c>
      <c r="L73" s="127" t="s">
        <v>93</v>
      </c>
    </row>
    <row r="74" spans="4:23">
      <c r="I74" s="127" t="s">
        <v>3311</v>
      </c>
      <c r="S74" s="186"/>
      <c r="T74" s="186"/>
      <c r="U74" s="186"/>
      <c r="V74" s="187"/>
      <c r="W74" s="188"/>
    </row>
    <row r="75" spans="4:23">
      <c r="F75" s="127">
        <v>1.6859999999999999</v>
      </c>
      <c r="G75" s="127">
        <v>8</v>
      </c>
      <c r="H75" s="127">
        <f>H73</f>
        <v>2</v>
      </c>
      <c r="I75" s="180">
        <f>I70</f>
        <v>1.5789714285714285</v>
      </c>
      <c r="K75" s="127">
        <f>F75*G75*H75*I75</f>
        <v>42.59433325714285</v>
      </c>
      <c r="L75" s="127" t="s">
        <v>93</v>
      </c>
      <c r="S75" s="186"/>
      <c r="T75" s="186"/>
      <c r="U75" s="186"/>
      <c r="V75" s="187"/>
      <c r="W75" s="188"/>
    </row>
    <row r="77" spans="4:23">
      <c r="D77" s="127" t="s">
        <v>3332</v>
      </c>
    </row>
    <row r="78" spans="4:23">
      <c r="E78" s="127" t="s">
        <v>3296</v>
      </c>
      <c r="F78" s="127" t="s">
        <v>3334</v>
      </c>
      <c r="G78" s="127" t="s">
        <v>3334</v>
      </c>
      <c r="H78" s="127" t="s">
        <v>3296</v>
      </c>
      <c r="I78" s="127" t="s">
        <v>3311</v>
      </c>
    </row>
    <row r="79" spans="4:23">
      <c r="I79" s="180"/>
      <c r="K79" s="127">
        <f>(G79+F79)*E79*H79*I79</f>
        <v>0</v>
      </c>
      <c r="L79" s="127" t="s">
        <v>93</v>
      </c>
    </row>
    <row r="82" spans="2:11" s="160" customFormat="1">
      <c r="D82" s="160" t="s">
        <v>3336</v>
      </c>
    </row>
    <row r="83" spans="2:11" s="160" customFormat="1">
      <c r="E83" s="160">
        <f>E61</f>
        <v>1.5</v>
      </c>
      <c r="F83" s="160">
        <f t="shared" ref="F83:H83" si="6">F61</f>
        <v>1.5</v>
      </c>
      <c r="G83" s="160">
        <f t="shared" si="6"/>
        <v>0.25</v>
      </c>
      <c r="H83" s="160">
        <f t="shared" si="6"/>
        <v>2</v>
      </c>
      <c r="I83" s="160">
        <f>G83*(F83+E83+F83+E83)*H83</f>
        <v>3</v>
      </c>
      <c r="J83" s="160" t="s">
        <v>376</v>
      </c>
    </row>
    <row r="85" spans="2:11" s="160" customFormat="1">
      <c r="B85" s="160" t="s">
        <v>3270</v>
      </c>
      <c r="C85" s="160" t="s">
        <v>3342</v>
      </c>
    </row>
    <row r="86" spans="2:11" s="160" customFormat="1">
      <c r="C86" s="160" t="s">
        <v>3343</v>
      </c>
      <c r="D86" s="160" t="s">
        <v>3293</v>
      </c>
      <c r="E86" s="160" t="s">
        <v>3294</v>
      </c>
      <c r="F86" s="160" t="s">
        <v>3344</v>
      </c>
      <c r="G86" s="160" t="s">
        <v>3345</v>
      </c>
    </row>
    <row r="87" spans="2:11" s="160" customFormat="1">
      <c r="E87" s="160">
        <v>0.25</v>
      </c>
      <c r="F87" s="160">
        <v>0.5</v>
      </c>
      <c r="G87" s="160">
        <f>9.6+(7.5*13)+2.56+6.03+5.3+3.5+2</f>
        <v>126.49</v>
      </c>
      <c r="H87" s="160">
        <f>E87*F87*G87</f>
        <v>15.811249999999999</v>
      </c>
      <c r="I87" s="160" t="s">
        <v>375</v>
      </c>
    </row>
    <row r="89" spans="2:11" s="160" customFormat="1">
      <c r="D89" s="160" t="s">
        <v>3346</v>
      </c>
      <c r="E89" s="160" t="s">
        <v>3345</v>
      </c>
      <c r="F89" s="160" t="s">
        <v>3296</v>
      </c>
      <c r="G89" s="160" t="s">
        <v>3316</v>
      </c>
    </row>
    <row r="90" spans="2:11" s="160" customFormat="1">
      <c r="E90" s="160">
        <f>G87</f>
        <v>126.49</v>
      </c>
      <c r="F90" s="160">
        <v>10</v>
      </c>
      <c r="G90" s="189">
        <f>W19</f>
        <v>2.2265964285714288</v>
      </c>
      <c r="H90" s="160">
        <f>E90*F90*G90</f>
        <v>2816.4218225</v>
      </c>
      <c r="I90" s="160" t="s">
        <v>93</v>
      </c>
      <c r="J90" s="160">
        <f>SUM(H90:H102)</f>
        <v>4011.6079179999997</v>
      </c>
      <c r="K90" s="160" t="s">
        <v>3305</v>
      </c>
    </row>
    <row r="92" spans="2:11">
      <c r="D92" s="127" t="s">
        <v>3347</v>
      </c>
      <c r="E92" s="127" t="s">
        <v>3345</v>
      </c>
      <c r="F92" s="127" t="s">
        <v>3296</v>
      </c>
      <c r="G92" s="127" t="s">
        <v>3341</v>
      </c>
    </row>
    <row r="93" spans="2:11">
      <c r="E93" s="127">
        <f>G87</f>
        <v>126.49</v>
      </c>
      <c r="F93" s="127">
        <v>2</v>
      </c>
      <c r="G93" s="180">
        <f>W15</f>
        <v>1.0423678571428572</v>
      </c>
      <c r="H93" s="127">
        <f>E93*F93*G93</f>
        <v>263.69822049999999</v>
      </c>
      <c r="I93" s="127" t="s">
        <v>93</v>
      </c>
    </row>
    <row r="95" spans="2:11">
      <c r="D95" s="127" t="s">
        <v>3348</v>
      </c>
      <c r="E95" s="127" t="s">
        <v>3345</v>
      </c>
      <c r="F95" s="127" t="s">
        <v>3296</v>
      </c>
      <c r="G95" s="127" t="s">
        <v>3349</v>
      </c>
    </row>
    <row r="96" spans="2:11">
      <c r="E96" s="127">
        <f>(E87-0.04)+(F87-0.04)*2</f>
        <v>1.1300000000000001</v>
      </c>
      <c r="F96" s="127">
        <f>ROUNDUP(G87/2/0.09,0)</f>
        <v>703</v>
      </c>
      <c r="G96" s="180">
        <f>W10</f>
        <v>0.61678571428571438</v>
      </c>
      <c r="H96" s="127">
        <f>E96*F96*G96</f>
        <v>489.96840357142872</v>
      </c>
      <c r="I96" s="127" t="s">
        <v>93</v>
      </c>
    </row>
    <row r="98" spans="3:9">
      <c r="D98" s="127" t="s">
        <v>3350</v>
      </c>
      <c r="E98" s="127" t="s">
        <v>3345</v>
      </c>
      <c r="F98" s="127" t="s">
        <v>3296</v>
      </c>
      <c r="G98" s="127" t="s">
        <v>3349</v>
      </c>
    </row>
    <row r="99" spans="3:9">
      <c r="E99" s="127">
        <f>(E87-0.04)+(F87-0.04)*2</f>
        <v>1.1300000000000001</v>
      </c>
      <c r="F99" s="127">
        <f>ROUNDUP(G87/2/0.14,0)</f>
        <v>452</v>
      </c>
      <c r="G99" s="180">
        <f>G96</f>
        <v>0.61678571428571438</v>
      </c>
      <c r="H99" s="127">
        <f>E99*F99*G99</f>
        <v>315.02947142857153</v>
      </c>
      <c r="I99" s="127" t="s">
        <v>93</v>
      </c>
    </row>
    <row r="101" spans="3:9" s="160" customFormat="1">
      <c r="D101" s="160" t="s">
        <v>3351</v>
      </c>
      <c r="E101" s="160" t="s">
        <v>3294</v>
      </c>
      <c r="F101" s="160" t="s">
        <v>3344</v>
      </c>
      <c r="G101" s="160" t="s">
        <v>3345</v>
      </c>
    </row>
    <row r="102" spans="3:9" s="160" customFormat="1">
      <c r="E102" s="160">
        <f>E87</f>
        <v>0.25</v>
      </c>
      <c r="F102" s="160">
        <f t="shared" ref="F102:G102" si="7">F87</f>
        <v>0.5</v>
      </c>
      <c r="G102" s="160">
        <f t="shared" si="7"/>
        <v>126.49</v>
      </c>
      <c r="H102" s="160">
        <f>(F102+F102)*G102</f>
        <v>126.49</v>
      </c>
      <c r="I102" s="160" t="s">
        <v>376</v>
      </c>
    </row>
    <row r="104" spans="3:9" s="160" customFormat="1">
      <c r="C104" s="160" t="s">
        <v>3352</v>
      </c>
      <c r="D104" s="160" t="s">
        <v>3353</v>
      </c>
    </row>
    <row r="105" spans="3:9">
      <c r="C105" s="190" t="s">
        <v>3354</v>
      </c>
      <c r="D105" s="127" t="s">
        <v>53</v>
      </c>
      <c r="E105" s="127">
        <f>38.5+23.4</f>
        <v>61.9</v>
      </c>
      <c r="F105" s="127">
        <f>SUM(E105:E111)</f>
        <v>169.23</v>
      </c>
      <c r="G105" s="127" t="s">
        <v>113</v>
      </c>
    </row>
    <row r="106" spans="3:9">
      <c r="C106" s="190" t="s">
        <v>3354</v>
      </c>
      <c r="D106" s="127" t="s">
        <v>65</v>
      </c>
      <c r="E106" s="127">
        <f>44.2+17.6</f>
        <v>61.800000000000004</v>
      </c>
    </row>
    <row r="107" spans="3:9">
      <c r="C107" s="190" t="s">
        <v>3354</v>
      </c>
      <c r="D107" s="127" t="s">
        <v>68</v>
      </c>
      <c r="E107" s="127">
        <f>11.6+5.68</f>
        <v>17.28</v>
      </c>
    </row>
    <row r="108" spans="3:9">
      <c r="C108" s="190"/>
      <c r="D108" s="127" t="s">
        <v>3355</v>
      </c>
      <c r="E108" s="127">
        <f>3.6</f>
        <v>3.6</v>
      </c>
    </row>
    <row r="109" spans="3:9">
      <c r="C109" s="190"/>
      <c r="D109" s="127" t="s">
        <v>3355</v>
      </c>
      <c r="E109" s="127">
        <f t="shared" ref="E109:E110" si="8">3.6</f>
        <v>3.6</v>
      </c>
    </row>
    <row r="110" spans="3:9">
      <c r="C110" s="190"/>
      <c r="D110" s="127" t="s">
        <v>3355</v>
      </c>
      <c r="E110" s="127">
        <f t="shared" si="8"/>
        <v>3.6</v>
      </c>
    </row>
    <row r="111" spans="3:9">
      <c r="D111" s="127" t="s">
        <v>3355</v>
      </c>
      <c r="E111" s="127">
        <f>3.6+4.2+3.75*2+2.15</f>
        <v>17.45</v>
      </c>
    </row>
    <row r="112" spans="3:9" s="160" customFormat="1">
      <c r="D112" s="160" t="s">
        <v>3293</v>
      </c>
      <c r="E112" s="160" t="s">
        <v>3294</v>
      </c>
      <c r="F112" s="160" t="s">
        <v>3344</v>
      </c>
      <c r="G112" s="160" t="s">
        <v>3345</v>
      </c>
    </row>
    <row r="113" spans="4:11" s="160" customFormat="1">
      <c r="E113" s="160">
        <v>0.25</v>
      </c>
      <c r="F113" s="160">
        <v>0.4</v>
      </c>
      <c r="G113" s="160">
        <f>F105</f>
        <v>169.23</v>
      </c>
      <c r="H113" s="160">
        <f>E113*F113*G113</f>
        <v>16.922999999999998</v>
      </c>
      <c r="I113" s="160" t="s">
        <v>375</v>
      </c>
    </row>
    <row r="115" spans="4:11" s="160" customFormat="1">
      <c r="D115" s="160" t="s">
        <v>3346</v>
      </c>
      <c r="E115" s="160" t="s">
        <v>3345</v>
      </c>
      <c r="F115" s="160" t="s">
        <v>3296</v>
      </c>
      <c r="G115" s="160" t="s">
        <v>3341</v>
      </c>
    </row>
    <row r="116" spans="4:11" s="160" customFormat="1">
      <c r="E116" s="160">
        <f>G113</f>
        <v>169.23</v>
      </c>
      <c r="F116" s="160">
        <v>6</v>
      </c>
      <c r="G116" s="189">
        <f>G93</f>
        <v>1.0423678571428572</v>
      </c>
      <c r="H116" s="160">
        <f>E116*F116*G116</f>
        <v>1058.3994747857141</v>
      </c>
      <c r="I116" s="160" t="s">
        <v>93</v>
      </c>
      <c r="J116" s="160">
        <f>SUM(H116:H125)</f>
        <v>2382.8958497142858</v>
      </c>
      <c r="K116" s="160" t="s">
        <v>3305</v>
      </c>
    </row>
    <row r="118" spans="4:11">
      <c r="D118" s="127" t="s">
        <v>3347</v>
      </c>
      <c r="E118" s="127" t="s">
        <v>3345</v>
      </c>
      <c r="F118" s="127" t="s">
        <v>3296</v>
      </c>
      <c r="G118" s="127" t="s">
        <v>3341</v>
      </c>
    </row>
    <row r="119" spans="4:11">
      <c r="E119" s="127">
        <f>G113</f>
        <v>169.23</v>
      </c>
      <c r="F119" s="127">
        <v>2</v>
      </c>
      <c r="G119" s="180">
        <f>G116</f>
        <v>1.0423678571428572</v>
      </c>
      <c r="H119" s="127">
        <f>E119*F119*G119</f>
        <v>352.79982492857141</v>
      </c>
      <c r="I119" s="127" t="s">
        <v>93</v>
      </c>
    </row>
    <row r="121" spans="4:11">
      <c r="D121" s="127" t="s">
        <v>3348</v>
      </c>
      <c r="E121" s="127" t="s">
        <v>3345</v>
      </c>
      <c r="F121" s="127" t="s">
        <v>3296</v>
      </c>
      <c r="G121" s="127" t="s">
        <v>3349</v>
      </c>
    </row>
    <row r="122" spans="4:11">
      <c r="E122" s="127">
        <f>(E113-0.04)+(F113-0.04)*2</f>
        <v>0.93</v>
      </c>
      <c r="F122" s="127">
        <f>ROUNDUP(G113/2/0.075,0)</f>
        <v>1129</v>
      </c>
      <c r="G122" s="180">
        <f>G99</f>
        <v>0.61678571428571438</v>
      </c>
      <c r="H122" s="127">
        <f>E122*F122*G122</f>
        <v>647.60649642857152</v>
      </c>
      <c r="I122" s="127" t="s">
        <v>93</v>
      </c>
    </row>
    <row r="124" spans="4:11">
      <c r="D124" s="127" t="s">
        <v>3350</v>
      </c>
      <c r="E124" s="127" t="s">
        <v>3345</v>
      </c>
      <c r="F124" s="127" t="s">
        <v>3296</v>
      </c>
      <c r="G124" s="127" t="s">
        <v>3349</v>
      </c>
    </row>
    <row r="125" spans="4:11">
      <c r="E125" s="127">
        <f>(E113-0.04)+(F113-0.04)*2</f>
        <v>0.93</v>
      </c>
      <c r="F125" s="127">
        <f>ROUNDUP(G113/2/0.15,0)</f>
        <v>565</v>
      </c>
      <c r="G125" s="180">
        <f>G122</f>
        <v>0.61678571428571438</v>
      </c>
      <c r="H125" s="127">
        <f>E125*F125*G125</f>
        <v>324.09005357142865</v>
      </c>
      <c r="I125" s="127" t="s">
        <v>93</v>
      </c>
    </row>
    <row r="127" spans="4:11" s="160" customFormat="1">
      <c r="D127" s="160" t="s">
        <v>3351</v>
      </c>
      <c r="E127" s="160" t="s">
        <v>3294</v>
      </c>
      <c r="F127" s="160" t="s">
        <v>3344</v>
      </c>
      <c r="G127" s="160" t="s">
        <v>3345</v>
      </c>
    </row>
    <row r="128" spans="4:11" s="160" customFormat="1">
      <c r="E128" s="160">
        <f>E113</f>
        <v>0.25</v>
      </c>
      <c r="F128" s="160">
        <f t="shared" ref="F128:G128" si="9">F113</f>
        <v>0.4</v>
      </c>
      <c r="G128" s="160">
        <f t="shared" si="9"/>
        <v>169.23</v>
      </c>
      <c r="H128" s="160">
        <f>(F128+F128)*G128</f>
        <v>135.38399999999999</v>
      </c>
      <c r="I128" s="160" t="s">
        <v>376</v>
      </c>
    </row>
    <row r="130" spans="3:11" s="160" customFormat="1">
      <c r="C130" s="160" t="s">
        <v>3356</v>
      </c>
      <c r="D130" s="160" t="s">
        <v>3353</v>
      </c>
    </row>
    <row r="131" spans="3:11">
      <c r="C131" s="190" t="s">
        <v>3354</v>
      </c>
      <c r="D131" s="127" t="s">
        <v>3357</v>
      </c>
      <c r="E131" s="127">
        <v>5.75</v>
      </c>
      <c r="F131" s="127">
        <f>SUM(E131:E136)</f>
        <v>74.710000000000008</v>
      </c>
      <c r="G131" s="127" t="s">
        <v>113</v>
      </c>
    </row>
    <row r="132" spans="3:11">
      <c r="C132" s="190" t="s">
        <v>3354</v>
      </c>
      <c r="D132" s="127" t="s">
        <v>3358</v>
      </c>
      <c r="E132" s="127">
        <v>28.1</v>
      </c>
    </row>
    <row r="133" spans="3:11">
      <c r="C133" s="190" t="s">
        <v>3354</v>
      </c>
      <c r="D133" s="127" t="s">
        <v>3359</v>
      </c>
      <c r="E133" s="127">
        <f>2.9*2</f>
        <v>5.8</v>
      </c>
    </row>
    <row r="134" spans="3:11">
      <c r="C134" s="190"/>
      <c r="D134" s="127" t="s">
        <v>3360</v>
      </c>
      <c r="E134" s="127">
        <f>5.9+7.2</f>
        <v>13.100000000000001</v>
      </c>
    </row>
    <row r="135" spans="3:11">
      <c r="C135" s="190"/>
      <c r="D135" s="127" t="s">
        <v>3359</v>
      </c>
      <c r="E135" s="127">
        <f>1.7*3</f>
        <v>5.0999999999999996</v>
      </c>
    </row>
    <row r="136" spans="3:11">
      <c r="D136" s="127" t="s">
        <v>3361</v>
      </c>
      <c r="E136" s="127">
        <f>2.56+4.2+3.3+6.8</f>
        <v>16.86</v>
      </c>
    </row>
    <row r="137" spans="3:11" s="160" customFormat="1">
      <c r="D137" s="160" t="s">
        <v>3293</v>
      </c>
      <c r="E137" s="160" t="s">
        <v>3294</v>
      </c>
      <c r="F137" s="160" t="s">
        <v>3344</v>
      </c>
      <c r="G137" s="160" t="s">
        <v>3345</v>
      </c>
    </row>
    <row r="138" spans="3:11" s="160" customFormat="1">
      <c r="E138" s="160">
        <v>0.15</v>
      </c>
      <c r="F138" s="160">
        <v>0.2</v>
      </c>
      <c r="G138" s="160">
        <f>F131</f>
        <v>74.710000000000008</v>
      </c>
      <c r="H138" s="160">
        <f>E138*F138*G138</f>
        <v>2.2413000000000003</v>
      </c>
      <c r="I138" s="160" t="s">
        <v>375</v>
      </c>
    </row>
    <row r="140" spans="3:11" s="160" customFormat="1">
      <c r="D140" s="160" t="s">
        <v>3346</v>
      </c>
      <c r="E140" s="160" t="s">
        <v>3345</v>
      </c>
      <c r="F140" s="160" t="s">
        <v>3296</v>
      </c>
      <c r="G140" s="160" t="s">
        <v>3362</v>
      </c>
    </row>
    <row r="141" spans="3:11" s="160" customFormat="1">
      <c r="E141" s="160">
        <f>G138</f>
        <v>74.710000000000008</v>
      </c>
      <c r="F141" s="160">
        <v>4</v>
      </c>
      <c r="G141" s="189">
        <f>G125</f>
        <v>0.61678571428571438</v>
      </c>
      <c r="H141" s="160">
        <f>E141*F141*G141</f>
        <v>184.32024285714292</v>
      </c>
      <c r="I141" s="160" t="s">
        <v>93</v>
      </c>
      <c r="J141" s="160">
        <f>SUM(H141:H150)</f>
        <v>269.18995714285722</v>
      </c>
      <c r="K141" s="160" t="s">
        <v>3305</v>
      </c>
    </row>
    <row r="143" spans="3:11">
      <c r="D143" s="127" t="s">
        <v>3347</v>
      </c>
      <c r="E143" s="127" t="s">
        <v>3345</v>
      </c>
      <c r="F143" s="127" t="s">
        <v>3296</v>
      </c>
      <c r="G143" s="127" t="s">
        <v>3341</v>
      </c>
    </row>
    <row r="144" spans="3:11">
      <c r="E144" s="127">
        <f>G138</f>
        <v>74.710000000000008</v>
      </c>
      <c r="F144" s="127">
        <v>0</v>
      </c>
      <c r="G144" s="127">
        <v>0</v>
      </c>
      <c r="H144" s="127">
        <f>E144*F144*G144</f>
        <v>0</v>
      </c>
      <c r="I144" s="127" t="s">
        <v>93</v>
      </c>
    </row>
    <row r="146" spans="3:9">
      <c r="D146" s="127" t="s">
        <v>3348</v>
      </c>
      <c r="E146" s="127" t="s">
        <v>3345</v>
      </c>
      <c r="F146" s="127" t="s">
        <v>3296</v>
      </c>
      <c r="G146" s="127" t="s">
        <v>3363</v>
      </c>
    </row>
    <row r="147" spans="3:9">
      <c r="E147" s="127">
        <f>(E138-0.04)+(F138-0.04)*2</f>
        <v>0.43</v>
      </c>
      <c r="F147" s="127">
        <f>ROUNDUP(G138/2/0.15,0)</f>
        <v>250</v>
      </c>
      <c r="G147" s="180">
        <f>W8</f>
        <v>0.39474285714285712</v>
      </c>
      <c r="H147" s="127">
        <f>E147*F147*G147</f>
        <v>42.43485714285714</v>
      </c>
      <c r="I147" s="127" t="s">
        <v>93</v>
      </c>
    </row>
    <row r="149" spans="3:9">
      <c r="D149" s="127" t="s">
        <v>3350</v>
      </c>
      <c r="E149" s="127" t="s">
        <v>3345</v>
      </c>
      <c r="F149" s="127" t="s">
        <v>3296</v>
      </c>
      <c r="G149" s="127" t="s">
        <v>3363</v>
      </c>
    </row>
    <row r="150" spans="3:9">
      <c r="E150" s="127">
        <f>(E138-0.04)+(F138-0.04)*2</f>
        <v>0.43</v>
      </c>
      <c r="F150" s="127">
        <f>ROUNDUP(G138/2/0.15,0)</f>
        <v>250</v>
      </c>
      <c r="G150" s="180">
        <f>G147</f>
        <v>0.39474285714285712</v>
      </c>
      <c r="H150" s="127">
        <f>E150*F150*G150</f>
        <v>42.43485714285714</v>
      </c>
      <c r="I150" s="127" t="s">
        <v>93</v>
      </c>
    </row>
    <row r="152" spans="3:9" s="160" customFormat="1">
      <c r="D152" s="160" t="s">
        <v>3351</v>
      </c>
      <c r="E152" s="160" t="s">
        <v>3294</v>
      </c>
      <c r="F152" s="160" t="s">
        <v>3344</v>
      </c>
      <c r="G152" s="160" t="s">
        <v>3345</v>
      </c>
    </row>
    <row r="153" spans="3:9" s="160" customFormat="1">
      <c r="E153" s="160">
        <f>E138</f>
        <v>0.15</v>
      </c>
      <c r="F153" s="160">
        <f t="shared" ref="F153:G153" si="10">F138</f>
        <v>0.2</v>
      </c>
      <c r="G153" s="160">
        <f t="shared" si="10"/>
        <v>74.710000000000008</v>
      </c>
      <c r="H153" s="160">
        <f>(F153+F153)*G153</f>
        <v>29.884000000000004</v>
      </c>
      <c r="I153" s="160" t="s">
        <v>376</v>
      </c>
    </row>
    <row r="157" spans="3:9">
      <c r="C157" s="127" t="s">
        <v>3364</v>
      </c>
      <c r="D157" s="127">
        <f>G87</f>
        <v>126.49</v>
      </c>
      <c r="E157" s="127" t="s">
        <v>113</v>
      </c>
      <c r="F157" s="127" t="s">
        <v>3365</v>
      </c>
      <c r="G157" s="127">
        <v>24</v>
      </c>
      <c r="H157" s="127" t="s">
        <v>113</v>
      </c>
    </row>
    <row r="158" spans="3:9">
      <c r="C158" s="127" t="s">
        <v>3366</v>
      </c>
      <c r="D158" s="127">
        <f>F105</f>
        <v>169.23</v>
      </c>
      <c r="E158" s="127" t="s">
        <v>113</v>
      </c>
    </row>
    <row r="159" spans="3:9">
      <c r="C159" s="127" t="s">
        <v>3367</v>
      </c>
      <c r="D159" s="127">
        <f>F131</f>
        <v>74.710000000000008</v>
      </c>
      <c r="E159" s="127" t="s">
        <v>113</v>
      </c>
    </row>
    <row r="160" spans="3:9">
      <c r="C160" s="190" t="s">
        <v>3368</v>
      </c>
      <c r="D160" s="127">
        <f>3*2+2*2</f>
        <v>10</v>
      </c>
    </row>
    <row r="161" spans="1:10">
      <c r="B161" s="127" t="s">
        <v>3369</v>
      </c>
      <c r="D161" s="127">
        <f>6.4*2+2.6*2</f>
        <v>18</v>
      </c>
    </row>
    <row r="162" spans="1:10">
      <c r="B162" s="127" t="s">
        <v>3370</v>
      </c>
      <c r="D162" s="127">
        <f>4*2+1.96*2</f>
        <v>11.92</v>
      </c>
    </row>
    <row r="163" spans="1:10">
      <c r="C163" s="127" t="s">
        <v>3371</v>
      </c>
      <c r="D163" s="127">
        <f>SUM(D157:D162)</f>
        <v>410.34999999999997</v>
      </c>
      <c r="E163" s="127" t="s">
        <v>113</v>
      </c>
    </row>
    <row r="165" spans="1:10">
      <c r="A165" s="150" t="s">
        <v>3248</v>
      </c>
      <c r="B165" s="151" t="s">
        <v>3249</v>
      </c>
      <c r="F165" s="127" t="s">
        <v>3294</v>
      </c>
      <c r="G165" s="127" t="s">
        <v>3372</v>
      </c>
      <c r="H165" s="127" t="s">
        <v>3345</v>
      </c>
      <c r="I165" s="127" t="s">
        <v>3373</v>
      </c>
    </row>
    <row r="166" spans="1:10">
      <c r="A166" s="152">
        <v>1</v>
      </c>
      <c r="B166" s="153" t="s">
        <v>3250</v>
      </c>
      <c r="F166" s="127">
        <f>(0.7+0.3)/2</f>
        <v>0.5</v>
      </c>
      <c r="G166" s="127">
        <v>0.8</v>
      </c>
      <c r="H166" s="160">
        <f>D163</f>
        <v>410.34999999999997</v>
      </c>
      <c r="I166" s="127">
        <f>F166*G166*H166</f>
        <v>164.14</v>
      </c>
      <c r="J166" s="127" t="s">
        <v>375</v>
      </c>
    </row>
    <row r="167" spans="1:10">
      <c r="A167" s="152"/>
      <c r="B167" s="153"/>
      <c r="F167" s="127">
        <f>(0.6+0.3)/2</f>
        <v>0.44999999999999996</v>
      </c>
      <c r="G167" s="127">
        <v>2.2999999999999998</v>
      </c>
      <c r="H167" s="160">
        <f>G157</f>
        <v>24</v>
      </c>
      <c r="I167" s="127">
        <f>F167*G167*H167</f>
        <v>24.839999999999996</v>
      </c>
    </row>
    <row r="168" spans="1:10">
      <c r="A168" s="152"/>
      <c r="B168" s="153"/>
      <c r="H168" s="160" t="s">
        <v>3371</v>
      </c>
      <c r="I168" s="191">
        <f>SUM(I166:I167)</f>
        <v>188.98</v>
      </c>
      <c r="J168" s="127" t="s">
        <v>375</v>
      </c>
    </row>
    <row r="169" spans="1:10">
      <c r="A169" s="152">
        <v>2</v>
      </c>
      <c r="B169" s="153" t="s">
        <v>3251</v>
      </c>
      <c r="F169" s="127">
        <v>0.7</v>
      </c>
      <c r="G169" s="127">
        <v>0.25</v>
      </c>
      <c r="H169" s="127">
        <f>H166</f>
        <v>410.34999999999997</v>
      </c>
      <c r="I169" s="127">
        <f>F169*G169*H169</f>
        <v>71.811249999999987</v>
      </c>
      <c r="J169" s="127" t="s">
        <v>375</v>
      </c>
    </row>
    <row r="170" spans="1:10">
      <c r="A170" s="152"/>
      <c r="B170" s="153"/>
      <c r="F170" s="127">
        <v>0.8</v>
      </c>
      <c r="G170" s="127">
        <v>0.2</v>
      </c>
      <c r="H170" s="127">
        <f>H167</f>
        <v>24</v>
      </c>
      <c r="I170" s="127">
        <f>F170*G170*H170</f>
        <v>3.8400000000000007</v>
      </c>
    </row>
    <row r="171" spans="1:10">
      <c r="A171" s="152"/>
      <c r="B171" s="153"/>
      <c r="H171" s="160" t="s">
        <v>3371</v>
      </c>
      <c r="I171" s="191">
        <f>SUM(I169:I170)</f>
        <v>75.65124999999999</v>
      </c>
      <c r="J171" s="127" t="s">
        <v>375</v>
      </c>
    </row>
    <row r="172" spans="1:10">
      <c r="A172" s="152">
        <v>3</v>
      </c>
      <c r="B172" s="153" t="s">
        <v>3252</v>
      </c>
      <c r="F172" s="127" t="s">
        <v>3374</v>
      </c>
      <c r="G172" s="127" t="s">
        <v>3345</v>
      </c>
      <c r="H172" s="127" t="s">
        <v>3296</v>
      </c>
    </row>
    <row r="173" spans="1:10">
      <c r="A173" s="154"/>
      <c r="B173" s="155"/>
      <c r="F173" s="180">
        <f>G150</f>
        <v>0.39474285714285712</v>
      </c>
      <c r="G173" s="127">
        <v>0.4</v>
      </c>
      <c r="H173" s="127">
        <f>H166/0.5</f>
        <v>820.69999999999993</v>
      </c>
      <c r="I173" s="127">
        <f>F173*G173*H173</f>
        <v>129.58618514285712</v>
      </c>
      <c r="J173" s="127" t="s">
        <v>93</v>
      </c>
    </row>
    <row r="174" spans="1:10">
      <c r="A174" s="154">
        <v>4</v>
      </c>
      <c r="B174" s="155" t="s">
        <v>3253</v>
      </c>
      <c r="F174" s="127">
        <f>0.7</f>
        <v>0.7</v>
      </c>
      <c r="G174" s="127">
        <v>0.05</v>
      </c>
      <c r="H174" s="127">
        <f>H166</f>
        <v>410.34999999999997</v>
      </c>
      <c r="I174" s="127">
        <f>F174*G174*H174</f>
        <v>14.362249999999998</v>
      </c>
      <c r="J174" s="127" t="s">
        <v>375</v>
      </c>
    </row>
    <row r="175" spans="1:10">
      <c r="A175" s="192"/>
      <c r="B175" s="193"/>
      <c r="F175" s="127">
        <f>F170</f>
        <v>0.8</v>
      </c>
      <c r="G175" s="127">
        <f>G174</f>
        <v>0.05</v>
      </c>
      <c r="H175" s="127">
        <f>H170</f>
        <v>24</v>
      </c>
      <c r="I175" s="127">
        <f>F175*G175*H175</f>
        <v>0.96000000000000019</v>
      </c>
    </row>
    <row r="176" spans="1:10">
      <c r="A176" s="192"/>
      <c r="B176" s="193"/>
      <c r="H176" s="160" t="s">
        <v>3371</v>
      </c>
      <c r="I176" s="191">
        <f>SUM(I174:I175)</f>
        <v>15.322249999999999</v>
      </c>
      <c r="J176" s="127" t="s">
        <v>375</v>
      </c>
    </row>
    <row r="177" spans="1:18">
      <c r="A177" s="192">
        <v>5</v>
      </c>
      <c r="B177" s="193" t="s">
        <v>3375</v>
      </c>
      <c r="F177" s="127">
        <f>(0.7+1)/2</f>
        <v>0.85</v>
      </c>
      <c r="G177" s="127">
        <v>1.04</v>
      </c>
      <c r="H177" s="127">
        <f>H166</f>
        <v>410.34999999999997</v>
      </c>
      <c r="I177" s="127">
        <f>F177*G177*H177</f>
        <v>362.74939999999998</v>
      </c>
      <c r="J177" s="127" t="s">
        <v>375</v>
      </c>
    </row>
    <row r="178" spans="1:18">
      <c r="F178" s="127">
        <f>F175</f>
        <v>0.8</v>
      </c>
      <c r="G178" s="127">
        <v>0.55000000000000004</v>
      </c>
      <c r="H178" s="127">
        <f>H175</f>
        <v>24</v>
      </c>
      <c r="I178" s="127">
        <f>F178*G178*H178</f>
        <v>10.560000000000002</v>
      </c>
      <c r="J178" s="127" t="s">
        <v>375</v>
      </c>
    </row>
    <row r="179" spans="1:18">
      <c r="H179" s="160" t="s">
        <v>3371</v>
      </c>
      <c r="I179" s="191">
        <f>SUM(I177:I178)</f>
        <v>373.30939999999998</v>
      </c>
      <c r="J179" s="127" t="s">
        <v>375</v>
      </c>
    </row>
    <row r="180" spans="1:18">
      <c r="B180" s="127" t="s">
        <v>3376</v>
      </c>
    </row>
    <row r="181" spans="1:18">
      <c r="B181" s="194" t="str">
        <f>B177</f>
        <v>galian Pondasi Batu Belah</v>
      </c>
      <c r="F181" s="127">
        <f>I179</f>
        <v>373.30939999999998</v>
      </c>
      <c r="G181" s="127" t="str">
        <f>J177</f>
        <v>m3</v>
      </c>
      <c r="H181" s="194" t="str">
        <f>B166</f>
        <v>Pasangan pondasi batu belah 1Pc : 5PS</v>
      </c>
      <c r="N181" s="127">
        <f>I166</f>
        <v>164.14</v>
      </c>
      <c r="O181" s="127" t="str">
        <f>J166</f>
        <v>m3</v>
      </c>
    </row>
    <row r="182" spans="1:18">
      <c r="B182" s="127" t="str">
        <f>C10</f>
        <v>p1</v>
      </c>
      <c r="F182" s="127">
        <f>I14</f>
        <v>80.275000000000006</v>
      </c>
      <c r="G182" s="127" t="str">
        <f>J14</f>
        <v>m3</v>
      </c>
      <c r="H182" s="127" t="str">
        <f>B182</f>
        <v>p1</v>
      </c>
      <c r="N182" s="127">
        <f>I11</f>
        <v>20.8</v>
      </c>
      <c r="O182" s="127" t="str">
        <f>J11</f>
        <v>m3</v>
      </c>
    </row>
    <row r="183" spans="1:18">
      <c r="B183" s="127" t="str">
        <f>C35</f>
        <v>p2</v>
      </c>
      <c r="F183" s="127">
        <f>I39</f>
        <v>25.35</v>
      </c>
      <c r="G183" s="127" t="str">
        <f>J39</f>
        <v>m3</v>
      </c>
      <c r="H183" s="127" t="str">
        <f t="shared" ref="H183:H184" si="11">B183</f>
        <v>p2</v>
      </c>
      <c r="N183" s="127">
        <f>I36</f>
        <v>6</v>
      </c>
      <c r="O183" s="127" t="str">
        <f>J36</f>
        <v>m3</v>
      </c>
    </row>
    <row r="184" spans="1:18">
      <c r="B184" s="127" t="str">
        <f>C60</f>
        <v>p3</v>
      </c>
      <c r="F184" s="127">
        <f>I64</f>
        <v>8.1000000000000014</v>
      </c>
      <c r="G184" s="127" t="str">
        <f>J64</f>
        <v>m3</v>
      </c>
      <c r="H184" s="127" t="str">
        <f t="shared" si="11"/>
        <v>p3</v>
      </c>
      <c r="N184" s="127">
        <f>I61</f>
        <v>1.125</v>
      </c>
      <c r="O184" s="127" t="str">
        <f>J61</f>
        <v>m3</v>
      </c>
    </row>
    <row r="185" spans="1:18">
      <c r="E185" s="127" t="s">
        <v>3371</v>
      </c>
      <c r="F185" s="127">
        <f>SUM(F181:F184)</f>
        <v>487.03440000000001</v>
      </c>
      <c r="G185" s="127" t="str">
        <f>G184</f>
        <v>m3</v>
      </c>
      <c r="L185" s="127" t="s">
        <v>3371</v>
      </c>
      <c r="N185" s="127">
        <f>SUM(N181:N184)</f>
        <v>192.065</v>
      </c>
      <c r="O185" s="127" t="str">
        <f>J62</f>
        <v>m3</v>
      </c>
      <c r="P185" s="127" t="s">
        <v>3371</v>
      </c>
      <c r="Q185" s="127">
        <f>F185-N185</f>
        <v>294.96940000000001</v>
      </c>
      <c r="R185" s="127" t="str">
        <f>O185</f>
        <v>m3</v>
      </c>
    </row>
    <row r="187" spans="1:18" s="160" customFormat="1">
      <c r="B187" s="160" t="s">
        <v>3270</v>
      </c>
      <c r="C187" s="160" t="s">
        <v>3377</v>
      </c>
    </row>
    <row r="188" spans="1:18" s="160" customFormat="1">
      <c r="C188" s="160" t="s">
        <v>3378</v>
      </c>
      <c r="D188" s="160" t="s">
        <v>3293</v>
      </c>
      <c r="E188" s="160" t="s">
        <v>3294</v>
      </c>
      <c r="F188" s="160" t="s">
        <v>3294</v>
      </c>
      <c r="G188" s="160" t="s">
        <v>3345</v>
      </c>
      <c r="H188" s="160" t="s">
        <v>3379</v>
      </c>
    </row>
    <row r="189" spans="1:18" s="160" customFormat="1">
      <c r="E189" s="160">
        <v>0.5</v>
      </c>
      <c r="F189" s="160">
        <v>0.4</v>
      </c>
      <c r="G189" s="160">
        <f>3.4+1.3</f>
        <v>4.7</v>
      </c>
      <c r="H189" s="160">
        <v>26</v>
      </c>
      <c r="J189" s="160">
        <f>E189*F189*G189*H189</f>
        <v>24.44</v>
      </c>
      <c r="K189" s="160" t="s">
        <v>375</v>
      </c>
    </row>
    <row r="191" spans="1:18" s="160" customFormat="1">
      <c r="D191" s="160" t="s">
        <v>3346</v>
      </c>
      <c r="E191" s="160" t="s">
        <v>3345</v>
      </c>
      <c r="F191" s="160" t="s">
        <v>3296</v>
      </c>
      <c r="G191" s="160" t="s">
        <v>3316</v>
      </c>
      <c r="H191" s="160" t="s">
        <v>3296</v>
      </c>
    </row>
    <row r="192" spans="1:18" s="160" customFormat="1">
      <c r="E192" s="160">
        <f>3.4+1.6+0.25</f>
        <v>5.25</v>
      </c>
      <c r="F192" s="160">
        <v>20</v>
      </c>
      <c r="G192" s="189">
        <f>W19</f>
        <v>2.2265964285714288</v>
      </c>
      <c r="H192" s="160">
        <f>H189</f>
        <v>26</v>
      </c>
      <c r="I192" s="160">
        <f>E192*F192*H192*G192</f>
        <v>6078.6082500000002</v>
      </c>
      <c r="J192" s="160">
        <f>SUM(I192:I200)</f>
        <v>8109.0574462857148</v>
      </c>
      <c r="K192" s="160" t="s">
        <v>93</v>
      </c>
    </row>
    <row r="194" spans="3:11">
      <c r="D194" s="127" t="s">
        <v>3348</v>
      </c>
      <c r="E194" s="127" t="s">
        <v>3345</v>
      </c>
      <c r="F194" s="127" t="s">
        <v>3296</v>
      </c>
      <c r="G194" s="127" t="s">
        <v>3341</v>
      </c>
      <c r="H194" s="127" t="s">
        <v>3296</v>
      </c>
    </row>
    <row r="195" spans="3:11">
      <c r="E195" s="127">
        <f>(E189-0.04)+(F189-0.04)*2</f>
        <v>1.1800000000000002</v>
      </c>
      <c r="F195" s="127">
        <f>ROUNDUP(G189/2/0.1,0)</f>
        <v>24</v>
      </c>
      <c r="G195" s="180">
        <f>W15</f>
        <v>1.0423678571428572</v>
      </c>
      <c r="H195" s="127">
        <f>H189</f>
        <v>26</v>
      </c>
      <c r="I195" s="127">
        <f>E195*F195*H195*G195</f>
        <v>767.5163005714287</v>
      </c>
    </row>
    <row r="196" spans="3:11">
      <c r="D196" s="127" t="s">
        <v>3380</v>
      </c>
      <c r="E196" s="127" t="s">
        <v>3345</v>
      </c>
      <c r="F196" s="127" t="s">
        <v>3296</v>
      </c>
      <c r="G196" s="127" t="s">
        <v>3341</v>
      </c>
      <c r="H196" s="127" t="s">
        <v>3296</v>
      </c>
    </row>
    <row r="197" spans="3:11">
      <c r="E197" s="127">
        <f>(E189-0.04+0.02)+(F189-0.04+0.02)*1</f>
        <v>0.8600000000000001</v>
      </c>
      <c r="F197" s="127">
        <f>ROUNDUP(G189/2/0.1,0)</f>
        <v>24</v>
      </c>
      <c r="G197" s="180">
        <f>G195</f>
        <v>1.0423678571428572</v>
      </c>
      <c r="H197" s="127">
        <f>H189</f>
        <v>26</v>
      </c>
      <c r="I197" s="127">
        <f>E197*F197*H197*G197</f>
        <v>559.37628685714287</v>
      </c>
    </row>
    <row r="199" spans="3:11">
      <c r="D199" s="127" t="s">
        <v>3350</v>
      </c>
      <c r="E199" s="127" t="s">
        <v>3345</v>
      </c>
      <c r="F199" s="127" t="s">
        <v>3296</v>
      </c>
      <c r="G199" s="127" t="s">
        <v>3341</v>
      </c>
      <c r="H199" s="127" t="s">
        <v>3296</v>
      </c>
    </row>
    <row r="200" spans="3:11">
      <c r="E200" s="127">
        <f>(E189-0.04)+(F189-0.04)*2</f>
        <v>1.1800000000000002</v>
      </c>
      <c r="F200" s="127">
        <f>ROUNDUP(G189/2/0.11,0)</f>
        <v>22</v>
      </c>
      <c r="G200" s="180">
        <f>G197</f>
        <v>1.0423678571428572</v>
      </c>
      <c r="H200" s="127">
        <f>H195</f>
        <v>26</v>
      </c>
      <c r="I200" s="127">
        <f>E200*F200*H200*G200</f>
        <v>703.55660885714303</v>
      </c>
    </row>
    <row r="202" spans="3:11" s="160" customFormat="1">
      <c r="D202" s="160" t="s">
        <v>3351</v>
      </c>
      <c r="E202" s="160" t="s">
        <v>3294</v>
      </c>
      <c r="F202" s="160" t="s">
        <v>3344</v>
      </c>
      <c r="G202" s="160" t="s">
        <v>3345</v>
      </c>
      <c r="H202" s="160" t="s">
        <v>3296</v>
      </c>
    </row>
    <row r="203" spans="3:11" s="160" customFormat="1">
      <c r="E203" s="160">
        <f>E189</f>
        <v>0.5</v>
      </c>
      <c r="F203" s="160">
        <f t="shared" ref="F203:G203" si="12">F189</f>
        <v>0.4</v>
      </c>
      <c r="G203" s="160">
        <f t="shared" si="12"/>
        <v>4.7</v>
      </c>
      <c r="H203" s="160">
        <f>H200</f>
        <v>26</v>
      </c>
      <c r="I203" s="160">
        <f>((E203+F203)*2)*G203*H203</f>
        <v>219.96000000000004</v>
      </c>
      <c r="J203" s="160" t="s">
        <v>376</v>
      </c>
    </row>
    <row r="205" spans="3:11" s="160" customFormat="1">
      <c r="C205" s="160" t="s">
        <v>3381</v>
      </c>
      <c r="D205" s="160" t="s">
        <v>3293</v>
      </c>
      <c r="E205" s="160" t="s">
        <v>3294</v>
      </c>
      <c r="F205" s="160" t="s">
        <v>3294</v>
      </c>
      <c r="G205" s="160" t="s">
        <v>3345</v>
      </c>
      <c r="H205" s="160" t="s">
        <v>3379</v>
      </c>
    </row>
    <row r="206" spans="3:11" s="160" customFormat="1">
      <c r="E206" s="160">
        <v>0.4</v>
      </c>
      <c r="F206" s="160">
        <v>0.4</v>
      </c>
      <c r="G206" s="160">
        <f>G189</f>
        <v>4.7</v>
      </c>
      <c r="H206" s="160">
        <v>2</v>
      </c>
      <c r="J206" s="160">
        <f>E206*F206*G206*H206</f>
        <v>1.5040000000000004</v>
      </c>
      <c r="K206" s="160" t="s">
        <v>375</v>
      </c>
    </row>
    <row r="208" spans="3:11" s="160" customFormat="1">
      <c r="D208" s="160" t="s">
        <v>3346</v>
      </c>
      <c r="E208" s="160" t="s">
        <v>3345</v>
      </c>
      <c r="F208" s="160" t="s">
        <v>3296</v>
      </c>
      <c r="G208" s="160" t="s">
        <v>3316</v>
      </c>
      <c r="H208" s="160" t="s">
        <v>3296</v>
      </c>
    </row>
    <row r="209" spans="3:11" s="160" customFormat="1">
      <c r="E209" s="160">
        <f>E192</f>
        <v>5.25</v>
      </c>
      <c r="F209" s="160">
        <v>16</v>
      </c>
      <c r="G209" s="189">
        <f>G192</f>
        <v>2.2265964285714288</v>
      </c>
      <c r="H209" s="160">
        <f>H206</f>
        <v>2</v>
      </c>
      <c r="I209" s="160">
        <f>E209*F209*H209*G209</f>
        <v>374.06820000000005</v>
      </c>
      <c r="J209" s="160">
        <f>SUM(I209:I217)</f>
        <v>491.1469577142858</v>
      </c>
      <c r="K209" s="160" t="s">
        <v>93</v>
      </c>
    </row>
    <row r="211" spans="3:11">
      <c r="D211" s="127" t="s">
        <v>3348</v>
      </c>
      <c r="E211" s="127" t="s">
        <v>3345</v>
      </c>
      <c r="F211" s="127" t="s">
        <v>3296</v>
      </c>
      <c r="G211" s="127" t="s">
        <v>3341</v>
      </c>
      <c r="H211" s="127" t="s">
        <v>3296</v>
      </c>
    </row>
    <row r="212" spans="3:11">
      <c r="E212" s="127">
        <f>(E206-0.04)+(F206-0.04)*2</f>
        <v>1.08</v>
      </c>
      <c r="F212" s="127">
        <f>ROUNDUP(G206/2/0.08,0)</f>
        <v>30</v>
      </c>
      <c r="G212" s="180">
        <f>G195</f>
        <v>1.0423678571428572</v>
      </c>
      <c r="H212" s="127">
        <f>H206</f>
        <v>2</v>
      </c>
      <c r="I212" s="127">
        <f>E212*F212*H212*G212</f>
        <v>67.545437142857153</v>
      </c>
    </row>
    <row r="213" spans="3:11">
      <c r="D213" s="127" t="s">
        <v>3380</v>
      </c>
      <c r="E213" s="127" t="s">
        <v>3345</v>
      </c>
      <c r="F213" s="127" t="s">
        <v>3296</v>
      </c>
      <c r="G213" s="127" t="s">
        <v>3341</v>
      </c>
      <c r="H213" s="127" t="s">
        <v>3296</v>
      </c>
    </row>
    <row r="214" spans="3:11">
      <c r="E214" s="127">
        <v>0</v>
      </c>
      <c r="F214" s="127">
        <f>ROUNDUP(G206/2/0.1,0)</f>
        <v>24</v>
      </c>
      <c r="G214" s="180">
        <f>G212</f>
        <v>1.0423678571428572</v>
      </c>
      <c r="H214" s="127">
        <f>H206</f>
        <v>2</v>
      </c>
      <c r="I214" s="127">
        <f>E214*F214*H214*G214</f>
        <v>0</v>
      </c>
    </row>
    <row r="216" spans="3:11">
      <c r="D216" s="127" t="s">
        <v>3350</v>
      </c>
      <c r="E216" s="127" t="s">
        <v>3345</v>
      </c>
      <c r="F216" s="127" t="s">
        <v>3296</v>
      </c>
      <c r="G216" s="127" t="s">
        <v>3341</v>
      </c>
      <c r="H216" s="127" t="s">
        <v>3296</v>
      </c>
    </row>
    <row r="217" spans="3:11">
      <c r="E217" s="127">
        <f>(E206-0.04)+(F206-0.04)*2</f>
        <v>1.08</v>
      </c>
      <c r="F217" s="127">
        <f>ROUNDUP(G206/2/0.11,0)</f>
        <v>22</v>
      </c>
      <c r="G217" s="180">
        <f>G214</f>
        <v>1.0423678571428572</v>
      </c>
      <c r="H217" s="127">
        <f>H212</f>
        <v>2</v>
      </c>
      <c r="I217" s="127">
        <f>E217*F217*H217*G217</f>
        <v>49.533320571428575</v>
      </c>
    </row>
    <row r="219" spans="3:11" s="160" customFormat="1">
      <c r="D219" s="160" t="s">
        <v>3351</v>
      </c>
      <c r="E219" s="160" t="s">
        <v>3294</v>
      </c>
      <c r="F219" s="160" t="s">
        <v>3344</v>
      </c>
      <c r="G219" s="160" t="s">
        <v>3345</v>
      </c>
      <c r="H219" s="160" t="s">
        <v>3296</v>
      </c>
    </row>
    <row r="220" spans="3:11" s="160" customFormat="1">
      <c r="E220" s="160">
        <f>E206</f>
        <v>0.4</v>
      </c>
      <c r="F220" s="160">
        <f t="shared" ref="F220:G220" si="13">F206</f>
        <v>0.4</v>
      </c>
      <c r="G220" s="160">
        <f t="shared" si="13"/>
        <v>4.7</v>
      </c>
      <c r="H220" s="160">
        <f>H217</f>
        <v>2</v>
      </c>
      <c r="I220" s="160">
        <f>((E220+F220)*2)*G220*H220</f>
        <v>15.040000000000001</v>
      </c>
      <c r="J220" s="160" t="s">
        <v>376</v>
      </c>
    </row>
    <row r="222" spans="3:11" s="160" customFormat="1">
      <c r="C222" s="160" t="s">
        <v>3382</v>
      </c>
      <c r="D222" s="160" t="s">
        <v>3293</v>
      </c>
      <c r="E222" s="160" t="s">
        <v>3294</v>
      </c>
      <c r="F222" s="160" t="s">
        <v>3294</v>
      </c>
      <c r="G222" s="160" t="s">
        <v>3345</v>
      </c>
      <c r="H222" s="160" t="s">
        <v>3379</v>
      </c>
    </row>
    <row r="223" spans="3:11" s="160" customFormat="1">
      <c r="E223" s="160">
        <v>0.35</v>
      </c>
      <c r="F223" s="160">
        <v>0.35</v>
      </c>
      <c r="G223" s="160">
        <f>G206</f>
        <v>4.7</v>
      </c>
      <c r="H223" s="160">
        <v>7</v>
      </c>
      <c r="J223" s="160">
        <f>E223*F223*G223*H223</f>
        <v>4.0302499999999997</v>
      </c>
      <c r="K223" s="160" t="s">
        <v>375</v>
      </c>
    </row>
    <row r="225" spans="3:11" s="160" customFormat="1">
      <c r="D225" s="160" t="s">
        <v>3346</v>
      </c>
      <c r="E225" s="160" t="s">
        <v>3345</v>
      </c>
      <c r="F225" s="160" t="s">
        <v>3296</v>
      </c>
      <c r="G225" s="160" t="s">
        <v>3316</v>
      </c>
      <c r="H225" s="160" t="s">
        <v>3296</v>
      </c>
    </row>
    <row r="226" spans="3:11" s="160" customFormat="1">
      <c r="E226" s="160">
        <f>E209</f>
        <v>5.25</v>
      </c>
      <c r="F226" s="160">
        <v>12</v>
      </c>
      <c r="G226" s="189">
        <f>G209</f>
        <v>2.2265964285714288</v>
      </c>
      <c r="H226" s="160">
        <f>H223</f>
        <v>7</v>
      </c>
      <c r="I226" s="160">
        <f>E226*F226*H226*G226</f>
        <v>981.92902500000014</v>
      </c>
      <c r="J226" s="160">
        <f>SUM(I226:I234)</f>
        <v>1334.7913920000001</v>
      </c>
      <c r="K226" s="160" t="s">
        <v>93</v>
      </c>
    </row>
    <row r="228" spans="3:11">
      <c r="D228" s="127" t="s">
        <v>3348</v>
      </c>
      <c r="E228" s="127" t="s">
        <v>3345</v>
      </c>
      <c r="F228" s="127" t="s">
        <v>3296</v>
      </c>
      <c r="G228" s="127" t="s">
        <v>3341</v>
      </c>
      <c r="H228" s="127" t="s">
        <v>3296</v>
      </c>
    </row>
    <row r="229" spans="3:11">
      <c r="E229" s="127">
        <f>(E223-0.04)+(F223-0.04)*2</f>
        <v>0.92999999999999994</v>
      </c>
      <c r="F229" s="127">
        <f>ROUNDUP(G223/2/0.08,0)</f>
        <v>30</v>
      </c>
      <c r="G229" s="180">
        <f>G214</f>
        <v>1.0423678571428572</v>
      </c>
      <c r="H229" s="127">
        <f>H223</f>
        <v>7</v>
      </c>
      <c r="I229" s="127">
        <f>E229*F229*H229*G229</f>
        <v>203.5744425</v>
      </c>
    </row>
    <row r="230" spans="3:11">
      <c r="D230" s="127" t="s">
        <v>3380</v>
      </c>
      <c r="E230" s="127" t="s">
        <v>3345</v>
      </c>
      <c r="F230" s="127" t="s">
        <v>3296</v>
      </c>
      <c r="G230" s="127" t="s">
        <v>3341</v>
      </c>
      <c r="H230" s="127" t="s">
        <v>3296</v>
      </c>
    </row>
    <row r="231" spans="3:11">
      <c r="E231" s="127">
        <v>0</v>
      </c>
      <c r="F231" s="127">
        <f>ROUNDUP(G223/2/0.1,0)</f>
        <v>24</v>
      </c>
      <c r="G231" s="180">
        <f>G229</f>
        <v>1.0423678571428572</v>
      </c>
      <c r="H231" s="127">
        <f>H223</f>
        <v>7</v>
      </c>
      <c r="I231" s="127">
        <f>E231*F231*H231*G231</f>
        <v>0</v>
      </c>
    </row>
    <row r="233" spans="3:11">
      <c r="D233" s="127" t="s">
        <v>3350</v>
      </c>
      <c r="E233" s="127" t="s">
        <v>3345</v>
      </c>
      <c r="F233" s="127" t="s">
        <v>3296</v>
      </c>
      <c r="G233" s="127" t="s">
        <v>3341</v>
      </c>
      <c r="H233" s="127" t="s">
        <v>3296</v>
      </c>
    </row>
    <row r="234" spans="3:11">
      <c r="E234" s="127">
        <f>(E223-0.04)+(F223-0.04)*2</f>
        <v>0.92999999999999994</v>
      </c>
      <c r="F234" s="127">
        <f>ROUNDUP(G223/2/0.11,0)</f>
        <v>22</v>
      </c>
      <c r="G234" s="180">
        <f>G231</f>
        <v>1.0423678571428572</v>
      </c>
      <c r="H234" s="127">
        <f>H229</f>
        <v>7</v>
      </c>
      <c r="I234" s="127">
        <f>E234*F234*H234*G234</f>
        <v>149.28792449999997</v>
      </c>
    </row>
    <row r="236" spans="3:11" s="160" customFormat="1">
      <c r="D236" s="160" t="s">
        <v>3351</v>
      </c>
      <c r="E236" s="160" t="s">
        <v>3294</v>
      </c>
      <c r="F236" s="160" t="s">
        <v>3344</v>
      </c>
      <c r="G236" s="160" t="s">
        <v>3345</v>
      </c>
      <c r="H236" s="160" t="s">
        <v>3296</v>
      </c>
    </row>
    <row r="237" spans="3:11" s="160" customFormat="1">
      <c r="E237" s="160">
        <f>E223</f>
        <v>0.35</v>
      </c>
      <c r="F237" s="160">
        <f t="shared" ref="F237:G237" si="14">F223</f>
        <v>0.35</v>
      </c>
      <c r="G237" s="160">
        <f t="shared" si="14"/>
        <v>4.7</v>
      </c>
      <c r="H237" s="160">
        <f>H234</f>
        <v>7</v>
      </c>
      <c r="I237" s="160">
        <f>((E237+F237)*2)*G237*H237</f>
        <v>46.06</v>
      </c>
      <c r="J237" s="160" t="s">
        <v>376</v>
      </c>
    </row>
    <row r="239" spans="3:11" s="160" customFormat="1">
      <c r="C239" s="160" t="s">
        <v>3383</v>
      </c>
      <c r="D239" s="160" t="s">
        <v>3293</v>
      </c>
      <c r="E239" s="160" t="s">
        <v>3294</v>
      </c>
      <c r="F239" s="160" t="s">
        <v>3294</v>
      </c>
      <c r="G239" s="160" t="s">
        <v>3345</v>
      </c>
      <c r="H239" s="160" t="s">
        <v>3379</v>
      </c>
    </row>
    <row r="240" spans="3:11" s="160" customFormat="1">
      <c r="E240" s="160">
        <v>0.15</v>
      </c>
      <c r="F240" s="160">
        <v>0.15</v>
      </c>
      <c r="G240" s="160">
        <v>3.4</v>
      </c>
      <c r="H240" s="160">
        <f>64+4</f>
        <v>68</v>
      </c>
      <c r="J240" s="160">
        <f>E240*F240*G240*H240</f>
        <v>5.202</v>
      </c>
      <c r="K240" s="160" t="s">
        <v>375</v>
      </c>
    </row>
    <row r="242" spans="2:11" s="160" customFormat="1">
      <c r="D242" s="160" t="s">
        <v>3346</v>
      </c>
      <c r="E242" s="160" t="s">
        <v>3345</v>
      </c>
      <c r="F242" s="160" t="s">
        <v>3296</v>
      </c>
      <c r="G242" s="160" t="s">
        <v>3349</v>
      </c>
      <c r="H242" s="160" t="s">
        <v>3296</v>
      </c>
    </row>
    <row r="243" spans="2:11" s="160" customFormat="1">
      <c r="E243" s="160">
        <f>G240+0.2</f>
        <v>3.6</v>
      </c>
      <c r="F243" s="160">
        <v>4</v>
      </c>
      <c r="G243" s="189">
        <f>W10</f>
        <v>0.61678571428571438</v>
      </c>
      <c r="H243" s="160">
        <f>H240</f>
        <v>68</v>
      </c>
      <c r="I243" s="160">
        <f>E243*F243*H243*G243</f>
        <v>603.95657142857158</v>
      </c>
      <c r="J243" s="160">
        <f>SUM(I243:I251)</f>
        <v>816.54928457142864</v>
      </c>
      <c r="K243" s="160" t="s">
        <v>93</v>
      </c>
    </row>
    <row r="245" spans="2:11">
      <c r="D245" s="127" t="s">
        <v>3348</v>
      </c>
      <c r="E245" s="127" t="s">
        <v>3345</v>
      </c>
      <c r="F245" s="127" t="s">
        <v>3296</v>
      </c>
      <c r="G245" s="127" t="s">
        <v>3363</v>
      </c>
      <c r="H245" s="127" t="s">
        <v>3296</v>
      </c>
    </row>
    <row r="246" spans="2:11">
      <c r="E246" s="127">
        <f>(E240-0.04)+(F240-0.04)*2</f>
        <v>0.32999999999999996</v>
      </c>
      <c r="F246" s="127">
        <f>ROUNDUP(G240/2/0.15,0)</f>
        <v>12</v>
      </c>
      <c r="G246" s="180">
        <f>W8</f>
        <v>0.39474285714285712</v>
      </c>
      <c r="H246" s="127">
        <f>H240</f>
        <v>68</v>
      </c>
      <c r="I246" s="127">
        <f>E246*F246*H246*G246</f>
        <v>106.29635657142856</v>
      </c>
    </row>
    <row r="247" spans="2:11">
      <c r="D247" s="127" t="s">
        <v>3380</v>
      </c>
      <c r="E247" s="127" t="s">
        <v>3345</v>
      </c>
      <c r="F247" s="127" t="s">
        <v>3296</v>
      </c>
      <c r="G247" s="127" t="str">
        <f>G245</f>
        <v>D8</v>
      </c>
      <c r="H247" s="127" t="s">
        <v>3296</v>
      </c>
    </row>
    <row r="248" spans="2:11">
      <c r="E248" s="127">
        <v>0</v>
      </c>
      <c r="F248" s="127">
        <f>ROUNDUP(G240/2/0.1,0)</f>
        <v>17</v>
      </c>
      <c r="G248" s="180">
        <f>G246</f>
        <v>0.39474285714285712</v>
      </c>
      <c r="H248" s="127">
        <f>H240</f>
        <v>68</v>
      </c>
      <c r="I248" s="127">
        <f>E248*F248*H248*G248</f>
        <v>0</v>
      </c>
    </row>
    <row r="250" spans="2:11">
      <c r="D250" s="127" t="s">
        <v>3350</v>
      </c>
      <c r="E250" s="127" t="s">
        <v>3345</v>
      </c>
      <c r="F250" s="127" t="s">
        <v>3296</v>
      </c>
      <c r="G250" s="127" t="str">
        <f>G247</f>
        <v>D8</v>
      </c>
      <c r="H250" s="127" t="s">
        <v>3296</v>
      </c>
    </row>
    <row r="251" spans="2:11">
      <c r="E251" s="127">
        <f>(E240-0.04)+(F240-0.04)*2</f>
        <v>0.32999999999999996</v>
      </c>
      <c r="F251" s="127">
        <f>ROUNDUP(G240/2/0.15,0)</f>
        <v>12</v>
      </c>
      <c r="G251" s="180">
        <f>G248</f>
        <v>0.39474285714285712</v>
      </c>
      <c r="H251" s="127">
        <f>H246</f>
        <v>68</v>
      </c>
      <c r="I251" s="127">
        <f>E251*F251*H251*G251</f>
        <v>106.29635657142856</v>
      </c>
    </row>
    <row r="253" spans="2:11" s="160" customFormat="1">
      <c r="D253" s="160" t="s">
        <v>3351</v>
      </c>
      <c r="E253" s="160" t="s">
        <v>3294</v>
      </c>
      <c r="F253" s="160" t="s">
        <v>3344</v>
      </c>
      <c r="G253" s="160" t="s">
        <v>3345</v>
      </c>
      <c r="H253" s="160" t="s">
        <v>3296</v>
      </c>
    </row>
    <row r="254" spans="2:11" s="160" customFormat="1">
      <c r="E254" s="160">
        <f>E240</f>
        <v>0.15</v>
      </c>
      <c r="F254" s="160">
        <f t="shared" ref="F254:G254" si="15">F240</f>
        <v>0.15</v>
      </c>
      <c r="G254" s="160">
        <f t="shared" si="15"/>
        <v>3.4</v>
      </c>
      <c r="H254" s="160">
        <f>H251</f>
        <v>68</v>
      </c>
      <c r="I254" s="160">
        <f>((E254+F254)*2)*G254*H254</f>
        <v>138.72</v>
      </c>
      <c r="J254" s="160" t="s">
        <v>376</v>
      </c>
    </row>
    <row r="256" spans="2:11" s="160" customFormat="1">
      <c r="B256" s="160" t="s">
        <v>3270</v>
      </c>
      <c r="C256" s="160" t="s">
        <v>3384</v>
      </c>
      <c r="D256" s="195" t="s">
        <v>3385</v>
      </c>
    </row>
    <row r="257" spans="3:10" s="160" customFormat="1">
      <c r="C257" s="160" t="s">
        <v>3386</v>
      </c>
      <c r="D257" s="160" t="s">
        <v>3353</v>
      </c>
      <c r="H257" s="196" t="s">
        <v>3387</v>
      </c>
      <c r="I257" s="196"/>
      <c r="J257" s="196"/>
    </row>
    <row r="258" spans="3:10">
      <c r="C258" s="190" t="s">
        <v>3354</v>
      </c>
      <c r="D258" s="127">
        <v>6</v>
      </c>
      <c r="E258" s="127">
        <v>7.5</v>
      </c>
      <c r="F258" s="127">
        <f>SUM(E258:E267)+J258</f>
        <v>119.5</v>
      </c>
      <c r="G258" s="127" t="s">
        <v>113</v>
      </c>
      <c r="H258" s="196" t="s">
        <v>3355</v>
      </c>
      <c r="I258" s="196">
        <v>6.4</v>
      </c>
      <c r="J258" s="196">
        <f>SUM(I258:I261)</f>
        <v>45.8</v>
      </c>
    </row>
    <row r="259" spans="3:10">
      <c r="C259" s="190" t="s">
        <v>3354</v>
      </c>
      <c r="E259" s="127">
        <v>7.5</v>
      </c>
      <c r="H259" s="196"/>
      <c r="I259" s="196">
        <f>8*3</f>
        <v>24</v>
      </c>
      <c r="J259" s="196"/>
    </row>
    <row r="260" spans="3:10">
      <c r="C260" s="190" t="s">
        <v>3354</v>
      </c>
      <c r="E260" s="127">
        <v>7.5</v>
      </c>
      <c r="H260" s="196" t="s">
        <v>3355</v>
      </c>
      <c r="I260" s="196">
        <v>4.2</v>
      </c>
      <c r="J260" s="196"/>
    </row>
    <row r="261" spans="3:10">
      <c r="C261" s="190"/>
      <c r="E261" s="127">
        <v>7.5</v>
      </c>
      <c r="H261" s="196" t="s">
        <v>3388</v>
      </c>
      <c r="I261" s="196">
        <f>5.6*2</f>
        <v>11.2</v>
      </c>
      <c r="J261" s="196"/>
    </row>
    <row r="262" spans="3:10">
      <c r="C262" s="190"/>
      <c r="E262" s="127">
        <v>7.5</v>
      </c>
    </row>
    <row r="263" spans="3:10">
      <c r="C263" s="190"/>
      <c r="E263" s="127">
        <v>7.5</v>
      </c>
    </row>
    <row r="264" spans="3:10">
      <c r="E264" s="127">
        <v>7.5</v>
      </c>
    </row>
    <row r="265" spans="3:10">
      <c r="D265" s="127" t="s">
        <v>3388</v>
      </c>
      <c r="E265" s="127">
        <v>5.6</v>
      </c>
    </row>
    <row r="266" spans="3:10">
      <c r="E266" s="127">
        <v>5.6</v>
      </c>
    </row>
    <row r="267" spans="3:10">
      <c r="D267" s="127" t="s">
        <v>3355</v>
      </c>
      <c r="E267" s="127">
        <v>10</v>
      </c>
    </row>
    <row r="269" spans="3:10" s="160" customFormat="1">
      <c r="D269" s="160" t="s">
        <v>3293</v>
      </c>
      <c r="E269" s="160" t="s">
        <v>3294</v>
      </c>
      <c r="F269" s="160" t="s">
        <v>3344</v>
      </c>
      <c r="G269" s="160" t="s">
        <v>3345</v>
      </c>
    </row>
    <row r="270" spans="3:10" s="160" customFormat="1">
      <c r="E270" s="160">
        <v>0.35</v>
      </c>
      <c r="F270" s="160">
        <v>0.6</v>
      </c>
      <c r="G270" s="160">
        <f>F258</f>
        <v>119.5</v>
      </c>
      <c r="H270" s="160">
        <f>E270*F272*G270</f>
        <v>20.075999999999997</v>
      </c>
      <c r="I270" s="160" t="s">
        <v>375</v>
      </c>
    </row>
    <row r="271" spans="3:10">
      <c r="F271" s="127" t="s">
        <v>3389</v>
      </c>
    </row>
    <row r="272" spans="3:10">
      <c r="F272" s="127">
        <f>F270-0.12</f>
        <v>0.48</v>
      </c>
    </row>
    <row r="274" spans="4:11" s="160" customFormat="1">
      <c r="D274" s="160" t="s">
        <v>3346</v>
      </c>
      <c r="E274" s="160" t="s">
        <v>3345</v>
      </c>
      <c r="F274" s="160" t="s">
        <v>3296</v>
      </c>
      <c r="G274" s="160" t="s">
        <v>3316</v>
      </c>
    </row>
    <row r="275" spans="4:11" s="160" customFormat="1">
      <c r="E275" s="160">
        <f>G270</f>
        <v>119.5</v>
      </c>
      <c r="F275" s="160">
        <v>12</v>
      </c>
      <c r="G275" s="189">
        <f>G226</f>
        <v>2.2265964285714288</v>
      </c>
      <c r="H275" s="160">
        <f>E275*F275*G275</f>
        <v>3192.939278571429</v>
      </c>
      <c r="I275" s="160" t="s">
        <v>93</v>
      </c>
      <c r="J275" s="160">
        <f>SUM(H275:H290)</f>
        <v>5283.873689285715</v>
      </c>
      <c r="K275" s="160" t="s">
        <v>3305</v>
      </c>
    </row>
    <row r="277" spans="4:11">
      <c r="D277" s="127" t="s">
        <v>3347</v>
      </c>
      <c r="E277" s="127" t="s">
        <v>3345</v>
      </c>
      <c r="F277" s="127" t="s">
        <v>3296</v>
      </c>
      <c r="G277" s="127" t="s">
        <v>3341</v>
      </c>
    </row>
    <row r="278" spans="4:11">
      <c r="E278" s="127">
        <f>G270</f>
        <v>119.5</v>
      </c>
      <c r="F278" s="127">
        <v>4</v>
      </c>
      <c r="G278" s="180">
        <f>G229</f>
        <v>1.0423678571428572</v>
      </c>
      <c r="H278" s="127">
        <f>E278*F278*G278</f>
        <v>498.25183571428573</v>
      </c>
      <c r="I278" s="127" t="s">
        <v>93</v>
      </c>
    </row>
    <row r="280" spans="4:11">
      <c r="D280" s="127" t="s">
        <v>3348</v>
      </c>
      <c r="E280" s="127" t="s">
        <v>3345</v>
      </c>
      <c r="F280" s="127" t="s">
        <v>3296</v>
      </c>
      <c r="G280" s="127" t="s">
        <v>3349</v>
      </c>
    </row>
    <row r="281" spans="4:11">
      <c r="E281" s="127">
        <f>(E270-0.04)+(F270-0.04)*2</f>
        <v>1.43</v>
      </c>
      <c r="F281" s="127">
        <f>ROUNDUP(G270/2/0.1,0)</f>
        <v>598</v>
      </c>
      <c r="G281" s="180">
        <f>G243</f>
        <v>0.61678571428571438</v>
      </c>
      <c r="H281" s="127">
        <f>E281*F281*G281</f>
        <v>527.43813571428575</v>
      </c>
      <c r="I281" s="127" t="s">
        <v>93</v>
      </c>
    </row>
    <row r="283" spans="4:11">
      <c r="D283" s="127" t="s">
        <v>3380</v>
      </c>
      <c r="E283" s="127" t="s">
        <v>3345</v>
      </c>
      <c r="F283" s="127" t="s">
        <v>3296</v>
      </c>
      <c r="G283" s="127" t="s">
        <v>3349</v>
      </c>
    </row>
    <row r="284" spans="4:11">
      <c r="E284" s="127">
        <f>(F270-0.04+0.02)*2</f>
        <v>1.1599999999999999</v>
      </c>
      <c r="F284" s="127">
        <f>ROUNDUP(G270/2/0.1,0)</f>
        <v>598</v>
      </c>
      <c r="G284" s="180">
        <f>G281</f>
        <v>0.61678571428571438</v>
      </c>
      <c r="H284" s="127">
        <f>E284*F284*G284</f>
        <v>427.85191428571432</v>
      </c>
      <c r="I284" s="127" t="s">
        <v>93</v>
      </c>
    </row>
    <row r="286" spans="4:11">
      <c r="D286" s="127" t="s">
        <v>3350</v>
      </c>
      <c r="E286" s="127" t="s">
        <v>3345</v>
      </c>
      <c r="F286" s="127" t="s">
        <v>3296</v>
      </c>
      <c r="G286" s="127" t="s">
        <v>3349</v>
      </c>
    </row>
    <row r="287" spans="4:11">
      <c r="E287" s="127">
        <f>(E270-0.04)+(F270-0.04)*2</f>
        <v>1.43</v>
      </c>
      <c r="F287" s="127">
        <f>ROUNDUP(G270/2/0.15,0)</f>
        <v>399</v>
      </c>
      <c r="G287" s="180">
        <f>G284</f>
        <v>0.61678571428571438</v>
      </c>
      <c r="H287" s="127">
        <f>E287*F287*G287</f>
        <v>351.91942499999999</v>
      </c>
      <c r="I287" s="127" t="s">
        <v>93</v>
      </c>
    </row>
    <row r="289" spans="3:10">
      <c r="D289" s="127" t="s">
        <v>3380</v>
      </c>
      <c r="E289" s="127" t="s">
        <v>3345</v>
      </c>
      <c r="F289" s="127" t="s">
        <v>3296</v>
      </c>
      <c r="G289" s="127" t="s">
        <v>3349</v>
      </c>
    </row>
    <row r="290" spans="3:10">
      <c r="E290" s="127">
        <f>(F270-0.04+0.02)*2</f>
        <v>1.1599999999999999</v>
      </c>
      <c r="F290" s="127">
        <f>ROUNDUP(G270/2/0.15,0)</f>
        <v>399</v>
      </c>
      <c r="G290" s="180">
        <f>G287</f>
        <v>0.61678571428571438</v>
      </c>
      <c r="H290" s="127">
        <f>E290*F290*G290</f>
        <v>285.47310000000004</v>
      </c>
      <c r="I290" s="127" t="s">
        <v>93</v>
      </c>
    </row>
    <row r="292" spans="3:10" s="160" customFormat="1">
      <c r="D292" s="160" t="s">
        <v>3351</v>
      </c>
      <c r="E292" s="160" t="s">
        <v>3294</v>
      </c>
      <c r="F292" s="160" t="s">
        <v>3390</v>
      </c>
      <c r="G292" s="160" t="s">
        <v>3345</v>
      </c>
    </row>
    <row r="293" spans="3:10" s="160" customFormat="1">
      <c r="E293" s="160">
        <f>E270</f>
        <v>0.35</v>
      </c>
      <c r="F293" s="160">
        <f>F270-0.12</f>
        <v>0.48</v>
      </c>
      <c r="G293" s="160">
        <f>G270</f>
        <v>119.5</v>
      </c>
      <c r="H293" s="160">
        <f>(F293+F293+E293)*G293</f>
        <v>156.54500000000002</v>
      </c>
      <c r="I293" s="160" t="s">
        <v>376</v>
      </c>
    </row>
    <row r="295" spans="3:10" s="160" customFormat="1">
      <c r="C295" s="160" t="s">
        <v>3391</v>
      </c>
      <c r="D295" s="160" t="s">
        <v>3353</v>
      </c>
      <c r="H295" s="196" t="s">
        <v>3392</v>
      </c>
      <c r="I295" s="196"/>
      <c r="J295" s="196"/>
    </row>
    <row r="296" spans="3:10">
      <c r="C296" s="190" t="s">
        <v>3354</v>
      </c>
      <c r="D296" s="127" t="s">
        <v>65</v>
      </c>
      <c r="E296" s="127">
        <f>5.6*6+2.24</f>
        <v>35.839999999999996</v>
      </c>
      <c r="F296" s="127">
        <f>SUM(E296:E300)+J296</f>
        <v>229.29999999999998</v>
      </c>
      <c r="G296" s="127" t="s">
        <v>113</v>
      </c>
      <c r="H296" s="196" t="s">
        <v>3388</v>
      </c>
      <c r="I296" s="196">
        <f>5.6*3</f>
        <v>16.799999999999997</v>
      </c>
      <c r="J296" s="196">
        <f>SUM(I296:I301)</f>
        <v>82.07</v>
      </c>
    </row>
    <row r="297" spans="3:10">
      <c r="C297" s="190" t="s">
        <v>3354</v>
      </c>
      <c r="D297" s="127" t="s">
        <v>3358</v>
      </c>
      <c r="E297" s="127">
        <f>(5.6*6)+4.18</f>
        <v>37.779999999999994</v>
      </c>
      <c r="H297" s="196"/>
      <c r="I297" s="196">
        <f>5.65*2+12.67</f>
        <v>23.97</v>
      </c>
      <c r="J297" s="196"/>
    </row>
    <row r="298" spans="3:10">
      <c r="C298" s="190" t="s">
        <v>3354</v>
      </c>
      <c r="D298" s="127" t="s">
        <v>3357</v>
      </c>
      <c r="E298" s="127">
        <f>5.6*6+1.76</f>
        <v>35.359999999999992</v>
      </c>
      <c r="H298" s="196"/>
      <c r="I298" s="196">
        <f>5.65*2</f>
        <v>11.3</v>
      </c>
      <c r="J298" s="196"/>
    </row>
    <row r="299" spans="3:10">
      <c r="C299" s="190" t="s">
        <v>3354</v>
      </c>
      <c r="D299" s="127" t="s">
        <v>53</v>
      </c>
      <c r="E299" s="127">
        <f>5.6*5+2.55</f>
        <v>30.55</v>
      </c>
      <c r="H299" s="196"/>
      <c r="I299" s="196">
        <f>5.6*3</f>
        <v>16.799999999999997</v>
      </c>
      <c r="J299" s="196"/>
    </row>
    <row r="300" spans="3:10">
      <c r="C300" s="190"/>
      <c r="D300" s="127" t="s">
        <v>3393</v>
      </c>
      <c r="E300" s="127">
        <v>7.7</v>
      </c>
      <c r="H300" s="196" t="s">
        <v>3355</v>
      </c>
      <c r="I300" s="196">
        <v>7.7</v>
      </c>
      <c r="J300" s="196"/>
    </row>
    <row r="301" spans="3:10" s="160" customFormat="1">
      <c r="D301" s="160" t="s">
        <v>3293</v>
      </c>
      <c r="E301" s="160" t="s">
        <v>3294</v>
      </c>
      <c r="F301" s="160" t="s">
        <v>3344</v>
      </c>
      <c r="G301" s="160" t="s">
        <v>3345</v>
      </c>
      <c r="H301" s="196"/>
      <c r="I301" s="196">
        <v>5.5</v>
      </c>
      <c r="J301" s="196"/>
    </row>
    <row r="302" spans="3:10" s="160" customFormat="1">
      <c r="E302" s="160">
        <v>0.25</v>
      </c>
      <c r="F302" s="160">
        <v>0.5</v>
      </c>
      <c r="G302" s="160">
        <f>F296</f>
        <v>229.29999999999998</v>
      </c>
      <c r="H302" s="160">
        <f>E302*F304*G302</f>
        <v>21.7835</v>
      </c>
      <c r="I302" s="160" t="s">
        <v>375</v>
      </c>
    </row>
    <row r="303" spans="3:10">
      <c r="F303" s="127" t="s">
        <v>3389</v>
      </c>
    </row>
    <row r="304" spans="3:10">
      <c r="F304" s="127">
        <f>F302-0.12</f>
        <v>0.38</v>
      </c>
    </row>
    <row r="306" spans="4:11" s="160" customFormat="1">
      <c r="D306" s="160" t="s">
        <v>3346</v>
      </c>
      <c r="E306" s="160" t="s">
        <v>3345</v>
      </c>
      <c r="F306" s="160" t="s">
        <v>3296</v>
      </c>
      <c r="G306" s="160" t="s">
        <v>3311</v>
      </c>
    </row>
    <row r="307" spans="4:11" s="160" customFormat="1">
      <c r="E307" s="160">
        <f>G302</f>
        <v>229.29999999999998</v>
      </c>
      <c r="F307" s="160">
        <v>9</v>
      </c>
      <c r="G307" s="189">
        <f>W17</f>
        <v>1.5789714285714285</v>
      </c>
      <c r="H307" s="160">
        <f>E307*F307*G307</f>
        <v>3258.5233371428567</v>
      </c>
      <c r="I307" s="160" t="s">
        <v>93</v>
      </c>
      <c r="J307" s="160">
        <f>SUM(H307:H322)</f>
        <v>5814.9545614285717</v>
      </c>
      <c r="K307" s="160" t="s">
        <v>3305</v>
      </c>
    </row>
    <row r="309" spans="4:11">
      <c r="D309" s="127" t="s">
        <v>3347</v>
      </c>
      <c r="E309" s="127" t="s">
        <v>3345</v>
      </c>
      <c r="F309" s="127" t="s">
        <v>3296</v>
      </c>
      <c r="G309" s="127" t="s">
        <v>3341</v>
      </c>
    </row>
    <row r="310" spans="4:11">
      <c r="E310" s="127">
        <f>G302</f>
        <v>229.29999999999998</v>
      </c>
      <c r="F310" s="127">
        <v>2</v>
      </c>
      <c r="G310" s="180">
        <f>G278</f>
        <v>1.0423678571428572</v>
      </c>
      <c r="H310" s="127">
        <f>E310*F310*G310</f>
        <v>478.02989928571429</v>
      </c>
      <c r="I310" s="127" t="s">
        <v>93</v>
      </c>
    </row>
    <row r="312" spans="4:11">
      <c r="D312" s="127" t="s">
        <v>3348</v>
      </c>
      <c r="E312" s="127" t="s">
        <v>3345</v>
      </c>
      <c r="F312" s="127" t="s">
        <v>3296</v>
      </c>
      <c r="G312" s="127" t="s">
        <v>3349</v>
      </c>
    </row>
    <row r="313" spans="4:11">
      <c r="E313" s="127">
        <f>(E302-0.04)+(F302-0.04)*2</f>
        <v>1.1300000000000001</v>
      </c>
      <c r="F313" s="127">
        <f>ROUNDUP(G302/2/0.09,0)</f>
        <v>1274</v>
      </c>
      <c r="G313" s="180">
        <f>G287</f>
        <v>0.61678571428571438</v>
      </c>
      <c r="H313" s="127">
        <f>E313*F313*G313</f>
        <v>887.93705000000023</v>
      </c>
      <c r="I313" s="127" t="s">
        <v>93</v>
      </c>
    </row>
    <row r="315" spans="4:11">
      <c r="D315" s="127" t="s">
        <v>3380</v>
      </c>
      <c r="E315" s="127" t="s">
        <v>3345</v>
      </c>
      <c r="F315" s="127" t="s">
        <v>3296</v>
      </c>
      <c r="G315" s="127" t="s">
        <v>3349</v>
      </c>
    </row>
    <row r="316" spans="4:11">
      <c r="E316" s="127">
        <f>(F302-0.04+0.02)*1</f>
        <v>0.48000000000000004</v>
      </c>
      <c r="F316" s="127">
        <f>ROUNDUP(G302/2/0.09,0)</f>
        <v>1274</v>
      </c>
      <c r="G316" s="180">
        <f>G313</f>
        <v>0.61678571428571438</v>
      </c>
      <c r="H316" s="127">
        <f>E316*F316*G316</f>
        <v>377.17680000000013</v>
      </c>
      <c r="I316" s="127" t="s">
        <v>93</v>
      </c>
    </row>
    <row r="318" spans="4:11">
      <c r="D318" s="127" t="s">
        <v>3350</v>
      </c>
      <c r="E318" s="127" t="s">
        <v>3345</v>
      </c>
      <c r="F318" s="127" t="s">
        <v>3296</v>
      </c>
      <c r="G318" s="127" t="s">
        <v>3349</v>
      </c>
    </row>
    <row r="319" spans="4:11">
      <c r="E319" s="127">
        <f>(E302-0.04)+(F302-0.04)*2</f>
        <v>1.1300000000000001</v>
      </c>
      <c r="F319" s="127">
        <f>ROUNDUP(G302/2/0.14,0)</f>
        <v>819</v>
      </c>
      <c r="G319" s="180">
        <f>G316</f>
        <v>0.61678571428571438</v>
      </c>
      <c r="H319" s="127">
        <f>E319*F319*G319</f>
        <v>570.81667500000015</v>
      </c>
      <c r="I319" s="127" t="s">
        <v>93</v>
      </c>
    </row>
    <row r="321" spans="3:10">
      <c r="D321" s="127" t="s">
        <v>3380</v>
      </c>
      <c r="E321" s="127" t="s">
        <v>3345</v>
      </c>
      <c r="F321" s="127" t="s">
        <v>3296</v>
      </c>
      <c r="G321" s="127" t="s">
        <v>3349</v>
      </c>
    </row>
    <row r="322" spans="3:10">
      <c r="E322" s="127">
        <f>(F302-0.04+0.02)*1</f>
        <v>0.48000000000000004</v>
      </c>
      <c r="F322" s="127">
        <f>ROUNDUP(G302/2/0.14,0)</f>
        <v>819</v>
      </c>
      <c r="G322" s="180">
        <f>G319</f>
        <v>0.61678571428571438</v>
      </c>
      <c r="H322" s="127">
        <f>E322*F322*G322</f>
        <v>242.47080000000005</v>
      </c>
      <c r="I322" s="127" t="s">
        <v>93</v>
      </c>
    </row>
    <row r="324" spans="3:10" s="160" customFormat="1">
      <c r="D324" s="160" t="s">
        <v>3351</v>
      </c>
      <c r="E324" s="160" t="s">
        <v>3294</v>
      </c>
      <c r="F324" s="160" t="s">
        <v>3390</v>
      </c>
      <c r="G324" s="160" t="s">
        <v>3345</v>
      </c>
    </row>
    <row r="325" spans="3:10" s="160" customFormat="1">
      <c r="E325" s="160">
        <f>E302</f>
        <v>0.25</v>
      </c>
      <c r="F325" s="160">
        <f>F302-0.12</f>
        <v>0.38</v>
      </c>
      <c r="G325" s="160">
        <f>G302</f>
        <v>229.29999999999998</v>
      </c>
      <c r="H325" s="160">
        <f>(F325+F325+E325)*G325</f>
        <v>231.59299999999999</v>
      </c>
      <c r="I325" s="160" t="s">
        <v>376</v>
      </c>
    </row>
    <row r="327" spans="3:10" s="160" customFormat="1">
      <c r="C327" s="160" t="s">
        <v>3394</v>
      </c>
      <c r="D327" s="160" t="s">
        <v>3353</v>
      </c>
      <c r="H327" s="196" t="s">
        <v>3387</v>
      </c>
      <c r="I327" s="196"/>
      <c r="J327" s="196"/>
    </row>
    <row r="328" spans="3:10">
      <c r="C328" s="190" t="s">
        <v>3354</v>
      </c>
      <c r="D328" s="127" t="s">
        <v>45</v>
      </c>
      <c r="E328" s="127">
        <f>1.6+(3*11)</f>
        <v>34.6</v>
      </c>
      <c r="F328" s="127">
        <f>SUM(E328:E339)+J328</f>
        <v>164.89999999999998</v>
      </c>
      <c r="G328" s="127" t="s">
        <v>113</v>
      </c>
      <c r="H328" s="196" t="s">
        <v>3388</v>
      </c>
      <c r="I328" s="196">
        <v>12</v>
      </c>
      <c r="J328" s="196">
        <f>SUM(I328:I333)</f>
        <v>45.399999999999991</v>
      </c>
    </row>
    <row r="329" spans="3:10">
      <c r="C329" s="190"/>
      <c r="D329" s="127" t="s">
        <v>3357</v>
      </c>
      <c r="E329" s="127">
        <f>1.3+1.1</f>
        <v>2.4000000000000004</v>
      </c>
      <c r="H329" s="196"/>
      <c r="I329" s="196">
        <v>12</v>
      </c>
      <c r="J329" s="196"/>
    </row>
    <row r="330" spans="3:10">
      <c r="C330" s="190"/>
      <c r="D330" s="127" t="s">
        <v>3395</v>
      </c>
      <c r="E330" s="127">
        <f>1.3+(3*10)</f>
        <v>31.3</v>
      </c>
      <c r="H330" s="196"/>
      <c r="I330" s="196">
        <v>4.5</v>
      </c>
      <c r="J330" s="196"/>
    </row>
    <row r="331" spans="3:10">
      <c r="C331" s="190"/>
      <c r="D331" s="127" t="s">
        <v>3396</v>
      </c>
      <c r="E331" s="127">
        <f>1.8+2.7+2.8</f>
        <v>7.3</v>
      </c>
      <c r="H331" s="196" t="s">
        <v>3397</v>
      </c>
      <c r="I331" s="196">
        <f>E331</f>
        <v>7.3</v>
      </c>
      <c r="J331" s="196"/>
    </row>
    <row r="332" spans="3:10">
      <c r="C332" s="190"/>
      <c r="D332" s="127" t="s">
        <v>3398</v>
      </c>
      <c r="E332" s="127">
        <f>1.8+2.7+2.8</f>
        <v>7.3</v>
      </c>
      <c r="H332" s="196"/>
      <c r="I332" s="196">
        <f>I331</f>
        <v>7.3</v>
      </c>
      <c r="J332" s="196"/>
    </row>
    <row r="333" spans="3:10">
      <c r="C333" s="190"/>
      <c r="D333" s="127" t="s">
        <v>3399</v>
      </c>
      <c r="E333" s="127">
        <f>1.8+2.7+2.8</f>
        <v>7.3</v>
      </c>
      <c r="H333" s="127" t="s">
        <v>3400</v>
      </c>
      <c r="I333" s="196">
        <v>2.2999999999999998</v>
      </c>
    </row>
    <row r="334" spans="3:10">
      <c r="C334" s="190"/>
      <c r="D334" s="127" t="s">
        <v>3401</v>
      </c>
      <c r="E334" s="127">
        <f t="shared" ref="E334:E336" si="16">1.8+2.7+2.8</f>
        <v>7.3</v>
      </c>
    </row>
    <row r="335" spans="3:10">
      <c r="C335" s="190"/>
      <c r="D335" s="127" t="s">
        <v>3402</v>
      </c>
      <c r="E335" s="127">
        <f t="shared" si="16"/>
        <v>7.3</v>
      </c>
    </row>
    <row r="336" spans="3:10">
      <c r="C336" s="190"/>
      <c r="D336" s="127" t="s">
        <v>3403</v>
      </c>
      <c r="E336" s="127">
        <f t="shared" si="16"/>
        <v>7.3</v>
      </c>
    </row>
    <row r="337" spans="3:11">
      <c r="C337" s="190"/>
      <c r="D337" s="127" t="s">
        <v>3355</v>
      </c>
      <c r="E337" s="127">
        <v>3.7</v>
      </c>
    </row>
    <row r="338" spans="3:11">
      <c r="C338" s="190"/>
      <c r="E338" s="127">
        <v>3.7</v>
      </c>
    </row>
    <row r="339" spans="3:11">
      <c r="C339" s="190"/>
    </row>
    <row r="340" spans="3:11" s="160" customFormat="1">
      <c r="D340" s="160" t="s">
        <v>3293</v>
      </c>
      <c r="E340" s="160" t="s">
        <v>3294</v>
      </c>
      <c r="F340" s="160" t="s">
        <v>3344</v>
      </c>
      <c r="G340" s="160" t="s">
        <v>3345</v>
      </c>
    </row>
    <row r="341" spans="3:11" s="160" customFormat="1">
      <c r="E341" s="160">
        <v>0.25</v>
      </c>
      <c r="F341" s="160">
        <v>0.3</v>
      </c>
      <c r="G341" s="160">
        <f>F328</f>
        <v>164.89999999999998</v>
      </c>
      <c r="H341" s="160">
        <f>E341*F343*G341</f>
        <v>7.4204999999999988</v>
      </c>
      <c r="I341" s="160" t="s">
        <v>375</v>
      </c>
    </row>
    <row r="342" spans="3:11">
      <c r="F342" s="127" t="s">
        <v>3389</v>
      </c>
    </row>
    <row r="343" spans="3:11">
      <c r="F343" s="127">
        <f>F341-0.12</f>
        <v>0.18</v>
      </c>
    </row>
    <row r="345" spans="3:11" s="160" customFormat="1">
      <c r="D345" s="160" t="s">
        <v>3346</v>
      </c>
      <c r="E345" s="160" t="s">
        <v>3345</v>
      </c>
      <c r="F345" s="160" t="s">
        <v>3296</v>
      </c>
      <c r="G345" s="160" t="s">
        <v>3341</v>
      </c>
    </row>
    <row r="346" spans="3:11" s="160" customFormat="1">
      <c r="E346" s="160">
        <f>G341</f>
        <v>164.89999999999998</v>
      </c>
      <c r="F346" s="160">
        <v>8</v>
      </c>
      <c r="G346" s="189">
        <f>G310</f>
        <v>1.0423678571428572</v>
      </c>
      <c r="H346" s="160">
        <f>E346*F346*G346</f>
        <v>1375.091677142857</v>
      </c>
      <c r="I346" s="160" t="s">
        <v>93</v>
      </c>
      <c r="J346" s="160">
        <f>SUM(H346:H361)</f>
        <v>2750.8457821428569</v>
      </c>
      <c r="K346" s="160" t="s">
        <v>3305</v>
      </c>
    </row>
    <row r="348" spans="3:11">
      <c r="D348" s="127" t="s">
        <v>3347</v>
      </c>
      <c r="E348" s="127" t="s">
        <v>3345</v>
      </c>
      <c r="F348" s="127" t="s">
        <v>3296</v>
      </c>
      <c r="G348" s="127" t="str">
        <f>G345</f>
        <v>D13</v>
      </c>
    </row>
    <row r="349" spans="3:11">
      <c r="E349" s="127">
        <f>G341</f>
        <v>164.89999999999998</v>
      </c>
      <c r="F349" s="127">
        <v>2</v>
      </c>
      <c r="G349" s="180">
        <f>G346</f>
        <v>1.0423678571428572</v>
      </c>
      <c r="H349" s="127">
        <f>E349*F349*G349</f>
        <v>343.77291928571424</v>
      </c>
      <c r="I349" s="127" t="s">
        <v>93</v>
      </c>
    </row>
    <row r="351" spans="3:11">
      <c r="D351" s="127" t="s">
        <v>3348</v>
      </c>
      <c r="E351" s="127" t="s">
        <v>3345</v>
      </c>
      <c r="F351" s="127" t="s">
        <v>3296</v>
      </c>
      <c r="G351" s="127" t="s">
        <v>3349</v>
      </c>
    </row>
    <row r="352" spans="3:11">
      <c r="E352" s="127">
        <f>(E341-0.04)+(F341-0.04)*2</f>
        <v>0.73</v>
      </c>
      <c r="F352" s="127">
        <f>ROUNDUP(G341/2/0.06,0)</f>
        <v>1375</v>
      </c>
      <c r="G352" s="180">
        <f>G319</f>
        <v>0.61678571428571438</v>
      </c>
      <c r="H352" s="127">
        <f>E352*F352*G352</f>
        <v>619.09866071428576</v>
      </c>
      <c r="I352" s="127" t="s">
        <v>93</v>
      </c>
    </row>
    <row r="354" spans="3:9">
      <c r="D354" s="127" t="s">
        <v>3380</v>
      </c>
      <c r="E354" s="127" t="s">
        <v>3345</v>
      </c>
      <c r="F354" s="127" t="s">
        <v>3296</v>
      </c>
      <c r="G354" s="127" t="s">
        <v>3349</v>
      </c>
    </row>
    <row r="355" spans="3:9">
      <c r="E355" s="127">
        <f>(F341-0.04+0.02)*0</f>
        <v>0</v>
      </c>
      <c r="F355" s="127">
        <f>ROUNDUP(G341/2/0.09,0)</f>
        <v>917</v>
      </c>
      <c r="G355" s="180">
        <f>G352</f>
        <v>0.61678571428571438</v>
      </c>
      <c r="H355" s="127">
        <f>E355*F355*G355</f>
        <v>0</v>
      </c>
      <c r="I355" s="127" t="s">
        <v>93</v>
      </c>
    </row>
    <row r="357" spans="3:9">
      <c r="D357" s="127" t="s">
        <v>3350</v>
      </c>
      <c r="E357" s="127" t="s">
        <v>3345</v>
      </c>
      <c r="F357" s="127" t="s">
        <v>3296</v>
      </c>
      <c r="G357" s="127" t="s">
        <v>3349</v>
      </c>
    </row>
    <row r="358" spans="3:9">
      <c r="E358" s="127">
        <f>(E341-0.04)+(F341-0.04)*2</f>
        <v>0.73</v>
      </c>
      <c r="F358" s="127">
        <f>ROUNDUP(G341/2/0.09,0)</f>
        <v>917</v>
      </c>
      <c r="G358" s="180">
        <f>G355</f>
        <v>0.61678571428571438</v>
      </c>
      <c r="H358" s="127">
        <f>E358*F358*G358</f>
        <v>412.88252500000004</v>
      </c>
      <c r="I358" s="127" t="s">
        <v>93</v>
      </c>
    </row>
    <row r="360" spans="3:9">
      <c r="D360" s="127" t="s">
        <v>3380</v>
      </c>
      <c r="E360" s="127" t="s">
        <v>3345</v>
      </c>
      <c r="F360" s="127" t="s">
        <v>3296</v>
      </c>
      <c r="G360" s="127" t="s">
        <v>3349</v>
      </c>
    </row>
    <row r="361" spans="3:9">
      <c r="E361" s="127">
        <f>(F341-0.04+0.02)*0</f>
        <v>0</v>
      </c>
      <c r="F361" s="127">
        <f>ROUNDUP(G341/2/0.14,0)</f>
        <v>589</v>
      </c>
      <c r="G361" s="180">
        <f>G358</f>
        <v>0.61678571428571438</v>
      </c>
      <c r="H361" s="127">
        <f>E361*F361*G361</f>
        <v>0</v>
      </c>
      <c r="I361" s="127" t="s">
        <v>93</v>
      </c>
    </row>
    <row r="363" spans="3:9" s="160" customFormat="1">
      <c r="D363" s="160" t="s">
        <v>3351</v>
      </c>
      <c r="E363" s="160" t="s">
        <v>3294</v>
      </c>
      <c r="F363" s="160" t="s">
        <v>3390</v>
      </c>
      <c r="G363" s="160" t="s">
        <v>3345</v>
      </c>
    </row>
    <row r="364" spans="3:9" s="160" customFormat="1">
      <c r="E364" s="160">
        <f>E341</f>
        <v>0.25</v>
      </c>
      <c r="F364" s="160">
        <f>F341-0.12</f>
        <v>0.18</v>
      </c>
      <c r="G364" s="160">
        <f>G341</f>
        <v>164.89999999999998</v>
      </c>
      <c r="H364" s="160">
        <f>(F364+F364+E364)*G364</f>
        <v>100.58899999999998</v>
      </c>
      <c r="I364" s="160" t="s">
        <v>376</v>
      </c>
    </row>
    <row r="366" spans="3:9" s="160" customFormat="1">
      <c r="C366" s="160" t="s">
        <v>3404</v>
      </c>
      <c r="D366" s="160" t="s">
        <v>3353</v>
      </c>
    </row>
    <row r="367" spans="3:9">
      <c r="C367" s="190" t="s">
        <v>3354</v>
      </c>
      <c r="D367" s="127" t="s">
        <v>68</v>
      </c>
      <c r="E367" s="127">
        <f>5.7*3</f>
        <v>17.100000000000001</v>
      </c>
      <c r="F367" s="127">
        <f>SUM(E367:E370)+14</f>
        <v>59.25</v>
      </c>
      <c r="G367" s="127" t="s">
        <v>113</v>
      </c>
    </row>
    <row r="368" spans="3:9">
      <c r="C368" s="190"/>
      <c r="D368" s="127" t="s">
        <v>3355</v>
      </c>
      <c r="E368" s="127">
        <v>3.7</v>
      </c>
    </row>
    <row r="369" spans="3:11">
      <c r="C369" s="190"/>
      <c r="D369" s="127" t="s">
        <v>3355</v>
      </c>
      <c r="E369" s="127">
        <f>3.7+3.7</f>
        <v>7.4</v>
      </c>
    </row>
    <row r="370" spans="3:11">
      <c r="C370" s="190"/>
      <c r="D370" s="127" t="s">
        <v>3405</v>
      </c>
      <c r="E370" s="127">
        <f>3.7*2+3.75*2+2.15</f>
        <v>17.05</v>
      </c>
    </row>
    <row r="371" spans="3:11" s="160" customFormat="1">
      <c r="D371" s="160" t="s">
        <v>3293</v>
      </c>
      <c r="E371" s="160" t="s">
        <v>3294</v>
      </c>
      <c r="F371" s="160" t="s">
        <v>3344</v>
      </c>
      <c r="G371" s="160" t="s">
        <v>3345</v>
      </c>
    </row>
    <row r="372" spans="3:11" s="160" customFormat="1">
      <c r="E372" s="160">
        <v>0.25</v>
      </c>
      <c r="F372" s="160">
        <v>0.5</v>
      </c>
      <c r="G372" s="160">
        <f>F367</f>
        <v>59.25</v>
      </c>
      <c r="H372" s="160">
        <f>E372*F374*G372</f>
        <v>5.6287500000000001</v>
      </c>
      <c r="I372" s="160" t="s">
        <v>375</v>
      </c>
    </row>
    <row r="373" spans="3:11">
      <c r="F373" s="127" t="s">
        <v>3389</v>
      </c>
    </row>
    <row r="374" spans="3:11">
      <c r="F374" s="127">
        <f>F372-0.12</f>
        <v>0.38</v>
      </c>
    </row>
    <row r="376" spans="3:11" s="160" customFormat="1">
      <c r="D376" s="160" t="s">
        <v>3346</v>
      </c>
      <c r="E376" s="160" t="s">
        <v>3345</v>
      </c>
      <c r="F376" s="160" t="s">
        <v>3296</v>
      </c>
      <c r="G376" s="160" t="s">
        <v>3311</v>
      </c>
    </row>
    <row r="377" spans="3:11" s="160" customFormat="1">
      <c r="E377" s="160">
        <f>G372</f>
        <v>59.25</v>
      </c>
      <c r="F377" s="160">
        <v>6</v>
      </c>
      <c r="G377" s="189">
        <f>G307</f>
        <v>1.5789714285714285</v>
      </c>
      <c r="H377" s="160">
        <f>E377*F377*G377</f>
        <v>561.32434285714282</v>
      </c>
      <c r="I377" s="160" t="s">
        <v>93</v>
      </c>
      <c r="J377" s="160">
        <f>SUM(H377:H392)</f>
        <v>1062.6015125000001</v>
      </c>
      <c r="K377" s="160" t="s">
        <v>3305</v>
      </c>
    </row>
    <row r="379" spans="3:11">
      <c r="D379" s="127" t="s">
        <v>3347</v>
      </c>
      <c r="E379" s="127" t="s">
        <v>3345</v>
      </c>
      <c r="F379" s="127" t="s">
        <v>3296</v>
      </c>
      <c r="G379" s="127" t="s">
        <v>3341</v>
      </c>
    </row>
    <row r="380" spans="3:11">
      <c r="E380" s="127">
        <f>G372</f>
        <v>59.25</v>
      </c>
      <c r="F380" s="127">
        <v>2</v>
      </c>
      <c r="G380" s="180">
        <f>G349</f>
        <v>1.0423678571428572</v>
      </c>
      <c r="H380" s="127">
        <f>E380*F380*G380</f>
        <v>123.52059107142857</v>
      </c>
      <c r="I380" s="127" t="s">
        <v>93</v>
      </c>
    </row>
    <row r="382" spans="3:11">
      <c r="D382" s="127" t="s">
        <v>3348</v>
      </c>
      <c r="E382" s="127" t="s">
        <v>3345</v>
      </c>
      <c r="F382" s="127" t="s">
        <v>3296</v>
      </c>
      <c r="G382" s="127" t="s">
        <v>3349</v>
      </c>
    </row>
    <row r="383" spans="3:11">
      <c r="E383" s="127">
        <f>(E372-0.04)+(F372-0.04)*2</f>
        <v>1.1300000000000001</v>
      </c>
      <c r="F383" s="127">
        <f>ROUNDUP(G372/2/0.09,0)</f>
        <v>330</v>
      </c>
      <c r="G383" s="180">
        <f>G361</f>
        <v>0.61678571428571438</v>
      </c>
      <c r="H383" s="127">
        <f>E383*F383*G383</f>
        <v>229.99939285714291</v>
      </c>
      <c r="I383" s="127" t="s">
        <v>93</v>
      </c>
    </row>
    <row r="385" spans="3:10">
      <c r="D385" s="127" t="s">
        <v>3380</v>
      </c>
      <c r="E385" s="127" t="s">
        <v>3345</v>
      </c>
      <c r="F385" s="127" t="s">
        <v>3296</v>
      </c>
      <c r="G385" s="127" t="s">
        <v>3349</v>
      </c>
    </row>
    <row r="386" spans="3:10">
      <c r="E386" s="127">
        <f>(F372-0.04+0.02)*0</f>
        <v>0</v>
      </c>
      <c r="F386" s="127">
        <f>ROUNDUP(G372/2/0.09,0)</f>
        <v>330</v>
      </c>
      <c r="G386" s="180">
        <f>G383</f>
        <v>0.61678571428571438</v>
      </c>
      <c r="H386" s="127">
        <f>E386*F386*G386</f>
        <v>0</v>
      </c>
      <c r="I386" s="127" t="s">
        <v>93</v>
      </c>
    </row>
    <row r="388" spans="3:10">
      <c r="D388" s="127" t="s">
        <v>3350</v>
      </c>
      <c r="E388" s="127" t="s">
        <v>3345</v>
      </c>
      <c r="F388" s="127" t="s">
        <v>3296</v>
      </c>
      <c r="G388" s="127" t="s">
        <v>3349</v>
      </c>
    </row>
    <row r="389" spans="3:10">
      <c r="E389" s="127">
        <f>(E372-0.04)+(F372-0.04)*2</f>
        <v>1.1300000000000001</v>
      </c>
      <c r="F389" s="127">
        <f>ROUNDUP(G372/2/0.14,0)</f>
        <v>212</v>
      </c>
      <c r="G389" s="180">
        <f>G386</f>
        <v>0.61678571428571438</v>
      </c>
      <c r="H389" s="127">
        <f>E389*F389*G389</f>
        <v>147.75718571428575</v>
      </c>
      <c r="I389" s="127" t="s">
        <v>93</v>
      </c>
    </row>
    <row r="391" spans="3:10">
      <c r="D391" s="127" t="s">
        <v>3380</v>
      </c>
      <c r="E391" s="127" t="s">
        <v>3345</v>
      </c>
      <c r="F391" s="127" t="s">
        <v>3296</v>
      </c>
      <c r="G391" s="127" t="s">
        <v>3349</v>
      </c>
    </row>
    <row r="392" spans="3:10">
      <c r="E392" s="127">
        <f>(F372-0.04+0.02)*0</f>
        <v>0</v>
      </c>
      <c r="F392" s="127">
        <f>ROUNDUP(G372/2/0.14,0)</f>
        <v>212</v>
      </c>
      <c r="G392" s="180">
        <f>G389</f>
        <v>0.61678571428571438</v>
      </c>
      <c r="H392" s="127">
        <f>E392*F392*G392</f>
        <v>0</v>
      </c>
      <c r="I392" s="127" t="s">
        <v>93</v>
      </c>
    </row>
    <row r="394" spans="3:10" s="160" customFormat="1">
      <c r="D394" s="160" t="s">
        <v>3351</v>
      </c>
      <c r="E394" s="160" t="s">
        <v>3294</v>
      </c>
      <c r="F394" s="160" t="s">
        <v>3390</v>
      </c>
      <c r="G394" s="160" t="s">
        <v>3345</v>
      </c>
    </row>
    <row r="395" spans="3:10" s="160" customFormat="1">
      <c r="E395" s="160">
        <f>E372</f>
        <v>0.25</v>
      </c>
      <c r="F395" s="160">
        <f>F372-0.12</f>
        <v>0.38</v>
      </c>
      <c r="G395" s="160">
        <f>G372</f>
        <v>59.25</v>
      </c>
      <c r="H395" s="160">
        <f>(F395+F395+E395)*G395</f>
        <v>59.842500000000001</v>
      </c>
      <c r="I395" s="160" t="s">
        <v>376</v>
      </c>
    </row>
    <row r="397" spans="3:10" s="160" customFormat="1">
      <c r="C397" s="160" t="s">
        <v>3406</v>
      </c>
      <c r="D397" s="160" t="s">
        <v>3353</v>
      </c>
    </row>
    <row r="398" spans="3:10">
      <c r="C398" s="190" t="s">
        <v>3354</v>
      </c>
      <c r="D398" s="127">
        <v>7</v>
      </c>
      <c r="E398" s="127">
        <f>1.5*2</f>
        <v>3</v>
      </c>
      <c r="F398" s="127">
        <f>SUM(E398:E405)+J399</f>
        <v>37.049999999999997</v>
      </c>
      <c r="G398" s="127" t="s">
        <v>113</v>
      </c>
      <c r="H398" s="196" t="s">
        <v>3345</v>
      </c>
      <c r="I398" s="196"/>
      <c r="J398" s="196"/>
    </row>
    <row r="399" spans="3:10">
      <c r="C399" s="190"/>
      <c r="E399" s="127">
        <f t="shared" ref="E399:E402" si="17">1.5*2</f>
        <v>3</v>
      </c>
      <c r="H399" s="196" t="s">
        <v>3407</v>
      </c>
      <c r="I399" s="127">
        <f>1.5*2</f>
        <v>3</v>
      </c>
      <c r="J399" s="196">
        <f>SUM(I399:I403)</f>
        <v>18.55</v>
      </c>
    </row>
    <row r="400" spans="3:10">
      <c r="C400" s="190"/>
      <c r="E400" s="127">
        <f t="shared" si="17"/>
        <v>3</v>
      </c>
      <c r="H400" s="196" t="s">
        <v>3355</v>
      </c>
      <c r="I400" s="127">
        <f>1.5*2</f>
        <v>3</v>
      </c>
      <c r="J400" s="196"/>
    </row>
    <row r="401" spans="3:11">
      <c r="C401" s="190"/>
      <c r="E401" s="127">
        <f>1.5*2</f>
        <v>3</v>
      </c>
      <c r="I401" s="127">
        <f>1.5*2</f>
        <v>3</v>
      </c>
    </row>
    <row r="402" spans="3:11">
      <c r="C402" s="190"/>
      <c r="E402" s="127">
        <f t="shared" si="17"/>
        <v>3</v>
      </c>
      <c r="I402" s="127">
        <v>1.75</v>
      </c>
    </row>
    <row r="403" spans="3:11">
      <c r="C403" s="190"/>
      <c r="E403" s="127">
        <f>1.5*1</f>
        <v>1.5</v>
      </c>
      <c r="I403" s="127">
        <f>4.4+3.4</f>
        <v>7.8000000000000007</v>
      </c>
    </row>
    <row r="404" spans="3:11">
      <c r="C404" s="190"/>
      <c r="D404" s="127" t="s">
        <v>3355</v>
      </c>
      <c r="E404" s="127">
        <v>2</v>
      </c>
    </row>
    <row r="405" spans="3:11">
      <c r="C405" s="190"/>
    </row>
    <row r="406" spans="3:11" s="160" customFormat="1">
      <c r="D406" s="160" t="s">
        <v>3293</v>
      </c>
      <c r="E406" s="160" t="s">
        <v>3294</v>
      </c>
      <c r="F406" s="160" t="s">
        <v>3344</v>
      </c>
      <c r="G406" s="160" t="s">
        <v>3345</v>
      </c>
    </row>
    <row r="407" spans="3:11" s="160" customFormat="1">
      <c r="E407" s="160">
        <v>0.35</v>
      </c>
      <c r="F407" s="160">
        <v>0.6</v>
      </c>
      <c r="G407" s="160">
        <f>F398</f>
        <v>37.049999999999997</v>
      </c>
      <c r="H407" s="160">
        <f>E407*F409*G407</f>
        <v>6.2243999999999993</v>
      </c>
      <c r="I407" s="160" t="s">
        <v>375</v>
      </c>
    </row>
    <row r="408" spans="3:11">
      <c r="F408" s="127" t="s">
        <v>3389</v>
      </c>
    </row>
    <row r="409" spans="3:11">
      <c r="F409" s="127">
        <f>F407-0.12</f>
        <v>0.48</v>
      </c>
    </row>
    <row r="411" spans="3:11" s="160" customFormat="1">
      <c r="D411" s="160" t="s">
        <v>3346</v>
      </c>
      <c r="E411" s="160" t="s">
        <v>3345</v>
      </c>
      <c r="F411" s="160" t="s">
        <v>3296</v>
      </c>
      <c r="G411" s="160" t="s">
        <v>3316</v>
      </c>
    </row>
    <row r="412" spans="3:11" s="160" customFormat="1">
      <c r="E412" s="160">
        <f>G407</f>
        <v>37.049999999999997</v>
      </c>
      <c r="F412" s="160">
        <v>12</v>
      </c>
      <c r="G412" s="189">
        <f>W19</f>
        <v>2.2265964285714288</v>
      </c>
      <c r="H412" s="160">
        <f>E412*F412*G412</f>
        <v>989.94477214285712</v>
      </c>
      <c r="I412" s="160" t="s">
        <v>93</v>
      </c>
      <c r="J412" s="160">
        <f>SUM(H412:H427)</f>
        <v>1738.6843885714286</v>
      </c>
      <c r="K412" s="160" t="s">
        <v>3305</v>
      </c>
    </row>
    <row r="414" spans="3:11">
      <c r="D414" s="127" t="s">
        <v>3347</v>
      </c>
      <c r="E414" s="127" t="s">
        <v>3345</v>
      </c>
      <c r="F414" s="127" t="s">
        <v>3296</v>
      </c>
      <c r="G414" s="127" t="s">
        <v>3341</v>
      </c>
    </row>
    <row r="415" spans="3:11">
      <c r="E415" s="127">
        <f>G407</f>
        <v>37.049999999999997</v>
      </c>
      <c r="F415" s="127">
        <v>4</v>
      </c>
      <c r="G415" s="180">
        <f>G380</f>
        <v>1.0423678571428572</v>
      </c>
      <c r="H415" s="127">
        <f>E415*F415*G415</f>
        <v>154.47891642857141</v>
      </c>
      <c r="I415" s="127" t="s">
        <v>93</v>
      </c>
    </row>
    <row r="417" spans="3:9">
      <c r="D417" s="127" t="s">
        <v>3348</v>
      </c>
      <c r="E417" s="127" t="s">
        <v>3345</v>
      </c>
      <c r="F417" s="127" t="s">
        <v>3296</v>
      </c>
      <c r="G417" s="127" t="s">
        <v>3349</v>
      </c>
    </row>
    <row r="418" spans="3:9">
      <c r="E418" s="127">
        <f>(E407-0.04)+(F407-0.04)*2</f>
        <v>1.43</v>
      </c>
      <c r="F418" s="127">
        <f>ROUNDUP(G407/2/0.1,0)</f>
        <v>186</v>
      </c>
      <c r="G418" s="180">
        <f>G386</f>
        <v>0.61678571428571438</v>
      </c>
      <c r="H418" s="127">
        <f>E418*F418*G418</f>
        <v>164.05266428571429</v>
      </c>
      <c r="I418" s="127" t="s">
        <v>93</v>
      </c>
    </row>
    <row r="420" spans="3:9">
      <c r="D420" s="127" t="s">
        <v>3380</v>
      </c>
      <c r="E420" s="127" t="s">
        <v>3345</v>
      </c>
      <c r="F420" s="127" t="s">
        <v>3296</v>
      </c>
      <c r="G420" s="127" t="s">
        <v>3349</v>
      </c>
    </row>
    <row r="421" spans="3:9">
      <c r="E421" s="127">
        <f>(F407-0.04+0.02)*2</f>
        <v>1.1599999999999999</v>
      </c>
      <c r="F421" s="127">
        <f>ROUNDUP(G407/2/0.1,0)</f>
        <v>186</v>
      </c>
      <c r="G421" s="180">
        <f>G418</f>
        <v>0.61678571428571438</v>
      </c>
      <c r="H421" s="127">
        <f>E421*F421*G421</f>
        <v>133.07768571428574</v>
      </c>
      <c r="I421" s="127" t="s">
        <v>93</v>
      </c>
    </row>
    <row r="423" spans="3:9">
      <c r="D423" s="127" t="s">
        <v>3350</v>
      </c>
      <c r="E423" s="127" t="s">
        <v>3345</v>
      </c>
      <c r="F423" s="127" t="s">
        <v>3296</v>
      </c>
      <c r="G423" s="127" t="s">
        <v>3349</v>
      </c>
    </row>
    <row r="424" spans="3:9">
      <c r="E424" s="127">
        <f>(E407-0.04)+(F407-0.04)*2</f>
        <v>1.43</v>
      </c>
      <c r="F424" s="127">
        <f>ROUNDUP(G407/2/0.1,0)</f>
        <v>186</v>
      </c>
      <c r="G424" s="180">
        <f>G421</f>
        <v>0.61678571428571438</v>
      </c>
      <c r="H424" s="127">
        <f>E424*F424*G424</f>
        <v>164.05266428571429</v>
      </c>
      <c r="I424" s="127" t="s">
        <v>93</v>
      </c>
    </row>
    <row r="426" spans="3:9">
      <c r="D426" s="127" t="s">
        <v>3380</v>
      </c>
      <c r="E426" s="127" t="s">
        <v>3345</v>
      </c>
      <c r="F426" s="127" t="s">
        <v>3296</v>
      </c>
      <c r="G426" s="127" t="s">
        <v>3349</v>
      </c>
    </row>
    <row r="427" spans="3:9">
      <c r="E427" s="127">
        <f>(F407-0.04+0.02)*2</f>
        <v>1.1599999999999999</v>
      </c>
      <c r="F427" s="127">
        <f>ROUNDUP(G407/2/0.1,0)</f>
        <v>186</v>
      </c>
      <c r="G427" s="180">
        <f>G424</f>
        <v>0.61678571428571438</v>
      </c>
      <c r="H427" s="127">
        <f>E427*F427*G427</f>
        <v>133.07768571428574</v>
      </c>
      <c r="I427" s="127" t="s">
        <v>93</v>
      </c>
    </row>
    <row r="429" spans="3:9" s="160" customFormat="1">
      <c r="D429" s="160" t="s">
        <v>3351</v>
      </c>
      <c r="E429" s="160" t="s">
        <v>3294</v>
      </c>
      <c r="F429" s="160" t="s">
        <v>3390</v>
      </c>
      <c r="G429" s="160" t="s">
        <v>3345</v>
      </c>
    </row>
    <row r="430" spans="3:9" s="160" customFormat="1">
      <c r="E430" s="160">
        <f>E407</f>
        <v>0.35</v>
      </c>
      <c r="F430" s="160">
        <f>F407-0.12</f>
        <v>0.48</v>
      </c>
      <c r="G430" s="160">
        <f>G407</f>
        <v>37.049999999999997</v>
      </c>
      <c r="H430" s="160">
        <f>(F430+F430+E430)*G430</f>
        <v>48.535499999999999</v>
      </c>
      <c r="I430" s="160" t="s">
        <v>376</v>
      </c>
    </row>
    <row r="432" spans="3:9" s="160" customFormat="1">
      <c r="C432" s="160" t="s">
        <v>3408</v>
      </c>
      <c r="D432" s="160" t="s">
        <v>3353</v>
      </c>
    </row>
    <row r="433" spans="3:11">
      <c r="C433" s="190" t="s">
        <v>3354</v>
      </c>
      <c r="E433" s="127">
        <f>1.5*2</f>
        <v>3</v>
      </c>
      <c r="F433" s="127">
        <f>SUM(E433:E439)+J434</f>
        <v>29.823</v>
      </c>
      <c r="G433" s="127" t="s">
        <v>113</v>
      </c>
      <c r="H433" s="196" t="s">
        <v>3345</v>
      </c>
      <c r="I433" s="196"/>
      <c r="J433" s="196"/>
    </row>
    <row r="434" spans="3:11">
      <c r="C434" s="190"/>
      <c r="E434" s="127">
        <f t="shared" ref="E434:E437" si="18">1.5*2</f>
        <v>3</v>
      </c>
      <c r="H434" s="196" t="s">
        <v>3407</v>
      </c>
      <c r="I434" s="196">
        <f>1.5*4+0.8+0.8</f>
        <v>7.6</v>
      </c>
      <c r="J434" s="196">
        <f>SUM(I434:I435)</f>
        <v>13.323</v>
      </c>
    </row>
    <row r="435" spans="3:11">
      <c r="C435" s="190"/>
      <c r="E435" s="127">
        <f t="shared" si="18"/>
        <v>3</v>
      </c>
      <c r="H435" s="196" t="s">
        <v>3400</v>
      </c>
      <c r="I435" s="196">
        <f>0.823+0.6+2.2+2.1</f>
        <v>5.7230000000000008</v>
      </c>
      <c r="J435" s="196"/>
    </row>
    <row r="436" spans="3:11">
      <c r="C436" s="190"/>
      <c r="E436" s="127">
        <f>1.5*2</f>
        <v>3</v>
      </c>
    </row>
    <row r="437" spans="3:11">
      <c r="C437" s="190"/>
      <c r="E437" s="127">
        <f t="shared" si="18"/>
        <v>3</v>
      </c>
    </row>
    <row r="438" spans="3:11">
      <c r="C438" s="190"/>
      <c r="E438" s="127">
        <v>1.5</v>
      </c>
    </row>
    <row r="439" spans="3:11">
      <c r="C439" s="190"/>
    </row>
    <row r="440" spans="3:11" s="160" customFormat="1">
      <c r="D440" s="160" t="s">
        <v>3293</v>
      </c>
      <c r="E440" s="160" t="s">
        <v>3294</v>
      </c>
      <c r="F440" s="160" t="s">
        <v>3344</v>
      </c>
      <c r="G440" s="160" t="s">
        <v>3345</v>
      </c>
    </row>
    <row r="441" spans="3:11" s="160" customFormat="1">
      <c r="E441" s="160">
        <v>0.25</v>
      </c>
      <c r="F441" s="160">
        <v>0.3</v>
      </c>
      <c r="G441" s="160">
        <f>F433</f>
        <v>29.823</v>
      </c>
      <c r="H441" s="160">
        <f>E441*F443*G441</f>
        <v>1.3420349999999999</v>
      </c>
      <c r="I441" s="160" t="s">
        <v>375</v>
      </c>
    </row>
    <row r="442" spans="3:11">
      <c r="F442" s="127" t="s">
        <v>3389</v>
      </c>
    </row>
    <row r="443" spans="3:11">
      <c r="F443" s="127">
        <f>F441-0.12</f>
        <v>0.18</v>
      </c>
    </row>
    <row r="445" spans="3:11" s="160" customFormat="1">
      <c r="D445" s="160" t="s">
        <v>3346</v>
      </c>
      <c r="E445" s="160" t="s">
        <v>3345</v>
      </c>
      <c r="F445" s="160" t="s">
        <v>3296</v>
      </c>
      <c r="G445" s="160" t="s">
        <v>3341</v>
      </c>
    </row>
    <row r="446" spans="3:11" s="160" customFormat="1">
      <c r="E446" s="160">
        <f>G441</f>
        <v>29.823</v>
      </c>
      <c r="F446" s="160">
        <v>8</v>
      </c>
      <c r="G446" s="189">
        <f>G415</f>
        <v>1.0423678571428572</v>
      </c>
      <c r="H446" s="160">
        <f>E446*F446*G446</f>
        <v>248.69229282857145</v>
      </c>
      <c r="I446" s="160" t="s">
        <v>93</v>
      </c>
      <c r="J446" s="160">
        <f>SUM(H446:H461)</f>
        <v>535.09164460714294</v>
      </c>
      <c r="K446" s="160" t="s">
        <v>3305</v>
      </c>
    </row>
    <row r="448" spans="3:11">
      <c r="D448" s="127" t="s">
        <v>3347</v>
      </c>
      <c r="E448" s="127" t="s">
        <v>3345</v>
      </c>
      <c r="F448" s="127" t="s">
        <v>3296</v>
      </c>
      <c r="G448" s="127" t="s">
        <v>3341</v>
      </c>
    </row>
    <row r="449" spans="4:9">
      <c r="E449" s="127">
        <f>G441</f>
        <v>29.823</v>
      </c>
      <c r="F449" s="127">
        <v>2</v>
      </c>
      <c r="G449" s="180">
        <f>G446</f>
        <v>1.0423678571428572</v>
      </c>
      <c r="H449" s="127">
        <f>E449*F449*G449</f>
        <v>62.173073207142863</v>
      </c>
      <c r="I449" s="127" t="s">
        <v>93</v>
      </c>
    </row>
    <row r="451" spans="4:9">
      <c r="D451" s="127" t="s">
        <v>3348</v>
      </c>
      <c r="E451" s="127" t="s">
        <v>3345</v>
      </c>
      <c r="F451" s="127" t="s">
        <v>3296</v>
      </c>
      <c r="G451" s="127" t="s">
        <v>3349</v>
      </c>
    </row>
    <row r="452" spans="4:9">
      <c r="E452" s="127">
        <f>(E441-0.04)+(F441-0.04)*2</f>
        <v>0.73</v>
      </c>
      <c r="F452" s="127">
        <f>ROUNDUP(G441/2/0.06,0)</f>
        <v>249</v>
      </c>
      <c r="G452" s="180">
        <f>G424</f>
        <v>0.61678571428571438</v>
      </c>
      <c r="H452" s="127">
        <f>E452*F452*G452</f>
        <v>112.1131392857143</v>
      </c>
      <c r="I452" s="127" t="s">
        <v>93</v>
      </c>
    </row>
    <row r="454" spans="4:9">
      <c r="D454" s="127" t="s">
        <v>3380</v>
      </c>
      <c r="E454" s="127" t="s">
        <v>3345</v>
      </c>
      <c r="F454" s="127" t="s">
        <v>3296</v>
      </c>
      <c r="G454" s="127" t="s">
        <v>3349</v>
      </c>
    </row>
    <row r="455" spans="4:9">
      <c r="E455" s="127">
        <f>(F441-0.04+0.02)*0</f>
        <v>0</v>
      </c>
      <c r="F455" s="127">
        <f>ROUNDUP(G441/2/0.1,0)</f>
        <v>150</v>
      </c>
      <c r="G455" s="180">
        <f>G452</f>
        <v>0.61678571428571438</v>
      </c>
      <c r="H455" s="127">
        <f>E455*F455*G455</f>
        <v>0</v>
      </c>
      <c r="I455" s="127" t="s">
        <v>93</v>
      </c>
    </row>
    <row r="457" spans="4:9">
      <c r="D457" s="127" t="s">
        <v>3350</v>
      </c>
      <c r="E457" s="127" t="s">
        <v>3345</v>
      </c>
      <c r="F457" s="127" t="s">
        <v>3296</v>
      </c>
      <c r="G457" s="127" t="s">
        <v>3349</v>
      </c>
    </row>
    <row r="458" spans="4:9">
      <c r="E458" s="127">
        <f>(E441-0.04)+(F441-0.04)*2</f>
        <v>0.73</v>
      </c>
      <c r="F458" s="127">
        <f>ROUNDUP(G441/2/0.06,0)</f>
        <v>249</v>
      </c>
      <c r="G458" s="180">
        <f>G455</f>
        <v>0.61678571428571438</v>
      </c>
      <c r="H458" s="127">
        <f>E458*F458*G458</f>
        <v>112.1131392857143</v>
      </c>
      <c r="I458" s="127" t="s">
        <v>93</v>
      </c>
    </row>
    <row r="460" spans="4:9">
      <c r="D460" s="127" t="s">
        <v>3380</v>
      </c>
      <c r="E460" s="127" t="s">
        <v>3345</v>
      </c>
      <c r="F460" s="127" t="s">
        <v>3296</v>
      </c>
      <c r="G460" s="127" t="s">
        <v>3349</v>
      </c>
    </row>
    <row r="461" spans="4:9">
      <c r="E461" s="127">
        <f>(F441-0.04+0.02)*0</f>
        <v>0</v>
      </c>
      <c r="F461" s="127">
        <f>ROUNDUP(G441/2/0.1,0)</f>
        <v>150</v>
      </c>
      <c r="G461" s="180">
        <f>G458</f>
        <v>0.61678571428571438</v>
      </c>
      <c r="H461" s="127">
        <f>E461*F461*G461</f>
        <v>0</v>
      </c>
      <c r="I461" s="127" t="s">
        <v>93</v>
      </c>
    </row>
    <row r="463" spans="4:9" s="160" customFormat="1">
      <c r="D463" s="160" t="s">
        <v>3351</v>
      </c>
      <c r="E463" s="160" t="s">
        <v>3294</v>
      </c>
      <c r="F463" s="160" t="s">
        <v>3390</v>
      </c>
      <c r="G463" s="160" t="s">
        <v>3345</v>
      </c>
    </row>
    <row r="464" spans="4:9" s="160" customFormat="1">
      <c r="E464" s="160">
        <f>E441</f>
        <v>0.25</v>
      </c>
      <c r="F464" s="160">
        <f>F441-0.12</f>
        <v>0.18</v>
      </c>
      <c r="G464" s="160">
        <f>G441</f>
        <v>29.823</v>
      </c>
      <c r="H464" s="160">
        <f>(F464+F464+E464)*G464</f>
        <v>18.192029999999999</v>
      </c>
      <c r="I464" s="160" t="s">
        <v>376</v>
      </c>
    </row>
    <row r="466" spans="2:15" s="160" customFormat="1">
      <c r="B466" s="160" t="s">
        <v>3270</v>
      </c>
      <c r="C466" s="160" t="s">
        <v>3409</v>
      </c>
      <c r="D466" s="195" t="s">
        <v>3385</v>
      </c>
    </row>
    <row r="467" spans="2:15">
      <c r="D467" s="127" t="s">
        <v>3410</v>
      </c>
    </row>
    <row r="468" spans="2:15">
      <c r="C468" s="190" t="s">
        <v>3354</v>
      </c>
      <c r="D468" s="127" t="s">
        <v>3411</v>
      </c>
      <c r="E468" s="127">
        <f>7.5*4</f>
        <v>30</v>
      </c>
      <c r="F468" s="127">
        <f>SUM(E468:E473)+H469</f>
        <v>594.70000000000005</v>
      </c>
      <c r="G468" s="127" t="s">
        <v>376</v>
      </c>
      <c r="H468" s="127" t="s">
        <v>3361</v>
      </c>
    </row>
    <row r="469" spans="2:15">
      <c r="C469" s="190"/>
      <c r="D469" s="127" t="s">
        <v>3412</v>
      </c>
      <c r="E469" s="127">
        <f>3.7*10</f>
        <v>37</v>
      </c>
      <c r="H469" s="127">
        <v>214</v>
      </c>
    </row>
    <row r="470" spans="2:15">
      <c r="C470" s="190"/>
      <c r="D470" s="127" t="s">
        <v>3413</v>
      </c>
      <c r="E470" s="127">
        <f>5*12+9.1</f>
        <v>69.099999999999994</v>
      </c>
    </row>
    <row r="471" spans="2:15">
      <c r="C471" s="190"/>
      <c r="D471" s="127" t="s">
        <v>3414</v>
      </c>
      <c r="E471" s="127">
        <f>7.4*12+8.2</f>
        <v>97.000000000000014</v>
      </c>
      <c r="K471" s="197">
        <v>514.32755599999996</v>
      </c>
      <c r="L471" s="197">
        <f>2.24*3.9</f>
        <v>8.7360000000000007</v>
      </c>
      <c r="M471" s="197">
        <f>K471-L471</f>
        <v>505.59155599999997</v>
      </c>
    </row>
    <row r="472" spans="2:15">
      <c r="C472" s="190"/>
      <c r="D472" s="127" t="s">
        <v>3415</v>
      </c>
      <c r="E472" s="127">
        <f>7.7*12+9.9+2</f>
        <v>104.30000000000001</v>
      </c>
      <c r="K472" s="197">
        <v>213.402413</v>
      </c>
      <c r="L472" s="197"/>
      <c r="M472" s="197"/>
    </row>
    <row r="473" spans="2:15">
      <c r="C473" s="190"/>
      <c r="D473" s="127" t="s">
        <v>3416</v>
      </c>
      <c r="E473" s="127">
        <f>3.7*11+2.6</f>
        <v>43.300000000000004</v>
      </c>
      <c r="K473" s="197"/>
      <c r="L473" s="197"/>
      <c r="M473" s="197"/>
    </row>
    <row r="474" spans="2:15">
      <c r="D474" s="127" t="s">
        <v>3417</v>
      </c>
      <c r="K474" s="197"/>
      <c r="L474" s="197"/>
      <c r="M474" s="197">
        <f>M471+K472</f>
        <v>718.99396899999999</v>
      </c>
      <c r="O474" s="127">
        <f>F475-M474</f>
        <v>1.0060310000000072</v>
      </c>
    </row>
    <row r="475" spans="2:15">
      <c r="C475" s="190" t="s">
        <v>3354</v>
      </c>
      <c r="E475" s="127">
        <f>506+H469</f>
        <v>720</v>
      </c>
      <c r="F475" s="127">
        <f>SUM(E475)</f>
        <v>720</v>
      </c>
      <c r="G475" s="127" t="s">
        <v>376</v>
      </c>
    </row>
    <row r="477" spans="2:15" s="160" customFormat="1">
      <c r="D477" s="160" t="s">
        <v>3293</v>
      </c>
      <c r="E477" s="160" t="s">
        <v>3418</v>
      </c>
      <c r="F477" s="160" t="s">
        <v>3295</v>
      </c>
    </row>
    <row r="478" spans="2:15" s="160" customFormat="1">
      <c r="E478" s="160">
        <f>F475</f>
        <v>720</v>
      </c>
      <c r="F478" s="160">
        <v>0.12</v>
      </c>
      <c r="H478" s="160">
        <f>E478*F478</f>
        <v>86.399999999999991</v>
      </c>
      <c r="I478" s="160" t="s">
        <v>375</v>
      </c>
    </row>
    <row r="480" spans="2:15" s="160" customFormat="1">
      <c r="D480" s="160" t="s">
        <v>3346</v>
      </c>
      <c r="E480" s="160" t="s">
        <v>3345</v>
      </c>
      <c r="F480" s="160" t="s">
        <v>3294</v>
      </c>
    </row>
    <row r="481" spans="2:15" s="160" customFormat="1">
      <c r="E481" s="160">
        <f>F475^0.5</f>
        <v>26.832815729997478</v>
      </c>
      <c r="F481" s="160">
        <f>F475^0.5</f>
        <v>26.832815729997478</v>
      </c>
    </row>
    <row r="482" spans="2:15" s="160" customFormat="1"/>
    <row r="483" spans="2:15" s="160" customFormat="1">
      <c r="E483" s="160" t="s">
        <v>3379</v>
      </c>
      <c r="F483" s="160" t="s">
        <v>3379</v>
      </c>
      <c r="H483" s="160" t="s">
        <v>3419</v>
      </c>
      <c r="I483" s="160" t="s">
        <v>3362</v>
      </c>
    </row>
    <row r="484" spans="2:15" s="160" customFormat="1">
      <c r="E484" s="160">
        <f>E481/0.15*F481</f>
        <v>4800.0000000000009</v>
      </c>
      <c r="F484" s="160">
        <f>F481/0.15*E481</f>
        <v>4800.0000000000009</v>
      </c>
      <c r="G484" s="160">
        <f>SUM(E484:F484)</f>
        <v>9600.0000000000018</v>
      </c>
      <c r="H484" s="160">
        <f>2*G484</f>
        <v>19200.000000000004</v>
      </c>
      <c r="I484" s="189">
        <f>G455</f>
        <v>0.61678571428571438</v>
      </c>
      <c r="J484" s="160">
        <f>H484*I484</f>
        <v>11842.285714285719</v>
      </c>
      <c r="K484" s="160" t="s">
        <v>93</v>
      </c>
    </row>
    <row r="486" spans="2:15" s="160" customFormat="1">
      <c r="D486" s="160" t="s">
        <v>3351</v>
      </c>
      <c r="F486" s="160">
        <f>F468</f>
        <v>594.70000000000005</v>
      </c>
      <c r="G486" s="160" t="s">
        <v>376</v>
      </c>
    </row>
    <row r="487" spans="2:15" s="160" customFormat="1"/>
    <row r="488" spans="2:15" s="160" customFormat="1">
      <c r="B488" s="160" t="s">
        <v>3270</v>
      </c>
      <c r="C488" s="160" t="s">
        <v>3420</v>
      </c>
      <c r="D488" s="195"/>
    </row>
    <row r="489" spans="2:15">
      <c r="D489" s="127" t="s">
        <v>3410</v>
      </c>
    </row>
    <row r="490" spans="2:15">
      <c r="C490" s="190" t="s">
        <v>3354</v>
      </c>
      <c r="D490" s="127" t="s">
        <v>3411</v>
      </c>
      <c r="E490" s="127">
        <f>7.5*4</f>
        <v>30</v>
      </c>
      <c r="F490" s="127">
        <f>SUM(E490:E495)+H491</f>
        <v>594.70000000000005</v>
      </c>
      <c r="G490" s="127" t="s">
        <v>376</v>
      </c>
      <c r="H490" s="127" t="s">
        <v>3361</v>
      </c>
    </row>
    <row r="491" spans="2:15">
      <c r="C491" s="190"/>
      <c r="D491" s="127" t="s">
        <v>3412</v>
      </c>
      <c r="E491" s="127">
        <f>3.7*10</f>
        <v>37</v>
      </c>
      <c r="H491" s="127">
        <v>214</v>
      </c>
    </row>
    <row r="492" spans="2:15">
      <c r="C492" s="190"/>
      <c r="D492" s="127" t="s">
        <v>3413</v>
      </c>
      <c r="E492" s="127">
        <f>5*12+9.1</f>
        <v>69.099999999999994</v>
      </c>
    </row>
    <row r="493" spans="2:15">
      <c r="C493" s="190"/>
      <c r="D493" s="127" t="s">
        <v>3414</v>
      </c>
      <c r="E493" s="127">
        <f>7.4*12+8.2</f>
        <v>97.000000000000014</v>
      </c>
      <c r="K493" s="197">
        <v>514.32755599999996</v>
      </c>
      <c r="L493" s="197">
        <f>2.24*3.9</f>
        <v>8.7360000000000007</v>
      </c>
      <c r="M493" s="197">
        <f>K493-L493</f>
        <v>505.59155599999997</v>
      </c>
    </row>
    <row r="494" spans="2:15">
      <c r="C494" s="190"/>
      <c r="D494" s="127" t="s">
        <v>3415</v>
      </c>
      <c r="E494" s="127">
        <f>7.7*12+9.9+2</f>
        <v>104.30000000000001</v>
      </c>
      <c r="K494" s="197">
        <v>213.402413</v>
      </c>
      <c r="L494" s="197"/>
      <c r="M494" s="197"/>
    </row>
    <row r="495" spans="2:15">
      <c r="C495" s="190"/>
      <c r="D495" s="127" t="s">
        <v>3416</v>
      </c>
      <c r="E495" s="127">
        <f>3.7*11+2.6</f>
        <v>43.300000000000004</v>
      </c>
      <c r="K495" s="197"/>
      <c r="L495" s="197"/>
      <c r="M495" s="197"/>
    </row>
    <row r="496" spans="2:15">
      <c r="D496" s="127" t="s">
        <v>3417</v>
      </c>
      <c r="K496" s="197"/>
      <c r="L496" s="197"/>
      <c r="M496" s="197">
        <f>M493+K494</f>
        <v>718.99396899999999</v>
      </c>
      <c r="O496" s="127">
        <f>F497-M496</f>
        <v>1.0060310000000072</v>
      </c>
    </row>
    <row r="497" spans="2:11">
      <c r="C497" s="190" t="s">
        <v>3354</v>
      </c>
      <c r="E497" s="127">
        <f>506+H491</f>
        <v>720</v>
      </c>
      <c r="F497" s="127">
        <f>SUM(E497)</f>
        <v>720</v>
      </c>
      <c r="G497" s="127" t="s">
        <v>376</v>
      </c>
    </row>
    <row r="499" spans="2:11" s="160" customFormat="1">
      <c r="D499" s="160" t="s">
        <v>3293</v>
      </c>
      <c r="E499" s="160" t="s">
        <v>3418</v>
      </c>
      <c r="F499" s="160" t="s">
        <v>3295</v>
      </c>
    </row>
    <row r="500" spans="2:11" s="160" customFormat="1">
      <c r="E500" s="160">
        <f>E503*F503</f>
        <v>9.1199999999999992</v>
      </c>
      <c r="F500" s="160">
        <v>0.3</v>
      </c>
      <c r="H500" s="160">
        <f>E500*F500</f>
        <v>2.7359999999999998</v>
      </c>
      <c r="I500" s="160" t="s">
        <v>375</v>
      </c>
    </row>
    <row r="501" spans="2:11">
      <c r="D501" s="127" t="s">
        <v>3421</v>
      </c>
      <c r="E501" s="127">
        <f>E500</f>
        <v>9.1199999999999992</v>
      </c>
      <c r="F501" s="127">
        <v>0.1</v>
      </c>
      <c r="H501" s="160">
        <f>E501*F501</f>
        <v>0.91199999999999992</v>
      </c>
      <c r="I501" s="160" t="s">
        <v>375</v>
      </c>
    </row>
    <row r="502" spans="2:11" s="160" customFormat="1">
      <c r="D502" s="160" t="s">
        <v>3346</v>
      </c>
      <c r="E502" s="160" t="s">
        <v>3345</v>
      </c>
      <c r="F502" s="160" t="s">
        <v>3294</v>
      </c>
    </row>
    <row r="503" spans="2:11" s="160" customFormat="1">
      <c r="E503" s="160">
        <v>2.4</v>
      </c>
      <c r="F503" s="160">
        <v>3.8</v>
      </c>
    </row>
    <row r="504" spans="2:11" s="160" customFormat="1"/>
    <row r="505" spans="2:11" s="160" customFormat="1">
      <c r="E505" s="160" t="s">
        <v>3379</v>
      </c>
      <c r="F505" s="160" t="s">
        <v>3379</v>
      </c>
      <c r="H505" s="160" t="s">
        <v>3419</v>
      </c>
      <c r="I505" s="160" t="s">
        <v>3422</v>
      </c>
    </row>
    <row r="506" spans="2:11" s="160" customFormat="1">
      <c r="E506" s="160">
        <f>E503/0.1*F503</f>
        <v>91.199999999999989</v>
      </c>
      <c r="F506" s="160">
        <f>F503/0.1*E503</f>
        <v>91.199999999999974</v>
      </c>
      <c r="G506" s="160">
        <f>SUM(E506:F506)</f>
        <v>182.39999999999998</v>
      </c>
      <c r="H506" s="160">
        <f>2*G506</f>
        <v>364.79999999999995</v>
      </c>
      <c r="I506" s="189">
        <f>G518</f>
        <v>1.0423678571428572</v>
      </c>
      <c r="J506" s="160">
        <f>H506*I506</f>
        <v>380.25579428571427</v>
      </c>
      <c r="K506" s="160" t="s">
        <v>93</v>
      </c>
    </row>
    <row r="508" spans="2:11" s="160" customFormat="1">
      <c r="D508" s="160" t="s">
        <v>3351</v>
      </c>
      <c r="F508" s="160">
        <f>F490</f>
        <v>594.70000000000005</v>
      </c>
      <c r="G508" s="160" t="s">
        <v>376</v>
      </c>
    </row>
    <row r="509" spans="2:11" ht="26">
      <c r="B509" s="198" t="s">
        <v>3423</v>
      </c>
    </row>
    <row r="510" spans="2:11" s="160" customFormat="1">
      <c r="B510" s="160" t="s">
        <v>3270</v>
      </c>
      <c r="C510" s="160" t="s">
        <v>3424</v>
      </c>
    </row>
    <row r="511" spans="2:11" s="160" customFormat="1">
      <c r="C511" s="160" t="s">
        <v>3425</v>
      </c>
      <c r="D511" s="160" t="s">
        <v>3293</v>
      </c>
      <c r="E511" s="160" t="s">
        <v>3294</v>
      </c>
      <c r="F511" s="160" t="s">
        <v>3294</v>
      </c>
      <c r="G511" s="160" t="s">
        <v>3345</v>
      </c>
      <c r="H511" s="160" t="s">
        <v>3379</v>
      </c>
    </row>
    <row r="512" spans="2:11" s="160" customFormat="1">
      <c r="E512" s="160">
        <v>0.5</v>
      </c>
      <c r="F512" s="160">
        <v>0.4</v>
      </c>
      <c r="G512" s="160">
        <v>2.85</v>
      </c>
      <c r="H512" s="160">
        <f>11*2</f>
        <v>22</v>
      </c>
      <c r="J512" s="160">
        <f>E512*F512*G512*H512</f>
        <v>12.540000000000001</v>
      </c>
      <c r="K512" s="160" t="s">
        <v>375</v>
      </c>
    </row>
    <row r="514" spans="3:11" s="160" customFormat="1">
      <c r="D514" s="160" t="s">
        <v>3346</v>
      </c>
      <c r="E514" s="160" t="s">
        <v>3345</v>
      </c>
      <c r="F514" s="160" t="s">
        <v>3296</v>
      </c>
      <c r="G514" s="160" t="s">
        <v>3316</v>
      </c>
      <c r="H514" s="160" t="s">
        <v>3296</v>
      </c>
    </row>
    <row r="515" spans="3:11" s="160" customFormat="1">
      <c r="E515" s="160">
        <f>G512</f>
        <v>2.85</v>
      </c>
      <c r="F515" s="160">
        <v>18</v>
      </c>
      <c r="G515" s="189">
        <f>W19</f>
        <v>2.2265964285714288</v>
      </c>
      <c r="H515" s="160">
        <f>H512</f>
        <v>22</v>
      </c>
      <c r="I515" s="160">
        <f>E515*F515*H515*G515</f>
        <v>2512.936729285715</v>
      </c>
      <c r="J515" s="160">
        <f>SUM(I515:I523)</f>
        <v>3435.7241458571439</v>
      </c>
      <c r="K515" s="160" t="s">
        <v>93</v>
      </c>
    </row>
    <row r="517" spans="3:11">
      <c r="D517" s="127" t="s">
        <v>3348</v>
      </c>
      <c r="E517" s="127" t="s">
        <v>3345</v>
      </c>
      <c r="F517" s="127" t="s">
        <v>3296</v>
      </c>
      <c r="G517" s="127" t="s">
        <v>3341</v>
      </c>
      <c r="H517" s="127" t="s">
        <v>3296</v>
      </c>
    </row>
    <row r="518" spans="3:11">
      <c r="E518" s="127">
        <f>(E512-0.04)+(F512-0.04)*2</f>
        <v>1.1800000000000002</v>
      </c>
      <c r="F518" s="127">
        <f>ROUNDUP(G512/2/0.1,0)</f>
        <v>15</v>
      </c>
      <c r="G518" s="180">
        <f>G446</f>
        <v>1.0423678571428572</v>
      </c>
      <c r="H518" s="127">
        <f>H512</f>
        <v>22</v>
      </c>
      <c r="I518" s="127">
        <f>E518*F518*H518*G518</f>
        <v>405.89804357142867</v>
      </c>
    </row>
    <row r="519" spans="3:11">
      <c r="D519" s="127" t="s">
        <v>3380</v>
      </c>
      <c r="E519" s="127" t="s">
        <v>3345</v>
      </c>
      <c r="F519" s="127" t="s">
        <v>3296</v>
      </c>
      <c r="G519" s="127" t="s">
        <v>3341</v>
      </c>
      <c r="H519" s="127" t="s">
        <v>3296</v>
      </c>
    </row>
    <row r="520" spans="3:11">
      <c r="E520" s="127">
        <f>(E512-0.04+0.02)+(F512-0.04+0.02)*0</f>
        <v>0.48000000000000004</v>
      </c>
      <c r="F520" s="127">
        <f>ROUNDUP(G512/2/0.1,0)</f>
        <v>15</v>
      </c>
      <c r="G520" s="180">
        <f>G518</f>
        <v>1.0423678571428572</v>
      </c>
      <c r="H520" s="127">
        <f>H512</f>
        <v>22</v>
      </c>
      <c r="I520" s="127">
        <f>E520*F520*H520*G520</f>
        <v>165.11106857142858</v>
      </c>
    </row>
    <row r="522" spans="3:11">
      <c r="D522" s="127" t="s">
        <v>3350</v>
      </c>
      <c r="E522" s="127" t="s">
        <v>3345</v>
      </c>
      <c r="F522" s="127" t="s">
        <v>3296</v>
      </c>
      <c r="G522" s="127" t="s">
        <v>3341</v>
      </c>
      <c r="H522" s="127" t="s">
        <v>3296</v>
      </c>
    </row>
    <row r="523" spans="3:11">
      <c r="E523" s="127">
        <f>(E512-0.04)+(F512-0.04)*2</f>
        <v>1.1800000000000002</v>
      </c>
      <c r="F523" s="127">
        <f>ROUNDUP(G512/2/0.11,0)</f>
        <v>13</v>
      </c>
      <c r="G523" s="180">
        <f>G520</f>
        <v>1.0423678571428572</v>
      </c>
      <c r="H523" s="127">
        <f>H518</f>
        <v>22</v>
      </c>
      <c r="I523" s="127">
        <f>E523*F523*H523*G523</f>
        <v>351.77830442857146</v>
      </c>
    </row>
    <row r="525" spans="3:11" s="160" customFormat="1">
      <c r="D525" s="160" t="s">
        <v>3351</v>
      </c>
      <c r="E525" s="160" t="s">
        <v>3294</v>
      </c>
      <c r="F525" s="160" t="s">
        <v>3344</v>
      </c>
      <c r="G525" s="160" t="s">
        <v>3345</v>
      </c>
      <c r="H525" s="160" t="s">
        <v>3296</v>
      </c>
    </row>
    <row r="526" spans="3:11" s="160" customFormat="1">
      <c r="E526" s="160">
        <f>E512</f>
        <v>0.5</v>
      </c>
      <c r="F526" s="160">
        <f t="shared" ref="F526:G526" si="19">F512</f>
        <v>0.4</v>
      </c>
      <c r="G526" s="160">
        <f t="shared" si="19"/>
        <v>2.85</v>
      </c>
      <c r="H526" s="160">
        <f>H523</f>
        <v>22</v>
      </c>
      <c r="I526" s="160">
        <f>((E526+F526)*2)*G526*H526</f>
        <v>112.86</v>
      </c>
      <c r="J526" s="160" t="s">
        <v>376</v>
      </c>
    </row>
    <row r="528" spans="3:11" s="160" customFormat="1">
      <c r="C528" s="160" t="s">
        <v>3426</v>
      </c>
      <c r="D528" s="160" t="s">
        <v>3293</v>
      </c>
      <c r="E528" s="160" t="s">
        <v>3294</v>
      </c>
      <c r="F528" s="160" t="s">
        <v>3294</v>
      </c>
      <c r="G528" s="160" t="s">
        <v>3345</v>
      </c>
      <c r="H528" s="160" t="s">
        <v>3379</v>
      </c>
    </row>
    <row r="529" spans="4:11" s="160" customFormat="1">
      <c r="E529" s="160">
        <v>0.35</v>
      </c>
      <c r="F529" s="160">
        <v>0.35</v>
      </c>
      <c r="G529" s="160">
        <v>2.85</v>
      </c>
      <c r="H529" s="160">
        <v>9</v>
      </c>
      <c r="J529" s="160">
        <f>E529*F529*G529*H529</f>
        <v>3.1421249999999996</v>
      </c>
      <c r="K529" s="160" t="s">
        <v>375</v>
      </c>
    </row>
    <row r="531" spans="4:11" s="160" customFormat="1">
      <c r="D531" s="160" t="s">
        <v>3346</v>
      </c>
      <c r="E531" s="160" t="s">
        <v>3345</v>
      </c>
      <c r="F531" s="160" t="s">
        <v>3296</v>
      </c>
      <c r="G531" s="160" t="s">
        <v>3316</v>
      </c>
      <c r="H531" s="160" t="s">
        <v>3296</v>
      </c>
    </row>
    <row r="532" spans="4:11" s="160" customFormat="1">
      <c r="E532" s="160">
        <f>G529</f>
        <v>2.85</v>
      </c>
      <c r="F532" s="160">
        <v>10</v>
      </c>
      <c r="G532" s="189">
        <f>G515</f>
        <v>2.2265964285714288</v>
      </c>
      <c r="H532" s="160">
        <f>H529</f>
        <v>9</v>
      </c>
      <c r="I532" s="160">
        <f>E532*F532*H532*G532</f>
        <v>571.12198392857147</v>
      </c>
      <c r="J532" s="160">
        <f>SUM(I532:I540)</f>
        <v>841.58517182142862</v>
      </c>
      <c r="K532" s="160" t="s">
        <v>93</v>
      </c>
    </row>
    <row r="534" spans="4:11">
      <c r="D534" s="127" t="s">
        <v>3348</v>
      </c>
      <c r="E534" s="127" t="s">
        <v>3345</v>
      </c>
      <c r="F534" s="127" t="s">
        <v>3296</v>
      </c>
      <c r="G534" s="127" t="s">
        <v>3341</v>
      </c>
      <c r="H534" s="127" t="s">
        <v>3296</v>
      </c>
    </row>
    <row r="535" spans="4:11">
      <c r="E535" s="127">
        <f>(E529-0.04)+(F529-0.04)*2</f>
        <v>0.92999999999999994</v>
      </c>
      <c r="F535" s="127">
        <f>ROUNDUP(G529/2/0.08,0)</f>
        <v>18</v>
      </c>
      <c r="G535" s="180">
        <f>G520</f>
        <v>1.0423678571428572</v>
      </c>
      <c r="H535" s="127">
        <f>H529</f>
        <v>9</v>
      </c>
      <c r="I535" s="127">
        <f>E535*F535*H535*G535</f>
        <v>157.04314135714287</v>
      </c>
    </row>
    <row r="536" spans="4:11">
      <c r="D536" s="127" t="s">
        <v>3380</v>
      </c>
      <c r="E536" s="127" t="s">
        <v>3345</v>
      </c>
      <c r="F536" s="127" t="s">
        <v>3296</v>
      </c>
      <c r="G536" s="127" t="s">
        <v>3341</v>
      </c>
      <c r="H536" s="127" t="s">
        <v>3296</v>
      </c>
    </row>
    <row r="537" spans="4:11">
      <c r="E537" s="127">
        <v>0</v>
      </c>
      <c r="F537" s="127">
        <f>ROUNDUP(G529/2/0.1,0)</f>
        <v>15</v>
      </c>
      <c r="G537" s="180">
        <f>G535</f>
        <v>1.0423678571428572</v>
      </c>
      <c r="H537" s="127">
        <f>H529</f>
        <v>9</v>
      </c>
      <c r="I537" s="127">
        <f>E537*F537*H537*G537</f>
        <v>0</v>
      </c>
    </row>
    <row r="539" spans="4:11">
      <c r="D539" s="127" t="s">
        <v>3350</v>
      </c>
      <c r="E539" s="127" t="s">
        <v>3345</v>
      </c>
      <c r="F539" s="127" t="s">
        <v>3296</v>
      </c>
      <c r="G539" s="127" t="s">
        <v>3341</v>
      </c>
      <c r="H539" s="127" t="s">
        <v>3296</v>
      </c>
    </row>
    <row r="540" spans="4:11">
      <c r="E540" s="127">
        <f>(E529-0.04)+(F529-0.04)*2</f>
        <v>0.92999999999999994</v>
      </c>
      <c r="F540" s="127">
        <f>ROUNDUP(G529/2/0.11,0)</f>
        <v>13</v>
      </c>
      <c r="G540" s="180">
        <f>G537</f>
        <v>1.0423678571428572</v>
      </c>
      <c r="H540" s="127">
        <f>H535</f>
        <v>9</v>
      </c>
      <c r="I540" s="127">
        <f>E540*F540*H540*G540</f>
        <v>113.42004653571429</v>
      </c>
    </row>
    <row r="542" spans="4:11" s="160" customFormat="1">
      <c r="D542" s="160" t="s">
        <v>3351</v>
      </c>
      <c r="E542" s="160" t="s">
        <v>3294</v>
      </c>
      <c r="F542" s="160" t="s">
        <v>3344</v>
      </c>
      <c r="G542" s="160" t="s">
        <v>3345</v>
      </c>
      <c r="H542" s="160" t="s">
        <v>3296</v>
      </c>
    </row>
    <row r="543" spans="4:11" s="160" customFormat="1">
      <c r="E543" s="160">
        <f>E529</f>
        <v>0.35</v>
      </c>
      <c r="F543" s="160">
        <f t="shared" ref="F543:G543" si="20">F529</f>
        <v>0.35</v>
      </c>
      <c r="G543" s="160">
        <f t="shared" si="20"/>
        <v>2.85</v>
      </c>
      <c r="H543" s="160">
        <f>H540</f>
        <v>9</v>
      </c>
      <c r="I543" s="160">
        <f>((E543+F543)*2)*G543*H543</f>
        <v>35.909999999999997</v>
      </c>
      <c r="J543" s="160" t="s">
        <v>376</v>
      </c>
    </row>
    <row r="545" spans="2:10" s="160" customFormat="1">
      <c r="B545" s="160" t="s">
        <v>3270</v>
      </c>
      <c r="C545" s="160" t="s">
        <v>3384</v>
      </c>
      <c r="D545" s="195" t="s">
        <v>3427</v>
      </c>
    </row>
    <row r="546" spans="2:10" s="160" customFormat="1">
      <c r="C546" s="160" t="s">
        <v>3394</v>
      </c>
      <c r="D546" s="160" t="s">
        <v>3353</v>
      </c>
    </row>
    <row r="547" spans="2:10">
      <c r="C547" s="190" t="s">
        <v>3354</v>
      </c>
      <c r="D547" s="127" t="s">
        <v>53</v>
      </c>
      <c r="E547" s="127">
        <f>5.6*4+1.25</f>
        <v>23.65</v>
      </c>
      <c r="F547" s="127">
        <f>SUM(E547:E549)+J548</f>
        <v>105.69999999999999</v>
      </c>
      <c r="G547" s="127" t="s">
        <v>113</v>
      </c>
      <c r="H547" s="127" t="s">
        <v>3428</v>
      </c>
    </row>
    <row r="548" spans="2:10">
      <c r="C548" s="190" t="s">
        <v>3354</v>
      </c>
      <c r="D548" s="127" t="s">
        <v>65</v>
      </c>
      <c r="E548" s="127">
        <f>5.6*3+1.25</f>
        <v>18.049999999999997</v>
      </c>
      <c r="H548" s="127" t="s">
        <v>3355</v>
      </c>
      <c r="I548" s="127">
        <v>10.199999999999999</v>
      </c>
      <c r="J548" s="127">
        <f>SUM(I548:I554)</f>
        <v>46</v>
      </c>
    </row>
    <row r="549" spans="2:10">
      <c r="C549" s="190" t="s">
        <v>3354</v>
      </c>
      <c r="D549" s="127" t="s">
        <v>3429</v>
      </c>
      <c r="E549" s="127">
        <f>3.6*5</f>
        <v>18</v>
      </c>
      <c r="I549" s="127">
        <v>3.6</v>
      </c>
    </row>
    <row r="550" spans="2:10">
      <c r="C550" s="190"/>
      <c r="I550" s="127">
        <f>3.6*2</f>
        <v>7.2</v>
      </c>
    </row>
    <row r="551" spans="2:10">
      <c r="C551" s="190"/>
    </row>
    <row r="552" spans="2:10">
      <c r="H552" s="127" t="s">
        <v>3388</v>
      </c>
      <c r="I552" s="127">
        <f>5.6+1.25</f>
        <v>6.85</v>
      </c>
    </row>
    <row r="553" spans="2:10">
      <c r="I553" s="127">
        <f>1.25+5.6*2</f>
        <v>12.45</v>
      </c>
    </row>
    <row r="554" spans="2:10">
      <c r="I554" s="127">
        <v>5.7</v>
      </c>
    </row>
    <row r="555" spans="2:10" s="160" customFormat="1">
      <c r="D555" s="160" t="s">
        <v>3293</v>
      </c>
      <c r="E555" s="160" t="s">
        <v>3294</v>
      </c>
      <c r="F555" s="160" t="s">
        <v>3344</v>
      </c>
      <c r="G555" s="160" t="s">
        <v>3345</v>
      </c>
    </row>
    <row r="556" spans="2:10" s="160" customFormat="1">
      <c r="E556" s="160">
        <v>0.25</v>
      </c>
      <c r="F556" s="160">
        <v>0.3</v>
      </c>
      <c r="G556" s="160">
        <f>F547</f>
        <v>105.69999999999999</v>
      </c>
      <c r="H556" s="160">
        <f>E556*F558*G556</f>
        <v>7.9274999999999984</v>
      </c>
      <c r="I556" s="160" t="s">
        <v>375</v>
      </c>
    </row>
    <row r="557" spans="2:10">
      <c r="F557" s="127" t="s">
        <v>3430</v>
      </c>
    </row>
    <row r="558" spans="2:10">
      <c r="F558" s="127">
        <f>F556-0</f>
        <v>0.3</v>
      </c>
    </row>
    <row r="560" spans="2:10" s="160" customFormat="1">
      <c r="D560" s="160" t="s">
        <v>3346</v>
      </c>
      <c r="E560" s="160" t="s">
        <v>3345</v>
      </c>
      <c r="F560" s="160" t="s">
        <v>3296</v>
      </c>
      <c r="G560" s="160" t="s">
        <v>3341</v>
      </c>
    </row>
    <row r="561" spans="4:11" s="160" customFormat="1">
      <c r="E561" s="160">
        <f>G556</f>
        <v>105.69999999999999</v>
      </c>
      <c r="F561" s="160">
        <v>8</v>
      </c>
      <c r="G561" s="189">
        <f>G535</f>
        <v>1.0423678571428572</v>
      </c>
      <c r="H561" s="160">
        <f>E561*F561*G561</f>
        <v>881.42625999999996</v>
      </c>
      <c r="I561" s="160" t="s">
        <v>93</v>
      </c>
      <c r="J561" s="160">
        <f>SUM(H561:H576)</f>
        <v>1763.2053214285716</v>
      </c>
      <c r="K561" s="160" t="s">
        <v>3305</v>
      </c>
    </row>
    <row r="563" spans="4:11">
      <c r="D563" s="127" t="s">
        <v>3347</v>
      </c>
      <c r="E563" s="127" t="s">
        <v>3345</v>
      </c>
      <c r="F563" s="127" t="s">
        <v>3296</v>
      </c>
      <c r="G563" s="127" t="s">
        <v>3341</v>
      </c>
    </row>
    <row r="564" spans="4:11">
      <c r="E564" s="127">
        <f>G556</f>
        <v>105.69999999999999</v>
      </c>
      <c r="F564" s="127">
        <v>2</v>
      </c>
      <c r="G564" s="180">
        <f>G561</f>
        <v>1.0423678571428572</v>
      </c>
      <c r="H564" s="127">
        <f>E564*F564*G564</f>
        <v>220.35656499999999</v>
      </c>
      <c r="I564" s="127" t="s">
        <v>93</v>
      </c>
    </row>
    <row r="566" spans="4:11">
      <c r="D566" s="127" t="s">
        <v>3348</v>
      </c>
      <c r="E566" s="127" t="s">
        <v>3345</v>
      </c>
      <c r="F566" s="127" t="s">
        <v>3296</v>
      </c>
      <c r="G566" s="127" t="s">
        <v>3349</v>
      </c>
    </row>
    <row r="567" spans="4:11">
      <c r="E567" s="127">
        <f>(E556-0.04)+(F556-0.04)*2</f>
        <v>0.73</v>
      </c>
      <c r="F567" s="127">
        <f>ROUNDUP(G556/2/0.06,0)</f>
        <v>881</v>
      </c>
      <c r="G567" s="180">
        <f>G455</f>
        <v>0.61678571428571438</v>
      </c>
      <c r="H567" s="127">
        <f>E567*F567*G567</f>
        <v>396.67339642857149</v>
      </c>
      <c r="I567" s="127" t="s">
        <v>93</v>
      </c>
    </row>
    <row r="569" spans="4:11">
      <c r="D569" s="127" t="s">
        <v>3380</v>
      </c>
      <c r="E569" s="127" t="s">
        <v>3345</v>
      </c>
      <c r="F569" s="127" t="s">
        <v>3296</v>
      </c>
      <c r="G569" s="127" t="s">
        <v>3349</v>
      </c>
    </row>
    <row r="570" spans="4:11">
      <c r="E570" s="127">
        <f>(F556-0.04+0.02)*0</f>
        <v>0</v>
      </c>
      <c r="F570" s="127">
        <f>ROUNDUP(G556/2/0.09,0)</f>
        <v>588</v>
      </c>
      <c r="G570" s="180">
        <f>G567</f>
        <v>0.61678571428571438</v>
      </c>
      <c r="H570" s="127">
        <f>E570*F570*G570</f>
        <v>0</v>
      </c>
      <c r="I570" s="127" t="s">
        <v>93</v>
      </c>
    </row>
    <row r="572" spans="4:11">
      <c r="D572" s="127" t="s">
        <v>3350</v>
      </c>
      <c r="E572" s="127" t="s">
        <v>3345</v>
      </c>
      <c r="F572" s="127" t="s">
        <v>3296</v>
      </c>
      <c r="G572" s="127" t="s">
        <v>3349</v>
      </c>
    </row>
    <row r="573" spans="4:11">
      <c r="E573" s="127">
        <f>(E556-0.04)+(F556-0.04)*2</f>
        <v>0.73</v>
      </c>
      <c r="F573" s="127">
        <f>ROUNDUP(G556/2/0.09,0)</f>
        <v>588</v>
      </c>
      <c r="G573" s="180">
        <f>G570</f>
        <v>0.61678571428571438</v>
      </c>
      <c r="H573" s="127">
        <f>E573*F573*G573</f>
        <v>264.74910000000006</v>
      </c>
      <c r="I573" s="127" t="s">
        <v>93</v>
      </c>
    </row>
    <row r="575" spans="4:11">
      <c r="D575" s="127" t="s">
        <v>3380</v>
      </c>
      <c r="E575" s="127" t="s">
        <v>3345</v>
      </c>
      <c r="F575" s="127" t="s">
        <v>3296</v>
      </c>
      <c r="G575" s="127" t="s">
        <v>3349</v>
      </c>
    </row>
    <row r="576" spans="4:11">
      <c r="E576" s="127">
        <f>(F556-0.04+0.02)*0</f>
        <v>0</v>
      </c>
      <c r="F576" s="127">
        <f>ROUNDUP(G556/2/0.15,0)</f>
        <v>353</v>
      </c>
      <c r="G576" s="180">
        <f>G573</f>
        <v>0.61678571428571438</v>
      </c>
      <c r="H576" s="127">
        <f>E576*F576*G576</f>
        <v>0</v>
      </c>
      <c r="I576" s="127" t="s">
        <v>93</v>
      </c>
    </row>
    <row r="578" spans="3:10" s="160" customFormat="1">
      <c r="D578" s="160" t="s">
        <v>3351</v>
      </c>
      <c r="E578" s="160" t="s">
        <v>3294</v>
      </c>
      <c r="F578" s="160" t="s">
        <v>3390</v>
      </c>
      <c r="G578" s="160" t="s">
        <v>3345</v>
      </c>
    </row>
    <row r="579" spans="3:10" s="160" customFormat="1">
      <c r="E579" s="160">
        <f>E556</f>
        <v>0.25</v>
      </c>
      <c r="F579" s="160">
        <f>F556-0.12</f>
        <v>0.18</v>
      </c>
      <c r="G579" s="160">
        <f>G556</f>
        <v>105.69999999999999</v>
      </c>
      <c r="H579" s="160">
        <f>(F579+F579+E579)*G579</f>
        <v>64.47699999999999</v>
      </c>
      <c r="I579" s="160" t="s">
        <v>376</v>
      </c>
    </row>
    <row r="581" spans="3:10" s="160" customFormat="1">
      <c r="C581" s="160" t="s">
        <v>3404</v>
      </c>
      <c r="D581" s="160" t="s">
        <v>3353</v>
      </c>
    </row>
    <row r="582" spans="3:10">
      <c r="C582" s="190" t="s">
        <v>3354</v>
      </c>
      <c r="D582" s="127" t="s">
        <v>65</v>
      </c>
      <c r="E582" s="127">
        <f>5.6*3</f>
        <v>16.799999999999997</v>
      </c>
      <c r="F582" s="127">
        <f>SUM(E582:E593)+J583</f>
        <v>80.900000000000006</v>
      </c>
      <c r="G582" s="127" t="s">
        <v>113</v>
      </c>
      <c r="H582" s="127" t="s">
        <v>3345</v>
      </c>
    </row>
    <row r="583" spans="3:10">
      <c r="C583" s="190" t="s">
        <v>3354</v>
      </c>
      <c r="D583" s="127" t="s">
        <v>68</v>
      </c>
      <c r="E583" s="127">
        <f>2.6+2.6+2.6+2.6</f>
        <v>10.4</v>
      </c>
      <c r="H583" s="127" t="s">
        <v>3388</v>
      </c>
      <c r="I583" s="127">
        <v>5.7</v>
      </c>
      <c r="J583" s="127">
        <f>SUM(I583:I587)</f>
        <v>30.6</v>
      </c>
    </row>
    <row r="584" spans="3:10">
      <c r="C584" s="190" t="s">
        <v>3354</v>
      </c>
      <c r="D584" s="127" t="s">
        <v>53</v>
      </c>
      <c r="E584" s="127">
        <v>5.6</v>
      </c>
      <c r="I584" s="127">
        <v>5.7</v>
      </c>
    </row>
    <row r="585" spans="3:10">
      <c r="C585" s="190" t="s">
        <v>3354</v>
      </c>
      <c r="D585" s="127">
        <v>6</v>
      </c>
      <c r="I585" s="127">
        <v>5.7</v>
      </c>
    </row>
    <row r="586" spans="3:10">
      <c r="C586" s="190"/>
      <c r="D586" s="127">
        <v>7</v>
      </c>
      <c r="I586" s="127">
        <v>5.7</v>
      </c>
    </row>
    <row r="587" spans="3:10">
      <c r="C587" s="190"/>
      <c r="D587" s="127">
        <v>8</v>
      </c>
      <c r="H587" s="127" t="s">
        <v>3407</v>
      </c>
      <c r="I587" s="127">
        <v>7.8</v>
      </c>
    </row>
    <row r="588" spans="3:10">
      <c r="C588" s="190"/>
      <c r="D588" s="127">
        <v>9</v>
      </c>
    </row>
    <row r="589" spans="3:10">
      <c r="C589" s="190"/>
      <c r="D589" s="127">
        <v>10</v>
      </c>
    </row>
    <row r="590" spans="3:10">
      <c r="C590" s="190"/>
      <c r="D590" s="127">
        <v>11</v>
      </c>
    </row>
    <row r="591" spans="3:10">
      <c r="C591" s="190"/>
      <c r="D591" s="127">
        <v>12</v>
      </c>
      <c r="E591" s="127">
        <v>7.8</v>
      </c>
    </row>
    <row r="592" spans="3:10">
      <c r="C592" s="190"/>
      <c r="D592" s="127" t="s">
        <v>3429</v>
      </c>
      <c r="E592" s="127">
        <v>9.6999999999999993</v>
      </c>
    </row>
    <row r="593" spans="3:11">
      <c r="C593" s="190"/>
    </row>
    <row r="594" spans="3:11" s="160" customFormat="1">
      <c r="D594" s="160" t="s">
        <v>3293</v>
      </c>
      <c r="E594" s="160" t="s">
        <v>3294</v>
      </c>
      <c r="F594" s="160" t="s">
        <v>3344</v>
      </c>
      <c r="G594" s="160" t="s">
        <v>3345</v>
      </c>
    </row>
    <row r="595" spans="3:11" s="160" customFormat="1">
      <c r="E595" s="160">
        <v>0.25</v>
      </c>
      <c r="F595" s="160">
        <v>0.5</v>
      </c>
      <c r="G595" s="160">
        <f>F582</f>
        <v>80.900000000000006</v>
      </c>
      <c r="H595" s="160">
        <f>E595*F597*G595</f>
        <v>10.112500000000001</v>
      </c>
      <c r="I595" s="160" t="s">
        <v>375</v>
      </c>
    </row>
    <row r="596" spans="3:11">
      <c r="F596" s="127" t="s">
        <v>3430</v>
      </c>
    </row>
    <row r="597" spans="3:11">
      <c r="F597" s="127">
        <f>F595-0</f>
        <v>0.5</v>
      </c>
    </row>
    <row r="599" spans="3:11" s="160" customFormat="1">
      <c r="D599" s="160" t="s">
        <v>3346</v>
      </c>
      <c r="E599" s="160" t="s">
        <v>3345</v>
      </c>
      <c r="F599" s="160" t="s">
        <v>3296</v>
      </c>
      <c r="G599" s="160" t="s">
        <v>3311</v>
      </c>
    </row>
    <row r="600" spans="3:11" s="160" customFormat="1">
      <c r="E600" s="160">
        <f>G595</f>
        <v>80.900000000000006</v>
      </c>
      <c r="F600" s="160">
        <v>6</v>
      </c>
      <c r="G600" s="189">
        <f>G377</f>
        <v>1.5789714285714285</v>
      </c>
      <c r="H600" s="160">
        <f>E600*F600*G600</f>
        <v>766.4327314285714</v>
      </c>
      <c r="I600" s="160" t="s">
        <v>93</v>
      </c>
      <c r="J600" s="160">
        <f>SUM(H600:H615)</f>
        <v>1450.1470971428573</v>
      </c>
      <c r="K600" s="160" t="s">
        <v>3305</v>
      </c>
    </row>
    <row r="602" spans="3:11">
      <c r="D602" s="127" t="s">
        <v>3347</v>
      </c>
      <c r="E602" s="127" t="s">
        <v>3345</v>
      </c>
      <c r="F602" s="127" t="s">
        <v>3296</v>
      </c>
      <c r="G602" s="127" t="s">
        <v>3341</v>
      </c>
    </row>
    <row r="603" spans="3:11">
      <c r="E603" s="127">
        <f>G595</f>
        <v>80.900000000000006</v>
      </c>
      <c r="F603" s="127">
        <v>2</v>
      </c>
      <c r="G603" s="180">
        <f>G564</f>
        <v>1.0423678571428572</v>
      </c>
      <c r="H603" s="127">
        <f>E603*F603*G603</f>
        <v>168.65511928571431</v>
      </c>
      <c r="I603" s="127" t="s">
        <v>93</v>
      </c>
    </row>
    <row r="605" spans="3:11">
      <c r="D605" s="127" t="s">
        <v>3348</v>
      </c>
      <c r="E605" s="127" t="s">
        <v>3345</v>
      </c>
      <c r="F605" s="127" t="s">
        <v>3296</v>
      </c>
      <c r="G605" s="127" t="s">
        <v>3349</v>
      </c>
    </row>
    <row r="606" spans="3:11">
      <c r="E606" s="127">
        <f>(E595-0.04)+(F595-0.04)*2</f>
        <v>1.1300000000000001</v>
      </c>
      <c r="F606" s="127">
        <f>ROUNDUP(G595/2/0.09,0)</f>
        <v>450</v>
      </c>
      <c r="G606" s="180">
        <f>G570</f>
        <v>0.61678571428571438</v>
      </c>
      <c r="H606" s="127">
        <f>E606*F606*G606</f>
        <v>313.63553571428582</v>
      </c>
      <c r="I606" s="127" t="s">
        <v>93</v>
      </c>
    </row>
    <row r="608" spans="3:11">
      <c r="D608" s="127" t="s">
        <v>3380</v>
      </c>
      <c r="E608" s="127" t="s">
        <v>3345</v>
      </c>
      <c r="F608" s="127" t="s">
        <v>3296</v>
      </c>
      <c r="G608" s="127" t="s">
        <v>3349</v>
      </c>
    </row>
    <row r="609" spans="3:9">
      <c r="E609" s="127">
        <f>(F595-0.04+0.02)*0</f>
        <v>0</v>
      </c>
      <c r="F609" s="127">
        <f>ROUNDUP(G595/2/0.09,0)</f>
        <v>450</v>
      </c>
      <c r="G609" s="180">
        <f>G606</f>
        <v>0.61678571428571438</v>
      </c>
      <c r="H609" s="127">
        <f>E609*F609*G609</f>
        <v>0</v>
      </c>
      <c r="I609" s="127" t="s">
        <v>93</v>
      </c>
    </row>
    <row r="611" spans="3:9">
      <c r="D611" s="127" t="s">
        <v>3350</v>
      </c>
      <c r="E611" s="127" t="s">
        <v>3345</v>
      </c>
      <c r="F611" s="127" t="s">
        <v>3296</v>
      </c>
      <c r="G611" s="127" t="s">
        <v>3349</v>
      </c>
    </row>
    <row r="612" spans="3:9">
      <c r="E612" s="127">
        <f>(E595-0.04)+(F595-0.04)*2</f>
        <v>1.1300000000000001</v>
      </c>
      <c r="F612" s="127">
        <f>ROUNDUP(G595/2/0.14,0)</f>
        <v>289</v>
      </c>
      <c r="G612" s="180">
        <f>G609</f>
        <v>0.61678571428571438</v>
      </c>
      <c r="H612" s="127">
        <f>E612*F612*G612</f>
        <v>201.42371071428579</v>
      </c>
      <c r="I612" s="127" t="s">
        <v>93</v>
      </c>
    </row>
    <row r="614" spans="3:9">
      <c r="D614" s="127" t="s">
        <v>3380</v>
      </c>
      <c r="E614" s="127" t="s">
        <v>3345</v>
      </c>
      <c r="F614" s="127" t="s">
        <v>3296</v>
      </c>
      <c r="G614" s="127" t="s">
        <v>3349</v>
      </c>
    </row>
    <row r="615" spans="3:9">
      <c r="E615" s="127">
        <f>(F595-0.04+0.02)*0</f>
        <v>0</v>
      </c>
      <c r="F615" s="127">
        <f>ROUNDUP(G595/2/0.14,0)</f>
        <v>289</v>
      </c>
      <c r="G615" s="180">
        <f>G612</f>
        <v>0.61678571428571438</v>
      </c>
      <c r="H615" s="127">
        <f>E615*F615*G615</f>
        <v>0</v>
      </c>
      <c r="I615" s="127" t="s">
        <v>93</v>
      </c>
    </row>
    <row r="617" spans="3:9" s="160" customFormat="1">
      <c r="D617" s="160" t="s">
        <v>3351</v>
      </c>
      <c r="E617" s="160" t="s">
        <v>3294</v>
      </c>
      <c r="F617" s="160" t="s">
        <v>3390</v>
      </c>
      <c r="G617" s="160" t="s">
        <v>3345</v>
      </c>
    </row>
    <row r="618" spans="3:9" s="160" customFormat="1">
      <c r="E618" s="160">
        <f>E595</f>
        <v>0.25</v>
      </c>
      <c r="F618" s="160">
        <f>F595-0.12</f>
        <v>0.38</v>
      </c>
      <c r="G618" s="160">
        <f>G595</f>
        <v>80.900000000000006</v>
      </c>
      <c r="H618" s="160">
        <f>(F618+F618+E618)*G618</f>
        <v>81.709000000000003</v>
      </c>
      <c r="I618" s="160" t="s">
        <v>376</v>
      </c>
    </row>
    <row r="620" spans="3:9" s="160" customFormat="1">
      <c r="C620" s="160" t="s">
        <v>3431</v>
      </c>
      <c r="D620" s="160" t="s">
        <v>3353</v>
      </c>
    </row>
    <row r="621" spans="3:9">
      <c r="C621" s="190" t="s">
        <v>3354</v>
      </c>
      <c r="D621" s="127" t="s">
        <v>3357</v>
      </c>
      <c r="E621" s="127">
        <v>1.8</v>
      </c>
      <c r="F621" s="127">
        <f>SUM(E621:E627)</f>
        <v>43.9</v>
      </c>
      <c r="G621" s="127" t="s">
        <v>113</v>
      </c>
    </row>
    <row r="622" spans="3:9">
      <c r="C622" s="190"/>
      <c r="E622" s="127">
        <v>1.8</v>
      </c>
    </row>
    <row r="623" spans="3:9">
      <c r="C623" s="190"/>
      <c r="E623" s="127">
        <v>5.3</v>
      </c>
    </row>
    <row r="624" spans="3:9">
      <c r="C624" s="190"/>
      <c r="E624" s="127">
        <v>7.5</v>
      </c>
    </row>
    <row r="625" spans="3:11">
      <c r="C625" s="190"/>
      <c r="E625" s="127">
        <f>5.75*4</f>
        <v>23</v>
      </c>
    </row>
    <row r="626" spans="3:11">
      <c r="C626" s="190"/>
      <c r="D626" s="127" t="s">
        <v>3360</v>
      </c>
      <c r="E626" s="127">
        <v>4.5</v>
      </c>
    </row>
    <row r="627" spans="3:11">
      <c r="C627" s="190"/>
    </row>
    <row r="628" spans="3:11" s="160" customFormat="1">
      <c r="D628" s="160" t="s">
        <v>3293</v>
      </c>
      <c r="E628" s="160" t="s">
        <v>3294</v>
      </c>
      <c r="F628" s="160" t="s">
        <v>3344</v>
      </c>
      <c r="G628" s="160" t="s">
        <v>3345</v>
      </c>
    </row>
    <row r="629" spans="3:11" s="160" customFormat="1">
      <c r="E629" s="160">
        <v>0.15</v>
      </c>
      <c r="F629" s="160">
        <v>0.2</v>
      </c>
      <c r="G629" s="160">
        <f>F621</f>
        <v>43.9</v>
      </c>
      <c r="H629" s="160">
        <f>E629*F631*G629</f>
        <v>1.3169999999999999</v>
      </c>
      <c r="I629" s="160" t="s">
        <v>375</v>
      </c>
    </row>
    <row r="630" spans="3:11">
      <c r="F630" s="127" t="s">
        <v>3430</v>
      </c>
    </row>
    <row r="631" spans="3:11">
      <c r="F631" s="127">
        <f>F629-0</f>
        <v>0.2</v>
      </c>
    </row>
    <row r="633" spans="3:11" s="160" customFormat="1">
      <c r="D633" s="160" t="s">
        <v>3346</v>
      </c>
      <c r="E633" s="160" t="s">
        <v>3345</v>
      </c>
      <c r="F633" s="160" t="s">
        <v>3296</v>
      </c>
      <c r="G633" s="160" t="s">
        <v>3349</v>
      </c>
    </row>
    <row r="634" spans="3:11" s="160" customFormat="1">
      <c r="E634" s="160">
        <f>G629</f>
        <v>43.9</v>
      </c>
      <c r="F634" s="160">
        <v>4</v>
      </c>
      <c r="G634" s="189">
        <f>G615</f>
        <v>0.61678571428571438</v>
      </c>
      <c r="H634" s="160">
        <f>E634*F634*G634</f>
        <v>108.30757142857144</v>
      </c>
      <c r="I634" s="160" t="s">
        <v>93</v>
      </c>
      <c r="J634" s="160">
        <f>SUM(H634:H649)</f>
        <v>139.64225942857144</v>
      </c>
      <c r="K634" s="160" t="s">
        <v>3305</v>
      </c>
    </row>
    <row r="636" spans="3:11">
      <c r="D636" s="127" t="s">
        <v>3347</v>
      </c>
      <c r="E636" s="127" t="s">
        <v>3345</v>
      </c>
      <c r="F636" s="127" t="s">
        <v>3296</v>
      </c>
      <c r="G636" s="127" t="s">
        <v>3349</v>
      </c>
    </row>
    <row r="637" spans="3:11">
      <c r="E637" s="127">
        <f>G629</f>
        <v>43.9</v>
      </c>
      <c r="F637" s="127">
        <v>0</v>
      </c>
      <c r="G637" s="127">
        <v>0.6</v>
      </c>
      <c r="H637" s="127">
        <f>E637*F637*G637</f>
        <v>0</v>
      </c>
      <c r="I637" s="127" t="s">
        <v>93</v>
      </c>
    </row>
    <row r="639" spans="3:11">
      <c r="D639" s="127" t="s">
        <v>3348</v>
      </c>
      <c r="E639" s="127" t="s">
        <v>3345</v>
      </c>
      <c r="F639" s="127" t="s">
        <v>3296</v>
      </c>
      <c r="G639" s="127" t="s">
        <v>3374</v>
      </c>
    </row>
    <row r="640" spans="3:11">
      <c r="E640" s="127">
        <f>(E629-0.04)+(F629-0.04)*0</f>
        <v>0.10999999999999999</v>
      </c>
      <c r="F640" s="127">
        <f>ROUNDUP(G629/2/0.15,0)</f>
        <v>147</v>
      </c>
      <c r="G640" s="180">
        <f>G246</f>
        <v>0.39474285714285712</v>
      </c>
      <c r="H640" s="127">
        <f>E640*F640*G640</f>
        <v>6.3829919999999989</v>
      </c>
      <c r="I640" s="127" t="s">
        <v>93</v>
      </c>
    </row>
    <row r="642" spans="3:11">
      <c r="D642" s="127" t="s">
        <v>3380</v>
      </c>
      <c r="E642" s="127" t="s">
        <v>3345</v>
      </c>
      <c r="F642" s="127" t="s">
        <v>3296</v>
      </c>
      <c r="G642" s="127" t="s">
        <v>3349</v>
      </c>
    </row>
    <row r="643" spans="3:11">
      <c r="E643" s="127">
        <f>(F629-0.04+0.02)*0</f>
        <v>0</v>
      </c>
      <c r="F643" s="127">
        <f>ROUNDUP(G629/2/0.09,0)</f>
        <v>244</v>
      </c>
      <c r="G643" s="127">
        <v>0.6</v>
      </c>
      <c r="H643" s="127">
        <f>E643*F643*G643</f>
        <v>0</v>
      </c>
      <c r="I643" s="127" t="s">
        <v>93</v>
      </c>
    </row>
    <row r="645" spans="3:11">
      <c r="D645" s="127" t="s">
        <v>3350</v>
      </c>
      <c r="E645" s="127" t="s">
        <v>3345</v>
      </c>
      <c r="F645" s="127" t="s">
        <v>3296</v>
      </c>
      <c r="G645" s="127" t="s">
        <v>3374</v>
      </c>
    </row>
    <row r="646" spans="3:11">
      <c r="E646" s="127">
        <f>(E629-0.04)+(F629-0.04)*2</f>
        <v>0.43</v>
      </c>
      <c r="F646" s="127">
        <f>ROUNDUP(G629/2/0.15,0)</f>
        <v>147</v>
      </c>
      <c r="G646" s="180">
        <f>G640</f>
        <v>0.39474285714285712</v>
      </c>
      <c r="H646" s="127">
        <f>E646*F646*G646</f>
        <v>24.951695999999998</v>
      </c>
      <c r="I646" s="127" t="s">
        <v>93</v>
      </c>
    </row>
    <row r="648" spans="3:11">
      <c r="D648" s="127" t="s">
        <v>3380</v>
      </c>
      <c r="E648" s="127" t="s">
        <v>3345</v>
      </c>
      <c r="F648" s="127" t="s">
        <v>3296</v>
      </c>
      <c r="G648" s="127" t="s">
        <v>3349</v>
      </c>
    </row>
    <row r="649" spans="3:11">
      <c r="E649" s="127">
        <f>(F629-0.04+0.02)*0</f>
        <v>0</v>
      </c>
      <c r="F649" s="127">
        <f>ROUNDUP(G629/2/0.14,0)</f>
        <v>157</v>
      </c>
      <c r="G649" s="127">
        <v>0.6</v>
      </c>
      <c r="H649" s="127">
        <f>E649*F649*G649</f>
        <v>0</v>
      </c>
      <c r="I649" s="127" t="s">
        <v>93</v>
      </c>
    </row>
    <row r="651" spans="3:11" s="160" customFormat="1">
      <c r="D651" s="160" t="s">
        <v>3351</v>
      </c>
      <c r="E651" s="160" t="s">
        <v>3294</v>
      </c>
      <c r="F651" s="160" t="s">
        <v>3390</v>
      </c>
      <c r="G651" s="160" t="s">
        <v>3345</v>
      </c>
    </row>
    <row r="652" spans="3:11" s="160" customFormat="1">
      <c r="E652" s="160">
        <f>E629</f>
        <v>0.15</v>
      </c>
      <c r="F652" s="160">
        <f>F629-0.12</f>
        <v>8.0000000000000016E-2</v>
      </c>
      <c r="G652" s="160">
        <f>G629</f>
        <v>43.9</v>
      </c>
      <c r="H652" s="160">
        <f>(F652+F652+E652)*G652</f>
        <v>13.609000000000002</v>
      </c>
      <c r="I652" s="160" t="s">
        <v>376</v>
      </c>
    </row>
    <row r="654" spans="3:11" s="160" customFormat="1">
      <c r="C654" s="160" t="s">
        <v>3383</v>
      </c>
      <c r="D654" s="160" t="s">
        <v>3293</v>
      </c>
      <c r="E654" s="160" t="s">
        <v>3294</v>
      </c>
      <c r="F654" s="160" t="s">
        <v>3294</v>
      </c>
      <c r="G654" s="160" t="s">
        <v>3345</v>
      </c>
      <c r="H654" s="160" t="s">
        <v>3379</v>
      </c>
    </row>
    <row r="655" spans="3:11" s="160" customFormat="1">
      <c r="E655" s="160">
        <v>0.15</v>
      </c>
      <c r="F655" s="160">
        <v>0.15</v>
      </c>
      <c r="G655" s="160">
        <v>2.8</v>
      </c>
      <c r="H655" s="160">
        <v>40</v>
      </c>
      <c r="J655" s="160">
        <f>E655*F655*G655*H655</f>
        <v>2.52</v>
      </c>
      <c r="K655" s="160" t="s">
        <v>375</v>
      </c>
    </row>
    <row r="657" spans="2:11" s="160" customFormat="1">
      <c r="D657" s="160" t="s">
        <v>3346</v>
      </c>
      <c r="E657" s="160" t="s">
        <v>3345</v>
      </c>
      <c r="F657" s="160" t="s">
        <v>3296</v>
      </c>
      <c r="G657" s="160" t="s">
        <v>3349</v>
      </c>
      <c r="H657" s="160" t="s">
        <v>3296</v>
      </c>
    </row>
    <row r="658" spans="2:11" s="160" customFormat="1">
      <c r="E658" s="160">
        <f>G655+0.2</f>
        <v>3</v>
      </c>
      <c r="F658" s="160">
        <v>4</v>
      </c>
      <c r="G658" s="189">
        <f>I686</f>
        <v>0.61678571428571438</v>
      </c>
      <c r="H658" s="160">
        <f>H655</f>
        <v>40</v>
      </c>
      <c r="I658" s="160">
        <f>E658*F658*H658*G658</f>
        <v>296.05714285714288</v>
      </c>
      <c r="J658" s="160">
        <f>SUM(I658:I666)</f>
        <v>296.05714285714288</v>
      </c>
      <c r="K658" s="160" t="s">
        <v>93</v>
      </c>
    </row>
    <row r="660" spans="2:11">
      <c r="D660" s="127" t="s">
        <v>3348</v>
      </c>
      <c r="E660" s="127" t="s">
        <v>3345</v>
      </c>
      <c r="F660" s="127" t="s">
        <v>3296</v>
      </c>
      <c r="G660" s="127" t="s">
        <v>3363</v>
      </c>
      <c r="H660" s="127" t="s">
        <v>3296</v>
      </c>
    </row>
    <row r="661" spans="2:11">
      <c r="E661" s="127">
        <f>(E655-0.04)+(F655-0.04)*2</f>
        <v>0.32999999999999996</v>
      </c>
      <c r="F661" s="127">
        <f>ROUNDUP(G655/2/0.15,0)</f>
        <v>10</v>
      </c>
      <c r="G661" s="180">
        <f>W425</f>
        <v>0</v>
      </c>
      <c r="H661" s="127">
        <f>H655</f>
        <v>40</v>
      </c>
      <c r="I661" s="127">
        <f>E661*F661*H661*G661</f>
        <v>0</v>
      </c>
    </row>
    <row r="662" spans="2:11">
      <c r="D662" s="127" t="s">
        <v>3380</v>
      </c>
      <c r="E662" s="127" t="s">
        <v>3345</v>
      </c>
      <c r="F662" s="127" t="s">
        <v>3296</v>
      </c>
      <c r="G662" s="127" t="str">
        <f>G660</f>
        <v>D8</v>
      </c>
      <c r="H662" s="127" t="s">
        <v>3296</v>
      </c>
    </row>
    <row r="663" spans="2:11">
      <c r="E663" s="127">
        <v>0</v>
      </c>
      <c r="F663" s="127">
        <f>ROUNDUP(G655/2/0.1,0)</f>
        <v>14</v>
      </c>
      <c r="G663" s="180">
        <f>G661</f>
        <v>0</v>
      </c>
      <c r="H663" s="127">
        <f>H655</f>
        <v>40</v>
      </c>
      <c r="I663" s="127">
        <f>E663*F663*H663*G663</f>
        <v>0</v>
      </c>
    </row>
    <row r="665" spans="2:11">
      <c r="D665" s="127" t="s">
        <v>3350</v>
      </c>
      <c r="E665" s="127" t="s">
        <v>3345</v>
      </c>
      <c r="F665" s="127" t="s">
        <v>3296</v>
      </c>
      <c r="G665" s="127" t="str">
        <f>G662</f>
        <v>D8</v>
      </c>
      <c r="H665" s="127" t="s">
        <v>3296</v>
      </c>
    </row>
    <row r="666" spans="2:11">
      <c r="E666" s="127">
        <f>(E655-0.04)+(F655-0.04)*2</f>
        <v>0.32999999999999996</v>
      </c>
      <c r="F666" s="127">
        <f>ROUNDUP(G655/2/0.15,0)</f>
        <v>10</v>
      </c>
      <c r="G666" s="180">
        <f>G663</f>
        <v>0</v>
      </c>
      <c r="H666" s="127">
        <f>H661</f>
        <v>40</v>
      </c>
      <c r="I666" s="127">
        <f>E666*F666*H666*G666</f>
        <v>0</v>
      </c>
    </row>
    <row r="668" spans="2:11" s="160" customFormat="1">
      <c r="D668" s="160" t="s">
        <v>3351</v>
      </c>
      <c r="E668" s="160" t="s">
        <v>3294</v>
      </c>
      <c r="F668" s="160" t="s">
        <v>3344</v>
      </c>
      <c r="G668" s="160" t="s">
        <v>3345</v>
      </c>
      <c r="H668" s="160" t="s">
        <v>3296</v>
      </c>
    </row>
    <row r="669" spans="2:11" s="160" customFormat="1">
      <c r="E669" s="160">
        <f>E655</f>
        <v>0.15</v>
      </c>
      <c r="F669" s="160">
        <f t="shared" ref="F669:G669" si="21">F655</f>
        <v>0.15</v>
      </c>
      <c r="G669" s="160">
        <f t="shared" si="21"/>
        <v>2.8</v>
      </c>
      <c r="H669" s="160">
        <f>H666</f>
        <v>40</v>
      </c>
      <c r="I669" s="160">
        <f>((E669+F669)*2)*G669*H669</f>
        <v>67.2</v>
      </c>
      <c r="J669" s="160" t="s">
        <v>376</v>
      </c>
    </row>
    <row r="672" spans="2:11" s="160" customFormat="1">
      <c r="B672" s="160" t="s">
        <v>3270</v>
      </c>
      <c r="C672" s="160" t="s">
        <v>3409</v>
      </c>
      <c r="D672" s="195" t="s">
        <v>3427</v>
      </c>
    </row>
    <row r="673" spans="3:11">
      <c r="D673" s="127" t="s">
        <v>3410</v>
      </c>
    </row>
    <row r="674" spans="3:11">
      <c r="C674" s="190" t="s">
        <v>3354</v>
      </c>
      <c r="D674" s="127" t="s">
        <v>3411</v>
      </c>
      <c r="E674" s="127">
        <f>E677+45*0.12</f>
        <v>64.41</v>
      </c>
      <c r="F674" s="127">
        <f>SUM(E674:E675)</f>
        <v>64.41</v>
      </c>
      <c r="G674" s="127" t="s">
        <v>376</v>
      </c>
    </row>
    <row r="675" spans="3:11">
      <c r="C675" s="190"/>
    </row>
    <row r="676" spans="3:11">
      <c r="D676" s="127" t="s">
        <v>3417</v>
      </c>
    </row>
    <row r="677" spans="3:11">
      <c r="C677" s="190" t="s">
        <v>3354</v>
      </c>
      <c r="E677" s="127">
        <f>61-1.99</f>
        <v>59.01</v>
      </c>
      <c r="F677" s="127">
        <f>SUM(E677)</f>
        <v>59.01</v>
      </c>
      <c r="G677" s="127" t="s">
        <v>376</v>
      </c>
    </row>
    <row r="679" spans="3:11" s="160" customFormat="1">
      <c r="D679" s="160" t="s">
        <v>3293</v>
      </c>
      <c r="E679" s="160" t="s">
        <v>3418</v>
      </c>
      <c r="F679" s="160" t="s">
        <v>3295</v>
      </c>
    </row>
    <row r="680" spans="3:11" s="160" customFormat="1">
      <c r="E680" s="160">
        <f>F677</f>
        <v>59.01</v>
      </c>
      <c r="F680" s="160">
        <v>0.1</v>
      </c>
      <c r="H680" s="160">
        <f>E680*F680</f>
        <v>5.9009999999999998</v>
      </c>
      <c r="I680" s="160" t="s">
        <v>375</v>
      </c>
    </row>
    <row r="682" spans="3:11" s="160" customFormat="1">
      <c r="D682" s="160" t="s">
        <v>3346</v>
      </c>
      <c r="E682" s="160" t="s">
        <v>3345</v>
      </c>
      <c r="F682" s="160" t="s">
        <v>3294</v>
      </c>
    </row>
    <row r="683" spans="3:11" s="160" customFormat="1">
      <c r="E683" s="160">
        <f>F677^0.5</f>
        <v>7.6817966648434526</v>
      </c>
      <c r="F683" s="160">
        <f>F677^0.5</f>
        <v>7.6817966648434526</v>
      </c>
    </row>
    <row r="684" spans="3:11" s="160" customFormat="1"/>
    <row r="685" spans="3:11" s="160" customFormat="1">
      <c r="E685" s="160" t="s">
        <v>3379</v>
      </c>
      <c r="F685" s="160" t="s">
        <v>3379</v>
      </c>
      <c r="H685" s="160" t="s">
        <v>3419</v>
      </c>
      <c r="I685" s="160" t="s">
        <v>3362</v>
      </c>
    </row>
    <row r="686" spans="3:11" s="160" customFormat="1">
      <c r="E686" s="160">
        <f>E683/0.2*F683</f>
        <v>295.04999999999995</v>
      </c>
      <c r="F686" s="160">
        <f>F683/0.2*E683</f>
        <v>295.04999999999995</v>
      </c>
      <c r="G686" s="160">
        <f>SUM(E686:F686)</f>
        <v>590.09999999999991</v>
      </c>
      <c r="H686" s="160">
        <f>2*G686</f>
        <v>1180.1999999999998</v>
      </c>
      <c r="I686" s="189">
        <f>G634</f>
        <v>0.61678571428571438</v>
      </c>
      <c r="J686" s="160">
        <f>H686*I686</f>
        <v>727.93050000000005</v>
      </c>
      <c r="K686" s="160" t="s">
        <v>93</v>
      </c>
    </row>
    <row r="688" spans="3:11" s="160" customFormat="1">
      <c r="D688" s="160" t="s">
        <v>3351</v>
      </c>
      <c r="F688" s="160">
        <f>F674</f>
        <v>64.41</v>
      </c>
      <c r="G688" s="160" t="s">
        <v>376</v>
      </c>
    </row>
    <row r="690" spans="2:19" s="160" customFormat="1">
      <c r="B690" s="160" t="s">
        <v>3270</v>
      </c>
      <c r="C690" s="160" t="s">
        <v>3432</v>
      </c>
      <c r="D690" s="195"/>
    </row>
    <row r="691" spans="2:19" s="160" customFormat="1">
      <c r="C691" s="160" t="s">
        <v>3433</v>
      </c>
      <c r="D691" s="160" t="s">
        <v>3434</v>
      </c>
      <c r="E691" s="160" t="s">
        <v>3345</v>
      </c>
      <c r="F691" s="160" t="s">
        <v>3435</v>
      </c>
      <c r="G691" s="160" t="s">
        <v>3334</v>
      </c>
      <c r="H691" s="160" t="s">
        <v>3436</v>
      </c>
    </row>
    <row r="692" spans="2:19" s="160" customFormat="1">
      <c r="F692" s="160">
        <f>355.2/12</f>
        <v>29.599999999999998</v>
      </c>
      <c r="G692" s="160">
        <f>(1.9+4.3)*2</f>
        <v>12.399999999999999</v>
      </c>
      <c r="H692" s="160">
        <v>10</v>
      </c>
      <c r="I692" s="160">
        <f>F692*G692*H692</f>
        <v>3670.3999999999992</v>
      </c>
      <c r="J692" s="160">
        <f>SUM(I692:I694)</f>
        <v>4499.1999999999989</v>
      </c>
      <c r="K692" s="160" t="s">
        <v>93</v>
      </c>
    </row>
    <row r="693" spans="2:19">
      <c r="D693" s="127" t="s">
        <v>3437</v>
      </c>
      <c r="F693" s="127">
        <f>F692</f>
        <v>29.599999999999998</v>
      </c>
      <c r="G693" s="127">
        <f>0.4*2</f>
        <v>0.8</v>
      </c>
      <c r="H693" s="127">
        <v>10</v>
      </c>
      <c r="I693" s="127">
        <f t="shared" ref="I693:I694" si="22">F693*G693*H693</f>
        <v>236.8</v>
      </c>
    </row>
    <row r="694" spans="2:19">
      <c r="D694" s="127" t="s">
        <v>3438</v>
      </c>
      <c r="F694" s="127">
        <f>F693</f>
        <v>29.599999999999998</v>
      </c>
      <c r="G694" s="127">
        <f>1*2</f>
        <v>2</v>
      </c>
      <c r="H694" s="127">
        <v>10</v>
      </c>
      <c r="I694" s="127">
        <f t="shared" si="22"/>
        <v>592</v>
      </c>
    </row>
    <row r="697" spans="2:19" s="160" customFormat="1">
      <c r="C697" s="160" t="s">
        <v>3439</v>
      </c>
      <c r="D697" s="160" t="s">
        <v>3440</v>
      </c>
      <c r="E697" s="160" t="s">
        <v>3344</v>
      </c>
      <c r="F697" s="160" t="s">
        <v>3198</v>
      </c>
      <c r="G697" s="160" t="s">
        <v>3295</v>
      </c>
      <c r="H697" s="160" t="s">
        <v>3296</v>
      </c>
      <c r="I697" s="160" t="s">
        <v>3436</v>
      </c>
      <c r="J697" s="160" t="s">
        <v>3441</v>
      </c>
      <c r="K697" s="160" t="s">
        <v>3442</v>
      </c>
    </row>
    <row r="698" spans="2:19" s="160" customFormat="1">
      <c r="E698" s="160">
        <v>0.25</v>
      </c>
      <c r="F698" s="160">
        <v>0.125</v>
      </c>
      <c r="G698" s="160">
        <v>0.01</v>
      </c>
      <c r="H698" s="160">
        <v>8</v>
      </c>
      <c r="I698" s="160">
        <v>12</v>
      </c>
      <c r="J698" s="160">
        <v>7850</v>
      </c>
      <c r="K698" s="160">
        <f>E698*F698*G698*H698*J698*I698</f>
        <v>235.5</v>
      </c>
      <c r="L698" s="160">
        <f>SUM(K698:K701)</f>
        <v>529.875</v>
      </c>
      <c r="M698" s="160" t="s">
        <v>3305</v>
      </c>
    </row>
    <row r="699" spans="2:19">
      <c r="D699" s="127" t="s">
        <v>3443</v>
      </c>
      <c r="E699" s="127">
        <v>0.5</v>
      </c>
      <c r="F699" s="127">
        <v>0.125</v>
      </c>
      <c r="G699" s="127">
        <v>0.01</v>
      </c>
      <c r="H699" s="127">
        <v>2</v>
      </c>
      <c r="I699" s="127">
        <f>I698</f>
        <v>12</v>
      </c>
      <c r="J699" s="127">
        <v>7850</v>
      </c>
      <c r="K699" s="127">
        <f t="shared" ref="K699:K701" si="23">E699*F699*G699*H699*J699*I699</f>
        <v>117.75</v>
      </c>
    </row>
    <row r="700" spans="2:19">
      <c r="D700" s="127" t="s">
        <v>3444</v>
      </c>
      <c r="E700" s="127">
        <v>0.25</v>
      </c>
      <c r="F700" s="127">
        <v>0.125</v>
      </c>
      <c r="G700" s="127">
        <v>0.01</v>
      </c>
      <c r="H700" s="127">
        <v>4</v>
      </c>
      <c r="I700" s="127">
        <f>I699</f>
        <v>12</v>
      </c>
      <c r="J700" s="127">
        <v>7850</v>
      </c>
      <c r="K700" s="127">
        <f t="shared" si="23"/>
        <v>117.75</v>
      </c>
    </row>
    <row r="701" spans="2:19">
      <c r="D701" s="127" t="s">
        <v>3445</v>
      </c>
      <c r="E701" s="127">
        <v>0.25</v>
      </c>
      <c r="F701" s="127">
        <v>0.125</v>
      </c>
      <c r="G701" s="127">
        <v>0.01</v>
      </c>
      <c r="H701" s="127">
        <v>2</v>
      </c>
      <c r="I701" s="127">
        <f>I700</f>
        <v>12</v>
      </c>
      <c r="J701" s="127">
        <v>7850</v>
      </c>
      <c r="K701" s="127">
        <f t="shared" si="23"/>
        <v>58.875</v>
      </c>
      <c r="S701" s="127">
        <f>J692+L698+J715+L720+J736</f>
        <v>6576.9112499999992</v>
      </c>
    </row>
    <row r="703" spans="2:19" s="160" customFormat="1">
      <c r="C703" s="160" t="s">
        <v>3446</v>
      </c>
    </row>
    <row r="704" spans="2:19" s="160" customFormat="1">
      <c r="E704" s="160" t="s">
        <v>3296</v>
      </c>
      <c r="F704" s="160" t="s">
        <v>3436</v>
      </c>
    </row>
    <row r="705" spans="3:13" s="160" customFormat="1">
      <c r="E705" s="160">
        <v>12</v>
      </c>
      <c r="F705" s="160">
        <v>12</v>
      </c>
      <c r="G705" s="160">
        <f>E705*F705</f>
        <v>144</v>
      </c>
      <c r="H705" s="160" t="s">
        <v>259</v>
      </c>
    </row>
    <row r="707" spans="3:13" s="160" customFormat="1">
      <c r="C707" s="160" t="s">
        <v>3447</v>
      </c>
    </row>
    <row r="708" spans="3:13" s="160" customFormat="1">
      <c r="E708" s="160" t="s">
        <v>3296</v>
      </c>
      <c r="F708" s="160" t="s">
        <v>3436</v>
      </c>
    </row>
    <row r="709" spans="3:13" s="160" customFormat="1">
      <c r="E709" s="160">
        <v>10</v>
      </c>
      <c r="F709" s="160">
        <v>12</v>
      </c>
      <c r="G709" s="160">
        <f>E709*F709</f>
        <v>120</v>
      </c>
      <c r="H709" s="160">
        <f>SUM(G709:G711)</f>
        <v>360</v>
      </c>
      <c r="I709" s="160" t="s">
        <v>259</v>
      </c>
    </row>
    <row r="710" spans="3:13">
      <c r="E710" s="127">
        <v>10</v>
      </c>
      <c r="F710" s="127">
        <f>F709</f>
        <v>12</v>
      </c>
      <c r="G710" s="127">
        <f t="shared" ref="G710:G711" si="24">E710*F710</f>
        <v>120</v>
      </c>
    </row>
    <row r="711" spans="3:13">
      <c r="E711" s="127">
        <v>10</v>
      </c>
      <c r="F711" s="127">
        <f>F710</f>
        <v>12</v>
      </c>
      <c r="G711" s="127">
        <f t="shared" si="24"/>
        <v>120</v>
      </c>
    </row>
    <row r="713" spans="3:13" s="160" customFormat="1">
      <c r="C713" s="160" t="s">
        <v>3448</v>
      </c>
      <c r="D713" s="160" t="s">
        <v>3449</v>
      </c>
    </row>
    <row r="714" spans="3:13" s="160" customFormat="1">
      <c r="E714" s="160" t="s">
        <v>3345</v>
      </c>
      <c r="F714" s="160" t="s">
        <v>3435</v>
      </c>
      <c r="G714" s="160" t="s">
        <v>3334</v>
      </c>
      <c r="H714" s="160" t="s">
        <v>3436</v>
      </c>
    </row>
    <row r="715" spans="3:13" s="160" customFormat="1">
      <c r="F715" s="160">
        <f>F692</f>
        <v>29.599999999999998</v>
      </c>
      <c r="G715" s="160">
        <f>(1.9+4.3)*1</f>
        <v>6.1999999999999993</v>
      </c>
      <c r="H715" s="160">
        <v>2</v>
      </c>
      <c r="I715" s="160">
        <f>F715*G715*H715</f>
        <v>367.03999999999991</v>
      </c>
      <c r="J715" s="160">
        <f>SUM(I715:I717)</f>
        <v>449.9199999999999</v>
      </c>
      <c r="K715" s="160" t="s">
        <v>93</v>
      </c>
    </row>
    <row r="716" spans="3:13">
      <c r="D716" s="127" t="s">
        <v>3437</v>
      </c>
      <c r="F716" s="127">
        <f>F715</f>
        <v>29.599999999999998</v>
      </c>
      <c r="G716" s="127">
        <f>0.4*1</f>
        <v>0.4</v>
      </c>
      <c r="H716" s="127">
        <f>H715</f>
        <v>2</v>
      </c>
      <c r="I716" s="127">
        <f t="shared" ref="I716:I717" si="25">F716*G716*H716</f>
        <v>23.68</v>
      </c>
    </row>
    <row r="717" spans="3:13">
      <c r="D717" s="127" t="s">
        <v>3438</v>
      </c>
      <c r="F717" s="127">
        <f>F716</f>
        <v>29.599999999999998</v>
      </c>
      <c r="G717" s="127">
        <f>0.6+0.4</f>
        <v>1</v>
      </c>
      <c r="H717" s="127">
        <f>H716</f>
        <v>2</v>
      </c>
      <c r="I717" s="127">
        <f t="shared" si="25"/>
        <v>59.199999999999996</v>
      </c>
    </row>
    <row r="719" spans="3:13" s="160" customFormat="1">
      <c r="D719" s="160" t="s">
        <v>3440</v>
      </c>
      <c r="E719" s="160" t="s">
        <v>3344</v>
      </c>
      <c r="F719" s="160" t="s">
        <v>3198</v>
      </c>
      <c r="G719" s="160" t="s">
        <v>3295</v>
      </c>
      <c r="H719" s="160" t="s">
        <v>3296</v>
      </c>
      <c r="I719" s="160" t="s">
        <v>3436</v>
      </c>
      <c r="J719" s="160" t="s">
        <v>3441</v>
      </c>
      <c r="K719" s="160" t="s">
        <v>3442</v>
      </c>
    </row>
    <row r="720" spans="3:13" s="160" customFormat="1">
      <c r="E720" s="160">
        <v>0.25</v>
      </c>
      <c r="F720" s="160">
        <v>0.125</v>
      </c>
      <c r="G720" s="160">
        <v>0.01</v>
      </c>
      <c r="H720" s="160">
        <v>4</v>
      </c>
      <c r="I720" s="160">
        <f>H715</f>
        <v>2</v>
      </c>
      <c r="J720" s="160">
        <v>7850</v>
      </c>
      <c r="K720" s="160">
        <f>E720*F720*G720*H720*J720*I720</f>
        <v>19.625</v>
      </c>
      <c r="L720" s="160">
        <f>SUM(K720:K723)</f>
        <v>44.15625</v>
      </c>
      <c r="M720" s="160" t="s">
        <v>3305</v>
      </c>
    </row>
    <row r="721" spans="3:11">
      <c r="D721" s="127" t="s">
        <v>3443</v>
      </c>
      <c r="E721" s="127">
        <v>0.5</v>
      </c>
      <c r="F721" s="127">
        <v>0.125</v>
      </c>
      <c r="G721" s="127">
        <v>0.01</v>
      </c>
      <c r="H721" s="127">
        <v>1</v>
      </c>
      <c r="I721" s="127">
        <f>I720</f>
        <v>2</v>
      </c>
      <c r="J721" s="127">
        <v>7850</v>
      </c>
      <c r="K721" s="127">
        <f t="shared" ref="K721:K723" si="26">E721*F721*G721*H721*J721*I721</f>
        <v>9.8125</v>
      </c>
    </row>
    <row r="722" spans="3:11">
      <c r="D722" s="127" t="s">
        <v>3444</v>
      </c>
      <c r="E722" s="127">
        <v>0.25</v>
      </c>
      <c r="F722" s="127">
        <v>0.125</v>
      </c>
      <c r="G722" s="127">
        <v>0.01</v>
      </c>
      <c r="H722" s="127">
        <v>2</v>
      </c>
      <c r="I722" s="127">
        <f>I721</f>
        <v>2</v>
      </c>
      <c r="J722" s="127">
        <v>7850</v>
      </c>
      <c r="K722" s="127">
        <f t="shared" si="26"/>
        <v>9.8125</v>
      </c>
    </row>
    <row r="723" spans="3:11">
      <c r="D723" s="127" t="s">
        <v>3445</v>
      </c>
      <c r="E723" s="127">
        <v>0.25</v>
      </c>
      <c r="F723" s="127">
        <v>0.125</v>
      </c>
      <c r="G723" s="127">
        <v>0.01</v>
      </c>
      <c r="H723" s="127">
        <v>1</v>
      </c>
      <c r="I723" s="127">
        <f>I722</f>
        <v>2</v>
      </c>
      <c r="J723" s="127">
        <v>7850</v>
      </c>
      <c r="K723" s="127">
        <f t="shared" si="26"/>
        <v>4.90625</v>
      </c>
    </row>
    <row r="725" spans="3:11" s="160" customFormat="1">
      <c r="C725" s="160" t="s">
        <v>3446</v>
      </c>
    </row>
    <row r="726" spans="3:11" s="160" customFormat="1">
      <c r="E726" s="160" t="s">
        <v>3296</v>
      </c>
      <c r="F726" s="160" t="s">
        <v>3436</v>
      </c>
    </row>
    <row r="727" spans="3:11" s="160" customFormat="1">
      <c r="E727" s="160">
        <v>6</v>
      </c>
      <c r="F727" s="160">
        <f>H715</f>
        <v>2</v>
      </c>
      <c r="G727" s="160">
        <f>E727*F727</f>
        <v>12</v>
      </c>
      <c r="H727" s="160" t="s">
        <v>259</v>
      </c>
    </row>
    <row r="729" spans="3:11" s="160" customFormat="1">
      <c r="C729" s="160" t="s">
        <v>3447</v>
      </c>
    </row>
    <row r="730" spans="3:11" s="160" customFormat="1">
      <c r="E730" s="160" t="s">
        <v>3296</v>
      </c>
      <c r="F730" s="160" t="s">
        <v>3436</v>
      </c>
    </row>
    <row r="731" spans="3:11" s="160" customFormat="1">
      <c r="E731" s="160">
        <v>10</v>
      </c>
      <c r="F731" s="160">
        <v>1</v>
      </c>
      <c r="G731" s="160">
        <f>E731*F731</f>
        <v>10</v>
      </c>
      <c r="H731" s="160">
        <f>SUM(G731:G732)</f>
        <v>15</v>
      </c>
      <c r="I731" s="160" t="s">
        <v>259</v>
      </c>
    </row>
    <row r="732" spans="3:11" s="160" customFormat="1">
      <c r="E732" s="160">
        <v>5</v>
      </c>
      <c r="F732" s="160">
        <f>F731</f>
        <v>1</v>
      </c>
      <c r="G732" s="160">
        <f t="shared" ref="G732" si="27">E732*F732</f>
        <v>5</v>
      </c>
    </row>
    <row r="734" spans="3:11" s="160" customFormat="1">
      <c r="C734" s="160" t="s">
        <v>3450</v>
      </c>
    </row>
    <row r="735" spans="3:11" s="160" customFormat="1">
      <c r="F735" s="160" t="s">
        <v>3435</v>
      </c>
      <c r="G735" s="160" t="s">
        <v>3334</v>
      </c>
      <c r="H735" s="160" t="s">
        <v>3436</v>
      </c>
    </row>
    <row r="736" spans="3:11" s="160" customFormat="1">
      <c r="F736" s="160">
        <f>F715</f>
        <v>29.599999999999998</v>
      </c>
      <c r="G736" s="160">
        <v>8.9</v>
      </c>
      <c r="H736" s="160">
        <v>4</v>
      </c>
      <c r="I736" s="160">
        <f>F736*G736*H736</f>
        <v>1053.76</v>
      </c>
      <c r="J736" s="160">
        <f>SUM(I736:I738)</f>
        <v>1053.76</v>
      </c>
      <c r="K736" s="160" t="s">
        <v>93</v>
      </c>
    </row>
    <row r="739" spans="3:10" s="160" customFormat="1">
      <c r="C739" s="160" t="s">
        <v>3451</v>
      </c>
    </row>
    <row r="740" spans="3:10" s="160" customFormat="1">
      <c r="E740" s="160" t="s">
        <v>3345</v>
      </c>
      <c r="F740" s="160" t="s">
        <v>3371</v>
      </c>
    </row>
    <row r="741" spans="3:10" s="160" customFormat="1">
      <c r="D741" s="160" t="s">
        <v>3452</v>
      </c>
      <c r="E741" s="160">
        <v>49.7</v>
      </c>
      <c r="F741" s="160">
        <f>SUM(E741:E767)</f>
        <v>705.89999999999986</v>
      </c>
      <c r="G741" s="160" t="s">
        <v>113</v>
      </c>
    </row>
    <row r="742" spans="3:10">
      <c r="E742" s="127">
        <v>52</v>
      </c>
    </row>
    <row r="743" spans="3:10">
      <c r="E743" s="127">
        <v>54</v>
      </c>
      <c r="F743" s="190" t="s">
        <v>3453</v>
      </c>
      <c r="G743" s="127">
        <v>6.76</v>
      </c>
      <c r="I743" s="127">
        <f>F741*G743</f>
        <v>4771.8839999999991</v>
      </c>
      <c r="J743" s="127" t="s">
        <v>93</v>
      </c>
    </row>
    <row r="744" spans="3:10">
      <c r="E744" s="127">
        <v>56</v>
      </c>
    </row>
    <row r="745" spans="3:10">
      <c r="E745" s="127">
        <v>27</v>
      </c>
    </row>
    <row r="746" spans="3:10">
      <c r="E746" s="127">
        <v>14</v>
      </c>
    </row>
    <row r="747" spans="3:10">
      <c r="E747" s="127">
        <v>13.7</v>
      </c>
    </row>
    <row r="748" spans="3:10">
      <c r="E748" s="127">
        <v>29</v>
      </c>
    </row>
    <row r="750" spans="3:10">
      <c r="D750" s="127" t="s">
        <v>3361</v>
      </c>
      <c r="E750" s="127">
        <v>49.7</v>
      </c>
    </row>
    <row r="751" spans="3:10">
      <c r="E751" s="127">
        <v>52</v>
      </c>
    </row>
    <row r="752" spans="3:10">
      <c r="E752" s="127">
        <v>54</v>
      </c>
    </row>
    <row r="753" spans="4:5">
      <c r="E753" s="127">
        <v>56</v>
      </c>
    </row>
    <row r="754" spans="4:5">
      <c r="E754" s="127">
        <v>59</v>
      </c>
    </row>
    <row r="755" spans="4:5">
      <c r="E755" s="127">
        <v>66</v>
      </c>
    </row>
    <row r="757" spans="4:5">
      <c r="D757" s="127" t="s">
        <v>3454</v>
      </c>
      <c r="E757" s="127">
        <v>3</v>
      </c>
    </row>
    <row r="758" spans="4:5">
      <c r="E758" s="127">
        <v>5</v>
      </c>
    </row>
    <row r="759" spans="4:5">
      <c r="E759" s="127">
        <v>7.4</v>
      </c>
    </row>
    <row r="760" spans="4:5">
      <c r="E760" s="127">
        <v>9.6</v>
      </c>
    </row>
    <row r="761" spans="4:5">
      <c r="E761" s="127">
        <v>11.9</v>
      </c>
    </row>
    <row r="763" spans="4:5">
      <c r="D763" s="127" t="s">
        <v>3454</v>
      </c>
      <c r="E763" s="127">
        <v>3</v>
      </c>
    </row>
    <row r="764" spans="4:5">
      <c r="E764" s="127">
        <v>5</v>
      </c>
    </row>
    <row r="765" spans="4:5">
      <c r="E765" s="127">
        <v>7.4</v>
      </c>
    </row>
    <row r="766" spans="4:5">
      <c r="E766" s="127">
        <v>9.6</v>
      </c>
    </row>
    <row r="767" spans="4:5">
      <c r="E767" s="127">
        <v>11.9</v>
      </c>
    </row>
    <row r="769" spans="3:11" s="160" customFormat="1">
      <c r="C769" s="160" t="s">
        <v>3455</v>
      </c>
    </row>
    <row r="770" spans="3:11" s="160" customFormat="1">
      <c r="E770" s="160" t="s">
        <v>3379</v>
      </c>
      <c r="F770" s="160" t="s">
        <v>3436</v>
      </c>
    </row>
    <row r="771" spans="3:11" s="160" customFormat="1">
      <c r="E771" s="160">
        <v>10</v>
      </c>
      <c r="F771" s="160">
        <v>15</v>
      </c>
      <c r="G771" s="160">
        <f>E771*F771</f>
        <v>150</v>
      </c>
      <c r="H771" s="160">
        <f>SUM(G771:G772)</f>
        <v>174</v>
      </c>
      <c r="I771" s="160" t="s">
        <v>113</v>
      </c>
    </row>
    <row r="772" spans="3:11">
      <c r="E772" s="127">
        <v>12</v>
      </c>
      <c r="F772" s="127">
        <v>2</v>
      </c>
      <c r="G772" s="127">
        <f>E772*F772</f>
        <v>24</v>
      </c>
      <c r="H772" s="127" t="s">
        <v>3362</v>
      </c>
      <c r="I772" s="180">
        <f>I686</f>
        <v>0.61678571428571438</v>
      </c>
      <c r="J772" s="127">
        <f>H771*I772</f>
        <v>107.3207142857143</v>
      </c>
      <c r="K772" s="127" t="s">
        <v>93</v>
      </c>
    </row>
    <row r="774" spans="3:11" s="160" customFormat="1">
      <c r="C774" s="160" t="s">
        <v>3456</v>
      </c>
    </row>
    <row r="775" spans="3:11" s="160" customFormat="1">
      <c r="E775" s="160" t="s">
        <v>3457</v>
      </c>
      <c r="F775" s="160" t="s">
        <v>3458</v>
      </c>
      <c r="G775" s="160" t="s">
        <v>3459</v>
      </c>
    </row>
    <row r="776" spans="3:11" s="160" customFormat="1">
      <c r="E776" s="160">
        <v>6.9</v>
      </c>
      <c r="F776" s="160">
        <v>20</v>
      </c>
      <c r="G776" s="160">
        <v>1.56</v>
      </c>
      <c r="H776" s="160">
        <f>E776*F776*G776</f>
        <v>215.28</v>
      </c>
      <c r="I776" s="160" t="s">
        <v>93</v>
      </c>
    </row>
    <row r="777" spans="3:11">
      <c r="C777" s="157" t="s">
        <v>3266</v>
      </c>
    </row>
    <row r="778" spans="3:11">
      <c r="C778" s="132"/>
      <c r="D778" s="127" t="s">
        <v>3292</v>
      </c>
      <c r="E778" s="127" t="s">
        <v>3337</v>
      </c>
      <c r="F778" s="127" t="s">
        <v>3372</v>
      </c>
      <c r="G778" s="127" t="s">
        <v>3296</v>
      </c>
      <c r="H778" s="127" t="s">
        <v>3371</v>
      </c>
    </row>
    <row r="779" spans="3:11">
      <c r="C779" s="132"/>
      <c r="D779" s="127">
        <v>61.6</v>
      </c>
      <c r="E779" s="127">
        <v>49.1</v>
      </c>
      <c r="F779" s="127">
        <v>6.8</v>
      </c>
      <c r="G779" s="127">
        <v>2</v>
      </c>
      <c r="H779" s="127">
        <f>((D779+E779)/2)*F779*G779</f>
        <v>752.76</v>
      </c>
      <c r="I779" s="127" t="s">
        <v>376</v>
      </c>
    </row>
    <row r="780" spans="3:11">
      <c r="C780" s="132"/>
      <c r="D780" s="127" t="s">
        <v>3460</v>
      </c>
      <c r="E780" s="127" t="s">
        <v>3461</v>
      </c>
    </row>
    <row r="781" spans="3:11">
      <c r="C781" s="132"/>
      <c r="D781" s="127">
        <v>12.5</v>
      </c>
      <c r="E781" s="127">
        <v>9.3000000000000007</v>
      </c>
      <c r="G781" s="127">
        <v>2</v>
      </c>
      <c r="H781" s="127">
        <f>0.5*D781*E781*G781</f>
        <v>116.25000000000001</v>
      </c>
      <c r="I781" s="127" t="s">
        <v>376</v>
      </c>
    </row>
    <row r="782" spans="3:11">
      <c r="C782" s="132"/>
    </row>
    <row r="783" spans="3:11">
      <c r="C783" s="132"/>
      <c r="H783" s="127">
        <f>SUM(H779:H781)</f>
        <v>869.01</v>
      </c>
      <c r="I783" s="127" t="s">
        <v>376</v>
      </c>
    </row>
    <row r="784" spans="3:11">
      <c r="C784" s="132"/>
    </row>
    <row r="785" spans="3:9">
      <c r="C785" s="132"/>
    </row>
    <row r="786" spans="3:9" ht="26">
      <c r="C786" s="198" t="s">
        <v>3462</v>
      </c>
    </row>
    <row r="788" spans="3:9">
      <c r="C788" s="127" t="s">
        <v>3463</v>
      </c>
    </row>
    <row r="789" spans="3:9" s="160" customFormat="1">
      <c r="C789" s="160" t="s">
        <v>3408</v>
      </c>
      <c r="D789" s="160" t="s">
        <v>3353</v>
      </c>
    </row>
    <row r="790" spans="3:9">
      <c r="C790" s="190" t="s">
        <v>3354</v>
      </c>
      <c r="D790" s="127">
        <v>6</v>
      </c>
      <c r="E790" s="127">
        <v>2.2999999999999998</v>
      </c>
      <c r="F790" s="127">
        <f>SUM(E790:E793)</f>
        <v>6.6</v>
      </c>
      <c r="G790" s="127" t="s">
        <v>113</v>
      </c>
    </row>
    <row r="791" spans="3:9">
      <c r="C791" s="190" t="s">
        <v>3354</v>
      </c>
      <c r="E791" s="127">
        <v>2.5</v>
      </c>
    </row>
    <row r="792" spans="3:9">
      <c r="C792" s="190" t="s">
        <v>3354</v>
      </c>
      <c r="E792" s="127">
        <v>1</v>
      </c>
    </row>
    <row r="793" spans="3:9">
      <c r="C793" s="190"/>
      <c r="E793" s="127">
        <v>0.8</v>
      </c>
    </row>
    <row r="795" spans="3:9" s="160" customFormat="1">
      <c r="D795" s="160" t="s">
        <v>3293</v>
      </c>
      <c r="E795" s="160" t="s">
        <v>3294</v>
      </c>
      <c r="F795" s="160" t="s">
        <v>3344</v>
      </c>
      <c r="G795" s="160" t="s">
        <v>3345</v>
      </c>
    </row>
    <row r="796" spans="3:9" s="160" customFormat="1">
      <c r="E796" s="160">
        <v>0.25</v>
      </c>
      <c r="F796" s="160">
        <v>0.3</v>
      </c>
      <c r="G796" s="160">
        <f>F790</f>
        <v>6.6</v>
      </c>
      <c r="H796" s="160">
        <f>E796*F798*G796</f>
        <v>0.49499999999999994</v>
      </c>
      <c r="I796" s="160" t="s">
        <v>375</v>
      </c>
    </row>
    <row r="797" spans="3:9">
      <c r="F797" s="127" t="s">
        <v>3389</v>
      </c>
    </row>
    <row r="798" spans="3:9">
      <c r="F798" s="127">
        <f>F796-0</f>
        <v>0.3</v>
      </c>
    </row>
    <row r="800" spans="3:9" s="160" customFormat="1">
      <c r="D800" s="160" t="s">
        <v>3346</v>
      </c>
      <c r="E800" s="160" t="s">
        <v>3345</v>
      </c>
      <c r="F800" s="160" t="s">
        <v>3296</v>
      </c>
      <c r="G800" s="160" t="s">
        <v>3341</v>
      </c>
    </row>
    <row r="801" spans="4:11" s="160" customFormat="1">
      <c r="E801" s="160">
        <f>G796</f>
        <v>6.6</v>
      </c>
      <c r="F801" s="160">
        <v>8</v>
      </c>
      <c r="G801" s="160">
        <v>1</v>
      </c>
      <c r="H801" s="160">
        <f>E801*F801*G801</f>
        <v>52.8</v>
      </c>
      <c r="I801" s="160" t="s">
        <v>93</v>
      </c>
      <c r="J801" s="160">
        <f>SUM(H801:H816)</f>
        <v>114.18</v>
      </c>
      <c r="K801" s="160" t="s">
        <v>3305</v>
      </c>
    </row>
    <row r="803" spans="4:11">
      <c r="D803" s="127" t="s">
        <v>3347</v>
      </c>
      <c r="E803" s="127" t="s">
        <v>3345</v>
      </c>
      <c r="F803" s="127" t="s">
        <v>3296</v>
      </c>
      <c r="G803" s="127" t="s">
        <v>3341</v>
      </c>
    </row>
    <row r="804" spans="4:11">
      <c r="E804" s="127">
        <f>G796</f>
        <v>6.6</v>
      </c>
      <c r="F804" s="127">
        <v>2</v>
      </c>
      <c r="G804" s="127">
        <v>1</v>
      </c>
      <c r="H804" s="127">
        <f>E804*F804*G804</f>
        <v>13.2</v>
      </c>
      <c r="I804" s="127" t="s">
        <v>93</v>
      </c>
    </row>
    <row r="806" spans="4:11">
      <c r="D806" s="127" t="s">
        <v>3348</v>
      </c>
      <c r="E806" s="127" t="s">
        <v>3345</v>
      </c>
      <c r="F806" s="127" t="s">
        <v>3296</v>
      </c>
      <c r="G806" s="127" t="s">
        <v>3349</v>
      </c>
    </row>
    <row r="807" spans="4:11">
      <c r="E807" s="127">
        <f>(E796-0.04)+(F796-0.04)*2</f>
        <v>0.73</v>
      </c>
      <c r="F807" s="127">
        <f>ROUNDUP(G796/2/0.06,0)</f>
        <v>55</v>
      </c>
      <c r="G807" s="127">
        <v>0.6</v>
      </c>
      <c r="H807" s="127">
        <f>E807*F807*G807</f>
        <v>24.09</v>
      </c>
      <c r="I807" s="127" t="s">
        <v>93</v>
      </c>
    </row>
    <row r="809" spans="4:11">
      <c r="D809" s="127" t="s">
        <v>3380</v>
      </c>
      <c r="E809" s="127" t="s">
        <v>3345</v>
      </c>
      <c r="F809" s="127" t="s">
        <v>3296</v>
      </c>
      <c r="G809" s="127" t="s">
        <v>3349</v>
      </c>
    </row>
    <row r="810" spans="4:11">
      <c r="E810" s="127">
        <f>(F796-0.04+0.02)*0</f>
        <v>0</v>
      </c>
      <c r="F810" s="127">
        <f>ROUNDUP(G796/2/0.1,0)</f>
        <v>33</v>
      </c>
      <c r="G810" s="127">
        <v>0.6</v>
      </c>
      <c r="H810" s="127">
        <f>E810*F810*G810</f>
        <v>0</v>
      </c>
      <c r="I810" s="127" t="s">
        <v>93</v>
      </c>
    </row>
    <row r="812" spans="4:11">
      <c r="D812" s="127" t="s">
        <v>3350</v>
      </c>
      <c r="E812" s="127" t="s">
        <v>3345</v>
      </c>
      <c r="F812" s="127" t="s">
        <v>3296</v>
      </c>
      <c r="G812" s="127" t="s">
        <v>3349</v>
      </c>
    </row>
    <row r="813" spans="4:11">
      <c r="E813" s="127">
        <f>(E796-0.04)+(F796-0.04)*2</f>
        <v>0.73</v>
      </c>
      <c r="F813" s="127">
        <f>ROUNDUP(G796/2/0.06,0)</f>
        <v>55</v>
      </c>
      <c r="G813" s="127">
        <v>0.6</v>
      </c>
      <c r="H813" s="127">
        <f>E813*F813*G813</f>
        <v>24.09</v>
      </c>
      <c r="I813" s="127" t="s">
        <v>93</v>
      </c>
    </row>
    <row r="815" spans="4:11">
      <c r="D815" s="127" t="s">
        <v>3380</v>
      </c>
      <c r="E815" s="127" t="s">
        <v>3345</v>
      </c>
      <c r="F815" s="127" t="s">
        <v>3296</v>
      </c>
      <c r="G815" s="127" t="s">
        <v>3349</v>
      </c>
    </row>
    <row r="816" spans="4:11">
      <c r="E816" s="127">
        <f>(F796-0.04+0.02)*0</f>
        <v>0</v>
      </c>
      <c r="F816" s="127">
        <f>ROUNDUP(G796/2/0.15,0)</f>
        <v>22</v>
      </c>
      <c r="G816" s="127">
        <v>0.6</v>
      </c>
      <c r="H816" s="127">
        <f>E816*F816*G816</f>
        <v>0</v>
      </c>
      <c r="I816" s="127" t="s">
        <v>93</v>
      </c>
    </row>
    <row r="818" spans="2:9" s="160" customFormat="1">
      <c r="D818" s="160" t="s">
        <v>3351</v>
      </c>
      <c r="E818" s="160" t="s">
        <v>3294</v>
      </c>
      <c r="F818" s="160" t="s">
        <v>3390</v>
      </c>
      <c r="G818" s="160" t="s">
        <v>3345</v>
      </c>
    </row>
    <row r="819" spans="2:9" s="160" customFormat="1">
      <c r="E819" s="160">
        <f>E796</f>
        <v>0.25</v>
      </c>
      <c r="F819" s="160">
        <f>F796-0</f>
        <v>0.3</v>
      </c>
      <c r="G819" s="160">
        <f>G796</f>
        <v>6.6</v>
      </c>
      <c r="H819" s="160">
        <f>(F819+F819+E819)*G819</f>
        <v>5.6099999999999994</v>
      </c>
      <c r="I819" s="160" t="s">
        <v>376</v>
      </c>
    </row>
    <row r="821" spans="2:9" s="160" customFormat="1">
      <c r="B821" s="160" t="s">
        <v>3270</v>
      </c>
      <c r="C821" s="160" t="s">
        <v>3409</v>
      </c>
      <c r="D821" s="195" t="s">
        <v>3464</v>
      </c>
    </row>
    <row r="822" spans="2:9">
      <c r="D822" s="127" t="s">
        <v>3410</v>
      </c>
    </row>
    <row r="823" spans="2:9">
      <c r="C823" s="190" t="s">
        <v>3354</v>
      </c>
      <c r="E823" s="127">
        <v>8</v>
      </c>
      <c r="F823" s="127">
        <f>SUM(E823:E824)</f>
        <v>8</v>
      </c>
      <c r="G823" s="127" t="s">
        <v>376</v>
      </c>
    </row>
    <row r="824" spans="2:9">
      <c r="C824" s="190"/>
    </row>
    <row r="825" spans="2:9">
      <c r="D825" s="127" t="s">
        <v>3417</v>
      </c>
    </row>
    <row r="826" spans="2:9">
      <c r="C826" s="190" t="s">
        <v>3354</v>
      </c>
      <c r="E826" s="127">
        <f>E823</f>
        <v>8</v>
      </c>
      <c r="F826" s="127">
        <f>SUM(E826)</f>
        <v>8</v>
      </c>
      <c r="G826" s="127" t="s">
        <v>376</v>
      </c>
    </row>
    <row r="828" spans="2:9" s="160" customFormat="1">
      <c r="D828" s="160" t="s">
        <v>3293</v>
      </c>
      <c r="E828" s="160" t="s">
        <v>3418</v>
      </c>
      <c r="F828" s="160" t="s">
        <v>3295</v>
      </c>
    </row>
    <row r="829" spans="2:9" s="160" customFormat="1">
      <c r="E829" s="160">
        <f>F826</f>
        <v>8</v>
      </c>
      <c r="F829" s="160">
        <v>0.15</v>
      </c>
      <c r="H829" s="160">
        <f>E829*F829</f>
        <v>1.2</v>
      </c>
      <c r="I829" s="160" t="s">
        <v>375</v>
      </c>
    </row>
    <row r="831" spans="2:9" s="160" customFormat="1">
      <c r="D831" s="160" t="s">
        <v>3346</v>
      </c>
      <c r="E831" s="160" t="s">
        <v>3345</v>
      </c>
      <c r="F831" s="160" t="s">
        <v>3294</v>
      </c>
    </row>
    <row r="832" spans="2:9" s="160" customFormat="1">
      <c r="E832" s="160">
        <f>F826^0.5</f>
        <v>2.8284271247461903</v>
      </c>
      <c r="F832" s="160">
        <f>F826^0.5</f>
        <v>2.8284271247461903</v>
      </c>
    </row>
    <row r="833" spans="2:11" s="160" customFormat="1"/>
    <row r="834" spans="2:11" s="160" customFormat="1">
      <c r="E834" s="160" t="s">
        <v>3379</v>
      </c>
      <c r="F834" s="160" t="s">
        <v>3379</v>
      </c>
      <c r="H834" s="160" t="s">
        <v>3419</v>
      </c>
      <c r="I834" s="160" t="s">
        <v>3362</v>
      </c>
    </row>
    <row r="835" spans="2:11" s="160" customFormat="1">
      <c r="E835" s="160">
        <f>E832/0.1*F832</f>
        <v>80.000000000000014</v>
      </c>
      <c r="F835" s="160">
        <f>F832/0.1*E832</f>
        <v>80.000000000000014</v>
      </c>
      <c r="G835" s="160">
        <f>SUM(E835:F835)</f>
        <v>160.00000000000003</v>
      </c>
      <c r="H835" s="160">
        <f>2*G835</f>
        <v>320.00000000000006</v>
      </c>
      <c r="I835" s="160">
        <v>0.6</v>
      </c>
      <c r="J835" s="160">
        <f>H835*I835</f>
        <v>192.00000000000003</v>
      </c>
      <c r="K835" s="160" t="s">
        <v>93</v>
      </c>
    </row>
    <row r="837" spans="2:11" s="160" customFormat="1">
      <c r="D837" s="160" t="s">
        <v>3351</v>
      </c>
      <c r="F837" s="160">
        <f>F823</f>
        <v>8</v>
      </c>
      <c r="G837" s="160" t="s">
        <v>376</v>
      </c>
    </row>
    <row r="839" spans="2:11" s="160" customFormat="1">
      <c r="B839" s="160" t="s">
        <v>3270</v>
      </c>
      <c r="C839" s="160" t="s">
        <v>3264</v>
      </c>
      <c r="D839" s="195"/>
    </row>
    <row r="840" spans="2:11">
      <c r="D840" s="127" t="s">
        <v>3410</v>
      </c>
    </row>
    <row r="841" spans="2:11">
      <c r="C841" s="190"/>
      <c r="E841" s="127" t="s">
        <v>3345</v>
      </c>
      <c r="F841" s="127" t="s">
        <v>3294</v>
      </c>
    </row>
    <row r="842" spans="2:11">
      <c r="C842" s="190"/>
      <c r="E842" s="127">
        <f>6.2*2</f>
        <v>12.4</v>
      </c>
      <c r="F842" s="127">
        <v>0.2</v>
      </c>
      <c r="G842" s="127">
        <f>E842*F842</f>
        <v>2.4800000000000004</v>
      </c>
      <c r="H842" s="127" t="s">
        <v>376</v>
      </c>
    </row>
    <row r="843" spans="2:11">
      <c r="D843" s="127" t="s">
        <v>3417</v>
      </c>
    </row>
    <row r="844" spans="2:11">
      <c r="C844" s="190"/>
      <c r="E844" s="127" t="s">
        <v>3294</v>
      </c>
      <c r="F844" s="127" t="s">
        <v>3465</v>
      </c>
      <c r="G844" s="127" t="s">
        <v>3466</v>
      </c>
      <c r="I844" s="127" t="s">
        <v>3379</v>
      </c>
    </row>
    <row r="845" spans="2:11">
      <c r="E845" s="127">
        <v>0.9</v>
      </c>
      <c r="F845" s="127">
        <v>0.4</v>
      </c>
      <c r="G845" s="127">
        <v>0.25</v>
      </c>
      <c r="H845" s="127">
        <f>G845*F845/2*E845*I845</f>
        <v>0.90000000000000013</v>
      </c>
      <c r="I845" s="127">
        <v>20</v>
      </c>
    </row>
    <row r="846" spans="2:11" s="160" customFormat="1">
      <c r="D846" s="160" t="s">
        <v>3293</v>
      </c>
      <c r="E846" s="160" t="s">
        <v>3418</v>
      </c>
      <c r="F846" s="160" t="s">
        <v>3295</v>
      </c>
    </row>
    <row r="847" spans="2:11" s="160" customFormat="1">
      <c r="H847" s="160">
        <f>H845</f>
        <v>0.90000000000000013</v>
      </c>
      <c r="I847" s="160" t="s">
        <v>375</v>
      </c>
    </row>
    <row r="849" spans="3:11" s="160" customFormat="1">
      <c r="D849" s="160" t="s">
        <v>3346</v>
      </c>
      <c r="E849" s="160" t="s">
        <v>3345</v>
      </c>
      <c r="F849" s="160" t="s">
        <v>3379</v>
      </c>
      <c r="G849" s="160" t="s">
        <v>3467</v>
      </c>
      <c r="H849" s="160" t="s">
        <v>3374</v>
      </c>
    </row>
    <row r="850" spans="3:11" s="160" customFormat="1">
      <c r="E850" s="160">
        <f>1.1+0.8</f>
        <v>1.9000000000000001</v>
      </c>
      <c r="F850" s="160">
        <f>E845/0.15+1</f>
        <v>7</v>
      </c>
      <c r="G850" s="160">
        <v>20</v>
      </c>
      <c r="H850" s="160">
        <v>0.4</v>
      </c>
      <c r="I850" s="160">
        <f>E850*F850*G850*H850</f>
        <v>106.4</v>
      </c>
      <c r="J850" s="160">
        <f>SUM(I850:I851)</f>
        <v>113.60000000000001</v>
      </c>
      <c r="K850" s="160" t="s">
        <v>93</v>
      </c>
    </row>
    <row r="851" spans="3:11">
      <c r="E851" s="127">
        <f>E845</f>
        <v>0.9</v>
      </c>
      <c r="F851" s="127">
        <v>1</v>
      </c>
      <c r="G851" s="127">
        <f>G850</f>
        <v>20</v>
      </c>
      <c r="H851" s="127">
        <f>H850</f>
        <v>0.4</v>
      </c>
      <c r="I851" s="127">
        <f>E851*F851*G851*H851</f>
        <v>7.2</v>
      </c>
    </row>
    <row r="852" spans="3:11" s="160" customFormat="1">
      <c r="D852" s="160" t="s">
        <v>3351</v>
      </c>
      <c r="F852" s="160">
        <f>G842</f>
        <v>2.4800000000000004</v>
      </c>
      <c r="G852" s="160" t="s">
        <v>376</v>
      </c>
    </row>
    <row r="854" spans="3:11" ht="26">
      <c r="C854" s="198" t="s">
        <v>3468</v>
      </c>
    </row>
    <row r="856" spans="3:11">
      <c r="C856" s="127" t="s">
        <v>3463</v>
      </c>
    </row>
    <row r="857" spans="3:11" s="160" customFormat="1">
      <c r="C857" s="160" t="s">
        <v>3394</v>
      </c>
      <c r="D857" s="160" t="s">
        <v>3353</v>
      </c>
    </row>
    <row r="858" spans="3:11">
      <c r="C858" s="190" t="s">
        <v>3354</v>
      </c>
      <c r="D858" s="127">
        <v>6</v>
      </c>
      <c r="E858" s="127">
        <v>2.8</v>
      </c>
      <c r="F858" s="127">
        <f>SUM(E858:E859)</f>
        <v>2.8</v>
      </c>
      <c r="G858" s="127" t="s">
        <v>113</v>
      </c>
    </row>
    <row r="859" spans="3:11">
      <c r="C859" s="190"/>
    </row>
    <row r="860" spans="3:11" s="160" customFormat="1">
      <c r="D860" s="160" t="s">
        <v>3293</v>
      </c>
      <c r="E860" s="160" t="s">
        <v>3294</v>
      </c>
      <c r="F860" s="160" t="s">
        <v>3344</v>
      </c>
      <c r="G860" s="160" t="s">
        <v>3345</v>
      </c>
    </row>
    <row r="861" spans="3:11" s="160" customFormat="1">
      <c r="E861" s="160">
        <v>0.25</v>
      </c>
      <c r="F861" s="160">
        <v>0.3</v>
      </c>
      <c r="G861" s="160">
        <f>F858</f>
        <v>2.8</v>
      </c>
      <c r="H861" s="160">
        <f>E861*F863*G861</f>
        <v>0.21</v>
      </c>
      <c r="I861" s="160" t="s">
        <v>375</v>
      </c>
    </row>
    <row r="862" spans="3:11">
      <c r="F862" s="127" t="s">
        <v>3389</v>
      </c>
    </row>
    <row r="863" spans="3:11">
      <c r="F863" s="127">
        <f>F861-0</f>
        <v>0.3</v>
      </c>
    </row>
    <row r="865" spans="4:11" s="160" customFormat="1">
      <c r="D865" s="160" t="s">
        <v>3346</v>
      </c>
      <c r="E865" s="160" t="s">
        <v>3345</v>
      </c>
      <c r="F865" s="160" t="s">
        <v>3296</v>
      </c>
      <c r="G865" s="160" t="s">
        <v>3341</v>
      </c>
    </row>
    <row r="866" spans="4:11" s="160" customFormat="1">
      <c r="E866" s="160">
        <f>G861</f>
        <v>2.8</v>
      </c>
      <c r="F866" s="160">
        <v>8</v>
      </c>
      <c r="G866" s="160">
        <v>1</v>
      </c>
      <c r="H866" s="160">
        <f>E866*F866*G866</f>
        <v>22.4</v>
      </c>
      <c r="I866" s="160" t="s">
        <v>93</v>
      </c>
      <c r="J866" s="160">
        <f>SUM(H866:H881)</f>
        <v>49.024000000000001</v>
      </c>
      <c r="K866" s="160" t="s">
        <v>3305</v>
      </c>
    </row>
    <row r="868" spans="4:11">
      <c r="D868" s="127" t="s">
        <v>3347</v>
      </c>
      <c r="E868" s="127" t="s">
        <v>3345</v>
      </c>
      <c r="F868" s="127" t="s">
        <v>3296</v>
      </c>
      <c r="G868" s="127" t="s">
        <v>3341</v>
      </c>
    </row>
    <row r="869" spans="4:11">
      <c r="E869" s="127">
        <f>G861</f>
        <v>2.8</v>
      </c>
      <c r="F869" s="127">
        <v>2</v>
      </c>
      <c r="G869" s="127">
        <v>1</v>
      </c>
      <c r="H869" s="127">
        <f>E869*F869*G869</f>
        <v>5.6</v>
      </c>
      <c r="I869" s="127" t="s">
        <v>93</v>
      </c>
    </row>
    <row r="871" spans="4:11">
      <c r="D871" s="127" t="s">
        <v>3348</v>
      </c>
      <c r="E871" s="127" t="s">
        <v>3345</v>
      </c>
      <c r="F871" s="127" t="s">
        <v>3296</v>
      </c>
      <c r="G871" s="127" t="s">
        <v>3349</v>
      </c>
    </row>
    <row r="872" spans="4:11">
      <c r="E872" s="127">
        <f>(E861-0.04)+(F861-0.04)*2</f>
        <v>0.73</v>
      </c>
      <c r="F872" s="127">
        <f>ROUNDUP(G861/2/0.06,0)</f>
        <v>24</v>
      </c>
      <c r="G872" s="127">
        <v>0.6</v>
      </c>
      <c r="H872" s="127">
        <f>E872*F872*G872</f>
        <v>10.511999999999999</v>
      </c>
      <c r="I872" s="127" t="s">
        <v>93</v>
      </c>
    </row>
    <row r="874" spans="4:11">
      <c r="D874" s="127" t="s">
        <v>3380</v>
      </c>
      <c r="E874" s="127" t="s">
        <v>3345</v>
      </c>
      <c r="F874" s="127" t="s">
        <v>3296</v>
      </c>
      <c r="G874" s="127" t="s">
        <v>3349</v>
      </c>
    </row>
    <row r="875" spans="4:11">
      <c r="E875" s="127">
        <f>(F861-0.04+0.02)*0</f>
        <v>0</v>
      </c>
      <c r="F875" s="127">
        <f>ROUNDUP(G861/2/0.1,0)</f>
        <v>14</v>
      </c>
      <c r="G875" s="127">
        <v>0.6</v>
      </c>
      <c r="H875" s="127">
        <f>E875*F875*G875</f>
        <v>0</v>
      </c>
      <c r="I875" s="127" t="s">
        <v>93</v>
      </c>
    </row>
    <row r="877" spans="4:11">
      <c r="D877" s="127" t="s">
        <v>3350</v>
      </c>
      <c r="E877" s="127" t="s">
        <v>3345</v>
      </c>
      <c r="F877" s="127" t="s">
        <v>3296</v>
      </c>
      <c r="G877" s="127" t="s">
        <v>3349</v>
      </c>
    </row>
    <row r="878" spans="4:11">
      <c r="E878" s="127">
        <f>(E861-0.04)+(F861-0.04)*2</f>
        <v>0.73</v>
      </c>
      <c r="F878" s="127">
        <f>ROUNDUP(G861/2/0.06,0)</f>
        <v>24</v>
      </c>
      <c r="G878" s="127">
        <v>0.6</v>
      </c>
      <c r="H878" s="127">
        <f>E878*F878*G878</f>
        <v>10.511999999999999</v>
      </c>
      <c r="I878" s="127" t="s">
        <v>93</v>
      </c>
    </row>
    <row r="880" spans="4:11">
      <c r="D880" s="127" t="s">
        <v>3380</v>
      </c>
      <c r="E880" s="127" t="s">
        <v>3345</v>
      </c>
      <c r="F880" s="127" t="s">
        <v>3296</v>
      </c>
      <c r="G880" s="127" t="s">
        <v>3349</v>
      </c>
    </row>
    <row r="881" spans="2:9">
      <c r="E881" s="127">
        <f>(F861-0.04+0.02)*0</f>
        <v>0</v>
      </c>
      <c r="F881" s="127">
        <f>ROUNDUP(G861/2/0.15,0)</f>
        <v>10</v>
      </c>
      <c r="G881" s="127">
        <v>0.6</v>
      </c>
      <c r="H881" s="127">
        <f>E881*F881*G881</f>
        <v>0</v>
      </c>
      <c r="I881" s="127" t="s">
        <v>93</v>
      </c>
    </row>
    <row r="883" spans="2:9" s="160" customFormat="1">
      <c r="D883" s="160" t="s">
        <v>3351</v>
      </c>
      <c r="E883" s="160" t="s">
        <v>3294</v>
      </c>
      <c r="F883" s="160" t="s">
        <v>3390</v>
      </c>
      <c r="G883" s="160" t="s">
        <v>3345</v>
      </c>
    </row>
    <row r="884" spans="2:9" s="160" customFormat="1">
      <c r="E884" s="160">
        <f>E861</f>
        <v>0.25</v>
      </c>
      <c r="F884" s="160">
        <f>F861-0</f>
        <v>0.3</v>
      </c>
      <c r="G884" s="160">
        <f>G861</f>
        <v>2.8</v>
      </c>
      <c r="H884" s="160">
        <f>(F884+F884+E884)*G884</f>
        <v>2.38</v>
      </c>
      <c r="I884" s="160" t="s">
        <v>376</v>
      </c>
    </row>
    <row r="886" spans="2:9" s="160" customFormat="1">
      <c r="B886" s="160" t="s">
        <v>3270</v>
      </c>
      <c r="C886" s="160" t="s">
        <v>3409</v>
      </c>
      <c r="D886" s="195" t="s">
        <v>3469</v>
      </c>
    </row>
    <row r="887" spans="2:9">
      <c r="D887" s="127" t="s">
        <v>3410</v>
      </c>
    </row>
    <row r="888" spans="2:9">
      <c r="C888" s="190" t="s">
        <v>3354</v>
      </c>
      <c r="E888" s="127">
        <v>11</v>
      </c>
      <c r="F888" s="127">
        <f>SUM(E888:E889)</f>
        <v>11</v>
      </c>
      <c r="G888" s="127" t="s">
        <v>376</v>
      </c>
    </row>
    <row r="889" spans="2:9">
      <c r="C889" s="190"/>
    </row>
    <row r="890" spans="2:9">
      <c r="D890" s="127" t="s">
        <v>3417</v>
      </c>
    </row>
    <row r="891" spans="2:9">
      <c r="C891" s="190" t="s">
        <v>3354</v>
      </c>
      <c r="E891" s="127">
        <f>E888</f>
        <v>11</v>
      </c>
      <c r="F891" s="127">
        <f>SUM(E891)</f>
        <v>11</v>
      </c>
      <c r="G891" s="127" t="s">
        <v>376</v>
      </c>
    </row>
    <row r="893" spans="2:9" s="160" customFormat="1">
      <c r="D893" s="160" t="s">
        <v>3293</v>
      </c>
      <c r="E893" s="160" t="s">
        <v>3418</v>
      </c>
      <c r="F893" s="160" t="s">
        <v>3295</v>
      </c>
    </row>
    <row r="894" spans="2:9" s="160" customFormat="1">
      <c r="E894" s="160">
        <f>F891</f>
        <v>11</v>
      </c>
      <c r="F894" s="160">
        <v>0.15</v>
      </c>
      <c r="H894" s="160">
        <f>E894*F894</f>
        <v>1.65</v>
      </c>
      <c r="I894" s="160" t="s">
        <v>375</v>
      </c>
    </row>
    <row r="896" spans="2:9" s="160" customFormat="1">
      <c r="D896" s="160" t="s">
        <v>3346</v>
      </c>
      <c r="E896" s="160" t="s">
        <v>3345</v>
      </c>
      <c r="F896" s="160" t="s">
        <v>3294</v>
      </c>
    </row>
    <row r="897" spans="2:11" s="160" customFormat="1">
      <c r="E897" s="160">
        <f>F891^0.5</f>
        <v>3.3166247903553998</v>
      </c>
      <c r="F897" s="160">
        <f>F891^0.5</f>
        <v>3.3166247903553998</v>
      </c>
    </row>
    <row r="898" spans="2:11" s="160" customFormat="1"/>
    <row r="899" spans="2:11" s="160" customFormat="1">
      <c r="E899" s="160" t="s">
        <v>3379</v>
      </c>
      <c r="F899" s="160" t="s">
        <v>3379</v>
      </c>
      <c r="H899" s="160" t="s">
        <v>3419</v>
      </c>
      <c r="I899" s="160" t="s">
        <v>3362</v>
      </c>
    </row>
    <row r="900" spans="2:11" s="160" customFormat="1">
      <c r="E900" s="160">
        <f>E897/0.1*F897</f>
        <v>109.99999999999999</v>
      </c>
      <c r="F900" s="160">
        <f>F897/0.1*E897</f>
        <v>109.99999999999999</v>
      </c>
      <c r="G900" s="160">
        <f>SUM(E900:F900)</f>
        <v>219.99999999999997</v>
      </c>
      <c r="H900" s="160">
        <f>2*G900</f>
        <v>439.99999999999994</v>
      </c>
      <c r="I900" s="160">
        <v>0.6</v>
      </c>
      <c r="J900" s="160">
        <f>H900*I900</f>
        <v>263.99999999999994</v>
      </c>
      <c r="K900" s="160" t="s">
        <v>93</v>
      </c>
    </row>
    <row r="902" spans="2:11" s="160" customFormat="1">
      <c r="D902" s="160" t="s">
        <v>3351</v>
      </c>
      <c r="F902" s="160">
        <f>F888</f>
        <v>11</v>
      </c>
      <c r="G902" s="160" t="s">
        <v>376</v>
      </c>
    </row>
    <row r="904" spans="2:11" s="160" customFormat="1">
      <c r="B904" s="160" t="s">
        <v>3270</v>
      </c>
      <c r="C904" s="160" t="s">
        <v>3264</v>
      </c>
      <c r="D904" s="195"/>
    </row>
    <row r="905" spans="2:11">
      <c r="D905" s="127" t="s">
        <v>3410</v>
      </c>
    </row>
    <row r="906" spans="2:11">
      <c r="C906" s="190"/>
      <c r="E906" s="127" t="s">
        <v>3345</v>
      </c>
      <c r="F906" s="127" t="s">
        <v>3294</v>
      </c>
    </row>
    <row r="907" spans="2:11">
      <c r="C907" s="190"/>
      <c r="E907" s="127">
        <f>6.2*2</f>
        <v>12.4</v>
      </c>
      <c r="F907" s="127">
        <v>0.2</v>
      </c>
      <c r="G907" s="127">
        <f>E907*F907</f>
        <v>2.4800000000000004</v>
      </c>
      <c r="H907" s="127" t="s">
        <v>376</v>
      </c>
    </row>
    <row r="908" spans="2:11">
      <c r="D908" s="127" t="s">
        <v>3417</v>
      </c>
    </row>
    <row r="909" spans="2:11">
      <c r="C909" s="190"/>
      <c r="E909" s="127" t="s">
        <v>3294</v>
      </c>
      <c r="F909" s="127" t="s">
        <v>3465</v>
      </c>
      <c r="G909" s="127" t="s">
        <v>3466</v>
      </c>
      <c r="I909" s="127" t="s">
        <v>3379</v>
      </c>
    </row>
    <row r="910" spans="2:11">
      <c r="E910" s="127">
        <v>0.9</v>
      </c>
      <c r="F910" s="127">
        <v>0.4</v>
      </c>
      <c r="G910" s="127">
        <v>0.25</v>
      </c>
      <c r="H910" s="127">
        <f>G910*F910/2*E910*I910</f>
        <v>0.90000000000000013</v>
      </c>
      <c r="I910" s="127">
        <v>20</v>
      </c>
    </row>
    <row r="911" spans="2:11" s="160" customFormat="1">
      <c r="D911" s="160" t="s">
        <v>3293</v>
      </c>
      <c r="E911" s="160" t="s">
        <v>3418</v>
      </c>
      <c r="F911" s="160" t="s">
        <v>3295</v>
      </c>
    </row>
    <row r="912" spans="2:11" s="160" customFormat="1">
      <c r="H912" s="160">
        <f>H910</f>
        <v>0.90000000000000013</v>
      </c>
      <c r="I912" s="160" t="s">
        <v>375</v>
      </c>
    </row>
    <row r="913" spans="3:12" s="160" customFormat="1">
      <c r="D913" s="160" t="s">
        <v>3346</v>
      </c>
      <c r="E913" s="160" t="s">
        <v>3345</v>
      </c>
      <c r="F913" s="160" t="s">
        <v>3379</v>
      </c>
      <c r="G913" s="160" t="s">
        <v>3467</v>
      </c>
      <c r="H913" s="160" t="s">
        <v>3374</v>
      </c>
    </row>
    <row r="914" spans="3:12" s="160" customFormat="1">
      <c r="E914" s="160">
        <f>1.1+0.8</f>
        <v>1.9000000000000001</v>
      </c>
      <c r="F914" s="160">
        <f>E910/0.15+1</f>
        <v>7</v>
      </c>
      <c r="G914" s="160">
        <v>20</v>
      </c>
      <c r="H914" s="160">
        <v>0.4</v>
      </c>
      <c r="I914" s="160">
        <f>E914*F914*G914*H914</f>
        <v>106.4</v>
      </c>
      <c r="J914" s="160">
        <f>SUM(I914:I915)</f>
        <v>113.60000000000001</v>
      </c>
      <c r="K914" s="160" t="s">
        <v>93</v>
      </c>
    </row>
    <row r="915" spans="3:12">
      <c r="E915" s="127">
        <f>E910</f>
        <v>0.9</v>
      </c>
      <c r="F915" s="127">
        <v>1</v>
      </c>
      <c r="G915" s="127">
        <f>G914</f>
        <v>20</v>
      </c>
      <c r="H915" s="127">
        <f>H914</f>
        <v>0.4</v>
      </c>
      <c r="I915" s="127">
        <f>E915*F915*G915*H915</f>
        <v>7.2</v>
      </c>
    </row>
    <row r="916" spans="3:12" s="160" customFormat="1">
      <c r="D916" s="160" t="s">
        <v>3351</v>
      </c>
      <c r="F916" s="160">
        <f>G907</f>
        <v>2.4800000000000004</v>
      </c>
      <c r="G916" s="160" t="s">
        <v>376</v>
      </c>
    </row>
    <row r="918" spans="3:12" ht="26">
      <c r="C918" s="198" t="s">
        <v>3470</v>
      </c>
    </row>
    <row r="919" spans="3:12">
      <c r="C919" s="127" t="s">
        <v>3471</v>
      </c>
    </row>
    <row r="920" spans="3:12" s="160" customFormat="1">
      <c r="C920" s="160" t="s">
        <v>3337</v>
      </c>
      <c r="D920" s="160" t="s">
        <v>3293</v>
      </c>
      <c r="E920" s="160" t="s">
        <v>3294</v>
      </c>
      <c r="F920" s="160" t="s">
        <v>3294</v>
      </c>
      <c r="G920" s="160" t="s">
        <v>3295</v>
      </c>
      <c r="H920" s="160" t="s">
        <v>3296</v>
      </c>
    </row>
    <row r="921" spans="3:12" s="160" customFormat="1">
      <c r="E921" s="160">
        <v>1</v>
      </c>
      <c r="F921" s="160">
        <v>1</v>
      </c>
      <c r="G921" s="160">
        <v>0.5</v>
      </c>
      <c r="H921" s="160">
        <v>5</v>
      </c>
      <c r="I921" s="160">
        <f>E921*F921*G921*H921</f>
        <v>2.5</v>
      </c>
      <c r="J921" s="160" t="s">
        <v>375</v>
      </c>
    </row>
    <row r="923" spans="3:12" s="160" customFormat="1">
      <c r="D923" s="160" t="s">
        <v>3304</v>
      </c>
    </row>
    <row r="924" spans="3:12" s="160" customFormat="1">
      <c r="D924" s="160" t="s">
        <v>3308</v>
      </c>
      <c r="E924" s="160" t="s">
        <v>3309</v>
      </c>
      <c r="F924" s="160" t="s">
        <v>3310</v>
      </c>
      <c r="G924" s="160" t="s">
        <v>3296</v>
      </c>
      <c r="H924" s="160" t="s">
        <v>3296</v>
      </c>
      <c r="I924" s="160" t="s">
        <v>3311</v>
      </c>
      <c r="K924" s="160">
        <f>SUM(K925:K932)</f>
        <v>349.43999999999994</v>
      </c>
      <c r="L924" s="160" t="s">
        <v>3305</v>
      </c>
    </row>
    <row r="925" spans="3:12">
      <c r="E925" s="127">
        <v>1.5</v>
      </c>
      <c r="F925" s="127">
        <v>1.68</v>
      </c>
      <c r="G925" s="127">
        <f>1/0.15</f>
        <v>6.666666666666667</v>
      </c>
      <c r="H925" s="127">
        <f>H921</f>
        <v>5</v>
      </c>
      <c r="I925" s="127">
        <v>1.56</v>
      </c>
      <c r="K925" s="127">
        <f>(E925*F925)*G925*H925*I925</f>
        <v>131.04</v>
      </c>
      <c r="L925" s="127" t="s">
        <v>93</v>
      </c>
    </row>
    <row r="927" spans="3:12">
      <c r="D927" s="127" t="s">
        <v>3323</v>
      </c>
      <c r="E927" s="127" t="s">
        <v>3309</v>
      </c>
      <c r="F927" s="127" t="s">
        <v>3310</v>
      </c>
      <c r="G927" s="127" t="s">
        <v>3296</v>
      </c>
      <c r="H927" s="127" t="s">
        <v>3296</v>
      </c>
      <c r="I927" s="127" t="s">
        <v>3311</v>
      </c>
    </row>
    <row r="928" spans="3:12">
      <c r="E928" s="127">
        <v>1.5</v>
      </c>
      <c r="F928" s="127">
        <f>1.5+0.5</f>
        <v>2</v>
      </c>
      <c r="G928" s="127">
        <f>1/0.15</f>
        <v>6.666666666666667</v>
      </c>
      <c r="H928" s="127">
        <f>H925</f>
        <v>5</v>
      </c>
      <c r="I928" s="127">
        <v>1.56</v>
      </c>
      <c r="K928" s="127">
        <f>(E928*F928)*G928*H928*I928</f>
        <v>156</v>
      </c>
      <c r="L928" s="127" t="s">
        <v>93</v>
      </c>
    </row>
    <row r="930" spans="2:12">
      <c r="D930" s="127" t="s">
        <v>3332</v>
      </c>
    </row>
    <row r="931" spans="2:12">
      <c r="E931" s="127" t="s">
        <v>3296</v>
      </c>
      <c r="F931" s="127" t="s">
        <v>3334</v>
      </c>
      <c r="G931" s="127" t="s">
        <v>3334</v>
      </c>
      <c r="H931" s="127" t="s">
        <v>3296</v>
      </c>
      <c r="I931" s="127" t="s">
        <v>3311</v>
      </c>
    </row>
    <row r="932" spans="2:12">
      <c r="E932" s="127">
        <v>4</v>
      </c>
      <c r="F932" s="127">
        <v>1</v>
      </c>
      <c r="G932" s="127">
        <v>1</v>
      </c>
      <c r="H932" s="127">
        <f>H928</f>
        <v>5</v>
      </c>
      <c r="I932" s="127">
        <v>1.56</v>
      </c>
      <c r="K932" s="127">
        <f>(G932+F932)*E932*H932*I932</f>
        <v>62.400000000000006</v>
      </c>
      <c r="L932" s="127" t="s">
        <v>93</v>
      </c>
    </row>
    <row r="935" spans="2:12" s="160" customFormat="1">
      <c r="D935" s="160" t="s">
        <v>3336</v>
      </c>
    </row>
    <row r="936" spans="2:12" s="160" customFormat="1">
      <c r="E936" s="160">
        <f>E921</f>
        <v>1</v>
      </c>
      <c r="F936" s="160">
        <f t="shared" ref="F936:H936" si="28">F921</f>
        <v>1</v>
      </c>
      <c r="G936" s="160">
        <f t="shared" si="28"/>
        <v>0.5</v>
      </c>
      <c r="H936" s="160">
        <f t="shared" si="28"/>
        <v>5</v>
      </c>
      <c r="I936" s="160">
        <f>G936*(F936+E936+F936+E936)*H936</f>
        <v>10</v>
      </c>
      <c r="J936" s="160" t="s">
        <v>376</v>
      </c>
    </row>
    <row r="938" spans="2:12" s="160" customFormat="1">
      <c r="B938" s="160" t="s">
        <v>3270</v>
      </c>
      <c r="C938" s="160" t="s">
        <v>3424</v>
      </c>
    </row>
    <row r="939" spans="2:12" s="160" customFormat="1">
      <c r="C939" s="160" t="s">
        <v>3472</v>
      </c>
      <c r="D939" s="160" t="s">
        <v>3293</v>
      </c>
      <c r="E939" s="160" t="s">
        <v>3294</v>
      </c>
      <c r="F939" s="160" t="s">
        <v>3294</v>
      </c>
      <c r="G939" s="160" t="s">
        <v>3345</v>
      </c>
      <c r="H939" s="160" t="s">
        <v>3379</v>
      </c>
    </row>
    <row r="940" spans="2:12" s="160" customFormat="1">
      <c r="E940" s="160">
        <v>0.4</v>
      </c>
      <c r="F940" s="160">
        <v>0.4</v>
      </c>
      <c r="G940" s="160">
        <f>3.4+1.3</f>
        <v>4.7</v>
      </c>
      <c r="H940" s="160">
        <v>2</v>
      </c>
      <c r="J940" s="160">
        <f>E940*F940*G940*H940</f>
        <v>1.5040000000000004</v>
      </c>
      <c r="K940" s="160" t="s">
        <v>375</v>
      </c>
    </row>
    <row r="942" spans="2:12" s="160" customFormat="1">
      <c r="D942" s="160" t="s">
        <v>3346</v>
      </c>
      <c r="E942" s="160" t="s">
        <v>3345</v>
      </c>
      <c r="F942" s="160" t="s">
        <v>3296</v>
      </c>
      <c r="G942" s="160" t="s">
        <v>3316</v>
      </c>
      <c r="H942" s="160" t="s">
        <v>3296</v>
      </c>
    </row>
    <row r="943" spans="2:12" s="160" customFormat="1">
      <c r="E943" s="160">
        <f>3.4+1.6+1.5</f>
        <v>6.5</v>
      </c>
      <c r="F943" s="160">
        <v>10</v>
      </c>
      <c r="G943" s="160">
        <v>2.23</v>
      </c>
      <c r="H943" s="160">
        <f>H940</f>
        <v>2</v>
      </c>
      <c r="I943" s="160">
        <f>E943*F943*H943*G943</f>
        <v>289.89999999999998</v>
      </c>
      <c r="J943" s="160">
        <f>SUM(I943:I951)</f>
        <v>402.21999999999997</v>
      </c>
      <c r="K943" s="160" t="s">
        <v>93</v>
      </c>
    </row>
    <row r="945" spans="3:11">
      <c r="D945" s="127" t="s">
        <v>3348</v>
      </c>
      <c r="E945" s="127" t="s">
        <v>3345</v>
      </c>
      <c r="F945" s="127" t="s">
        <v>3296</v>
      </c>
      <c r="G945" s="127" t="s">
        <v>3341</v>
      </c>
      <c r="H945" s="127" t="s">
        <v>3296</v>
      </c>
    </row>
    <row r="946" spans="3:11">
      <c r="E946" s="127">
        <f>(E940-0.04)+(F940-0.04)*2</f>
        <v>1.08</v>
      </c>
      <c r="F946" s="127">
        <f>ROUNDUP(G940/2/0.08,0)</f>
        <v>30</v>
      </c>
      <c r="G946" s="127">
        <v>1</v>
      </c>
      <c r="H946" s="127">
        <f>H940</f>
        <v>2</v>
      </c>
      <c r="I946" s="127">
        <f>E946*F946*H946*G946</f>
        <v>64.800000000000011</v>
      </c>
    </row>
    <row r="947" spans="3:11">
      <c r="D947" s="127" t="s">
        <v>3380</v>
      </c>
      <c r="E947" s="127" t="s">
        <v>3345</v>
      </c>
      <c r="F947" s="127" t="s">
        <v>3296</v>
      </c>
      <c r="G947" s="127" t="s">
        <v>3341</v>
      </c>
      <c r="H947" s="127" t="s">
        <v>3296</v>
      </c>
    </row>
    <row r="948" spans="3:11">
      <c r="E948" s="127">
        <f>(E940-0.04+0.02)+(F940-0.04+0.02)*1</f>
        <v>0.76000000000000012</v>
      </c>
      <c r="F948" s="127">
        <f>ROUNDUP(G940/2/0.1,0)</f>
        <v>24</v>
      </c>
      <c r="G948" s="127">
        <v>0</v>
      </c>
      <c r="H948" s="127">
        <f>H940</f>
        <v>2</v>
      </c>
      <c r="I948" s="127">
        <f>E948*F948*H948*G948</f>
        <v>0</v>
      </c>
    </row>
    <row r="950" spans="3:11">
      <c r="D950" s="127" t="s">
        <v>3350</v>
      </c>
      <c r="E950" s="127" t="s">
        <v>3345</v>
      </c>
      <c r="F950" s="127" t="s">
        <v>3296</v>
      </c>
      <c r="G950" s="127" t="s">
        <v>3341</v>
      </c>
      <c r="H950" s="127" t="s">
        <v>3296</v>
      </c>
    </row>
    <row r="951" spans="3:11">
      <c r="E951" s="127">
        <f>(E940-0.04)+(F940-0.04)*2</f>
        <v>1.08</v>
      </c>
      <c r="F951" s="127">
        <f>ROUNDUP(G940/2/0.11,0)</f>
        <v>22</v>
      </c>
      <c r="G951" s="127">
        <v>1</v>
      </c>
      <c r="H951" s="127">
        <f>H946</f>
        <v>2</v>
      </c>
      <c r="I951" s="127">
        <f>E951*F951*H951*G951</f>
        <v>47.52</v>
      </c>
    </row>
    <row r="953" spans="3:11" s="160" customFormat="1">
      <c r="D953" s="160" t="s">
        <v>3351</v>
      </c>
      <c r="E953" s="160" t="s">
        <v>3294</v>
      </c>
      <c r="F953" s="160" t="s">
        <v>3344</v>
      </c>
      <c r="G953" s="160" t="s">
        <v>3345</v>
      </c>
      <c r="H953" s="160" t="s">
        <v>3296</v>
      </c>
    </row>
    <row r="954" spans="3:11" s="160" customFormat="1">
      <c r="E954" s="160">
        <f>E940</f>
        <v>0.4</v>
      </c>
      <c r="F954" s="160">
        <f t="shared" ref="F954:G954" si="29">F940</f>
        <v>0.4</v>
      </c>
      <c r="G954" s="160">
        <f t="shared" si="29"/>
        <v>4.7</v>
      </c>
      <c r="H954" s="160">
        <f>H951</f>
        <v>2</v>
      </c>
      <c r="I954" s="160">
        <f>((E954+F954)*2)*G954*H954</f>
        <v>15.040000000000001</v>
      </c>
      <c r="J954" s="160" t="s">
        <v>376</v>
      </c>
    </row>
    <row r="956" spans="3:11" s="160" customFormat="1">
      <c r="C956" s="160" t="s">
        <v>3473</v>
      </c>
      <c r="D956" s="160" t="s">
        <v>3293</v>
      </c>
      <c r="E956" s="160" t="s">
        <v>3294</v>
      </c>
      <c r="F956" s="160" t="s">
        <v>3294</v>
      </c>
      <c r="G956" s="160" t="s">
        <v>3345</v>
      </c>
      <c r="H956" s="160" t="s">
        <v>3379</v>
      </c>
    </row>
    <row r="957" spans="3:11" s="160" customFormat="1">
      <c r="E957" s="160">
        <v>0.5</v>
      </c>
      <c r="F957" s="160">
        <v>0.5</v>
      </c>
      <c r="G957" s="160">
        <f>3.4+1.3</f>
        <v>4.7</v>
      </c>
      <c r="H957" s="160">
        <v>2</v>
      </c>
      <c r="J957" s="160">
        <f>E957*F957*G957*H957</f>
        <v>2.35</v>
      </c>
      <c r="K957" s="160" t="s">
        <v>375</v>
      </c>
    </row>
    <row r="959" spans="3:11" s="160" customFormat="1">
      <c r="D959" s="160" t="s">
        <v>3346</v>
      </c>
      <c r="E959" s="160" t="s">
        <v>3345</v>
      </c>
      <c r="F959" s="160" t="s">
        <v>3296</v>
      </c>
      <c r="G959" s="160" t="s">
        <v>3316</v>
      </c>
      <c r="H959" s="160" t="s">
        <v>3296</v>
      </c>
    </row>
    <row r="960" spans="3:11" s="160" customFormat="1">
      <c r="E960" s="160">
        <f>3.4+1.6+1.5</f>
        <v>6.5</v>
      </c>
      <c r="F960" s="160">
        <v>10</v>
      </c>
      <c r="G960" s="160">
        <v>2.23</v>
      </c>
      <c r="H960" s="160">
        <f>H957</f>
        <v>2</v>
      </c>
      <c r="I960" s="160">
        <f>E960*F960*H960*G960</f>
        <v>289.89999999999998</v>
      </c>
      <c r="J960" s="160">
        <f>SUM(I960:I968)</f>
        <v>507.94</v>
      </c>
      <c r="K960" s="160" t="s">
        <v>93</v>
      </c>
    </row>
    <row r="962" spans="3:11">
      <c r="D962" s="127" t="s">
        <v>3348</v>
      </c>
      <c r="E962" s="127" t="s">
        <v>3345</v>
      </c>
      <c r="F962" s="127" t="s">
        <v>3296</v>
      </c>
      <c r="G962" s="127" t="s">
        <v>3341</v>
      </c>
      <c r="H962" s="127" t="s">
        <v>3296</v>
      </c>
    </row>
    <row r="963" spans="3:11">
      <c r="E963" s="127">
        <f>(E957-0.04)+(F957-0.04)*2</f>
        <v>1.3800000000000001</v>
      </c>
      <c r="F963" s="127">
        <f>ROUNDUP(G957/2/0.05,0)</f>
        <v>47</v>
      </c>
      <c r="G963" s="127">
        <v>1</v>
      </c>
      <c r="H963" s="127">
        <f>H957</f>
        <v>2</v>
      </c>
      <c r="I963" s="127">
        <f>E963*F963*H963*G963</f>
        <v>129.72</v>
      </c>
    </row>
    <row r="964" spans="3:11">
      <c r="D964" s="127" t="s">
        <v>3380</v>
      </c>
      <c r="E964" s="127" t="s">
        <v>3345</v>
      </c>
      <c r="F964" s="127" t="s">
        <v>3296</v>
      </c>
      <c r="G964" s="127" t="s">
        <v>3341</v>
      </c>
      <c r="H964" s="127" t="s">
        <v>3296</v>
      </c>
    </row>
    <row r="965" spans="3:11">
      <c r="E965" s="127">
        <f>(E957-0.04+0.02)+(F957-0.04+0.02)*1</f>
        <v>0.96000000000000008</v>
      </c>
      <c r="F965" s="127">
        <f>ROUNDUP(G957/2/0.1,0)</f>
        <v>24</v>
      </c>
      <c r="G965" s="127">
        <v>0</v>
      </c>
      <c r="H965" s="127">
        <f>H957</f>
        <v>2</v>
      </c>
      <c r="I965" s="127">
        <f>E965*F965*H965*G965</f>
        <v>0</v>
      </c>
    </row>
    <row r="967" spans="3:11">
      <c r="D967" s="127" t="s">
        <v>3350</v>
      </c>
      <c r="E967" s="127" t="s">
        <v>3345</v>
      </c>
      <c r="F967" s="127" t="s">
        <v>3296</v>
      </c>
      <c r="G967" s="127" t="s">
        <v>3341</v>
      </c>
      <c r="H967" s="127" t="s">
        <v>3296</v>
      </c>
    </row>
    <row r="968" spans="3:11">
      <c r="E968" s="127">
        <f>(E957-0.04)+(F957-0.04)*2</f>
        <v>1.3800000000000001</v>
      </c>
      <c r="F968" s="127">
        <f>ROUNDUP(G957/2/0.075,0)</f>
        <v>32</v>
      </c>
      <c r="G968" s="127">
        <v>1</v>
      </c>
      <c r="H968" s="127">
        <f>H963</f>
        <v>2</v>
      </c>
      <c r="I968" s="127">
        <f>E968*F968*H968*G968</f>
        <v>88.320000000000007</v>
      </c>
    </row>
    <row r="970" spans="3:11" s="160" customFormat="1">
      <c r="D970" s="160" t="s">
        <v>3351</v>
      </c>
      <c r="E970" s="160" t="s">
        <v>3294</v>
      </c>
      <c r="F970" s="160" t="s">
        <v>3344</v>
      </c>
      <c r="G970" s="160" t="s">
        <v>3345</v>
      </c>
      <c r="H970" s="160" t="s">
        <v>3296</v>
      </c>
    </row>
    <row r="971" spans="3:11" s="160" customFormat="1">
      <c r="E971" s="160">
        <f>E957</f>
        <v>0.5</v>
      </c>
      <c r="F971" s="160">
        <f t="shared" ref="F971:G971" si="30">F957</f>
        <v>0.5</v>
      </c>
      <c r="G971" s="160">
        <f t="shared" si="30"/>
        <v>4.7</v>
      </c>
      <c r="H971" s="160">
        <f>H968</f>
        <v>2</v>
      </c>
      <c r="I971" s="160">
        <f>((E971+F971)*2)*G971*H971</f>
        <v>18.8</v>
      </c>
      <c r="J971" s="160" t="s">
        <v>376</v>
      </c>
    </row>
    <row r="973" spans="3:11" s="160" customFormat="1">
      <c r="C973" s="160" t="s">
        <v>3474</v>
      </c>
      <c r="D973" s="160" t="s">
        <v>3293</v>
      </c>
      <c r="E973" s="160" t="s">
        <v>3294</v>
      </c>
      <c r="F973" s="160" t="s">
        <v>3294</v>
      </c>
      <c r="G973" s="160" t="s">
        <v>3345</v>
      </c>
      <c r="H973" s="160" t="s">
        <v>3379</v>
      </c>
    </row>
    <row r="974" spans="3:11" s="160" customFormat="1">
      <c r="E974" s="160">
        <v>0.6</v>
      </c>
      <c r="F974" s="160">
        <v>0.6</v>
      </c>
      <c r="G974" s="160">
        <f>3.4+1.3</f>
        <v>4.7</v>
      </c>
      <c r="H974" s="160">
        <v>1</v>
      </c>
      <c r="J974" s="160">
        <f>E974*F974*G974*H974</f>
        <v>1.6919999999999999</v>
      </c>
      <c r="K974" s="160" t="s">
        <v>375</v>
      </c>
    </row>
    <row r="976" spans="3:11" s="160" customFormat="1" ht="18.649999999999999" customHeight="1">
      <c r="D976" s="160" t="s">
        <v>3346</v>
      </c>
      <c r="E976" s="160" t="s">
        <v>3345</v>
      </c>
      <c r="F976" s="160" t="s">
        <v>3296</v>
      </c>
      <c r="G976" s="160" t="s">
        <v>3316</v>
      </c>
      <c r="H976" s="160" t="s">
        <v>3296</v>
      </c>
    </row>
    <row r="977" spans="2:11" s="160" customFormat="1">
      <c r="E977" s="160">
        <f>3.4+1.6+1.5</f>
        <v>6.5</v>
      </c>
      <c r="F977" s="160">
        <v>20</v>
      </c>
      <c r="G977" s="160">
        <v>2.23</v>
      </c>
      <c r="H977" s="160">
        <f>H974</f>
        <v>1</v>
      </c>
      <c r="I977" s="160">
        <f>E977*F977*H977*G977</f>
        <v>289.89999999999998</v>
      </c>
      <c r="J977" s="160">
        <f>SUM(I977:I985)</f>
        <v>422.61999999999995</v>
      </c>
      <c r="K977" s="160" t="s">
        <v>93</v>
      </c>
    </row>
    <row r="979" spans="2:11">
      <c r="D979" s="127" t="s">
        <v>3348</v>
      </c>
      <c r="E979" s="127" t="s">
        <v>3345</v>
      </c>
      <c r="F979" s="127" t="s">
        <v>3296</v>
      </c>
      <c r="G979" s="127" t="s">
        <v>3341</v>
      </c>
      <c r="H979" s="127" t="s">
        <v>3296</v>
      </c>
    </row>
    <row r="980" spans="2:11">
      <c r="E980" s="127">
        <f>(E974-0.04)+(F974-0.04)*2</f>
        <v>1.6799999999999997</v>
      </c>
      <c r="F980" s="127">
        <f>ROUNDUP(G974/2/0.05,0)</f>
        <v>47</v>
      </c>
      <c r="G980" s="127">
        <v>1</v>
      </c>
      <c r="H980" s="127">
        <f>H974</f>
        <v>1</v>
      </c>
      <c r="I980" s="127">
        <f>E980*F980*H980*G980</f>
        <v>78.95999999999998</v>
      </c>
    </row>
    <row r="981" spans="2:11">
      <c r="D981" s="127" t="s">
        <v>3380</v>
      </c>
      <c r="E981" s="127" t="s">
        <v>3345</v>
      </c>
      <c r="F981" s="127" t="s">
        <v>3296</v>
      </c>
      <c r="G981" s="127" t="s">
        <v>3341</v>
      </c>
      <c r="H981" s="127" t="s">
        <v>3296</v>
      </c>
    </row>
    <row r="982" spans="2:11">
      <c r="E982" s="127">
        <f>(E974-0.04+0.02)+(F974-0.04+0.02)*1</f>
        <v>1.1599999999999999</v>
      </c>
      <c r="F982" s="127">
        <f>ROUNDUP(G974/2/0.1,0)</f>
        <v>24</v>
      </c>
      <c r="G982" s="127">
        <v>0</v>
      </c>
      <c r="H982" s="127">
        <f>H974</f>
        <v>1</v>
      </c>
      <c r="I982" s="127">
        <f>E982*F982*H982*G982</f>
        <v>0</v>
      </c>
    </row>
    <row r="984" spans="2:11">
      <c r="D984" s="127" t="s">
        <v>3350</v>
      </c>
      <c r="E984" s="127" t="s">
        <v>3345</v>
      </c>
      <c r="F984" s="127" t="s">
        <v>3296</v>
      </c>
      <c r="G984" s="127" t="s">
        <v>3341</v>
      </c>
      <c r="H984" s="127" t="s">
        <v>3296</v>
      </c>
    </row>
    <row r="985" spans="2:11">
      <c r="E985" s="127">
        <f>(E974-0.04)+(F974-0.04)*2</f>
        <v>1.6799999999999997</v>
      </c>
      <c r="F985" s="127">
        <f>ROUNDUP(G974/2/0.075,0)</f>
        <v>32</v>
      </c>
      <c r="G985" s="127">
        <v>1</v>
      </c>
      <c r="H985" s="127">
        <f>H980</f>
        <v>1</v>
      </c>
      <c r="I985" s="127">
        <f>E985*F985*H985*G985</f>
        <v>53.759999999999991</v>
      </c>
    </row>
    <row r="987" spans="2:11" s="160" customFormat="1">
      <c r="D987" s="160" t="s">
        <v>3351</v>
      </c>
      <c r="E987" s="160" t="s">
        <v>3294</v>
      </c>
      <c r="F987" s="160" t="s">
        <v>3344</v>
      </c>
      <c r="G987" s="160" t="s">
        <v>3345</v>
      </c>
      <c r="H987" s="160" t="s">
        <v>3296</v>
      </c>
    </row>
    <row r="988" spans="2:11" s="160" customFormat="1">
      <c r="E988" s="160">
        <f>E974</f>
        <v>0.6</v>
      </c>
      <c r="F988" s="160">
        <f t="shared" ref="F988:G988" si="31">F974</f>
        <v>0.6</v>
      </c>
      <c r="G988" s="160">
        <f t="shared" si="31"/>
        <v>4.7</v>
      </c>
      <c r="H988" s="160">
        <f>H985</f>
        <v>1</v>
      </c>
      <c r="I988" s="160">
        <f>((E988+F988)*2)*G988*H988</f>
        <v>11.28</v>
      </c>
      <c r="J988" s="160" t="s">
        <v>376</v>
      </c>
    </row>
    <row r="990" spans="2:11" s="160" customFormat="1">
      <c r="B990" s="160" t="s">
        <v>3270</v>
      </c>
      <c r="C990" s="160" t="s">
        <v>3384</v>
      </c>
      <c r="D990" s="195" t="s">
        <v>3475</v>
      </c>
    </row>
    <row r="991" spans="2:11">
      <c r="C991" s="127" t="s">
        <v>3476</v>
      </c>
      <c r="D991" s="127" t="s">
        <v>3353</v>
      </c>
    </row>
    <row r="992" spans="2:11">
      <c r="C992" s="190" t="s">
        <v>3354</v>
      </c>
      <c r="E992" s="127">
        <v>2.7</v>
      </c>
      <c r="F992" s="127">
        <f>SUM(E992:E993)</f>
        <v>8.6999999999999993</v>
      </c>
      <c r="G992" s="127" t="s">
        <v>113</v>
      </c>
    </row>
    <row r="993" spans="3:11">
      <c r="C993" s="190" t="s">
        <v>3354</v>
      </c>
      <c r="E993" s="127">
        <v>6</v>
      </c>
    </row>
    <row r="994" spans="3:11" s="160" customFormat="1">
      <c r="D994" s="160" t="s">
        <v>3293</v>
      </c>
      <c r="E994" s="160" t="s">
        <v>3294</v>
      </c>
      <c r="F994" s="160" t="s">
        <v>3344</v>
      </c>
      <c r="G994" s="160" t="s">
        <v>3345</v>
      </c>
    </row>
    <row r="995" spans="3:11" s="160" customFormat="1">
      <c r="E995" s="160">
        <v>0.4</v>
      </c>
      <c r="F995" s="160">
        <v>0.6</v>
      </c>
      <c r="G995" s="160">
        <f>F992</f>
        <v>8.6999999999999993</v>
      </c>
      <c r="H995" s="160">
        <f>E995*F997*G995</f>
        <v>1.6703999999999999</v>
      </c>
      <c r="I995" s="160" t="s">
        <v>375</v>
      </c>
    </row>
    <row r="996" spans="3:11">
      <c r="F996" s="127" t="s">
        <v>3389</v>
      </c>
    </row>
    <row r="997" spans="3:11">
      <c r="F997" s="127">
        <f>F995-0.12</f>
        <v>0.48</v>
      </c>
    </row>
    <row r="999" spans="3:11" s="160" customFormat="1">
      <c r="D999" s="160" t="s">
        <v>3346</v>
      </c>
      <c r="E999" s="160" t="s">
        <v>3345</v>
      </c>
      <c r="F999" s="160" t="s">
        <v>3296</v>
      </c>
      <c r="G999" s="160" t="s">
        <v>3316</v>
      </c>
    </row>
    <row r="1000" spans="3:11" s="160" customFormat="1">
      <c r="E1000" s="160">
        <f>G995</f>
        <v>8.6999999999999993</v>
      </c>
      <c r="F1000" s="160">
        <v>11</v>
      </c>
      <c r="G1000" s="160">
        <v>2.23</v>
      </c>
      <c r="H1000" s="160">
        <f>E1000*F1000*G1000</f>
        <v>213.41099999999997</v>
      </c>
      <c r="I1000" s="160" t="s">
        <v>93</v>
      </c>
      <c r="J1000" s="160">
        <f>SUM(H1000:H1015)</f>
        <v>371.76299999999998</v>
      </c>
      <c r="K1000" s="160" t="s">
        <v>3305</v>
      </c>
    </row>
    <row r="1002" spans="3:11">
      <c r="D1002" s="127" t="s">
        <v>3347</v>
      </c>
      <c r="E1002" s="127" t="s">
        <v>3345</v>
      </c>
      <c r="F1002" s="127" t="s">
        <v>3296</v>
      </c>
      <c r="G1002" s="127" t="s">
        <v>3341</v>
      </c>
    </row>
    <row r="1003" spans="3:11">
      <c r="E1003" s="127">
        <f>G995</f>
        <v>8.6999999999999993</v>
      </c>
      <c r="F1003" s="127">
        <v>4</v>
      </c>
      <c r="G1003" s="127">
        <v>1</v>
      </c>
      <c r="H1003" s="127">
        <f>E1003*F1003*G1003</f>
        <v>34.799999999999997</v>
      </c>
      <c r="I1003" s="127" t="s">
        <v>93</v>
      </c>
    </row>
    <row r="1005" spans="3:11">
      <c r="D1005" s="127" t="s">
        <v>3348</v>
      </c>
      <c r="E1005" s="127" t="s">
        <v>3345</v>
      </c>
      <c r="F1005" s="127" t="s">
        <v>3296</v>
      </c>
      <c r="G1005" s="127" t="s">
        <v>3349</v>
      </c>
    </row>
    <row r="1006" spans="3:11">
      <c r="E1006" s="127">
        <f>(E995-0.04)+(F995-0.04)*2</f>
        <v>1.48</v>
      </c>
      <c r="F1006" s="127">
        <f>ROUNDUP(G995/2/0.09,0)</f>
        <v>49</v>
      </c>
      <c r="G1006" s="127">
        <v>0.6</v>
      </c>
      <c r="H1006" s="127">
        <f>E1006*F1006*G1006</f>
        <v>43.511999999999993</v>
      </c>
      <c r="I1006" s="127" t="s">
        <v>93</v>
      </c>
    </row>
    <row r="1008" spans="3:11">
      <c r="D1008" s="127" t="s">
        <v>3380</v>
      </c>
      <c r="E1008" s="127" t="s">
        <v>3345</v>
      </c>
      <c r="F1008" s="127" t="s">
        <v>3296</v>
      </c>
      <c r="G1008" s="127" t="s">
        <v>3349</v>
      </c>
    </row>
    <row r="1009" spans="3:9">
      <c r="E1009" s="127">
        <f>(F995-0.04+0.02)*2</f>
        <v>1.1599999999999999</v>
      </c>
      <c r="F1009" s="127">
        <f>ROUNDUP(G995/2/0.09,0)</f>
        <v>49</v>
      </c>
      <c r="G1009" s="127">
        <v>0.6</v>
      </c>
      <c r="H1009" s="127">
        <f>E1009*F1009*G1009</f>
        <v>34.103999999999999</v>
      </c>
      <c r="I1009" s="127" t="s">
        <v>93</v>
      </c>
    </row>
    <row r="1011" spans="3:9">
      <c r="D1011" s="127" t="s">
        <v>3350</v>
      </c>
      <c r="E1011" s="127" t="s">
        <v>3345</v>
      </c>
      <c r="F1011" s="127" t="s">
        <v>3296</v>
      </c>
      <c r="G1011" s="127" t="s">
        <v>3349</v>
      </c>
    </row>
    <row r="1012" spans="3:9">
      <c r="E1012" s="127">
        <f>(E995-0.04)+(F995-0.04)*2</f>
        <v>1.48</v>
      </c>
      <c r="F1012" s="127">
        <f>ROUNDUP(G995/2/0.15,0)</f>
        <v>29</v>
      </c>
      <c r="G1012" s="127">
        <v>0.6</v>
      </c>
      <c r="H1012" s="127">
        <f>E1012*F1012*G1012</f>
        <v>25.751999999999999</v>
      </c>
      <c r="I1012" s="127" t="s">
        <v>93</v>
      </c>
    </row>
    <row r="1014" spans="3:9">
      <c r="D1014" s="127" t="s">
        <v>3380</v>
      </c>
      <c r="E1014" s="127" t="s">
        <v>3345</v>
      </c>
      <c r="F1014" s="127" t="s">
        <v>3296</v>
      </c>
      <c r="G1014" s="127" t="s">
        <v>3349</v>
      </c>
    </row>
    <row r="1015" spans="3:9">
      <c r="E1015" s="127">
        <f>(F995-0.04+0.02)*2</f>
        <v>1.1599999999999999</v>
      </c>
      <c r="F1015" s="127">
        <f>ROUNDUP(G995/2/0.15,0)</f>
        <v>29</v>
      </c>
      <c r="G1015" s="127">
        <v>0.6</v>
      </c>
      <c r="H1015" s="127">
        <f>E1015*F1015*G1015</f>
        <v>20.184000000000001</v>
      </c>
      <c r="I1015" s="127" t="s">
        <v>93</v>
      </c>
    </row>
    <row r="1017" spans="3:9" s="160" customFormat="1">
      <c r="D1017" s="160" t="s">
        <v>3351</v>
      </c>
      <c r="E1017" s="160" t="s">
        <v>3294</v>
      </c>
      <c r="F1017" s="160" t="s">
        <v>3390</v>
      </c>
      <c r="G1017" s="160" t="s">
        <v>3345</v>
      </c>
    </row>
    <row r="1018" spans="3:9" s="160" customFormat="1">
      <c r="E1018" s="160">
        <f>E995</f>
        <v>0.4</v>
      </c>
      <c r="F1018" s="160">
        <f>F995-0.12</f>
        <v>0.48</v>
      </c>
      <c r="G1018" s="160">
        <f>G995</f>
        <v>8.6999999999999993</v>
      </c>
      <c r="H1018" s="160">
        <f>(F1018+F1018+E1018)*G1018</f>
        <v>11.831999999999997</v>
      </c>
      <c r="I1018" s="160" t="s">
        <v>376</v>
      </c>
    </row>
    <row r="1020" spans="3:9" s="160" customFormat="1">
      <c r="C1020" s="160" t="s">
        <v>3477</v>
      </c>
      <c r="D1020" s="160" t="s">
        <v>3353</v>
      </c>
    </row>
    <row r="1021" spans="3:9">
      <c r="C1021" s="190" t="s">
        <v>3354</v>
      </c>
      <c r="D1021" s="127" t="s">
        <v>3478</v>
      </c>
      <c r="E1021" s="127">
        <v>23.6</v>
      </c>
      <c r="F1021" s="127">
        <f>SUM(E1021:E1024)</f>
        <v>87.800000000000011</v>
      </c>
      <c r="G1021" s="127" t="s">
        <v>113</v>
      </c>
    </row>
    <row r="1022" spans="3:9">
      <c r="C1022" s="190" t="s">
        <v>3354</v>
      </c>
      <c r="D1022" s="127" t="s">
        <v>3478</v>
      </c>
      <c r="E1022" s="127">
        <f>17.4*2</f>
        <v>34.799999999999997</v>
      </c>
    </row>
    <row r="1023" spans="3:9">
      <c r="C1023" s="190"/>
      <c r="D1023" s="127" t="s">
        <v>3478</v>
      </c>
      <c r="E1023" s="127">
        <v>24</v>
      </c>
    </row>
    <row r="1024" spans="3:9">
      <c r="C1024" s="190"/>
      <c r="D1024" s="127" t="s">
        <v>3393</v>
      </c>
      <c r="E1024" s="127">
        <f>2.7*2</f>
        <v>5.4</v>
      </c>
    </row>
    <row r="1025" spans="3:11">
      <c r="C1025" s="190"/>
    </row>
    <row r="1026" spans="3:11" s="160" customFormat="1">
      <c r="D1026" s="160" t="s">
        <v>3293</v>
      </c>
      <c r="E1026" s="160" t="s">
        <v>3294</v>
      </c>
      <c r="F1026" s="160" t="s">
        <v>3344</v>
      </c>
      <c r="G1026" s="160" t="s">
        <v>3345</v>
      </c>
    </row>
    <row r="1027" spans="3:11" s="160" customFormat="1">
      <c r="E1027" s="160">
        <v>0.25</v>
      </c>
      <c r="F1027" s="160">
        <v>0.5</v>
      </c>
      <c r="G1027" s="160">
        <f>F1021</f>
        <v>87.800000000000011</v>
      </c>
      <c r="H1027" s="160">
        <f>E1027*F1029*G1027</f>
        <v>8.3410000000000011</v>
      </c>
      <c r="I1027" s="160" t="s">
        <v>375</v>
      </c>
    </row>
    <row r="1028" spans="3:11">
      <c r="F1028" s="127" t="s">
        <v>3389</v>
      </c>
    </row>
    <row r="1029" spans="3:11">
      <c r="F1029" s="127">
        <f>F1027-0.12</f>
        <v>0.38</v>
      </c>
    </row>
    <row r="1031" spans="3:11" s="160" customFormat="1">
      <c r="D1031" s="160" t="s">
        <v>3346</v>
      </c>
      <c r="E1031" s="160" t="s">
        <v>3345</v>
      </c>
      <c r="F1031" s="160" t="s">
        <v>3296</v>
      </c>
      <c r="G1031" s="160" t="s">
        <v>3311</v>
      </c>
    </row>
    <row r="1032" spans="3:11" s="160" customFormat="1">
      <c r="E1032" s="160">
        <f>G1027</f>
        <v>87.800000000000011</v>
      </c>
      <c r="F1032" s="160">
        <v>8</v>
      </c>
      <c r="G1032" s="160">
        <v>1.56</v>
      </c>
      <c r="H1032" s="160">
        <f>E1032*F1032*G1032</f>
        <v>1095.7440000000001</v>
      </c>
      <c r="I1032" s="160" t="s">
        <v>93</v>
      </c>
      <c r="J1032" s="160">
        <f>SUM(H1032:H1047)</f>
        <v>1945.2760000000003</v>
      </c>
      <c r="K1032" s="160" t="s">
        <v>3305</v>
      </c>
    </row>
    <row r="1034" spans="3:11">
      <c r="D1034" s="127" t="s">
        <v>3347</v>
      </c>
      <c r="E1034" s="127" t="s">
        <v>3345</v>
      </c>
      <c r="F1034" s="127" t="s">
        <v>3296</v>
      </c>
      <c r="G1034" s="127" t="s">
        <v>3341</v>
      </c>
    </row>
    <row r="1035" spans="3:11">
      <c r="E1035" s="127">
        <f>G1027</f>
        <v>87.800000000000011</v>
      </c>
      <c r="F1035" s="127">
        <v>2</v>
      </c>
      <c r="G1035" s="127">
        <v>1</v>
      </c>
      <c r="H1035" s="127">
        <f>E1035*F1035*G1035</f>
        <v>175.60000000000002</v>
      </c>
      <c r="I1035" s="127" t="s">
        <v>93</v>
      </c>
    </row>
    <row r="1037" spans="3:11">
      <c r="D1037" s="127" t="s">
        <v>3348</v>
      </c>
      <c r="E1037" s="127" t="s">
        <v>3345</v>
      </c>
      <c r="F1037" s="127" t="s">
        <v>3296</v>
      </c>
      <c r="G1037" s="127" t="s">
        <v>3349</v>
      </c>
    </row>
    <row r="1038" spans="3:11">
      <c r="E1038" s="127">
        <f>(E1027-0.04)+(F1027-0.04)*2</f>
        <v>1.1300000000000001</v>
      </c>
      <c r="F1038" s="127">
        <f>ROUNDUP(G1027/2/0.07,0)</f>
        <v>628</v>
      </c>
      <c r="G1038" s="127">
        <v>0.6</v>
      </c>
      <c r="H1038" s="127">
        <f>E1038*F1038*G1038</f>
        <v>425.78400000000005</v>
      </c>
      <c r="I1038" s="127" t="s">
        <v>93</v>
      </c>
    </row>
    <row r="1040" spans="3:11">
      <c r="D1040" s="127" t="s">
        <v>3380</v>
      </c>
      <c r="E1040" s="127" t="s">
        <v>3345</v>
      </c>
      <c r="F1040" s="127" t="s">
        <v>3296</v>
      </c>
      <c r="G1040" s="127" t="s">
        <v>3349</v>
      </c>
    </row>
    <row r="1041" spans="3:9">
      <c r="E1041" s="127">
        <f>(F1027-0.04+0.02)*0</f>
        <v>0</v>
      </c>
      <c r="F1041" s="127">
        <f>ROUNDUP(G1027/2/0.07,0)</f>
        <v>628</v>
      </c>
      <c r="G1041" s="127">
        <v>0.6</v>
      </c>
      <c r="H1041" s="127">
        <f>E1041*F1041*G1041</f>
        <v>0</v>
      </c>
      <c r="I1041" s="127" t="s">
        <v>93</v>
      </c>
    </row>
    <row r="1043" spans="3:9">
      <c r="D1043" s="127" t="s">
        <v>3350</v>
      </c>
      <c r="E1043" s="127" t="s">
        <v>3345</v>
      </c>
      <c r="F1043" s="127" t="s">
        <v>3296</v>
      </c>
      <c r="G1043" s="127" t="s">
        <v>3349</v>
      </c>
    </row>
    <row r="1044" spans="3:9">
      <c r="E1044" s="127">
        <f>(E1027-0.04)+(F1027-0.04)*2</f>
        <v>1.1300000000000001</v>
      </c>
      <c r="F1044" s="127">
        <f>ROUNDUP(G1027/2/0.12,0)</f>
        <v>366</v>
      </c>
      <c r="G1044" s="127">
        <v>0.6</v>
      </c>
      <c r="H1044" s="127">
        <f>E1044*F1044*G1044</f>
        <v>248.14800000000002</v>
      </c>
      <c r="I1044" s="127" t="s">
        <v>93</v>
      </c>
    </row>
    <row r="1046" spans="3:9">
      <c r="D1046" s="127" t="s">
        <v>3380</v>
      </c>
      <c r="E1046" s="127" t="s">
        <v>3345</v>
      </c>
      <c r="F1046" s="127" t="s">
        <v>3296</v>
      </c>
      <c r="G1046" s="127" t="s">
        <v>3349</v>
      </c>
    </row>
    <row r="1047" spans="3:9">
      <c r="E1047" s="127">
        <f>(F1027-0.04+0.02)*0</f>
        <v>0</v>
      </c>
      <c r="F1047" s="127">
        <f>ROUNDUP(G1027/2/0.15,0)</f>
        <v>293</v>
      </c>
      <c r="G1047" s="127">
        <v>0.6</v>
      </c>
      <c r="H1047" s="127">
        <f>E1047*F1047*G1047</f>
        <v>0</v>
      </c>
      <c r="I1047" s="127" t="s">
        <v>93</v>
      </c>
    </row>
    <row r="1049" spans="3:9">
      <c r="D1049" s="127" t="s">
        <v>3351</v>
      </c>
      <c r="E1049" s="127" t="s">
        <v>3294</v>
      </c>
      <c r="F1049" s="127" t="s">
        <v>3390</v>
      </c>
      <c r="G1049" s="127" t="s">
        <v>3345</v>
      </c>
    </row>
    <row r="1050" spans="3:9">
      <c r="E1050" s="127">
        <f>E1027</f>
        <v>0.25</v>
      </c>
      <c r="F1050" s="127">
        <f>F1027-0.12</f>
        <v>0.38</v>
      </c>
      <c r="G1050" s="127">
        <f>G1027</f>
        <v>87.800000000000011</v>
      </c>
      <c r="H1050" s="127">
        <f>(F1050+F1050+E1050)*G1050</f>
        <v>88.678000000000011</v>
      </c>
      <c r="I1050" s="127" t="s">
        <v>376</v>
      </c>
    </row>
    <row r="1052" spans="3:9" s="160" customFormat="1">
      <c r="C1052" s="160" t="s">
        <v>3479</v>
      </c>
      <c r="D1052" s="160" t="s">
        <v>3353</v>
      </c>
    </row>
    <row r="1053" spans="3:9">
      <c r="C1053" s="190" t="s">
        <v>3354</v>
      </c>
      <c r="D1053" s="127" t="s">
        <v>3393</v>
      </c>
      <c r="E1053" s="127">
        <f>0.9*4</f>
        <v>3.6</v>
      </c>
      <c r="F1053" s="127">
        <f>SUM(E1053:E1053)</f>
        <v>3.6</v>
      </c>
      <c r="G1053" s="127" t="s">
        <v>113</v>
      </c>
    </row>
    <row r="1054" spans="3:9">
      <c r="C1054" s="190"/>
    </row>
    <row r="1055" spans="3:9" s="160" customFormat="1">
      <c r="D1055" s="160" t="s">
        <v>3293</v>
      </c>
      <c r="E1055" s="160" t="s">
        <v>3294</v>
      </c>
      <c r="F1055" s="160" t="s">
        <v>3344</v>
      </c>
      <c r="G1055" s="160" t="s">
        <v>3345</v>
      </c>
    </row>
    <row r="1056" spans="3:9" s="160" customFormat="1">
      <c r="E1056" s="160">
        <v>0.25</v>
      </c>
      <c r="F1056" s="160">
        <v>0.3</v>
      </c>
      <c r="G1056" s="160">
        <f>F1053</f>
        <v>3.6</v>
      </c>
      <c r="H1056" s="160">
        <f>E1056*F1058*G1056</f>
        <v>0.16200000000000001</v>
      </c>
      <c r="I1056" s="160" t="s">
        <v>375</v>
      </c>
    </row>
    <row r="1057" spans="4:11">
      <c r="F1057" s="127" t="s">
        <v>3389</v>
      </c>
    </row>
    <row r="1058" spans="4:11">
      <c r="F1058" s="127">
        <f>F1056-0.12</f>
        <v>0.18</v>
      </c>
    </row>
    <row r="1060" spans="4:11" s="160" customFormat="1" ht="23.4" customHeight="1">
      <c r="D1060" s="160" t="s">
        <v>3346</v>
      </c>
      <c r="E1060" s="160" t="s">
        <v>3345</v>
      </c>
      <c r="F1060" s="160" t="s">
        <v>3296</v>
      </c>
      <c r="G1060" s="160" t="s">
        <v>3341</v>
      </c>
    </row>
    <row r="1061" spans="4:11" s="160" customFormat="1">
      <c r="E1061" s="160">
        <f>G1056</f>
        <v>3.6</v>
      </c>
      <c r="F1061" s="160">
        <v>4</v>
      </c>
      <c r="G1061" s="160">
        <v>1</v>
      </c>
      <c r="H1061" s="160">
        <f>E1061*F1061*G1061</f>
        <v>14.4</v>
      </c>
      <c r="I1061" s="160" t="s">
        <v>93</v>
      </c>
      <c r="J1061" s="160">
        <f>SUM(H1061:H1076)</f>
        <v>40.68</v>
      </c>
      <c r="K1061" s="160" t="s">
        <v>3305</v>
      </c>
    </row>
    <row r="1063" spans="4:11">
      <c r="D1063" s="127" t="s">
        <v>3347</v>
      </c>
      <c r="E1063" s="127" t="s">
        <v>3345</v>
      </c>
      <c r="F1063" s="127" t="s">
        <v>3296</v>
      </c>
      <c r="G1063" s="127" t="s">
        <v>3341</v>
      </c>
    </row>
    <row r="1064" spans="4:11">
      <c r="E1064" s="127">
        <f>G1056</f>
        <v>3.6</v>
      </c>
      <c r="F1064" s="127">
        <v>0</v>
      </c>
      <c r="G1064" s="127">
        <v>1</v>
      </c>
      <c r="H1064" s="127">
        <f>E1064*F1064*G1064</f>
        <v>0</v>
      </c>
      <c r="I1064" s="127" t="s">
        <v>93</v>
      </c>
    </row>
    <row r="1066" spans="4:11">
      <c r="D1066" s="127" t="s">
        <v>3348</v>
      </c>
      <c r="E1066" s="127" t="s">
        <v>3345</v>
      </c>
      <c r="F1066" s="127" t="s">
        <v>3296</v>
      </c>
      <c r="G1066" s="127" t="s">
        <v>3349</v>
      </c>
    </row>
    <row r="1067" spans="4:11">
      <c r="E1067" s="127">
        <f>(E1056-0.04)+(F1056-0.04)*2</f>
        <v>0.73</v>
      </c>
      <c r="F1067" s="127">
        <f>ROUNDUP(G1056/2/0.06,0)</f>
        <v>30</v>
      </c>
      <c r="G1067" s="127">
        <v>0.6</v>
      </c>
      <c r="H1067" s="127">
        <f>E1067*F1067*G1067</f>
        <v>13.139999999999999</v>
      </c>
      <c r="I1067" s="127" t="s">
        <v>93</v>
      </c>
    </row>
    <row r="1069" spans="4:11">
      <c r="D1069" s="127" t="s">
        <v>3380</v>
      </c>
      <c r="E1069" s="127" t="s">
        <v>3345</v>
      </c>
      <c r="F1069" s="127" t="s">
        <v>3296</v>
      </c>
      <c r="G1069" s="127" t="s">
        <v>3349</v>
      </c>
    </row>
    <row r="1070" spans="4:11">
      <c r="E1070" s="127">
        <f>(F1056-0.04+0.02)*0</f>
        <v>0</v>
      </c>
      <c r="F1070" s="127">
        <f>ROUNDUP(G1056/2/0.07,0)</f>
        <v>26</v>
      </c>
      <c r="G1070" s="127">
        <v>0.6</v>
      </c>
      <c r="H1070" s="127">
        <f>E1070*F1070*G1070</f>
        <v>0</v>
      </c>
      <c r="I1070" s="127" t="s">
        <v>93</v>
      </c>
    </row>
    <row r="1072" spans="4:11">
      <c r="D1072" s="127" t="s">
        <v>3350</v>
      </c>
      <c r="E1072" s="127" t="s">
        <v>3345</v>
      </c>
      <c r="F1072" s="127" t="s">
        <v>3296</v>
      </c>
      <c r="G1072" s="127" t="s">
        <v>3349</v>
      </c>
    </row>
    <row r="1073" spans="3:9">
      <c r="E1073" s="127">
        <f>(E1056-0.04)+(F1056-0.04)*2</f>
        <v>0.73</v>
      </c>
      <c r="F1073" s="127">
        <f>ROUNDUP(G1056/2/0.06,0)</f>
        <v>30</v>
      </c>
      <c r="G1073" s="127">
        <v>0.6</v>
      </c>
      <c r="H1073" s="127">
        <f>E1073*F1073*G1073</f>
        <v>13.139999999999999</v>
      </c>
      <c r="I1073" s="127" t="s">
        <v>93</v>
      </c>
    </row>
    <row r="1075" spans="3:9">
      <c r="D1075" s="127" t="s">
        <v>3380</v>
      </c>
      <c r="E1075" s="127" t="s">
        <v>3345</v>
      </c>
      <c r="F1075" s="127" t="s">
        <v>3296</v>
      </c>
      <c r="G1075" s="127" t="s">
        <v>3349</v>
      </c>
    </row>
    <row r="1076" spans="3:9">
      <c r="E1076" s="127">
        <f>(F1056-0.04+0.02)*0</f>
        <v>0</v>
      </c>
      <c r="F1076" s="127">
        <f>ROUNDUP(G1056/2/0.15,0)</f>
        <v>12</v>
      </c>
      <c r="G1076" s="127">
        <v>0.6</v>
      </c>
      <c r="H1076" s="127">
        <f>E1076*F1076*G1076</f>
        <v>0</v>
      </c>
      <c r="I1076" s="127" t="s">
        <v>93</v>
      </c>
    </row>
    <row r="1078" spans="3:9">
      <c r="D1078" s="127" t="s">
        <v>3351</v>
      </c>
      <c r="E1078" s="127" t="s">
        <v>3294</v>
      </c>
      <c r="F1078" s="127" t="s">
        <v>3390</v>
      </c>
      <c r="G1078" s="127" t="s">
        <v>3345</v>
      </c>
    </row>
    <row r="1079" spans="3:9">
      <c r="E1079" s="127">
        <f>E1056</f>
        <v>0.25</v>
      </c>
      <c r="F1079" s="127">
        <f>F1056-0.12</f>
        <v>0.18</v>
      </c>
      <c r="G1079" s="127">
        <f>G1056</f>
        <v>3.6</v>
      </c>
      <c r="H1079" s="127">
        <f>(F1079+F1079+E1079)*G1079</f>
        <v>2.1960000000000002</v>
      </c>
      <c r="I1079" s="127" t="s">
        <v>376</v>
      </c>
    </row>
    <row r="1081" spans="3:9" s="160" customFormat="1">
      <c r="C1081" s="160" t="s">
        <v>3480</v>
      </c>
      <c r="D1081" s="160" t="s">
        <v>3353</v>
      </c>
    </row>
    <row r="1082" spans="3:9">
      <c r="C1082" s="190" t="s">
        <v>3354</v>
      </c>
      <c r="D1082" s="127" t="s">
        <v>3393</v>
      </c>
      <c r="E1082" s="127">
        <f>2.7*2</f>
        <v>5.4</v>
      </c>
      <c r="F1082" s="127">
        <f>SUM(E1082:E1082)</f>
        <v>5.4</v>
      </c>
      <c r="G1082" s="127" t="s">
        <v>113</v>
      </c>
    </row>
    <row r="1083" spans="3:9">
      <c r="C1083" s="190"/>
    </row>
    <row r="1084" spans="3:9" s="160" customFormat="1">
      <c r="D1084" s="160" t="s">
        <v>3293</v>
      </c>
      <c r="E1084" s="160" t="s">
        <v>3294</v>
      </c>
      <c r="F1084" s="160" t="s">
        <v>3344</v>
      </c>
      <c r="G1084" s="160" t="s">
        <v>3345</v>
      </c>
    </row>
    <row r="1085" spans="3:9" s="160" customFormat="1">
      <c r="E1085" s="160">
        <v>0.25</v>
      </c>
      <c r="F1085" s="160">
        <v>0.5</v>
      </c>
      <c r="G1085" s="160">
        <f>F1082</f>
        <v>5.4</v>
      </c>
      <c r="H1085" s="160">
        <f>E1085*F1087*G1085</f>
        <v>0.51300000000000001</v>
      </c>
      <c r="I1085" s="160" t="s">
        <v>375</v>
      </c>
    </row>
    <row r="1086" spans="3:9">
      <c r="F1086" s="127" t="s">
        <v>3389</v>
      </c>
    </row>
    <row r="1087" spans="3:9">
      <c r="F1087" s="127">
        <f>F1085-0.12</f>
        <v>0.38</v>
      </c>
    </row>
    <row r="1089" spans="4:11" s="160" customFormat="1">
      <c r="D1089" s="160" t="s">
        <v>3346</v>
      </c>
      <c r="E1089" s="160" t="s">
        <v>3345</v>
      </c>
      <c r="F1089" s="160" t="s">
        <v>3296</v>
      </c>
      <c r="G1089" s="160" t="s">
        <v>3311</v>
      </c>
    </row>
    <row r="1090" spans="4:11" s="160" customFormat="1">
      <c r="E1090" s="160">
        <f>G1085</f>
        <v>5.4</v>
      </c>
      <c r="F1090" s="160">
        <v>10</v>
      </c>
      <c r="G1090" s="160">
        <f>1.56</f>
        <v>1.56</v>
      </c>
      <c r="H1090" s="160">
        <f>E1090*F1090*G1090</f>
        <v>84.240000000000009</v>
      </c>
      <c r="I1090" s="160" t="s">
        <v>93</v>
      </c>
      <c r="J1090" s="160">
        <f>SUM(H1090:H1105)</f>
        <v>147.92400000000001</v>
      </c>
      <c r="K1090" s="160" t="s">
        <v>3305</v>
      </c>
    </row>
    <row r="1092" spans="4:11">
      <c r="D1092" s="127" t="s">
        <v>3347</v>
      </c>
      <c r="E1092" s="127" t="s">
        <v>3345</v>
      </c>
      <c r="F1092" s="127" t="s">
        <v>3296</v>
      </c>
      <c r="G1092" s="127" t="s">
        <v>3341</v>
      </c>
    </row>
    <row r="1093" spans="4:11">
      <c r="E1093" s="127">
        <f>G1085</f>
        <v>5.4</v>
      </c>
      <c r="F1093" s="127">
        <v>2</v>
      </c>
      <c r="G1093" s="127">
        <v>1</v>
      </c>
      <c r="H1093" s="127">
        <f>E1093*F1093*G1093</f>
        <v>10.8</v>
      </c>
      <c r="I1093" s="127" t="s">
        <v>93</v>
      </c>
    </row>
    <row r="1095" spans="4:11">
      <c r="D1095" s="127" t="s">
        <v>3348</v>
      </c>
      <c r="E1095" s="127" t="s">
        <v>3345</v>
      </c>
      <c r="F1095" s="127" t="s">
        <v>3296</v>
      </c>
      <c r="G1095" s="127" t="s">
        <v>3349</v>
      </c>
    </row>
    <row r="1096" spans="4:11">
      <c r="E1096" s="127">
        <f>(E1085-0.04)+(F1085-0.04)*2</f>
        <v>1.1300000000000001</v>
      </c>
      <c r="F1096" s="127">
        <f>ROUNDUP(G1085/2/0.07,0)</f>
        <v>39</v>
      </c>
      <c r="G1096" s="127">
        <v>0.6</v>
      </c>
      <c r="H1096" s="127">
        <f>E1096*F1096*G1096</f>
        <v>26.442000000000004</v>
      </c>
      <c r="I1096" s="127" t="s">
        <v>93</v>
      </c>
    </row>
    <row r="1098" spans="4:11">
      <c r="D1098" s="127" t="s">
        <v>3380</v>
      </c>
      <c r="E1098" s="127" t="s">
        <v>3345</v>
      </c>
      <c r="F1098" s="127" t="s">
        <v>3296</v>
      </c>
      <c r="G1098" s="127" t="s">
        <v>3349</v>
      </c>
    </row>
    <row r="1099" spans="4:11">
      <c r="E1099" s="127">
        <f>(F1085-0.04+0.02)*0</f>
        <v>0</v>
      </c>
      <c r="F1099" s="127">
        <f>ROUNDUP(G1085/2/0.07,0)</f>
        <v>39</v>
      </c>
      <c r="G1099" s="127">
        <v>0.6</v>
      </c>
      <c r="H1099" s="127">
        <f>E1099*F1099*G1099</f>
        <v>0</v>
      </c>
      <c r="I1099" s="127" t="s">
        <v>93</v>
      </c>
    </row>
    <row r="1101" spans="4:11">
      <c r="D1101" s="127" t="s">
        <v>3350</v>
      </c>
      <c r="E1101" s="127" t="s">
        <v>3345</v>
      </c>
      <c r="F1101" s="127" t="s">
        <v>3296</v>
      </c>
      <c r="G1101" s="127" t="s">
        <v>3349</v>
      </c>
    </row>
    <row r="1102" spans="4:11">
      <c r="E1102" s="127">
        <f>(E1085-0.04)+(F1085-0.04)*2</f>
        <v>1.1300000000000001</v>
      </c>
      <c r="F1102" s="127">
        <f>ROUNDUP(G1085/2/0.07,0)</f>
        <v>39</v>
      </c>
      <c r="G1102" s="127">
        <v>0.6</v>
      </c>
      <c r="H1102" s="127">
        <f>E1102*F1102*G1102</f>
        <v>26.442000000000004</v>
      </c>
      <c r="I1102" s="127" t="s">
        <v>93</v>
      </c>
    </row>
    <row r="1104" spans="4:11">
      <c r="D1104" s="127" t="s">
        <v>3380</v>
      </c>
      <c r="E1104" s="127" t="s">
        <v>3345</v>
      </c>
      <c r="F1104" s="127" t="s">
        <v>3296</v>
      </c>
      <c r="G1104" s="127" t="s">
        <v>3349</v>
      </c>
    </row>
    <row r="1105" spans="2:9">
      <c r="E1105" s="127">
        <f>(F1085-0.04+0.02)*0</f>
        <v>0</v>
      </c>
      <c r="F1105" s="127">
        <f>ROUNDUP(G1085/2/0.15,0)</f>
        <v>18</v>
      </c>
      <c r="G1105" s="127">
        <v>0.6</v>
      </c>
      <c r="H1105" s="127">
        <f>E1105*F1105*G1105</f>
        <v>0</v>
      </c>
      <c r="I1105" s="127" t="s">
        <v>93</v>
      </c>
    </row>
    <row r="1107" spans="2:9" s="160" customFormat="1">
      <c r="D1107" s="160" t="s">
        <v>3351</v>
      </c>
      <c r="E1107" s="160" t="s">
        <v>3294</v>
      </c>
      <c r="F1107" s="160" t="s">
        <v>3390</v>
      </c>
      <c r="G1107" s="160" t="s">
        <v>3345</v>
      </c>
    </row>
    <row r="1108" spans="2:9" s="160" customFormat="1">
      <c r="E1108" s="160">
        <f>E1085</f>
        <v>0.25</v>
      </c>
      <c r="F1108" s="160">
        <f>F1085-0.12</f>
        <v>0.38</v>
      </c>
      <c r="G1108" s="160">
        <f>G1085</f>
        <v>5.4</v>
      </c>
      <c r="H1108" s="160">
        <f>(F1108+F1108+E1108)*G1108</f>
        <v>5.4540000000000006</v>
      </c>
      <c r="I1108" s="160" t="s">
        <v>376</v>
      </c>
    </row>
    <row r="1110" spans="2:9" s="160" customFormat="1">
      <c r="B1110" s="160" t="s">
        <v>3270</v>
      </c>
      <c r="C1110" s="160" t="s">
        <v>3409</v>
      </c>
      <c r="D1110" s="195" t="s">
        <v>3475</v>
      </c>
    </row>
    <row r="1111" spans="2:9">
      <c r="D1111" s="127" t="s">
        <v>3410</v>
      </c>
    </row>
    <row r="1112" spans="2:9">
      <c r="C1112" s="190" t="s">
        <v>3354</v>
      </c>
      <c r="E1112" s="127">
        <v>2.2999999999999998</v>
      </c>
      <c r="F1112" s="127">
        <f>SUM(E1112:E1117)*2</f>
        <v>38</v>
      </c>
      <c r="G1112" s="127" t="s">
        <v>376</v>
      </c>
    </row>
    <row r="1113" spans="2:9">
      <c r="C1113" s="190"/>
      <c r="E1113" s="127">
        <v>2.2999999999999998</v>
      </c>
    </row>
    <row r="1114" spans="2:9">
      <c r="C1114" s="190"/>
      <c r="E1114" s="127">
        <v>3.5</v>
      </c>
    </row>
    <row r="1115" spans="2:9">
      <c r="C1115" s="190"/>
      <c r="E1115" s="127">
        <v>3.8</v>
      </c>
    </row>
    <row r="1116" spans="2:9">
      <c r="C1116" s="190"/>
      <c r="E1116" s="127">
        <v>3.4</v>
      </c>
    </row>
    <row r="1117" spans="2:9">
      <c r="C1117" s="190"/>
      <c r="E1117" s="127">
        <v>3.7</v>
      </c>
    </row>
    <row r="1118" spans="2:9">
      <c r="D1118" s="127" t="s">
        <v>3417</v>
      </c>
    </row>
    <row r="1119" spans="2:9">
      <c r="C1119" s="190" t="s">
        <v>3354</v>
      </c>
      <c r="E1119" s="127">
        <v>65</v>
      </c>
      <c r="F1119" s="127">
        <f>SUM(E1119)</f>
        <v>65</v>
      </c>
      <c r="G1119" s="127" t="s">
        <v>376</v>
      </c>
    </row>
    <row r="1121" spans="3:22" s="160" customFormat="1">
      <c r="D1121" s="160" t="s">
        <v>3293</v>
      </c>
      <c r="E1121" s="160" t="s">
        <v>3418</v>
      </c>
      <c r="F1121" s="160" t="s">
        <v>3295</v>
      </c>
    </row>
    <row r="1122" spans="3:22" s="160" customFormat="1">
      <c r="E1122" s="160">
        <f>F1119</f>
        <v>65</v>
      </c>
      <c r="F1122" s="160">
        <v>0.12</v>
      </c>
      <c r="H1122" s="160">
        <f>E1122*F1122</f>
        <v>7.8</v>
      </c>
      <c r="I1122" s="160" t="s">
        <v>375</v>
      </c>
    </row>
    <row r="1124" spans="3:22" s="160" customFormat="1">
      <c r="D1124" s="160" t="s">
        <v>3346</v>
      </c>
      <c r="E1124" s="160" t="s">
        <v>3345</v>
      </c>
      <c r="F1124" s="160" t="s">
        <v>3294</v>
      </c>
    </row>
    <row r="1125" spans="3:22" s="160" customFormat="1">
      <c r="E1125" s="160">
        <f>F1119^0.5</f>
        <v>8.0622577482985491</v>
      </c>
      <c r="F1125" s="160">
        <f>F1119^0.5</f>
        <v>8.0622577482985491</v>
      </c>
    </row>
    <row r="1126" spans="3:22" s="160" customFormat="1"/>
    <row r="1127" spans="3:22" s="160" customFormat="1">
      <c r="E1127" s="160" t="s">
        <v>3379</v>
      </c>
      <c r="F1127" s="160" t="s">
        <v>3379</v>
      </c>
      <c r="H1127" s="160" t="s">
        <v>3419</v>
      </c>
      <c r="I1127" s="160" t="s">
        <v>3362</v>
      </c>
    </row>
    <row r="1128" spans="3:22" s="160" customFormat="1">
      <c r="E1128" s="160">
        <f>E1125/0.125*F1125</f>
        <v>519.99999999999989</v>
      </c>
      <c r="F1128" s="160">
        <f>F1125/0.125*E1125</f>
        <v>519.99999999999989</v>
      </c>
      <c r="G1128" s="160">
        <f>SUM(E1128:F1128)</f>
        <v>1039.9999999999998</v>
      </c>
      <c r="H1128" s="160">
        <f>2*G1128</f>
        <v>2079.9999999999995</v>
      </c>
      <c r="I1128" s="160">
        <v>0.6</v>
      </c>
      <c r="J1128" s="160">
        <f>H1128*I1128</f>
        <v>1247.9999999999998</v>
      </c>
      <c r="K1128" s="160" t="s">
        <v>93</v>
      </c>
    </row>
    <row r="1130" spans="3:22" s="160" customFormat="1">
      <c r="D1130" s="160" t="s">
        <v>3351</v>
      </c>
      <c r="F1130" s="160">
        <f>F1112</f>
        <v>38</v>
      </c>
      <c r="G1130" s="160" t="s">
        <v>376</v>
      </c>
    </row>
    <row r="1135" spans="3:22">
      <c r="C1135" s="127" t="s">
        <v>3481</v>
      </c>
      <c r="S1135" s="127" t="str">
        <f>E1136</f>
        <v>p</v>
      </c>
      <c r="T1135" s="127" t="str">
        <f t="shared" ref="T1135:U1138" si="32">F1136</f>
        <v>l</v>
      </c>
      <c r="U1135" s="127" t="str">
        <f t="shared" si="32"/>
        <v>h</v>
      </c>
    </row>
    <row r="1136" spans="3:22">
      <c r="C1136" s="127" t="s">
        <v>3369</v>
      </c>
      <c r="E1136" s="127" t="s">
        <v>3482</v>
      </c>
      <c r="F1136" s="127" t="s">
        <v>3194</v>
      </c>
      <c r="G1136" s="127" t="s">
        <v>3372</v>
      </c>
      <c r="H1136" s="127" t="s">
        <v>3371</v>
      </c>
      <c r="N1136" s="153" t="s">
        <v>3265</v>
      </c>
      <c r="S1136" s="127">
        <f t="shared" ref="S1136:S1138" si="33">E1137</f>
        <v>6.4</v>
      </c>
      <c r="T1136" s="127">
        <f t="shared" si="32"/>
        <v>2.6</v>
      </c>
      <c r="U1136" s="127">
        <v>0.1</v>
      </c>
      <c r="V1136" s="127">
        <f>S1136*T1136*U1136</f>
        <v>1.6640000000000001</v>
      </c>
    </row>
    <row r="1137" spans="2:22">
      <c r="E1137" s="127">
        <v>6.4</v>
      </c>
      <c r="F1137" s="127">
        <v>2.6</v>
      </c>
      <c r="G1137" s="127">
        <v>1.85</v>
      </c>
      <c r="H1137" s="127">
        <f>E1137*F1137*G1137</f>
        <v>30.784000000000002</v>
      </c>
      <c r="N1137" s="153" t="s">
        <v>100</v>
      </c>
      <c r="S1137" s="127">
        <f t="shared" si="33"/>
        <v>4</v>
      </c>
      <c r="T1137" s="127">
        <f t="shared" si="32"/>
        <v>1.96</v>
      </c>
      <c r="U1137" s="127">
        <v>0.1</v>
      </c>
      <c r="V1137" s="127">
        <f t="shared" ref="V1137:V1138" si="34">S1137*T1137*U1137</f>
        <v>0.78400000000000003</v>
      </c>
    </row>
    <row r="1138" spans="2:22">
      <c r="C1138" s="127" t="s">
        <v>3370</v>
      </c>
      <c r="E1138" s="127">
        <v>4</v>
      </c>
      <c r="F1138" s="127">
        <v>1.96</v>
      </c>
      <c r="G1138" s="127">
        <v>1.6</v>
      </c>
      <c r="H1138" s="127">
        <f t="shared" ref="H1138:H1140" si="35">E1138*F1138*G1138</f>
        <v>12.544</v>
      </c>
      <c r="S1138" s="127">
        <f t="shared" si="33"/>
        <v>0.65</v>
      </c>
      <c r="T1138" s="127">
        <f t="shared" si="32"/>
        <v>0.8</v>
      </c>
      <c r="U1138" s="127">
        <v>0.1</v>
      </c>
      <c r="V1138" s="127">
        <f t="shared" si="34"/>
        <v>5.2000000000000005E-2</v>
      </c>
    </row>
    <row r="1139" spans="2:22">
      <c r="E1139" s="127">
        <v>0.65</v>
      </c>
      <c r="F1139" s="127">
        <v>0.8</v>
      </c>
      <c r="G1139" s="127">
        <v>1.6</v>
      </c>
      <c r="H1139" s="127">
        <f t="shared" si="35"/>
        <v>0.83200000000000007</v>
      </c>
    </row>
    <row r="1140" spans="2:22">
      <c r="C1140" s="127" t="s">
        <v>3483</v>
      </c>
      <c r="E1140" s="127">
        <v>6.75</v>
      </c>
      <c r="F1140" s="127">
        <v>2.5</v>
      </c>
      <c r="G1140" s="127">
        <v>2.17</v>
      </c>
      <c r="H1140" s="127">
        <f t="shared" si="35"/>
        <v>36.618749999999999</v>
      </c>
      <c r="V1140" s="127">
        <f>SUM(V1136:V1139)</f>
        <v>2.5000000000000004</v>
      </c>
    </row>
    <row r="1141" spans="2:22">
      <c r="C1141" s="127" t="s">
        <v>3484</v>
      </c>
      <c r="E1141" s="127">
        <v>369.08721100000002</v>
      </c>
      <c r="G1141" s="127">
        <v>0.5</v>
      </c>
      <c r="H1141" s="127">
        <f>E1141*G1141</f>
        <v>184.54360550000001</v>
      </c>
    </row>
    <row r="1142" spans="2:22">
      <c r="N1142" s="194" t="str">
        <f>N1136</f>
        <v>Rabat Beton fc' = 7,4 MPa (K 100)</v>
      </c>
      <c r="S1142" s="127">
        <f>E1140</f>
        <v>6.75</v>
      </c>
      <c r="T1142" s="127">
        <f>F1140</f>
        <v>2.5</v>
      </c>
      <c r="U1142" s="127">
        <v>7.0000000000000007E-2</v>
      </c>
      <c r="V1142" s="127">
        <f t="shared" ref="V1142:V1143" si="36">S1142*T1142*U1142</f>
        <v>1.1812500000000001</v>
      </c>
    </row>
    <row r="1143" spans="2:22">
      <c r="G1143" s="127" t="s">
        <v>3371</v>
      </c>
      <c r="H1143" s="127">
        <f>SUM(H1137:H1141)</f>
        <v>265.32235550000001</v>
      </c>
      <c r="N1143" s="194" t="str">
        <f>N1137</f>
        <v>Pasir urug</v>
      </c>
      <c r="S1143" s="127">
        <f>S1142</f>
        <v>6.75</v>
      </c>
      <c r="T1143" s="127">
        <f>T1142</f>
        <v>2.5</v>
      </c>
      <c r="U1143" s="127">
        <v>0.1</v>
      </c>
      <c r="V1143" s="127">
        <f t="shared" si="36"/>
        <v>1.6875</v>
      </c>
    </row>
    <row r="1145" spans="2:22">
      <c r="N1145" s="194" t="str">
        <f>N1142</f>
        <v>Rabat Beton fc' = 7,4 MPa (K 100)</v>
      </c>
      <c r="S1145" s="127">
        <f>E1141</f>
        <v>369.08721100000002</v>
      </c>
      <c r="U1145" s="127">
        <v>7.0000000000000007E-2</v>
      </c>
      <c r="V1145" s="127">
        <f>S1145*U1145</f>
        <v>25.836104770000006</v>
      </c>
    </row>
    <row r="1146" spans="2:22">
      <c r="N1146" s="194" t="str">
        <f>N1143</f>
        <v>Pasir urug</v>
      </c>
      <c r="S1146" s="127">
        <f>S1145</f>
        <v>369.08721100000002</v>
      </c>
      <c r="U1146" s="127">
        <v>0.1</v>
      </c>
      <c r="V1146" s="127">
        <f>S1146*U1146</f>
        <v>36.908721100000001</v>
      </c>
    </row>
    <row r="1147" spans="2:22">
      <c r="C1147" s="127" t="e">
        <f>'3.BOQ STR'!#REF!</f>
        <v>#REF!</v>
      </c>
    </row>
    <row r="1148" spans="2:22" s="160" customFormat="1">
      <c r="B1148" s="160" t="s">
        <v>3270</v>
      </c>
      <c r="C1148" s="160" t="e">
        <f>'3.BOQ STR'!#REF!</f>
        <v>#REF!</v>
      </c>
    </row>
    <row r="1149" spans="2:22" s="160" customFormat="1">
      <c r="D1149" s="160" t="s">
        <v>3293</v>
      </c>
      <c r="E1149" s="160" t="s">
        <v>3294</v>
      </c>
      <c r="F1149" s="160" t="s">
        <v>3294</v>
      </c>
      <c r="G1149" s="160" t="s">
        <v>3345</v>
      </c>
      <c r="H1149" s="160" t="s">
        <v>3379</v>
      </c>
    </row>
    <row r="1150" spans="2:22" s="160" customFormat="1">
      <c r="E1150" s="160">
        <v>0.15</v>
      </c>
      <c r="F1150" s="160">
        <v>0.2</v>
      </c>
      <c r="G1150" s="160">
        <v>1.75</v>
      </c>
      <c r="H1150" s="160">
        <v>16</v>
      </c>
      <c r="J1150" s="160">
        <f>E1150*F1150*G1150*H1150</f>
        <v>0.84</v>
      </c>
      <c r="K1150" s="160" t="s">
        <v>375</v>
      </c>
    </row>
    <row r="1152" spans="2:22" s="160" customFormat="1">
      <c r="D1152" s="160" t="s">
        <v>3346</v>
      </c>
      <c r="E1152" s="160" t="s">
        <v>3345</v>
      </c>
      <c r="F1152" s="160" t="s">
        <v>3296</v>
      </c>
      <c r="G1152" s="160" t="s">
        <v>3341</v>
      </c>
      <c r="H1152" s="160" t="s">
        <v>3296</v>
      </c>
    </row>
    <row r="1153" spans="3:11" s="160" customFormat="1">
      <c r="E1153" s="160">
        <f>G1150+0.15</f>
        <v>1.9</v>
      </c>
      <c r="F1153" s="160">
        <v>6</v>
      </c>
      <c r="G1153" s="189">
        <f>W15</f>
        <v>1.0423678571428572</v>
      </c>
      <c r="H1153" s="160">
        <f>H1150</f>
        <v>16</v>
      </c>
      <c r="I1153" s="160">
        <f>E1153*F1153*H1153*G1153</f>
        <v>190.12789714285714</v>
      </c>
      <c r="J1153" s="160">
        <f>SUM(I1153:I1161)</f>
        <v>241.04972571428573</v>
      </c>
      <c r="K1153" s="160" t="s">
        <v>93</v>
      </c>
    </row>
    <row r="1155" spans="3:11">
      <c r="D1155" s="127" t="s">
        <v>3348</v>
      </c>
      <c r="E1155" s="127" t="s">
        <v>3345</v>
      </c>
      <c r="F1155" s="127" t="s">
        <v>3296</v>
      </c>
      <c r="G1155" s="127" t="s">
        <v>3349</v>
      </c>
      <c r="H1155" s="127" t="s">
        <v>3296</v>
      </c>
    </row>
    <row r="1156" spans="3:11">
      <c r="E1156" s="127">
        <f>(E1150-0.04)+(F1150-0.04)*2</f>
        <v>0.43</v>
      </c>
      <c r="F1156" s="127">
        <f>ROUNDUP(G1150/2/0.15,0)</f>
        <v>6</v>
      </c>
      <c r="G1156" s="180">
        <f>W10</f>
        <v>0.61678571428571438</v>
      </c>
      <c r="H1156" s="127">
        <f>H1150</f>
        <v>16</v>
      </c>
      <c r="I1156" s="127">
        <f>E1156*F1156*H1156*G1156</f>
        <v>25.460914285714292</v>
      </c>
    </row>
    <row r="1157" spans="3:11">
      <c r="D1157" s="127" t="s">
        <v>3380</v>
      </c>
      <c r="E1157" s="127" t="s">
        <v>3345</v>
      </c>
      <c r="F1157" s="127" t="s">
        <v>3296</v>
      </c>
      <c r="G1157" s="127" t="s">
        <v>3349</v>
      </c>
      <c r="H1157" s="127" t="s">
        <v>3296</v>
      </c>
    </row>
    <row r="1158" spans="3:11">
      <c r="E1158" s="127">
        <f>(E1150-0.04+0.02)+(F1150-0.04+0.02)*1</f>
        <v>0.30999999999999994</v>
      </c>
      <c r="F1158" s="127">
        <f>ROUNDUP(G1150/2/0.15,0)</f>
        <v>6</v>
      </c>
      <c r="G1158" s="180">
        <f>G1156</f>
        <v>0.61678571428571438</v>
      </c>
      <c r="H1158" s="127">
        <v>0</v>
      </c>
      <c r="I1158" s="127">
        <f>E1158*F1158*H1158*G1158</f>
        <v>0</v>
      </c>
    </row>
    <row r="1160" spans="3:11">
      <c r="D1160" s="127" t="s">
        <v>3350</v>
      </c>
      <c r="E1160" s="127" t="s">
        <v>3345</v>
      </c>
      <c r="F1160" s="127" t="s">
        <v>3296</v>
      </c>
      <c r="G1160" s="127" t="s">
        <v>3349</v>
      </c>
      <c r="H1160" s="127" t="s">
        <v>3296</v>
      </c>
    </row>
    <row r="1161" spans="3:11">
      <c r="E1161" s="127">
        <f>(E1150-0.04)+(F1150-0.04)*2</f>
        <v>0.43</v>
      </c>
      <c r="F1161" s="127">
        <f>ROUNDUP(G1150/2/0.15,0)</f>
        <v>6</v>
      </c>
      <c r="G1161" s="180">
        <f>G1158</f>
        <v>0.61678571428571438</v>
      </c>
      <c r="H1161" s="127">
        <f>H1156</f>
        <v>16</v>
      </c>
      <c r="I1161" s="127">
        <f>E1161*F1161*H1161*G1161</f>
        <v>25.460914285714292</v>
      </c>
    </row>
    <row r="1163" spans="3:11" s="160" customFormat="1">
      <c r="D1163" s="160" t="s">
        <v>3351</v>
      </c>
      <c r="E1163" s="160" t="s">
        <v>3294</v>
      </c>
      <c r="F1163" s="160" t="s">
        <v>3344</v>
      </c>
      <c r="G1163" s="160" t="s">
        <v>3345</v>
      </c>
      <c r="H1163" s="160" t="s">
        <v>3296</v>
      </c>
    </row>
    <row r="1164" spans="3:11" s="160" customFormat="1">
      <c r="E1164" s="160">
        <f>E1150</f>
        <v>0.15</v>
      </c>
      <c r="F1164" s="160">
        <f t="shared" ref="F1164:G1164" si="37">F1150</f>
        <v>0.2</v>
      </c>
      <c r="G1164" s="160">
        <f t="shared" si="37"/>
        <v>1.75</v>
      </c>
      <c r="H1164" s="160">
        <f>H1161</f>
        <v>16</v>
      </c>
      <c r="I1164" s="160">
        <f>((E1164+F1164)*2)*G1164*H1164</f>
        <v>19.599999999999998</v>
      </c>
      <c r="J1164" s="160" t="s">
        <v>376</v>
      </c>
    </row>
    <row r="1168" spans="3:11">
      <c r="C1168" s="127" t="e">
        <f>'3.BOQ STR'!#REF!</f>
        <v>#REF!</v>
      </c>
    </row>
    <row r="1169" spans="4:11" s="160" customFormat="1">
      <c r="D1169" s="160" t="s">
        <v>3293</v>
      </c>
      <c r="E1169" s="160" t="s">
        <v>3294</v>
      </c>
      <c r="F1169" s="160" t="s">
        <v>3344</v>
      </c>
      <c r="G1169" s="160" t="s">
        <v>3345</v>
      </c>
    </row>
    <row r="1170" spans="4:11" s="160" customFormat="1">
      <c r="E1170" s="160">
        <v>0.15</v>
      </c>
      <c r="F1170" s="160">
        <v>0.2</v>
      </c>
      <c r="G1170" s="160">
        <f>SUM(E1137:F1139)*2</f>
        <v>32.82</v>
      </c>
      <c r="H1170" s="160">
        <f>E1170*F1170*G1170</f>
        <v>0.98459999999999992</v>
      </c>
      <c r="I1170" s="160" t="s">
        <v>375</v>
      </c>
    </row>
    <row r="1171" spans="4:11">
      <c r="F1171" s="127" t="s">
        <v>3389</v>
      </c>
    </row>
    <row r="1172" spans="4:11">
      <c r="F1172" s="127">
        <v>0</v>
      </c>
    </row>
    <row r="1174" spans="4:11" s="160" customFormat="1">
      <c r="D1174" s="160" t="s">
        <v>3346</v>
      </c>
      <c r="E1174" s="160" t="s">
        <v>3345</v>
      </c>
      <c r="F1174" s="160" t="s">
        <v>3296</v>
      </c>
      <c r="G1174" s="160" t="s">
        <v>3341</v>
      </c>
    </row>
    <row r="1175" spans="4:11" s="160" customFormat="1">
      <c r="E1175" s="160">
        <f>G1170</f>
        <v>32.82</v>
      </c>
      <c r="F1175" s="160">
        <v>4</v>
      </c>
      <c r="G1175" s="189">
        <f>G1153</f>
        <v>1.0423678571428572</v>
      </c>
      <c r="H1175" s="160">
        <f>E1175*F1175*G1175</f>
        <v>136.84205228571429</v>
      </c>
      <c r="I1175" s="160" t="s">
        <v>93</v>
      </c>
      <c r="J1175" s="160">
        <f>SUM(H1175:H1190)</f>
        <v>209.77696299999999</v>
      </c>
      <c r="K1175" s="160" t="s">
        <v>3305</v>
      </c>
    </row>
    <row r="1177" spans="4:11">
      <c r="D1177" s="127" t="s">
        <v>3347</v>
      </c>
      <c r="E1177" s="127" t="s">
        <v>3345</v>
      </c>
      <c r="F1177" s="127" t="s">
        <v>3296</v>
      </c>
      <c r="G1177" s="127" t="s">
        <v>3341</v>
      </c>
    </row>
    <row r="1178" spans="4:11">
      <c r="E1178" s="127">
        <f>G1170</f>
        <v>32.82</v>
      </c>
      <c r="F1178" s="127">
        <v>0</v>
      </c>
      <c r="G1178" s="180">
        <f>G1129</f>
        <v>0</v>
      </c>
      <c r="H1178" s="127">
        <f>E1178*F1178*G1178</f>
        <v>0</v>
      </c>
      <c r="I1178" s="127" t="s">
        <v>93</v>
      </c>
    </row>
    <row r="1180" spans="4:11">
      <c r="D1180" s="127" t="s">
        <v>3348</v>
      </c>
      <c r="E1180" s="127" t="s">
        <v>3345</v>
      </c>
      <c r="F1180" s="127" t="s">
        <v>3296</v>
      </c>
      <c r="G1180" s="127" t="s">
        <v>3349</v>
      </c>
    </row>
    <row r="1181" spans="4:11">
      <c r="E1181" s="127">
        <f>(E1170-0.04)+(F1170-0.04)*2</f>
        <v>0.43</v>
      </c>
      <c r="F1181" s="127">
        <f>ROUNDUP(G1170/2/0.1,0)</f>
        <v>165</v>
      </c>
      <c r="G1181" s="180">
        <f>G1158</f>
        <v>0.61678571428571438</v>
      </c>
      <c r="H1181" s="127">
        <f>E1181*F1181*G1181</f>
        <v>43.760946428571437</v>
      </c>
      <c r="I1181" s="127" t="s">
        <v>93</v>
      </c>
    </row>
    <row r="1183" spans="4:11">
      <c r="D1183" s="127" t="s">
        <v>3380</v>
      </c>
      <c r="E1183" s="127" t="s">
        <v>3345</v>
      </c>
      <c r="F1183" s="127" t="s">
        <v>3296</v>
      </c>
      <c r="G1183" s="127" t="s">
        <v>3349</v>
      </c>
    </row>
    <row r="1184" spans="4:11">
      <c r="E1184" s="127">
        <v>0</v>
      </c>
      <c r="F1184" s="127">
        <f>ROUNDUP(G1170/2/0.15,0)</f>
        <v>110</v>
      </c>
      <c r="G1184" s="180">
        <f>G1181</f>
        <v>0.61678571428571438</v>
      </c>
      <c r="H1184" s="127">
        <f>E1184*F1184*G1184</f>
        <v>0</v>
      </c>
      <c r="I1184" s="127" t="s">
        <v>93</v>
      </c>
    </row>
    <row r="1186" spans="3:9">
      <c r="D1186" s="127" t="s">
        <v>3350</v>
      </c>
      <c r="E1186" s="127" t="s">
        <v>3345</v>
      </c>
      <c r="F1186" s="127" t="s">
        <v>3296</v>
      </c>
      <c r="G1186" s="127" t="s">
        <v>3349</v>
      </c>
    </row>
    <row r="1187" spans="3:9">
      <c r="E1187" s="127">
        <f>(E1170-0.04)+(F1170-0.04)*2</f>
        <v>0.43</v>
      </c>
      <c r="F1187" s="127">
        <f>ROUNDUP(G1170/2/0.15,0)</f>
        <v>110</v>
      </c>
      <c r="G1187" s="180">
        <f>G1184</f>
        <v>0.61678571428571438</v>
      </c>
      <c r="H1187" s="127">
        <f>E1187*F1187*G1187</f>
        <v>29.173964285714288</v>
      </c>
      <c r="I1187" s="127" t="s">
        <v>93</v>
      </c>
    </row>
    <row r="1189" spans="3:9">
      <c r="D1189" s="127" t="s">
        <v>3380</v>
      </c>
      <c r="E1189" s="127" t="s">
        <v>3345</v>
      </c>
      <c r="F1189" s="127" t="s">
        <v>3296</v>
      </c>
      <c r="G1189" s="127" t="s">
        <v>3349</v>
      </c>
    </row>
    <row r="1190" spans="3:9">
      <c r="E1190" s="127">
        <v>0</v>
      </c>
      <c r="F1190" s="127">
        <f>ROUNDUP(G1170/2/0.15,0)</f>
        <v>110</v>
      </c>
      <c r="G1190" s="180">
        <f>G1187</f>
        <v>0.61678571428571438</v>
      </c>
      <c r="H1190" s="127">
        <f>E1190*F1190*G1190</f>
        <v>0</v>
      </c>
      <c r="I1190" s="127" t="s">
        <v>93</v>
      </c>
    </row>
    <row r="1192" spans="3:9" s="160" customFormat="1">
      <c r="D1192" s="160" t="s">
        <v>3351</v>
      </c>
      <c r="E1192" s="160" t="s">
        <v>3461</v>
      </c>
      <c r="F1192" s="160" t="s">
        <v>3461</v>
      </c>
      <c r="G1192" s="160" t="s">
        <v>3345</v>
      </c>
    </row>
    <row r="1193" spans="3:9" s="160" customFormat="1">
      <c r="E1193" s="160">
        <f>F1193</f>
        <v>0.2</v>
      </c>
      <c r="F1193" s="160">
        <f>F1170</f>
        <v>0.2</v>
      </c>
      <c r="G1193" s="160">
        <f>G1170</f>
        <v>32.82</v>
      </c>
      <c r="H1193" s="160">
        <f>(E1193+F1193)*G1193</f>
        <v>13.128</v>
      </c>
      <c r="I1193" s="160" t="s">
        <v>376</v>
      </c>
    </row>
    <row r="1195" spans="3:9">
      <c r="C1195" s="127" t="e">
        <f>'3.BOQ STR'!#REF!</f>
        <v>#REF!</v>
      </c>
    </row>
    <row r="1196" spans="3:9" s="160" customFormat="1">
      <c r="D1196" s="160" t="s">
        <v>3293</v>
      </c>
      <c r="E1196" s="160" t="s">
        <v>3294</v>
      </c>
      <c r="F1196" s="160" t="s">
        <v>3344</v>
      </c>
      <c r="G1196" s="160" t="s">
        <v>3345</v>
      </c>
    </row>
    <row r="1197" spans="3:9" s="160" customFormat="1">
      <c r="E1197" s="160">
        <v>0.15</v>
      </c>
      <c r="F1197" s="160">
        <v>0.2</v>
      </c>
      <c r="G1197" s="160">
        <f>G1170+2.45*3</f>
        <v>40.17</v>
      </c>
      <c r="H1197" s="160">
        <f>E1197*F1199*G1197</f>
        <v>0.48204000000000008</v>
      </c>
      <c r="I1197" s="160" t="s">
        <v>375</v>
      </c>
    </row>
    <row r="1198" spans="3:9">
      <c r="F1198" s="127" t="s">
        <v>3389</v>
      </c>
    </row>
    <row r="1199" spans="3:9">
      <c r="F1199" s="127">
        <f>F1197-0.12</f>
        <v>8.0000000000000016E-2</v>
      </c>
    </row>
    <row r="1201" spans="4:11" s="160" customFormat="1">
      <c r="D1201" s="160" t="s">
        <v>3346</v>
      </c>
      <c r="E1201" s="160" t="s">
        <v>3345</v>
      </c>
      <c r="F1201" s="160" t="s">
        <v>3296</v>
      </c>
      <c r="G1201" s="160" t="s">
        <v>3341</v>
      </c>
    </row>
    <row r="1202" spans="4:11" s="160" customFormat="1">
      <c r="E1202" s="160">
        <f>G1197</f>
        <v>40.17</v>
      </c>
      <c r="F1202" s="160">
        <v>4</v>
      </c>
      <c r="G1202" s="189">
        <f>G1175</f>
        <v>1.0423678571428572</v>
      </c>
      <c r="H1202" s="160">
        <f>E1202*F1202*G1202</f>
        <v>167.48766728571431</v>
      </c>
      <c r="I1202" s="160" t="s">
        <v>93</v>
      </c>
      <c r="J1202" s="160">
        <f>SUM(H1202:H1217)</f>
        <v>256.33564942857146</v>
      </c>
      <c r="K1202" s="160" t="s">
        <v>3305</v>
      </c>
    </row>
    <row r="1204" spans="4:11">
      <c r="D1204" s="127" t="s">
        <v>3347</v>
      </c>
      <c r="E1204" s="127" t="s">
        <v>3345</v>
      </c>
      <c r="F1204" s="127" t="s">
        <v>3296</v>
      </c>
      <c r="G1204" s="127" t="s">
        <v>3341</v>
      </c>
    </row>
    <row r="1205" spans="4:11">
      <c r="E1205" s="127">
        <f>G1197</f>
        <v>40.17</v>
      </c>
      <c r="F1205" s="127">
        <v>0</v>
      </c>
      <c r="G1205" s="127">
        <v>1</v>
      </c>
      <c r="H1205" s="127">
        <f>E1205*F1205*G1205</f>
        <v>0</v>
      </c>
      <c r="I1205" s="127" t="s">
        <v>93</v>
      </c>
    </row>
    <row r="1207" spans="4:11">
      <c r="D1207" s="127" t="s">
        <v>3348</v>
      </c>
      <c r="E1207" s="127" t="s">
        <v>3345</v>
      </c>
      <c r="F1207" s="127" t="s">
        <v>3296</v>
      </c>
      <c r="G1207" s="127" t="s">
        <v>3349</v>
      </c>
    </row>
    <row r="1208" spans="4:11">
      <c r="E1208" s="127">
        <f>(E1197-0.04)+(F1197-0.04)*2</f>
        <v>0.43</v>
      </c>
      <c r="F1208" s="127">
        <f>ROUNDUP(G1197/2/0.1,0)</f>
        <v>201</v>
      </c>
      <c r="G1208" s="180">
        <f>G1187</f>
        <v>0.61678571428571438</v>
      </c>
      <c r="H1208" s="127">
        <f>E1208*F1208*G1208</f>
        <v>53.30878928571429</v>
      </c>
      <c r="I1208" s="127" t="s">
        <v>93</v>
      </c>
    </row>
    <row r="1210" spans="4:11">
      <c r="D1210" s="127" t="s">
        <v>3380</v>
      </c>
      <c r="E1210" s="127" t="s">
        <v>3345</v>
      </c>
      <c r="F1210" s="127" t="s">
        <v>3296</v>
      </c>
      <c r="G1210" s="127" t="s">
        <v>3349</v>
      </c>
    </row>
    <row r="1211" spans="4:11">
      <c r="E1211" s="127">
        <v>0</v>
      </c>
      <c r="F1211" s="127">
        <f>ROUNDUP(G1197/2/0.09,0)</f>
        <v>224</v>
      </c>
      <c r="G1211" s="127">
        <v>0.6</v>
      </c>
      <c r="H1211" s="127">
        <f>E1211*F1211*G1211</f>
        <v>0</v>
      </c>
      <c r="I1211" s="127" t="s">
        <v>93</v>
      </c>
    </row>
    <row r="1213" spans="4:11">
      <c r="D1213" s="127" t="s">
        <v>3350</v>
      </c>
      <c r="E1213" s="127" t="s">
        <v>3345</v>
      </c>
      <c r="F1213" s="127" t="s">
        <v>3296</v>
      </c>
      <c r="G1213" s="127" t="s">
        <v>3349</v>
      </c>
    </row>
    <row r="1214" spans="4:11">
      <c r="E1214" s="127">
        <f>(E1197-0.04)+(F1197-0.04)*2</f>
        <v>0.43</v>
      </c>
      <c r="F1214" s="127">
        <f>ROUNDUP(G1197/2/0.15,0)</f>
        <v>134</v>
      </c>
      <c r="G1214" s="180">
        <f>G1208</f>
        <v>0.61678571428571438</v>
      </c>
      <c r="H1214" s="127">
        <f>E1214*F1214*G1214</f>
        <v>35.539192857142858</v>
      </c>
      <c r="I1214" s="127" t="s">
        <v>93</v>
      </c>
    </row>
    <row r="1216" spans="4:11">
      <c r="D1216" s="127" t="s">
        <v>3380</v>
      </c>
      <c r="E1216" s="127" t="s">
        <v>3345</v>
      </c>
      <c r="F1216" s="127" t="s">
        <v>3296</v>
      </c>
      <c r="G1216" s="127" t="s">
        <v>3349</v>
      </c>
    </row>
    <row r="1217" spans="2:9">
      <c r="E1217" s="127">
        <v>0</v>
      </c>
      <c r="F1217" s="127">
        <f>ROUNDUP(G1197/2/0.15,0)</f>
        <v>134</v>
      </c>
      <c r="G1217" s="127">
        <v>0.6</v>
      </c>
      <c r="H1217" s="127">
        <f>E1217*F1217*G1217</f>
        <v>0</v>
      </c>
      <c r="I1217" s="127" t="s">
        <v>93</v>
      </c>
    </row>
    <row r="1219" spans="2:9" s="160" customFormat="1">
      <c r="D1219" s="160" t="s">
        <v>3351</v>
      </c>
      <c r="E1219" s="160" t="s">
        <v>3294</v>
      </c>
      <c r="F1219" s="160" t="s">
        <v>3390</v>
      </c>
      <c r="G1219" s="160" t="s">
        <v>3345</v>
      </c>
    </row>
    <row r="1220" spans="2:9" s="160" customFormat="1">
      <c r="E1220" s="160">
        <f>E1197</f>
        <v>0.15</v>
      </c>
      <c r="F1220" s="160">
        <f>F1197-0.12</f>
        <v>8.0000000000000016E-2</v>
      </c>
      <c r="G1220" s="160">
        <f>G1197</f>
        <v>40.17</v>
      </c>
      <c r="H1220" s="160">
        <f>(F1220+F1220+E1220)*G1220</f>
        <v>12.452700000000002</v>
      </c>
      <c r="I1220" s="160" t="s">
        <v>376</v>
      </c>
    </row>
    <row r="1222" spans="2:9">
      <c r="D1222" s="195" t="e">
        <f>'3.BOQ STR'!#REF!</f>
        <v>#REF!</v>
      </c>
    </row>
    <row r="1223" spans="2:9" s="160" customFormat="1">
      <c r="B1223" s="160" t="s">
        <v>3270</v>
      </c>
      <c r="C1223" s="160" t="s">
        <v>3409</v>
      </c>
    </row>
    <row r="1224" spans="2:9">
      <c r="D1224" s="127" t="s">
        <v>3410</v>
      </c>
    </row>
    <row r="1225" spans="2:9">
      <c r="C1225" s="190" t="s">
        <v>3354</v>
      </c>
      <c r="E1225" s="127">
        <f>E1137*F1137</f>
        <v>16.64</v>
      </c>
      <c r="F1225" s="127">
        <f>SUM(E1225:E1230)-(0.6*0.6*9)</f>
        <v>21.240000000000002</v>
      </c>
      <c r="G1225" s="127" t="s">
        <v>376</v>
      </c>
    </row>
    <row r="1226" spans="2:9">
      <c r="C1226" s="190"/>
      <c r="E1226" s="127">
        <f>E1138*F1138</f>
        <v>7.84</v>
      </c>
    </row>
    <row r="1227" spans="2:9">
      <c r="C1227" s="190"/>
    </row>
    <row r="1228" spans="2:9">
      <c r="C1228" s="190"/>
    </row>
    <row r="1229" spans="2:9">
      <c r="C1229" s="190"/>
    </row>
    <row r="1230" spans="2:9">
      <c r="C1230" s="190"/>
    </row>
    <row r="1231" spans="2:9">
      <c r="D1231" s="127" t="s">
        <v>3417</v>
      </c>
    </row>
    <row r="1232" spans="2:9">
      <c r="C1232" s="190" t="s">
        <v>3354</v>
      </c>
      <c r="E1232" s="127">
        <f>F1225</f>
        <v>21.240000000000002</v>
      </c>
      <c r="F1232" s="127">
        <f>SUM(E1232)</f>
        <v>21.240000000000002</v>
      </c>
      <c r="G1232" s="127" t="s">
        <v>376</v>
      </c>
    </row>
    <row r="1234" spans="3:11" s="160" customFormat="1">
      <c r="D1234" s="160" t="s">
        <v>3293</v>
      </c>
      <c r="E1234" s="160" t="s">
        <v>3418</v>
      </c>
      <c r="F1234" s="160" t="s">
        <v>3295</v>
      </c>
    </row>
    <row r="1235" spans="3:11" s="160" customFormat="1">
      <c r="E1235" s="160">
        <f>F1232</f>
        <v>21.240000000000002</v>
      </c>
      <c r="F1235" s="160">
        <v>0.12</v>
      </c>
      <c r="H1235" s="160">
        <f>E1235*F1235</f>
        <v>2.5488</v>
      </c>
      <c r="I1235" s="160" t="s">
        <v>375</v>
      </c>
    </row>
    <row r="1237" spans="3:11" s="160" customFormat="1">
      <c r="D1237" s="160" t="s">
        <v>3346</v>
      </c>
      <c r="E1237" s="160" t="s">
        <v>3345</v>
      </c>
      <c r="F1237" s="160" t="s">
        <v>3294</v>
      </c>
    </row>
    <row r="1238" spans="3:11" s="160" customFormat="1">
      <c r="E1238" s="160">
        <f>F1232^0.5</f>
        <v>4.6086874487211649</v>
      </c>
      <c r="F1238" s="160">
        <f>F1232^0.5</f>
        <v>4.6086874487211649</v>
      </c>
    </row>
    <row r="1239" spans="3:11" s="160" customFormat="1"/>
    <row r="1240" spans="3:11" s="160" customFormat="1">
      <c r="E1240" s="160" t="s">
        <v>3379</v>
      </c>
      <c r="F1240" s="160" t="s">
        <v>3379</v>
      </c>
      <c r="H1240" s="160" t="s">
        <v>3419</v>
      </c>
      <c r="I1240" s="160" t="s">
        <v>3362</v>
      </c>
    </row>
    <row r="1241" spans="3:11" s="160" customFormat="1">
      <c r="E1241" s="160">
        <f>E1238/0.15*F1238</f>
        <v>141.60000000000002</v>
      </c>
      <c r="F1241" s="160">
        <f>F1238/0.15*E1238</f>
        <v>141.60000000000002</v>
      </c>
      <c r="G1241" s="160">
        <f>SUM(E1241:F1241)</f>
        <v>283.20000000000005</v>
      </c>
      <c r="H1241" s="160">
        <f>2*G1241</f>
        <v>566.40000000000009</v>
      </c>
      <c r="I1241" s="160">
        <v>0.6</v>
      </c>
      <c r="J1241" s="160">
        <f>H1241*I1241</f>
        <v>339.84000000000003</v>
      </c>
      <c r="K1241" s="160" t="s">
        <v>93</v>
      </c>
    </row>
    <row r="1243" spans="3:11" s="160" customFormat="1">
      <c r="D1243" s="160" t="s">
        <v>3351</v>
      </c>
      <c r="F1243" s="160">
        <f>F1225</f>
        <v>21.240000000000002</v>
      </c>
      <c r="G1243" s="160" t="s">
        <v>376</v>
      </c>
    </row>
    <row r="1246" spans="3:11">
      <c r="C1246" s="127" t="e">
        <f>'3.BOQ STR'!#REF!</f>
        <v>#REF!</v>
      </c>
    </row>
    <row r="1247" spans="3:11">
      <c r="C1247" s="127" t="e">
        <f>'3.BOQ STR'!#REF!</f>
        <v>#REF!</v>
      </c>
    </row>
    <row r="1248" spans="3:11" s="160" customFormat="1">
      <c r="D1248" s="160" t="s">
        <v>3293</v>
      </c>
      <c r="E1248" s="160" t="s">
        <v>3294</v>
      </c>
      <c r="F1248" s="160" t="s">
        <v>3344</v>
      </c>
      <c r="G1248" s="160" t="s">
        <v>3345</v>
      </c>
    </row>
    <row r="1249" spans="4:11" s="160" customFormat="1">
      <c r="E1249" s="160">
        <v>0.25</v>
      </c>
      <c r="F1249" s="160">
        <v>0.5</v>
      </c>
      <c r="G1249" s="160">
        <f>E1140*2+F1140*3</f>
        <v>21</v>
      </c>
      <c r="H1249" s="160">
        <f>E1249*F1251*G1249</f>
        <v>1.9950000000000001</v>
      </c>
      <c r="I1249" s="160" t="s">
        <v>375</v>
      </c>
    </row>
    <row r="1250" spans="4:11">
      <c r="F1250" s="127" t="s">
        <v>3389</v>
      </c>
    </row>
    <row r="1251" spans="4:11">
      <c r="F1251" s="127">
        <f>F1249-0.12</f>
        <v>0.38</v>
      </c>
    </row>
    <row r="1253" spans="4:11" s="160" customFormat="1">
      <c r="D1253" s="160" t="s">
        <v>3346</v>
      </c>
      <c r="E1253" s="160" t="s">
        <v>3345</v>
      </c>
      <c r="F1253" s="160" t="s">
        <v>3296</v>
      </c>
      <c r="G1253" s="160" t="s">
        <v>3311</v>
      </c>
    </row>
    <row r="1254" spans="4:11" s="160" customFormat="1">
      <c r="E1254" s="160">
        <f>G1249</f>
        <v>21</v>
      </c>
      <c r="F1254" s="160">
        <v>6</v>
      </c>
      <c r="G1254" s="189">
        <f>W17</f>
        <v>1.5789714285714285</v>
      </c>
      <c r="H1254" s="160">
        <f>E1254*F1254*G1254</f>
        <v>198.95039999999997</v>
      </c>
      <c r="I1254" s="160" t="s">
        <v>93</v>
      </c>
      <c r="J1254" s="160">
        <f>SUM(H1254:H1269)</f>
        <v>328.45689642857138</v>
      </c>
      <c r="K1254" s="160" t="s">
        <v>3305</v>
      </c>
    </row>
    <row r="1256" spans="4:11">
      <c r="D1256" s="127" t="s">
        <v>3347</v>
      </c>
      <c r="E1256" s="127" t="s">
        <v>3345</v>
      </c>
      <c r="F1256" s="127" t="s">
        <v>3296</v>
      </c>
      <c r="G1256" s="127" t="s">
        <v>3341</v>
      </c>
    </row>
    <row r="1257" spans="4:11">
      <c r="E1257" s="127">
        <f>G1249</f>
        <v>21</v>
      </c>
      <c r="F1257" s="127">
        <v>2</v>
      </c>
      <c r="G1257" s="180">
        <f>G1202</f>
        <v>1.0423678571428572</v>
      </c>
      <c r="H1257" s="127">
        <f>E1257*F1257*G1257</f>
        <v>43.779450000000004</v>
      </c>
      <c r="I1257" s="127" t="s">
        <v>93</v>
      </c>
    </row>
    <row r="1259" spans="4:11">
      <c r="D1259" s="127" t="s">
        <v>3348</v>
      </c>
      <c r="E1259" s="127" t="s">
        <v>3345</v>
      </c>
      <c r="F1259" s="127" t="s">
        <v>3296</v>
      </c>
      <c r="G1259" s="127" t="s">
        <v>3349</v>
      </c>
    </row>
    <row r="1260" spans="4:11">
      <c r="E1260" s="127">
        <f>(E1249-0.04)+(F1249-0.04)*2</f>
        <v>1.1300000000000001</v>
      </c>
      <c r="F1260" s="127">
        <f>ROUNDUP(G1249/2/0.15,0)</f>
        <v>70</v>
      </c>
      <c r="G1260" s="180">
        <f>G1214</f>
        <v>0.61678571428571438</v>
      </c>
      <c r="H1260" s="127">
        <f>E1260*F1260*G1260</f>
        <v>48.78775000000001</v>
      </c>
      <c r="I1260" s="127" t="s">
        <v>93</v>
      </c>
    </row>
    <row r="1262" spans="4:11">
      <c r="D1262" s="127" t="s">
        <v>3380</v>
      </c>
      <c r="E1262" s="127" t="s">
        <v>3345</v>
      </c>
      <c r="F1262" s="127" t="s">
        <v>3296</v>
      </c>
      <c r="G1262" s="127" t="s">
        <v>3349</v>
      </c>
    </row>
    <row r="1263" spans="4:11">
      <c r="E1263" s="127">
        <v>0</v>
      </c>
      <c r="F1263" s="127">
        <f>ROUNDUP(G1249/2/0.09,0)</f>
        <v>117</v>
      </c>
      <c r="G1263" s="127">
        <v>0.6</v>
      </c>
      <c r="H1263" s="127">
        <f>E1263*F1263*G1263</f>
        <v>0</v>
      </c>
      <c r="I1263" s="127" t="s">
        <v>93</v>
      </c>
    </row>
    <row r="1265" spans="2:9">
      <c r="D1265" s="127" t="s">
        <v>3350</v>
      </c>
      <c r="E1265" s="127" t="s">
        <v>3345</v>
      </c>
      <c r="F1265" s="127" t="s">
        <v>3296</v>
      </c>
      <c r="G1265" s="127" t="s">
        <v>3349</v>
      </c>
    </row>
    <row r="1266" spans="2:9">
      <c r="E1266" s="127">
        <f>(E1249-0.04)+(F1249-0.04)*2</f>
        <v>1.1300000000000001</v>
      </c>
      <c r="F1266" s="127">
        <f>ROUNDUP(G1249/2/0.2,0)</f>
        <v>53</v>
      </c>
      <c r="G1266" s="180">
        <f>G1260</f>
        <v>0.61678571428571438</v>
      </c>
      <c r="H1266" s="127">
        <f>E1266*F1266*G1266</f>
        <v>36.939296428571438</v>
      </c>
      <c r="I1266" s="127" t="s">
        <v>93</v>
      </c>
    </row>
    <row r="1268" spans="2:9">
      <c r="D1268" s="127" t="s">
        <v>3380</v>
      </c>
      <c r="E1268" s="127" t="s">
        <v>3345</v>
      </c>
      <c r="F1268" s="127" t="s">
        <v>3296</v>
      </c>
      <c r="G1268" s="127" t="s">
        <v>3349</v>
      </c>
    </row>
    <row r="1269" spans="2:9">
      <c r="E1269" s="127">
        <v>0</v>
      </c>
      <c r="F1269" s="127">
        <f>ROUNDUP(G1249/2/0.15,0)</f>
        <v>70</v>
      </c>
      <c r="G1269" s="127">
        <v>0.6</v>
      </c>
      <c r="H1269" s="127">
        <f>E1269*F1269*G1269</f>
        <v>0</v>
      </c>
      <c r="I1269" s="127" t="s">
        <v>93</v>
      </c>
    </row>
    <row r="1271" spans="2:9" s="160" customFormat="1">
      <c r="D1271" s="160" t="s">
        <v>3351</v>
      </c>
      <c r="E1271" s="160" t="s">
        <v>3294</v>
      </c>
      <c r="F1271" s="160" t="s">
        <v>3390</v>
      </c>
      <c r="G1271" s="160" t="s">
        <v>3345</v>
      </c>
    </row>
    <row r="1272" spans="2:9" s="160" customFormat="1">
      <c r="E1272" s="160">
        <f>E1249</f>
        <v>0.25</v>
      </c>
      <c r="F1272" s="160">
        <f>F1249-0.12</f>
        <v>0.38</v>
      </c>
      <c r="G1272" s="160">
        <f>G1249</f>
        <v>21</v>
      </c>
      <c r="H1272" s="160">
        <f>(F1272+F1272+E1272)*G1272</f>
        <v>21.21</v>
      </c>
      <c r="I1272" s="160" t="s">
        <v>376</v>
      </c>
    </row>
    <row r="1274" spans="2:9">
      <c r="D1274" s="127" t="s">
        <v>3485</v>
      </c>
    </row>
    <row r="1275" spans="2:9" s="160" customFormat="1">
      <c r="B1275" s="160" t="s">
        <v>3270</v>
      </c>
      <c r="C1275" s="160" t="s">
        <v>3409</v>
      </c>
    </row>
    <row r="1276" spans="2:9">
      <c r="D1276" s="127" t="s">
        <v>3410</v>
      </c>
    </row>
    <row r="1277" spans="2:9">
      <c r="C1277" s="190" t="s">
        <v>3354</v>
      </c>
      <c r="E1277" s="127">
        <f>E1140*F1140</f>
        <v>16.875</v>
      </c>
      <c r="F1277" s="127">
        <f>SUM(E1277:E1282)</f>
        <v>16.875</v>
      </c>
      <c r="G1277" s="127" t="s">
        <v>376</v>
      </c>
    </row>
    <row r="1278" spans="2:9">
      <c r="C1278" s="190"/>
    </row>
    <row r="1279" spans="2:9">
      <c r="C1279" s="190"/>
    </row>
    <row r="1280" spans="2:9">
      <c r="C1280" s="190"/>
    </row>
    <row r="1281" spans="3:11">
      <c r="C1281" s="190"/>
    </row>
    <row r="1282" spans="3:11">
      <c r="C1282" s="190"/>
    </row>
    <row r="1283" spans="3:11">
      <c r="D1283" s="127" t="s">
        <v>3417</v>
      </c>
    </row>
    <row r="1284" spans="3:11">
      <c r="C1284" s="190" t="s">
        <v>3354</v>
      </c>
      <c r="E1284" s="127">
        <f>F1277</f>
        <v>16.875</v>
      </c>
      <c r="F1284" s="127">
        <f>SUM(E1284)</f>
        <v>16.875</v>
      </c>
      <c r="G1284" s="127" t="s">
        <v>376</v>
      </c>
    </row>
    <row r="1286" spans="3:11" s="160" customFormat="1">
      <c r="D1286" s="160" t="s">
        <v>3293</v>
      </c>
      <c r="E1286" s="160" t="s">
        <v>3418</v>
      </c>
      <c r="F1286" s="160" t="s">
        <v>3295</v>
      </c>
    </row>
    <row r="1287" spans="3:11" s="160" customFormat="1">
      <c r="E1287" s="160">
        <f>F1284</f>
        <v>16.875</v>
      </c>
      <c r="F1287" s="160">
        <v>0.3</v>
      </c>
      <c r="H1287" s="160">
        <f>E1287*F1287</f>
        <v>5.0625</v>
      </c>
      <c r="I1287" s="160" t="s">
        <v>375</v>
      </c>
    </row>
    <row r="1289" spans="3:11" s="160" customFormat="1">
      <c r="D1289" s="160" t="s">
        <v>3346</v>
      </c>
      <c r="E1289" s="160" t="s">
        <v>3345</v>
      </c>
      <c r="F1289" s="160" t="s">
        <v>3294</v>
      </c>
    </row>
    <row r="1290" spans="3:11" s="160" customFormat="1">
      <c r="E1290" s="160">
        <f>F1284^0.5</f>
        <v>4.1079191812887457</v>
      </c>
      <c r="F1290" s="160">
        <f>F1284^0.5</f>
        <v>4.1079191812887457</v>
      </c>
    </row>
    <row r="1291" spans="3:11" s="160" customFormat="1"/>
    <row r="1292" spans="3:11" s="160" customFormat="1">
      <c r="E1292" s="160" t="s">
        <v>3379</v>
      </c>
      <c r="F1292" s="160" t="s">
        <v>3379</v>
      </c>
      <c r="H1292" s="160" t="s">
        <v>3419</v>
      </c>
      <c r="I1292" s="160" t="s">
        <v>3459</v>
      </c>
    </row>
    <row r="1293" spans="3:11" s="160" customFormat="1">
      <c r="E1293" s="160">
        <f>E1290/0.2*F1290</f>
        <v>84.374999999999986</v>
      </c>
      <c r="F1293" s="160">
        <f>F1290/0.2*E1290</f>
        <v>84.374999999999986</v>
      </c>
      <c r="G1293" s="160">
        <f>SUM(E1293:F1293)</f>
        <v>168.74999999999997</v>
      </c>
      <c r="H1293" s="160">
        <f>2*G1293</f>
        <v>337.49999999999994</v>
      </c>
      <c r="I1293" s="189">
        <f>G1254</f>
        <v>1.5789714285714285</v>
      </c>
      <c r="J1293" s="160">
        <f>H1293*I1293</f>
        <v>532.90285714285699</v>
      </c>
      <c r="K1293" s="160" t="s">
        <v>93</v>
      </c>
    </row>
    <row r="1295" spans="3:11" s="160" customFormat="1">
      <c r="D1295" s="160" t="s">
        <v>3351</v>
      </c>
      <c r="F1295" s="160">
        <f>F1277*0</f>
        <v>0</v>
      </c>
      <c r="G1295" s="160" t="s">
        <v>376</v>
      </c>
    </row>
    <row r="1297" spans="2:9">
      <c r="D1297" s="127" t="s">
        <v>3486</v>
      </c>
    </row>
    <row r="1298" spans="2:9" s="160" customFormat="1">
      <c r="B1298" s="160" t="s">
        <v>3270</v>
      </c>
      <c r="C1298" s="160" t="s">
        <v>3409</v>
      </c>
    </row>
    <row r="1299" spans="2:9">
      <c r="D1299" s="127" t="s">
        <v>3410</v>
      </c>
    </row>
    <row r="1300" spans="2:9">
      <c r="C1300" s="190" t="s">
        <v>3354</v>
      </c>
      <c r="E1300" s="127">
        <f>G1249*1.5</f>
        <v>31.5</v>
      </c>
      <c r="F1300" s="127">
        <f>SUM(E1300:E1305)</f>
        <v>31.5</v>
      </c>
      <c r="G1300" s="127" t="s">
        <v>376</v>
      </c>
    </row>
    <row r="1301" spans="2:9">
      <c r="C1301" s="190"/>
    </row>
    <row r="1302" spans="2:9">
      <c r="C1302" s="190"/>
    </row>
    <row r="1303" spans="2:9">
      <c r="C1303" s="190"/>
    </row>
    <row r="1304" spans="2:9">
      <c r="C1304" s="190"/>
    </row>
    <row r="1305" spans="2:9">
      <c r="C1305" s="190"/>
    </row>
    <row r="1306" spans="2:9">
      <c r="D1306" s="127" t="s">
        <v>3417</v>
      </c>
    </row>
    <row r="1307" spans="2:9">
      <c r="C1307" s="190" t="s">
        <v>3354</v>
      </c>
      <c r="E1307" s="127">
        <f>F1300</f>
        <v>31.5</v>
      </c>
      <c r="F1307" s="127">
        <f>SUM(E1307)</f>
        <v>31.5</v>
      </c>
      <c r="G1307" s="127" t="s">
        <v>376</v>
      </c>
    </row>
    <row r="1309" spans="2:9" s="160" customFormat="1">
      <c r="D1309" s="160" t="s">
        <v>3293</v>
      </c>
      <c r="E1309" s="160" t="s">
        <v>3418</v>
      </c>
      <c r="F1309" s="160" t="s">
        <v>3295</v>
      </c>
    </row>
    <row r="1310" spans="2:9" s="160" customFormat="1">
      <c r="E1310" s="160">
        <f>F1307</f>
        <v>31.5</v>
      </c>
      <c r="F1310" s="160">
        <v>0.25</v>
      </c>
      <c r="H1310" s="160">
        <f>E1310*F1310</f>
        <v>7.875</v>
      </c>
      <c r="I1310" s="160" t="s">
        <v>375</v>
      </c>
    </row>
    <row r="1312" spans="2:9" s="160" customFormat="1">
      <c r="D1312" s="160" t="s">
        <v>3346</v>
      </c>
      <c r="E1312" s="160" t="s">
        <v>3345</v>
      </c>
      <c r="F1312" s="160" t="s">
        <v>3294</v>
      </c>
    </row>
    <row r="1313" spans="2:11" s="160" customFormat="1">
      <c r="E1313" s="160">
        <f>F1307^0.5</f>
        <v>5.6124860801609122</v>
      </c>
      <c r="F1313" s="160">
        <f>F1307^0.5</f>
        <v>5.6124860801609122</v>
      </c>
    </row>
    <row r="1314" spans="2:11" s="160" customFormat="1"/>
    <row r="1315" spans="2:11" s="160" customFormat="1">
      <c r="E1315" s="160" t="s">
        <v>3379</v>
      </c>
      <c r="F1315" s="160" t="s">
        <v>3379</v>
      </c>
      <c r="H1315" s="160" t="s">
        <v>3419</v>
      </c>
      <c r="I1315" s="160" t="s">
        <v>3422</v>
      </c>
    </row>
    <row r="1316" spans="2:11" s="160" customFormat="1">
      <c r="E1316" s="160">
        <f>E1313/0.15*F1313</f>
        <v>210.00000000000003</v>
      </c>
      <c r="F1316" s="160">
        <f>F1313/0.15*E1313</f>
        <v>210.00000000000003</v>
      </c>
      <c r="G1316" s="160">
        <f>SUM(E1316:F1316)</f>
        <v>420.00000000000006</v>
      </c>
      <c r="H1316" s="160">
        <f>2*G1316</f>
        <v>840.00000000000011</v>
      </c>
      <c r="I1316" s="189">
        <f>G1257</f>
        <v>1.0423678571428572</v>
      </c>
      <c r="J1316" s="160">
        <f>H1316*I1316</f>
        <v>875.58900000000017</v>
      </c>
      <c r="K1316" s="160" t="s">
        <v>93</v>
      </c>
    </row>
    <row r="1318" spans="2:11" s="160" customFormat="1">
      <c r="D1318" s="160" t="s">
        <v>3351</v>
      </c>
      <c r="F1318" s="160">
        <f>F1300</f>
        <v>31.5</v>
      </c>
      <c r="G1318" s="160" t="s">
        <v>376</v>
      </c>
    </row>
    <row r="1321" spans="2:11">
      <c r="D1321" s="127" t="s">
        <v>3487</v>
      </c>
    </row>
    <row r="1322" spans="2:11" s="160" customFormat="1">
      <c r="B1322" s="160" t="s">
        <v>3270</v>
      </c>
      <c r="C1322" s="160" t="s">
        <v>3409</v>
      </c>
    </row>
    <row r="1323" spans="2:11">
      <c r="D1323" s="127" t="s">
        <v>3410</v>
      </c>
    </row>
    <row r="1324" spans="2:11">
      <c r="C1324" s="190" t="s">
        <v>3354</v>
      </c>
      <c r="E1324" s="127">
        <f>E1277</f>
        <v>16.875</v>
      </c>
      <c r="F1324" s="127">
        <f>SUM(E1324:E1329)</f>
        <v>16.875</v>
      </c>
      <c r="G1324" s="127" t="s">
        <v>376</v>
      </c>
    </row>
    <row r="1325" spans="2:11">
      <c r="C1325" s="190"/>
    </row>
    <row r="1326" spans="2:11">
      <c r="C1326" s="190"/>
    </row>
    <row r="1327" spans="2:11">
      <c r="C1327" s="190"/>
    </row>
    <row r="1328" spans="2:11">
      <c r="C1328" s="190"/>
    </row>
    <row r="1329" spans="3:11">
      <c r="C1329" s="190"/>
    </row>
    <row r="1330" spans="3:11">
      <c r="D1330" s="127" t="s">
        <v>3417</v>
      </c>
    </row>
    <row r="1331" spans="3:11">
      <c r="C1331" s="190" t="s">
        <v>3354</v>
      </c>
      <c r="E1331" s="127">
        <f>F1324</f>
        <v>16.875</v>
      </c>
      <c r="F1331" s="127">
        <f>SUM(E1331)</f>
        <v>16.875</v>
      </c>
      <c r="G1331" s="127" t="s">
        <v>376</v>
      </c>
    </row>
    <row r="1333" spans="3:11" s="160" customFormat="1">
      <c r="D1333" s="160" t="s">
        <v>3293</v>
      </c>
      <c r="E1333" s="160" t="s">
        <v>3418</v>
      </c>
      <c r="F1333" s="160" t="s">
        <v>3295</v>
      </c>
    </row>
    <row r="1334" spans="3:11" s="160" customFormat="1">
      <c r="E1334" s="160">
        <f>F1331</f>
        <v>16.875</v>
      </c>
      <c r="F1334" s="160">
        <v>0.2</v>
      </c>
      <c r="H1334" s="160">
        <f>E1334*F1334</f>
        <v>3.375</v>
      </c>
      <c r="I1334" s="160" t="s">
        <v>375</v>
      </c>
    </row>
    <row r="1336" spans="3:11" s="160" customFormat="1">
      <c r="D1336" s="160" t="s">
        <v>3346</v>
      </c>
      <c r="E1336" s="160" t="s">
        <v>3345</v>
      </c>
      <c r="F1336" s="160" t="s">
        <v>3294</v>
      </c>
    </row>
    <row r="1337" spans="3:11" s="160" customFormat="1">
      <c r="E1337" s="160">
        <f>F1331^0.5</f>
        <v>4.1079191812887457</v>
      </c>
      <c r="F1337" s="160">
        <f>F1331^0.5</f>
        <v>4.1079191812887457</v>
      </c>
    </row>
    <row r="1338" spans="3:11" s="160" customFormat="1"/>
    <row r="1339" spans="3:11" s="160" customFormat="1">
      <c r="E1339" s="160" t="s">
        <v>3379</v>
      </c>
      <c r="F1339" s="160" t="s">
        <v>3379</v>
      </c>
      <c r="H1339" s="160" t="s">
        <v>3419</v>
      </c>
      <c r="I1339" s="160" t="s">
        <v>3362</v>
      </c>
    </row>
    <row r="1340" spans="3:11" s="160" customFormat="1">
      <c r="E1340" s="160">
        <f>E1337/0.15*F1337</f>
        <v>112.5</v>
      </c>
      <c r="F1340" s="160">
        <f>F1337/0.15*E1337</f>
        <v>112.5</v>
      </c>
      <c r="G1340" s="160">
        <f>SUM(E1340:F1340)</f>
        <v>225</v>
      </c>
      <c r="H1340" s="160">
        <f>2*G1340</f>
        <v>450</v>
      </c>
      <c r="I1340" s="189">
        <f>G1260</f>
        <v>0.61678571428571438</v>
      </c>
      <c r="J1340" s="160">
        <f>H1340*I1340</f>
        <v>277.55357142857144</v>
      </c>
      <c r="K1340" s="160" t="s">
        <v>93</v>
      </c>
    </row>
    <row r="1342" spans="3:11" s="160" customFormat="1">
      <c r="D1342" s="160" t="s">
        <v>3351</v>
      </c>
      <c r="F1342" s="160">
        <f>F1324</f>
        <v>16.875</v>
      </c>
      <c r="G1342" s="160" t="s">
        <v>376</v>
      </c>
    </row>
    <row r="1346" spans="3:9">
      <c r="D1346" s="127" t="s">
        <v>3371</v>
      </c>
      <c r="E1346" s="127" t="str">
        <f>D1333</f>
        <v>beton</v>
      </c>
      <c r="F1346" s="127">
        <f>H1287+H1310+H1334</f>
        <v>16.3125</v>
      </c>
    </row>
    <row r="1348" spans="3:9">
      <c r="E1348" s="127" t="str">
        <f>D1336</f>
        <v>besi pokok</v>
      </c>
      <c r="F1348" s="127">
        <f>J1293+J1316+J1340</f>
        <v>1686.0454285714286</v>
      </c>
    </row>
    <row r="1350" spans="3:9">
      <c r="E1350" s="127" t="str">
        <f>D1342</f>
        <v>bekisting</v>
      </c>
      <c r="F1350" s="127">
        <f>F1342+F1318</f>
        <v>48.375</v>
      </c>
    </row>
    <row r="1355" spans="3:9">
      <c r="D1355" s="127" t="e">
        <f>'3.BOQ STR'!#REF!</f>
        <v>#REF!</v>
      </c>
    </row>
    <row r="1356" spans="3:9">
      <c r="D1356" s="127" t="e">
        <f>'3.BOQ STR'!#REF!</f>
        <v>#REF!</v>
      </c>
    </row>
    <row r="1358" spans="3:9">
      <c r="C1358" s="127" t="e">
        <f>D1356</f>
        <v>#REF!</v>
      </c>
    </row>
    <row r="1359" spans="3:9" s="160" customFormat="1">
      <c r="D1359" s="160" t="s">
        <v>3293</v>
      </c>
      <c r="E1359" s="160" t="s">
        <v>3294</v>
      </c>
      <c r="F1359" s="160" t="s">
        <v>3344</v>
      </c>
      <c r="G1359" s="160" t="s">
        <v>3345</v>
      </c>
    </row>
    <row r="1360" spans="3:9" s="160" customFormat="1">
      <c r="E1360" s="160">
        <v>0.3</v>
      </c>
      <c r="F1360" s="160">
        <v>0.5</v>
      </c>
      <c r="G1360" s="160">
        <f>99.8+3.6+12.49+19.6+15+11.1+21.9</f>
        <v>183.48999999999998</v>
      </c>
      <c r="H1360" s="160">
        <f>E1360*F1362*G1360</f>
        <v>19.266449999999999</v>
      </c>
      <c r="I1360" s="160" t="s">
        <v>375</v>
      </c>
    </row>
    <row r="1361" spans="4:11">
      <c r="F1361" s="127" t="s">
        <v>3389</v>
      </c>
    </row>
    <row r="1362" spans="4:11">
      <c r="F1362" s="127">
        <f>F1360-0.15</f>
        <v>0.35</v>
      </c>
    </row>
    <row r="1364" spans="4:11" s="160" customFormat="1">
      <c r="D1364" s="160" t="s">
        <v>3346</v>
      </c>
      <c r="E1364" s="160" t="s">
        <v>3345</v>
      </c>
      <c r="F1364" s="160" t="s">
        <v>3296</v>
      </c>
      <c r="G1364" s="160" t="s">
        <v>3311</v>
      </c>
    </row>
    <row r="1365" spans="4:11" s="160" customFormat="1">
      <c r="E1365" s="160">
        <f>G1360</f>
        <v>183.48999999999998</v>
      </c>
      <c r="F1365" s="160">
        <v>6</v>
      </c>
      <c r="G1365" s="189">
        <f>G1254</f>
        <v>1.5789714285714285</v>
      </c>
      <c r="H1365" s="160">
        <f>E1365*F1365*G1365</f>
        <v>1738.3528045714281</v>
      </c>
      <c r="I1365" s="160" t="s">
        <v>93</v>
      </c>
      <c r="J1365" s="160">
        <f>SUM(H1365:H1380)</f>
        <v>2900.362410785714</v>
      </c>
      <c r="K1365" s="160" t="s">
        <v>3305</v>
      </c>
    </row>
    <row r="1367" spans="4:11">
      <c r="D1367" s="127" t="s">
        <v>3347</v>
      </c>
      <c r="E1367" s="127" t="s">
        <v>3345</v>
      </c>
      <c r="F1367" s="127" t="s">
        <v>3296</v>
      </c>
      <c r="G1367" s="127" t="s">
        <v>3341</v>
      </c>
    </row>
    <row r="1368" spans="4:11">
      <c r="E1368" s="127">
        <f>G1360</f>
        <v>183.48999999999998</v>
      </c>
      <c r="F1368" s="127">
        <v>2</v>
      </c>
      <c r="G1368" s="180">
        <f>G1257</f>
        <v>1.0423678571428572</v>
      </c>
      <c r="H1368" s="127">
        <f>E1368*F1368*G1368</f>
        <v>382.52815621428567</v>
      </c>
      <c r="I1368" s="127" t="s">
        <v>93</v>
      </c>
    </row>
    <row r="1370" spans="4:11">
      <c r="D1370" s="127" t="s">
        <v>3348</v>
      </c>
      <c r="E1370" s="127" t="s">
        <v>3345</v>
      </c>
      <c r="F1370" s="127" t="s">
        <v>3296</v>
      </c>
      <c r="G1370" s="127" t="s">
        <v>3349</v>
      </c>
    </row>
    <row r="1371" spans="4:11">
      <c r="E1371" s="127">
        <f>(E1360-0.04)+(F1360-0.04)*2</f>
        <v>1.1800000000000002</v>
      </c>
      <c r="F1371" s="127">
        <f>ROUNDUP(G1360/2/0.15,0)</f>
        <v>612</v>
      </c>
      <c r="G1371" s="180">
        <f>G1260</f>
        <v>0.61678571428571438</v>
      </c>
      <c r="H1371" s="127">
        <f>E1371*F1371*G1371</f>
        <v>445.41797142857155</v>
      </c>
      <c r="I1371" s="127" t="s">
        <v>93</v>
      </c>
    </row>
    <row r="1373" spans="4:11">
      <c r="D1373" s="127" t="s">
        <v>3380</v>
      </c>
      <c r="E1373" s="127" t="s">
        <v>3345</v>
      </c>
      <c r="F1373" s="127" t="s">
        <v>3296</v>
      </c>
      <c r="G1373" s="127" t="s">
        <v>3349</v>
      </c>
    </row>
    <row r="1374" spans="4:11">
      <c r="E1374" s="127">
        <v>0</v>
      </c>
      <c r="F1374" s="127">
        <f>ROUNDUP(G1360/2/0.09,0)</f>
        <v>1020</v>
      </c>
      <c r="G1374" s="127">
        <v>0.6</v>
      </c>
      <c r="H1374" s="127">
        <f>E1374*F1374*G1374</f>
        <v>0</v>
      </c>
      <c r="I1374" s="127" t="s">
        <v>93</v>
      </c>
    </row>
    <row r="1376" spans="4:11">
      <c r="D1376" s="127" t="s">
        <v>3350</v>
      </c>
      <c r="E1376" s="127" t="s">
        <v>3345</v>
      </c>
      <c r="F1376" s="127" t="s">
        <v>3296</v>
      </c>
      <c r="G1376" s="127" t="s">
        <v>3349</v>
      </c>
    </row>
    <row r="1377" spans="2:9">
      <c r="E1377" s="127">
        <f>(E1360-0.04)+(F1360-0.04)*2</f>
        <v>1.1800000000000002</v>
      </c>
      <c r="F1377" s="127">
        <f>ROUNDUP(G1360/2/0.2,0)</f>
        <v>459</v>
      </c>
      <c r="G1377" s="180">
        <f>G1371</f>
        <v>0.61678571428571438</v>
      </c>
      <c r="H1377" s="127">
        <f>E1377*F1377*G1377</f>
        <v>334.06347857142867</v>
      </c>
      <c r="I1377" s="127" t="s">
        <v>93</v>
      </c>
    </row>
    <row r="1379" spans="2:9">
      <c r="D1379" s="127" t="s">
        <v>3380</v>
      </c>
      <c r="E1379" s="127" t="s">
        <v>3345</v>
      </c>
      <c r="F1379" s="127" t="s">
        <v>3296</v>
      </c>
      <c r="G1379" s="127" t="s">
        <v>3349</v>
      </c>
    </row>
    <row r="1380" spans="2:9">
      <c r="E1380" s="127">
        <v>0</v>
      </c>
      <c r="F1380" s="127">
        <f>ROUNDUP(G1360/2/0.15,0)</f>
        <v>612</v>
      </c>
      <c r="G1380" s="127">
        <v>0.6</v>
      </c>
      <c r="H1380" s="127">
        <f>E1380*F1380*G1380</f>
        <v>0</v>
      </c>
      <c r="I1380" s="127" t="s">
        <v>93</v>
      </c>
    </row>
    <row r="1382" spans="2:9" s="160" customFormat="1">
      <c r="D1382" s="160" t="s">
        <v>3351</v>
      </c>
      <c r="E1382" s="160" t="s">
        <v>3294</v>
      </c>
      <c r="F1382" s="160" t="s">
        <v>3390</v>
      </c>
      <c r="G1382" s="160" t="s">
        <v>3345</v>
      </c>
    </row>
    <row r="1383" spans="2:9" s="160" customFormat="1">
      <c r="E1383" s="160">
        <f>E1360</f>
        <v>0.3</v>
      </c>
      <c r="F1383" s="160">
        <f>F1360-0.12</f>
        <v>0.38</v>
      </c>
      <c r="G1383" s="160">
        <f>G1360</f>
        <v>183.48999999999998</v>
      </c>
      <c r="H1383" s="160">
        <f>(F1383+F1383+E1383)*G1383*0</f>
        <v>0</v>
      </c>
      <c r="I1383" s="160" t="s">
        <v>376</v>
      </c>
    </row>
    <row r="1386" spans="2:9">
      <c r="D1386" s="127" t="s">
        <v>3486</v>
      </c>
    </row>
    <row r="1387" spans="2:9" s="160" customFormat="1">
      <c r="B1387" s="160" t="s">
        <v>3270</v>
      </c>
      <c r="C1387" s="160" t="s">
        <v>3409</v>
      </c>
    </row>
    <row r="1388" spans="2:9">
      <c r="D1388" s="127" t="s">
        <v>3410</v>
      </c>
    </row>
    <row r="1389" spans="2:9">
      <c r="C1389" s="190" t="s">
        <v>3354</v>
      </c>
      <c r="E1389" s="127">
        <f>99.8*0.5</f>
        <v>49.9</v>
      </c>
      <c r="F1389" s="127">
        <f>SUM(E1389:E1394)</f>
        <v>49.9</v>
      </c>
      <c r="G1389" s="127" t="s">
        <v>376</v>
      </c>
    </row>
    <row r="1390" spans="2:9">
      <c r="C1390" s="190"/>
    </row>
    <row r="1391" spans="2:9">
      <c r="C1391" s="190"/>
    </row>
    <row r="1392" spans="2:9">
      <c r="C1392" s="190"/>
    </row>
    <row r="1393" spans="3:11">
      <c r="C1393" s="190"/>
    </row>
    <row r="1394" spans="3:11">
      <c r="C1394" s="190"/>
    </row>
    <row r="1395" spans="3:11">
      <c r="D1395" s="127" t="s">
        <v>3417</v>
      </c>
    </row>
    <row r="1396" spans="3:11">
      <c r="C1396" s="190" t="s">
        <v>3354</v>
      </c>
      <c r="E1396" s="127">
        <f>F1389</f>
        <v>49.9</v>
      </c>
      <c r="F1396" s="127">
        <f>SUM(E1396)</f>
        <v>49.9</v>
      </c>
      <c r="G1396" s="127" t="s">
        <v>376</v>
      </c>
    </row>
    <row r="1398" spans="3:11" s="160" customFormat="1">
      <c r="D1398" s="160" t="s">
        <v>3293</v>
      </c>
      <c r="E1398" s="160" t="s">
        <v>3418</v>
      </c>
      <c r="F1398" s="160" t="s">
        <v>3295</v>
      </c>
    </row>
    <row r="1399" spans="3:11" s="160" customFormat="1">
      <c r="E1399" s="160">
        <f>F1396</f>
        <v>49.9</v>
      </c>
      <c r="F1399" s="160">
        <v>0.15</v>
      </c>
      <c r="H1399" s="160">
        <f>E1399*F1399</f>
        <v>7.4849999999999994</v>
      </c>
      <c r="I1399" s="160" t="s">
        <v>375</v>
      </c>
    </row>
    <row r="1401" spans="3:11" s="160" customFormat="1">
      <c r="D1401" s="160" t="s">
        <v>3346</v>
      </c>
      <c r="E1401" s="160" t="s">
        <v>3345</v>
      </c>
      <c r="F1401" s="160" t="s">
        <v>3294</v>
      </c>
    </row>
    <row r="1402" spans="3:11" s="160" customFormat="1">
      <c r="E1402" s="160">
        <f>F1396^0.5</f>
        <v>7.0639932049797443</v>
      </c>
      <c r="F1402" s="160">
        <f>F1396^0.5</f>
        <v>7.0639932049797443</v>
      </c>
    </row>
    <row r="1403" spans="3:11" s="160" customFormat="1"/>
    <row r="1404" spans="3:11" s="160" customFormat="1">
      <c r="E1404" s="160" t="s">
        <v>3379</v>
      </c>
      <c r="F1404" s="160" t="s">
        <v>3379</v>
      </c>
      <c r="H1404" s="160" t="s">
        <v>3488</v>
      </c>
      <c r="I1404" s="160" t="s">
        <v>3362</v>
      </c>
    </row>
    <row r="1405" spans="3:11" s="160" customFormat="1">
      <c r="E1405" s="160">
        <f>E1402/0.2*F1402</f>
        <v>249.49999999999997</v>
      </c>
      <c r="F1405" s="160">
        <f>F1402/0.2*E1402</f>
        <v>249.49999999999997</v>
      </c>
      <c r="G1405" s="160">
        <f>SUM(E1405:F1405)</f>
        <v>498.99999999999994</v>
      </c>
      <c r="H1405" s="160">
        <f>1*G1405</f>
        <v>498.99999999999994</v>
      </c>
      <c r="I1405" s="189">
        <f>G1371</f>
        <v>0.61678571428571438</v>
      </c>
      <c r="J1405" s="160">
        <f>H1405*I1405</f>
        <v>307.77607142857141</v>
      </c>
      <c r="K1405" s="160" t="s">
        <v>93</v>
      </c>
    </row>
    <row r="1407" spans="3:11" s="160" customFormat="1">
      <c r="D1407" s="160" t="s">
        <v>3351</v>
      </c>
      <c r="F1407" s="160">
        <f>F1389</f>
        <v>49.9</v>
      </c>
      <c r="G1407" s="160" t="s">
        <v>376</v>
      </c>
    </row>
    <row r="1410" spans="2:9">
      <c r="D1410" s="127" t="s">
        <v>3485</v>
      </c>
    </row>
    <row r="1411" spans="2:9" s="160" customFormat="1">
      <c r="B1411" s="160" t="s">
        <v>3270</v>
      </c>
      <c r="C1411" s="160" t="s">
        <v>3409</v>
      </c>
    </row>
    <row r="1412" spans="2:9">
      <c r="D1412" s="127" t="s">
        <v>3410</v>
      </c>
    </row>
    <row r="1413" spans="2:9">
      <c r="C1413" s="190" t="s">
        <v>3354</v>
      </c>
      <c r="E1413" s="127">
        <f>E1141</f>
        <v>369.08721100000002</v>
      </c>
      <c r="F1413" s="127">
        <f>SUM(E1413:E1418)</f>
        <v>369.08721100000002</v>
      </c>
      <c r="G1413" s="127" t="s">
        <v>376</v>
      </c>
    </row>
    <row r="1414" spans="2:9">
      <c r="C1414" s="190"/>
    </row>
    <row r="1415" spans="2:9">
      <c r="C1415" s="190"/>
    </row>
    <row r="1416" spans="2:9">
      <c r="C1416" s="190"/>
    </row>
    <row r="1417" spans="2:9">
      <c r="C1417" s="190"/>
    </row>
    <row r="1418" spans="2:9">
      <c r="C1418" s="190"/>
    </row>
    <row r="1419" spans="2:9">
      <c r="D1419" s="127" t="s">
        <v>3417</v>
      </c>
    </row>
    <row r="1420" spans="2:9">
      <c r="C1420" s="190" t="s">
        <v>3354</v>
      </c>
      <c r="E1420" s="127">
        <f>F1413</f>
        <v>369.08721100000002</v>
      </c>
      <c r="F1420" s="127">
        <f>SUM(E1420)</f>
        <v>369.08721100000002</v>
      </c>
      <c r="G1420" s="127" t="s">
        <v>376</v>
      </c>
    </row>
    <row r="1422" spans="2:9" s="160" customFormat="1">
      <c r="D1422" s="160" t="s">
        <v>3293</v>
      </c>
      <c r="E1422" s="160" t="s">
        <v>3418</v>
      </c>
      <c r="F1422" s="160" t="s">
        <v>3295</v>
      </c>
    </row>
    <row r="1423" spans="2:9" s="160" customFormat="1">
      <c r="E1423" s="160">
        <f>F1420</f>
        <v>369.08721100000002</v>
      </c>
      <c r="F1423" s="160">
        <v>0.15</v>
      </c>
      <c r="H1423" s="160">
        <f>E1423*F1423</f>
        <v>55.363081650000005</v>
      </c>
      <c r="I1423" s="160" t="s">
        <v>375</v>
      </c>
    </row>
    <row r="1425" spans="4:11" s="160" customFormat="1">
      <c r="D1425" s="160" t="s">
        <v>3346</v>
      </c>
      <c r="E1425" s="160" t="s">
        <v>3345</v>
      </c>
      <c r="F1425" s="160" t="s">
        <v>3294</v>
      </c>
    </row>
    <row r="1426" spans="4:11" s="160" customFormat="1">
      <c r="E1426" s="160">
        <f>F1420^0.5</f>
        <v>19.211642589846399</v>
      </c>
      <c r="F1426" s="160">
        <f>F1420^0.5</f>
        <v>19.211642589846399</v>
      </c>
    </row>
    <row r="1427" spans="4:11" s="160" customFormat="1"/>
    <row r="1428" spans="4:11" s="160" customFormat="1">
      <c r="E1428" s="160" t="s">
        <v>3379</v>
      </c>
      <c r="F1428" s="160" t="s">
        <v>3379</v>
      </c>
      <c r="H1428" s="160" t="s">
        <v>3419</v>
      </c>
      <c r="I1428" s="160" t="s">
        <v>3362</v>
      </c>
    </row>
    <row r="1429" spans="4:11" s="160" customFormat="1">
      <c r="E1429" s="160">
        <f>E1426/0.2*F1426</f>
        <v>1845.4360550000001</v>
      </c>
      <c r="F1429" s="160">
        <f>F1426/0.2*E1426</f>
        <v>1845.4360550000001</v>
      </c>
      <c r="G1429" s="160">
        <f>SUM(E1429:F1429)</f>
        <v>3690.8721100000002</v>
      </c>
      <c r="H1429" s="160">
        <f>2*G1429</f>
        <v>7381.7442200000005</v>
      </c>
      <c r="I1429" s="189">
        <f>I1405</f>
        <v>0.61678571428571438</v>
      </c>
      <c r="J1429" s="160">
        <f>H1429*I1429</f>
        <v>4552.954381407144</v>
      </c>
      <c r="K1429" s="160" t="s">
        <v>93</v>
      </c>
    </row>
    <row r="1431" spans="4:11" s="160" customFormat="1">
      <c r="D1431" s="160" t="s">
        <v>3351</v>
      </c>
      <c r="F1431" s="160">
        <f>F1413*0</f>
        <v>0</v>
      </c>
      <c r="G1431" s="160" t="s">
        <v>376</v>
      </c>
    </row>
    <row r="1435" spans="4:11">
      <c r="D1435" s="127" t="s">
        <v>3371</v>
      </c>
      <c r="E1435" s="127" t="str">
        <f>D1422</f>
        <v>beton</v>
      </c>
      <c r="F1435" s="127">
        <f>H1399+H1423</f>
        <v>62.848081650000005</v>
      </c>
    </row>
    <row r="1437" spans="4:11">
      <c r="E1437" s="127" t="str">
        <f>D1425</f>
        <v>besi pokok</v>
      </c>
      <c r="F1437" s="127">
        <f>J1405+J1429</f>
        <v>4860.7304528357154</v>
      </c>
    </row>
    <row r="1439" spans="4:11">
      <c r="E1439" s="127" t="str">
        <f>D1431</f>
        <v>bekisting</v>
      </c>
      <c r="F1439" s="127">
        <f>F1407</f>
        <v>49.9</v>
      </c>
    </row>
  </sheetData>
  <mergeCells count="1">
    <mergeCell ref="S4:T4"/>
  </mergeCells>
  <pageMargins left="0.7" right="0.7" top="0.75" bottom="0.75" header="0.3" footer="0.3"/>
  <pageSetup paperSize="9" orientation="portrait" horizontalDpi="360" verticalDpi="36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D4CF6-DCAB-40AC-A0E1-79ADF3D9C095}">
  <dimension ref="A1:K163"/>
  <sheetViews>
    <sheetView tabSelected="1" view="pageBreakPreview" topLeftCell="A103" zoomScale="85" zoomScaleNormal="70" zoomScaleSheetLayoutView="85" workbookViewId="0">
      <selection activeCell="D12" sqref="D12"/>
    </sheetView>
  </sheetViews>
  <sheetFormatPr defaultColWidth="9.08984375" defaultRowHeight="14"/>
  <cols>
    <col min="1" max="1" width="9.08984375" style="1029"/>
    <col min="2" max="3" width="9.08984375" style="953"/>
    <col min="4" max="4" width="61.36328125" style="953" customWidth="1"/>
    <col min="5" max="5" width="14.36328125" style="953" customWidth="1"/>
    <col min="6" max="6" width="5.36328125" style="953" customWidth="1"/>
    <col min="7" max="7" width="15.6328125" style="953" customWidth="1"/>
    <col min="8" max="9" width="20.6328125" style="953" customWidth="1"/>
    <col min="10" max="11" width="9.08984375" style="953"/>
    <col min="12" max="12" width="23.54296875" style="953" customWidth="1"/>
    <col min="13" max="16384" width="9.08984375" style="953"/>
  </cols>
  <sheetData>
    <row r="1" spans="1:11" ht="18">
      <c r="A1" s="1660" t="s">
        <v>4140</v>
      </c>
      <c r="B1" s="1660"/>
      <c r="C1" s="1660"/>
      <c r="D1" s="1660"/>
      <c r="E1" s="1660"/>
      <c r="F1" s="1660"/>
      <c r="G1" s="1660"/>
      <c r="H1" s="1660"/>
      <c r="I1" s="1660"/>
    </row>
    <row r="2" spans="1:11" ht="18">
      <c r="A2" s="1661" t="s">
        <v>4144</v>
      </c>
      <c r="B2" s="1661"/>
      <c r="C2" s="1661"/>
      <c r="D2" s="1661"/>
      <c r="E2" s="1661"/>
      <c r="F2" s="1661"/>
      <c r="G2" s="1661"/>
      <c r="H2" s="1661"/>
      <c r="I2" s="1661"/>
    </row>
    <row r="3" spans="1:11">
      <c r="A3" s="954"/>
      <c r="B3" s="955" t="s">
        <v>3232</v>
      </c>
      <c r="C3" s="956"/>
      <c r="D3" s="226" t="s">
        <v>4145</v>
      </c>
      <c r="E3" s="957"/>
      <c r="F3" s="958"/>
      <c r="G3" s="959"/>
      <c r="H3" s="960"/>
      <c r="I3" s="129"/>
    </row>
    <row r="4" spans="1:11">
      <c r="A4" s="954"/>
      <c r="B4" s="955" t="s">
        <v>3233</v>
      </c>
      <c r="C4" s="956"/>
      <c r="D4" s="226" t="s">
        <v>4614</v>
      </c>
      <c r="E4" s="958"/>
      <c r="F4" s="958"/>
      <c r="G4" s="959"/>
      <c r="H4" s="960"/>
      <c r="I4" s="129"/>
    </row>
    <row r="5" spans="1:11">
      <c r="A5" s="954"/>
      <c r="B5" s="955" t="s">
        <v>3234</v>
      </c>
      <c r="C5" s="956"/>
      <c r="D5" s="133" t="s">
        <v>3670</v>
      </c>
      <c r="E5" s="958"/>
      <c r="F5" s="958"/>
      <c r="G5" s="959"/>
      <c r="H5" s="960"/>
      <c r="I5" s="129"/>
    </row>
    <row r="6" spans="1:11" ht="14.5" thickBot="1">
      <c r="A6" s="959"/>
      <c r="B6" s="959"/>
      <c r="C6" s="959"/>
      <c r="D6" s="961"/>
      <c r="E6" s="958"/>
      <c r="F6" s="958"/>
      <c r="G6" s="958"/>
      <c r="H6" s="962"/>
      <c r="I6" s="963"/>
    </row>
    <row r="7" spans="1:11">
      <c r="A7" s="1662" t="s">
        <v>3235</v>
      </c>
      <c r="B7" s="1664" t="s">
        <v>0</v>
      </c>
      <c r="C7" s="1665"/>
      <c r="D7" s="1665"/>
      <c r="E7" s="1664" t="s">
        <v>3236</v>
      </c>
      <c r="F7" s="1668"/>
      <c r="G7" s="1670" t="s">
        <v>3237</v>
      </c>
      <c r="H7" s="964" t="s">
        <v>3238</v>
      </c>
      <c r="I7" s="136" t="s">
        <v>3239</v>
      </c>
    </row>
    <row r="8" spans="1:11" ht="14.5" thickBot="1">
      <c r="A8" s="1663"/>
      <c r="B8" s="1666"/>
      <c r="C8" s="1667"/>
      <c r="D8" s="1667"/>
      <c r="E8" s="1666"/>
      <c r="F8" s="1669"/>
      <c r="G8" s="1671"/>
      <c r="H8" s="965" t="s">
        <v>1954</v>
      </c>
      <c r="I8" s="137" t="s">
        <v>3240</v>
      </c>
    </row>
    <row r="9" spans="1:11" s="956" customFormat="1" ht="15" customHeight="1">
      <c r="A9" s="966" t="s">
        <v>65</v>
      </c>
      <c r="B9" s="1651" t="s">
        <v>4146</v>
      </c>
      <c r="C9" s="1652"/>
      <c r="D9" s="1653"/>
      <c r="E9" s="967"/>
      <c r="F9" s="968"/>
      <c r="G9" s="969"/>
      <c r="H9" s="970"/>
      <c r="I9" s="139"/>
      <c r="J9" s="971"/>
    </row>
    <row r="10" spans="1:11" s="956" customFormat="1" ht="15" customHeight="1">
      <c r="A10" s="972"/>
      <c r="B10" s="1654" t="s">
        <v>4147</v>
      </c>
      <c r="C10" s="1655"/>
      <c r="D10" s="1656"/>
      <c r="E10" s="973"/>
      <c r="F10" s="974"/>
      <c r="G10" s="975"/>
      <c r="H10" s="976"/>
      <c r="I10" s="142"/>
      <c r="J10" s="971"/>
      <c r="K10" s="977"/>
    </row>
    <row r="11" spans="1:11" s="956" customFormat="1" ht="15" customHeight="1">
      <c r="A11" s="972" t="s">
        <v>3242</v>
      </c>
      <c r="B11" s="978" t="s">
        <v>4148</v>
      </c>
      <c r="C11" s="979"/>
      <c r="D11" s="980"/>
      <c r="E11" s="981"/>
      <c r="F11" s="982"/>
      <c r="G11" s="983"/>
      <c r="H11" s="984"/>
      <c r="I11" s="156"/>
      <c r="J11" s="971"/>
    </row>
    <row r="12" spans="1:11" s="956" customFormat="1" ht="15" customHeight="1">
      <c r="A12" s="985"/>
      <c r="B12" s="986" t="s">
        <v>4149</v>
      </c>
      <c r="C12" s="979"/>
      <c r="D12" s="980"/>
      <c r="E12" s="981">
        <v>80</v>
      </c>
      <c r="F12" s="982" t="s">
        <v>113</v>
      </c>
      <c r="G12" s="983"/>
      <c r="H12" s="984">
        <f>'ANALISA ME'!K363</f>
        <v>0</v>
      </c>
      <c r="I12" s="156">
        <f>H12*E12</f>
        <v>0</v>
      </c>
      <c r="J12" s="971"/>
    </row>
    <row r="13" spans="1:11">
      <c r="A13" s="987"/>
      <c r="B13" s="988"/>
      <c r="C13" s="988"/>
      <c r="D13" s="988"/>
      <c r="E13" s="1634" t="s">
        <v>3247</v>
      </c>
      <c r="F13" s="1634"/>
      <c r="G13" s="1634"/>
      <c r="H13" s="1635"/>
      <c r="I13" s="989">
        <f>SUM(I12)</f>
        <v>0</v>
      </c>
    </row>
    <row r="14" spans="1:11" s="956" customFormat="1" ht="15" customHeight="1">
      <c r="A14" s="972" t="s">
        <v>3248</v>
      </c>
      <c r="B14" s="1657" t="s">
        <v>4150</v>
      </c>
      <c r="C14" s="1658"/>
      <c r="D14" s="1659"/>
      <c r="E14" s="973"/>
      <c r="F14" s="974"/>
      <c r="G14" s="975"/>
      <c r="H14" s="976"/>
      <c r="I14" s="142"/>
      <c r="J14" s="971"/>
      <c r="K14" s="977"/>
    </row>
    <row r="15" spans="1:11" s="956" customFormat="1" ht="15" customHeight="1">
      <c r="A15" s="985"/>
      <c r="B15" s="991" t="s">
        <v>4151</v>
      </c>
      <c r="C15" s="991"/>
      <c r="D15" s="992"/>
      <c r="E15" s="981">
        <v>1</v>
      </c>
      <c r="F15" s="982" t="s">
        <v>2333</v>
      </c>
      <c r="G15" s="993"/>
      <c r="H15" s="994">
        <f>'ANALISA ME'!K875</f>
        <v>0</v>
      </c>
      <c r="I15" s="156">
        <f>H15*E15</f>
        <v>0</v>
      </c>
      <c r="J15" s="971"/>
      <c r="K15" s="977"/>
    </row>
    <row r="16" spans="1:11" s="956" customFormat="1" ht="15" customHeight="1">
      <c r="A16" s="985"/>
      <c r="B16" s="991" t="s">
        <v>4152</v>
      </c>
      <c r="C16" s="991"/>
      <c r="D16" s="992"/>
      <c r="E16" s="993"/>
      <c r="F16" s="982"/>
      <c r="G16" s="993"/>
      <c r="H16" s="994"/>
      <c r="I16" s="156"/>
      <c r="J16" s="971"/>
      <c r="K16" s="977"/>
    </row>
    <row r="17" spans="1:11" s="956" customFormat="1" ht="15" customHeight="1">
      <c r="A17" s="985"/>
      <c r="B17" s="991" t="s">
        <v>4153</v>
      </c>
      <c r="C17" s="991"/>
      <c r="D17" s="992"/>
      <c r="E17" s="993"/>
      <c r="F17" s="982"/>
      <c r="G17" s="993"/>
      <c r="H17" s="994"/>
      <c r="I17" s="156"/>
      <c r="J17" s="971"/>
      <c r="K17" s="977"/>
    </row>
    <row r="18" spans="1:11" s="956" customFormat="1" ht="15" customHeight="1">
      <c r="A18" s="985"/>
      <c r="B18" s="991" t="s">
        <v>4154</v>
      </c>
      <c r="C18" s="991"/>
      <c r="D18" s="992"/>
      <c r="E18" s="993"/>
      <c r="F18" s="982"/>
      <c r="G18" s="993"/>
      <c r="H18" s="994"/>
      <c r="I18" s="156"/>
      <c r="J18" s="971"/>
      <c r="K18" s="977"/>
    </row>
    <row r="19" spans="1:11" s="956" customFormat="1" ht="15" customHeight="1">
      <c r="A19" s="985"/>
      <c r="B19" s="991" t="s">
        <v>4155</v>
      </c>
      <c r="C19" s="991"/>
      <c r="D19" s="992"/>
      <c r="E19" s="993"/>
      <c r="F19" s="982"/>
      <c r="G19" s="993"/>
      <c r="H19" s="994"/>
      <c r="I19" s="156"/>
      <c r="J19" s="971"/>
      <c r="K19" s="977"/>
    </row>
    <row r="20" spans="1:11" s="956" customFormat="1" ht="15" customHeight="1">
      <c r="A20" s="972"/>
      <c r="B20" s="991" t="s">
        <v>4156</v>
      </c>
      <c r="C20" s="991"/>
      <c r="D20" s="990"/>
      <c r="E20" s="995">
        <v>1</v>
      </c>
      <c r="F20" s="996" t="s">
        <v>2333</v>
      </c>
      <c r="G20" s="973"/>
      <c r="H20" s="994">
        <v>0</v>
      </c>
      <c r="I20" s="156">
        <f t="shared" ref="I20:I21" si="0">H20*E20</f>
        <v>0</v>
      </c>
      <c r="J20" s="971"/>
      <c r="K20" s="977"/>
    </row>
    <row r="21" spans="1:11" s="956" customFormat="1" ht="15" customHeight="1">
      <c r="A21" s="972"/>
      <c r="B21" s="991" t="s">
        <v>4157</v>
      </c>
      <c r="C21" s="991"/>
      <c r="D21" s="990"/>
      <c r="E21" s="995">
        <v>1</v>
      </c>
      <c r="F21" s="996" t="s">
        <v>2333</v>
      </c>
      <c r="G21" s="973"/>
      <c r="H21" s="994">
        <v>0</v>
      </c>
      <c r="I21" s="156">
        <f t="shared" si="0"/>
        <v>0</v>
      </c>
      <c r="J21" s="971"/>
      <c r="K21" s="977"/>
    </row>
    <row r="22" spans="1:11">
      <c r="A22" s="987"/>
      <c r="B22" s="988"/>
      <c r="C22" s="988"/>
      <c r="D22" s="988"/>
      <c r="E22" s="1634" t="s">
        <v>3247</v>
      </c>
      <c r="F22" s="1634"/>
      <c r="G22" s="1634"/>
      <c r="H22" s="1635"/>
      <c r="I22" s="989">
        <f>SUM(I15:I21)</f>
        <v>0</v>
      </c>
    </row>
    <row r="23" spans="1:11" s="956" customFormat="1" ht="15" customHeight="1">
      <c r="A23" s="972" t="s">
        <v>3254</v>
      </c>
      <c r="B23" s="1657" t="s">
        <v>4158</v>
      </c>
      <c r="C23" s="1658"/>
      <c r="D23" s="1659"/>
      <c r="E23" s="973"/>
      <c r="F23" s="974"/>
      <c r="G23" s="975"/>
      <c r="H23" s="976"/>
      <c r="I23" s="142"/>
      <c r="J23" s="971"/>
      <c r="K23" s="977"/>
    </row>
    <row r="24" spans="1:11" s="956" customFormat="1" ht="15" customHeight="1">
      <c r="A24" s="985"/>
      <c r="B24" s="997" t="s">
        <v>4159</v>
      </c>
      <c r="C24" s="997"/>
      <c r="D24" s="992"/>
      <c r="E24" s="995">
        <v>1</v>
      </c>
      <c r="F24" s="982" t="s">
        <v>2333</v>
      </c>
      <c r="G24" s="993"/>
      <c r="H24" s="994">
        <f>'ANALISA ME'!K230</f>
        <v>0</v>
      </c>
      <c r="I24" s="156">
        <f t="shared" ref="I24:I28" si="1">H24*E24</f>
        <v>0</v>
      </c>
      <c r="J24" s="971"/>
      <c r="K24" s="977"/>
    </row>
    <row r="25" spans="1:11" s="956" customFormat="1" ht="15" customHeight="1">
      <c r="A25" s="985"/>
      <c r="B25" s="997" t="s">
        <v>4160</v>
      </c>
      <c r="C25" s="997"/>
      <c r="D25" s="992"/>
      <c r="E25" s="995">
        <v>1</v>
      </c>
      <c r="F25" s="982" t="s">
        <v>2333</v>
      </c>
      <c r="G25" s="993"/>
      <c r="H25" s="994">
        <f>'ANALISA ME'!K257</f>
        <v>0</v>
      </c>
      <c r="I25" s="156">
        <f t="shared" si="1"/>
        <v>0</v>
      </c>
      <c r="J25" s="971"/>
      <c r="K25" s="977"/>
    </row>
    <row r="26" spans="1:11" s="956" customFormat="1" ht="15" customHeight="1">
      <c r="A26" s="985"/>
      <c r="B26" s="997" t="s">
        <v>4161</v>
      </c>
      <c r="C26" s="997"/>
      <c r="D26" s="992"/>
      <c r="E26" s="995">
        <v>1</v>
      </c>
      <c r="F26" s="982" t="s">
        <v>2333</v>
      </c>
      <c r="G26" s="993"/>
      <c r="H26" s="994">
        <f>'ANALISA ME'!K283</f>
        <v>0</v>
      </c>
      <c r="I26" s="156">
        <f t="shared" si="1"/>
        <v>0</v>
      </c>
      <c r="J26" s="971"/>
      <c r="K26" s="977"/>
    </row>
    <row r="27" spans="1:11" s="956" customFormat="1" ht="15" customHeight="1">
      <c r="A27" s="985"/>
      <c r="B27" s="997" t="s">
        <v>4162</v>
      </c>
      <c r="C27" s="997"/>
      <c r="D27" s="992"/>
      <c r="E27" s="995">
        <v>1</v>
      </c>
      <c r="F27" s="982" t="s">
        <v>2333</v>
      </c>
      <c r="G27" s="993"/>
      <c r="H27" s="994">
        <f>'ANALISA ME'!K313</f>
        <v>0</v>
      </c>
      <c r="I27" s="156">
        <f t="shared" si="1"/>
        <v>0</v>
      </c>
      <c r="J27" s="971"/>
      <c r="K27" s="977"/>
    </row>
    <row r="28" spans="1:11" s="956" customFormat="1" ht="15" customHeight="1">
      <c r="A28" s="985"/>
      <c r="B28" s="997" t="s">
        <v>4163</v>
      </c>
      <c r="C28" s="997"/>
      <c r="D28" s="992"/>
      <c r="E28" s="995">
        <v>1</v>
      </c>
      <c r="F28" s="982" t="s">
        <v>2333</v>
      </c>
      <c r="G28" s="993"/>
      <c r="H28" s="994">
        <v>0</v>
      </c>
      <c r="I28" s="156">
        <f t="shared" si="1"/>
        <v>0</v>
      </c>
      <c r="J28" s="971"/>
      <c r="K28" s="977"/>
    </row>
    <row r="29" spans="1:11">
      <c r="A29" s="987"/>
      <c r="B29" s="988"/>
      <c r="C29" s="988"/>
      <c r="D29" s="988"/>
      <c r="E29" s="1634" t="s">
        <v>3247</v>
      </c>
      <c r="F29" s="1634"/>
      <c r="G29" s="1634"/>
      <c r="H29" s="1635"/>
      <c r="I29" s="989">
        <f>SUM(I24:I28)</f>
        <v>0</v>
      </c>
    </row>
    <row r="30" spans="1:11" s="956" customFormat="1" ht="15" customHeight="1">
      <c r="A30" s="972" t="s">
        <v>3519</v>
      </c>
      <c r="B30" s="978" t="s">
        <v>4164</v>
      </c>
      <c r="C30" s="979"/>
      <c r="D30" s="980"/>
      <c r="E30" s="981"/>
      <c r="F30" s="982"/>
      <c r="G30" s="983"/>
      <c r="H30" s="984"/>
      <c r="I30" s="156"/>
      <c r="J30" s="971"/>
    </row>
    <row r="31" spans="1:11" s="956" customFormat="1" ht="15" customHeight="1">
      <c r="A31" s="985"/>
      <c r="B31" s="998" t="s">
        <v>4165</v>
      </c>
      <c r="C31" s="999"/>
      <c r="D31" s="1000"/>
      <c r="E31" s="981">
        <v>1</v>
      </c>
      <c r="F31" s="982" t="s">
        <v>259</v>
      </c>
      <c r="G31" s="983"/>
      <c r="H31" s="984">
        <f>'ANALISA ME'!K913</f>
        <v>0</v>
      </c>
      <c r="I31" s="156">
        <f t="shared" ref="I31:I32" si="2">H31*E31</f>
        <v>0</v>
      </c>
      <c r="J31" s="971"/>
    </row>
    <row r="32" spans="1:11" s="956" customFormat="1" ht="15" customHeight="1">
      <c r="A32" s="985"/>
      <c r="B32" s="1001" t="s">
        <v>4166</v>
      </c>
      <c r="C32" s="999"/>
      <c r="D32" s="1000"/>
      <c r="E32" s="981">
        <v>10</v>
      </c>
      <c r="F32" s="982" t="s">
        <v>113</v>
      </c>
      <c r="G32" s="983"/>
      <c r="H32" s="984">
        <v>0</v>
      </c>
      <c r="I32" s="156">
        <f t="shared" si="2"/>
        <v>0</v>
      </c>
      <c r="J32" s="971"/>
    </row>
    <row r="33" spans="1:10">
      <c r="A33" s="987"/>
      <c r="B33" s="988"/>
      <c r="C33" s="988"/>
      <c r="D33" s="988"/>
      <c r="E33" s="1634" t="s">
        <v>3247</v>
      </c>
      <c r="F33" s="1634"/>
      <c r="G33" s="1634"/>
      <c r="H33" s="1635"/>
      <c r="I33" s="989">
        <f>SUM(I31:I32)</f>
        <v>0</v>
      </c>
    </row>
    <row r="34" spans="1:10" s="956" customFormat="1" ht="15" customHeight="1">
      <c r="A34" s="972" t="s">
        <v>3521</v>
      </c>
      <c r="B34" s="978" t="s">
        <v>4167</v>
      </c>
      <c r="C34" s="979"/>
      <c r="D34" s="980"/>
      <c r="E34" s="981"/>
      <c r="F34" s="982"/>
      <c r="G34" s="983"/>
      <c r="H34" s="984"/>
      <c r="I34" s="156"/>
      <c r="J34" s="971"/>
    </row>
    <row r="35" spans="1:10" s="956" customFormat="1" ht="15" customHeight="1">
      <c r="A35" s="985"/>
      <c r="B35" s="998" t="s">
        <v>4168</v>
      </c>
      <c r="C35" s="999"/>
      <c r="D35" s="1000"/>
      <c r="E35" s="981">
        <v>7</v>
      </c>
      <c r="F35" s="982" t="s">
        <v>113</v>
      </c>
      <c r="G35" s="983"/>
      <c r="H35" s="984">
        <f>'ANALISA ME'!K363</f>
        <v>0</v>
      </c>
      <c r="I35" s="156">
        <f t="shared" ref="I35:I40" si="3">H35*E35</f>
        <v>0</v>
      </c>
      <c r="J35" s="971"/>
    </row>
    <row r="36" spans="1:10" s="956" customFormat="1" ht="15" customHeight="1">
      <c r="A36" s="985"/>
      <c r="B36" s="998" t="s">
        <v>4169</v>
      </c>
      <c r="C36" s="999"/>
      <c r="D36" s="1000"/>
      <c r="E36" s="981">
        <v>4</v>
      </c>
      <c r="F36" s="982" t="s">
        <v>113</v>
      </c>
      <c r="G36" s="983"/>
      <c r="H36" s="984">
        <f>'ANALISA ME'!K456</f>
        <v>0</v>
      </c>
      <c r="I36" s="156">
        <f t="shared" si="3"/>
        <v>0</v>
      </c>
      <c r="J36" s="971"/>
    </row>
    <row r="37" spans="1:10" s="956" customFormat="1" ht="15" customHeight="1">
      <c r="A37" s="985"/>
      <c r="B37" s="998" t="s">
        <v>4170</v>
      </c>
      <c r="C37" s="999"/>
      <c r="D37" s="1000"/>
      <c r="E37" s="981">
        <v>5</v>
      </c>
      <c r="F37" s="982" t="s">
        <v>113</v>
      </c>
      <c r="G37" s="983"/>
      <c r="H37" s="984">
        <f>'ANALISA ME'!K479</f>
        <v>0</v>
      </c>
      <c r="I37" s="156">
        <f t="shared" si="3"/>
        <v>0</v>
      </c>
      <c r="J37" s="971"/>
    </row>
    <row r="38" spans="1:10" s="956" customFormat="1" ht="15" customHeight="1">
      <c r="A38" s="985"/>
      <c r="B38" s="998" t="s">
        <v>4171</v>
      </c>
      <c r="C38" s="999"/>
      <c r="D38" s="1000"/>
      <c r="E38" s="981">
        <v>42</v>
      </c>
      <c r="F38" s="982" t="s">
        <v>113</v>
      </c>
      <c r="G38" s="983"/>
      <c r="H38" s="984">
        <f>H37</f>
        <v>0</v>
      </c>
      <c r="I38" s="156">
        <f t="shared" si="3"/>
        <v>0</v>
      </c>
      <c r="J38" s="971"/>
    </row>
    <row r="39" spans="1:10" s="956" customFormat="1" ht="15" customHeight="1">
      <c r="A39" s="985"/>
      <c r="B39" s="998" t="s">
        <v>4172</v>
      </c>
      <c r="C39" s="999"/>
      <c r="D39" s="1000"/>
      <c r="E39" s="981">
        <v>28</v>
      </c>
      <c r="F39" s="982" t="s">
        <v>113</v>
      </c>
      <c r="G39" s="983"/>
      <c r="H39" s="984">
        <v>0</v>
      </c>
      <c r="I39" s="156">
        <f t="shared" si="3"/>
        <v>0</v>
      </c>
      <c r="J39" s="971"/>
    </row>
    <row r="40" spans="1:10" s="956" customFormat="1" ht="15" customHeight="1">
      <c r="A40" s="985"/>
      <c r="B40" s="998" t="s">
        <v>4173</v>
      </c>
      <c r="C40" s="999"/>
      <c r="D40" s="1000"/>
      <c r="E40" s="981">
        <v>33</v>
      </c>
      <c r="F40" s="982" t="s">
        <v>113</v>
      </c>
      <c r="G40" s="983"/>
      <c r="H40" s="984">
        <f>'ANALISA ME'!K721</f>
        <v>0</v>
      </c>
      <c r="I40" s="156">
        <f t="shared" si="3"/>
        <v>0</v>
      </c>
      <c r="J40" s="971"/>
    </row>
    <row r="41" spans="1:10">
      <c r="A41" s="987"/>
      <c r="B41" s="988"/>
      <c r="C41" s="988"/>
      <c r="D41" s="988"/>
      <c r="E41" s="1634" t="s">
        <v>3247</v>
      </c>
      <c r="F41" s="1634"/>
      <c r="G41" s="1634"/>
      <c r="H41" s="1635"/>
      <c r="I41" s="989">
        <f>SUM(I35:I40)</f>
        <v>0</v>
      </c>
    </row>
    <row r="42" spans="1:10" s="956" customFormat="1" ht="15" customHeight="1">
      <c r="A42" s="972" t="s">
        <v>3527</v>
      </c>
      <c r="B42" s="978" t="s">
        <v>4174</v>
      </c>
      <c r="C42" s="979"/>
      <c r="D42" s="980"/>
      <c r="E42" s="981"/>
      <c r="F42" s="982"/>
      <c r="G42" s="983"/>
      <c r="H42" s="984"/>
      <c r="I42" s="156"/>
      <c r="J42" s="971"/>
    </row>
    <row r="43" spans="1:10" s="956" customFormat="1" ht="15" customHeight="1">
      <c r="A43" s="985"/>
      <c r="B43" s="998" t="s">
        <v>4175</v>
      </c>
      <c r="C43" s="999"/>
      <c r="D43" s="1000"/>
      <c r="E43" s="981">
        <v>15</v>
      </c>
      <c r="F43" s="982" t="s">
        <v>259</v>
      </c>
      <c r="G43" s="983"/>
      <c r="H43" s="984">
        <f>'ANALISA ME'!K522</f>
        <v>0</v>
      </c>
      <c r="I43" s="156">
        <f t="shared" ref="I43:I59" si="4">H43*E43</f>
        <v>0</v>
      </c>
      <c r="J43" s="971"/>
    </row>
    <row r="44" spans="1:10" s="956" customFormat="1" ht="15" customHeight="1">
      <c r="A44" s="985"/>
      <c r="B44" s="998" t="s">
        <v>4176</v>
      </c>
      <c r="C44" s="999"/>
      <c r="D44" s="1000"/>
      <c r="E44" s="981">
        <v>6</v>
      </c>
      <c r="F44" s="982" t="s">
        <v>259</v>
      </c>
      <c r="G44" s="983"/>
      <c r="H44" s="984">
        <f>'ANALISA ME'!K627</f>
        <v>0</v>
      </c>
      <c r="I44" s="156">
        <f t="shared" si="4"/>
        <v>0</v>
      </c>
      <c r="J44" s="971"/>
    </row>
    <row r="45" spans="1:10" s="956" customFormat="1" ht="15" customHeight="1">
      <c r="A45" s="985"/>
      <c r="B45" s="998" t="s">
        <v>4177</v>
      </c>
      <c r="C45" s="999"/>
      <c r="D45" s="1000"/>
      <c r="E45" s="981">
        <v>4</v>
      </c>
      <c r="F45" s="982" t="s">
        <v>259</v>
      </c>
      <c r="G45" s="983"/>
      <c r="H45" s="984">
        <f>'ANALISA ME'!K606</f>
        <v>0</v>
      </c>
      <c r="I45" s="156">
        <f t="shared" si="4"/>
        <v>0</v>
      </c>
      <c r="J45" s="971"/>
    </row>
    <row r="46" spans="1:10" s="956" customFormat="1" ht="15" customHeight="1">
      <c r="A46" s="985"/>
      <c r="B46" s="998" t="s">
        <v>4178</v>
      </c>
      <c r="C46" s="999"/>
      <c r="D46" s="1000"/>
      <c r="E46" s="981">
        <v>19</v>
      </c>
      <c r="F46" s="982" t="s">
        <v>259</v>
      </c>
      <c r="G46" s="983"/>
      <c r="H46" s="984">
        <f>'ANALISA ME'!K543</f>
        <v>0</v>
      </c>
      <c r="I46" s="156">
        <f t="shared" si="4"/>
        <v>0</v>
      </c>
      <c r="J46" s="971"/>
    </row>
    <row r="47" spans="1:10" s="956" customFormat="1" ht="15" customHeight="1">
      <c r="A47" s="985"/>
      <c r="B47" s="998" t="s">
        <v>4179</v>
      </c>
      <c r="C47" s="999"/>
      <c r="D47" s="1000"/>
      <c r="E47" s="981">
        <v>15</v>
      </c>
      <c r="F47" s="982" t="s">
        <v>259</v>
      </c>
      <c r="G47" s="983"/>
      <c r="H47" s="984">
        <f>'ANALISA ME'!K564</f>
        <v>0</v>
      </c>
      <c r="I47" s="156">
        <f t="shared" si="4"/>
        <v>0</v>
      </c>
      <c r="J47" s="971"/>
    </row>
    <row r="48" spans="1:10" s="956" customFormat="1" ht="15" customHeight="1">
      <c r="A48" s="985"/>
      <c r="B48" s="998" t="s">
        <v>4180</v>
      </c>
      <c r="C48" s="999"/>
      <c r="D48" s="1000"/>
      <c r="E48" s="981">
        <v>20</v>
      </c>
      <c r="F48" s="982" t="s">
        <v>259</v>
      </c>
      <c r="G48" s="983"/>
      <c r="H48" s="984">
        <f>'ANALISA ME'!K585</f>
        <v>0</v>
      </c>
      <c r="I48" s="156">
        <f t="shared" si="4"/>
        <v>0</v>
      </c>
      <c r="J48" s="971"/>
    </row>
    <row r="49" spans="1:10" s="956" customFormat="1" ht="15" customHeight="1">
      <c r="A49" s="985"/>
      <c r="B49" s="998" t="s">
        <v>4181</v>
      </c>
      <c r="C49" s="999"/>
      <c r="D49" s="1000"/>
      <c r="E49" s="981">
        <v>7</v>
      </c>
      <c r="F49" s="982" t="s">
        <v>259</v>
      </c>
      <c r="G49" s="983"/>
      <c r="H49" s="984">
        <f>'ANALISA ME'!K674</f>
        <v>0</v>
      </c>
      <c r="I49" s="156">
        <f t="shared" si="4"/>
        <v>0</v>
      </c>
      <c r="J49" s="971"/>
    </row>
    <row r="50" spans="1:10" s="956" customFormat="1" ht="15" customHeight="1">
      <c r="A50" s="985"/>
      <c r="B50" s="998" t="s">
        <v>4182</v>
      </c>
      <c r="C50" s="999"/>
      <c r="D50" s="1000"/>
      <c r="E50" s="981">
        <v>5</v>
      </c>
      <c r="F50" s="982" t="s">
        <v>259</v>
      </c>
      <c r="G50" s="983"/>
      <c r="H50" s="984">
        <f>'ANALISA ME'!K697</f>
        <v>0</v>
      </c>
      <c r="I50" s="156">
        <f t="shared" si="4"/>
        <v>0</v>
      </c>
      <c r="J50" s="971"/>
    </row>
    <row r="51" spans="1:10" s="956" customFormat="1" ht="15" customHeight="1">
      <c r="A51" s="985"/>
      <c r="B51" s="998" t="s">
        <v>4183</v>
      </c>
      <c r="C51" s="999"/>
      <c r="D51" s="1000"/>
      <c r="E51" s="981">
        <v>32</v>
      </c>
      <c r="F51" s="982" t="s">
        <v>113</v>
      </c>
      <c r="G51" s="983"/>
      <c r="H51" s="984">
        <f>'ANALISA ME'!K650</f>
        <v>0</v>
      </c>
      <c r="I51" s="156">
        <f t="shared" si="4"/>
        <v>0</v>
      </c>
      <c r="J51" s="971"/>
    </row>
    <row r="52" spans="1:10" s="956" customFormat="1" ht="15" customHeight="1">
      <c r="A52" s="985"/>
      <c r="B52" s="998" t="s">
        <v>4184</v>
      </c>
      <c r="C52" s="999"/>
      <c r="D52" s="1000"/>
      <c r="E52" s="981">
        <v>4</v>
      </c>
      <c r="F52" s="982" t="s">
        <v>259</v>
      </c>
      <c r="G52" s="983"/>
      <c r="H52" s="984">
        <f>'HARGA ME'!D64</f>
        <v>0</v>
      </c>
      <c r="I52" s="156">
        <f t="shared" si="4"/>
        <v>0</v>
      </c>
      <c r="J52" s="971"/>
    </row>
    <row r="53" spans="1:10" s="956" customFormat="1" ht="15" customHeight="1">
      <c r="A53" s="985"/>
      <c r="B53" s="998" t="s">
        <v>4185</v>
      </c>
      <c r="C53" s="999"/>
      <c r="D53" s="1000"/>
      <c r="E53" s="981">
        <v>5</v>
      </c>
      <c r="F53" s="982" t="s">
        <v>259</v>
      </c>
      <c r="G53" s="983"/>
      <c r="H53" s="984">
        <f>'ANALISA ME'!K36</f>
        <v>0</v>
      </c>
      <c r="I53" s="156">
        <f t="shared" si="4"/>
        <v>0</v>
      </c>
      <c r="J53" s="971"/>
    </row>
    <row r="54" spans="1:10" s="956" customFormat="1" ht="15" customHeight="1">
      <c r="A54" s="985"/>
      <c r="B54" s="998" t="s">
        <v>4186</v>
      </c>
      <c r="C54" s="999"/>
      <c r="D54" s="1000"/>
      <c r="E54" s="981">
        <v>21</v>
      </c>
      <c r="F54" s="982" t="s">
        <v>259</v>
      </c>
      <c r="G54" s="983"/>
      <c r="H54" s="984">
        <f>'ANALISA ME'!K54</f>
        <v>0</v>
      </c>
      <c r="I54" s="156">
        <f t="shared" si="4"/>
        <v>0</v>
      </c>
      <c r="J54" s="971"/>
    </row>
    <row r="55" spans="1:10" s="956" customFormat="1" ht="15" customHeight="1">
      <c r="A55" s="985"/>
      <c r="B55" s="998" t="s">
        <v>4187</v>
      </c>
      <c r="C55" s="999"/>
      <c r="D55" s="1000"/>
      <c r="E55" s="981">
        <v>41</v>
      </c>
      <c r="F55" s="982" t="s">
        <v>259</v>
      </c>
      <c r="G55" s="983"/>
      <c r="H55" s="984">
        <f>'ANALISA ME'!K108</f>
        <v>0</v>
      </c>
      <c r="I55" s="156">
        <f t="shared" si="4"/>
        <v>0</v>
      </c>
      <c r="J55" s="971"/>
    </row>
    <row r="56" spans="1:10" s="956" customFormat="1" ht="15" customHeight="1">
      <c r="A56" s="985"/>
      <c r="B56" s="998" t="s">
        <v>4188</v>
      </c>
      <c r="C56" s="999"/>
      <c r="D56" s="1000"/>
      <c r="E56" s="981">
        <v>3</v>
      </c>
      <c r="F56" s="982" t="s">
        <v>259</v>
      </c>
      <c r="G56" s="983"/>
      <c r="H56" s="984">
        <f>H55</f>
        <v>0</v>
      </c>
      <c r="I56" s="156">
        <f t="shared" si="4"/>
        <v>0</v>
      </c>
      <c r="J56" s="971"/>
    </row>
    <row r="57" spans="1:10" s="956" customFormat="1" ht="15" customHeight="1">
      <c r="A57" s="985"/>
      <c r="B57" s="998" t="s">
        <v>4189</v>
      </c>
      <c r="C57" s="999"/>
      <c r="D57" s="1000"/>
      <c r="E57" s="981">
        <v>8</v>
      </c>
      <c r="F57" s="982" t="s">
        <v>259</v>
      </c>
      <c r="G57" s="983"/>
      <c r="H57" s="984">
        <v>0</v>
      </c>
      <c r="I57" s="156">
        <f t="shared" si="4"/>
        <v>0</v>
      </c>
      <c r="J57" s="971"/>
    </row>
    <row r="58" spans="1:10" s="956" customFormat="1" ht="15" customHeight="1">
      <c r="A58" s="985"/>
      <c r="B58" s="998" t="s">
        <v>4190</v>
      </c>
      <c r="C58" s="999"/>
      <c r="D58" s="1000"/>
      <c r="E58" s="981">
        <f>SUM(E43:E50)+2+4</f>
        <v>97</v>
      </c>
      <c r="F58" s="982" t="s">
        <v>3256</v>
      </c>
      <c r="G58" s="983"/>
      <c r="H58" s="984">
        <f>'ANALISA ME'!K171</f>
        <v>0</v>
      </c>
      <c r="I58" s="156">
        <f t="shared" si="4"/>
        <v>0</v>
      </c>
      <c r="J58" s="971"/>
    </row>
    <row r="59" spans="1:10" s="956" customFormat="1" ht="15" customHeight="1">
      <c r="A59" s="985"/>
      <c r="B59" s="998" t="s">
        <v>4191</v>
      </c>
      <c r="C59" s="999"/>
      <c r="D59" s="1000"/>
      <c r="E59" s="981">
        <f>SUM(E55:E57)</f>
        <v>52</v>
      </c>
      <c r="F59" s="982" t="s">
        <v>3256</v>
      </c>
      <c r="G59" s="983"/>
      <c r="H59" s="984">
        <f>'ANALISA ME'!K146</f>
        <v>0</v>
      </c>
      <c r="I59" s="156">
        <f t="shared" si="4"/>
        <v>0</v>
      </c>
      <c r="J59" s="971"/>
    </row>
    <row r="60" spans="1:10">
      <c r="A60" s="987"/>
      <c r="B60" s="988"/>
      <c r="C60" s="988"/>
      <c r="D60" s="988"/>
      <c r="E60" s="1634" t="s">
        <v>3247</v>
      </c>
      <c r="F60" s="1634"/>
      <c r="G60" s="1634"/>
      <c r="H60" s="1635"/>
      <c r="I60" s="989">
        <f>SUM(I43:I59)</f>
        <v>0</v>
      </c>
    </row>
    <row r="61" spans="1:10" s="956" customFormat="1" ht="15" customHeight="1">
      <c r="A61" s="972"/>
      <c r="B61" s="1002" t="s">
        <v>4192</v>
      </c>
      <c r="C61" s="979"/>
      <c r="D61" s="980"/>
      <c r="E61" s="981"/>
      <c r="F61" s="982"/>
      <c r="G61" s="983"/>
      <c r="H61" s="984"/>
      <c r="I61" s="156"/>
      <c r="J61" s="971"/>
    </row>
    <row r="62" spans="1:10" s="956" customFormat="1" ht="15" customHeight="1">
      <c r="A62" s="972" t="s">
        <v>3528</v>
      </c>
      <c r="B62" s="978" t="s">
        <v>4193</v>
      </c>
      <c r="C62" s="979"/>
      <c r="D62" s="980"/>
      <c r="E62" s="981"/>
      <c r="F62" s="982"/>
      <c r="G62" s="983"/>
      <c r="H62" s="984"/>
      <c r="I62" s="156"/>
      <c r="J62" s="971"/>
    </row>
    <row r="63" spans="1:10" s="956" customFormat="1" ht="15" customHeight="1">
      <c r="A63" s="972"/>
      <c r="B63" s="1003" t="s">
        <v>4194</v>
      </c>
      <c r="C63" s="979"/>
      <c r="D63" s="980"/>
      <c r="E63" s="981">
        <v>1</v>
      </c>
      <c r="F63" s="982" t="s">
        <v>2333</v>
      </c>
      <c r="G63" s="983"/>
      <c r="H63" s="984">
        <f>'ANALISA ME'!K1445</f>
        <v>0</v>
      </c>
      <c r="I63" s="156">
        <f t="shared" ref="I63:I67" si="5">H63*E63</f>
        <v>0</v>
      </c>
      <c r="J63" s="971"/>
    </row>
    <row r="64" spans="1:10" s="956" customFormat="1" ht="15" customHeight="1">
      <c r="A64" s="972"/>
      <c r="B64" s="1004" t="s">
        <v>4195</v>
      </c>
      <c r="C64" s="979"/>
      <c r="D64" s="980"/>
      <c r="E64" s="981">
        <v>1</v>
      </c>
      <c r="F64" s="982" t="s">
        <v>2333</v>
      </c>
      <c r="G64" s="983"/>
      <c r="H64" s="984">
        <f>'ANALISA ME'!K1438</f>
        <v>0</v>
      </c>
      <c r="I64" s="156">
        <f t="shared" si="5"/>
        <v>0</v>
      </c>
      <c r="J64" s="971"/>
    </row>
    <row r="65" spans="1:10" s="956" customFormat="1" ht="15" customHeight="1">
      <c r="A65" s="972"/>
      <c r="B65" s="1004" t="s">
        <v>4196</v>
      </c>
      <c r="C65" s="979"/>
      <c r="D65" s="980"/>
      <c r="E65" s="981">
        <v>1</v>
      </c>
      <c r="F65" s="982" t="s">
        <v>215</v>
      </c>
      <c r="G65" s="983"/>
      <c r="H65" s="984">
        <f>'ANALISA ME'!K1391</f>
        <v>0</v>
      </c>
      <c r="I65" s="156">
        <f t="shared" si="5"/>
        <v>0</v>
      </c>
      <c r="J65" s="971"/>
    </row>
    <row r="66" spans="1:10" s="956" customFormat="1" ht="15" customHeight="1">
      <c r="A66" s="972"/>
      <c r="B66" s="1003" t="s">
        <v>4197</v>
      </c>
      <c r="C66" s="979"/>
      <c r="D66" s="980"/>
      <c r="E66" s="981">
        <v>7</v>
      </c>
      <c r="F66" s="982" t="s">
        <v>259</v>
      </c>
      <c r="G66" s="983"/>
      <c r="H66" s="984">
        <f>'ANALISA ME'!K1409</f>
        <v>0</v>
      </c>
      <c r="I66" s="156">
        <f t="shared" si="5"/>
        <v>0</v>
      </c>
      <c r="J66" s="971"/>
    </row>
    <row r="67" spans="1:10" s="956" customFormat="1" ht="15" customHeight="1">
      <c r="A67" s="972"/>
      <c r="B67" s="1005" t="s">
        <v>4198</v>
      </c>
      <c r="C67" s="979"/>
      <c r="D67" s="980"/>
      <c r="E67" s="981">
        <f>SUM(E66:E66)</f>
        <v>7</v>
      </c>
      <c r="F67" s="982" t="s">
        <v>3256</v>
      </c>
      <c r="G67" s="983"/>
      <c r="H67" s="984">
        <f>'ANALISA ME'!K1399</f>
        <v>0</v>
      </c>
      <c r="I67" s="156">
        <f t="shared" si="5"/>
        <v>0</v>
      </c>
      <c r="J67" s="971"/>
    </row>
    <row r="68" spans="1:10">
      <c r="A68" s="987"/>
      <c r="B68" s="988"/>
      <c r="C68" s="988"/>
      <c r="D68" s="988"/>
      <c r="E68" s="1634" t="s">
        <v>3247</v>
      </c>
      <c r="F68" s="1634"/>
      <c r="G68" s="1634"/>
      <c r="H68" s="1635"/>
      <c r="I68" s="989">
        <f>SUM(I63:I67)</f>
        <v>0</v>
      </c>
    </row>
    <row r="69" spans="1:10" s="956" customFormat="1" ht="15" customHeight="1">
      <c r="A69" s="972" t="s">
        <v>3529</v>
      </c>
      <c r="B69" s="1006" t="s">
        <v>4199</v>
      </c>
      <c r="C69" s="979"/>
      <c r="D69" s="980"/>
      <c r="E69" s="981"/>
      <c r="F69" s="982"/>
      <c r="G69" s="983"/>
      <c r="H69" s="984"/>
      <c r="I69" s="156"/>
      <c r="J69" s="971"/>
    </row>
    <row r="70" spans="1:10" s="956" customFormat="1" ht="15" customHeight="1">
      <c r="A70" s="972"/>
      <c r="B70" s="1004" t="s">
        <v>4200</v>
      </c>
      <c r="C70" s="979"/>
      <c r="D70" s="980"/>
      <c r="E70" s="981">
        <v>1</v>
      </c>
      <c r="F70" s="982" t="s">
        <v>215</v>
      </c>
      <c r="G70" s="983"/>
      <c r="H70" s="1007">
        <v>0</v>
      </c>
      <c r="I70" s="156">
        <f t="shared" ref="I70:I83" si="6">H70*E70</f>
        <v>0</v>
      </c>
      <c r="J70" s="971"/>
    </row>
    <row r="71" spans="1:10" s="956" customFormat="1" ht="15" customHeight="1">
      <c r="A71" s="972"/>
      <c r="B71" s="1004" t="s">
        <v>4201</v>
      </c>
      <c r="C71" s="979"/>
      <c r="D71" s="980"/>
      <c r="E71" s="981">
        <v>1</v>
      </c>
      <c r="F71" s="982" t="s">
        <v>215</v>
      </c>
      <c r="G71" s="983"/>
      <c r="H71" s="1007">
        <v>0</v>
      </c>
      <c r="I71" s="156">
        <f t="shared" si="6"/>
        <v>0</v>
      </c>
      <c r="J71" s="971"/>
    </row>
    <row r="72" spans="1:10" s="956" customFormat="1" ht="15" customHeight="1">
      <c r="A72" s="972"/>
      <c r="B72" s="1004" t="s">
        <v>4202</v>
      </c>
      <c r="C72" s="979"/>
      <c r="D72" s="980"/>
      <c r="E72" s="981">
        <v>1</v>
      </c>
      <c r="F72" s="982" t="s">
        <v>215</v>
      </c>
      <c r="G72" s="983"/>
      <c r="H72" s="1007">
        <v>0</v>
      </c>
      <c r="I72" s="156">
        <f t="shared" si="6"/>
        <v>0</v>
      </c>
      <c r="J72" s="971"/>
    </row>
    <row r="73" spans="1:10" s="956" customFormat="1" ht="15" customHeight="1">
      <c r="A73" s="972"/>
      <c r="B73" s="1004" t="s">
        <v>4203</v>
      </c>
      <c r="C73" s="979"/>
      <c r="D73" s="980"/>
      <c r="E73" s="981">
        <v>1</v>
      </c>
      <c r="F73" s="982" t="s">
        <v>215</v>
      </c>
      <c r="G73" s="983"/>
      <c r="H73" s="1007">
        <v>0</v>
      </c>
      <c r="I73" s="156">
        <f t="shared" si="6"/>
        <v>0</v>
      </c>
      <c r="J73" s="971"/>
    </row>
    <row r="74" spans="1:10" s="956" customFormat="1" ht="15" customHeight="1">
      <c r="A74" s="972"/>
      <c r="B74" s="1004" t="s">
        <v>4204</v>
      </c>
      <c r="C74" s="979"/>
      <c r="D74" s="980"/>
      <c r="E74" s="981">
        <v>1</v>
      </c>
      <c r="F74" s="982" t="s">
        <v>215</v>
      </c>
      <c r="G74" s="983"/>
      <c r="H74" s="1007">
        <v>0</v>
      </c>
      <c r="I74" s="156">
        <f t="shared" si="6"/>
        <v>0</v>
      </c>
      <c r="J74" s="971"/>
    </row>
    <row r="75" spans="1:10" s="956" customFormat="1" ht="45" customHeight="1">
      <c r="A75" s="972"/>
      <c r="B75" s="1648" t="s">
        <v>4205</v>
      </c>
      <c r="C75" s="1649"/>
      <c r="D75" s="1650"/>
      <c r="E75" s="981">
        <v>1</v>
      </c>
      <c r="F75" s="982" t="s">
        <v>215</v>
      </c>
      <c r="G75" s="983"/>
      <c r="H75" s="1007">
        <v>0</v>
      </c>
      <c r="I75" s="156">
        <f t="shared" si="6"/>
        <v>0</v>
      </c>
      <c r="J75" s="971"/>
    </row>
    <row r="76" spans="1:10" s="956" customFormat="1" ht="15" customHeight="1">
      <c r="A76" s="972"/>
      <c r="B76" s="1008" t="s">
        <v>4206</v>
      </c>
      <c r="C76" s="979"/>
      <c r="D76" s="980"/>
      <c r="E76" s="981">
        <v>1</v>
      </c>
      <c r="F76" s="982" t="s">
        <v>215</v>
      </c>
      <c r="G76" s="983"/>
      <c r="H76" s="1007">
        <v>0</v>
      </c>
      <c r="I76" s="156">
        <f t="shared" si="6"/>
        <v>0</v>
      </c>
      <c r="J76" s="971"/>
    </row>
    <row r="77" spans="1:10" s="956" customFormat="1" ht="15" customHeight="1">
      <c r="A77" s="972"/>
      <c r="B77" s="1008" t="s">
        <v>4207</v>
      </c>
      <c r="C77" s="979"/>
      <c r="D77" s="980"/>
      <c r="E77" s="981">
        <v>1</v>
      </c>
      <c r="F77" s="982" t="s">
        <v>215</v>
      </c>
      <c r="G77" s="983"/>
      <c r="H77" s="1007">
        <v>0</v>
      </c>
      <c r="I77" s="156">
        <f t="shared" si="6"/>
        <v>0</v>
      </c>
      <c r="J77" s="971"/>
    </row>
    <row r="78" spans="1:10" s="956" customFormat="1" ht="15" customHeight="1">
      <c r="A78" s="972"/>
      <c r="B78" s="1008" t="s">
        <v>4208</v>
      </c>
      <c r="C78" s="979"/>
      <c r="D78" s="980"/>
      <c r="E78" s="981">
        <v>2</v>
      </c>
      <c r="F78" s="982" t="s">
        <v>215</v>
      </c>
      <c r="G78" s="983"/>
      <c r="H78" s="1007">
        <v>0</v>
      </c>
      <c r="I78" s="156">
        <f t="shared" si="6"/>
        <v>0</v>
      </c>
      <c r="J78" s="971"/>
    </row>
    <row r="79" spans="1:10" s="956" customFormat="1" ht="15" customHeight="1">
      <c r="A79" s="972"/>
      <c r="B79" s="1004" t="s">
        <v>4209</v>
      </c>
      <c r="C79" s="979"/>
      <c r="D79" s="980"/>
      <c r="E79" s="981">
        <v>2</v>
      </c>
      <c r="F79" s="982" t="s">
        <v>215</v>
      </c>
      <c r="G79" s="983"/>
      <c r="H79" s="1007">
        <v>0</v>
      </c>
      <c r="I79" s="156">
        <f t="shared" si="6"/>
        <v>0</v>
      </c>
      <c r="J79" s="971"/>
    </row>
    <row r="80" spans="1:10" s="956" customFormat="1" ht="15" customHeight="1">
      <c r="A80" s="972"/>
      <c r="B80" s="1004" t="s">
        <v>4210</v>
      </c>
      <c r="C80" s="979"/>
      <c r="D80" s="980"/>
      <c r="E80" s="981">
        <v>1</v>
      </c>
      <c r="F80" s="982" t="s">
        <v>215</v>
      </c>
      <c r="G80" s="983"/>
      <c r="H80" s="1007">
        <v>0</v>
      </c>
      <c r="I80" s="156">
        <f t="shared" si="6"/>
        <v>0</v>
      </c>
      <c r="J80" s="971"/>
    </row>
    <row r="81" spans="1:10" s="956" customFormat="1" ht="15" customHeight="1">
      <c r="A81" s="972"/>
      <c r="B81" s="1008" t="s">
        <v>4211</v>
      </c>
      <c r="C81" s="979"/>
      <c r="D81" s="980"/>
      <c r="E81" s="981">
        <v>6</v>
      </c>
      <c r="F81" s="982" t="s">
        <v>2333</v>
      </c>
      <c r="G81" s="983"/>
      <c r="H81" s="1007">
        <v>0</v>
      </c>
      <c r="I81" s="156">
        <f t="shared" si="6"/>
        <v>0</v>
      </c>
      <c r="J81" s="971"/>
    </row>
    <row r="82" spans="1:10" s="956" customFormat="1" ht="15" customHeight="1">
      <c r="A82" s="972"/>
      <c r="B82" s="1008" t="s">
        <v>4212</v>
      </c>
      <c r="C82" s="979"/>
      <c r="D82" s="980"/>
      <c r="E82" s="981">
        <v>3</v>
      </c>
      <c r="F82" s="982" t="s">
        <v>259</v>
      </c>
      <c r="G82" s="983"/>
      <c r="H82" s="1007">
        <v>0</v>
      </c>
      <c r="I82" s="156">
        <f t="shared" si="6"/>
        <v>0</v>
      </c>
      <c r="J82" s="971"/>
    </row>
    <row r="83" spans="1:10" s="956" customFormat="1" ht="15" customHeight="1">
      <c r="A83" s="972"/>
      <c r="B83" s="1008" t="s">
        <v>4213</v>
      </c>
      <c r="C83" s="979"/>
      <c r="D83" s="980"/>
      <c r="E83" s="981">
        <f>E82+E81</f>
        <v>9</v>
      </c>
      <c r="F83" s="982" t="s">
        <v>3256</v>
      </c>
      <c r="G83" s="983"/>
      <c r="H83" s="1007">
        <v>0</v>
      </c>
      <c r="I83" s="156">
        <f t="shared" si="6"/>
        <v>0</v>
      </c>
      <c r="J83" s="971"/>
    </row>
    <row r="84" spans="1:10">
      <c r="A84" s="987"/>
      <c r="B84" s="988"/>
      <c r="C84" s="988"/>
      <c r="D84" s="988"/>
      <c r="E84" s="1634" t="s">
        <v>3247</v>
      </c>
      <c r="F84" s="1634"/>
      <c r="G84" s="1634"/>
      <c r="H84" s="1635"/>
      <c r="I84" s="989">
        <f>SUM(I70:I83)</f>
        <v>0</v>
      </c>
    </row>
    <row r="85" spans="1:10" s="956" customFormat="1" ht="15" customHeight="1">
      <c r="A85" s="972"/>
      <c r="B85" s="1002" t="s">
        <v>4214</v>
      </c>
      <c r="C85" s="979"/>
      <c r="D85" s="980"/>
      <c r="E85" s="981"/>
      <c r="F85" s="982"/>
      <c r="G85" s="983"/>
      <c r="H85" s="1009"/>
      <c r="I85" s="144"/>
      <c r="J85" s="971"/>
    </row>
    <row r="86" spans="1:10" s="956" customFormat="1" ht="15" customHeight="1">
      <c r="A86" s="972" t="s">
        <v>3530</v>
      </c>
      <c r="B86" s="1010" t="s">
        <v>4215</v>
      </c>
      <c r="C86" s="979"/>
      <c r="D86" s="980"/>
      <c r="E86" s="1011"/>
      <c r="F86" s="982"/>
      <c r="G86" s="983"/>
      <c r="H86" s="1009"/>
      <c r="I86" s="144"/>
      <c r="J86" s="971"/>
    </row>
    <row r="87" spans="1:10" s="956" customFormat="1" ht="45" customHeight="1">
      <c r="A87" s="972"/>
      <c r="B87" s="1642" t="s">
        <v>4216</v>
      </c>
      <c r="C87" s="1643"/>
      <c r="D87" s="1644"/>
      <c r="E87" s="1011"/>
      <c r="F87" s="982"/>
      <c r="G87" s="983"/>
      <c r="H87" s="1009"/>
      <c r="I87" s="144"/>
      <c r="J87" s="971"/>
    </row>
    <row r="88" spans="1:10" s="1017" customFormat="1" ht="15" customHeight="1">
      <c r="A88" s="972"/>
      <c r="B88" s="1012" t="s">
        <v>4217</v>
      </c>
      <c r="C88" s="979"/>
      <c r="D88" s="980"/>
      <c r="E88" s="1013"/>
      <c r="F88" s="974"/>
      <c r="G88" s="1014"/>
      <c r="H88" s="1015"/>
      <c r="I88" s="142"/>
      <c r="J88" s="1016"/>
    </row>
    <row r="89" spans="1:10" s="956" customFormat="1" ht="15" customHeight="1">
      <c r="A89" s="972"/>
      <c r="B89" s="1018" t="s">
        <v>4218</v>
      </c>
      <c r="C89" s="979"/>
      <c r="D89" s="980"/>
      <c r="E89" s="981">
        <v>2</v>
      </c>
      <c r="F89" s="982" t="s">
        <v>252</v>
      </c>
      <c r="G89" s="983"/>
      <c r="H89" s="1007">
        <f>'ANALISA ME'!K746</f>
        <v>0</v>
      </c>
      <c r="I89" s="156">
        <f t="shared" ref="I89:I97" si="7">H89*E89</f>
        <v>0</v>
      </c>
      <c r="J89" s="971"/>
    </row>
    <row r="90" spans="1:10" s="956" customFormat="1" ht="15" customHeight="1">
      <c r="A90" s="972"/>
      <c r="B90" s="1018" t="s">
        <v>4219</v>
      </c>
      <c r="C90" s="979"/>
      <c r="D90" s="980"/>
      <c r="E90" s="981">
        <v>1</v>
      </c>
      <c r="F90" s="982" t="s">
        <v>252</v>
      </c>
      <c r="G90" s="983"/>
      <c r="H90" s="1007">
        <f>'ANALISA ME'!K771</f>
        <v>0</v>
      </c>
      <c r="I90" s="156">
        <f t="shared" si="7"/>
        <v>0</v>
      </c>
      <c r="J90" s="971"/>
    </row>
    <row r="91" spans="1:10" s="956" customFormat="1" ht="15" customHeight="1">
      <c r="A91" s="972"/>
      <c r="B91" s="1018" t="s">
        <v>4220</v>
      </c>
      <c r="C91" s="979"/>
      <c r="D91" s="980"/>
      <c r="E91" s="981">
        <v>4</v>
      </c>
      <c r="F91" s="982" t="s">
        <v>252</v>
      </c>
      <c r="G91" s="983"/>
      <c r="H91" s="1007">
        <f>'ANALISA ME'!K796</f>
        <v>0</v>
      </c>
      <c r="I91" s="156">
        <f t="shared" si="7"/>
        <v>0</v>
      </c>
      <c r="J91" s="971"/>
    </row>
    <row r="92" spans="1:10" s="956" customFormat="1" ht="15" customHeight="1">
      <c r="A92" s="972"/>
      <c r="B92" s="1018" t="s">
        <v>4221</v>
      </c>
      <c r="C92" s="979"/>
      <c r="D92" s="980"/>
      <c r="E92" s="981">
        <v>7</v>
      </c>
      <c r="F92" s="982" t="s">
        <v>252</v>
      </c>
      <c r="G92" s="983"/>
      <c r="H92" s="1007">
        <f>'ANALISA ME'!K821</f>
        <v>0</v>
      </c>
      <c r="I92" s="156">
        <f t="shared" si="7"/>
        <v>0</v>
      </c>
      <c r="J92" s="971"/>
    </row>
    <row r="93" spans="1:10" s="956" customFormat="1" ht="15" customHeight="1">
      <c r="A93" s="972"/>
      <c r="B93" s="1018" t="s">
        <v>4222</v>
      </c>
      <c r="C93" s="979"/>
      <c r="D93" s="980"/>
      <c r="E93" s="981">
        <f>SUM(E89:E91)</f>
        <v>7</v>
      </c>
      <c r="F93" s="982" t="s">
        <v>259</v>
      </c>
      <c r="G93" s="983"/>
      <c r="H93" s="1019">
        <f>'ANALISA ME'!K125</f>
        <v>0</v>
      </c>
      <c r="I93" s="156">
        <f t="shared" si="7"/>
        <v>0</v>
      </c>
      <c r="J93" s="971"/>
    </row>
    <row r="94" spans="1:10" s="956" customFormat="1" ht="15" customHeight="1">
      <c r="A94" s="972"/>
      <c r="B94" s="1018" t="s">
        <v>4223</v>
      </c>
      <c r="C94" s="979"/>
      <c r="D94" s="980"/>
      <c r="E94" s="981">
        <f>SUM(E89:E92)</f>
        <v>14</v>
      </c>
      <c r="F94" s="982" t="s">
        <v>3256</v>
      </c>
      <c r="G94" s="983"/>
      <c r="H94" s="1019">
        <f>'ANALISA ME'!K146</f>
        <v>0</v>
      </c>
      <c r="I94" s="156">
        <f t="shared" si="7"/>
        <v>0</v>
      </c>
      <c r="J94" s="971"/>
    </row>
    <row r="95" spans="1:10" s="956" customFormat="1" ht="15" customHeight="1">
      <c r="A95" s="985"/>
      <c r="B95" s="1018" t="s">
        <v>4224</v>
      </c>
      <c r="C95" s="999"/>
      <c r="D95" s="1000"/>
      <c r="E95" s="1011">
        <v>21</v>
      </c>
      <c r="F95" s="982" t="s">
        <v>113</v>
      </c>
      <c r="G95" s="983"/>
      <c r="H95" s="984">
        <v>0</v>
      </c>
      <c r="I95" s="156">
        <f t="shared" si="7"/>
        <v>0</v>
      </c>
      <c r="J95" s="971"/>
    </row>
    <row r="96" spans="1:10" s="956" customFormat="1" ht="15" customHeight="1">
      <c r="A96" s="985"/>
      <c r="B96" s="1018" t="s">
        <v>4225</v>
      </c>
      <c r="C96" s="999"/>
      <c r="D96" s="1000"/>
      <c r="E96" s="1011">
        <v>37</v>
      </c>
      <c r="F96" s="982" t="s">
        <v>113</v>
      </c>
      <c r="G96" s="983"/>
      <c r="H96" s="984">
        <v>0</v>
      </c>
      <c r="I96" s="156">
        <f t="shared" si="7"/>
        <v>0</v>
      </c>
      <c r="J96" s="971"/>
    </row>
    <row r="97" spans="1:10" s="956" customFormat="1" ht="15" customHeight="1">
      <c r="A97" s="985"/>
      <c r="B97" s="1018" t="s">
        <v>4226</v>
      </c>
      <c r="C97" s="999"/>
      <c r="D97" s="1000"/>
      <c r="E97" s="1011">
        <v>24</v>
      </c>
      <c r="F97" s="982" t="s">
        <v>113</v>
      </c>
      <c r="G97" s="983"/>
      <c r="H97" s="1020">
        <v>0</v>
      </c>
      <c r="I97" s="156">
        <f t="shared" si="7"/>
        <v>0</v>
      </c>
      <c r="J97" s="971"/>
    </row>
    <row r="98" spans="1:10">
      <c r="A98" s="987"/>
      <c r="B98" s="988"/>
      <c r="C98" s="988"/>
      <c r="D98" s="988"/>
      <c r="E98" s="1634" t="s">
        <v>3247</v>
      </c>
      <c r="F98" s="1634"/>
      <c r="G98" s="1634"/>
      <c r="H98" s="1635"/>
      <c r="I98" s="989">
        <f>SUM(I89:I97)</f>
        <v>0</v>
      </c>
    </row>
    <row r="99" spans="1:10" s="956" customFormat="1" ht="15" customHeight="1">
      <c r="A99" s="972" t="s">
        <v>3777</v>
      </c>
      <c r="B99" s="1010" t="s">
        <v>4227</v>
      </c>
      <c r="C99" s="979"/>
      <c r="D99" s="980"/>
      <c r="E99" s="1011"/>
      <c r="F99" s="982"/>
      <c r="G99" s="983"/>
      <c r="H99" s="1009"/>
      <c r="I99" s="144"/>
      <c r="J99" s="971"/>
    </row>
    <row r="100" spans="1:10" s="956" customFormat="1" ht="15" customHeight="1">
      <c r="A100" s="972"/>
      <c r="B100" s="1021" t="s">
        <v>4228</v>
      </c>
      <c r="C100" s="979"/>
      <c r="D100" s="980"/>
      <c r="E100" s="1011">
        <v>1</v>
      </c>
      <c r="F100" s="982" t="s">
        <v>3257</v>
      </c>
      <c r="G100" s="983"/>
      <c r="H100" s="1022">
        <v>0</v>
      </c>
      <c r="I100" s="156">
        <f t="shared" ref="I100:I113" si="8">H100*E100</f>
        <v>0</v>
      </c>
      <c r="J100" s="971"/>
    </row>
    <row r="101" spans="1:10" s="956" customFormat="1" ht="15" customHeight="1">
      <c r="A101" s="972"/>
      <c r="B101" s="1021" t="s">
        <v>4229</v>
      </c>
      <c r="C101" s="979"/>
      <c r="D101" s="980"/>
      <c r="E101" s="1023">
        <v>1</v>
      </c>
      <c r="F101" s="982" t="s">
        <v>2333</v>
      </c>
      <c r="G101" s="983"/>
      <c r="H101" s="1022">
        <v>0</v>
      </c>
      <c r="I101" s="156">
        <f t="shared" si="8"/>
        <v>0</v>
      </c>
      <c r="J101" s="971"/>
    </row>
    <row r="102" spans="1:10" s="956" customFormat="1" ht="16.5" customHeight="1">
      <c r="A102" s="972"/>
      <c r="B102" s="1645" t="s">
        <v>4230</v>
      </c>
      <c r="C102" s="1646"/>
      <c r="D102" s="1647"/>
      <c r="E102" s="1011">
        <v>2</v>
      </c>
      <c r="F102" s="982" t="s">
        <v>2333</v>
      </c>
      <c r="G102" s="983"/>
      <c r="H102" s="1022">
        <v>0</v>
      </c>
      <c r="I102" s="156">
        <f t="shared" si="8"/>
        <v>0</v>
      </c>
      <c r="J102" s="971"/>
    </row>
    <row r="103" spans="1:10" s="956" customFormat="1" ht="15" customHeight="1">
      <c r="A103" s="972"/>
      <c r="B103" s="1018" t="s">
        <v>4231</v>
      </c>
      <c r="C103" s="979"/>
      <c r="D103" s="980"/>
      <c r="E103" s="1011">
        <v>2</v>
      </c>
      <c r="F103" s="982" t="s">
        <v>259</v>
      </c>
      <c r="G103" s="983"/>
      <c r="H103" s="1022">
        <v>0</v>
      </c>
      <c r="I103" s="156">
        <f t="shared" si="8"/>
        <v>0</v>
      </c>
      <c r="J103" s="971"/>
    </row>
    <row r="104" spans="1:10" s="956" customFormat="1" ht="15" customHeight="1">
      <c r="A104" s="972"/>
      <c r="B104" s="1018" t="s">
        <v>4232</v>
      </c>
      <c r="C104" s="979"/>
      <c r="D104" s="980"/>
      <c r="E104" s="1011">
        <v>1</v>
      </c>
      <c r="F104" s="982" t="s">
        <v>259</v>
      </c>
      <c r="G104" s="983"/>
      <c r="H104" s="1022">
        <v>0</v>
      </c>
      <c r="I104" s="156">
        <f t="shared" si="8"/>
        <v>0</v>
      </c>
      <c r="J104" s="971"/>
    </row>
    <row r="105" spans="1:10" s="956" customFormat="1" ht="15" customHeight="1">
      <c r="A105" s="972"/>
      <c r="B105" s="1018" t="s">
        <v>4233</v>
      </c>
      <c r="C105" s="979"/>
      <c r="D105" s="980"/>
      <c r="E105" s="1011">
        <v>1</v>
      </c>
      <c r="F105" s="982" t="s">
        <v>259</v>
      </c>
      <c r="G105" s="983"/>
      <c r="H105" s="1022">
        <v>0</v>
      </c>
      <c r="I105" s="156">
        <f t="shared" si="8"/>
        <v>0</v>
      </c>
      <c r="J105" s="971"/>
    </row>
    <row r="106" spans="1:10" s="956" customFormat="1" ht="15" customHeight="1">
      <c r="A106" s="972"/>
      <c r="B106" s="1018" t="s">
        <v>4234</v>
      </c>
      <c r="C106" s="979"/>
      <c r="D106" s="980"/>
      <c r="E106" s="1011">
        <v>1</v>
      </c>
      <c r="F106" s="982" t="s">
        <v>259</v>
      </c>
      <c r="G106" s="983"/>
      <c r="H106" s="1022">
        <v>0</v>
      </c>
      <c r="I106" s="156">
        <f t="shared" si="8"/>
        <v>0</v>
      </c>
      <c r="J106" s="971"/>
    </row>
    <row r="107" spans="1:10" s="956" customFormat="1" ht="15" customHeight="1">
      <c r="A107" s="972"/>
      <c r="B107" s="1018" t="s">
        <v>4235</v>
      </c>
      <c r="C107" s="979"/>
      <c r="D107" s="980"/>
      <c r="E107" s="1011">
        <v>1</v>
      </c>
      <c r="F107" s="982" t="s">
        <v>215</v>
      </c>
      <c r="G107" s="983"/>
      <c r="H107" s="1022">
        <v>0</v>
      </c>
      <c r="I107" s="156">
        <f t="shared" si="8"/>
        <v>0</v>
      </c>
      <c r="J107" s="971"/>
    </row>
    <row r="108" spans="1:10" s="956" customFormat="1" ht="15" customHeight="1">
      <c r="A108" s="972"/>
      <c r="B108" s="1018" t="s">
        <v>4236</v>
      </c>
      <c r="C108" s="979"/>
      <c r="D108" s="980"/>
      <c r="E108" s="1011">
        <v>1</v>
      </c>
      <c r="F108" s="982" t="s">
        <v>215</v>
      </c>
      <c r="G108" s="983"/>
      <c r="H108" s="1022">
        <v>0</v>
      </c>
      <c r="I108" s="156">
        <f t="shared" si="8"/>
        <v>0</v>
      </c>
      <c r="J108" s="971"/>
    </row>
    <row r="109" spans="1:10" s="956" customFormat="1" ht="15" customHeight="1">
      <c r="A109" s="985"/>
      <c r="B109" s="1010" t="s">
        <v>4237</v>
      </c>
      <c r="C109" s="999"/>
      <c r="D109" s="1000"/>
      <c r="E109" s="1011"/>
      <c r="F109" s="982"/>
      <c r="G109" s="983"/>
      <c r="H109" s="984"/>
      <c r="I109" s="156"/>
      <c r="J109" s="971"/>
    </row>
    <row r="110" spans="1:10" s="956" customFormat="1" ht="15" customHeight="1">
      <c r="A110" s="985"/>
      <c r="B110" s="1018" t="s">
        <v>4238</v>
      </c>
      <c r="C110" s="999"/>
      <c r="D110" s="1000"/>
      <c r="E110" s="1011">
        <v>38</v>
      </c>
      <c r="F110" s="982" t="s">
        <v>113</v>
      </c>
      <c r="G110" s="983"/>
      <c r="H110" s="984">
        <f>'ANALISA ME'!K1090</f>
        <v>0</v>
      </c>
      <c r="I110" s="156">
        <f t="shared" si="8"/>
        <v>0</v>
      </c>
      <c r="J110" s="971"/>
    </row>
    <row r="111" spans="1:10" s="956" customFormat="1" ht="15" customHeight="1">
      <c r="A111" s="985"/>
      <c r="B111" s="1018" t="s">
        <v>4239</v>
      </c>
      <c r="C111" s="999"/>
      <c r="D111" s="1000"/>
      <c r="E111" s="1011">
        <v>28</v>
      </c>
      <c r="F111" s="982" t="s">
        <v>113</v>
      </c>
      <c r="G111" s="983"/>
      <c r="H111" s="984">
        <f>'ANALISA ME'!K1108</f>
        <v>0</v>
      </c>
      <c r="I111" s="156">
        <f t="shared" si="8"/>
        <v>0</v>
      </c>
      <c r="J111" s="971"/>
    </row>
    <row r="112" spans="1:10" s="956" customFormat="1" ht="15" customHeight="1">
      <c r="A112" s="985"/>
      <c r="B112" s="1018" t="s">
        <v>4240</v>
      </c>
      <c r="C112" s="999"/>
      <c r="D112" s="1000"/>
      <c r="E112" s="1011">
        <v>54</v>
      </c>
      <c r="F112" s="982" t="s">
        <v>113</v>
      </c>
      <c r="G112" s="983"/>
      <c r="H112" s="984">
        <f>'ANALISA ME'!K1126</f>
        <v>0</v>
      </c>
      <c r="I112" s="156">
        <f t="shared" si="8"/>
        <v>0</v>
      </c>
      <c r="J112" s="971"/>
    </row>
    <row r="113" spans="1:10" s="956" customFormat="1" ht="15" customHeight="1">
      <c r="A113" s="985"/>
      <c r="B113" s="1018" t="s">
        <v>4241</v>
      </c>
      <c r="C113" s="999"/>
      <c r="D113" s="1000"/>
      <c r="E113" s="1011">
        <v>28</v>
      </c>
      <c r="F113" s="982" t="s">
        <v>113</v>
      </c>
      <c r="G113" s="983"/>
      <c r="H113" s="984">
        <f>'ANALISA ME'!$K$1144</f>
        <v>0</v>
      </c>
      <c r="I113" s="156">
        <f t="shared" si="8"/>
        <v>0</v>
      </c>
      <c r="J113" s="971"/>
    </row>
    <row r="114" spans="1:10">
      <c r="A114" s="987"/>
      <c r="B114" s="988"/>
      <c r="C114" s="988"/>
      <c r="D114" s="988"/>
      <c r="E114" s="1634" t="s">
        <v>3247</v>
      </c>
      <c r="F114" s="1634"/>
      <c r="G114" s="1634"/>
      <c r="H114" s="1635"/>
      <c r="I114" s="989">
        <f>SUM(I100:I113)</f>
        <v>0</v>
      </c>
    </row>
    <row r="115" spans="1:10" s="956" customFormat="1" ht="15" customHeight="1">
      <c r="A115" s="972" t="s">
        <v>4027</v>
      </c>
      <c r="B115" s="1010" t="s">
        <v>4242</v>
      </c>
      <c r="C115" s="979"/>
      <c r="D115" s="980"/>
      <c r="E115" s="1011"/>
      <c r="F115" s="982"/>
      <c r="G115" s="983"/>
      <c r="H115" s="1009"/>
      <c r="I115" s="144"/>
      <c r="J115" s="971"/>
    </row>
    <row r="116" spans="1:10" s="956" customFormat="1" ht="15" customHeight="1">
      <c r="A116" s="985"/>
      <c r="B116" s="1024" t="s">
        <v>4243</v>
      </c>
      <c r="C116" s="979"/>
      <c r="D116" s="980"/>
      <c r="E116" s="1011">
        <v>1</v>
      </c>
      <c r="F116" s="982" t="s">
        <v>2333</v>
      </c>
      <c r="G116" s="983"/>
      <c r="H116" s="1022">
        <f>'ANALISA ME'!K952</f>
        <v>0</v>
      </c>
      <c r="I116" s="156">
        <f t="shared" ref="I116:I119" si="9">H116*E116</f>
        <v>0</v>
      </c>
      <c r="J116" s="971"/>
    </row>
    <row r="117" spans="1:10" s="956" customFormat="1" ht="15" customHeight="1">
      <c r="A117" s="985"/>
      <c r="B117" s="1024" t="s">
        <v>4244</v>
      </c>
      <c r="C117" s="979"/>
      <c r="D117" s="980"/>
      <c r="E117" s="1011">
        <v>1</v>
      </c>
      <c r="F117" s="982" t="s">
        <v>2333</v>
      </c>
      <c r="G117" s="983"/>
      <c r="H117" s="1022">
        <f>'ANALISA ME'!K934</f>
        <v>0</v>
      </c>
      <c r="I117" s="156">
        <f t="shared" si="9"/>
        <v>0</v>
      </c>
      <c r="J117" s="971"/>
    </row>
    <row r="118" spans="1:10" s="956" customFormat="1" ht="15" customHeight="1">
      <c r="A118" s="985"/>
      <c r="B118" s="1025" t="s">
        <v>4245</v>
      </c>
      <c r="C118" s="979"/>
      <c r="D118" s="980"/>
      <c r="E118" s="1011">
        <v>2</v>
      </c>
      <c r="F118" s="982" t="s">
        <v>2333</v>
      </c>
      <c r="G118" s="983"/>
      <c r="H118" s="984">
        <v>0</v>
      </c>
      <c r="I118" s="156">
        <f t="shared" si="9"/>
        <v>0</v>
      </c>
      <c r="J118" s="971"/>
    </row>
    <row r="119" spans="1:10" s="956" customFormat="1" ht="15" customHeight="1">
      <c r="A119" s="985"/>
      <c r="B119" s="1025" t="s">
        <v>4246</v>
      </c>
      <c r="C119" s="979"/>
      <c r="D119" s="980"/>
      <c r="E119" s="1011">
        <v>2</v>
      </c>
      <c r="F119" s="982" t="s">
        <v>2333</v>
      </c>
      <c r="G119" s="983"/>
      <c r="H119" s="1022">
        <v>0</v>
      </c>
      <c r="I119" s="156">
        <f t="shared" si="9"/>
        <v>0</v>
      </c>
      <c r="J119" s="971"/>
    </row>
    <row r="120" spans="1:10" s="956" customFormat="1" ht="15" customHeight="1">
      <c r="A120" s="985"/>
      <c r="B120" s="1018" t="s">
        <v>4247</v>
      </c>
      <c r="C120" s="979"/>
      <c r="D120" s="980"/>
      <c r="E120" s="1011">
        <f>29+14+10</f>
        <v>53</v>
      </c>
      <c r="F120" s="982" t="s">
        <v>113</v>
      </c>
      <c r="G120" s="983"/>
      <c r="H120" s="1022">
        <f>'ANALISA ME'!K1055</f>
        <v>0</v>
      </c>
      <c r="I120" s="156">
        <f>H120*E120</f>
        <v>0</v>
      </c>
      <c r="J120" s="971"/>
    </row>
    <row r="121" spans="1:10" s="956" customFormat="1" ht="15" customHeight="1">
      <c r="A121" s="985"/>
      <c r="B121" s="1018" t="s">
        <v>4248</v>
      </c>
      <c r="C121" s="979"/>
      <c r="D121" s="980"/>
      <c r="E121" s="1011">
        <v>17</v>
      </c>
      <c r="F121" s="982" t="s">
        <v>113</v>
      </c>
      <c r="G121" s="983"/>
      <c r="H121" s="1022">
        <f>'ANALISA ME'!K1038</f>
        <v>0</v>
      </c>
      <c r="I121" s="156">
        <f t="shared" ref="I121:I126" si="10">H121*E121</f>
        <v>0</v>
      </c>
      <c r="J121" s="971"/>
    </row>
    <row r="122" spans="1:10" s="956" customFormat="1" ht="15" customHeight="1">
      <c r="A122" s="985"/>
      <c r="B122" s="1018" t="s">
        <v>4249</v>
      </c>
      <c r="C122" s="979"/>
      <c r="D122" s="980"/>
      <c r="E122" s="1011">
        <v>16</v>
      </c>
      <c r="F122" s="982" t="s">
        <v>113</v>
      </c>
      <c r="G122" s="983"/>
      <c r="H122" s="1022">
        <f>'ANALISA ME'!K1020</f>
        <v>0</v>
      </c>
      <c r="I122" s="156">
        <f t="shared" si="10"/>
        <v>0</v>
      </c>
      <c r="J122" s="971"/>
    </row>
    <row r="123" spans="1:10" s="956" customFormat="1" ht="15" customHeight="1">
      <c r="A123" s="985"/>
      <c r="B123" s="1018" t="s">
        <v>4250</v>
      </c>
      <c r="C123" s="979"/>
      <c r="D123" s="980"/>
      <c r="E123" s="1011">
        <v>12</v>
      </c>
      <c r="F123" s="982" t="s">
        <v>113</v>
      </c>
      <c r="G123" s="983"/>
      <c r="H123" s="1022">
        <f>'ANALISA ME'!K1003</f>
        <v>0</v>
      </c>
      <c r="I123" s="156">
        <f t="shared" si="10"/>
        <v>0</v>
      </c>
      <c r="J123" s="971"/>
    </row>
    <row r="124" spans="1:10" s="956" customFormat="1" ht="15" customHeight="1">
      <c r="A124" s="985"/>
      <c r="B124" s="1018" t="s">
        <v>4251</v>
      </c>
      <c r="C124" s="979"/>
      <c r="D124" s="980"/>
      <c r="E124" s="1011">
        <v>1</v>
      </c>
      <c r="F124" s="982" t="s">
        <v>259</v>
      </c>
      <c r="G124" s="983"/>
      <c r="H124" s="984">
        <v>0</v>
      </c>
      <c r="I124" s="156">
        <f t="shared" si="10"/>
        <v>0</v>
      </c>
      <c r="J124" s="971"/>
    </row>
    <row r="125" spans="1:10" s="956" customFormat="1" ht="15" customHeight="1">
      <c r="A125" s="985"/>
      <c r="B125" s="1018" t="s">
        <v>4252</v>
      </c>
      <c r="C125" s="979"/>
      <c r="D125" s="980"/>
      <c r="E125" s="1011">
        <v>5</v>
      </c>
      <c r="F125" s="982" t="s">
        <v>259</v>
      </c>
      <c r="G125" s="983"/>
      <c r="H125" s="984">
        <v>0</v>
      </c>
      <c r="I125" s="156">
        <f t="shared" si="10"/>
        <v>0</v>
      </c>
      <c r="J125" s="971"/>
    </row>
    <row r="126" spans="1:10" s="956" customFormat="1" ht="15" customHeight="1">
      <c r="A126" s="985"/>
      <c r="B126" s="1018" t="s">
        <v>4253</v>
      </c>
      <c r="C126" s="979"/>
      <c r="D126" s="980"/>
      <c r="E126" s="1011">
        <v>3</v>
      </c>
      <c r="F126" s="982" t="s">
        <v>259</v>
      </c>
      <c r="G126" s="983"/>
      <c r="H126" s="984">
        <v>0</v>
      </c>
      <c r="I126" s="156">
        <f t="shared" si="10"/>
        <v>0</v>
      </c>
      <c r="J126" s="971"/>
    </row>
    <row r="127" spans="1:10">
      <c r="A127" s="987"/>
      <c r="B127" s="988"/>
      <c r="C127" s="988"/>
      <c r="D127" s="988"/>
      <c r="E127" s="1634" t="s">
        <v>3247</v>
      </c>
      <c r="F127" s="1634"/>
      <c r="G127" s="1634"/>
      <c r="H127" s="1635"/>
      <c r="I127" s="989">
        <f>SUM(I116:I126)</f>
        <v>0</v>
      </c>
    </row>
    <row r="128" spans="1:10" s="956" customFormat="1" ht="15" customHeight="1">
      <c r="A128" s="972" t="s">
        <v>4111</v>
      </c>
      <c r="B128" s="1010" t="s">
        <v>4254</v>
      </c>
      <c r="C128" s="979"/>
      <c r="D128" s="980"/>
      <c r="E128" s="1011"/>
      <c r="F128" s="982"/>
      <c r="G128" s="983"/>
      <c r="H128" s="1009"/>
      <c r="I128" s="144"/>
      <c r="J128" s="971"/>
    </row>
    <row r="129" spans="1:10" s="956" customFormat="1" ht="15" customHeight="1">
      <c r="A129" s="985"/>
      <c r="B129" s="1018" t="s">
        <v>4255</v>
      </c>
      <c r="C129" s="979"/>
      <c r="D129" s="980"/>
      <c r="E129" s="1011">
        <v>12</v>
      </c>
      <c r="F129" s="982" t="s">
        <v>259</v>
      </c>
      <c r="G129" s="983"/>
      <c r="H129" s="1022">
        <v>0</v>
      </c>
      <c r="I129" s="156">
        <f t="shared" ref="I129:I141" si="11">H129*E129</f>
        <v>0</v>
      </c>
      <c r="J129" s="971"/>
    </row>
    <row r="130" spans="1:10" s="956" customFormat="1" ht="15" customHeight="1">
      <c r="A130" s="985"/>
      <c r="B130" s="1018" t="s">
        <v>4247</v>
      </c>
      <c r="C130" s="999"/>
      <c r="D130" s="1000"/>
      <c r="E130" s="1011">
        <f>62+8</f>
        <v>70</v>
      </c>
      <c r="F130" s="982" t="s">
        <v>113</v>
      </c>
      <c r="G130" s="983"/>
      <c r="H130" s="984">
        <f>H120</f>
        <v>0</v>
      </c>
      <c r="I130" s="156">
        <f t="shared" si="11"/>
        <v>0</v>
      </c>
      <c r="J130" s="971"/>
    </row>
    <row r="131" spans="1:10" s="956" customFormat="1" ht="15" customHeight="1">
      <c r="A131" s="985"/>
      <c r="B131" s="1025" t="s">
        <v>4245</v>
      </c>
      <c r="C131" s="979"/>
      <c r="D131" s="980"/>
      <c r="E131" s="1011">
        <v>2</v>
      </c>
      <c r="F131" s="982" t="s">
        <v>2333</v>
      </c>
      <c r="G131" s="983"/>
      <c r="H131" s="984">
        <v>0</v>
      </c>
      <c r="I131" s="156">
        <f t="shared" si="11"/>
        <v>0</v>
      </c>
      <c r="J131" s="971"/>
    </row>
    <row r="132" spans="1:10" s="956" customFormat="1" ht="15" customHeight="1">
      <c r="A132" s="985"/>
      <c r="B132" s="1018" t="s">
        <v>4256</v>
      </c>
      <c r="C132" s="999"/>
      <c r="D132" s="1000"/>
      <c r="E132" s="1011">
        <v>2</v>
      </c>
      <c r="F132" s="982" t="s">
        <v>2333</v>
      </c>
      <c r="G132" s="983"/>
      <c r="H132" s="994" t="s">
        <v>4257</v>
      </c>
      <c r="I132" s="156"/>
      <c r="J132" s="971"/>
    </row>
    <row r="133" spans="1:10" s="956" customFormat="1" ht="15" customHeight="1">
      <c r="A133" s="985"/>
      <c r="B133" s="1018" t="s">
        <v>4258</v>
      </c>
      <c r="C133" s="999"/>
      <c r="D133" s="1000"/>
      <c r="E133" s="1011">
        <v>2</v>
      </c>
      <c r="F133" s="982" t="s">
        <v>2333</v>
      </c>
      <c r="G133" s="983"/>
      <c r="H133" s="984">
        <v>0</v>
      </c>
      <c r="I133" s="156">
        <f t="shared" si="11"/>
        <v>0</v>
      </c>
      <c r="J133" s="971"/>
    </row>
    <row r="134" spans="1:10" s="956" customFormat="1" ht="15" customHeight="1">
      <c r="A134" s="985"/>
      <c r="B134" s="1018" t="s">
        <v>4259</v>
      </c>
      <c r="C134" s="999"/>
      <c r="D134" s="1000"/>
      <c r="E134" s="1011">
        <v>55</v>
      </c>
      <c r="F134" s="982" t="s">
        <v>113</v>
      </c>
      <c r="G134" s="983"/>
      <c r="H134" s="984">
        <f>'ANALISA ME'!K433</f>
        <v>0</v>
      </c>
      <c r="I134" s="156">
        <f t="shared" si="11"/>
        <v>0</v>
      </c>
      <c r="J134" s="971"/>
    </row>
    <row r="135" spans="1:10" s="956" customFormat="1" ht="15" customHeight="1">
      <c r="A135" s="985"/>
      <c r="B135" s="1018" t="s">
        <v>4260</v>
      </c>
      <c r="C135" s="999"/>
      <c r="D135" s="1000"/>
      <c r="E135" s="1011">
        <v>60</v>
      </c>
      <c r="F135" s="982" t="s">
        <v>113</v>
      </c>
      <c r="G135" s="983"/>
      <c r="H135" s="984">
        <f>H129</f>
        <v>0</v>
      </c>
      <c r="I135" s="156">
        <f t="shared" si="11"/>
        <v>0</v>
      </c>
      <c r="J135" s="971"/>
    </row>
    <row r="136" spans="1:10" s="956" customFormat="1" ht="15" customHeight="1">
      <c r="A136" s="985"/>
      <c r="B136" s="1018" t="s">
        <v>4261</v>
      </c>
      <c r="C136" s="999"/>
      <c r="D136" s="1000"/>
      <c r="E136" s="1011">
        <v>2</v>
      </c>
      <c r="F136" s="982" t="s">
        <v>2333</v>
      </c>
      <c r="G136" s="983"/>
      <c r="H136" s="984">
        <v>0</v>
      </c>
      <c r="I136" s="156">
        <f t="shared" si="11"/>
        <v>0</v>
      </c>
      <c r="J136" s="971"/>
    </row>
    <row r="137" spans="1:10" s="956" customFormat="1" ht="15" customHeight="1">
      <c r="A137" s="985"/>
      <c r="B137" s="1018" t="s">
        <v>4262</v>
      </c>
      <c r="C137" s="999"/>
      <c r="D137" s="1000"/>
      <c r="E137" s="1011">
        <v>40</v>
      </c>
      <c r="F137" s="982" t="s">
        <v>113</v>
      </c>
      <c r="G137" s="983"/>
      <c r="H137" s="984">
        <f>H112</f>
        <v>0</v>
      </c>
      <c r="I137" s="156">
        <f t="shared" si="11"/>
        <v>0</v>
      </c>
      <c r="J137" s="971"/>
    </row>
    <row r="138" spans="1:10" s="956" customFormat="1" ht="15" customHeight="1">
      <c r="A138" s="985"/>
      <c r="B138" s="1018" t="s">
        <v>4263</v>
      </c>
      <c r="C138" s="999"/>
      <c r="D138" s="1000"/>
      <c r="E138" s="1011">
        <v>47</v>
      </c>
      <c r="F138" s="982" t="s">
        <v>113</v>
      </c>
      <c r="G138" s="983"/>
      <c r="H138" s="984">
        <f>H111</f>
        <v>0</v>
      </c>
      <c r="I138" s="156">
        <f t="shared" si="11"/>
        <v>0</v>
      </c>
      <c r="J138" s="971"/>
    </row>
    <row r="139" spans="1:10" s="956" customFormat="1" ht="15" customHeight="1">
      <c r="A139" s="985"/>
      <c r="B139" s="1018" t="s">
        <v>4264</v>
      </c>
      <c r="C139" s="999"/>
      <c r="D139" s="1000"/>
      <c r="E139" s="1011">
        <v>24</v>
      </c>
      <c r="F139" s="982" t="s">
        <v>113</v>
      </c>
      <c r="G139" s="983"/>
      <c r="H139" s="984">
        <f>H110</f>
        <v>0</v>
      </c>
      <c r="I139" s="156">
        <f t="shared" si="11"/>
        <v>0</v>
      </c>
      <c r="J139" s="971"/>
    </row>
    <row r="140" spans="1:10" s="956" customFormat="1" ht="15" customHeight="1">
      <c r="A140" s="985"/>
      <c r="B140" s="1018" t="s">
        <v>4265</v>
      </c>
      <c r="C140" s="999"/>
      <c r="D140" s="1000"/>
      <c r="E140" s="1011">
        <v>8</v>
      </c>
      <c r="F140" s="982" t="s">
        <v>259</v>
      </c>
      <c r="G140" s="983"/>
      <c r="H140" s="984">
        <v>0</v>
      </c>
      <c r="I140" s="156">
        <f t="shared" si="11"/>
        <v>0</v>
      </c>
      <c r="J140" s="971"/>
    </row>
    <row r="141" spans="1:10" s="956" customFormat="1" ht="15" customHeight="1">
      <c r="A141" s="985"/>
      <c r="B141" s="1025" t="s">
        <v>4246</v>
      </c>
      <c r="C141" s="999"/>
      <c r="D141" s="1000"/>
      <c r="E141" s="1011">
        <v>3</v>
      </c>
      <c r="F141" s="982" t="s">
        <v>259</v>
      </c>
      <c r="G141" s="983"/>
      <c r="H141" s="984">
        <f>H119</f>
        <v>0</v>
      </c>
      <c r="I141" s="156">
        <f t="shared" si="11"/>
        <v>0</v>
      </c>
      <c r="J141" s="971"/>
    </row>
    <row r="142" spans="1:10">
      <c r="A142" s="1026"/>
      <c r="B142" s="1027"/>
      <c r="C142" s="1027"/>
      <c r="D142" s="1027"/>
      <c r="E142" s="1634" t="s">
        <v>3247</v>
      </c>
      <c r="F142" s="1634"/>
      <c r="G142" s="1634"/>
      <c r="H142" s="1635"/>
      <c r="I142" s="989">
        <f>SUM(I129:I141)</f>
        <v>0</v>
      </c>
    </row>
    <row r="143" spans="1:10" s="956" customFormat="1" ht="15" customHeight="1">
      <c r="A143" s="972" t="s">
        <v>4111</v>
      </c>
      <c r="B143" s="1010" t="s">
        <v>4266</v>
      </c>
      <c r="C143" s="979"/>
      <c r="D143" s="980"/>
      <c r="E143" s="1011"/>
      <c r="F143" s="982"/>
      <c r="G143" s="983"/>
      <c r="H143" s="1009"/>
      <c r="I143" s="144"/>
      <c r="J143" s="971"/>
    </row>
    <row r="144" spans="1:10" s="956" customFormat="1" ht="47.15" customHeight="1">
      <c r="A144" s="972"/>
      <c r="B144" s="1636" t="s">
        <v>4267</v>
      </c>
      <c r="C144" s="1637"/>
      <c r="D144" s="1638"/>
      <c r="E144" s="1011"/>
      <c r="F144" s="982"/>
      <c r="G144" s="983"/>
      <c r="H144" s="1009"/>
      <c r="I144" s="156"/>
      <c r="J144" s="971"/>
    </row>
    <row r="145" spans="1:10" s="956" customFormat="1" ht="15" customHeight="1">
      <c r="A145" s="972"/>
      <c r="B145" s="978" t="s">
        <v>4268</v>
      </c>
      <c r="C145" s="979"/>
      <c r="D145" s="980"/>
      <c r="E145" s="1011"/>
      <c r="F145" s="982"/>
      <c r="G145" s="983"/>
      <c r="H145" s="1009"/>
      <c r="I145" s="156"/>
      <c r="J145" s="971"/>
    </row>
    <row r="146" spans="1:10" s="956" customFormat="1" ht="45" customHeight="1">
      <c r="A146" s="1028"/>
      <c r="B146" s="1639" t="s">
        <v>4269</v>
      </c>
      <c r="C146" s="1640"/>
      <c r="D146" s="1641"/>
      <c r="E146" s="1011">
        <v>1</v>
      </c>
      <c r="F146" s="982" t="s">
        <v>215</v>
      </c>
      <c r="G146" s="983"/>
      <c r="H146" s="1022">
        <v>0</v>
      </c>
      <c r="I146" s="156">
        <f>H146*E146</f>
        <v>0</v>
      </c>
      <c r="J146" s="971"/>
    </row>
    <row r="147" spans="1:10" s="956" customFormat="1" ht="15" customHeight="1">
      <c r="A147" s="985"/>
      <c r="B147" s="978" t="s">
        <v>4270</v>
      </c>
      <c r="C147" s="979"/>
      <c r="D147" s="980"/>
      <c r="E147" s="1011"/>
      <c r="F147" s="982"/>
      <c r="G147" s="983"/>
      <c r="H147" s="984"/>
      <c r="I147" s="156"/>
      <c r="J147" s="971"/>
    </row>
    <row r="148" spans="1:10" s="956" customFormat="1" ht="45" customHeight="1">
      <c r="A148" s="1028"/>
      <c r="B148" s="1639" t="s">
        <v>4271</v>
      </c>
      <c r="C148" s="1640"/>
      <c r="D148" s="1641"/>
      <c r="E148" s="1011">
        <v>1</v>
      </c>
      <c r="F148" s="982" t="s">
        <v>215</v>
      </c>
      <c r="G148" s="983"/>
      <c r="H148" s="1022">
        <v>0</v>
      </c>
      <c r="I148" s="156">
        <f>H148*E148</f>
        <v>0</v>
      </c>
      <c r="J148" s="971"/>
    </row>
    <row r="149" spans="1:10" s="956" customFormat="1" ht="15" customHeight="1">
      <c r="A149" s="985"/>
      <c r="B149" s="1018" t="s">
        <v>4272</v>
      </c>
      <c r="C149" s="979"/>
      <c r="D149" s="980"/>
      <c r="E149" s="1011">
        <v>1</v>
      </c>
      <c r="F149" s="982" t="s">
        <v>215</v>
      </c>
      <c r="G149" s="983"/>
      <c r="H149" s="1022">
        <v>0</v>
      </c>
      <c r="I149" s="156">
        <f>H149*E149</f>
        <v>0</v>
      </c>
      <c r="J149" s="971"/>
    </row>
    <row r="150" spans="1:10" s="956" customFormat="1" ht="15" customHeight="1">
      <c r="A150" s="985"/>
      <c r="B150" s="978" t="s">
        <v>4273</v>
      </c>
      <c r="C150" s="979"/>
      <c r="D150" s="980"/>
      <c r="E150" s="1011"/>
      <c r="F150" s="982"/>
      <c r="G150" s="983"/>
      <c r="H150" s="984"/>
      <c r="I150" s="156"/>
      <c r="J150" s="971"/>
    </row>
    <row r="151" spans="1:10" s="956" customFormat="1" ht="15" customHeight="1">
      <c r="A151" s="985"/>
      <c r="B151" s="1018" t="s">
        <v>4274</v>
      </c>
      <c r="C151" s="979"/>
      <c r="D151" s="980"/>
      <c r="E151" s="1011">
        <v>126</v>
      </c>
      <c r="F151" s="982" t="s">
        <v>259</v>
      </c>
      <c r="G151" s="983"/>
      <c r="H151" s="984">
        <f>'ANALISA ME'!K1234</f>
        <v>0</v>
      </c>
      <c r="I151" s="156">
        <f t="shared" ref="I151:I160" si="12">H151*E151</f>
        <v>0</v>
      </c>
      <c r="J151" s="971"/>
    </row>
    <row r="152" spans="1:10" s="956" customFormat="1" ht="15" customHeight="1">
      <c r="A152" s="985"/>
      <c r="B152" s="1018" t="s">
        <v>4275</v>
      </c>
      <c r="C152" s="979"/>
      <c r="D152" s="980"/>
      <c r="E152" s="1011">
        <v>60</v>
      </c>
      <c r="F152" s="982" t="s">
        <v>259</v>
      </c>
      <c r="G152" s="983"/>
      <c r="H152" s="984">
        <f>'ANALISA ME'!K1252</f>
        <v>0</v>
      </c>
      <c r="I152" s="156">
        <f t="shared" si="12"/>
        <v>0</v>
      </c>
      <c r="J152" s="971"/>
    </row>
    <row r="153" spans="1:10" s="956" customFormat="1" ht="15" customHeight="1">
      <c r="A153" s="985"/>
      <c r="B153" s="1018" t="s">
        <v>4276</v>
      </c>
      <c r="C153" s="979"/>
      <c r="D153" s="980"/>
      <c r="E153" s="1011">
        <v>4</v>
      </c>
      <c r="F153" s="982" t="s">
        <v>259</v>
      </c>
      <c r="G153" s="983"/>
      <c r="H153" s="984">
        <v>0</v>
      </c>
      <c r="I153" s="156">
        <f t="shared" si="12"/>
        <v>0</v>
      </c>
      <c r="J153" s="971"/>
    </row>
    <row r="154" spans="1:10" s="956" customFormat="1" ht="15" customHeight="1">
      <c r="A154" s="985"/>
      <c r="B154" s="1018" t="s">
        <v>4277</v>
      </c>
      <c r="C154" s="979"/>
      <c r="D154" s="980"/>
      <c r="E154" s="1011">
        <v>4</v>
      </c>
      <c r="F154" s="982" t="s">
        <v>259</v>
      </c>
      <c r="G154" s="983"/>
      <c r="H154" s="984">
        <f>H153</f>
        <v>0</v>
      </c>
      <c r="I154" s="156">
        <f t="shared" si="12"/>
        <v>0</v>
      </c>
      <c r="J154" s="971"/>
    </row>
    <row r="155" spans="1:10" s="956" customFormat="1" ht="15" customHeight="1">
      <c r="A155" s="985"/>
      <c r="B155" s="1018" t="s">
        <v>4278</v>
      </c>
      <c r="C155" s="979"/>
      <c r="D155" s="980"/>
      <c r="E155" s="1011">
        <v>1</v>
      </c>
      <c r="F155" s="982" t="s">
        <v>259</v>
      </c>
      <c r="G155" s="983"/>
      <c r="H155" s="984">
        <f>H154</f>
        <v>0</v>
      </c>
      <c r="I155" s="156">
        <f t="shared" si="12"/>
        <v>0</v>
      </c>
      <c r="J155" s="971"/>
    </row>
    <row r="156" spans="1:10" s="956" customFormat="1" ht="15" customHeight="1">
      <c r="A156" s="985"/>
      <c r="B156" s="1018" t="s">
        <v>4279</v>
      </c>
      <c r="C156" s="979"/>
      <c r="D156" s="980"/>
      <c r="E156" s="1011">
        <v>4</v>
      </c>
      <c r="F156" s="982" t="s">
        <v>259</v>
      </c>
      <c r="G156" s="983"/>
      <c r="H156" s="984">
        <f>H155</f>
        <v>0</v>
      </c>
      <c r="I156" s="156">
        <f t="shared" si="12"/>
        <v>0</v>
      </c>
      <c r="J156" s="971"/>
    </row>
    <row r="157" spans="1:10" s="956" customFormat="1" ht="15" customHeight="1">
      <c r="A157" s="985"/>
      <c r="B157" s="1018" t="s">
        <v>4280</v>
      </c>
      <c r="C157" s="979"/>
      <c r="D157" s="980"/>
      <c r="E157" s="1011">
        <v>4</v>
      </c>
      <c r="F157" s="982" t="s">
        <v>259</v>
      </c>
      <c r="G157" s="983"/>
      <c r="H157" s="984">
        <v>0</v>
      </c>
      <c r="I157" s="156">
        <f t="shared" si="12"/>
        <v>0</v>
      </c>
      <c r="J157" s="971"/>
    </row>
    <row r="158" spans="1:10" s="956" customFormat="1" ht="15" customHeight="1">
      <c r="A158" s="985"/>
      <c r="B158" s="1018" t="s">
        <v>4281</v>
      </c>
      <c r="C158" s="979"/>
      <c r="D158" s="980"/>
      <c r="E158" s="1011">
        <v>1</v>
      </c>
      <c r="F158" s="982" t="s">
        <v>259</v>
      </c>
      <c r="G158" s="983"/>
      <c r="H158" s="984">
        <v>0</v>
      </c>
      <c r="I158" s="156">
        <f t="shared" si="12"/>
        <v>0</v>
      </c>
      <c r="J158" s="971"/>
    </row>
    <row r="159" spans="1:10" s="956" customFormat="1" ht="15" customHeight="1">
      <c r="A159" s="985"/>
      <c r="B159" s="1018" t="s">
        <v>4282</v>
      </c>
      <c r="C159" s="999"/>
      <c r="D159" s="1000"/>
      <c r="E159" s="1011">
        <v>1</v>
      </c>
      <c r="F159" s="982" t="s">
        <v>259</v>
      </c>
      <c r="G159" s="983"/>
      <c r="H159" s="984">
        <v>0</v>
      </c>
      <c r="I159" s="156">
        <f t="shared" si="12"/>
        <v>0</v>
      </c>
      <c r="J159" s="971"/>
    </row>
    <row r="160" spans="1:10" s="956" customFormat="1" ht="15" customHeight="1">
      <c r="A160" s="985"/>
      <c r="B160" s="1018" t="s">
        <v>4283</v>
      </c>
      <c r="C160" s="999"/>
      <c r="D160" s="1000"/>
      <c r="E160" s="1011">
        <v>4</v>
      </c>
      <c r="F160" s="982" t="s">
        <v>259</v>
      </c>
      <c r="G160" s="983"/>
      <c r="H160" s="984">
        <v>0</v>
      </c>
      <c r="I160" s="156">
        <f t="shared" si="12"/>
        <v>0</v>
      </c>
      <c r="J160" s="971"/>
    </row>
    <row r="161" spans="1:10">
      <c r="A161" s="1026"/>
      <c r="B161" s="1027"/>
      <c r="C161" s="1027"/>
      <c r="D161" s="1027"/>
      <c r="E161" s="1634" t="s">
        <v>3247</v>
      </c>
      <c r="F161" s="1634"/>
      <c r="G161" s="1634"/>
      <c r="H161" s="1635"/>
      <c r="I161" s="989">
        <f>SUM(I146:I160)</f>
        <v>0</v>
      </c>
    </row>
    <row r="162" spans="1:10" s="956" customFormat="1" ht="15" customHeight="1">
      <c r="A162" s="985"/>
      <c r="B162" s="1018"/>
      <c r="C162" s="979"/>
      <c r="D162" s="980"/>
      <c r="E162" s="1011"/>
      <c r="F162" s="982"/>
      <c r="G162" s="983"/>
      <c r="H162" s="1009"/>
      <c r="I162" s="144"/>
      <c r="J162" s="971"/>
    </row>
    <row r="163" spans="1:10">
      <c r="A163" s="987"/>
      <c r="B163" s="988"/>
      <c r="C163" s="988"/>
      <c r="D163" s="988"/>
      <c r="E163" s="1634" t="s">
        <v>4284</v>
      </c>
      <c r="F163" s="1634"/>
      <c r="G163" s="1634"/>
      <c r="H163" s="1635"/>
      <c r="I163" s="989">
        <f>SUM(I161+I142+I127+I114+I98+I84+I68+I60+I41+I33+I29+I22+I13)</f>
        <v>0</v>
      </c>
    </row>
  </sheetData>
  <mergeCells count="30">
    <mergeCell ref="A1:I1"/>
    <mergeCell ref="A2:I2"/>
    <mergeCell ref="A7:A8"/>
    <mergeCell ref="B7:D8"/>
    <mergeCell ref="E7:F8"/>
    <mergeCell ref="G7:G8"/>
    <mergeCell ref="B75:D75"/>
    <mergeCell ref="B9:D9"/>
    <mergeCell ref="B10:D10"/>
    <mergeCell ref="E13:H13"/>
    <mergeCell ref="B14:D14"/>
    <mergeCell ref="E22:H22"/>
    <mergeCell ref="B23:D23"/>
    <mergeCell ref="E29:H29"/>
    <mergeCell ref="E33:H33"/>
    <mergeCell ref="E41:H41"/>
    <mergeCell ref="E60:H60"/>
    <mergeCell ref="E68:H68"/>
    <mergeCell ref="E163:H163"/>
    <mergeCell ref="E84:H84"/>
    <mergeCell ref="B87:D87"/>
    <mergeCell ref="E98:H98"/>
    <mergeCell ref="B102:D102"/>
    <mergeCell ref="E114:H114"/>
    <mergeCell ref="E127:H127"/>
    <mergeCell ref="E142:H142"/>
    <mergeCell ref="B144:D144"/>
    <mergeCell ref="B146:D146"/>
    <mergeCell ref="B148:D148"/>
    <mergeCell ref="E161:H161"/>
  </mergeCells>
  <printOptions horizontalCentered="1"/>
  <pageMargins left="0.31496062992125984" right="0" top="0.35433070866141736" bottom="0.15748031496062992" header="0.31496062992125984" footer="0.31496062992125984"/>
  <pageSetup paperSize="9" scale="6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E22BB-27ED-4A42-B0B0-6DB473098A71}">
  <sheetPr>
    <tabColor theme="0"/>
  </sheetPr>
  <dimension ref="B2:N1458"/>
  <sheetViews>
    <sheetView view="pageBreakPreview" topLeftCell="A1416" zoomScaleNormal="70" zoomScaleSheetLayoutView="100" workbookViewId="0">
      <selection activeCell="D25" sqref="D25"/>
    </sheetView>
  </sheetViews>
  <sheetFormatPr defaultColWidth="8.6328125" defaultRowHeight="12.5"/>
  <cols>
    <col min="1" max="1" width="8.6328125" style="9"/>
    <col min="2" max="2" width="12" style="1386" customWidth="1"/>
    <col min="3" max="3" width="7.08984375" style="9" customWidth="1"/>
    <col min="4" max="5" width="8.6328125" style="9"/>
    <col min="6" max="6" width="13" style="9" customWidth="1"/>
    <col min="7" max="7" width="8.6328125" style="9"/>
    <col min="8" max="8" width="13.90625" style="9" customWidth="1"/>
    <col min="9" max="9" width="14.36328125" style="9" customWidth="1"/>
    <col min="10" max="10" width="15.54296875" style="9" customWidth="1"/>
    <col min="11" max="11" width="20.54296875" style="9" customWidth="1"/>
    <col min="12" max="16384" width="8.6328125" style="9"/>
  </cols>
  <sheetData>
    <row r="2" spans="2:11" ht="13">
      <c r="B2" s="1736" t="s">
        <v>4285</v>
      </c>
      <c r="C2" s="1736"/>
      <c r="D2" s="1736"/>
      <c r="E2" s="1736"/>
      <c r="F2" s="1736"/>
      <c r="G2" s="1736"/>
      <c r="H2" s="1736"/>
      <c r="I2" s="1736"/>
      <c r="J2" s="1736"/>
      <c r="K2" s="1736"/>
    </row>
    <row r="3" spans="2:11" ht="13">
      <c r="B3" s="1031"/>
      <c r="C3" s="1030"/>
      <c r="D3" s="1030"/>
      <c r="E3" s="1030"/>
      <c r="F3" s="1030"/>
      <c r="G3" s="1030"/>
      <c r="H3" s="1030"/>
      <c r="I3" s="1030"/>
      <c r="J3" s="1030"/>
      <c r="K3" s="1030"/>
    </row>
    <row r="4" spans="2:11" ht="13">
      <c r="B4" s="1032"/>
      <c r="C4" s="1033"/>
      <c r="D4" s="1033" t="s">
        <v>4286</v>
      </c>
      <c r="E4" s="1032" t="s">
        <v>4287</v>
      </c>
      <c r="F4" s="1033"/>
      <c r="G4" s="1033"/>
      <c r="H4" s="1033"/>
      <c r="I4" s="1033"/>
      <c r="J4" s="1033"/>
      <c r="K4" s="1034">
        <v>0.1</v>
      </c>
    </row>
    <row r="5" spans="2:11" ht="13">
      <c r="B5" s="1687" t="s">
        <v>3235</v>
      </c>
      <c r="C5" s="1690" t="s">
        <v>4288</v>
      </c>
      <c r="D5" s="1691"/>
      <c r="E5" s="1691"/>
      <c r="F5" s="1691"/>
      <c r="G5" s="1035"/>
      <c r="H5" s="1696" t="s">
        <v>4289</v>
      </c>
      <c r="I5" s="1696" t="s">
        <v>4290</v>
      </c>
      <c r="J5" s="1035" t="s">
        <v>1955</v>
      </c>
      <c r="K5" s="1035"/>
    </row>
    <row r="6" spans="2:11" ht="13">
      <c r="B6" s="1688"/>
      <c r="C6" s="1692"/>
      <c r="D6" s="1693"/>
      <c r="E6" s="1693"/>
      <c r="F6" s="1693"/>
      <c r="G6" s="1037" t="s">
        <v>4291</v>
      </c>
      <c r="H6" s="1697"/>
      <c r="I6" s="1697"/>
      <c r="J6" s="1037" t="s">
        <v>1954</v>
      </c>
      <c r="K6" s="1037" t="s">
        <v>3239</v>
      </c>
    </row>
    <row r="7" spans="2:11" ht="13">
      <c r="B7" s="1689"/>
      <c r="C7" s="1694"/>
      <c r="D7" s="1695"/>
      <c r="E7" s="1695"/>
      <c r="F7" s="1695"/>
      <c r="G7" s="1038"/>
      <c r="H7" s="1698"/>
      <c r="I7" s="1698"/>
      <c r="J7" s="1038" t="s">
        <v>4292</v>
      </c>
      <c r="K7" s="1038" t="s">
        <v>4292</v>
      </c>
    </row>
    <row r="8" spans="2:11" ht="13">
      <c r="B8" s="1039">
        <v>1</v>
      </c>
      <c r="C8" s="1692">
        <v>2</v>
      </c>
      <c r="D8" s="1693"/>
      <c r="E8" s="1693"/>
      <c r="F8" s="1693"/>
      <c r="G8" s="1035">
        <v>3</v>
      </c>
      <c r="H8" s="1040">
        <v>4</v>
      </c>
      <c r="I8" s="1041">
        <v>5</v>
      </c>
      <c r="J8" s="1040">
        <v>6</v>
      </c>
      <c r="K8" s="1040">
        <f>J8+1</f>
        <v>7</v>
      </c>
    </row>
    <row r="9" spans="2:11">
      <c r="B9" s="1042" t="s">
        <v>45</v>
      </c>
      <c r="C9" s="1043" t="s">
        <v>4293</v>
      </c>
      <c r="D9" s="1044"/>
      <c r="E9" s="1044"/>
      <c r="F9" s="1044"/>
      <c r="G9" s="1045"/>
      <c r="H9" s="1046"/>
      <c r="I9" s="1047"/>
      <c r="J9" s="1048"/>
      <c r="K9" s="1049"/>
    </row>
    <row r="10" spans="2:11">
      <c r="B10" s="1050">
        <v>1</v>
      </c>
      <c r="C10" s="1043" t="s">
        <v>4294</v>
      </c>
      <c r="D10" s="1044"/>
      <c r="E10" s="1044"/>
      <c r="F10" s="1044"/>
      <c r="G10" s="1045"/>
      <c r="H10" s="1046"/>
      <c r="I10" s="1047"/>
      <c r="J10" s="1048"/>
      <c r="K10" s="1049"/>
    </row>
    <row r="11" spans="2:11">
      <c r="B11" s="1050"/>
      <c r="C11" s="1051" t="s">
        <v>4295</v>
      </c>
      <c r="D11" s="1044"/>
      <c r="E11" s="1044"/>
      <c r="F11" s="1044"/>
      <c r="G11" s="1045" t="s">
        <v>3631</v>
      </c>
      <c r="H11" s="1046" t="s">
        <v>4286</v>
      </c>
      <c r="I11" s="1047">
        <v>1</v>
      </c>
      <c r="J11" s="1048">
        <v>0</v>
      </c>
      <c r="K11" s="1049">
        <f>+I11*J11</f>
        <v>0</v>
      </c>
    </row>
    <row r="12" spans="2:11">
      <c r="B12" s="1050"/>
      <c r="C12" s="1051" t="s">
        <v>4296</v>
      </c>
      <c r="D12" s="1044"/>
      <c r="E12" s="1044"/>
      <c r="F12" s="1044"/>
      <c r="G12" s="1045" t="s">
        <v>3631</v>
      </c>
      <c r="H12" s="1046" t="s">
        <v>4286</v>
      </c>
      <c r="I12" s="1047">
        <v>1</v>
      </c>
      <c r="J12" s="1048">
        <v>0</v>
      </c>
      <c r="K12" s="1049">
        <f>+I12*J12</f>
        <v>0</v>
      </c>
    </row>
    <row r="13" spans="2:11">
      <c r="B13" s="1050"/>
      <c r="C13" s="1051"/>
      <c r="D13" s="1044"/>
      <c r="E13" s="1044"/>
      <c r="F13" s="1044"/>
      <c r="G13" s="1045"/>
      <c r="H13" s="1046" t="s">
        <v>4286</v>
      </c>
      <c r="I13" s="1047">
        <f>I12</f>
        <v>1</v>
      </c>
      <c r="J13" s="1048">
        <v>0</v>
      </c>
      <c r="K13" s="1049">
        <f>+I13*J13</f>
        <v>0</v>
      </c>
    </row>
    <row r="14" spans="2:11">
      <c r="B14" s="1050"/>
      <c r="C14" s="1051" t="s">
        <v>4297</v>
      </c>
      <c r="D14" s="1044"/>
      <c r="E14" s="1044"/>
      <c r="F14" s="1044"/>
      <c r="G14" s="1045" t="s">
        <v>3631</v>
      </c>
      <c r="H14" s="1046" t="s">
        <v>124</v>
      </c>
      <c r="I14" s="1047"/>
      <c r="J14" s="1048"/>
      <c r="K14" s="1049"/>
    </row>
    <row r="15" spans="2:11">
      <c r="B15" s="1050"/>
      <c r="C15" s="1051"/>
      <c r="D15" s="1044"/>
      <c r="E15" s="1044"/>
      <c r="F15" s="1044"/>
      <c r="G15" s="1045"/>
      <c r="H15" s="1046"/>
      <c r="I15" s="1047"/>
      <c r="J15" s="1048"/>
      <c r="K15" s="1049"/>
    </row>
    <row r="16" spans="2:11">
      <c r="B16" s="1042" t="s">
        <v>53</v>
      </c>
      <c r="C16" s="1052" t="s">
        <v>4298</v>
      </c>
      <c r="D16" s="1053"/>
      <c r="E16" s="1053"/>
      <c r="F16" s="1053"/>
      <c r="G16" s="1054"/>
      <c r="H16" s="1055"/>
      <c r="I16" s="1056"/>
      <c r="J16" s="1057"/>
      <c r="K16" s="1058">
        <f>SUM(K11:K15)</f>
        <v>0</v>
      </c>
    </row>
    <row r="17" spans="2:11">
      <c r="B17" s="1059" t="s">
        <v>65</v>
      </c>
      <c r="C17" s="1060" t="s">
        <v>4299</v>
      </c>
      <c r="D17" s="1061"/>
      <c r="E17" s="1061"/>
      <c r="F17" s="1061"/>
      <c r="G17" s="1062"/>
      <c r="H17" s="1063"/>
      <c r="I17" s="1064">
        <f>$K$4</f>
        <v>0.1</v>
      </c>
      <c r="J17" s="1064"/>
      <c r="K17" s="1065">
        <f>K16*I17</f>
        <v>0</v>
      </c>
    </row>
    <row r="18" spans="2:11" ht="13">
      <c r="B18" s="1066" t="s">
        <v>68</v>
      </c>
      <c r="C18" s="1067" t="s">
        <v>72</v>
      </c>
      <c r="D18" s="1068"/>
      <c r="E18" s="1068"/>
      <c r="F18" s="1068"/>
      <c r="G18" s="1069"/>
      <c r="H18" s="1070"/>
      <c r="I18" s="1071"/>
      <c r="J18" s="1072"/>
      <c r="K18" s="1073">
        <f>SUM(K15:K17)</f>
        <v>0</v>
      </c>
    </row>
    <row r="19" spans="2:11" ht="13">
      <c r="B19" s="1074"/>
      <c r="C19" s="1075"/>
      <c r="D19" s="1076"/>
      <c r="E19" s="1077"/>
      <c r="F19" s="1077"/>
      <c r="G19" s="1078"/>
      <c r="H19" s="58"/>
      <c r="I19" s="1079"/>
      <c r="J19" s="1080"/>
      <c r="K19" s="1081"/>
    </row>
    <row r="20" spans="2:11" ht="13">
      <c r="B20" s="1082" t="s">
        <v>4300</v>
      </c>
      <c r="C20" s="1083"/>
      <c r="D20" s="1084"/>
      <c r="E20" s="1085" t="s">
        <v>4301</v>
      </c>
      <c r="F20" s="1085"/>
      <c r="G20" s="1086"/>
      <c r="H20" s="1087"/>
      <c r="I20" s="1088"/>
      <c r="J20" s="1089"/>
      <c r="K20" s="1085"/>
    </row>
    <row r="21" spans="2:11" ht="25">
      <c r="B21" s="1090" t="s">
        <v>40</v>
      </c>
      <c r="C21" s="1734" t="s">
        <v>41</v>
      </c>
      <c r="D21" s="1735"/>
      <c r="E21" s="1735"/>
      <c r="F21" s="1735"/>
      <c r="G21" s="1092" t="s">
        <v>42</v>
      </c>
      <c r="H21" s="1093" t="s">
        <v>43</v>
      </c>
      <c r="I21" s="1094" t="s">
        <v>44</v>
      </c>
      <c r="J21" s="1095" t="s">
        <v>474</v>
      </c>
      <c r="K21" s="1096" t="s">
        <v>475</v>
      </c>
    </row>
    <row r="22" spans="2:11">
      <c r="B22" s="1097" t="s">
        <v>45</v>
      </c>
      <c r="C22" s="1098" t="s">
        <v>46</v>
      </c>
      <c r="D22" s="1053"/>
      <c r="E22" s="1053"/>
      <c r="F22" s="1053"/>
      <c r="G22" s="1099"/>
      <c r="H22" s="1100"/>
      <c r="I22" s="1101"/>
      <c r="J22" s="1102"/>
      <c r="K22" s="1103"/>
    </row>
    <row r="23" spans="2:11">
      <c r="B23" s="1059">
        <v>1</v>
      </c>
      <c r="C23" s="1060" t="s">
        <v>4302</v>
      </c>
      <c r="D23" s="1061"/>
      <c r="E23" s="1061"/>
      <c r="F23" s="1061"/>
      <c r="G23" s="1104" t="s">
        <v>4303</v>
      </c>
      <c r="H23" s="1105" t="s">
        <v>4304</v>
      </c>
      <c r="I23" s="1106">
        <v>3.1E-2</v>
      </c>
      <c r="J23" s="1064">
        <f>'UPAH (2)'!H4</f>
        <v>0</v>
      </c>
      <c r="K23" s="1107">
        <f>J23*I23</f>
        <v>0</v>
      </c>
    </row>
    <row r="24" spans="2:11">
      <c r="B24" s="1059">
        <v>2</v>
      </c>
      <c r="C24" s="1060" t="s">
        <v>4305</v>
      </c>
      <c r="D24" s="1061"/>
      <c r="E24" s="1061"/>
      <c r="F24" s="1061"/>
      <c r="G24" s="1104" t="s">
        <v>4306</v>
      </c>
      <c r="H24" s="1105" t="s">
        <v>4304</v>
      </c>
      <c r="I24" s="1106">
        <v>5.1999999999999998E-2</v>
      </c>
      <c r="J24" s="1064">
        <f>'UPAH (2)'!H16</f>
        <v>0</v>
      </c>
      <c r="K24" s="1107">
        <f>J24*I24</f>
        <v>0</v>
      </c>
    </row>
    <row r="25" spans="2:11">
      <c r="B25" s="1059">
        <v>3</v>
      </c>
      <c r="C25" s="1108" t="s">
        <v>50</v>
      </c>
      <c r="D25" s="1108"/>
      <c r="E25" s="1108"/>
      <c r="F25" s="1108"/>
      <c r="G25" s="1105" t="s">
        <v>4307</v>
      </c>
      <c r="H25" s="1105" t="s">
        <v>48</v>
      </c>
      <c r="I25" s="1106">
        <v>5.0000000000000001E-3</v>
      </c>
      <c r="J25" s="1065">
        <f>'UPAH (2)'!H19</f>
        <v>0</v>
      </c>
      <c r="K25" s="1109">
        <f>J25*I25</f>
        <v>0</v>
      </c>
    </row>
    <row r="26" spans="2:11">
      <c r="B26" s="1110">
        <v>4</v>
      </c>
      <c r="C26" s="1111" t="s">
        <v>4308</v>
      </c>
      <c r="D26" s="1068"/>
      <c r="E26" s="1068"/>
      <c r="F26" s="1068"/>
      <c r="G26" s="1112" t="s">
        <v>4309</v>
      </c>
      <c r="H26" s="1113" t="s">
        <v>4304</v>
      </c>
      <c r="I26" s="1106">
        <v>2E-3</v>
      </c>
      <c r="J26" s="1114">
        <f>'UPAH (2)'!H20</f>
        <v>0</v>
      </c>
      <c r="K26" s="1107">
        <f>J26*I26</f>
        <v>0</v>
      </c>
    </row>
    <row r="27" spans="2:11">
      <c r="B27" s="1728" t="s">
        <v>52</v>
      </c>
      <c r="C27" s="1721"/>
      <c r="D27" s="1721"/>
      <c r="E27" s="1721"/>
      <c r="F27" s="1721"/>
      <c r="G27" s="1721"/>
      <c r="H27" s="1721"/>
      <c r="I27" s="1721"/>
      <c r="J27" s="1722"/>
      <c r="K27" s="1115">
        <f>SUM(K23:K26)</f>
        <v>0</v>
      </c>
    </row>
    <row r="28" spans="2:11">
      <c r="B28" s="1097" t="s">
        <v>53</v>
      </c>
      <c r="C28" s="1098" t="s">
        <v>54</v>
      </c>
      <c r="G28" s="1099"/>
      <c r="H28" s="1100"/>
      <c r="I28" s="1101"/>
      <c r="J28" s="1102"/>
      <c r="K28" s="1103"/>
    </row>
    <row r="29" spans="2:11">
      <c r="B29" s="1059"/>
      <c r="C29" s="1060" t="s">
        <v>4310</v>
      </c>
      <c r="G29" s="1104"/>
      <c r="H29" s="1116" t="s">
        <v>128</v>
      </c>
      <c r="I29" s="1117">
        <v>1</v>
      </c>
      <c r="J29" s="1064">
        <v>0</v>
      </c>
      <c r="K29" s="1107">
        <f>J29*I29</f>
        <v>0</v>
      </c>
    </row>
    <row r="30" spans="2:11">
      <c r="B30" s="1110"/>
      <c r="C30" s="1111" t="s">
        <v>4311</v>
      </c>
      <c r="G30" s="1112" t="s">
        <v>4312</v>
      </c>
      <c r="H30" s="1112" t="s">
        <v>4312</v>
      </c>
      <c r="I30" s="1118">
        <v>1</v>
      </c>
      <c r="J30" s="1114">
        <v>0</v>
      </c>
      <c r="K30" s="1107">
        <f>J30*I30</f>
        <v>0</v>
      </c>
    </row>
    <row r="31" spans="2:11">
      <c r="B31" s="1723" t="s">
        <v>64</v>
      </c>
      <c r="C31" s="1716"/>
      <c r="D31" s="1716"/>
      <c r="E31" s="1716"/>
      <c r="F31" s="1716"/>
      <c r="G31" s="1716"/>
      <c r="H31" s="1716"/>
      <c r="I31" s="1716"/>
      <c r="J31" s="1717"/>
      <c r="K31" s="1115">
        <f>SUM(K29:K30)</f>
        <v>0</v>
      </c>
    </row>
    <row r="32" spans="2:11">
      <c r="B32" s="1119" t="s">
        <v>65</v>
      </c>
      <c r="C32" s="1120" t="s">
        <v>66</v>
      </c>
      <c r="G32" s="1121"/>
      <c r="H32" s="1122"/>
      <c r="I32" s="1123"/>
      <c r="J32" s="1124"/>
      <c r="K32" s="1125"/>
    </row>
    <row r="33" spans="2:11">
      <c r="B33" s="1724" t="s">
        <v>67</v>
      </c>
      <c r="C33" s="1725"/>
      <c r="D33" s="1725"/>
      <c r="E33" s="1725"/>
      <c r="F33" s="1725"/>
      <c r="G33" s="1725"/>
      <c r="H33" s="1725"/>
      <c r="I33" s="1725"/>
      <c r="J33" s="1726"/>
      <c r="K33" s="1115">
        <v>0</v>
      </c>
    </row>
    <row r="34" spans="2:11">
      <c r="B34" s="1042" t="s">
        <v>68</v>
      </c>
      <c r="C34" s="1052" t="s">
        <v>69</v>
      </c>
      <c r="D34" s="1053"/>
      <c r="E34" s="1053"/>
      <c r="F34" s="1053"/>
      <c r="G34" s="1054"/>
      <c r="H34" s="1055"/>
      <c r="I34" s="1056"/>
      <c r="J34" s="1057"/>
      <c r="K34" s="1058">
        <f>K31+K27</f>
        <v>0</v>
      </c>
    </row>
    <row r="35" spans="2:11">
      <c r="B35" s="1059" t="s">
        <v>70</v>
      </c>
      <c r="C35" s="1060" t="s">
        <v>4299</v>
      </c>
      <c r="D35" s="1061"/>
      <c r="E35" s="1061"/>
      <c r="F35" s="1061"/>
      <c r="G35" s="1062"/>
      <c r="H35" s="1063"/>
      <c r="I35" s="1064">
        <f>$K$4</f>
        <v>0.1</v>
      </c>
      <c r="J35" s="1064"/>
      <c r="K35" s="1065">
        <f>K34*I35</f>
        <v>0</v>
      </c>
    </row>
    <row r="36" spans="2:11" ht="13">
      <c r="B36" s="1066" t="s">
        <v>71</v>
      </c>
      <c r="C36" s="1067" t="s">
        <v>72</v>
      </c>
      <c r="D36" s="1068"/>
      <c r="E36" s="1068"/>
      <c r="F36" s="1068"/>
      <c r="G36" s="1069"/>
      <c r="H36" s="1070"/>
      <c r="I36" s="1071"/>
      <c r="J36" s="1072"/>
      <c r="K36" s="1073">
        <f>SUM(K33:K35)</f>
        <v>0</v>
      </c>
    </row>
    <row r="37" spans="2:11" ht="13">
      <c r="B37" s="1074"/>
      <c r="C37" s="1075"/>
      <c r="D37" s="1076"/>
      <c r="E37" s="1077"/>
      <c r="F37" s="1077"/>
      <c r="G37" s="1078"/>
      <c r="H37" s="58"/>
      <c r="I37" s="1079"/>
      <c r="J37" s="1080"/>
      <c r="K37" s="1081"/>
    </row>
    <row r="38" spans="2:11" ht="13">
      <c r="B38" s="1082" t="s">
        <v>4300</v>
      </c>
      <c r="C38" s="1084"/>
      <c r="D38" s="1083"/>
      <c r="E38" s="1085" t="s">
        <v>4313</v>
      </c>
      <c r="F38" s="1085"/>
      <c r="G38" s="1086"/>
      <c r="H38" s="1087"/>
      <c r="I38" s="1088"/>
      <c r="J38" s="1089"/>
      <c r="K38" s="1085"/>
    </row>
    <row r="39" spans="2:11" ht="25">
      <c r="B39" s="1042" t="s">
        <v>40</v>
      </c>
      <c r="C39" s="1729" t="s">
        <v>41</v>
      </c>
      <c r="D39" s="1730"/>
      <c r="E39" s="1730"/>
      <c r="F39" s="1730"/>
      <c r="G39" s="1128" t="s">
        <v>42</v>
      </c>
      <c r="H39" s="1129" t="s">
        <v>43</v>
      </c>
      <c r="I39" s="1130" t="s">
        <v>44</v>
      </c>
      <c r="J39" s="1131" t="s">
        <v>474</v>
      </c>
      <c r="K39" s="1132" t="s">
        <v>475</v>
      </c>
    </row>
    <row r="40" spans="2:11">
      <c r="B40" s="1133" t="s">
        <v>45</v>
      </c>
      <c r="C40" s="1060" t="s">
        <v>46</v>
      </c>
      <c r="D40" s="1061"/>
      <c r="E40" s="1061"/>
      <c r="F40" s="1061"/>
      <c r="G40" s="1104"/>
      <c r="H40" s="1105"/>
      <c r="I40" s="1117"/>
      <c r="J40" s="1064"/>
      <c r="K40" s="1107"/>
    </row>
    <row r="41" spans="2:11">
      <c r="B41" s="1059">
        <v>1</v>
      </c>
      <c r="C41" s="1060" t="s">
        <v>4302</v>
      </c>
      <c r="D41" s="1061"/>
      <c r="E41" s="1061"/>
      <c r="F41" s="1061"/>
      <c r="G41" s="1104" t="s">
        <v>4303</v>
      </c>
      <c r="H41" s="1105" t="s">
        <v>4304</v>
      </c>
      <c r="I41" s="1106">
        <v>3.1E-2</v>
      </c>
      <c r="J41" s="1064">
        <f>J23</f>
        <v>0</v>
      </c>
      <c r="K41" s="1107">
        <f>J41*I41</f>
        <v>0</v>
      </c>
    </row>
    <row r="42" spans="2:11">
      <c r="B42" s="1059">
        <v>2</v>
      </c>
      <c r="C42" s="1060" t="s">
        <v>4305</v>
      </c>
      <c r="D42" s="1061"/>
      <c r="E42" s="1061"/>
      <c r="F42" s="1061"/>
      <c r="G42" s="1104" t="s">
        <v>4306</v>
      </c>
      <c r="H42" s="1105" t="s">
        <v>4304</v>
      </c>
      <c r="I42" s="1106">
        <v>5.1999999999999998E-2</v>
      </c>
      <c r="J42" s="1064">
        <f>J24</f>
        <v>0</v>
      </c>
      <c r="K42" s="1107">
        <f>J42*I42</f>
        <v>0</v>
      </c>
    </row>
    <row r="43" spans="2:11">
      <c r="B43" s="1059">
        <v>3</v>
      </c>
      <c r="C43" s="1108" t="s">
        <v>50</v>
      </c>
      <c r="D43" s="1108"/>
      <c r="E43" s="1108"/>
      <c r="F43" s="1108"/>
      <c r="G43" s="1105" t="s">
        <v>4307</v>
      </c>
      <c r="H43" s="1105" t="s">
        <v>48</v>
      </c>
      <c r="I43" s="1106">
        <v>5.0000000000000001E-3</v>
      </c>
      <c r="J43" s="1065">
        <f>J25</f>
        <v>0</v>
      </c>
      <c r="K43" s="1109">
        <f>J43*I43</f>
        <v>0</v>
      </c>
    </row>
    <row r="44" spans="2:11">
      <c r="B44" s="1110">
        <v>4</v>
      </c>
      <c r="C44" s="1111" t="s">
        <v>4308</v>
      </c>
      <c r="D44" s="1134"/>
      <c r="E44" s="1134"/>
      <c r="F44" s="1134"/>
      <c r="G44" s="1112" t="s">
        <v>4309</v>
      </c>
      <c r="H44" s="1113" t="s">
        <v>4304</v>
      </c>
      <c r="I44" s="1106">
        <v>2E-3</v>
      </c>
      <c r="J44" s="1114">
        <f>J26</f>
        <v>0</v>
      </c>
      <c r="K44" s="1107">
        <f>J44*I44</f>
        <v>0</v>
      </c>
    </row>
    <row r="45" spans="2:11">
      <c r="B45" s="1731" t="s">
        <v>52</v>
      </c>
      <c r="C45" s="1732"/>
      <c r="D45" s="1732"/>
      <c r="E45" s="1732"/>
      <c r="F45" s="1732"/>
      <c r="G45" s="1732"/>
      <c r="H45" s="1732"/>
      <c r="I45" s="1732"/>
      <c r="J45" s="1733"/>
      <c r="K45" s="1115">
        <f>SUM(K41:K44)</f>
        <v>0</v>
      </c>
    </row>
    <row r="46" spans="2:11">
      <c r="B46" s="1135" t="s">
        <v>53</v>
      </c>
      <c r="C46" s="1098" t="s">
        <v>54</v>
      </c>
      <c r="D46" s="1136"/>
      <c r="E46" s="1136"/>
      <c r="F46" s="1136"/>
      <c r="G46" s="1099"/>
      <c r="H46" s="1100"/>
      <c r="I46" s="1101"/>
      <c r="J46" s="1102"/>
      <c r="K46" s="1103"/>
    </row>
    <row r="47" spans="2:11">
      <c r="B47" s="1133"/>
      <c r="C47" s="1060" t="s">
        <v>4310</v>
      </c>
      <c r="D47" s="1061"/>
      <c r="E47" s="1061"/>
      <c r="F47" s="1061"/>
      <c r="G47" s="1104"/>
      <c r="H47" s="1116" t="s">
        <v>128</v>
      </c>
      <c r="I47" s="1117">
        <v>1</v>
      </c>
      <c r="J47" s="1064">
        <f>J29</f>
        <v>0</v>
      </c>
      <c r="K47" s="1107">
        <f>J47*I47</f>
        <v>0</v>
      </c>
    </row>
    <row r="48" spans="2:11">
      <c r="B48" s="1137"/>
      <c r="C48" s="1111" t="s">
        <v>2636</v>
      </c>
      <c r="D48" s="1134"/>
      <c r="E48" s="1134"/>
      <c r="F48" s="1134"/>
      <c r="G48" s="1112" t="s">
        <v>4314</v>
      </c>
      <c r="H48" s="1138" t="s">
        <v>128</v>
      </c>
      <c r="I48" s="1118">
        <v>1</v>
      </c>
      <c r="J48" s="1114">
        <v>0</v>
      </c>
      <c r="K48" s="1107">
        <f>J48*I48</f>
        <v>0</v>
      </c>
    </row>
    <row r="49" spans="2:11">
      <c r="B49" s="1724" t="s">
        <v>64</v>
      </c>
      <c r="C49" s="1725"/>
      <c r="D49" s="1725"/>
      <c r="E49" s="1725"/>
      <c r="F49" s="1725"/>
      <c r="G49" s="1725"/>
      <c r="H49" s="1725"/>
      <c r="I49" s="1725"/>
      <c r="J49" s="1726"/>
      <c r="K49" s="1115">
        <f>SUM(K47:K48)</f>
        <v>0</v>
      </c>
    </row>
    <row r="50" spans="2:11">
      <c r="B50" s="1139" t="s">
        <v>65</v>
      </c>
      <c r="C50" s="1120" t="s">
        <v>66</v>
      </c>
      <c r="G50" s="1121"/>
      <c r="H50" s="1122"/>
      <c r="I50" s="1123"/>
      <c r="J50" s="1124"/>
      <c r="K50" s="1125"/>
    </row>
    <row r="51" spans="2:11">
      <c r="B51" s="1724" t="s">
        <v>67</v>
      </c>
      <c r="C51" s="1725"/>
      <c r="D51" s="1725"/>
      <c r="E51" s="1725"/>
      <c r="F51" s="1725"/>
      <c r="G51" s="1725"/>
      <c r="H51" s="1725"/>
      <c r="I51" s="1725"/>
      <c r="J51" s="1726"/>
      <c r="K51" s="1115">
        <v>0</v>
      </c>
    </row>
    <row r="52" spans="2:11">
      <c r="B52" s="1097" t="s">
        <v>68</v>
      </c>
      <c r="C52" s="1098" t="s">
        <v>69</v>
      </c>
      <c r="D52" s="1136"/>
      <c r="E52" s="1136"/>
      <c r="F52" s="1136"/>
      <c r="G52" s="1140"/>
      <c r="H52" s="1141"/>
      <c r="I52" s="1142"/>
      <c r="J52" s="1102"/>
      <c r="K52" s="1143">
        <f>K49+K45</f>
        <v>0</v>
      </c>
    </row>
    <row r="53" spans="2:11">
      <c r="B53" s="1059" t="s">
        <v>70</v>
      </c>
      <c r="C53" s="1060" t="s">
        <v>4299</v>
      </c>
      <c r="D53" s="1061"/>
      <c r="E53" s="1061"/>
      <c r="F53" s="1061"/>
      <c r="G53" s="1062"/>
      <c r="H53" s="1063"/>
      <c r="I53" s="1064">
        <f>$K$4</f>
        <v>0.1</v>
      </c>
      <c r="J53" s="1064"/>
      <c r="K53" s="1065">
        <f>K52*I53</f>
        <v>0</v>
      </c>
    </row>
    <row r="54" spans="2:11" ht="13">
      <c r="B54" s="1066" t="s">
        <v>71</v>
      </c>
      <c r="C54" s="1067" t="s">
        <v>72</v>
      </c>
      <c r="D54" s="1068"/>
      <c r="E54" s="1068"/>
      <c r="F54" s="1068"/>
      <c r="G54" s="1069"/>
      <c r="H54" s="1070"/>
      <c r="I54" s="1071"/>
      <c r="J54" s="1072"/>
      <c r="K54" s="1073">
        <f>SUM(K51:K53)</f>
        <v>0</v>
      </c>
    </row>
    <row r="55" spans="2:11" ht="13">
      <c r="B55" s="1074"/>
      <c r="C55" s="1075"/>
      <c r="D55" s="1076"/>
      <c r="E55" s="1077"/>
      <c r="F55" s="1077"/>
      <c r="G55" s="1078"/>
      <c r="H55" s="58"/>
      <c r="I55" s="1079"/>
      <c r="J55" s="1080"/>
      <c r="K55" s="1081"/>
    </row>
    <row r="56" spans="2:11" ht="13">
      <c r="B56" s="1082" t="s">
        <v>4300</v>
      </c>
      <c r="C56" s="1083"/>
      <c r="D56" s="1084"/>
      <c r="E56" s="1085" t="s">
        <v>4315</v>
      </c>
      <c r="F56" s="1085"/>
      <c r="G56" s="1086"/>
      <c r="H56" s="1087"/>
      <c r="I56" s="1088"/>
      <c r="J56" s="1089"/>
      <c r="K56" s="1085"/>
    </row>
    <row r="57" spans="2:11" ht="25">
      <c r="B57" s="1090" t="s">
        <v>40</v>
      </c>
      <c r="C57" s="1734" t="s">
        <v>41</v>
      </c>
      <c r="D57" s="1735"/>
      <c r="E57" s="1735"/>
      <c r="F57" s="1735"/>
      <c r="G57" s="1092" t="s">
        <v>42</v>
      </c>
      <c r="H57" s="1093" t="s">
        <v>43</v>
      </c>
      <c r="I57" s="1094" t="s">
        <v>44</v>
      </c>
      <c r="J57" s="1095" t="s">
        <v>474</v>
      </c>
      <c r="K57" s="1096" t="s">
        <v>475</v>
      </c>
    </row>
    <row r="58" spans="2:11">
      <c r="B58" s="1097" t="s">
        <v>45</v>
      </c>
      <c r="C58" s="1098" t="s">
        <v>46</v>
      </c>
      <c r="D58" s="1053"/>
      <c r="E58" s="1053"/>
      <c r="F58" s="1053"/>
      <c r="G58" s="1099"/>
      <c r="H58" s="1100"/>
      <c r="I58" s="1101"/>
      <c r="J58" s="1102"/>
      <c r="K58" s="1103"/>
    </row>
    <row r="59" spans="2:11">
      <c r="B59" s="1059">
        <v>1</v>
      </c>
      <c r="C59" s="1060" t="s">
        <v>4302</v>
      </c>
      <c r="D59" s="1061"/>
      <c r="E59" s="1061"/>
      <c r="F59" s="1061"/>
      <c r="G59" s="1104" t="s">
        <v>4303</v>
      </c>
      <c r="H59" s="1105" t="s">
        <v>4304</v>
      </c>
      <c r="I59" s="1106">
        <v>3.1E-2</v>
      </c>
      <c r="J59" s="1064">
        <f>J41</f>
        <v>0</v>
      </c>
      <c r="K59" s="1107">
        <f>J59*I59</f>
        <v>0</v>
      </c>
    </row>
    <row r="60" spans="2:11">
      <c r="B60" s="1059">
        <v>2</v>
      </c>
      <c r="C60" s="1060" t="s">
        <v>4305</v>
      </c>
      <c r="D60" s="1061"/>
      <c r="E60" s="1061"/>
      <c r="F60" s="1061"/>
      <c r="G60" s="1104" t="s">
        <v>4306</v>
      </c>
      <c r="H60" s="1105" t="s">
        <v>4304</v>
      </c>
      <c r="I60" s="1106">
        <v>5.1999999999999998E-2</v>
      </c>
      <c r="J60" s="1064">
        <f>J42</f>
        <v>0</v>
      </c>
      <c r="K60" s="1107">
        <f>J60*I60</f>
        <v>0</v>
      </c>
    </row>
    <row r="61" spans="2:11">
      <c r="B61" s="1059">
        <v>3</v>
      </c>
      <c r="C61" s="1108" t="s">
        <v>50</v>
      </c>
      <c r="D61" s="1108"/>
      <c r="E61" s="1108"/>
      <c r="F61" s="1108"/>
      <c r="G61" s="1105" t="s">
        <v>4307</v>
      </c>
      <c r="H61" s="1105" t="s">
        <v>48</v>
      </c>
      <c r="I61" s="1106">
        <v>5.0000000000000001E-3</v>
      </c>
      <c r="J61" s="1065">
        <f>J43</f>
        <v>0</v>
      </c>
      <c r="K61" s="1109">
        <f>J61*I61</f>
        <v>0</v>
      </c>
    </row>
    <row r="62" spans="2:11">
      <c r="B62" s="1110">
        <v>4</v>
      </c>
      <c r="C62" s="1111" t="s">
        <v>4308</v>
      </c>
      <c r="D62" s="1068"/>
      <c r="E62" s="1068"/>
      <c r="F62" s="1068"/>
      <c r="G62" s="1112" t="s">
        <v>4309</v>
      </c>
      <c r="H62" s="1113" t="s">
        <v>4304</v>
      </c>
      <c r="I62" s="1106">
        <v>2E-3</v>
      </c>
      <c r="J62" s="1114">
        <f>J44</f>
        <v>0</v>
      </c>
      <c r="K62" s="1107">
        <f>J62*I62</f>
        <v>0</v>
      </c>
    </row>
    <row r="63" spans="2:11">
      <c r="B63" s="1728" t="s">
        <v>52</v>
      </c>
      <c r="C63" s="1721"/>
      <c r="D63" s="1721"/>
      <c r="E63" s="1721"/>
      <c r="F63" s="1721"/>
      <c r="G63" s="1721"/>
      <c r="H63" s="1721"/>
      <c r="I63" s="1721"/>
      <c r="J63" s="1722"/>
      <c r="K63" s="1115">
        <f>SUM(K59:K62)</f>
        <v>0</v>
      </c>
    </row>
    <row r="64" spans="2:11">
      <c r="B64" s="1097" t="s">
        <v>53</v>
      </c>
      <c r="C64" s="1098" t="s">
        <v>54</v>
      </c>
      <c r="G64" s="1099"/>
      <c r="H64" s="1100"/>
      <c r="I64" s="1101"/>
      <c r="J64" s="1102"/>
      <c r="K64" s="1103"/>
    </row>
    <row r="65" spans="2:11">
      <c r="B65" s="1059"/>
      <c r="C65" s="1060" t="s">
        <v>4310</v>
      </c>
      <c r="G65" s="1104" t="s">
        <v>4316</v>
      </c>
      <c r="H65" s="1116" t="s">
        <v>128</v>
      </c>
      <c r="I65" s="1117">
        <v>1</v>
      </c>
      <c r="J65" s="1064">
        <f>J47</f>
        <v>0</v>
      </c>
      <c r="K65" s="1107">
        <f>J65*I65</f>
        <v>0</v>
      </c>
    </row>
    <row r="66" spans="2:11">
      <c r="B66" s="1110"/>
      <c r="C66" s="1111" t="s">
        <v>4317</v>
      </c>
      <c r="G66" s="1112" t="s">
        <v>4312</v>
      </c>
      <c r="H66" s="1112" t="s">
        <v>4312</v>
      </c>
      <c r="I66" s="1118">
        <v>1</v>
      </c>
      <c r="J66" s="1114">
        <v>0</v>
      </c>
      <c r="K66" s="1107">
        <f>J66*I66</f>
        <v>0</v>
      </c>
    </row>
    <row r="67" spans="2:11">
      <c r="B67" s="1723" t="s">
        <v>64</v>
      </c>
      <c r="C67" s="1716"/>
      <c r="D67" s="1716"/>
      <c r="E67" s="1716"/>
      <c r="F67" s="1716"/>
      <c r="G67" s="1716"/>
      <c r="H67" s="1716"/>
      <c r="I67" s="1716"/>
      <c r="J67" s="1717"/>
      <c r="K67" s="1115">
        <f>SUM(K65:K66)</f>
        <v>0</v>
      </c>
    </row>
    <row r="68" spans="2:11">
      <c r="B68" s="1119" t="s">
        <v>65</v>
      </c>
      <c r="C68" s="1120" t="s">
        <v>66</v>
      </c>
      <c r="G68" s="1121"/>
      <c r="H68" s="1122"/>
      <c r="I68" s="1123"/>
      <c r="J68" s="1124"/>
      <c r="K68" s="1125"/>
    </row>
    <row r="69" spans="2:11">
      <c r="B69" s="1724" t="s">
        <v>67</v>
      </c>
      <c r="C69" s="1725"/>
      <c r="D69" s="1725"/>
      <c r="E69" s="1725"/>
      <c r="F69" s="1725"/>
      <c r="G69" s="1725"/>
      <c r="H69" s="1725"/>
      <c r="I69" s="1725"/>
      <c r="J69" s="1726"/>
      <c r="K69" s="1115">
        <v>0</v>
      </c>
    </row>
    <row r="70" spans="2:11">
      <c r="B70" s="1042" t="s">
        <v>68</v>
      </c>
      <c r="C70" s="1052" t="s">
        <v>69</v>
      </c>
      <c r="D70" s="1053"/>
      <c r="E70" s="1053"/>
      <c r="F70" s="1053"/>
      <c r="G70" s="1054"/>
      <c r="H70" s="1055"/>
      <c r="I70" s="1056"/>
      <c r="J70" s="1057"/>
      <c r="K70" s="1058">
        <f>K67+K63</f>
        <v>0</v>
      </c>
    </row>
    <row r="71" spans="2:11">
      <c r="B71" s="1059" t="s">
        <v>70</v>
      </c>
      <c r="C71" s="1060" t="s">
        <v>4299</v>
      </c>
      <c r="D71" s="1061"/>
      <c r="E71" s="1061"/>
      <c r="F71" s="1061"/>
      <c r="G71" s="1062"/>
      <c r="H71" s="1063"/>
      <c r="I71" s="1064">
        <f>$K$4</f>
        <v>0.1</v>
      </c>
      <c r="J71" s="1064"/>
      <c r="K71" s="1065">
        <f>K70*I71</f>
        <v>0</v>
      </c>
    </row>
    <row r="72" spans="2:11" ht="13">
      <c r="B72" s="1066" t="s">
        <v>71</v>
      </c>
      <c r="C72" s="1067" t="s">
        <v>72</v>
      </c>
      <c r="D72" s="1068"/>
      <c r="E72" s="1068"/>
      <c r="F72" s="1068"/>
      <c r="G72" s="1069"/>
      <c r="H72" s="1070"/>
      <c r="I72" s="1071"/>
      <c r="J72" s="1072"/>
      <c r="K72" s="1073">
        <f>SUM(K69:K71)</f>
        <v>0</v>
      </c>
    </row>
    <row r="73" spans="2:11" ht="13">
      <c r="B73" s="1074"/>
      <c r="C73" s="1075"/>
      <c r="D73" s="1076"/>
      <c r="E73" s="1077"/>
      <c r="F73" s="1077"/>
      <c r="G73" s="1078"/>
      <c r="H73" s="58"/>
      <c r="I73" s="1079"/>
      <c r="J73" s="1080"/>
      <c r="K73" s="1081"/>
    </row>
    <row r="74" spans="2:11" ht="13">
      <c r="B74" s="1082" t="s">
        <v>4300</v>
      </c>
      <c r="C74" s="1084"/>
      <c r="D74" s="1083"/>
      <c r="E74" s="1085" t="s">
        <v>4318</v>
      </c>
      <c r="F74" s="1085"/>
      <c r="G74" s="1086"/>
      <c r="H74" s="1087"/>
      <c r="I74" s="1088"/>
      <c r="J74" s="1089"/>
      <c r="K74" s="1085"/>
    </row>
    <row r="75" spans="2:11" ht="25">
      <c r="B75" s="1042" t="s">
        <v>40</v>
      </c>
      <c r="C75" s="1729" t="s">
        <v>41</v>
      </c>
      <c r="D75" s="1730"/>
      <c r="E75" s="1730"/>
      <c r="F75" s="1730"/>
      <c r="G75" s="1128" t="s">
        <v>42</v>
      </c>
      <c r="H75" s="1129" t="s">
        <v>43</v>
      </c>
      <c r="I75" s="1130" t="s">
        <v>44</v>
      </c>
      <c r="J75" s="1131" t="s">
        <v>474</v>
      </c>
      <c r="K75" s="1132" t="s">
        <v>475</v>
      </c>
    </row>
    <row r="76" spans="2:11">
      <c r="B76" s="1133" t="s">
        <v>45</v>
      </c>
      <c r="C76" s="1060" t="s">
        <v>46</v>
      </c>
      <c r="D76" s="1061"/>
      <c r="E76" s="1061"/>
      <c r="F76" s="1061"/>
      <c r="G76" s="1104"/>
      <c r="H76" s="1105"/>
      <c r="I76" s="1117"/>
      <c r="J76" s="1064"/>
      <c r="K76" s="1107"/>
    </row>
    <row r="77" spans="2:11">
      <c r="B77" s="1059">
        <v>1</v>
      </c>
      <c r="C77" s="1060" t="s">
        <v>4302</v>
      </c>
      <c r="D77" s="1061"/>
      <c r="E77" s="1061"/>
      <c r="F77" s="1061"/>
      <c r="G77" s="1104" t="s">
        <v>4303</v>
      </c>
      <c r="H77" s="1105" t="s">
        <v>4304</v>
      </c>
      <c r="I77" s="1106">
        <v>3.1E-2</v>
      </c>
      <c r="J77" s="1064">
        <f>J59</f>
        <v>0</v>
      </c>
      <c r="K77" s="1107">
        <f>J77*I77</f>
        <v>0</v>
      </c>
    </row>
    <row r="78" spans="2:11">
      <c r="B78" s="1059">
        <v>2</v>
      </c>
      <c r="C78" s="1060" t="s">
        <v>4305</v>
      </c>
      <c r="D78" s="1061"/>
      <c r="E78" s="1061"/>
      <c r="F78" s="1061"/>
      <c r="G78" s="1104" t="s">
        <v>4306</v>
      </c>
      <c r="H78" s="1105" t="s">
        <v>4304</v>
      </c>
      <c r="I78" s="1106">
        <v>5.1999999999999998E-2</v>
      </c>
      <c r="J78" s="1064">
        <f>J60</f>
        <v>0</v>
      </c>
      <c r="K78" s="1107">
        <f>J78*I78</f>
        <v>0</v>
      </c>
    </row>
    <row r="79" spans="2:11">
      <c r="B79" s="1059">
        <v>3</v>
      </c>
      <c r="C79" s="1108" t="s">
        <v>50</v>
      </c>
      <c r="D79" s="1108"/>
      <c r="E79" s="1108"/>
      <c r="F79" s="1108"/>
      <c r="G79" s="1105" t="s">
        <v>4307</v>
      </c>
      <c r="H79" s="1105" t="s">
        <v>48</v>
      </c>
      <c r="I79" s="1106">
        <v>5.0000000000000001E-3</v>
      </c>
      <c r="J79" s="1065">
        <f>J61</f>
        <v>0</v>
      </c>
      <c r="K79" s="1109">
        <f>J79*I79</f>
        <v>0</v>
      </c>
    </row>
    <row r="80" spans="2:11">
      <c r="B80" s="1110">
        <v>4</v>
      </c>
      <c r="C80" s="1111" t="s">
        <v>4308</v>
      </c>
      <c r="D80" s="1068"/>
      <c r="E80" s="1068"/>
      <c r="F80" s="1068"/>
      <c r="G80" s="1112" t="s">
        <v>4309</v>
      </c>
      <c r="H80" s="1113" t="s">
        <v>4304</v>
      </c>
      <c r="I80" s="1106">
        <v>2E-3</v>
      </c>
      <c r="J80" s="1114">
        <f>J62</f>
        <v>0</v>
      </c>
      <c r="K80" s="1107">
        <f>J80*I80</f>
        <v>0</v>
      </c>
    </row>
    <row r="81" spans="2:11">
      <c r="B81" s="1731" t="s">
        <v>52</v>
      </c>
      <c r="C81" s="1732"/>
      <c r="D81" s="1732"/>
      <c r="E81" s="1732"/>
      <c r="F81" s="1732"/>
      <c r="G81" s="1732"/>
      <c r="H81" s="1732"/>
      <c r="I81" s="1732"/>
      <c r="J81" s="1733"/>
      <c r="K81" s="1115">
        <f>SUM(K77:K80)</f>
        <v>0</v>
      </c>
    </row>
    <row r="82" spans="2:11">
      <c r="B82" s="1135" t="s">
        <v>53</v>
      </c>
      <c r="C82" s="1098" t="s">
        <v>54</v>
      </c>
      <c r="D82" s="1136"/>
      <c r="E82" s="1136"/>
      <c r="F82" s="1136"/>
      <c r="G82" s="1099"/>
      <c r="H82" s="1100"/>
      <c r="I82" s="1101"/>
      <c r="J82" s="1102"/>
      <c r="K82" s="1103"/>
    </row>
    <row r="83" spans="2:11">
      <c r="B83" s="1133"/>
      <c r="C83" s="1060" t="s">
        <v>4310</v>
      </c>
      <c r="D83" s="1061"/>
      <c r="E83" s="1061"/>
      <c r="F83" s="1061"/>
      <c r="G83" s="1104"/>
      <c r="H83" s="1116" t="s">
        <v>128</v>
      </c>
      <c r="I83" s="1117">
        <v>1</v>
      </c>
      <c r="J83" s="1064">
        <f>J47</f>
        <v>0</v>
      </c>
      <c r="K83" s="1107">
        <f>J83*I83</f>
        <v>0</v>
      </c>
    </row>
    <row r="84" spans="2:11">
      <c r="B84" s="1137"/>
      <c r="C84" s="1111" t="s">
        <v>4319</v>
      </c>
      <c r="D84" s="1134"/>
      <c r="E84" s="1134"/>
      <c r="F84" s="1134"/>
      <c r="G84" s="1112" t="s">
        <v>4314</v>
      </c>
      <c r="H84" s="1138" t="s">
        <v>128</v>
      </c>
      <c r="I84" s="1118">
        <v>1</v>
      </c>
      <c r="J84" s="1114">
        <v>0</v>
      </c>
      <c r="K84" s="1107">
        <f>J84*I84</f>
        <v>0</v>
      </c>
    </row>
    <row r="85" spans="2:11">
      <c r="B85" s="1724" t="s">
        <v>64</v>
      </c>
      <c r="C85" s="1725"/>
      <c r="D85" s="1725"/>
      <c r="E85" s="1725"/>
      <c r="F85" s="1725"/>
      <c r="G85" s="1725"/>
      <c r="H85" s="1725"/>
      <c r="I85" s="1725"/>
      <c r="J85" s="1726"/>
      <c r="K85" s="1115">
        <f>SUM(K83:K84)</f>
        <v>0</v>
      </c>
    </row>
    <row r="86" spans="2:11">
      <c r="B86" s="1139" t="s">
        <v>65</v>
      </c>
      <c r="C86" s="1120" t="s">
        <v>66</v>
      </c>
      <c r="G86" s="1121"/>
      <c r="H86" s="1122"/>
      <c r="I86" s="1123"/>
      <c r="J86" s="1124"/>
      <c r="K86" s="1125"/>
    </row>
    <row r="87" spans="2:11">
      <c r="B87" s="1724" t="s">
        <v>67</v>
      </c>
      <c r="C87" s="1725"/>
      <c r="D87" s="1725"/>
      <c r="E87" s="1725"/>
      <c r="F87" s="1725"/>
      <c r="G87" s="1725"/>
      <c r="H87" s="1725"/>
      <c r="I87" s="1725"/>
      <c r="J87" s="1726"/>
      <c r="K87" s="1115">
        <v>0</v>
      </c>
    </row>
    <row r="88" spans="2:11">
      <c r="B88" s="1097" t="s">
        <v>68</v>
      </c>
      <c r="C88" s="1098" t="s">
        <v>69</v>
      </c>
      <c r="D88" s="1136"/>
      <c r="E88" s="1136"/>
      <c r="F88" s="1136"/>
      <c r="G88" s="1140"/>
      <c r="H88" s="1141"/>
      <c r="I88" s="1142"/>
      <c r="J88" s="1102"/>
      <c r="K88" s="1143">
        <f>K85+K81</f>
        <v>0</v>
      </c>
    </row>
    <row r="89" spans="2:11">
      <c r="B89" s="1059" t="s">
        <v>70</v>
      </c>
      <c r="C89" s="1060" t="s">
        <v>4299</v>
      </c>
      <c r="D89" s="1061"/>
      <c r="E89" s="1061"/>
      <c r="F89" s="1061"/>
      <c r="G89" s="1062"/>
      <c r="H89" s="1063"/>
      <c r="I89" s="1064">
        <f>$K$4</f>
        <v>0.1</v>
      </c>
      <c r="J89" s="1064"/>
      <c r="K89" s="1065">
        <f>K88*I89</f>
        <v>0</v>
      </c>
    </row>
    <row r="90" spans="2:11" ht="13">
      <c r="B90" s="1066" t="s">
        <v>71</v>
      </c>
      <c r="C90" s="1067" t="s">
        <v>72</v>
      </c>
      <c r="D90" s="1068"/>
      <c r="E90" s="1068"/>
      <c r="F90" s="1068"/>
      <c r="G90" s="1069"/>
      <c r="H90" s="1070"/>
      <c r="I90" s="1071"/>
      <c r="J90" s="1072"/>
      <c r="K90" s="1073">
        <f>SUM(K87:K89)</f>
        <v>0</v>
      </c>
    </row>
    <row r="91" spans="2:11" ht="13">
      <c r="B91" s="1031"/>
      <c r="C91" s="1030"/>
      <c r="D91" s="1030"/>
      <c r="E91" s="1030"/>
      <c r="F91" s="1030"/>
      <c r="G91" s="1030"/>
      <c r="H91" s="1030"/>
      <c r="I91" s="1030"/>
      <c r="J91" s="1030"/>
      <c r="K91" s="1030"/>
    </row>
    <row r="92" spans="2:11" ht="13">
      <c r="B92" s="1082" t="s">
        <v>4300</v>
      </c>
      <c r="C92" s="1084"/>
      <c r="D92" s="1083"/>
      <c r="E92" s="1085" t="s">
        <v>4320</v>
      </c>
      <c r="F92" s="1085"/>
      <c r="G92" s="1086"/>
      <c r="H92" s="1087"/>
      <c r="I92" s="1088"/>
      <c r="J92" s="1089"/>
      <c r="K92" s="1085"/>
    </row>
    <row r="93" spans="2:11" ht="25">
      <c r="B93" s="1090" t="s">
        <v>40</v>
      </c>
      <c r="C93" s="1727" t="s">
        <v>41</v>
      </c>
      <c r="D93" s="1727"/>
      <c r="E93" s="1727"/>
      <c r="F93" s="1727"/>
      <c r="G93" s="1092" t="s">
        <v>42</v>
      </c>
      <c r="H93" s="1093" t="s">
        <v>43</v>
      </c>
      <c r="I93" s="1094" t="s">
        <v>44</v>
      </c>
      <c r="J93" s="1095" t="s">
        <v>474</v>
      </c>
      <c r="K93" s="1096" t="s">
        <v>475</v>
      </c>
    </row>
    <row r="94" spans="2:11">
      <c r="B94" s="1135" t="s">
        <v>45</v>
      </c>
      <c r="C94" s="1098" t="s">
        <v>46</v>
      </c>
      <c r="D94" s="1136"/>
      <c r="E94" s="1136"/>
      <c r="F94" s="1136"/>
      <c r="G94" s="1099"/>
      <c r="H94" s="1100"/>
      <c r="I94" s="1101"/>
      <c r="J94" s="1102"/>
      <c r="K94" s="1103"/>
    </row>
    <row r="95" spans="2:11">
      <c r="B95" s="1059">
        <v>1</v>
      </c>
      <c r="C95" s="1060" t="s">
        <v>4302</v>
      </c>
      <c r="D95" s="1061"/>
      <c r="E95" s="1061"/>
      <c r="F95" s="1061"/>
      <c r="G95" s="1104" t="s">
        <v>4303</v>
      </c>
      <c r="H95" s="1105" t="s">
        <v>4304</v>
      </c>
      <c r="I95" s="1106">
        <v>2.5999999999999999E-2</v>
      </c>
      <c r="J95" s="1064">
        <f>J77</f>
        <v>0</v>
      </c>
      <c r="K95" s="1107">
        <f>J95*I95</f>
        <v>0</v>
      </c>
    </row>
    <row r="96" spans="2:11">
      <c r="B96" s="1059">
        <v>2</v>
      </c>
      <c r="C96" s="1060" t="s">
        <v>4305</v>
      </c>
      <c r="D96" s="1061"/>
      <c r="E96" s="1061"/>
      <c r="F96" s="1061"/>
      <c r="G96" s="1104" t="s">
        <v>4306</v>
      </c>
      <c r="H96" s="1105" t="s">
        <v>4304</v>
      </c>
      <c r="I96" s="1106">
        <v>4.3999999999999997E-2</v>
      </c>
      <c r="J96" s="1064">
        <f>J78</f>
        <v>0</v>
      </c>
      <c r="K96" s="1107">
        <f>J96*I96</f>
        <v>0</v>
      </c>
    </row>
    <row r="97" spans="2:11">
      <c r="B97" s="1059">
        <v>3</v>
      </c>
      <c r="C97" s="1108" t="s">
        <v>50</v>
      </c>
      <c r="D97" s="1108"/>
      <c r="E97" s="1108"/>
      <c r="F97" s="1108"/>
      <c r="G97" s="1105" t="s">
        <v>4307</v>
      </c>
      <c r="H97" s="1105" t="s">
        <v>48</v>
      </c>
      <c r="I97" s="1106">
        <v>4.0000000000000001E-3</v>
      </c>
      <c r="J97" s="1065">
        <f>J79</f>
        <v>0</v>
      </c>
      <c r="K97" s="1109">
        <f>J97*I97</f>
        <v>0</v>
      </c>
    </row>
    <row r="98" spans="2:11">
      <c r="B98" s="1110">
        <v>4</v>
      </c>
      <c r="C98" s="1111" t="s">
        <v>4308</v>
      </c>
      <c r="D98" s="1068"/>
      <c r="E98" s="1068"/>
      <c r="F98" s="1068"/>
      <c r="G98" s="1112" t="s">
        <v>4309</v>
      </c>
      <c r="H98" s="1113" t="s">
        <v>4304</v>
      </c>
      <c r="I98" s="1106">
        <v>1E-3</v>
      </c>
      <c r="J98" s="1114">
        <f>J80</f>
        <v>0</v>
      </c>
      <c r="K98" s="1107">
        <f>J98*I98</f>
        <v>0</v>
      </c>
    </row>
    <row r="99" spans="2:11">
      <c r="B99" s="1728" t="s">
        <v>52</v>
      </c>
      <c r="C99" s="1721"/>
      <c r="D99" s="1721"/>
      <c r="E99" s="1721"/>
      <c r="F99" s="1721"/>
      <c r="G99" s="1721"/>
      <c r="H99" s="1721"/>
      <c r="I99" s="1721"/>
      <c r="J99" s="1722"/>
      <c r="K99" s="1115">
        <f>SUM(K95:K98)</f>
        <v>0</v>
      </c>
    </row>
    <row r="100" spans="2:11">
      <c r="B100" s="1135" t="s">
        <v>53</v>
      </c>
      <c r="C100" s="1098" t="s">
        <v>54</v>
      </c>
      <c r="D100" s="1136"/>
      <c r="E100" s="1136"/>
      <c r="F100" s="1136"/>
      <c r="G100" s="1099"/>
      <c r="H100" s="1100"/>
      <c r="I100" s="1101"/>
      <c r="J100" s="1102"/>
      <c r="K100" s="1103"/>
    </row>
    <row r="101" spans="2:11">
      <c r="B101" s="1133"/>
      <c r="C101" s="1060" t="s">
        <v>4310</v>
      </c>
      <c r="D101" s="1061"/>
      <c r="E101" s="1061"/>
      <c r="F101" s="1061"/>
      <c r="G101" s="1104" t="s">
        <v>4316</v>
      </c>
      <c r="H101" s="1116" t="s">
        <v>128</v>
      </c>
      <c r="I101" s="1117">
        <v>1</v>
      </c>
      <c r="J101" s="1064">
        <f>J47</f>
        <v>0</v>
      </c>
      <c r="K101" s="1107">
        <f>J101*I101</f>
        <v>0</v>
      </c>
    </row>
    <row r="102" spans="2:11">
      <c r="B102" s="1137"/>
      <c r="C102" s="1111" t="s">
        <v>4321</v>
      </c>
      <c r="D102" s="1134"/>
      <c r="E102" s="1134"/>
      <c r="F102" s="1134"/>
      <c r="G102" s="1112" t="s">
        <v>4322</v>
      </c>
      <c r="H102" s="1138" t="s">
        <v>128</v>
      </c>
      <c r="I102" s="1118">
        <v>1</v>
      </c>
      <c r="J102" s="1114">
        <v>0</v>
      </c>
      <c r="K102" s="1107">
        <f>J102*I102</f>
        <v>0</v>
      </c>
    </row>
    <row r="103" spans="2:11">
      <c r="B103" s="1723" t="s">
        <v>64</v>
      </c>
      <c r="C103" s="1716"/>
      <c r="D103" s="1716"/>
      <c r="E103" s="1716"/>
      <c r="F103" s="1716"/>
      <c r="G103" s="1716"/>
      <c r="H103" s="1716"/>
      <c r="I103" s="1716"/>
      <c r="J103" s="1717"/>
      <c r="K103" s="1115">
        <f>SUM(K101:K102)</f>
        <v>0</v>
      </c>
    </row>
    <row r="104" spans="2:11">
      <c r="B104" s="1139" t="s">
        <v>65</v>
      </c>
      <c r="C104" s="1120" t="s">
        <v>66</v>
      </c>
      <c r="E104" s="90"/>
      <c r="F104" s="90"/>
      <c r="G104" s="1121"/>
      <c r="H104" s="1122"/>
      <c r="I104" s="1123"/>
      <c r="J104" s="1124"/>
      <c r="K104" s="1125"/>
    </row>
    <row r="105" spans="2:11">
      <c r="B105" s="1724" t="s">
        <v>67</v>
      </c>
      <c r="C105" s="1725"/>
      <c r="D105" s="1725"/>
      <c r="E105" s="1725"/>
      <c r="F105" s="1725"/>
      <c r="G105" s="1725"/>
      <c r="H105" s="1725"/>
      <c r="I105" s="1725"/>
      <c r="J105" s="1726"/>
      <c r="K105" s="1115">
        <v>0</v>
      </c>
    </row>
    <row r="106" spans="2:11">
      <c r="B106" s="1097" t="s">
        <v>68</v>
      </c>
      <c r="C106" s="1098" t="s">
        <v>69</v>
      </c>
      <c r="D106" s="1136"/>
      <c r="E106" s="1136"/>
      <c r="F106" s="1136"/>
      <c r="G106" s="1140"/>
      <c r="H106" s="1141"/>
      <c r="I106" s="1142"/>
      <c r="J106" s="1102"/>
      <c r="K106" s="1143">
        <f>K103+K99</f>
        <v>0</v>
      </c>
    </row>
    <row r="107" spans="2:11">
      <c r="B107" s="1059" t="s">
        <v>70</v>
      </c>
      <c r="C107" s="1060" t="s">
        <v>4299</v>
      </c>
      <c r="D107" s="1061"/>
      <c r="E107" s="1061"/>
      <c r="F107" s="1061"/>
      <c r="G107" s="1062"/>
      <c r="H107" s="1063"/>
      <c r="I107" s="1064">
        <f>$K$4</f>
        <v>0.1</v>
      </c>
      <c r="J107" s="1064"/>
      <c r="K107" s="1065">
        <f>K106*I107</f>
        <v>0</v>
      </c>
    </row>
    <row r="108" spans="2:11" ht="13">
      <c r="B108" s="1066" t="s">
        <v>71</v>
      </c>
      <c r="C108" s="1070" t="s">
        <v>72</v>
      </c>
      <c r="D108" s="1145"/>
      <c r="E108" s="1146"/>
      <c r="F108" s="1068"/>
      <c r="G108" s="1069"/>
      <c r="H108" s="1070"/>
      <c r="I108" s="1071"/>
      <c r="J108" s="1072"/>
      <c r="K108" s="1073">
        <f>SUM(K105:K107)</f>
        <v>0</v>
      </c>
    </row>
    <row r="109" spans="2:11" ht="13">
      <c r="B109" s="1074"/>
      <c r="C109" s="1075"/>
      <c r="D109" s="1076"/>
      <c r="E109" s="1077"/>
      <c r="F109" s="1077"/>
      <c r="G109" s="1078"/>
      <c r="H109" s="58"/>
      <c r="I109" s="1079"/>
      <c r="J109" s="1080"/>
      <c r="K109" s="1081"/>
    </row>
    <row r="110" spans="2:11" ht="13">
      <c r="B110" s="1082" t="s">
        <v>4323</v>
      </c>
      <c r="C110" s="1084"/>
      <c r="D110" s="1083"/>
      <c r="E110" s="1085" t="s">
        <v>4324</v>
      </c>
      <c r="F110" s="1085"/>
      <c r="G110" s="1086"/>
      <c r="H110" s="1087"/>
      <c r="I110" s="1088"/>
      <c r="J110" s="1089"/>
      <c r="K110" s="1085"/>
    </row>
    <row r="111" spans="2:11" ht="25">
      <c r="B111" s="1090" t="s">
        <v>40</v>
      </c>
      <c r="C111" s="1727" t="s">
        <v>41</v>
      </c>
      <c r="D111" s="1727"/>
      <c r="E111" s="1727"/>
      <c r="F111" s="1727"/>
      <c r="G111" s="1092" t="s">
        <v>42</v>
      </c>
      <c r="H111" s="1093" t="s">
        <v>43</v>
      </c>
      <c r="I111" s="1094" t="s">
        <v>44</v>
      </c>
      <c r="J111" s="1095" t="s">
        <v>474</v>
      </c>
      <c r="K111" s="1096" t="s">
        <v>475</v>
      </c>
    </row>
    <row r="112" spans="2:11">
      <c r="B112" s="1135" t="s">
        <v>45</v>
      </c>
      <c r="C112" s="1098" t="s">
        <v>46</v>
      </c>
      <c r="D112" s="1136"/>
      <c r="E112" s="1136"/>
      <c r="F112" s="1136"/>
      <c r="G112" s="1099"/>
      <c r="H112" s="1100"/>
      <c r="I112" s="1101"/>
      <c r="J112" s="1102"/>
      <c r="K112" s="1103"/>
    </row>
    <row r="113" spans="2:11">
      <c r="B113" s="1059">
        <v>1</v>
      </c>
      <c r="C113" s="1060" t="s">
        <v>4302</v>
      </c>
      <c r="D113" s="1061"/>
      <c r="E113" s="1061"/>
      <c r="F113" s="1061"/>
      <c r="G113" s="1104" t="s">
        <v>4303</v>
      </c>
      <c r="H113" s="1105" t="s">
        <v>4304</v>
      </c>
      <c r="I113" s="1106">
        <v>2.5999999999999999E-2</v>
      </c>
      <c r="J113" s="1064">
        <f>J95</f>
        <v>0</v>
      </c>
      <c r="K113" s="1107">
        <f>J113*I113</f>
        <v>0</v>
      </c>
    </row>
    <row r="114" spans="2:11">
      <c r="B114" s="1059">
        <v>2</v>
      </c>
      <c r="C114" s="1060" t="s">
        <v>4305</v>
      </c>
      <c r="D114" s="1061"/>
      <c r="E114" s="1061"/>
      <c r="F114" s="1061"/>
      <c r="G114" s="1104" t="s">
        <v>4306</v>
      </c>
      <c r="H114" s="1105" t="s">
        <v>4304</v>
      </c>
      <c r="I114" s="1106">
        <v>4.3999999999999997E-2</v>
      </c>
      <c r="J114" s="1064">
        <f>J96</f>
        <v>0</v>
      </c>
      <c r="K114" s="1107">
        <f>J114*I114</f>
        <v>0</v>
      </c>
    </row>
    <row r="115" spans="2:11">
      <c r="B115" s="1059">
        <v>3</v>
      </c>
      <c r="C115" s="1108" t="s">
        <v>50</v>
      </c>
      <c r="D115" s="1108"/>
      <c r="E115" s="1108"/>
      <c r="F115" s="1108"/>
      <c r="G115" s="1105" t="s">
        <v>4307</v>
      </c>
      <c r="H115" s="1105" t="s">
        <v>48</v>
      </c>
      <c r="I115" s="1106">
        <v>4.0000000000000001E-3</v>
      </c>
      <c r="J115" s="1065">
        <f>J97</f>
        <v>0</v>
      </c>
      <c r="K115" s="1109">
        <f>J115*I115</f>
        <v>0</v>
      </c>
    </row>
    <row r="116" spans="2:11">
      <c r="B116" s="1110">
        <v>4</v>
      </c>
      <c r="C116" s="1111" t="s">
        <v>4308</v>
      </c>
      <c r="D116" s="1068"/>
      <c r="E116" s="1068"/>
      <c r="F116" s="1068"/>
      <c r="G116" s="1112" t="s">
        <v>4309</v>
      </c>
      <c r="H116" s="1113" t="s">
        <v>4304</v>
      </c>
      <c r="I116" s="1106">
        <v>1E-3</v>
      </c>
      <c r="J116" s="1114">
        <f>J98</f>
        <v>0</v>
      </c>
      <c r="K116" s="1107">
        <f>J116*I116</f>
        <v>0</v>
      </c>
    </row>
    <row r="117" spans="2:11">
      <c r="B117" s="1728" t="s">
        <v>52</v>
      </c>
      <c r="C117" s="1721"/>
      <c r="D117" s="1721"/>
      <c r="E117" s="1721"/>
      <c r="F117" s="1721"/>
      <c r="G117" s="1721"/>
      <c r="H117" s="1721"/>
      <c r="I117" s="1721"/>
      <c r="J117" s="1722"/>
      <c r="K117" s="1115">
        <f>SUM(K113:K116)</f>
        <v>0</v>
      </c>
    </row>
    <row r="118" spans="2:11">
      <c r="B118" s="1135" t="s">
        <v>53</v>
      </c>
      <c r="C118" s="1098" t="s">
        <v>54</v>
      </c>
      <c r="D118" s="1136"/>
      <c r="E118" s="1136"/>
      <c r="F118" s="1136"/>
      <c r="G118" s="1099"/>
      <c r="H118" s="1100"/>
      <c r="I118" s="1101"/>
      <c r="J118" s="1102"/>
      <c r="K118" s="1103"/>
    </row>
    <row r="119" spans="2:11">
      <c r="B119" s="1137"/>
      <c r="C119" s="1111" t="s">
        <v>4325</v>
      </c>
      <c r="D119" s="1134"/>
      <c r="E119" s="1134"/>
      <c r="F119" s="1134"/>
      <c r="G119" s="1112" t="s">
        <v>4322</v>
      </c>
      <c r="H119" s="1138" t="s">
        <v>128</v>
      </c>
      <c r="I119" s="1118">
        <v>1</v>
      </c>
      <c r="J119" s="1114">
        <v>0</v>
      </c>
      <c r="K119" s="1107">
        <f>J119*I119</f>
        <v>0</v>
      </c>
    </row>
    <row r="120" spans="2:11">
      <c r="B120" s="1723" t="s">
        <v>64</v>
      </c>
      <c r="C120" s="1716"/>
      <c r="D120" s="1716"/>
      <c r="E120" s="1716"/>
      <c r="F120" s="1716"/>
      <c r="G120" s="1716"/>
      <c r="H120" s="1716"/>
      <c r="I120" s="1716"/>
      <c r="J120" s="1717"/>
      <c r="K120" s="1115">
        <f>SUM(K119:K119)</f>
        <v>0</v>
      </c>
    </row>
    <row r="121" spans="2:11">
      <c r="B121" s="1139" t="s">
        <v>65</v>
      </c>
      <c r="C121" s="1120" t="s">
        <v>66</v>
      </c>
      <c r="E121" s="90"/>
      <c r="F121" s="90"/>
      <c r="G121" s="1121"/>
      <c r="H121" s="1122"/>
      <c r="I121" s="1123"/>
      <c r="J121" s="1124"/>
      <c r="K121" s="1125"/>
    </row>
    <row r="122" spans="2:11">
      <c r="B122" s="1724" t="s">
        <v>67</v>
      </c>
      <c r="C122" s="1725"/>
      <c r="D122" s="1725"/>
      <c r="E122" s="1725"/>
      <c r="F122" s="1725"/>
      <c r="G122" s="1725"/>
      <c r="H122" s="1725"/>
      <c r="I122" s="1725"/>
      <c r="J122" s="1726"/>
      <c r="K122" s="1115">
        <v>0</v>
      </c>
    </row>
    <row r="123" spans="2:11">
      <c r="B123" s="1097" t="s">
        <v>68</v>
      </c>
      <c r="C123" s="1098" t="s">
        <v>69</v>
      </c>
      <c r="D123" s="1136"/>
      <c r="E123" s="1136"/>
      <c r="F123" s="1136"/>
      <c r="G123" s="1140"/>
      <c r="H123" s="1141"/>
      <c r="I123" s="1142"/>
      <c r="J123" s="1102"/>
      <c r="K123" s="1143">
        <f>K120+K117</f>
        <v>0</v>
      </c>
    </row>
    <row r="124" spans="2:11">
      <c r="B124" s="1059" t="s">
        <v>70</v>
      </c>
      <c r="C124" s="1060" t="s">
        <v>4299</v>
      </c>
      <c r="D124" s="1061"/>
      <c r="E124" s="1061"/>
      <c r="F124" s="1061"/>
      <c r="G124" s="1062"/>
      <c r="H124" s="1063"/>
      <c r="I124" s="1064">
        <f>$K$4</f>
        <v>0.1</v>
      </c>
      <c r="J124" s="1064"/>
      <c r="K124" s="1065">
        <f>K123*I124</f>
        <v>0</v>
      </c>
    </row>
    <row r="125" spans="2:11" ht="13">
      <c r="B125" s="1066" t="s">
        <v>71</v>
      </c>
      <c r="C125" s="1070" t="s">
        <v>72</v>
      </c>
      <c r="D125" s="1145"/>
      <c r="E125" s="1146"/>
      <c r="F125" s="1068"/>
      <c r="G125" s="1069"/>
      <c r="H125" s="1070"/>
      <c r="I125" s="1071"/>
      <c r="J125" s="1072"/>
      <c r="K125" s="1073">
        <f>SUM(K122:K124)</f>
        <v>0</v>
      </c>
    </row>
    <row r="126" spans="2:11" ht="13">
      <c r="B126" s="1074"/>
      <c r="C126" s="1075"/>
      <c r="D126" s="1076"/>
      <c r="E126" s="1077"/>
      <c r="F126" s="1077"/>
      <c r="G126" s="1078"/>
      <c r="H126" s="58"/>
      <c r="I126" s="1079"/>
      <c r="J126" s="1080"/>
      <c r="K126" s="1081"/>
    </row>
    <row r="127" spans="2:11" ht="13.5" thickBot="1">
      <c r="B127" s="1082" t="s">
        <v>4326</v>
      </c>
      <c r="C127" s="1147"/>
      <c r="D127" s="1084"/>
      <c r="E127" s="1085" t="s">
        <v>4327</v>
      </c>
      <c r="F127" s="1085"/>
      <c r="G127" s="1148"/>
      <c r="H127" s="1149"/>
      <c r="I127" s="1150"/>
      <c r="J127" s="1151"/>
      <c r="K127" s="1152"/>
    </row>
    <row r="128" spans="2:11" ht="25">
      <c r="B128" s="1153" t="s">
        <v>40</v>
      </c>
      <c r="C128" s="1718" t="s">
        <v>41</v>
      </c>
      <c r="D128" s="1719"/>
      <c r="E128" s="1719"/>
      <c r="F128" s="1719"/>
      <c r="G128" s="1121" t="s">
        <v>42</v>
      </c>
      <c r="H128" s="1154" t="s">
        <v>43</v>
      </c>
      <c r="I128" s="1155" t="s">
        <v>44</v>
      </c>
      <c r="J128" s="1156" t="s">
        <v>474</v>
      </c>
      <c r="K128" s="1157" t="s">
        <v>475</v>
      </c>
    </row>
    <row r="129" spans="2:11">
      <c r="B129" s="1158" t="s">
        <v>45</v>
      </c>
      <c r="C129" s="1055" t="s">
        <v>46</v>
      </c>
      <c r="D129" s="1159"/>
      <c r="E129" s="1053"/>
      <c r="F129" s="1053"/>
      <c r="G129" s="1128"/>
      <c r="H129" s="1160"/>
      <c r="I129" s="1161"/>
      <c r="J129" s="1057"/>
      <c r="K129" s="1162"/>
    </row>
    <row r="130" spans="2:11">
      <c r="B130" s="1059">
        <v>1</v>
      </c>
      <c r="C130" s="1060" t="s">
        <v>4302</v>
      </c>
      <c r="D130" s="1061"/>
      <c r="E130" s="1061"/>
      <c r="F130" s="1061"/>
      <c r="G130" s="1104" t="s">
        <v>4303</v>
      </c>
      <c r="H130" s="1105" t="s">
        <v>4304</v>
      </c>
      <c r="I130" s="1106">
        <v>0.2</v>
      </c>
      <c r="J130" s="1064">
        <f>J95</f>
        <v>0</v>
      </c>
      <c r="K130" s="1107">
        <f>J130*I130</f>
        <v>0</v>
      </c>
    </row>
    <row r="131" spans="2:11">
      <c r="B131" s="1059">
        <v>2</v>
      </c>
      <c r="C131" s="1060" t="s">
        <v>4305</v>
      </c>
      <c r="D131" s="1061"/>
      <c r="E131" s="1061"/>
      <c r="F131" s="1061"/>
      <c r="G131" s="1104" t="s">
        <v>4306</v>
      </c>
      <c r="H131" s="1105" t="s">
        <v>4304</v>
      </c>
      <c r="I131" s="1106">
        <v>0.15</v>
      </c>
      <c r="J131" s="1064">
        <f>J96</f>
        <v>0</v>
      </c>
      <c r="K131" s="1107">
        <f>J131*I131</f>
        <v>0</v>
      </c>
    </row>
    <row r="132" spans="2:11">
      <c r="B132" s="1059">
        <v>3</v>
      </c>
      <c r="C132" s="1108" t="s">
        <v>50</v>
      </c>
      <c r="D132" s="1108"/>
      <c r="E132" s="1108"/>
      <c r="F132" s="1108"/>
      <c r="G132" s="1105" t="s">
        <v>4307</v>
      </c>
      <c r="H132" s="1105" t="s">
        <v>48</v>
      </c>
      <c r="I132" s="1106">
        <f>I131/10</f>
        <v>1.4999999999999999E-2</v>
      </c>
      <c r="J132" s="1065">
        <f>J97</f>
        <v>0</v>
      </c>
      <c r="K132" s="1109">
        <f>J132*I132</f>
        <v>0</v>
      </c>
    </row>
    <row r="133" spans="2:11">
      <c r="B133" s="1110">
        <v>4</v>
      </c>
      <c r="C133" s="1111" t="s">
        <v>4308</v>
      </c>
      <c r="D133" s="1134"/>
      <c r="E133" s="1134"/>
      <c r="F133" s="1134"/>
      <c r="G133" s="1112" t="s">
        <v>4309</v>
      </c>
      <c r="H133" s="1113" t="s">
        <v>4304</v>
      </c>
      <c r="I133" s="1163">
        <f>I132/10</f>
        <v>1.5E-3</v>
      </c>
      <c r="J133" s="1114">
        <f>J98</f>
        <v>0</v>
      </c>
      <c r="K133" s="1164">
        <f>J133*I133</f>
        <v>0</v>
      </c>
    </row>
    <row r="134" spans="2:11">
      <c r="B134" s="1720" t="s">
        <v>52</v>
      </c>
      <c r="C134" s="1721"/>
      <c r="D134" s="1721"/>
      <c r="E134" s="1721"/>
      <c r="F134" s="1721"/>
      <c r="G134" s="1721"/>
      <c r="H134" s="1721"/>
      <c r="I134" s="1721"/>
      <c r="J134" s="1722"/>
      <c r="K134" s="1165">
        <f>SUM(K130:K133)</f>
        <v>0</v>
      </c>
    </row>
    <row r="135" spans="2:11">
      <c r="B135" s="1158" t="s">
        <v>53</v>
      </c>
      <c r="C135" s="1055" t="s">
        <v>54</v>
      </c>
      <c r="D135" s="1053"/>
      <c r="E135" s="1053"/>
      <c r="F135" s="1053"/>
      <c r="G135" s="1128"/>
      <c r="H135" s="1160"/>
      <c r="I135" s="1161"/>
      <c r="J135" s="1057"/>
      <c r="K135" s="1162"/>
    </row>
    <row r="136" spans="2:11">
      <c r="B136" s="1166"/>
      <c r="C136" s="1063" t="s">
        <v>1779</v>
      </c>
      <c r="D136" s="1061"/>
      <c r="E136" s="1061"/>
      <c r="F136" s="1061"/>
      <c r="G136" s="1104" t="s">
        <v>4328</v>
      </c>
      <c r="H136" s="1116" t="s">
        <v>113</v>
      </c>
      <c r="I136" s="1167">
        <v>10</v>
      </c>
      <c r="J136" s="1168">
        <v>0</v>
      </c>
      <c r="K136" s="1107">
        <f>J136*I136</f>
        <v>0</v>
      </c>
    </row>
    <row r="137" spans="2:11">
      <c r="B137" s="1166"/>
      <c r="C137" s="1063" t="s">
        <v>4329</v>
      </c>
      <c r="D137" s="1061"/>
      <c r="E137" s="1061"/>
      <c r="F137" s="1061"/>
      <c r="G137" s="1104" t="s">
        <v>4330</v>
      </c>
      <c r="H137" s="1116" t="s">
        <v>113</v>
      </c>
      <c r="I137" s="1167">
        <v>10</v>
      </c>
      <c r="J137" s="1168">
        <v>0</v>
      </c>
      <c r="K137" s="1107">
        <f>J137*I137</f>
        <v>0</v>
      </c>
    </row>
    <row r="138" spans="2:11">
      <c r="B138" s="1166"/>
      <c r="C138" s="1063" t="s">
        <v>4331</v>
      </c>
      <c r="D138" s="1061"/>
      <c r="E138" s="1061"/>
      <c r="F138" s="1061"/>
      <c r="G138" s="1104" t="s">
        <v>4316</v>
      </c>
      <c r="H138" s="1116" t="s">
        <v>128</v>
      </c>
      <c r="I138" s="1167">
        <v>1</v>
      </c>
      <c r="J138" s="1168">
        <v>0</v>
      </c>
      <c r="K138" s="1107">
        <f>J138*I138</f>
        <v>0</v>
      </c>
    </row>
    <row r="139" spans="2:11">
      <c r="B139" s="1166"/>
      <c r="C139" s="1063" t="s">
        <v>371</v>
      </c>
      <c r="D139" s="1061"/>
      <c r="E139" s="1061"/>
      <c r="F139" s="1061"/>
      <c r="G139" s="1104" t="s">
        <v>4332</v>
      </c>
      <c r="H139" s="1116" t="s">
        <v>128</v>
      </c>
      <c r="I139" s="1167">
        <v>2</v>
      </c>
      <c r="J139" s="1168">
        <v>0</v>
      </c>
      <c r="K139" s="1107">
        <f>J139*I139</f>
        <v>0</v>
      </c>
    </row>
    <row r="140" spans="2:11">
      <c r="B140" s="1169"/>
      <c r="C140" s="1070" t="s">
        <v>1780</v>
      </c>
      <c r="D140" s="1068"/>
      <c r="E140" s="1068"/>
      <c r="F140" s="1068"/>
      <c r="G140" s="1170" t="s">
        <v>4333</v>
      </c>
      <c r="H140" s="1171" t="s">
        <v>128</v>
      </c>
      <c r="I140" s="1172">
        <v>3</v>
      </c>
      <c r="J140" s="1168">
        <v>0</v>
      </c>
      <c r="K140" s="1107">
        <f>J140*I140</f>
        <v>0</v>
      </c>
    </row>
    <row r="141" spans="2:11">
      <c r="B141" s="1715" t="s">
        <v>64</v>
      </c>
      <c r="C141" s="1716"/>
      <c r="D141" s="1716"/>
      <c r="E141" s="1716"/>
      <c r="F141" s="1716"/>
      <c r="G141" s="1716"/>
      <c r="H141" s="1716"/>
      <c r="I141" s="1716"/>
      <c r="J141" s="1717"/>
      <c r="K141" s="1165">
        <f>SUM(K136:K140)</f>
        <v>0</v>
      </c>
    </row>
    <row r="142" spans="2:11">
      <c r="B142" s="1173" t="s">
        <v>65</v>
      </c>
      <c r="C142" s="1174" t="s">
        <v>66</v>
      </c>
      <c r="G142" s="1121"/>
      <c r="H142" s="1122"/>
      <c r="I142" s="1175"/>
      <c r="J142" s="1124"/>
      <c r="K142" s="1176"/>
    </row>
    <row r="143" spans="2:11">
      <c r="B143" s="1715" t="s">
        <v>67</v>
      </c>
      <c r="C143" s="1716"/>
      <c r="D143" s="1716"/>
      <c r="E143" s="1716"/>
      <c r="F143" s="1716"/>
      <c r="G143" s="1716"/>
      <c r="H143" s="1716"/>
      <c r="I143" s="1716"/>
      <c r="J143" s="1717"/>
      <c r="K143" s="1165">
        <v>0</v>
      </c>
    </row>
    <row r="144" spans="2:11">
      <c r="B144" s="1177" t="s">
        <v>68</v>
      </c>
      <c r="C144" s="1178" t="s">
        <v>69</v>
      </c>
      <c r="D144" s="1179"/>
      <c r="E144" s="1179"/>
      <c r="F144" s="1179"/>
      <c r="G144" s="1092"/>
      <c r="H144" s="1144"/>
      <c r="I144" s="1180"/>
      <c r="J144" s="1181"/>
      <c r="K144" s="1165">
        <f>K141+K134</f>
        <v>0</v>
      </c>
    </row>
    <row r="145" spans="2:11">
      <c r="B145" s="1177" t="s">
        <v>70</v>
      </c>
      <c r="C145" s="1178" t="s">
        <v>4299</v>
      </c>
      <c r="D145" s="1179"/>
      <c r="E145" s="1179"/>
      <c r="F145" s="1179"/>
      <c r="G145" s="1092"/>
      <c r="H145" s="1144"/>
      <c r="I145" s="1064">
        <f>$K$4</f>
        <v>0.1</v>
      </c>
      <c r="J145" s="1064"/>
      <c r="K145" s="1065">
        <f>K144*I145</f>
        <v>0</v>
      </c>
    </row>
    <row r="146" spans="2:11" ht="13">
      <c r="B146" s="1177" t="s">
        <v>71</v>
      </c>
      <c r="C146" s="1178" t="s">
        <v>72</v>
      </c>
      <c r="D146" s="1179"/>
      <c r="E146" s="1179"/>
      <c r="F146" s="1179"/>
      <c r="G146" s="1092"/>
      <c r="H146" s="1144"/>
      <c r="I146" s="1180"/>
      <c r="J146" s="1181"/>
      <c r="K146" s="1182">
        <f>SUM(K143:K145)</f>
        <v>0</v>
      </c>
    </row>
    <row r="147" spans="2:11" ht="13">
      <c r="B147" s="1031"/>
      <c r="C147" s="1030"/>
      <c r="D147" s="1030"/>
      <c r="E147" s="1030"/>
      <c r="F147" s="1030"/>
      <c r="G147" s="1030"/>
      <c r="H147" s="1030"/>
      <c r="I147" s="1030"/>
      <c r="J147" s="1030"/>
      <c r="K147" s="1030"/>
    </row>
    <row r="148" spans="2:11" ht="13">
      <c r="B148" s="1183"/>
      <c r="C148" s="1184" t="s">
        <v>4334</v>
      </c>
      <c r="D148" s="1185"/>
      <c r="E148" s="1185"/>
      <c r="F148" s="1185"/>
      <c r="G148" s="1185"/>
      <c r="H148" s="1185"/>
      <c r="I148" s="1185"/>
      <c r="J148" s="1185"/>
      <c r="K148" s="1185"/>
    </row>
    <row r="149" spans="2:11" ht="13">
      <c r="B149" s="1687" t="s">
        <v>3235</v>
      </c>
      <c r="C149" s="1690" t="s">
        <v>4288</v>
      </c>
      <c r="D149" s="1691"/>
      <c r="E149" s="1691"/>
      <c r="F149" s="1691"/>
      <c r="G149" s="1186"/>
      <c r="H149" s="1696" t="s">
        <v>4289</v>
      </c>
      <c r="I149" s="1696" t="s">
        <v>4290</v>
      </c>
      <c r="J149" s="1035" t="s">
        <v>1955</v>
      </c>
      <c r="K149" s="1035"/>
    </row>
    <row r="150" spans="2:11" ht="13">
      <c r="B150" s="1688"/>
      <c r="C150" s="1692"/>
      <c r="D150" s="1693"/>
      <c r="E150" s="1693"/>
      <c r="F150" s="1693"/>
      <c r="G150" s="1187" t="s">
        <v>4291</v>
      </c>
      <c r="H150" s="1697"/>
      <c r="I150" s="1697"/>
      <c r="J150" s="1037" t="s">
        <v>1954</v>
      </c>
      <c r="K150" s="1037" t="s">
        <v>3239</v>
      </c>
    </row>
    <row r="151" spans="2:11" ht="13">
      <c r="B151" s="1689"/>
      <c r="C151" s="1694"/>
      <c r="D151" s="1695"/>
      <c r="E151" s="1695"/>
      <c r="F151" s="1695"/>
      <c r="G151" s="1188"/>
      <c r="H151" s="1698"/>
      <c r="I151" s="1698"/>
      <c r="J151" s="1038" t="s">
        <v>4292</v>
      </c>
      <c r="K151" s="1038" t="s">
        <v>4292</v>
      </c>
    </row>
    <row r="152" spans="2:11" ht="13">
      <c r="B152" s="1189">
        <v>1</v>
      </c>
      <c r="C152" s="1710">
        <v>2</v>
      </c>
      <c r="D152" s="1711"/>
      <c r="E152" s="1711"/>
      <c r="F152" s="1711"/>
      <c r="G152" s="1190">
        <v>3</v>
      </c>
      <c r="H152" s="1191">
        <v>4</v>
      </c>
      <c r="I152" s="1192">
        <v>5</v>
      </c>
      <c r="J152" s="1191">
        <v>6</v>
      </c>
      <c r="K152" s="1191">
        <f>J152+1</f>
        <v>7</v>
      </c>
    </row>
    <row r="153" spans="2:11" ht="13">
      <c r="B153" s="1193" t="s">
        <v>45</v>
      </c>
      <c r="C153" s="1194" t="s">
        <v>46</v>
      </c>
      <c r="D153" s="1159"/>
      <c r="E153" s="1053"/>
      <c r="F153" s="1053"/>
      <c r="G153" s="1128"/>
      <c r="H153" s="1160"/>
      <c r="I153" s="1161"/>
      <c r="J153" s="1057"/>
      <c r="K153" s="1162"/>
    </row>
    <row r="154" spans="2:11">
      <c r="B154" s="1059">
        <v>1</v>
      </c>
      <c r="C154" s="1060" t="s">
        <v>4302</v>
      </c>
      <c r="D154" s="1061"/>
      <c r="E154" s="1061"/>
      <c r="F154" s="1061"/>
      <c r="G154" s="1104" t="s">
        <v>4303</v>
      </c>
      <c r="H154" s="1105" t="s">
        <v>4304</v>
      </c>
      <c r="I154" s="1106">
        <v>0.2</v>
      </c>
      <c r="J154" s="1064">
        <f>J130</f>
        <v>0</v>
      </c>
      <c r="K154" s="1107">
        <f>J154*I154</f>
        <v>0</v>
      </c>
    </row>
    <row r="155" spans="2:11">
      <c r="B155" s="1059">
        <v>2</v>
      </c>
      <c r="C155" s="1060" t="s">
        <v>4305</v>
      </c>
      <c r="D155" s="1061"/>
      <c r="E155" s="1061"/>
      <c r="F155" s="1061"/>
      <c r="G155" s="1104" t="s">
        <v>4306</v>
      </c>
      <c r="H155" s="1105" t="s">
        <v>4304</v>
      </c>
      <c r="I155" s="1106">
        <v>0.15</v>
      </c>
      <c r="J155" s="1064">
        <f>J131</f>
        <v>0</v>
      </c>
      <c r="K155" s="1107">
        <f>J155*I155</f>
        <v>0</v>
      </c>
    </row>
    <row r="156" spans="2:11">
      <c r="B156" s="1059">
        <v>3</v>
      </c>
      <c r="C156" s="1108" t="s">
        <v>50</v>
      </c>
      <c r="D156" s="1108"/>
      <c r="E156" s="1108"/>
      <c r="F156" s="1108"/>
      <c r="G156" s="1105" t="s">
        <v>4307</v>
      </c>
      <c r="H156" s="1105" t="s">
        <v>48</v>
      </c>
      <c r="I156" s="1106">
        <f>I155/10</f>
        <v>1.4999999999999999E-2</v>
      </c>
      <c r="J156" s="1065">
        <f>J132</f>
        <v>0</v>
      </c>
      <c r="K156" s="1109">
        <f>J156*I156</f>
        <v>0</v>
      </c>
    </row>
    <row r="157" spans="2:11" ht="13" thickBot="1">
      <c r="B157" s="1110">
        <v>4</v>
      </c>
      <c r="C157" s="1111" t="s">
        <v>4308</v>
      </c>
      <c r="D157" s="1134"/>
      <c r="E157" s="1134"/>
      <c r="F157" s="1134"/>
      <c r="G157" s="1112" t="s">
        <v>4309</v>
      </c>
      <c r="H157" s="1113" t="s">
        <v>4304</v>
      </c>
      <c r="I157" s="1163">
        <f>I156/10</f>
        <v>1.5E-3</v>
      </c>
      <c r="J157" s="1114">
        <f>J133</f>
        <v>0</v>
      </c>
      <c r="K157" s="1164">
        <f>J157*I157</f>
        <v>0</v>
      </c>
    </row>
    <row r="158" spans="2:11" ht="13" thickBot="1">
      <c r="B158" s="1712" t="s">
        <v>52</v>
      </c>
      <c r="C158" s="1713"/>
      <c r="D158" s="1713"/>
      <c r="E158" s="1713"/>
      <c r="F158" s="1713"/>
      <c r="G158" s="1713"/>
      <c r="H158" s="1713"/>
      <c r="I158" s="1713"/>
      <c r="J158" s="1714"/>
      <c r="K158" s="1195">
        <f>SUM(K154:K157)</f>
        <v>0</v>
      </c>
    </row>
    <row r="159" spans="2:11">
      <c r="B159" s="1196"/>
      <c r="C159" s="1185"/>
      <c r="D159" s="1197"/>
      <c r="E159" s="1198"/>
      <c r="F159" s="1198"/>
      <c r="G159" s="1199"/>
      <c r="H159" s="1200"/>
      <c r="I159" s="1201"/>
      <c r="J159" s="1201"/>
      <c r="K159" s="1202"/>
    </row>
    <row r="160" spans="2:11" ht="13">
      <c r="B160" s="1193" t="s">
        <v>53</v>
      </c>
      <c r="C160" s="1203"/>
      <c r="D160" s="1204" t="str">
        <f>'[204]Analisa Lampu'!C10</f>
        <v>Titik Instalasi Penerangan</v>
      </c>
      <c r="E160" s="1205"/>
      <c r="F160" s="1205"/>
      <c r="G160" s="1206"/>
      <c r="H160" s="1207"/>
      <c r="I160" s="1208"/>
      <c r="J160" s="1209"/>
      <c r="K160" s="1210"/>
    </row>
    <row r="161" spans="2:11">
      <c r="B161" s="1211">
        <v>1</v>
      </c>
      <c r="C161" s="1212"/>
      <c r="D161" s="1213" t="s">
        <v>4335</v>
      </c>
      <c r="E161" s="1214"/>
      <c r="F161" s="1214"/>
      <c r="G161" s="1215" t="s">
        <v>4326</v>
      </c>
      <c r="H161" s="1215" t="s">
        <v>113</v>
      </c>
      <c r="I161" s="1216">
        <v>9</v>
      </c>
      <c r="J161" s="1168">
        <v>0</v>
      </c>
      <c r="K161" s="1217">
        <f t="shared" ref="K161:K166" si="0">J161*I161</f>
        <v>0</v>
      </c>
    </row>
    <row r="162" spans="2:11">
      <c r="B162" s="1211">
        <v>2</v>
      </c>
      <c r="C162" s="1218"/>
      <c r="D162" s="1213" t="s">
        <v>4336</v>
      </c>
      <c r="E162" s="1214"/>
      <c r="F162" s="1214"/>
      <c r="G162" s="1215" t="s">
        <v>4326</v>
      </c>
      <c r="H162" s="1215" t="s">
        <v>113</v>
      </c>
      <c r="I162" s="1216">
        <v>9</v>
      </c>
      <c r="J162" s="1168">
        <v>0</v>
      </c>
      <c r="K162" s="1217">
        <f t="shared" si="0"/>
        <v>0</v>
      </c>
    </row>
    <row r="163" spans="2:11">
      <c r="B163" s="1211">
        <v>3</v>
      </c>
      <c r="C163" s="1218"/>
      <c r="D163" s="1219" t="s">
        <v>4331</v>
      </c>
      <c r="E163" s="1061"/>
      <c r="F163" s="1061"/>
      <c r="G163" s="1215"/>
      <c r="H163" s="1215" t="s">
        <v>259</v>
      </c>
      <c r="I163" s="1216">
        <v>2</v>
      </c>
      <c r="J163" s="1168">
        <f>J138</f>
        <v>0</v>
      </c>
      <c r="K163" s="1217">
        <f t="shared" si="0"/>
        <v>0</v>
      </c>
    </row>
    <row r="164" spans="2:11">
      <c r="B164" s="1211">
        <v>4</v>
      </c>
      <c r="C164" s="1218"/>
      <c r="D164" s="1108" t="s">
        <v>371</v>
      </c>
      <c r="E164" s="1061"/>
      <c r="F164" s="1061"/>
      <c r="G164" s="1215"/>
      <c r="H164" s="1220" t="s">
        <v>259</v>
      </c>
      <c r="I164" s="1221">
        <v>2</v>
      </c>
      <c r="J164" s="1222">
        <f>J139</f>
        <v>0</v>
      </c>
      <c r="K164" s="1217">
        <f t="shared" si="0"/>
        <v>0</v>
      </c>
    </row>
    <row r="165" spans="2:11">
      <c r="B165" s="1211">
        <v>5</v>
      </c>
      <c r="C165" s="1223"/>
      <c r="D165" s="1108" t="s">
        <v>1780</v>
      </c>
      <c r="E165" s="1061"/>
      <c r="F165" s="1061"/>
      <c r="G165" s="1207"/>
      <c r="H165" s="1224" t="s">
        <v>259</v>
      </c>
      <c r="I165" s="1225">
        <v>3</v>
      </c>
      <c r="J165" s="1226">
        <f>J140</f>
        <v>0</v>
      </c>
      <c r="K165" s="1217">
        <f t="shared" si="0"/>
        <v>0</v>
      </c>
    </row>
    <row r="166" spans="2:11">
      <c r="B166" s="1211">
        <v>6</v>
      </c>
      <c r="C166" s="1203"/>
      <c r="D166" s="1227" t="s">
        <v>4337</v>
      </c>
      <c r="E166" s="1134"/>
      <c r="F166" s="1134"/>
      <c r="G166" s="1207"/>
      <c r="H166" s="1224" t="s">
        <v>259</v>
      </c>
      <c r="I166" s="1225">
        <v>0.25</v>
      </c>
      <c r="J166" s="1226">
        <v>0</v>
      </c>
      <c r="K166" s="1217">
        <f t="shared" si="0"/>
        <v>0</v>
      </c>
    </row>
    <row r="167" spans="2:11" ht="13">
      <c r="B167" s="1715" t="s">
        <v>64</v>
      </c>
      <c r="C167" s="1716"/>
      <c r="D167" s="1716"/>
      <c r="E167" s="1716"/>
      <c r="F167" s="1716"/>
      <c r="G167" s="1716"/>
      <c r="H167" s="1716"/>
      <c r="I167" s="1716"/>
      <c r="J167" s="1717"/>
      <c r="K167" s="1182">
        <f>SUM(K161:K166)</f>
        <v>0</v>
      </c>
    </row>
    <row r="168" spans="2:11">
      <c r="B168" s="1228"/>
      <c r="C168" s="1229"/>
      <c r="D168" s="1230"/>
      <c r="E168" s="1230"/>
      <c r="F168" s="1230"/>
      <c r="G168" s="1231"/>
      <c r="H168" s="1232"/>
      <c r="I168" s="1233"/>
      <c r="J168" s="1234"/>
      <c r="K168" s="1235"/>
    </row>
    <row r="169" spans="2:11" ht="13">
      <c r="B169" s="1236" t="s">
        <v>65</v>
      </c>
      <c r="C169" s="1237"/>
      <c r="D169" s="1204" t="s">
        <v>4338</v>
      </c>
      <c r="E169" s="1205"/>
      <c r="F169" s="1238"/>
      <c r="G169" s="1238"/>
      <c r="H169" s="1239"/>
      <c r="I169" s="1240"/>
      <c r="J169" s="1241"/>
      <c r="K169" s="1242">
        <f>K167+K158</f>
        <v>0</v>
      </c>
    </row>
    <row r="170" spans="2:11" ht="13">
      <c r="B170" s="1236" t="s">
        <v>68</v>
      </c>
      <c r="C170" s="1237"/>
      <c r="D170" s="1204" t="s">
        <v>4339</v>
      </c>
      <c r="E170" s="1205"/>
      <c r="F170" s="1205"/>
      <c r="G170" s="1205"/>
      <c r="H170" s="1239"/>
      <c r="I170" s="1064">
        <f>$K$4</f>
        <v>0.1</v>
      </c>
      <c r="J170" s="1064"/>
      <c r="K170" s="1065">
        <f>K169*I170</f>
        <v>0</v>
      </c>
    </row>
    <row r="171" spans="2:11" ht="13">
      <c r="B171" s="1243" t="s">
        <v>70</v>
      </c>
      <c r="C171" s="1244"/>
      <c r="D171" s="1245" t="s">
        <v>4340</v>
      </c>
      <c r="E171" s="1246"/>
      <c r="F171" s="1246"/>
      <c r="G171" s="1246"/>
      <c r="H171" s="1247"/>
      <c r="I171" s="1248"/>
      <c r="J171" s="1249"/>
      <c r="K171" s="1250">
        <f>K169+K170</f>
        <v>0</v>
      </c>
    </row>
    <row r="172" spans="2:11" ht="13">
      <c r="B172" s="1251"/>
      <c r="C172" s="1036"/>
      <c r="D172" s="1184"/>
      <c r="E172" s="1252"/>
      <c r="F172" s="1252"/>
      <c r="G172" s="1252"/>
      <c r="H172" s="1036"/>
      <c r="I172" s="1253"/>
      <c r="J172" s="1254"/>
      <c r="K172" s="1255"/>
    </row>
    <row r="173" spans="2:11" ht="13">
      <c r="B173" s="1183"/>
      <c r="C173" s="1184" t="s">
        <v>4341</v>
      </c>
      <c r="D173" s="1185"/>
      <c r="E173" s="1185"/>
      <c r="F173" s="1185"/>
      <c r="G173" s="1185"/>
      <c r="H173" s="1185"/>
      <c r="I173" s="1185"/>
      <c r="J173" s="1185"/>
      <c r="K173" s="1185"/>
    </row>
    <row r="174" spans="2:11" ht="13">
      <c r="B174" s="1687" t="s">
        <v>3235</v>
      </c>
      <c r="C174" s="1690" t="s">
        <v>4288</v>
      </c>
      <c r="D174" s="1691"/>
      <c r="E174" s="1691"/>
      <c r="F174" s="1691"/>
      <c r="G174" s="1186"/>
      <c r="H174" s="1696" t="s">
        <v>4289</v>
      </c>
      <c r="I174" s="1696" t="s">
        <v>4290</v>
      </c>
      <c r="J174" s="1035" t="s">
        <v>1955</v>
      </c>
      <c r="K174" s="1035"/>
    </row>
    <row r="175" spans="2:11" ht="13">
      <c r="B175" s="1688"/>
      <c r="C175" s="1692"/>
      <c r="D175" s="1693"/>
      <c r="E175" s="1693"/>
      <c r="F175" s="1693"/>
      <c r="G175" s="1187" t="s">
        <v>4291</v>
      </c>
      <c r="H175" s="1697"/>
      <c r="I175" s="1697"/>
      <c r="J175" s="1037" t="s">
        <v>1954</v>
      </c>
      <c r="K175" s="1037" t="s">
        <v>3239</v>
      </c>
    </row>
    <row r="176" spans="2:11" ht="13">
      <c r="B176" s="1689"/>
      <c r="C176" s="1694"/>
      <c r="D176" s="1695"/>
      <c r="E176" s="1695"/>
      <c r="F176" s="1695"/>
      <c r="G176" s="1188"/>
      <c r="H176" s="1698"/>
      <c r="I176" s="1698"/>
      <c r="J176" s="1038" t="s">
        <v>4292</v>
      </c>
      <c r="K176" s="1038" t="s">
        <v>4292</v>
      </c>
    </row>
    <row r="177" spans="2:11" ht="13">
      <c r="B177" s="1189">
        <v>1</v>
      </c>
      <c r="C177" s="1710">
        <v>2</v>
      </c>
      <c r="D177" s="1711"/>
      <c r="E177" s="1711"/>
      <c r="F177" s="1711"/>
      <c r="G177" s="1190">
        <v>3</v>
      </c>
      <c r="H177" s="1191">
        <v>4</v>
      </c>
      <c r="I177" s="1192">
        <v>5</v>
      </c>
      <c r="J177" s="1191">
        <v>6</v>
      </c>
      <c r="K177" s="1191">
        <f>J177+1</f>
        <v>7</v>
      </c>
    </row>
    <row r="178" spans="2:11" ht="13">
      <c r="B178" s="1193" t="s">
        <v>45</v>
      </c>
      <c r="C178" s="1194" t="s">
        <v>46</v>
      </c>
      <c r="D178" s="1159"/>
      <c r="E178" s="1053"/>
      <c r="F178" s="1053"/>
      <c r="G178" s="1128"/>
      <c r="H178" s="1160"/>
      <c r="I178" s="1161"/>
      <c r="J178" s="1057"/>
      <c r="K178" s="1162"/>
    </row>
    <row r="179" spans="2:11">
      <c r="B179" s="1059">
        <v>1</v>
      </c>
      <c r="C179" s="1060" t="s">
        <v>4302</v>
      </c>
      <c r="D179" s="1061"/>
      <c r="E179" s="1061"/>
      <c r="F179" s="1061"/>
      <c r="G179" s="1104" t="s">
        <v>4303</v>
      </c>
      <c r="H179" s="1105" t="s">
        <v>4304</v>
      </c>
      <c r="I179" s="1106">
        <v>0.2</v>
      </c>
      <c r="J179" s="1064">
        <f>J154</f>
        <v>0</v>
      </c>
      <c r="K179" s="1107">
        <f>J179*I179</f>
        <v>0</v>
      </c>
    </row>
    <row r="180" spans="2:11">
      <c r="B180" s="1059">
        <v>2</v>
      </c>
      <c r="C180" s="1060" t="s">
        <v>4305</v>
      </c>
      <c r="D180" s="1061"/>
      <c r="E180" s="1061"/>
      <c r="F180" s="1061"/>
      <c r="G180" s="1104" t="s">
        <v>4306</v>
      </c>
      <c r="H180" s="1105" t="s">
        <v>4304</v>
      </c>
      <c r="I180" s="1106">
        <v>0.15</v>
      </c>
      <c r="J180" s="1064">
        <f>J155</f>
        <v>0</v>
      </c>
      <c r="K180" s="1107">
        <f>J180*I180</f>
        <v>0</v>
      </c>
    </row>
    <row r="181" spans="2:11">
      <c r="B181" s="1059">
        <v>3</v>
      </c>
      <c r="C181" s="1108" t="s">
        <v>50</v>
      </c>
      <c r="D181" s="1108"/>
      <c r="E181" s="1108"/>
      <c r="F181" s="1108"/>
      <c r="G181" s="1105" t="s">
        <v>4307</v>
      </c>
      <c r="H181" s="1105" t="s">
        <v>48</v>
      </c>
      <c r="I181" s="1106">
        <f>I180/10</f>
        <v>1.4999999999999999E-2</v>
      </c>
      <c r="J181" s="1065">
        <f>J156</f>
        <v>0</v>
      </c>
      <c r="K181" s="1109">
        <f>J181*I181</f>
        <v>0</v>
      </c>
    </row>
    <row r="182" spans="2:11" ht="13" thickBot="1">
      <c r="B182" s="1110">
        <v>4</v>
      </c>
      <c r="C182" s="1111" t="s">
        <v>4308</v>
      </c>
      <c r="D182" s="1134"/>
      <c r="E182" s="1134"/>
      <c r="F182" s="1134"/>
      <c r="G182" s="1112" t="s">
        <v>4309</v>
      </c>
      <c r="H182" s="1113" t="s">
        <v>4304</v>
      </c>
      <c r="I182" s="1163">
        <f>I181/10</f>
        <v>1.5E-3</v>
      </c>
      <c r="J182" s="1114">
        <f>J157</f>
        <v>0</v>
      </c>
      <c r="K182" s="1164">
        <f>J182*I182</f>
        <v>0</v>
      </c>
    </row>
    <row r="183" spans="2:11" ht="13" thickBot="1">
      <c r="B183" s="1712" t="s">
        <v>52</v>
      </c>
      <c r="C183" s="1713"/>
      <c r="D183" s="1713"/>
      <c r="E183" s="1713"/>
      <c r="F183" s="1713"/>
      <c r="G183" s="1713"/>
      <c r="H183" s="1713"/>
      <c r="I183" s="1713"/>
      <c r="J183" s="1714"/>
      <c r="K183" s="1195">
        <f>SUM(K179:K182)</f>
        <v>0</v>
      </c>
    </row>
    <row r="184" spans="2:11">
      <c r="B184" s="1196"/>
      <c r="C184" s="1185"/>
      <c r="D184" s="1197"/>
      <c r="E184" s="1198"/>
      <c r="F184" s="1198"/>
      <c r="G184" s="1199"/>
      <c r="H184" s="1200"/>
      <c r="I184" s="1201"/>
      <c r="J184" s="1201"/>
      <c r="K184" s="1202"/>
    </row>
    <row r="185" spans="2:11" ht="13">
      <c r="B185" s="1193" t="s">
        <v>53</v>
      </c>
      <c r="C185" s="1203"/>
      <c r="D185" s="1204" t="s">
        <v>4342</v>
      </c>
      <c r="E185" s="1205"/>
      <c r="F185" s="1205"/>
      <c r="G185" s="1206"/>
      <c r="H185" s="1207"/>
      <c r="I185" s="1208"/>
      <c r="J185" s="1209"/>
      <c r="K185" s="1210"/>
    </row>
    <row r="186" spans="2:11">
      <c r="B186" s="1211">
        <v>1</v>
      </c>
      <c r="C186" s="1212"/>
      <c r="D186" s="1213" t="s">
        <v>4343</v>
      </c>
      <c r="E186" s="1214"/>
      <c r="F186" s="1214"/>
      <c r="G186" s="1215" t="s">
        <v>4326</v>
      </c>
      <c r="H186" s="1215" t="s">
        <v>113</v>
      </c>
      <c r="I186" s="1216">
        <v>12</v>
      </c>
      <c r="J186" s="1168">
        <v>0</v>
      </c>
      <c r="K186" s="1217">
        <f t="shared" ref="K186:K191" si="1">J186*I186</f>
        <v>0</v>
      </c>
    </row>
    <row r="187" spans="2:11">
      <c r="B187" s="1211">
        <v>2</v>
      </c>
      <c r="C187" s="1218"/>
      <c r="D187" s="1213" t="s">
        <v>4336</v>
      </c>
      <c r="E187" s="1214"/>
      <c r="F187" s="1214"/>
      <c r="G187" s="1215" t="s">
        <v>4326</v>
      </c>
      <c r="H187" s="1215" t="s">
        <v>113</v>
      </c>
      <c r="I187" s="1216">
        <v>12</v>
      </c>
      <c r="J187" s="1168">
        <v>0</v>
      </c>
      <c r="K187" s="1217">
        <f t="shared" si="1"/>
        <v>0</v>
      </c>
    </row>
    <row r="188" spans="2:11">
      <c r="B188" s="1211">
        <v>3</v>
      </c>
      <c r="C188" s="1218"/>
      <c r="D188" s="1219" t="s">
        <v>4331</v>
      </c>
      <c r="E188" s="1061"/>
      <c r="F188" s="1061"/>
      <c r="G188" s="1215"/>
      <c r="H188" s="1215" t="s">
        <v>259</v>
      </c>
      <c r="I188" s="1216">
        <v>2</v>
      </c>
      <c r="J188" s="1168">
        <f>J162</f>
        <v>0</v>
      </c>
      <c r="K188" s="1217">
        <f t="shared" si="1"/>
        <v>0</v>
      </c>
    </row>
    <row r="189" spans="2:11">
      <c r="B189" s="1211">
        <v>4</v>
      </c>
      <c r="C189" s="1218"/>
      <c r="D189" s="1108" t="s">
        <v>371</v>
      </c>
      <c r="E189" s="1061"/>
      <c r="F189" s="1061"/>
      <c r="G189" s="1215"/>
      <c r="H189" s="1220" t="s">
        <v>259</v>
      </c>
      <c r="I189" s="1221">
        <v>2</v>
      </c>
      <c r="J189" s="1222">
        <f>J163</f>
        <v>0</v>
      </c>
      <c r="K189" s="1217">
        <f t="shared" si="1"/>
        <v>0</v>
      </c>
    </row>
    <row r="190" spans="2:11">
      <c r="B190" s="1211">
        <v>5</v>
      </c>
      <c r="C190" s="1223"/>
      <c r="D190" s="1108" t="s">
        <v>4344</v>
      </c>
      <c r="E190" s="1061"/>
      <c r="F190" s="1061"/>
      <c r="G190" s="1207"/>
      <c r="H190" s="1224"/>
      <c r="I190" s="1225">
        <v>1</v>
      </c>
      <c r="J190" s="1226">
        <v>0</v>
      </c>
      <c r="K190" s="1217">
        <f t="shared" si="1"/>
        <v>0</v>
      </c>
    </row>
    <row r="191" spans="2:11">
      <c r="B191" s="1211">
        <v>6</v>
      </c>
      <c r="C191" s="1203"/>
      <c r="D191" s="1227" t="s">
        <v>4337</v>
      </c>
      <c r="E191" s="1134"/>
      <c r="F191" s="1134"/>
      <c r="G191" s="1207"/>
      <c r="H191" s="1224" t="s">
        <v>259</v>
      </c>
      <c r="I191" s="1225">
        <v>0.25</v>
      </c>
      <c r="J191" s="1226">
        <v>0</v>
      </c>
      <c r="K191" s="1217">
        <f t="shared" si="1"/>
        <v>0</v>
      </c>
    </row>
    <row r="192" spans="2:11" ht="13">
      <c r="B192" s="1715" t="s">
        <v>64</v>
      </c>
      <c r="C192" s="1716"/>
      <c r="D192" s="1716"/>
      <c r="E192" s="1716"/>
      <c r="F192" s="1716"/>
      <c r="G192" s="1716"/>
      <c r="H192" s="1716"/>
      <c r="I192" s="1716"/>
      <c r="J192" s="1717"/>
      <c r="K192" s="1182">
        <f>SUM(K186:K191)</f>
        <v>0</v>
      </c>
    </row>
    <row r="193" spans="2:11">
      <c r="B193" s="1228"/>
      <c r="C193" s="1229"/>
      <c r="D193" s="1230"/>
      <c r="E193" s="1230"/>
      <c r="F193" s="1230"/>
      <c r="G193" s="1231"/>
      <c r="H193" s="1232"/>
      <c r="I193" s="1233"/>
      <c r="J193" s="1234"/>
      <c r="K193" s="1235"/>
    </row>
    <row r="194" spans="2:11" ht="13">
      <c r="B194" s="1236" t="s">
        <v>65</v>
      </c>
      <c r="C194" s="1237"/>
      <c r="D194" s="1204" t="s">
        <v>4338</v>
      </c>
      <c r="E194" s="1205"/>
      <c r="F194" s="1238"/>
      <c r="G194" s="1238"/>
      <c r="H194" s="1239"/>
      <c r="I194" s="1240"/>
      <c r="J194" s="1241"/>
      <c r="K194" s="1242">
        <f>K192+K183</f>
        <v>0</v>
      </c>
    </row>
    <row r="195" spans="2:11" ht="13">
      <c r="B195" s="1236" t="s">
        <v>68</v>
      </c>
      <c r="C195" s="1237"/>
      <c r="D195" s="1204" t="s">
        <v>4339</v>
      </c>
      <c r="E195" s="1205"/>
      <c r="F195" s="1205"/>
      <c r="G195" s="1205"/>
      <c r="H195" s="1239"/>
      <c r="I195" s="1064">
        <f>$K$4</f>
        <v>0.1</v>
      </c>
      <c r="J195" s="1064"/>
      <c r="K195" s="1065">
        <f>K194*I195</f>
        <v>0</v>
      </c>
    </row>
    <row r="196" spans="2:11" ht="13">
      <c r="B196" s="1243" t="s">
        <v>70</v>
      </c>
      <c r="C196" s="1244"/>
      <c r="D196" s="1245" t="s">
        <v>4340</v>
      </c>
      <c r="E196" s="1246"/>
      <c r="F196" s="1246"/>
      <c r="G196" s="1246"/>
      <c r="H196" s="1247"/>
      <c r="I196" s="1248"/>
      <c r="J196" s="1249"/>
      <c r="K196" s="1250">
        <f>K194+K195</f>
        <v>0</v>
      </c>
    </row>
    <row r="197" spans="2:11" ht="13">
      <c r="B197" s="1251"/>
      <c r="C197" s="1036"/>
      <c r="D197" s="1184"/>
      <c r="E197" s="1252"/>
      <c r="F197" s="1252"/>
      <c r="G197" s="1252"/>
      <c r="H197" s="1036"/>
      <c r="I197" s="1253"/>
      <c r="J197" s="1254"/>
      <c r="K197" s="1255"/>
    </row>
    <row r="198" spans="2:11" s="1259" customFormat="1" ht="13">
      <c r="B198" s="1256"/>
      <c r="C198" s="1257" t="s">
        <v>4159</v>
      </c>
      <c r="D198" s="1258"/>
      <c r="E198" s="1258"/>
      <c r="F198" s="1258"/>
      <c r="G198" s="1258"/>
      <c r="H198" s="1258"/>
      <c r="I198" s="1258"/>
      <c r="J198" s="1258"/>
      <c r="K198" s="1258"/>
    </row>
    <row r="199" spans="2:11" ht="13">
      <c r="B199" s="1687" t="s">
        <v>3235</v>
      </c>
      <c r="C199" s="1690" t="s">
        <v>4288</v>
      </c>
      <c r="D199" s="1691"/>
      <c r="E199" s="1691"/>
      <c r="F199" s="1691"/>
      <c r="G199" s="1186"/>
      <c r="H199" s="1696" t="s">
        <v>4289</v>
      </c>
      <c r="I199" s="1696" t="s">
        <v>4290</v>
      </c>
      <c r="J199" s="1035" t="s">
        <v>1955</v>
      </c>
      <c r="K199" s="1035"/>
    </row>
    <row r="200" spans="2:11" ht="13">
      <c r="B200" s="1688"/>
      <c r="C200" s="1692"/>
      <c r="D200" s="1693"/>
      <c r="E200" s="1693"/>
      <c r="F200" s="1693"/>
      <c r="G200" s="1187" t="s">
        <v>4291</v>
      </c>
      <c r="H200" s="1697"/>
      <c r="I200" s="1697"/>
      <c r="J200" s="1037" t="s">
        <v>1954</v>
      </c>
      <c r="K200" s="1037" t="s">
        <v>3239</v>
      </c>
    </row>
    <row r="201" spans="2:11" ht="13">
      <c r="B201" s="1689"/>
      <c r="C201" s="1694"/>
      <c r="D201" s="1695"/>
      <c r="E201" s="1695"/>
      <c r="F201" s="1695"/>
      <c r="G201" s="1188"/>
      <c r="H201" s="1698"/>
      <c r="I201" s="1698"/>
      <c r="J201" s="1038" t="s">
        <v>4292</v>
      </c>
      <c r="K201" s="1038" t="s">
        <v>4292</v>
      </c>
    </row>
    <row r="202" spans="2:11" ht="13">
      <c r="B202" s="1260">
        <v>1</v>
      </c>
      <c r="C202" s="1699">
        <v>2</v>
      </c>
      <c r="D202" s="1700"/>
      <c r="E202" s="1700"/>
      <c r="F202" s="1700"/>
      <c r="G202" s="1261"/>
      <c r="H202" s="1262">
        <v>4</v>
      </c>
      <c r="I202" s="1263">
        <f>C202+1</f>
        <v>3</v>
      </c>
      <c r="J202" s="1262">
        <f>H202+1</f>
        <v>5</v>
      </c>
      <c r="K202" s="1262">
        <f>J202+1</f>
        <v>6</v>
      </c>
    </row>
    <row r="203" spans="2:11">
      <c r="B203" s="1119"/>
      <c r="C203" s="58"/>
      <c r="D203" s="58"/>
      <c r="E203" s="1264"/>
      <c r="F203" s="1264"/>
      <c r="G203" s="1265"/>
      <c r="H203" s="1122"/>
      <c r="I203" s="1174"/>
      <c r="J203" s="1174"/>
      <c r="K203" s="1266"/>
    </row>
    <row r="204" spans="2:11" ht="13">
      <c r="B204" s="1267" t="s">
        <v>45</v>
      </c>
      <c r="C204" s="1268"/>
      <c r="D204" s="1269" t="s">
        <v>4345</v>
      </c>
      <c r="E204" s="1269"/>
      <c r="F204" s="1269"/>
      <c r="G204" s="1270"/>
      <c r="H204" s="1113"/>
      <c r="I204" s="1271"/>
      <c r="J204" s="1272"/>
      <c r="K204" s="1273"/>
    </row>
    <row r="205" spans="2:11">
      <c r="B205" s="1059">
        <v>1</v>
      </c>
      <c r="C205" s="1274"/>
      <c r="D205" s="1108" t="s">
        <v>47</v>
      </c>
      <c r="E205" s="1108"/>
      <c r="F205" s="1108"/>
      <c r="G205" s="1105" t="s">
        <v>4326</v>
      </c>
      <c r="H205" s="1105" t="s">
        <v>48</v>
      </c>
      <c r="I205" s="1275">
        <v>3</v>
      </c>
      <c r="J205" s="1065">
        <f>J154</f>
        <v>0</v>
      </c>
      <c r="K205" s="1109">
        <f>J205*I205</f>
        <v>0</v>
      </c>
    </row>
    <row r="206" spans="2:11">
      <c r="B206" s="1059">
        <v>2</v>
      </c>
      <c r="C206" s="1276"/>
      <c r="D206" s="1108" t="s">
        <v>4346</v>
      </c>
      <c r="E206" s="1108"/>
      <c r="F206" s="1108"/>
      <c r="G206" s="1105" t="s">
        <v>4326</v>
      </c>
      <c r="H206" s="1105" t="s">
        <v>48</v>
      </c>
      <c r="I206" s="1275">
        <v>2</v>
      </c>
      <c r="J206" s="1065">
        <f>J155</f>
        <v>0</v>
      </c>
      <c r="K206" s="1109">
        <f>J206*I206</f>
        <v>0</v>
      </c>
    </row>
    <row r="207" spans="2:11">
      <c r="B207" s="1059">
        <v>3</v>
      </c>
      <c r="C207" s="1276"/>
      <c r="D207" s="1108" t="s">
        <v>50</v>
      </c>
      <c r="E207" s="1108"/>
      <c r="F207" s="1108"/>
      <c r="G207" s="1105" t="s">
        <v>4326</v>
      </c>
      <c r="H207" s="1105" t="s">
        <v>48</v>
      </c>
      <c r="I207" s="1275">
        <f>I206/10</f>
        <v>0.2</v>
      </c>
      <c r="J207" s="1065">
        <f>J156</f>
        <v>0</v>
      </c>
      <c r="K207" s="1109">
        <f>J207*I207</f>
        <v>0</v>
      </c>
    </row>
    <row r="208" spans="2:11">
      <c r="B208" s="1059">
        <v>4</v>
      </c>
      <c r="C208" s="1276"/>
      <c r="D208" s="1108" t="s">
        <v>51</v>
      </c>
      <c r="E208" s="1108"/>
      <c r="F208" s="1108"/>
      <c r="G208" s="1105" t="s">
        <v>4326</v>
      </c>
      <c r="H208" s="1105" t="s">
        <v>48</v>
      </c>
      <c r="I208" s="1275">
        <f>I207/10</f>
        <v>0.02</v>
      </c>
      <c r="J208" s="1065">
        <f>J157</f>
        <v>0</v>
      </c>
      <c r="K208" s="1109">
        <f>J208*I208</f>
        <v>0</v>
      </c>
    </row>
    <row r="209" spans="2:11" ht="13">
      <c r="B209" s="1277"/>
      <c r="C209" s="1091"/>
      <c r="D209" s="1091"/>
      <c r="E209" s="1278"/>
      <c r="F209" s="1278"/>
      <c r="G209" s="1278"/>
      <c r="H209" s="1091"/>
      <c r="I209" s="1279" t="s">
        <v>4347</v>
      </c>
      <c r="J209" s="1280"/>
      <c r="K209" s="1281">
        <f>SUM(K205:K208)</f>
        <v>0</v>
      </c>
    </row>
    <row r="210" spans="2:11" ht="13">
      <c r="B210" s="1282" t="s">
        <v>53</v>
      </c>
      <c r="C210" s="1126"/>
      <c r="D210" s="1283" t="s">
        <v>4348</v>
      </c>
      <c r="E210" s="1283"/>
      <c r="F210" s="1283"/>
      <c r="G210" s="1284"/>
      <c r="H210" s="1285"/>
      <c r="I210" s="1286"/>
      <c r="J210" s="1287"/>
      <c r="K210" s="1288"/>
    </row>
    <row r="211" spans="2:11">
      <c r="B211" s="1289">
        <v>1</v>
      </c>
      <c r="C211" s="1276"/>
      <c r="D211" s="1061" t="s">
        <v>4349</v>
      </c>
      <c r="E211" s="1061"/>
      <c r="F211" s="1061"/>
      <c r="G211" s="1290"/>
      <c r="H211" s="1291" t="s">
        <v>87</v>
      </c>
      <c r="I211" s="1292">
        <v>1</v>
      </c>
      <c r="J211" s="1064">
        <v>0</v>
      </c>
      <c r="K211" s="1293">
        <f t="shared" ref="K211:K221" si="2">J211*I211</f>
        <v>0</v>
      </c>
    </row>
    <row r="212" spans="2:11">
      <c r="B212" s="1289">
        <f t="shared" ref="B212:B221" si="3">B211+1</f>
        <v>2</v>
      </c>
      <c r="C212" s="1276"/>
      <c r="D212" s="1294" t="s">
        <v>4350</v>
      </c>
      <c r="E212" s="1061"/>
      <c r="F212" s="1061"/>
      <c r="G212" s="1290"/>
      <c r="H212" s="1291" t="s">
        <v>87</v>
      </c>
      <c r="I212" s="1292">
        <v>1</v>
      </c>
      <c r="J212" s="1064">
        <v>0</v>
      </c>
      <c r="K212" s="1293">
        <f t="shared" si="2"/>
        <v>0</v>
      </c>
    </row>
    <row r="213" spans="2:11">
      <c r="B213" s="1289">
        <f t="shared" si="3"/>
        <v>3</v>
      </c>
      <c r="C213" s="1276"/>
      <c r="D213" s="1294" t="s">
        <v>4351</v>
      </c>
      <c r="E213" s="1061"/>
      <c r="F213" s="1061"/>
      <c r="G213" s="1290"/>
      <c r="H213" s="1291" t="s">
        <v>87</v>
      </c>
      <c r="I213" s="1292">
        <v>1</v>
      </c>
      <c r="J213" s="1064">
        <v>0</v>
      </c>
      <c r="K213" s="1293">
        <f t="shared" si="2"/>
        <v>0</v>
      </c>
    </row>
    <row r="214" spans="2:11">
      <c r="B214" s="1289">
        <f t="shared" si="3"/>
        <v>4</v>
      </c>
      <c r="C214" s="1276"/>
      <c r="D214" s="1294" t="s">
        <v>4352</v>
      </c>
      <c r="E214" s="1061"/>
      <c r="F214" s="1061"/>
      <c r="G214" s="1290"/>
      <c r="H214" s="1291" t="s">
        <v>87</v>
      </c>
      <c r="I214" s="1292">
        <v>1</v>
      </c>
      <c r="J214" s="1064">
        <v>0</v>
      </c>
      <c r="K214" s="1293">
        <f t="shared" si="2"/>
        <v>0</v>
      </c>
    </row>
    <row r="215" spans="2:11">
      <c r="B215" s="1289">
        <f t="shared" si="3"/>
        <v>5</v>
      </c>
      <c r="C215" s="1276"/>
      <c r="D215" s="1294" t="s">
        <v>4353</v>
      </c>
      <c r="E215" s="1061"/>
      <c r="F215" s="1061"/>
      <c r="G215" s="1290"/>
      <c r="H215" s="1291" t="s">
        <v>87</v>
      </c>
      <c r="I215" s="1292">
        <v>1</v>
      </c>
      <c r="J215" s="1064">
        <v>0</v>
      </c>
      <c r="K215" s="1293">
        <f t="shared" si="2"/>
        <v>0</v>
      </c>
    </row>
    <row r="216" spans="2:11">
      <c r="B216" s="1289">
        <f t="shared" si="3"/>
        <v>6</v>
      </c>
      <c r="C216" s="1295"/>
      <c r="D216" s="1294" t="s">
        <v>4354</v>
      </c>
      <c r="E216" s="1134"/>
      <c r="F216" s="1134"/>
      <c r="G216" s="1296"/>
      <c r="H216" s="1291" t="s">
        <v>87</v>
      </c>
      <c r="I216" s="1292">
        <v>2</v>
      </c>
      <c r="J216" s="1064">
        <v>0</v>
      </c>
      <c r="K216" s="1293">
        <f t="shared" si="2"/>
        <v>0</v>
      </c>
    </row>
    <row r="217" spans="2:11">
      <c r="B217" s="1289">
        <f t="shared" si="3"/>
        <v>7</v>
      </c>
      <c r="C217" s="1218"/>
      <c r="D217" s="1213" t="s">
        <v>4355</v>
      </c>
      <c r="E217" s="1214"/>
      <c r="F217" s="1214"/>
      <c r="G217" s="1297"/>
      <c r="H217" s="1220" t="s">
        <v>87</v>
      </c>
      <c r="I217" s="1221">
        <v>3</v>
      </c>
      <c r="J217" s="1064">
        <v>0</v>
      </c>
      <c r="K217" s="1298">
        <f t="shared" si="2"/>
        <v>0</v>
      </c>
    </row>
    <row r="218" spans="2:11">
      <c r="B218" s="1289">
        <f t="shared" si="3"/>
        <v>8</v>
      </c>
      <c r="C218" s="1295"/>
      <c r="D218" s="1299" t="s">
        <v>4356</v>
      </c>
      <c r="E218" s="1134"/>
      <c r="F218" s="1134"/>
      <c r="G218" s="1296"/>
      <c r="H218" s="1291" t="s">
        <v>259</v>
      </c>
      <c r="I218" s="1292">
        <v>1</v>
      </c>
      <c r="J218" s="1064">
        <v>0</v>
      </c>
      <c r="K218" s="1293">
        <f t="shared" si="2"/>
        <v>0</v>
      </c>
    </row>
    <row r="219" spans="2:11">
      <c r="B219" s="1289">
        <f t="shared" si="3"/>
        <v>9</v>
      </c>
      <c r="C219" s="1295"/>
      <c r="D219" s="1300" t="s">
        <v>4357</v>
      </c>
      <c r="E219" s="1134"/>
      <c r="F219" s="1134"/>
      <c r="G219" s="1296"/>
      <c r="H219" s="1291" t="s">
        <v>87</v>
      </c>
      <c r="I219" s="1292">
        <v>1</v>
      </c>
      <c r="J219" s="1064">
        <v>0</v>
      </c>
      <c r="K219" s="1293">
        <f t="shared" si="2"/>
        <v>0</v>
      </c>
    </row>
    <row r="220" spans="2:11">
      <c r="B220" s="1289">
        <f t="shared" si="3"/>
        <v>10</v>
      </c>
      <c r="C220" s="1295"/>
      <c r="D220" s="1134" t="s">
        <v>4358</v>
      </c>
      <c r="E220" s="1134"/>
      <c r="F220" s="1134"/>
      <c r="G220" s="1296"/>
      <c r="H220" s="1291" t="s">
        <v>87</v>
      </c>
      <c r="I220" s="1292">
        <v>3</v>
      </c>
      <c r="J220" s="1064">
        <v>0</v>
      </c>
      <c r="K220" s="1293">
        <f t="shared" si="2"/>
        <v>0</v>
      </c>
    </row>
    <row r="221" spans="2:11">
      <c r="B221" s="1289">
        <f t="shared" si="3"/>
        <v>11</v>
      </c>
      <c r="C221" s="1295"/>
      <c r="D221" s="1134" t="s">
        <v>4359</v>
      </c>
      <c r="E221" s="1134"/>
      <c r="F221" s="1134"/>
      <c r="G221" s="1296"/>
      <c r="H221" s="1291" t="s">
        <v>3257</v>
      </c>
      <c r="I221" s="1292">
        <v>1</v>
      </c>
      <c r="J221" s="1064">
        <v>0</v>
      </c>
      <c r="K221" s="1293">
        <f t="shared" si="2"/>
        <v>0</v>
      </c>
    </row>
    <row r="222" spans="2:11">
      <c r="B222" s="1301"/>
      <c r="C222" s="1302"/>
      <c r="D222" s="1068"/>
      <c r="E222" s="1068"/>
      <c r="F222" s="1068"/>
      <c r="G222" s="1145"/>
      <c r="H222" s="1303"/>
      <c r="I222" s="1304"/>
      <c r="J222" s="1072"/>
      <c r="K222" s="1305"/>
    </row>
    <row r="223" spans="2:11" ht="13">
      <c r="B223" s="1277"/>
      <c r="C223" s="1091"/>
      <c r="D223" s="1091"/>
      <c r="E223" s="1278"/>
      <c r="F223" s="1278"/>
      <c r="G223" s="1278"/>
      <c r="H223" s="1091"/>
      <c r="I223" s="1279" t="s">
        <v>4360</v>
      </c>
      <c r="J223" s="1306"/>
      <c r="K223" s="1307">
        <f>SUM(K211:K221)</f>
        <v>0</v>
      </c>
    </row>
    <row r="224" spans="2:11" ht="13">
      <c r="B224" s="1308" t="s">
        <v>65</v>
      </c>
      <c r="C224" s="1127"/>
      <c r="D224" s="1283" t="s">
        <v>1939</v>
      </c>
      <c r="E224" s="1283"/>
      <c r="F224" s="1283"/>
      <c r="G224" s="1309"/>
      <c r="H224" s="1310"/>
      <c r="I224" s="1311"/>
      <c r="J224" s="1055"/>
      <c r="K224" s="1312"/>
    </row>
    <row r="225" spans="2:11" ht="13">
      <c r="B225" s="1313"/>
      <c r="C225" s="1276"/>
      <c r="D225" s="1314" t="s">
        <v>4361</v>
      </c>
      <c r="E225" s="1314"/>
      <c r="F225" s="1314"/>
      <c r="G225" s="1315"/>
      <c r="H225" s="58" t="s">
        <v>3257</v>
      </c>
      <c r="I225" s="1316">
        <v>1</v>
      </c>
      <c r="J225" s="1064">
        <v>0</v>
      </c>
      <c r="K225" s="1317">
        <f>J225*I225</f>
        <v>0</v>
      </c>
    </row>
    <row r="226" spans="2:11" ht="13">
      <c r="B226" s="1301"/>
      <c r="C226" s="1302"/>
      <c r="D226" s="1318"/>
      <c r="E226" s="1319"/>
      <c r="F226" s="1319"/>
      <c r="G226" s="1320"/>
      <c r="H226" s="1321"/>
      <c r="I226" s="1322"/>
      <c r="J226" s="1323"/>
      <c r="K226" s="1293"/>
    </row>
    <row r="227" spans="2:11" ht="13">
      <c r="B227" s="1277"/>
      <c r="C227" s="1091"/>
      <c r="D227" s="1091"/>
      <c r="E227" s="1278"/>
      <c r="F227" s="1278"/>
      <c r="G227" s="1278"/>
      <c r="H227" s="1091"/>
      <c r="I227" s="1279" t="s">
        <v>4362</v>
      </c>
      <c r="J227" s="1306"/>
      <c r="K227" s="1307">
        <f>K225</f>
        <v>0</v>
      </c>
    </row>
    <row r="228" spans="2:11" ht="13">
      <c r="B228" s="1324" t="s">
        <v>68</v>
      </c>
      <c r="C228" s="1325"/>
      <c r="D228" s="1326" t="s">
        <v>4363</v>
      </c>
      <c r="E228" s="1314"/>
      <c r="F228" s="1327"/>
      <c r="G228" s="1327"/>
      <c r="H228" s="1328"/>
      <c r="I228" s="1329"/>
      <c r="J228" s="1330"/>
      <c r="K228" s="1331">
        <f>K209+K223+K227</f>
        <v>0</v>
      </c>
    </row>
    <row r="229" spans="2:11" ht="13">
      <c r="B229" s="1324" t="s">
        <v>70</v>
      </c>
      <c r="C229" s="1325"/>
      <c r="D229" s="1326" t="s">
        <v>4364</v>
      </c>
      <c r="E229" s="1314"/>
      <c r="F229" s="1314"/>
      <c r="G229" s="1314"/>
      <c r="H229" s="1328"/>
      <c r="I229" s="1064">
        <f>$K$4</f>
        <v>0.1</v>
      </c>
      <c r="J229" s="1064"/>
      <c r="K229" s="1065">
        <f>K228*I229</f>
        <v>0</v>
      </c>
    </row>
    <row r="230" spans="2:11" ht="13">
      <c r="B230" s="1332" t="s">
        <v>71</v>
      </c>
      <c r="C230" s="1333"/>
      <c r="D230" s="1334" t="s">
        <v>4340</v>
      </c>
      <c r="E230" s="1319"/>
      <c r="F230" s="1319"/>
      <c r="G230" s="1319"/>
      <c r="H230" s="1335"/>
      <c r="I230" s="1336"/>
      <c r="J230" s="1073"/>
      <c r="K230" s="1337">
        <v>0</v>
      </c>
    </row>
    <row r="231" spans="2:11" ht="13">
      <c r="B231" s="1251"/>
      <c r="C231" s="1036"/>
      <c r="D231" s="1184"/>
      <c r="E231" s="1252"/>
      <c r="F231" s="1252"/>
      <c r="G231" s="1252"/>
      <c r="H231" s="1036"/>
      <c r="I231" s="1253"/>
      <c r="J231" s="1254"/>
      <c r="K231" s="1255"/>
    </row>
    <row r="232" spans="2:11" ht="13">
      <c r="B232" s="1031"/>
      <c r="C232" s="1184" t="s">
        <v>4365</v>
      </c>
      <c r="D232" s="1185"/>
      <c r="E232" s="1185"/>
      <c r="F232" s="1185"/>
      <c r="G232" s="1185"/>
      <c r="H232" s="1185"/>
      <c r="I232" s="1185"/>
      <c r="J232" s="1185"/>
      <c r="K232" s="1185"/>
    </row>
    <row r="233" spans="2:11" ht="13">
      <c r="B233" s="1687" t="s">
        <v>3235</v>
      </c>
      <c r="C233" s="1690" t="s">
        <v>4288</v>
      </c>
      <c r="D233" s="1691"/>
      <c r="E233" s="1691"/>
      <c r="F233" s="1691"/>
      <c r="G233" s="1186"/>
      <c r="H233" s="1696" t="s">
        <v>4289</v>
      </c>
      <c r="I233" s="1696" t="s">
        <v>4290</v>
      </c>
      <c r="J233" s="1035" t="s">
        <v>1955</v>
      </c>
      <c r="K233" s="1035"/>
    </row>
    <row r="234" spans="2:11" ht="13">
      <c r="B234" s="1688"/>
      <c r="C234" s="1692"/>
      <c r="D234" s="1693"/>
      <c r="E234" s="1693"/>
      <c r="F234" s="1693"/>
      <c r="G234" s="1187" t="s">
        <v>4291</v>
      </c>
      <c r="H234" s="1697"/>
      <c r="I234" s="1697"/>
      <c r="J234" s="1037" t="s">
        <v>1954</v>
      </c>
      <c r="K234" s="1037" t="s">
        <v>3239</v>
      </c>
    </row>
    <row r="235" spans="2:11" ht="13">
      <c r="B235" s="1689"/>
      <c r="C235" s="1694"/>
      <c r="D235" s="1695"/>
      <c r="E235" s="1695"/>
      <c r="F235" s="1695"/>
      <c r="G235" s="1188"/>
      <c r="H235" s="1698"/>
      <c r="I235" s="1698"/>
      <c r="J235" s="1038" t="s">
        <v>4292</v>
      </c>
      <c r="K235" s="1038" t="s">
        <v>4292</v>
      </c>
    </row>
    <row r="236" spans="2:11" ht="13">
      <c r="B236" s="1260">
        <v>1</v>
      </c>
      <c r="C236" s="1699">
        <v>2</v>
      </c>
      <c r="D236" s="1700"/>
      <c r="E236" s="1700"/>
      <c r="F236" s="1700"/>
      <c r="G236" s="1261"/>
      <c r="H236" s="1262">
        <v>4</v>
      </c>
      <c r="I236" s="1263">
        <f>C236+1</f>
        <v>3</v>
      </c>
      <c r="J236" s="1262">
        <f>H236+1</f>
        <v>5</v>
      </c>
      <c r="K236" s="1262">
        <f>J236+1</f>
        <v>6</v>
      </c>
    </row>
    <row r="237" spans="2:11">
      <c r="B237" s="1196"/>
      <c r="C237" s="1185"/>
      <c r="D237" s="1185"/>
      <c r="E237" s="1338"/>
      <c r="F237" s="1338"/>
      <c r="G237" s="1199"/>
      <c r="H237" s="1200"/>
      <c r="I237" s="1201"/>
      <c r="J237" s="1201"/>
      <c r="K237" s="1202"/>
    </row>
    <row r="238" spans="2:11" ht="13">
      <c r="B238" s="1193" t="s">
        <v>45</v>
      </c>
      <c r="C238" s="1203"/>
      <c r="D238" s="1339" t="s">
        <v>4345</v>
      </c>
      <c r="E238" s="1339"/>
      <c r="F238" s="1339"/>
      <c r="G238" s="1206"/>
      <c r="H238" s="1207"/>
      <c r="I238" s="1208"/>
      <c r="J238" s="1209"/>
      <c r="K238" s="1210"/>
    </row>
    <row r="239" spans="2:11">
      <c r="B239" s="1211">
        <v>1</v>
      </c>
      <c r="C239" s="1212"/>
      <c r="D239" s="1340" t="s">
        <v>47</v>
      </c>
      <c r="E239" s="1340"/>
      <c r="F239" s="1340"/>
      <c r="G239" s="1215" t="s">
        <v>4326</v>
      </c>
      <c r="H239" s="1215" t="s">
        <v>48</v>
      </c>
      <c r="I239" s="1216">
        <v>0.56200000000000006</v>
      </c>
      <c r="J239" s="1168">
        <f>J205</f>
        <v>0</v>
      </c>
      <c r="K239" s="1217">
        <f>J239*I239</f>
        <v>0</v>
      </c>
    </row>
    <row r="240" spans="2:11">
      <c r="B240" s="1211">
        <v>2</v>
      </c>
      <c r="C240" s="1218"/>
      <c r="D240" s="1340" t="s">
        <v>4346</v>
      </c>
      <c r="E240" s="1340"/>
      <c r="F240" s="1340"/>
      <c r="G240" s="1215" t="s">
        <v>4326</v>
      </c>
      <c r="H240" s="1215" t="s">
        <v>48</v>
      </c>
      <c r="I240" s="1216">
        <v>1.2</v>
      </c>
      <c r="J240" s="1168">
        <f>J206</f>
        <v>0</v>
      </c>
      <c r="K240" s="1217">
        <f>J240*I240</f>
        <v>0</v>
      </c>
    </row>
    <row r="241" spans="2:11">
      <c r="B241" s="1211">
        <v>3</v>
      </c>
      <c r="C241" s="1218"/>
      <c r="D241" s="1340" t="s">
        <v>50</v>
      </c>
      <c r="E241" s="1340"/>
      <c r="F241" s="1340"/>
      <c r="G241" s="1215" t="s">
        <v>4326</v>
      </c>
      <c r="H241" s="1215" t="s">
        <v>48</v>
      </c>
      <c r="I241" s="1216">
        <f>I240/10</f>
        <v>0.12</v>
      </c>
      <c r="J241" s="1168">
        <f>J207</f>
        <v>0</v>
      </c>
      <c r="K241" s="1217">
        <f>J241*I241</f>
        <v>0</v>
      </c>
    </row>
    <row r="242" spans="2:11">
      <c r="B242" s="1211">
        <v>4</v>
      </c>
      <c r="C242" s="1218"/>
      <c r="D242" s="1340" t="s">
        <v>51</v>
      </c>
      <c r="E242" s="1340"/>
      <c r="F242" s="1340"/>
      <c r="G242" s="1215" t="s">
        <v>4326</v>
      </c>
      <c r="H242" s="1215" t="s">
        <v>48</v>
      </c>
      <c r="I242" s="1216">
        <f>I241/10</f>
        <v>1.2E-2</v>
      </c>
      <c r="J242" s="1168">
        <f>J208</f>
        <v>0</v>
      </c>
      <c r="K242" s="1217">
        <f>J242*I242</f>
        <v>0</v>
      </c>
    </row>
    <row r="243" spans="2:11" ht="13">
      <c r="B243" s="1341"/>
      <c r="C243" s="1342"/>
      <c r="D243" s="1342"/>
      <c r="E243" s="1343"/>
      <c r="F243" s="1343"/>
      <c r="G243" s="1343"/>
      <c r="H243" s="1342"/>
      <c r="I243" s="1344" t="s">
        <v>4347</v>
      </c>
      <c r="J243" s="1345"/>
      <c r="K243" s="1346">
        <f>SUM(K239:K242)</f>
        <v>0</v>
      </c>
    </row>
    <row r="244" spans="2:11" ht="13">
      <c r="B244" s="1347" t="s">
        <v>53</v>
      </c>
      <c r="C244" s="1348"/>
      <c r="D244" s="1349" t="s">
        <v>4348</v>
      </c>
      <c r="E244" s="1349"/>
      <c r="F244" s="1349"/>
      <c r="G244" s="1350"/>
      <c r="H244" s="1351"/>
      <c r="I244" s="1352"/>
      <c r="J244" s="1353"/>
      <c r="K244" s="1354"/>
    </row>
    <row r="245" spans="2:11">
      <c r="B245" s="1355">
        <v>1</v>
      </c>
      <c r="C245" s="1218"/>
      <c r="D245" s="1214" t="s">
        <v>4366</v>
      </c>
      <c r="E245" s="1214"/>
      <c r="F245" s="1214"/>
      <c r="G245" s="1297"/>
      <c r="H245" s="1220" t="s">
        <v>87</v>
      </c>
      <c r="I245" s="1221">
        <v>1</v>
      </c>
      <c r="J245" s="1222">
        <v>0</v>
      </c>
      <c r="K245" s="1298">
        <f t="shared" ref="K245:K250" si="4">J245*I245</f>
        <v>0</v>
      </c>
    </row>
    <row r="246" spans="2:11">
      <c r="B246" s="1355">
        <f>B245+1</f>
        <v>2</v>
      </c>
      <c r="C246" s="1218"/>
      <c r="D246" s="1213" t="s">
        <v>4367</v>
      </c>
      <c r="E246" s="1214"/>
      <c r="F246" s="1214"/>
      <c r="G246" s="1297"/>
      <c r="H246" s="1220" t="s">
        <v>87</v>
      </c>
      <c r="I246" s="1221">
        <v>1</v>
      </c>
      <c r="J246" s="1222">
        <v>0</v>
      </c>
      <c r="K246" s="1298">
        <f t="shared" si="4"/>
        <v>0</v>
      </c>
    </row>
    <row r="247" spans="2:11">
      <c r="B247" s="1355">
        <f t="shared" ref="B247:B250" si="5">B246+1</f>
        <v>3</v>
      </c>
      <c r="C247" s="1218"/>
      <c r="D247" s="1213" t="s">
        <v>4368</v>
      </c>
      <c r="E247" s="1214"/>
      <c r="F247" s="1214"/>
      <c r="G247" s="1297"/>
      <c r="H247" s="1220" t="s">
        <v>87</v>
      </c>
      <c r="I247" s="1221">
        <v>7</v>
      </c>
      <c r="J247" s="1222">
        <v>0</v>
      </c>
      <c r="K247" s="1298">
        <f t="shared" si="4"/>
        <v>0</v>
      </c>
    </row>
    <row r="248" spans="2:11">
      <c r="B248" s="1355">
        <f t="shared" si="5"/>
        <v>4</v>
      </c>
      <c r="C248" s="1218"/>
      <c r="D248" s="1213" t="s">
        <v>4355</v>
      </c>
      <c r="E248" s="1214"/>
      <c r="F248" s="1214"/>
      <c r="G248" s="1297"/>
      <c r="H248" s="1220" t="s">
        <v>87</v>
      </c>
      <c r="I248" s="1221">
        <v>17</v>
      </c>
      <c r="J248" s="1222">
        <v>0</v>
      </c>
      <c r="K248" s="1298">
        <f t="shared" si="4"/>
        <v>0</v>
      </c>
    </row>
    <row r="249" spans="2:11">
      <c r="B249" s="1355">
        <f t="shared" si="5"/>
        <v>5</v>
      </c>
      <c r="C249" s="1223"/>
      <c r="D249" s="1134" t="s">
        <v>4358</v>
      </c>
      <c r="E249" s="1299"/>
      <c r="F249" s="1299"/>
      <c r="G249" s="1356"/>
      <c r="H249" s="1220" t="s">
        <v>87</v>
      </c>
      <c r="I249" s="1221">
        <v>3</v>
      </c>
      <c r="J249" s="1226">
        <f>J220</f>
        <v>0</v>
      </c>
      <c r="K249" s="1298">
        <f t="shared" si="4"/>
        <v>0</v>
      </c>
    </row>
    <row r="250" spans="2:11">
      <c r="B250" s="1355">
        <f t="shared" si="5"/>
        <v>6</v>
      </c>
      <c r="C250" s="1223"/>
      <c r="D250" s="1230" t="s">
        <v>4369</v>
      </c>
      <c r="E250" s="1299"/>
      <c r="F250" s="1299"/>
      <c r="G250" s="1356"/>
      <c r="H250" s="1232" t="s">
        <v>3257</v>
      </c>
      <c r="I250" s="1233">
        <v>1</v>
      </c>
      <c r="J250" s="1234">
        <f>SUM(K244:K249)*0.2</f>
        <v>0</v>
      </c>
      <c r="K250" s="1298">
        <f t="shared" si="4"/>
        <v>0</v>
      </c>
    </row>
    <row r="251" spans="2:11" ht="13">
      <c r="B251" s="1341"/>
      <c r="C251" s="1342"/>
      <c r="D251" s="1342"/>
      <c r="E251" s="1343"/>
      <c r="F251" s="1343"/>
      <c r="G251" s="1343"/>
      <c r="H251" s="1342"/>
      <c r="I251" s="1344" t="s">
        <v>4360</v>
      </c>
      <c r="J251" s="1357"/>
      <c r="K251" s="1358">
        <f>SUM(K245:K250)</f>
        <v>0</v>
      </c>
    </row>
    <row r="252" spans="2:11" ht="13">
      <c r="B252" s="1359" t="s">
        <v>65</v>
      </c>
      <c r="C252" s="1360"/>
      <c r="D252" s="1349" t="s">
        <v>1939</v>
      </c>
      <c r="E252" s="1349"/>
      <c r="F252" s="1349"/>
      <c r="G252" s="1361"/>
      <c r="H252" s="1362"/>
      <c r="I252" s="1363"/>
      <c r="J252" s="1364"/>
      <c r="K252" s="1365"/>
    </row>
    <row r="253" spans="2:11" ht="13">
      <c r="B253" s="1366"/>
      <c r="C253" s="1367"/>
      <c r="D253" s="1368"/>
      <c r="E253" s="1246"/>
      <c r="F253" s="1246"/>
      <c r="G253" s="1369"/>
      <c r="H253" s="1229"/>
      <c r="I253" s="1370"/>
      <c r="J253" s="1371"/>
      <c r="K253" s="1298"/>
    </row>
    <row r="254" spans="2:11" ht="13">
      <c r="B254" s="1341"/>
      <c r="C254" s="1342"/>
      <c r="D254" s="1342"/>
      <c r="E254" s="1343"/>
      <c r="F254" s="1343"/>
      <c r="G254" s="1343"/>
      <c r="H254" s="1342"/>
      <c r="I254" s="1344" t="s">
        <v>4362</v>
      </c>
      <c r="J254" s="1357"/>
      <c r="K254" s="1358">
        <f>K253</f>
        <v>0</v>
      </c>
    </row>
    <row r="255" spans="2:11" ht="13">
      <c r="B255" s="1236" t="s">
        <v>68</v>
      </c>
      <c r="C255" s="1237"/>
      <c r="D255" s="1204" t="s">
        <v>4363</v>
      </c>
      <c r="E255" s="1205"/>
      <c r="F255" s="1238"/>
      <c r="G255" s="1238"/>
      <c r="H255" s="1239"/>
      <c r="I255" s="1240"/>
      <c r="J255" s="1241"/>
      <c r="K255" s="1242">
        <f>K243+K251+K254</f>
        <v>0</v>
      </c>
    </row>
    <row r="256" spans="2:11" ht="13">
      <c r="B256" s="1236" t="s">
        <v>70</v>
      </c>
      <c r="C256" s="1237"/>
      <c r="D256" s="1326" t="s">
        <v>4364</v>
      </c>
      <c r="E256" s="1314"/>
      <c r="F256" s="1314"/>
      <c r="G256" s="1314"/>
      <c r="H256" s="1328"/>
      <c r="I256" s="1372">
        <f>$K$4</f>
        <v>0.1</v>
      </c>
      <c r="J256" s="1372"/>
      <c r="K256" s="1330">
        <f>K255*I256</f>
        <v>0</v>
      </c>
    </row>
    <row r="257" spans="2:11" ht="13">
      <c r="B257" s="1243" t="s">
        <v>71</v>
      </c>
      <c r="C257" s="1244"/>
      <c r="D257" s="1245" t="s">
        <v>4340</v>
      </c>
      <c r="E257" s="1246"/>
      <c r="F257" s="1246"/>
      <c r="G257" s="1246"/>
      <c r="H257" s="1247"/>
      <c r="I257" s="1248"/>
      <c r="J257" s="1249"/>
      <c r="K257" s="1250">
        <v>0</v>
      </c>
    </row>
    <row r="258" spans="2:11" ht="13">
      <c r="B258" s="1251"/>
      <c r="C258" s="1036"/>
      <c r="D258" s="1184"/>
      <c r="E258" s="1252"/>
      <c r="F258" s="1252"/>
      <c r="G258" s="1252"/>
      <c r="H258" s="1036"/>
      <c r="I258" s="1253"/>
      <c r="J258" s="1254"/>
      <c r="K258" s="1255"/>
    </row>
    <row r="259" spans="2:11" ht="13">
      <c r="B259" s="1031"/>
      <c r="C259" s="1184" t="s">
        <v>4161</v>
      </c>
      <c r="D259" s="1185"/>
      <c r="E259" s="1185"/>
      <c r="F259" s="1185"/>
      <c r="G259" s="1185"/>
      <c r="H259" s="1185"/>
      <c r="I259" s="1185"/>
      <c r="J259" s="1185"/>
      <c r="K259" s="1185"/>
    </row>
    <row r="260" spans="2:11" ht="13">
      <c r="B260" s="1687" t="s">
        <v>3235</v>
      </c>
      <c r="C260" s="1690" t="s">
        <v>4288</v>
      </c>
      <c r="D260" s="1691"/>
      <c r="E260" s="1691"/>
      <c r="F260" s="1691"/>
      <c r="G260" s="1186"/>
      <c r="H260" s="1696" t="s">
        <v>4289</v>
      </c>
      <c r="I260" s="1696" t="s">
        <v>4290</v>
      </c>
      <c r="J260" s="1035" t="s">
        <v>1955</v>
      </c>
      <c r="K260" s="1035"/>
    </row>
    <row r="261" spans="2:11" ht="13">
      <c r="B261" s="1688"/>
      <c r="C261" s="1692"/>
      <c r="D261" s="1693"/>
      <c r="E261" s="1693"/>
      <c r="F261" s="1693"/>
      <c r="G261" s="1187" t="s">
        <v>4291</v>
      </c>
      <c r="H261" s="1697"/>
      <c r="I261" s="1697"/>
      <c r="J261" s="1037" t="s">
        <v>1954</v>
      </c>
      <c r="K261" s="1037" t="s">
        <v>3239</v>
      </c>
    </row>
    <row r="262" spans="2:11" ht="13">
      <c r="B262" s="1689"/>
      <c r="C262" s="1694"/>
      <c r="D262" s="1695"/>
      <c r="E262" s="1695"/>
      <c r="F262" s="1695"/>
      <c r="G262" s="1188"/>
      <c r="H262" s="1698"/>
      <c r="I262" s="1698"/>
      <c r="J262" s="1038" t="s">
        <v>4292</v>
      </c>
      <c r="K262" s="1038" t="s">
        <v>4292</v>
      </c>
    </row>
    <row r="263" spans="2:11" ht="13">
      <c r="B263" s="1260">
        <v>1</v>
      </c>
      <c r="C263" s="1699">
        <v>2</v>
      </c>
      <c r="D263" s="1700"/>
      <c r="E263" s="1700"/>
      <c r="F263" s="1700"/>
      <c r="G263" s="1261"/>
      <c r="H263" s="1262">
        <v>4</v>
      </c>
      <c r="I263" s="1263">
        <f>C263+1</f>
        <v>3</v>
      </c>
      <c r="J263" s="1262">
        <f>H263+1</f>
        <v>5</v>
      </c>
      <c r="K263" s="1262">
        <f>J263+1</f>
        <v>6</v>
      </c>
    </row>
    <row r="264" spans="2:11">
      <c r="B264" s="1196"/>
      <c r="C264" s="1185"/>
      <c r="D264" s="1185"/>
      <c r="E264" s="1338"/>
      <c r="F264" s="1338"/>
      <c r="G264" s="1199"/>
      <c r="H264" s="1200"/>
      <c r="I264" s="1201"/>
      <c r="J264" s="1201"/>
      <c r="K264" s="1202"/>
    </row>
    <row r="265" spans="2:11" ht="13">
      <c r="B265" s="1193" t="s">
        <v>45</v>
      </c>
      <c r="C265" s="1203"/>
      <c r="D265" s="1339" t="s">
        <v>4345</v>
      </c>
      <c r="E265" s="1339"/>
      <c r="F265" s="1339"/>
      <c r="G265" s="1206"/>
      <c r="H265" s="1207"/>
      <c r="I265" s="1208"/>
      <c r="J265" s="1209"/>
      <c r="K265" s="1210"/>
    </row>
    <row r="266" spans="2:11">
      <c r="B266" s="1211">
        <v>1</v>
      </c>
      <c r="C266" s="1212"/>
      <c r="D266" s="1340" t="s">
        <v>47</v>
      </c>
      <c r="E266" s="1340"/>
      <c r="F266" s="1340"/>
      <c r="G266" s="1215" t="s">
        <v>4326</v>
      </c>
      <c r="H266" s="1215" t="s">
        <v>48</v>
      </c>
      <c r="I266" s="1216">
        <v>0.56200000000000006</v>
      </c>
      <c r="J266" s="1168">
        <f>J239</f>
        <v>0</v>
      </c>
      <c r="K266" s="1217">
        <f>J266*I266</f>
        <v>0</v>
      </c>
    </row>
    <row r="267" spans="2:11">
      <c r="B267" s="1211">
        <v>2</v>
      </c>
      <c r="C267" s="1218"/>
      <c r="D267" s="1340" t="s">
        <v>4346</v>
      </c>
      <c r="E267" s="1340"/>
      <c r="F267" s="1340"/>
      <c r="G267" s="1215" t="s">
        <v>4326</v>
      </c>
      <c r="H267" s="1215" t="s">
        <v>48</v>
      </c>
      <c r="I267" s="1216">
        <v>1.2</v>
      </c>
      <c r="J267" s="1168">
        <f>J240</f>
        <v>0</v>
      </c>
      <c r="K267" s="1217">
        <f>J267*I267</f>
        <v>0</v>
      </c>
    </row>
    <row r="268" spans="2:11">
      <c r="B268" s="1211">
        <v>3</v>
      </c>
      <c r="C268" s="1218"/>
      <c r="D268" s="1340" t="s">
        <v>50</v>
      </c>
      <c r="E268" s="1340"/>
      <c r="F268" s="1340"/>
      <c r="G268" s="1215" t="s">
        <v>4326</v>
      </c>
      <c r="H268" s="1215" t="s">
        <v>48</v>
      </c>
      <c r="I268" s="1216">
        <v>0.12</v>
      </c>
      <c r="J268" s="1168">
        <f>J241</f>
        <v>0</v>
      </c>
      <c r="K268" s="1217">
        <f>J268*I268</f>
        <v>0</v>
      </c>
    </row>
    <row r="269" spans="2:11">
      <c r="B269" s="1211">
        <v>4</v>
      </c>
      <c r="C269" s="1218"/>
      <c r="D269" s="1340" t="s">
        <v>51</v>
      </c>
      <c r="E269" s="1340"/>
      <c r="F269" s="1340"/>
      <c r="G269" s="1215" t="s">
        <v>4326</v>
      </c>
      <c r="H269" s="1215" t="s">
        <v>48</v>
      </c>
      <c r="I269" s="1216">
        <v>1.2E-2</v>
      </c>
      <c r="J269" s="1168">
        <f>J242</f>
        <v>0</v>
      </c>
      <c r="K269" s="1217">
        <f>J269*I269</f>
        <v>0</v>
      </c>
    </row>
    <row r="270" spans="2:11" ht="13">
      <c r="B270" s="1341"/>
      <c r="C270" s="1342"/>
      <c r="D270" s="1342"/>
      <c r="E270" s="1343"/>
      <c r="F270" s="1343"/>
      <c r="G270" s="1343"/>
      <c r="H270" s="1342"/>
      <c r="I270" s="1344" t="s">
        <v>4347</v>
      </c>
      <c r="J270" s="1345"/>
      <c r="K270" s="1346">
        <f>SUM(K266:K269)</f>
        <v>0</v>
      </c>
    </row>
    <row r="271" spans="2:11" ht="13">
      <c r="B271" s="1347" t="s">
        <v>53</v>
      </c>
      <c r="C271" s="1348"/>
      <c r="D271" s="1349" t="s">
        <v>4348</v>
      </c>
      <c r="E271" s="1349"/>
      <c r="F271" s="1349"/>
      <c r="G271" s="1350"/>
      <c r="H271" s="1351"/>
      <c r="I271" s="1352"/>
      <c r="J271" s="1353"/>
      <c r="K271" s="1354"/>
    </row>
    <row r="272" spans="2:11">
      <c r="B272" s="1355">
        <v>1</v>
      </c>
      <c r="C272" s="1218"/>
      <c r="D272" s="1214" t="s">
        <v>4366</v>
      </c>
      <c r="E272" s="1214"/>
      <c r="F272" s="1214"/>
      <c r="G272" s="1297"/>
      <c r="H272" s="1220" t="s">
        <v>87</v>
      </c>
      <c r="I272" s="1221">
        <v>1</v>
      </c>
      <c r="J272" s="1222">
        <v>0</v>
      </c>
      <c r="K272" s="1298">
        <f t="shared" ref="K272:K276" si="6">J272*I272</f>
        <v>0</v>
      </c>
    </row>
    <row r="273" spans="2:11">
      <c r="B273" s="1289">
        <f t="shared" ref="B273:B276" si="7">B272+1</f>
        <v>2</v>
      </c>
      <c r="C273" s="1276"/>
      <c r="D273" s="1213" t="s">
        <v>4370</v>
      </c>
      <c r="E273" s="1061"/>
      <c r="F273" s="1061"/>
      <c r="G273" s="1290"/>
      <c r="H273" s="1291" t="s">
        <v>87</v>
      </c>
      <c r="I273" s="1292">
        <v>1</v>
      </c>
      <c r="J273" s="1064">
        <f>J213</f>
        <v>0</v>
      </c>
      <c r="K273" s="1293">
        <f t="shared" si="6"/>
        <v>0</v>
      </c>
    </row>
    <row r="274" spans="2:11">
      <c r="B274" s="1289">
        <f t="shared" si="7"/>
        <v>3</v>
      </c>
      <c r="C274" s="1218"/>
      <c r="D274" s="1213" t="s">
        <v>4355</v>
      </c>
      <c r="E274" s="1214"/>
      <c r="F274" s="1214"/>
      <c r="G274" s="1297"/>
      <c r="H274" s="1220" t="s">
        <v>87</v>
      </c>
      <c r="I274" s="1221">
        <v>18</v>
      </c>
      <c r="J274" s="1222">
        <f>J248</f>
        <v>0</v>
      </c>
      <c r="K274" s="1298">
        <f t="shared" si="6"/>
        <v>0</v>
      </c>
    </row>
    <row r="275" spans="2:11">
      <c r="B275" s="1289">
        <f t="shared" si="7"/>
        <v>4</v>
      </c>
      <c r="C275" s="1223"/>
      <c r="D275" s="1134" t="s">
        <v>4358</v>
      </c>
      <c r="E275" s="1299"/>
      <c r="F275" s="1299"/>
      <c r="G275" s="1356"/>
      <c r="H275" s="1220" t="s">
        <v>87</v>
      </c>
      <c r="I275" s="1221">
        <v>3</v>
      </c>
      <c r="J275" s="1226">
        <f>J249</f>
        <v>0</v>
      </c>
      <c r="K275" s="1298">
        <f t="shared" si="6"/>
        <v>0</v>
      </c>
    </row>
    <row r="276" spans="2:11">
      <c r="B276" s="1289">
        <f t="shared" si="7"/>
        <v>5</v>
      </c>
      <c r="C276" s="1223"/>
      <c r="D276" s="1230" t="s">
        <v>4369</v>
      </c>
      <c r="E276" s="1299"/>
      <c r="F276" s="1299"/>
      <c r="G276" s="1356"/>
      <c r="H276" s="1232" t="s">
        <v>3257</v>
      </c>
      <c r="I276" s="1233">
        <v>1</v>
      </c>
      <c r="J276" s="1234">
        <f>SUM(K271:K275)*0.1</f>
        <v>0</v>
      </c>
      <c r="K276" s="1298">
        <f t="shared" si="6"/>
        <v>0</v>
      </c>
    </row>
    <row r="277" spans="2:11" ht="13">
      <c r="B277" s="1341"/>
      <c r="C277" s="1342"/>
      <c r="D277" s="1342"/>
      <c r="E277" s="1343"/>
      <c r="F277" s="1343"/>
      <c r="G277" s="1343"/>
      <c r="H277" s="1342"/>
      <c r="I277" s="1344" t="s">
        <v>4360</v>
      </c>
      <c r="J277" s="1357"/>
      <c r="K277" s="1358">
        <f>SUM(K272:K276)</f>
        <v>0</v>
      </c>
    </row>
    <row r="278" spans="2:11" ht="13">
      <c r="B278" s="1359" t="s">
        <v>65</v>
      </c>
      <c r="C278" s="1360"/>
      <c r="D278" s="1349" t="s">
        <v>1939</v>
      </c>
      <c r="E278" s="1349"/>
      <c r="F278" s="1349"/>
      <c r="G278" s="1361"/>
      <c r="H278" s="1362"/>
      <c r="I278" s="1363"/>
      <c r="J278" s="1364"/>
      <c r="K278" s="1365"/>
    </row>
    <row r="279" spans="2:11" ht="13">
      <c r="B279" s="1366"/>
      <c r="C279" s="1367"/>
      <c r="D279" s="1368"/>
      <c r="E279" s="1246"/>
      <c r="F279" s="1246"/>
      <c r="G279" s="1369"/>
      <c r="H279" s="1229"/>
      <c r="I279" s="1370"/>
      <c r="J279" s="1371"/>
      <c r="K279" s="1298"/>
    </row>
    <row r="280" spans="2:11" ht="13">
      <c r="B280" s="1341"/>
      <c r="C280" s="1342"/>
      <c r="D280" s="1342"/>
      <c r="E280" s="1343"/>
      <c r="F280" s="1343"/>
      <c r="G280" s="1343"/>
      <c r="H280" s="1342"/>
      <c r="I280" s="1344" t="s">
        <v>4362</v>
      </c>
      <c r="J280" s="1357"/>
      <c r="K280" s="1358">
        <f>K279</f>
        <v>0</v>
      </c>
    </row>
    <row r="281" spans="2:11" ht="13">
      <c r="B281" s="1236" t="s">
        <v>68</v>
      </c>
      <c r="C281" s="1237"/>
      <c r="D281" s="1204" t="s">
        <v>4363</v>
      </c>
      <c r="E281" s="1205"/>
      <c r="F281" s="1238"/>
      <c r="G281" s="1238"/>
      <c r="H281" s="1239"/>
      <c r="I281" s="1240"/>
      <c r="J281" s="1241"/>
      <c r="K281" s="1242">
        <f>K270+K277+K280</f>
        <v>0</v>
      </c>
    </row>
    <row r="282" spans="2:11" ht="13">
      <c r="B282" s="1236" t="s">
        <v>70</v>
      </c>
      <c r="C282" s="1237"/>
      <c r="D282" s="1326" t="s">
        <v>4364</v>
      </c>
      <c r="E282" s="1314"/>
      <c r="F282" s="1314"/>
      <c r="G282" s="1314"/>
      <c r="H282" s="1328"/>
      <c r="I282" s="1372">
        <f>$K$4</f>
        <v>0.1</v>
      </c>
      <c r="J282" s="1372"/>
      <c r="K282" s="1330">
        <f>K281*I282</f>
        <v>0</v>
      </c>
    </row>
    <row r="283" spans="2:11" ht="13">
      <c r="B283" s="1243" t="s">
        <v>71</v>
      </c>
      <c r="C283" s="1244"/>
      <c r="D283" s="1245" t="s">
        <v>4340</v>
      </c>
      <c r="E283" s="1246"/>
      <c r="F283" s="1246"/>
      <c r="G283" s="1246"/>
      <c r="H283" s="1247"/>
      <c r="I283" s="1248"/>
      <c r="J283" s="1249"/>
      <c r="K283" s="1250">
        <v>0</v>
      </c>
    </row>
    <row r="284" spans="2:11" ht="13">
      <c r="B284" s="1251"/>
      <c r="C284" s="1036"/>
      <c r="D284" s="1184"/>
      <c r="E284" s="1252"/>
      <c r="F284" s="1252"/>
      <c r="G284" s="1252"/>
      <c r="H284" s="1036"/>
      <c r="I284" s="1253"/>
      <c r="J284" s="1254"/>
      <c r="K284" s="1255"/>
    </row>
    <row r="285" spans="2:11" ht="13">
      <c r="B285" s="1031"/>
      <c r="C285" s="1184" t="s">
        <v>4371</v>
      </c>
      <c r="D285" s="1185"/>
      <c r="E285" s="1185"/>
      <c r="F285" s="1185"/>
      <c r="G285" s="1185"/>
      <c r="H285" s="1185"/>
      <c r="I285" s="1185"/>
      <c r="J285" s="1185"/>
      <c r="K285" s="1185"/>
    </row>
    <row r="286" spans="2:11" ht="13">
      <c r="B286" s="1687" t="s">
        <v>3235</v>
      </c>
      <c r="C286" s="1690" t="s">
        <v>4288</v>
      </c>
      <c r="D286" s="1691"/>
      <c r="E286" s="1691"/>
      <c r="F286" s="1691"/>
      <c r="G286" s="1186"/>
      <c r="H286" s="1696" t="s">
        <v>4289</v>
      </c>
      <c r="I286" s="1696" t="s">
        <v>4290</v>
      </c>
      <c r="J286" s="1035" t="s">
        <v>1955</v>
      </c>
      <c r="K286" s="1035"/>
    </row>
    <row r="287" spans="2:11" ht="13">
      <c r="B287" s="1688"/>
      <c r="C287" s="1692"/>
      <c r="D287" s="1693"/>
      <c r="E287" s="1693"/>
      <c r="F287" s="1693"/>
      <c r="G287" s="1187" t="s">
        <v>4291</v>
      </c>
      <c r="H287" s="1697"/>
      <c r="I287" s="1697"/>
      <c r="J287" s="1037" t="s">
        <v>1954</v>
      </c>
      <c r="K287" s="1037" t="s">
        <v>3239</v>
      </c>
    </row>
    <row r="288" spans="2:11" ht="13">
      <c r="B288" s="1689"/>
      <c r="C288" s="1694"/>
      <c r="D288" s="1695"/>
      <c r="E288" s="1695"/>
      <c r="F288" s="1695"/>
      <c r="G288" s="1188"/>
      <c r="H288" s="1698"/>
      <c r="I288" s="1698"/>
      <c r="J288" s="1038" t="s">
        <v>4292</v>
      </c>
      <c r="K288" s="1038" t="s">
        <v>4292</v>
      </c>
    </row>
    <row r="289" spans="2:11" ht="13">
      <c r="B289" s="1260">
        <v>1</v>
      </c>
      <c r="C289" s="1699">
        <v>2</v>
      </c>
      <c r="D289" s="1700"/>
      <c r="E289" s="1700"/>
      <c r="F289" s="1700"/>
      <c r="G289" s="1261"/>
      <c r="H289" s="1262">
        <v>4</v>
      </c>
      <c r="I289" s="1263">
        <f>C289+1</f>
        <v>3</v>
      </c>
      <c r="J289" s="1262">
        <f>H289+1</f>
        <v>5</v>
      </c>
      <c r="K289" s="1262">
        <f>J289+1</f>
        <v>6</v>
      </c>
    </row>
    <row r="290" spans="2:11">
      <c r="B290" s="1196"/>
      <c r="C290" s="1185"/>
      <c r="D290" s="1185"/>
      <c r="E290" s="1338"/>
      <c r="F290" s="1338"/>
      <c r="G290" s="1199"/>
      <c r="H290" s="1200"/>
      <c r="I290" s="1201"/>
      <c r="J290" s="1201"/>
      <c r="K290" s="1202"/>
    </row>
    <row r="291" spans="2:11" ht="13">
      <c r="B291" s="1193" t="s">
        <v>45</v>
      </c>
      <c r="C291" s="1203"/>
      <c r="D291" s="1339" t="s">
        <v>4345</v>
      </c>
      <c r="E291" s="1339"/>
      <c r="F291" s="1339"/>
      <c r="G291" s="1206"/>
      <c r="H291" s="1207"/>
      <c r="I291" s="1208"/>
      <c r="J291" s="1209"/>
      <c r="K291" s="1210"/>
    </row>
    <row r="292" spans="2:11">
      <c r="B292" s="1211">
        <v>1</v>
      </c>
      <c r="C292" s="1212"/>
      <c r="D292" s="1340" t="s">
        <v>47</v>
      </c>
      <c r="E292" s="1340"/>
      <c r="F292" s="1340"/>
      <c r="G292" s="1215" t="s">
        <v>4326</v>
      </c>
      <c r="H292" s="1215" t="s">
        <v>48</v>
      </c>
      <c r="I292" s="1216">
        <v>0.56200000000000006</v>
      </c>
      <c r="J292" s="1168">
        <f>J266</f>
        <v>0</v>
      </c>
      <c r="K292" s="1217">
        <f>J292*I292</f>
        <v>0</v>
      </c>
    </row>
    <row r="293" spans="2:11">
      <c r="B293" s="1211">
        <v>2</v>
      </c>
      <c r="C293" s="1218"/>
      <c r="D293" s="1340" t="s">
        <v>4346</v>
      </c>
      <c r="E293" s="1340"/>
      <c r="F293" s="1340"/>
      <c r="G293" s="1215" t="s">
        <v>4326</v>
      </c>
      <c r="H293" s="1215" t="s">
        <v>48</v>
      </c>
      <c r="I293" s="1216">
        <v>0.93799999999999994</v>
      </c>
      <c r="J293" s="1168">
        <f>J267</f>
        <v>0</v>
      </c>
      <c r="K293" s="1217">
        <f>J293*I293</f>
        <v>0</v>
      </c>
    </row>
    <row r="294" spans="2:11">
      <c r="B294" s="1211">
        <v>3</v>
      </c>
      <c r="C294" s="1218"/>
      <c r="D294" s="1340" t="s">
        <v>50</v>
      </c>
      <c r="E294" s="1340"/>
      <c r="F294" s="1340"/>
      <c r="G294" s="1215" t="s">
        <v>4326</v>
      </c>
      <c r="H294" s="1215" t="s">
        <v>48</v>
      </c>
      <c r="I294" s="1216">
        <v>9.4E-2</v>
      </c>
      <c r="J294" s="1168">
        <f>J268</f>
        <v>0</v>
      </c>
      <c r="K294" s="1217">
        <f>J294*I294</f>
        <v>0</v>
      </c>
    </row>
    <row r="295" spans="2:11">
      <c r="B295" s="1211">
        <v>4</v>
      </c>
      <c r="C295" s="1218"/>
      <c r="D295" s="1340" t="s">
        <v>51</v>
      </c>
      <c r="E295" s="1340"/>
      <c r="F295" s="1340"/>
      <c r="G295" s="1215" t="s">
        <v>4326</v>
      </c>
      <c r="H295" s="1215" t="s">
        <v>48</v>
      </c>
      <c r="I295" s="1216">
        <v>3.1E-2</v>
      </c>
      <c r="J295" s="1168">
        <f>J269</f>
        <v>0</v>
      </c>
      <c r="K295" s="1217">
        <f>J295*I295</f>
        <v>0</v>
      </c>
    </row>
    <row r="296" spans="2:11" ht="13">
      <c r="B296" s="1341"/>
      <c r="C296" s="1342"/>
      <c r="D296" s="1342"/>
      <c r="E296" s="1343"/>
      <c r="F296" s="1343"/>
      <c r="G296" s="1343"/>
      <c r="H296" s="1342"/>
      <c r="I296" s="1344" t="s">
        <v>4347</v>
      </c>
      <c r="J296" s="1345"/>
      <c r="K296" s="1346">
        <f>SUM(K292:K295)</f>
        <v>0</v>
      </c>
    </row>
    <row r="297" spans="2:11" ht="13">
      <c r="B297" s="1347" t="s">
        <v>53</v>
      </c>
      <c r="C297" s="1348"/>
      <c r="D297" s="1349" t="s">
        <v>4348</v>
      </c>
      <c r="E297" s="1349"/>
      <c r="F297" s="1349"/>
      <c r="G297" s="1350"/>
      <c r="H297" s="1351"/>
      <c r="I297" s="1352"/>
      <c r="J297" s="1353"/>
      <c r="K297" s="1354"/>
    </row>
    <row r="298" spans="2:11">
      <c r="B298" s="1355">
        <v>1</v>
      </c>
      <c r="C298" s="1218"/>
      <c r="D298" s="1214" t="s">
        <v>4372</v>
      </c>
      <c r="E298" s="1214"/>
      <c r="F298" s="1214"/>
      <c r="G298" s="1297"/>
      <c r="H298" s="1220" t="s">
        <v>87</v>
      </c>
      <c r="I298" s="1221">
        <v>1</v>
      </c>
      <c r="J298" s="1222">
        <f>J272</f>
        <v>0</v>
      </c>
      <c r="K298" s="1298">
        <f t="shared" ref="K298:K306" si="8">J298*I298</f>
        <v>0</v>
      </c>
    </row>
    <row r="299" spans="2:11">
      <c r="B299" s="1355">
        <f>B298+1</f>
        <v>2</v>
      </c>
      <c r="C299" s="1218"/>
      <c r="D299" s="1213" t="s">
        <v>4373</v>
      </c>
      <c r="E299" s="1214"/>
      <c r="F299" s="1214"/>
      <c r="G299" s="1297"/>
      <c r="H299" s="1220" t="s">
        <v>87</v>
      </c>
      <c r="I299" s="1221">
        <v>2</v>
      </c>
      <c r="J299" s="1222">
        <f>J214</f>
        <v>0</v>
      </c>
      <c r="K299" s="1298">
        <f t="shared" si="8"/>
        <v>0</v>
      </c>
    </row>
    <row r="300" spans="2:11">
      <c r="B300" s="1355">
        <f t="shared" ref="B300:B306" si="9">B299+1</f>
        <v>3</v>
      </c>
      <c r="C300" s="1218"/>
      <c r="D300" s="1213" t="s">
        <v>4374</v>
      </c>
      <c r="E300" s="1214"/>
      <c r="F300" s="1214"/>
      <c r="G300" s="1297"/>
      <c r="H300" s="1220" t="s">
        <v>87</v>
      </c>
      <c r="I300" s="1221">
        <v>2</v>
      </c>
      <c r="J300" s="1222">
        <f>J216</f>
        <v>0</v>
      </c>
      <c r="K300" s="1298">
        <f t="shared" si="8"/>
        <v>0</v>
      </c>
    </row>
    <row r="301" spans="2:11">
      <c r="B301" s="1355">
        <f t="shared" si="9"/>
        <v>4</v>
      </c>
      <c r="C301" s="1218"/>
      <c r="D301" s="1213" t="s">
        <v>4375</v>
      </c>
      <c r="E301" s="1214"/>
      <c r="F301" s="1214"/>
      <c r="G301" s="1297"/>
      <c r="H301" s="1220" t="s">
        <v>87</v>
      </c>
      <c r="I301" s="1221">
        <v>1</v>
      </c>
      <c r="J301" s="1222">
        <f>J300</f>
        <v>0</v>
      </c>
      <c r="K301" s="1298">
        <f t="shared" si="8"/>
        <v>0</v>
      </c>
    </row>
    <row r="302" spans="2:11">
      <c r="B302" s="1355">
        <f t="shared" si="9"/>
        <v>5</v>
      </c>
      <c r="C302" s="1218"/>
      <c r="D302" s="1213" t="s">
        <v>4376</v>
      </c>
      <c r="E302" s="1214"/>
      <c r="F302" s="1214"/>
      <c r="G302" s="1297"/>
      <c r="H302" s="1220" t="s">
        <v>87</v>
      </c>
      <c r="I302" s="1221">
        <v>1</v>
      </c>
      <c r="J302" s="1222">
        <f>J274</f>
        <v>0</v>
      </c>
      <c r="K302" s="1298">
        <f t="shared" si="8"/>
        <v>0</v>
      </c>
    </row>
    <row r="303" spans="2:11">
      <c r="B303" s="1355">
        <f t="shared" si="9"/>
        <v>6</v>
      </c>
      <c r="C303" s="1218"/>
      <c r="D303" s="1213" t="s">
        <v>4377</v>
      </c>
      <c r="E303" s="1214"/>
      <c r="F303" s="1214"/>
      <c r="G303" s="1297"/>
      <c r="H303" s="1220" t="s">
        <v>87</v>
      </c>
      <c r="I303" s="1221">
        <v>1</v>
      </c>
      <c r="J303" s="1222">
        <f>J302</f>
        <v>0</v>
      </c>
      <c r="K303" s="1298">
        <f t="shared" si="8"/>
        <v>0</v>
      </c>
    </row>
    <row r="304" spans="2:11">
      <c r="B304" s="1355">
        <f t="shared" si="9"/>
        <v>7</v>
      </c>
      <c r="C304" s="1223"/>
      <c r="D304" s="1134" t="s">
        <v>4358</v>
      </c>
      <c r="E304" s="1299"/>
      <c r="F304" s="1299"/>
      <c r="G304" s="1356"/>
      <c r="H304" s="1220" t="s">
        <v>87</v>
      </c>
      <c r="I304" s="1221">
        <v>3</v>
      </c>
      <c r="J304" s="1226">
        <f>J275</f>
        <v>0</v>
      </c>
      <c r="K304" s="1298">
        <f t="shared" si="8"/>
        <v>0</v>
      </c>
    </row>
    <row r="305" spans="2:11">
      <c r="B305" s="1355">
        <f t="shared" si="9"/>
        <v>8</v>
      </c>
      <c r="C305" s="1223"/>
      <c r="D305" s="1299" t="s">
        <v>4378</v>
      </c>
      <c r="E305" s="1299"/>
      <c r="F305" s="1299"/>
      <c r="G305" s="1356"/>
      <c r="H305" s="1220" t="s">
        <v>87</v>
      </c>
      <c r="I305" s="1225">
        <v>3</v>
      </c>
      <c r="J305" s="1226">
        <v>0</v>
      </c>
      <c r="K305" s="1298">
        <f t="shared" si="8"/>
        <v>0</v>
      </c>
    </row>
    <row r="306" spans="2:11">
      <c r="B306" s="1355">
        <f t="shared" si="9"/>
        <v>9</v>
      </c>
      <c r="C306" s="1223"/>
      <c r="D306" s="1230" t="s">
        <v>4369</v>
      </c>
      <c r="E306" s="1299"/>
      <c r="F306" s="1299"/>
      <c r="G306" s="1356"/>
      <c r="H306" s="1232" t="s">
        <v>3257</v>
      </c>
      <c r="I306" s="1233">
        <v>1</v>
      </c>
      <c r="J306" s="1234">
        <v>0</v>
      </c>
      <c r="K306" s="1298">
        <f t="shared" si="8"/>
        <v>0</v>
      </c>
    </row>
    <row r="307" spans="2:11" ht="13">
      <c r="B307" s="1341"/>
      <c r="C307" s="1342"/>
      <c r="D307" s="1342"/>
      <c r="E307" s="1343"/>
      <c r="F307" s="1343"/>
      <c r="G307" s="1343"/>
      <c r="H307" s="1342"/>
      <c r="I307" s="1344" t="s">
        <v>4360</v>
      </c>
      <c r="J307" s="1357"/>
      <c r="K307" s="1358">
        <f>SUM(K298:K306)</f>
        <v>0</v>
      </c>
    </row>
    <row r="308" spans="2:11" ht="13">
      <c r="B308" s="1359" t="s">
        <v>65</v>
      </c>
      <c r="C308" s="1360"/>
      <c r="D308" s="1349" t="s">
        <v>1939</v>
      </c>
      <c r="E308" s="1349"/>
      <c r="F308" s="1349"/>
      <c r="G308" s="1361"/>
      <c r="H308" s="1362"/>
      <c r="I308" s="1363"/>
      <c r="J308" s="1364"/>
      <c r="K308" s="1365"/>
    </row>
    <row r="309" spans="2:11" ht="13">
      <c r="B309" s="1366"/>
      <c r="C309" s="1367"/>
      <c r="D309" s="1368"/>
      <c r="E309" s="1246"/>
      <c r="F309" s="1246"/>
      <c r="G309" s="1369"/>
      <c r="H309" s="1229"/>
      <c r="I309" s="1370"/>
      <c r="J309" s="1371"/>
      <c r="K309" s="1298"/>
    </row>
    <row r="310" spans="2:11" ht="13">
      <c r="B310" s="1341"/>
      <c r="C310" s="1342"/>
      <c r="D310" s="1342"/>
      <c r="E310" s="1343"/>
      <c r="F310" s="1343"/>
      <c r="G310" s="1343"/>
      <c r="H310" s="1342"/>
      <c r="I310" s="1344" t="s">
        <v>4362</v>
      </c>
      <c r="J310" s="1357"/>
      <c r="K310" s="1358">
        <f>K309</f>
        <v>0</v>
      </c>
    </row>
    <row r="311" spans="2:11" ht="13">
      <c r="B311" s="1236" t="s">
        <v>68</v>
      </c>
      <c r="C311" s="1237"/>
      <c r="D311" s="1204" t="s">
        <v>4363</v>
      </c>
      <c r="E311" s="1205"/>
      <c r="F311" s="1238"/>
      <c r="G311" s="1238"/>
      <c r="H311" s="1239"/>
      <c r="I311" s="1240"/>
      <c r="J311" s="1241"/>
      <c r="K311" s="1242">
        <f>K296+K307+K310</f>
        <v>0</v>
      </c>
    </row>
    <row r="312" spans="2:11" ht="13">
      <c r="B312" s="1236" t="s">
        <v>70</v>
      </c>
      <c r="C312" s="1237"/>
      <c r="D312" s="1326" t="s">
        <v>4364</v>
      </c>
      <c r="E312" s="1314"/>
      <c r="F312" s="1314"/>
      <c r="G312" s="1314"/>
      <c r="H312" s="1328"/>
      <c r="I312" s="1372">
        <f>$K$4</f>
        <v>0.1</v>
      </c>
      <c r="J312" s="1372"/>
      <c r="K312" s="1330">
        <f>K311*I312</f>
        <v>0</v>
      </c>
    </row>
    <row r="313" spans="2:11" ht="13">
      <c r="B313" s="1243" t="s">
        <v>71</v>
      </c>
      <c r="C313" s="1244"/>
      <c r="D313" s="1245" t="s">
        <v>4340</v>
      </c>
      <c r="E313" s="1246"/>
      <c r="F313" s="1246"/>
      <c r="G313" s="1246"/>
      <c r="H313" s="1247"/>
      <c r="I313" s="1248"/>
      <c r="J313" s="1249"/>
      <c r="K313" s="1250">
        <v>0</v>
      </c>
    </row>
    <row r="314" spans="2:11" ht="13">
      <c r="B314" s="1251"/>
      <c r="C314" s="1036"/>
      <c r="D314" s="1184"/>
      <c r="E314" s="1252"/>
      <c r="F314" s="1252"/>
      <c r="G314" s="1252"/>
      <c r="H314" s="1036"/>
      <c r="I314" s="1253"/>
      <c r="J314" s="1254"/>
      <c r="K314" s="1255"/>
    </row>
    <row r="315" spans="2:11" ht="13">
      <c r="B315" s="1373"/>
      <c r="C315" s="1083" t="s">
        <v>4379</v>
      </c>
      <c r="D315" s="58"/>
      <c r="E315" s="58"/>
      <c r="F315" s="58"/>
      <c r="G315" s="58"/>
      <c r="H315" s="58"/>
      <c r="I315" s="58"/>
      <c r="J315" s="58"/>
      <c r="K315" s="58"/>
    </row>
    <row r="316" spans="2:11" ht="13">
      <c r="B316" s="1687" t="s">
        <v>3235</v>
      </c>
      <c r="C316" s="1690" t="s">
        <v>4288</v>
      </c>
      <c r="D316" s="1691"/>
      <c r="E316" s="1691"/>
      <c r="F316" s="1691"/>
      <c r="G316" s="1186"/>
      <c r="H316" s="1696" t="s">
        <v>4289</v>
      </c>
      <c r="I316" s="1696" t="s">
        <v>4290</v>
      </c>
      <c r="J316" s="1035" t="s">
        <v>1955</v>
      </c>
      <c r="K316" s="1035"/>
    </row>
    <row r="317" spans="2:11" ht="13">
      <c r="B317" s="1688"/>
      <c r="C317" s="1692"/>
      <c r="D317" s="1693"/>
      <c r="E317" s="1693"/>
      <c r="F317" s="1693"/>
      <c r="G317" s="1187" t="s">
        <v>4291</v>
      </c>
      <c r="H317" s="1697"/>
      <c r="I317" s="1697"/>
      <c r="J317" s="1037" t="s">
        <v>1954</v>
      </c>
      <c r="K317" s="1037" t="s">
        <v>3239</v>
      </c>
    </row>
    <row r="318" spans="2:11" ht="13">
      <c r="B318" s="1689"/>
      <c r="C318" s="1694"/>
      <c r="D318" s="1695"/>
      <c r="E318" s="1695"/>
      <c r="F318" s="1695"/>
      <c r="G318" s="1188"/>
      <c r="H318" s="1698"/>
      <c r="I318" s="1698"/>
      <c r="J318" s="1038" t="s">
        <v>4292</v>
      </c>
      <c r="K318" s="1038" t="s">
        <v>4292</v>
      </c>
    </row>
    <row r="319" spans="2:11" ht="13">
      <c r="B319" s="1189">
        <v>1</v>
      </c>
      <c r="C319" s="1710">
        <v>2</v>
      </c>
      <c r="D319" s="1711"/>
      <c r="E319" s="1711"/>
      <c r="F319" s="1711"/>
      <c r="G319" s="1190">
        <v>3</v>
      </c>
      <c r="H319" s="1191">
        <v>4</v>
      </c>
      <c r="I319" s="1192">
        <v>5</v>
      </c>
      <c r="J319" s="1191">
        <v>6</v>
      </c>
      <c r="K319" s="1191">
        <f>J319+1</f>
        <v>7</v>
      </c>
    </row>
    <row r="320" spans="2:11">
      <c r="B320" s="1119"/>
      <c r="C320" s="58"/>
      <c r="D320" s="58"/>
      <c r="E320" s="1264"/>
      <c r="F320" s="1264"/>
      <c r="G320" s="1265"/>
      <c r="H320" s="1122"/>
      <c r="I320" s="1174"/>
      <c r="J320" s="1174"/>
      <c r="K320" s="1266"/>
    </row>
    <row r="321" spans="2:11" ht="13">
      <c r="B321" s="1267" t="s">
        <v>45</v>
      </c>
      <c r="C321" s="1268"/>
      <c r="D321" s="1269" t="s">
        <v>4380</v>
      </c>
      <c r="E321" s="1269"/>
      <c r="F321" s="1269"/>
      <c r="G321" s="1270"/>
      <c r="H321" s="1113"/>
      <c r="I321" s="1271"/>
      <c r="J321" s="1272"/>
      <c r="K321" s="1273"/>
    </row>
    <row r="322" spans="2:11">
      <c r="B322" s="1059">
        <v>1</v>
      </c>
      <c r="C322" s="1274"/>
      <c r="D322" s="1108" t="s">
        <v>47</v>
      </c>
      <c r="E322" s="1108"/>
      <c r="F322" s="1108"/>
      <c r="G322" s="1215" t="s">
        <v>4303</v>
      </c>
      <c r="H322" s="1105" t="s">
        <v>48</v>
      </c>
      <c r="I322" s="1216">
        <v>0.15</v>
      </c>
      <c r="J322" s="1065">
        <f>J266</f>
        <v>0</v>
      </c>
      <c r="K322" s="1109">
        <f>J322*I322</f>
        <v>0</v>
      </c>
    </row>
    <row r="323" spans="2:11">
      <c r="B323" s="1059">
        <v>2</v>
      </c>
      <c r="C323" s="1276"/>
      <c r="D323" s="1108" t="s">
        <v>4346</v>
      </c>
      <c r="E323" s="1108"/>
      <c r="F323" s="1108"/>
      <c r="G323" s="1215" t="s">
        <v>4306</v>
      </c>
      <c r="H323" s="1105" t="s">
        <v>48</v>
      </c>
      <c r="I323" s="1216">
        <v>0.11</v>
      </c>
      <c r="J323" s="1065">
        <f>J267</f>
        <v>0</v>
      </c>
      <c r="K323" s="1109">
        <f>J323*I323</f>
        <v>0</v>
      </c>
    </row>
    <row r="324" spans="2:11">
      <c r="B324" s="1059">
        <v>3</v>
      </c>
      <c r="C324" s="1276"/>
      <c r="D324" s="1108" t="s">
        <v>50</v>
      </c>
      <c r="E324" s="1108"/>
      <c r="F324" s="1108"/>
      <c r="G324" s="1215" t="s">
        <v>4307</v>
      </c>
      <c r="H324" s="1105" t="s">
        <v>48</v>
      </c>
      <c r="I324" s="1216">
        <f>I323/10</f>
        <v>1.0999999999999999E-2</v>
      </c>
      <c r="J324" s="1065">
        <f>J268</f>
        <v>0</v>
      </c>
      <c r="K324" s="1109">
        <f>J324*I324</f>
        <v>0</v>
      </c>
    </row>
    <row r="325" spans="2:11">
      <c r="B325" s="1059">
        <v>4</v>
      </c>
      <c r="C325" s="1276"/>
      <c r="D325" s="1108" t="s">
        <v>51</v>
      </c>
      <c r="E325" s="1108"/>
      <c r="F325" s="1108"/>
      <c r="G325" s="1215" t="s">
        <v>4381</v>
      </c>
      <c r="H325" s="1105" t="s">
        <v>48</v>
      </c>
      <c r="I325" s="1216">
        <f>I324/10</f>
        <v>1.0999999999999998E-3</v>
      </c>
      <c r="J325" s="1065">
        <f>J269</f>
        <v>0</v>
      </c>
      <c r="K325" s="1109">
        <f>J325*I325</f>
        <v>0</v>
      </c>
    </row>
    <row r="326" spans="2:11" ht="13">
      <c r="B326" s="1277"/>
      <c r="C326" s="1091"/>
      <c r="D326" s="1091"/>
      <c r="E326" s="1278"/>
      <c r="F326" s="1278"/>
      <c r="G326" s="1278"/>
      <c r="H326" s="1091"/>
      <c r="I326" s="1279" t="s">
        <v>4347</v>
      </c>
      <c r="J326" s="1280"/>
      <c r="K326" s="1281">
        <f>SUM(K322:K325)</f>
        <v>0</v>
      </c>
    </row>
    <row r="327" spans="2:11" ht="13">
      <c r="B327" s="1267" t="s">
        <v>53</v>
      </c>
      <c r="C327" s="1126"/>
      <c r="D327" s="1283" t="s">
        <v>4348</v>
      </c>
      <c r="E327" s="1283"/>
      <c r="F327" s="1283"/>
      <c r="G327" s="1284"/>
      <c r="H327" s="1285"/>
      <c r="I327" s="1286"/>
      <c r="J327" s="1287"/>
      <c r="K327" s="1288"/>
    </row>
    <row r="328" spans="2:11">
      <c r="B328" s="1289">
        <v>1</v>
      </c>
      <c r="C328" s="1276"/>
      <c r="D328" s="1061" t="s">
        <v>4382</v>
      </c>
      <c r="E328" s="1061"/>
      <c r="F328" s="1061"/>
      <c r="G328" s="1290"/>
      <c r="H328" s="1291" t="s">
        <v>113</v>
      </c>
      <c r="I328" s="1292">
        <v>1.1000000000000001</v>
      </c>
      <c r="J328" s="1064">
        <v>0</v>
      </c>
      <c r="K328" s="1293">
        <f>J328*I328</f>
        <v>0</v>
      </c>
    </row>
    <row r="329" spans="2:11" ht="13">
      <c r="B329" s="1059">
        <v>2</v>
      </c>
      <c r="C329" s="1268"/>
      <c r="D329" s="1134" t="s">
        <v>4383</v>
      </c>
      <c r="E329" s="1134"/>
      <c r="F329" s="1134"/>
      <c r="G329" s="1296"/>
      <c r="H329" s="1291" t="s">
        <v>113</v>
      </c>
      <c r="I329" s="1292">
        <v>1</v>
      </c>
      <c r="J329" s="1064">
        <v>0</v>
      </c>
      <c r="K329" s="1293">
        <f t="shared" ref="K329:K331" si="10">J329*I329</f>
        <v>0</v>
      </c>
    </row>
    <row r="330" spans="2:11">
      <c r="B330" s="1059">
        <v>3</v>
      </c>
      <c r="C330" s="1268"/>
      <c r="D330" s="1134" t="s">
        <v>4384</v>
      </c>
      <c r="E330" s="1134"/>
      <c r="F330" s="1134"/>
      <c r="G330" s="1296"/>
      <c r="H330" s="1291" t="s">
        <v>113</v>
      </c>
      <c r="I330" s="1292">
        <v>1</v>
      </c>
      <c r="J330" s="1064">
        <v>0</v>
      </c>
      <c r="K330" s="1293">
        <f t="shared" si="10"/>
        <v>0</v>
      </c>
    </row>
    <row r="331" spans="2:11">
      <c r="B331" s="1066"/>
      <c r="C331" s="1321"/>
      <c r="D331" s="1068"/>
      <c r="E331" s="1068"/>
      <c r="F331" s="1068"/>
      <c r="G331" s="1145"/>
      <c r="H331" s="1291"/>
      <c r="I331" s="1292"/>
      <c r="J331" s="1064"/>
      <c r="K331" s="1293">
        <f t="shared" si="10"/>
        <v>0</v>
      </c>
    </row>
    <row r="332" spans="2:11" ht="13">
      <c r="B332" s="1277"/>
      <c r="C332" s="1091"/>
      <c r="D332" s="1091"/>
      <c r="E332" s="1278"/>
      <c r="F332" s="1278"/>
      <c r="G332" s="1278"/>
      <c r="H332" s="1091"/>
      <c r="I332" s="1279" t="s">
        <v>4360</v>
      </c>
      <c r="J332" s="1306"/>
      <c r="K332" s="1307">
        <f>SUM(K328:K331)</f>
        <v>0</v>
      </c>
    </row>
    <row r="333" spans="2:11" ht="13">
      <c r="B333" s="1308" t="s">
        <v>65</v>
      </c>
      <c r="C333" s="1127"/>
      <c r="D333" s="1283" t="s">
        <v>1939</v>
      </c>
      <c r="E333" s="1283"/>
      <c r="F333" s="1283"/>
      <c r="G333" s="1309"/>
      <c r="H333" s="1310"/>
      <c r="I333" s="1311"/>
      <c r="J333" s="1055"/>
      <c r="K333" s="1312"/>
    </row>
    <row r="334" spans="2:11" ht="13">
      <c r="B334" s="1301"/>
      <c r="C334" s="1302"/>
      <c r="D334" s="1318"/>
      <c r="E334" s="1319"/>
      <c r="F334" s="1319"/>
      <c r="G334" s="1320"/>
      <c r="H334" s="1321"/>
      <c r="I334" s="1322"/>
      <c r="J334" s="1323"/>
      <c r="K334" s="1293"/>
    </row>
    <row r="335" spans="2:11" ht="13">
      <c r="B335" s="1277"/>
      <c r="C335" s="1091"/>
      <c r="D335" s="1091"/>
      <c r="E335" s="1278"/>
      <c r="F335" s="1278"/>
      <c r="G335" s="1278"/>
      <c r="H335" s="1091"/>
      <c r="I335" s="1279" t="s">
        <v>4362</v>
      </c>
      <c r="J335" s="1306"/>
      <c r="K335" s="1307">
        <f>K334</f>
        <v>0</v>
      </c>
    </row>
    <row r="336" spans="2:11" ht="13">
      <c r="B336" s="1324" t="s">
        <v>68</v>
      </c>
      <c r="C336" s="1325"/>
      <c r="D336" s="1326" t="s">
        <v>4363</v>
      </c>
      <c r="E336" s="1314"/>
      <c r="F336" s="1327"/>
      <c r="G336" s="1327"/>
      <c r="H336" s="1328"/>
      <c r="I336" s="1329"/>
      <c r="J336" s="1330"/>
      <c r="K336" s="1331">
        <f>K326+K332+K335</f>
        <v>0</v>
      </c>
    </row>
    <row r="337" spans="2:11" ht="13">
      <c r="B337" s="1324" t="s">
        <v>70</v>
      </c>
      <c r="C337" s="1325"/>
      <c r="D337" s="1326" t="s">
        <v>4364</v>
      </c>
      <c r="E337" s="1314"/>
      <c r="F337" s="1314"/>
      <c r="G337" s="1314"/>
      <c r="H337" s="1328"/>
      <c r="I337" s="1374">
        <f>$K$4</f>
        <v>0.1</v>
      </c>
      <c r="J337" s="1372"/>
      <c r="K337" s="1330">
        <f>K336*I337</f>
        <v>0</v>
      </c>
    </row>
    <row r="338" spans="2:11" ht="13">
      <c r="B338" s="1332" t="s">
        <v>71</v>
      </c>
      <c r="C338" s="1333"/>
      <c r="D338" s="1334" t="s">
        <v>4340</v>
      </c>
      <c r="E338" s="1319"/>
      <c r="F338" s="1319"/>
      <c r="G338" s="1319"/>
      <c r="H338" s="1335"/>
      <c r="I338" s="1336"/>
      <c r="J338" s="1073"/>
      <c r="K338" s="1337">
        <v>0</v>
      </c>
    </row>
    <row r="339" spans="2:11" ht="13">
      <c r="B339" s="1074"/>
      <c r="C339" s="1087"/>
      <c r="D339" s="1083"/>
      <c r="E339" s="1085"/>
      <c r="F339" s="1085"/>
      <c r="G339" s="1085"/>
      <c r="H339" s="1087"/>
      <c r="I339" s="1375"/>
      <c r="J339" s="1376"/>
      <c r="K339" s="1377"/>
    </row>
    <row r="340" spans="2:11" ht="13">
      <c r="B340" s="1373"/>
      <c r="C340" s="1083" t="s">
        <v>4385</v>
      </c>
      <c r="D340" s="58"/>
      <c r="E340" s="58"/>
      <c r="F340" s="58"/>
      <c r="G340" s="58"/>
      <c r="H340" s="58"/>
      <c r="I340" s="58"/>
      <c r="J340" s="58"/>
      <c r="K340" s="58"/>
    </row>
    <row r="341" spans="2:11" ht="13">
      <c r="B341" s="1687" t="s">
        <v>3235</v>
      </c>
      <c r="C341" s="1690" t="s">
        <v>4288</v>
      </c>
      <c r="D341" s="1691"/>
      <c r="E341" s="1691"/>
      <c r="F341" s="1691"/>
      <c r="G341" s="1186"/>
      <c r="H341" s="1696" t="s">
        <v>4289</v>
      </c>
      <c r="I341" s="1696" t="s">
        <v>4290</v>
      </c>
      <c r="J341" s="1035" t="s">
        <v>1955</v>
      </c>
      <c r="K341" s="1035"/>
    </row>
    <row r="342" spans="2:11" ht="13">
      <c r="B342" s="1688"/>
      <c r="C342" s="1692"/>
      <c r="D342" s="1693"/>
      <c r="E342" s="1693"/>
      <c r="F342" s="1693"/>
      <c r="G342" s="1187" t="s">
        <v>4291</v>
      </c>
      <c r="H342" s="1697"/>
      <c r="I342" s="1697"/>
      <c r="J342" s="1037" t="s">
        <v>1954</v>
      </c>
      <c r="K342" s="1037" t="s">
        <v>3239</v>
      </c>
    </row>
    <row r="343" spans="2:11" ht="13">
      <c r="B343" s="1689"/>
      <c r="C343" s="1694"/>
      <c r="D343" s="1695"/>
      <c r="E343" s="1695"/>
      <c r="F343" s="1695"/>
      <c r="G343" s="1188"/>
      <c r="H343" s="1698"/>
      <c r="I343" s="1698"/>
      <c r="J343" s="1038" t="s">
        <v>4292</v>
      </c>
      <c r="K343" s="1038" t="s">
        <v>4292</v>
      </c>
    </row>
    <row r="344" spans="2:11" ht="13">
      <c r="B344" s="1189">
        <v>1</v>
      </c>
      <c r="C344" s="1710">
        <v>2</v>
      </c>
      <c r="D344" s="1711"/>
      <c r="E344" s="1711"/>
      <c r="F344" s="1711"/>
      <c r="G344" s="1190">
        <v>3</v>
      </c>
      <c r="H344" s="1191">
        <v>4</v>
      </c>
      <c r="I344" s="1192">
        <v>5</v>
      </c>
      <c r="J344" s="1191">
        <v>6</v>
      </c>
      <c r="K344" s="1191">
        <f>J344+1</f>
        <v>7</v>
      </c>
    </row>
    <row r="345" spans="2:11">
      <c r="B345" s="1119"/>
      <c r="C345" s="58"/>
      <c r="D345" s="58"/>
      <c r="E345" s="1264"/>
      <c r="F345" s="1264"/>
      <c r="G345" s="1265"/>
      <c r="H345" s="1122"/>
      <c r="I345" s="1174"/>
      <c r="J345" s="1174"/>
      <c r="K345" s="1266"/>
    </row>
    <row r="346" spans="2:11" ht="13">
      <c r="B346" s="1267" t="s">
        <v>45</v>
      </c>
      <c r="C346" s="1268"/>
      <c r="D346" s="1269" t="s">
        <v>4380</v>
      </c>
      <c r="E346" s="1269"/>
      <c r="F346" s="1269"/>
      <c r="G346" s="1270"/>
      <c r="H346" s="1113"/>
      <c r="I346" s="1271"/>
      <c r="J346" s="1272"/>
      <c r="K346" s="1273"/>
    </row>
    <row r="347" spans="2:11">
      <c r="B347" s="1059">
        <v>1</v>
      </c>
      <c r="C347" s="1274"/>
      <c r="D347" s="1108" t="s">
        <v>47</v>
      </c>
      <c r="E347" s="1108"/>
      <c r="F347" s="1108"/>
      <c r="G347" s="1215" t="s">
        <v>4303</v>
      </c>
      <c r="H347" s="1105" t="s">
        <v>48</v>
      </c>
      <c r="I347" s="1216">
        <v>0.15</v>
      </c>
      <c r="J347" s="1065">
        <f>J292</f>
        <v>0</v>
      </c>
      <c r="K347" s="1109">
        <f>J347*I347</f>
        <v>0</v>
      </c>
    </row>
    <row r="348" spans="2:11">
      <c r="B348" s="1059">
        <v>2</v>
      </c>
      <c r="C348" s="1276"/>
      <c r="D348" s="1108" t="s">
        <v>4346</v>
      </c>
      <c r="E348" s="1108"/>
      <c r="F348" s="1108"/>
      <c r="G348" s="1215" t="s">
        <v>4306</v>
      </c>
      <c r="H348" s="1105" t="s">
        <v>48</v>
      </c>
      <c r="I348" s="1216">
        <v>0.08</v>
      </c>
      <c r="J348" s="1065">
        <f>J293</f>
        <v>0</v>
      </c>
      <c r="K348" s="1109">
        <f>J348*I348</f>
        <v>0</v>
      </c>
    </row>
    <row r="349" spans="2:11">
      <c r="B349" s="1059">
        <v>3</v>
      </c>
      <c r="C349" s="1276"/>
      <c r="D349" s="1108" t="s">
        <v>50</v>
      </c>
      <c r="E349" s="1108"/>
      <c r="F349" s="1108"/>
      <c r="G349" s="1215" t="s">
        <v>4307</v>
      </c>
      <c r="H349" s="1105" t="s">
        <v>48</v>
      </c>
      <c r="I349" s="1216">
        <f>I348/10</f>
        <v>8.0000000000000002E-3</v>
      </c>
      <c r="J349" s="1065">
        <f>J294</f>
        <v>0</v>
      </c>
      <c r="K349" s="1109">
        <f>J349*I349</f>
        <v>0</v>
      </c>
    </row>
    <row r="350" spans="2:11">
      <c r="B350" s="1059">
        <v>4</v>
      </c>
      <c r="C350" s="1276"/>
      <c r="D350" s="1108" t="s">
        <v>51</v>
      </c>
      <c r="E350" s="1108"/>
      <c r="F350" s="1108"/>
      <c r="G350" s="1215" t="s">
        <v>4381</v>
      </c>
      <c r="H350" s="1105" t="s">
        <v>48</v>
      </c>
      <c r="I350" s="1216">
        <f>I349/10</f>
        <v>8.0000000000000004E-4</v>
      </c>
      <c r="J350" s="1065">
        <f>J295</f>
        <v>0</v>
      </c>
      <c r="K350" s="1109">
        <f>J350*I350</f>
        <v>0</v>
      </c>
    </row>
    <row r="351" spans="2:11" ht="13">
      <c r="B351" s="1277"/>
      <c r="C351" s="1091"/>
      <c r="D351" s="1091"/>
      <c r="E351" s="1278"/>
      <c r="F351" s="1278"/>
      <c r="G351" s="1278"/>
      <c r="H351" s="1091"/>
      <c r="I351" s="1279" t="s">
        <v>4347</v>
      </c>
      <c r="J351" s="1280"/>
      <c r="K351" s="1281">
        <f>SUM(K347:K350)</f>
        <v>0</v>
      </c>
    </row>
    <row r="352" spans="2:11" ht="13">
      <c r="B352" s="1267" t="s">
        <v>53</v>
      </c>
      <c r="C352" s="1126"/>
      <c r="D352" s="1283" t="s">
        <v>4348</v>
      </c>
      <c r="E352" s="1283"/>
      <c r="F352" s="1283"/>
      <c r="G352" s="1284"/>
      <c r="H352" s="1285"/>
      <c r="I352" s="1286"/>
      <c r="J352" s="1287"/>
      <c r="K352" s="1288"/>
    </row>
    <row r="353" spans="2:11">
      <c r="B353" s="1289">
        <v>1</v>
      </c>
      <c r="C353" s="1276"/>
      <c r="D353" s="1061" t="s">
        <v>4386</v>
      </c>
      <c r="E353" s="1061"/>
      <c r="F353" s="1061"/>
      <c r="G353" s="1290"/>
      <c r="H353" s="1291" t="s">
        <v>113</v>
      </c>
      <c r="I353" s="1292">
        <v>1.1000000000000001</v>
      </c>
      <c r="J353" s="1064">
        <v>0</v>
      </c>
      <c r="K353" s="1293">
        <f>J353*I353</f>
        <v>0</v>
      </c>
    </row>
    <row r="354" spans="2:11" ht="13">
      <c r="B354" s="1059">
        <v>2</v>
      </c>
      <c r="C354" s="1268"/>
      <c r="D354" s="1134" t="s">
        <v>4383</v>
      </c>
      <c r="E354" s="1134"/>
      <c r="F354" s="1134"/>
      <c r="G354" s="1296"/>
      <c r="H354" s="1291" t="s">
        <v>113</v>
      </c>
      <c r="I354" s="1292">
        <v>1</v>
      </c>
      <c r="J354" s="1064">
        <v>0</v>
      </c>
      <c r="K354" s="1293">
        <f t="shared" ref="K354:K356" si="11">J354*I354</f>
        <v>0</v>
      </c>
    </row>
    <row r="355" spans="2:11">
      <c r="B355" s="1059">
        <v>3</v>
      </c>
      <c r="C355" s="1268"/>
      <c r="D355" s="1134" t="s">
        <v>4384</v>
      </c>
      <c r="E355" s="1134"/>
      <c r="F355" s="1134"/>
      <c r="G355" s="1296"/>
      <c r="H355" s="1291" t="s">
        <v>113</v>
      </c>
      <c r="I355" s="1292">
        <v>1</v>
      </c>
      <c r="J355" s="1064">
        <v>0</v>
      </c>
      <c r="K355" s="1293">
        <f t="shared" si="11"/>
        <v>0</v>
      </c>
    </row>
    <row r="356" spans="2:11">
      <c r="B356" s="1066"/>
      <c r="C356" s="1321"/>
      <c r="D356" s="1068"/>
      <c r="E356" s="1068"/>
      <c r="F356" s="1068"/>
      <c r="G356" s="1145"/>
      <c r="H356" s="1291"/>
      <c r="I356" s="1292"/>
      <c r="J356" s="1064"/>
      <c r="K356" s="1293">
        <f t="shared" si="11"/>
        <v>0</v>
      </c>
    </row>
    <row r="357" spans="2:11" ht="13">
      <c r="B357" s="1277"/>
      <c r="C357" s="1091"/>
      <c r="D357" s="1091"/>
      <c r="E357" s="1278"/>
      <c r="F357" s="1278"/>
      <c r="G357" s="1278"/>
      <c r="H357" s="1091"/>
      <c r="I357" s="1279" t="s">
        <v>4360</v>
      </c>
      <c r="J357" s="1306"/>
      <c r="K357" s="1307">
        <f>SUM(K353:K356)</f>
        <v>0</v>
      </c>
    </row>
    <row r="358" spans="2:11" ht="13">
      <c r="B358" s="1308" t="s">
        <v>65</v>
      </c>
      <c r="C358" s="1127"/>
      <c r="D358" s="1283" t="s">
        <v>1939</v>
      </c>
      <c r="E358" s="1283"/>
      <c r="F358" s="1283"/>
      <c r="G358" s="1309"/>
      <c r="H358" s="1310"/>
      <c r="I358" s="1311"/>
      <c r="J358" s="1055"/>
      <c r="K358" s="1312"/>
    </row>
    <row r="359" spans="2:11" ht="13">
      <c r="B359" s="1301"/>
      <c r="C359" s="1302"/>
      <c r="D359" s="1318"/>
      <c r="E359" s="1319"/>
      <c r="F359" s="1319"/>
      <c r="G359" s="1320"/>
      <c r="H359" s="1321"/>
      <c r="I359" s="1322"/>
      <c r="J359" s="1323"/>
      <c r="K359" s="1293"/>
    </row>
    <row r="360" spans="2:11" ht="13">
      <c r="B360" s="1277"/>
      <c r="C360" s="1091"/>
      <c r="D360" s="1091"/>
      <c r="E360" s="1278"/>
      <c r="F360" s="1278"/>
      <c r="G360" s="1278"/>
      <c r="H360" s="1091"/>
      <c r="I360" s="1279" t="s">
        <v>4362</v>
      </c>
      <c r="J360" s="1306"/>
      <c r="K360" s="1307">
        <f>K359</f>
        <v>0</v>
      </c>
    </row>
    <row r="361" spans="2:11" ht="13">
      <c r="B361" s="1324" t="s">
        <v>68</v>
      </c>
      <c r="C361" s="1325"/>
      <c r="D361" s="1326" t="s">
        <v>4363</v>
      </c>
      <c r="E361" s="1314"/>
      <c r="F361" s="1327"/>
      <c r="G361" s="1327"/>
      <c r="H361" s="1328"/>
      <c r="I361" s="1329"/>
      <c r="J361" s="1330"/>
      <c r="K361" s="1331">
        <f>K351+K357+K360</f>
        <v>0</v>
      </c>
    </row>
    <row r="362" spans="2:11" ht="13">
      <c r="B362" s="1324" t="s">
        <v>70</v>
      </c>
      <c r="C362" s="1325"/>
      <c r="D362" s="1326" t="s">
        <v>4364</v>
      </c>
      <c r="E362" s="1314"/>
      <c r="F362" s="1314"/>
      <c r="G362" s="1314"/>
      <c r="H362" s="1328"/>
      <c r="I362" s="1374">
        <f>$K$4</f>
        <v>0.1</v>
      </c>
      <c r="J362" s="1372"/>
      <c r="K362" s="1330">
        <f>K361*I362</f>
        <v>0</v>
      </c>
    </row>
    <row r="363" spans="2:11" ht="13">
      <c r="B363" s="1332" t="s">
        <v>71</v>
      </c>
      <c r="C363" s="1333"/>
      <c r="D363" s="1334" t="s">
        <v>4340</v>
      </c>
      <c r="E363" s="1319"/>
      <c r="F363" s="1319"/>
      <c r="G363" s="1319"/>
      <c r="H363" s="1335"/>
      <c r="I363" s="1336"/>
      <c r="J363" s="1073"/>
      <c r="K363" s="1337">
        <v>0</v>
      </c>
    </row>
    <row r="364" spans="2:11" ht="13">
      <c r="B364" s="1074"/>
      <c r="C364" s="1087"/>
      <c r="D364" s="1083"/>
      <c r="E364" s="1085"/>
      <c r="F364" s="1085"/>
      <c r="G364" s="1085"/>
      <c r="H364" s="1087"/>
      <c r="I364" s="1375"/>
      <c r="J364" s="1376"/>
      <c r="K364" s="1377"/>
    </row>
    <row r="365" spans="2:11" ht="13">
      <c r="B365" s="1373"/>
      <c r="C365" s="1083" t="s">
        <v>4387</v>
      </c>
      <c r="D365" s="58"/>
      <c r="E365" s="58"/>
      <c r="F365" s="58"/>
      <c r="G365" s="58"/>
      <c r="H365" s="58"/>
      <c r="I365" s="58"/>
      <c r="J365" s="58"/>
      <c r="K365" s="58"/>
    </row>
    <row r="366" spans="2:11" ht="13">
      <c r="B366" s="1687" t="s">
        <v>3235</v>
      </c>
      <c r="C366" s="1690" t="s">
        <v>4288</v>
      </c>
      <c r="D366" s="1691"/>
      <c r="E366" s="1691"/>
      <c r="F366" s="1691"/>
      <c r="G366" s="1186"/>
      <c r="H366" s="1696" t="s">
        <v>4289</v>
      </c>
      <c r="I366" s="1696" t="s">
        <v>4290</v>
      </c>
      <c r="J366" s="1035" t="s">
        <v>1955</v>
      </c>
      <c r="K366" s="1035"/>
    </row>
    <row r="367" spans="2:11" ht="13">
      <c r="B367" s="1688"/>
      <c r="C367" s="1692"/>
      <c r="D367" s="1693"/>
      <c r="E367" s="1693"/>
      <c r="F367" s="1693"/>
      <c r="G367" s="1187" t="s">
        <v>4291</v>
      </c>
      <c r="H367" s="1697"/>
      <c r="I367" s="1697"/>
      <c r="J367" s="1037" t="s">
        <v>1954</v>
      </c>
      <c r="K367" s="1037" t="s">
        <v>3239</v>
      </c>
    </row>
    <row r="368" spans="2:11" ht="13">
      <c r="B368" s="1689"/>
      <c r="C368" s="1694"/>
      <c r="D368" s="1695"/>
      <c r="E368" s="1695"/>
      <c r="F368" s="1695"/>
      <c r="G368" s="1188"/>
      <c r="H368" s="1698"/>
      <c r="I368" s="1698"/>
      <c r="J368" s="1038" t="s">
        <v>4292</v>
      </c>
      <c r="K368" s="1038" t="s">
        <v>4292</v>
      </c>
    </row>
    <row r="369" spans="2:11" ht="13">
      <c r="B369" s="1189">
        <v>1</v>
      </c>
      <c r="C369" s="1710">
        <v>2</v>
      </c>
      <c r="D369" s="1711"/>
      <c r="E369" s="1711"/>
      <c r="F369" s="1711"/>
      <c r="G369" s="1190">
        <v>3</v>
      </c>
      <c r="H369" s="1191">
        <v>4</v>
      </c>
      <c r="I369" s="1192">
        <v>5</v>
      </c>
      <c r="J369" s="1191">
        <v>6</v>
      </c>
      <c r="K369" s="1191">
        <f>J369+1</f>
        <v>7</v>
      </c>
    </row>
    <row r="370" spans="2:11">
      <c r="B370" s="1119"/>
      <c r="C370" s="58"/>
      <c r="D370" s="58"/>
      <c r="E370" s="1264"/>
      <c r="F370" s="1264"/>
      <c r="G370" s="1265"/>
      <c r="H370" s="1122"/>
      <c r="I370" s="1174"/>
      <c r="J370" s="1174"/>
      <c r="K370" s="1266"/>
    </row>
    <row r="371" spans="2:11" ht="13">
      <c r="B371" s="1267" t="s">
        <v>45</v>
      </c>
      <c r="C371" s="1268"/>
      <c r="D371" s="1269" t="s">
        <v>4380</v>
      </c>
      <c r="E371" s="1269"/>
      <c r="F371" s="1269"/>
      <c r="G371" s="1270"/>
      <c r="H371" s="1113"/>
      <c r="I371" s="1271"/>
      <c r="J371" s="1272"/>
      <c r="K371" s="1273"/>
    </row>
    <row r="372" spans="2:11">
      <c r="B372" s="1059">
        <v>1</v>
      </c>
      <c r="C372" s="1274"/>
      <c r="D372" s="1108" t="s">
        <v>47</v>
      </c>
      <c r="E372" s="1108"/>
      <c r="F372" s="1108"/>
      <c r="G372" s="1215" t="s">
        <v>4303</v>
      </c>
      <c r="H372" s="1105" t="s">
        <v>48</v>
      </c>
      <c r="I372" s="1216">
        <v>0.1</v>
      </c>
      <c r="J372" s="1065">
        <f>J292</f>
        <v>0</v>
      </c>
      <c r="K372" s="1109">
        <f>J372*I372</f>
        <v>0</v>
      </c>
    </row>
    <row r="373" spans="2:11">
      <c r="B373" s="1059">
        <v>2</v>
      </c>
      <c r="C373" s="1276"/>
      <c r="D373" s="1108" t="s">
        <v>4346</v>
      </c>
      <c r="E373" s="1108"/>
      <c r="F373" s="1108"/>
      <c r="G373" s="1215" t="s">
        <v>4306</v>
      </c>
      <c r="H373" s="1105" t="s">
        <v>48</v>
      </c>
      <c r="I373" s="1216">
        <v>0.06</v>
      </c>
      <c r="J373" s="1065">
        <f>J293</f>
        <v>0</v>
      </c>
      <c r="K373" s="1109">
        <f>J373*I373</f>
        <v>0</v>
      </c>
    </row>
    <row r="374" spans="2:11">
      <c r="B374" s="1059">
        <v>3</v>
      </c>
      <c r="C374" s="1276"/>
      <c r="D374" s="1108" t="s">
        <v>50</v>
      </c>
      <c r="E374" s="1108"/>
      <c r="F374" s="1108"/>
      <c r="G374" s="1215" t="s">
        <v>4307</v>
      </c>
      <c r="H374" s="1105" t="s">
        <v>48</v>
      </c>
      <c r="I374" s="1216">
        <f>I373/10</f>
        <v>6.0000000000000001E-3</v>
      </c>
      <c r="J374" s="1065">
        <f>J294</f>
        <v>0</v>
      </c>
      <c r="K374" s="1109">
        <f>J374*I374</f>
        <v>0</v>
      </c>
    </row>
    <row r="375" spans="2:11">
      <c r="B375" s="1059">
        <v>4</v>
      </c>
      <c r="C375" s="1276"/>
      <c r="D375" s="1108" t="s">
        <v>51</v>
      </c>
      <c r="E375" s="1108"/>
      <c r="F375" s="1108"/>
      <c r="G375" s="1215" t="s">
        <v>4381</v>
      </c>
      <c r="H375" s="1105" t="s">
        <v>48</v>
      </c>
      <c r="I375" s="1216">
        <f>I374/10</f>
        <v>6.0000000000000006E-4</v>
      </c>
      <c r="J375" s="1065">
        <f>J295</f>
        <v>0</v>
      </c>
      <c r="K375" s="1109">
        <f>J375*I375</f>
        <v>0</v>
      </c>
    </row>
    <row r="376" spans="2:11" ht="13">
      <c r="B376" s="1277"/>
      <c r="C376" s="1091"/>
      <c r="D376" s="1091"/>
      <c r="E376" s="1278"/>
      <c r="F376" s="1278"/>
      <c r="G376" s="1278"/>
      <c r="H376" s="1091"/>
      <c r="I376" s="1279" t="s">
        <v>4347</v>
      </c>
      <c r="J376" s="1280"/>
      <c r="K376" s="1281">
        <f>SUM(K372:K375)</f>
        <v>0</v>
      </c>
    </row>
    <row r="377" spans="2:11" ht="13">
      <c r="B377" s="1267" t="s">
        <v>53</v>
      </c>
      <c r="C377" s="1126"/>
      <c r="D377" s="1283" t="s">
        <v>4348</v>
      </c>
      <c r="E377" s="1283"/>
      <c r="F377" s="1283"/>
      <c r="G377" s="1284"/>
      <c r="H377" s="1285"/>
      <c r="I377" s="1286"/>
      <c r="J377" s="1287"/>
      <c r="K377" s="1288"/>
    </row>
    <row r="378" spans="2:11">
      <c r="B378" s="1289">
        <v>1</v>
      </c>
      <c r="C378" s="1276"/>
      <c r="D378" s="1061" t="s">
        <v>4387</v>
      </c>
      <c r="E378" s="1061"/>
      <c r="F378" s="1061"/>
      <c r="G378" s="1290"/>
      <c r="H378" s="1291" t="s">
        <v>113</v>
      </c>
      <c r="I378" s="1292">
        <v>1.1000000000000001</v>
      </c>
      <c r="J378" s="1064">
        <v>0</v>
      </c>
      <c r="K378" s="1293">
        <f>J378*I378</f>
        <v>0</v>
      </c>
    </row>
    <row r="379" spans="2:11">
      <c r="B379" s="1066"/>
      <c r="C379" s="1321"/>
      <c r="D379" s="1068"/>
      <c r="E379" s="1068"/>
      <c r="F379" s="1068"/>
      <c r="G379" s="1145"/>
      <c r="H379" s="1291"/>
      <c r="I379" s="1292"/>
      <c r="J379" s="1064"/>
      <c r="K379" s="1293"/>
    </row>
    <row r="380" spans="2:11" ht="13">
      <c r="B380" s="1277"/>
      <c r="C380" s="1091"/>
      <c r="D380" s="1091"/>
      <c r="E380" s="1278"/>
      <c r="F380" s="1278"/>
      <c r="G380" s="1278"/>
      <c r="H380" s="1091"/>
      <c r="I380" s="1279" t="s">
        <v>4360</v>
      </c>
      <c r="J380" s="1306"/>
      <c r="K380" s="1307">
        <f>SUM(K378:K379)</f>
        <v>0</v>
      </c>
    </row>
    <row r="381" spans="2:11" ht="13">
      <c r="B381" s="1308" t="s">
        <v>65</v>
      </c>
      <c r="C381" s="1127"/>
      <c r="D381" s="1283" t="s">
        <v>1939</v>
      </c>
      <c r="E381" s="1283"/>
      <c r="F381" s="1283"/>
      <c r="G381" s="1309"/>
      <c r="H381" s="1310"/>
      <c r="I381" s="1311"/>
      <c r="J381" s="1055"/>
      <c r="K381" s="1312"/>
    </row>
    <row r="382" spans="2:11" ht="13">
      <c r="B382" s="1301"/>
      <c r="C382" s="1302"/>
      <c r="D382" s="1318"/>
      <c r="E382" s="1319"/>
      <c r="F382" s="1319"/>
      <c r="G382" s="1320"/>
      <c r="H382" s="1321"/>
      <c r="I382" s="1322"/>
      <c r="J382" s="1323"/>
      <c r="K382" s="1293"/>
    </row>
    <row r="383" spans="2:11" ht="13">
      <c r="B383" s="1277"/>
      <c r="C383" s="1091"/>
      <c r="D383" s="1091"/>
      <c r="E383" s="1278"/>
      <c r="F383" s="1278"/>
      <c r="G383" s="1278"/>
      <c r="H383" s="1091"/>
      <c r="I383" s="1279" t="s">
        <v>4362</v>
      </c>
      <c r="J383" s="1306"/>
      <c r="K383" s="1307">
        <f>K382</f>
        <v>0</v>
      </c>
    </row>
    <row r="384" spans="2:11" ht="13">
      <c r="B384" s="1324" t="s">
        <v>68</v>
      </c>
      <c r="C384" s="1325"/>
      <c r="D384" s="1326" t="s">
        <v>4363</v>
      </c>
      <c r="E384" s="1314"/>
      <c r="F384" s="1327"/>
      <c r="G384" s="1327"/>
      <c r="H384" s="1328"/>
      <c r="I384" s="1329"/>
      <c r="J384" s="1330"/>
      <c r="K384" s="1331">
        <f>K376+K380+K383</f>
        <v>0</v>
      </c>
    </row>
    <row r="385" spans="2:11" ht="13">
      <c r="B385" s="1324" t="s">
        <v>70</v>
      </c>
      <c r="C385" s="1325"/>
      <c r="D385" s="1326" t="s">
        <v>4364</v>
      </c>
      <c r="E385" s="1314"/>
      <c r="F385" s="1314"/>
      <c r="G385" s="1314"/>
      <c r="H385" s="1328"/>
      <c r="I385" s="1374">
        <f>$K$4</f>
        <v>0.1</v>
      </c>
      <c r="J385" s="1372"/>
      <c r="K385" s="1330">
        <f>K384*I385</f>
        <v>0</v>
      </c>
    </row>
    <row r="386" spans="2:11" ht="13">
      <c r="B386" s="1332" t="s">
        <v>71</v>
      </c>
      <c r="C386" s="1333"/>
      <c r="D386" s="1334" t="s">
        <v>4340</v>
      </c>
      <c r="E386" s="1319"/>
      <c r="F386" s="1319"/>
      <c r="G386" s="1319"/>
      <c r="H386" s="1335"/>
      <c r="I386" s="1336"/>
      <c r="J386" s="1073"/>
      <c r="K386" s="1337">
        <v>0</v>
      </c>
    </row>
    <row r="387" spans="2:11" ht="13">
      <c r="B387" s="1074"/>
      <c r="C387" s="1087"/>
      <c r="D387" s="1083"/>
      <c r="E387" s="1085"/>
      <c r="F387" s="1085"/>
      <c r="G387" s="1085"/>
      <c r="H387" s="1087"/>
      <c r="I387" s="1375"/>
      <c r="J387" s="1376"/>
      <c r="K387" s="1377"/>
    </row>
    <row r="388" spans="2:11" ht="13">
      <c r="B388" s="1074"/>
      <c r="C388" s="1087"/>
      <c r="D388" s="1083"/>
      <c r="E388" s="1085"/>
      <c r="F388" s="1085"/>
      <c r="G388" s="1085"/>
      <c r="H388" s="1087"/>
      <c r="I388" s="1375"/>
      <c r="J388" s="1376"/>
      <c r="K388" s="1377"/>
    </row>
    <row r="389" spans="2:11" ht="13">
      <c r="B389" s="1373"/>
      <c r="C389" s="1083" t="s">
        <v>4388</v>
      </c>
      <c r="D389" s="58"/>
      <c r="E389" s="58"/>
      <c r="F389" s="58"/>
      <c r="G389" s="58"/>
      <c r="H389" s="58"/>
      <c r="I389" s="58"/>
      <c r="J389" s="58"/>
      <c r="K389" s="58"/>
    </row>
    <row r="390" spans="2:11" ht="13">
      <c r="B390" s="1687" t="s">
        <v>3235</v>
      </c>
      <c r="C390" s="1690" t="s">
        <v>4288</v>
      </c>
      <c r="D390" s="1691"/>
      <c r="E390" s="1691"/>
      <c r="F390" s="1691"/>
      <c r="G390" s="1186"/>
      <c r="H390" s="1696" t="s">
        <v>4289</v>
      </c>
      <c r="I390" s="1696" t="s">
        <v>4290</v>
      </c>
      <c r="J390" s="1035" t="s">
        <v>1955</v>
      </c>
      <c r="K390" s="1035"/>
    </row>
    <row r="391" spans="2:11" ht="13">
      <c r="B391" s="1688"/>
      <c r="C391" s="1692"/>
      <c r="D391" s="1693"/>
      <c r="E391" s="1693"/>
      <c r="F391" s="1693"/>
      <c r="G391" s="1187" t="s">
        <v>4291</v>
      </c>
      <c r="H391" s="1697"/>
      <c r="I391" s="1697"/>
      <c r="J391" s="1037" t="s">
        <v>1954</v>
      </c>
      <c r="K391" s="1037" t="s">
        <v>3239</v>
      </c>
    </row>
    <row r="392" spans="2:11" ht="13">
      <c r="B392" s="1689"/>
      <c r="C392" s="1694"/>
      <c r="D392" s="1695"/>
      <c r="E392" s="1695"/>
      <c r="F392" s="1695"/>
      <c r="G392" s="1188"/>
      <c r="H392" s="1698"/>
      <c r="I392" s="1698"/>
      <c r="J392" s="1038" t="s">
        <v>4292</v>
      </c>
      <c r="K392" s="1038" t="s">
        <v>4292</v>
      </c>
    </row>
    <row r="393" spans="2:11" ht="13">
      <c r="B393" s="1189">
        <v>1</v>
      </c>
      <c r="C393" s="1710">
        <v>2</v>
      </c>
      <c r="D393" s="1711"/>
      <c r="E393" s="1711"/>
      <c r="F393" s="1711"/>
      <c r="G393" s="1190">
        <v>3</v>
      </c>
      <c r="H393" s="1191">
        <v>4</v>
      </c>
      <c r="I393" s="1192">
        <v>5</v>
      </c>
      <c r="J393" s="1191">
        <v>6</v>
      </c>
      <c r="K393" s="1191">
        <f>J393+1</f>
        <v>7</v>
      </c>
    </row>
    <row r="394" spans="2:11">
      <c r="B394" s="1119"/>
      <c r="C394" s="58"/>
      <c r="D394" s="58"/>
      <c r="E394" s="1264"/>
      <c r="F394" s="1264"/>
      <c r="G394" s="1265"/>
      <c r="H394" s="1122"/>
      <c r="I394" s="1174"/>
      <c r="J394" s="1174"/>
      <c r="K394" s="1266"/>
    </row>
    <row r="395" spans="2:11" ht="13">
      <c r="B395" s="1267" t="s">
        <v>45</v>
      </c>
      <c r="C395" s="1268"/>
      <c r="D395" s="1269" t="s">
        <v>4380</v>
      </c>
      <c r="E395" s="1269"/>
      <c r="F395" s="1269"/>
      <c r="G395" s="1270"/>
      <c r="H395" s="1113"/>
      <c r="I395" s="1271"/>
      <c r="J395" s="1272"/>
      <c r="K395" s="1273"/>
    </row>
    <row r="396" spans="2:11">
      <c r="B396" s="1059">
        <v>1</v>
      </c>
      <c r="C396" s="1274"/>
      <c r="D396" s="1108" t="s">
        <v>47</v>
      </c>
      <c r="E396" s="1108"/>
      <c r="F396" s="1108"/>
      <c r="G396" s="1215" t="s">
        <v>4303</v>
      </c>
      <c r="H396" s="1105" t="s">
        <v>48</v>
      </c>
      <c r="I396" s="1275">
        <v>2.9000000000000001E-2</v>
      </c>
      <c r="J396" s="1065">
        <f>J372</f>
        <v>0</v>
      </c>
      <c r="K396" s="1109">
        <f>J396*I396</f>
        <v>0</v>
      </c>
    </row>
    <row r="397" spans="2:11">
      <c r="B397" s="1059">
        <v>2</v>
      </c>
      <c r="C397" s="1276"/>
      <c r="D397" s="1108" t="s">
        <v>4346</v>
      </c>
      <c r="E397" s="1108"/>
      <c r="F397" s="1108"/>
      <c r="G397" s="1215" t="s">
        <v>4306</v>
      </c>
      <c r="H397" s="1105" t="s">
        <v>48</v>
      </c>
      <c r="I397" s="1275">
        <v>4.8000000000000001E-2</v>
      </c>
      <c r="J397" s="1065">
        <f>J373</f>
        <v>0</v>
      </c>
      <c r="K397" s="1109">
        <f>J397*I397</f>
        <v>0</v>
      </c>
    </row>
    <row r="398" spans="2:11">
      <c r="B398" s="1059">
        <v>3</v>
      </c>
      <c r="C398" s="1276"/>
      <c r="D398" s="1108" t="s">
        <v>50</v>
      </c>
      <c r="E398" s="1108"/>
      <c r="F398" s="1108"/>
      <c r="G398" s="1215" t="s">
        <v>4307</v>
      </c>
      <c r="H398" s="1105" t="s">
        <v>48</v>
      </c>
      <c r="I398" s="1275">
        <v>5.0000000000000001E-3</v>
      </c>
      <c r="J398" s="1065">
        <f>J374</f>
        <v>0</v>
      </c>
      <c r="K398" s="1109">
        <f>J398*I398</f>
        <v>0</v>
      </c>
    </row>
    <row r="399" spans="2:11">
      <c r="B399" s="1059">
        <v>4</v>
      </c>
      <c r="C399" s="1276"/>
      <c r="D399" s="1108" t="s">
        <v>51</v>
      </c>
      <c r="E399" s="1108"/>
      <c r="F399" s="1108"/>
      <c r="G399" s="1215" t="s">
        <v>4381</v>
      </c>
      <c r="H399" s="1105" t="s">
        <v>48</v>
      </c>
      <c r="I399" s="1275">
        <v>0.02</v>
      </c>
      <c r="J399" s="1065">
        <f>J375</f>
        <v>0</v>
      </c>
      <c r="K399" s="1109">
        <f>J399*I399</f>
        <v>0</v>
      </c>
    </row>
    <row r="400" spans="2:11" ht="13">
      <c r="B400" s="1277"/>
      <c r="C400" s="1091"/>
      <c r="D400" s="1091"/>
      <c r="E400" s="1278"/>
      <c r="F400" s="1278"/>
      <c r="G400" s="1278"/>
      <c r="H400" s="1091"/>
      <c r="I400" s="1279" t="s">
        <v>4347</v>
      </c>
      <c r="J400" s="1280"/>
      <c r="K400" s="1281">
        <f>SUM(K396:K399)</f>
        <v>0</v>
      </c>
    </row>
    <row r="401" spans="2:11" ht="13">
      <c r="B401" s="1282" t="s">
        <v>53</v>
      </c>
      <c r="C401" s="1126"/>
      <c r="D401" s="1283" t="s">
        <v>4348</v>
      </c>
      <c r="E401" s="1283"/>
      <c r="F401" s="1283"/>
      <c r="G401" s="1284"/>
      <c r="H401" s="1285"/>
      <c r="I401" s="1286"/>
      <c r="J401" s="1287"/>
      <c r="K401" s="1288"/>
    </row>
    <row r="402" spans="2:11">
      <c r="B402" s="1289">
        <v>1</v>
      </c>
      <c r="C402" s="1276"/>
      <c r="D402" s="1061" t="s">
        <v>4389</v>
      </c>
      <c r="E402" s="1061"/>
      <c r="F402" s="1061"/>
      <c r="G402" s="1290"/>
      <c r="H402" s="1291" t="s">
        <v>113</v>
      </c>
      <c r="I402" s="1292">
        <v>1.1000000000000001</v>
      </c>
      <c r="J402" s="1064">
        <v>0</v>
      </c>
      <c r="K402" s="1293">
        <f>J402*I402</f>
        <v>0</v>
      </c>
    </row>
    <row r="403" spans="2:11">
      <c r="B403" s="1378">
        <v>2</v>
      </c>
      <c r="C403" s="1295"/>
      <c r="D403" s="1134" t="s">
        <v>4390</v>
      </c>
      <c r="E403" s="1134"/>
      <c r="F403" s="1134"/>
      <c r="G403" s="1296"/>
      <c r="H403" s="1291" t="s">
        <v>113</v>
      </c>
      <c r="I403" s="1292">
        <v>1.1000000000000001</v>
      </c>
      <c r="J403" s="1114">
        <v>0</v>
      </c>
      <c r="K403" s="1293">
        <f>J403*I403</f>
        <v>0</v>
      </c>
    </row>
    <row r="404" spans="2:11" ht="13">
      <c r="B404" s="1277"/>
      <c r="C404" s="1091"/>
      <c r="D404" s="1091"/>
      <c r="E404" s="1278"/>
      <c r="F404" s="1278"/>
      <c r="G404" s="1278"/>
      <c r="H404" s="1091"/>
      <c r="I404" s="1279" t="s">
        <v>4360</v>
      </c>
      <c r="J404" s="1306"/>
      <c r="K404" s="1307">
        <f>SUM(K402:K403)</f>
        <v>0</v>
      </c>
    </row>
    <row r="405" spans="2:11" ht="13">
      <c r="B405" s="1308" t="s">
        <v>65</v>
      </c>
      <c r="C405" s="1127"/>
      <c r="D405" s="1283" t="s">
        <v>1939</v>
      </c>
      <c r="E405" s="1283"/>
      <c r="F405" s="1283"/>
      <c r="G405" s="1309"/>
      <c r="H405" s="1310"/>
      <c r="I405" s="1311"/>
      <c r="J405" s="1055"/>
      <c r="K405" s="1312"/>
    </row>
    <row r="406" spans="2:11" ht="13">
      <c r="B406" s="1301"/>
      <c r="C406" s="1302"/>
      <c r="D406" s="1318"/>
      <c r="E406" s="1319"/>
      <c r="F406" s="1319"/>
      <c r="G406" s="1320"/>
      <c r="H406" s="1321"/>
      <c r="I406" s="1322"/>
      <c r="J406" s="1323"/>
      <c r="K406" s="1293"/>
    </row>
    <row r="407" spans="2:11" ht="13">
      <c r="B407" s="1277"/>
      <c r="C407" s="1091"/>
      <c r="D407" s="1091"/>
      <c r="E407" s="1278"/>
      <c r="F407" s="1278"/>
      <c r="G407" s="1278"/>
      <c r="H407" s="1091"/>
      <c r="I407" s="1279" t="s">
        <v>4362</v>
      </c>
      <c r="J407" s="1306"/>
      <c r="K407" s="1307">
        <f>K406</f>
        <v>0</v>
      </c>
    </row>
    <row r="408" spans="2:11" ht="13">
      <c r="B408" s="1324" t="s">
        <v>68</v>
      </c>
      <c r="C408" s="1325"/>
      <c r="D408" s="1326" t="s">
        <v>4363</v>
      </c>
      <c r="E408" s="1314"/>
      <c r="F408" s="1327"/>
      <c r="G408" s="1327"/>
      <c r="H408" s="1328"/>
      <c r="I408" s="1329"/>
      <c r="J408" s="1330"/>
      <c r="K408" s="1331">
        <f>K400+K404+K407</f>
        <v>0</v>
      </c>
    </row>
    <row r="409" spans="2:11" ht="13">
      <c r="B409" s="1324" t="s">
        <v>70</v>
      </c>
      <c r="C409" s="1325"/>
      <c r="D409" s="1326" t="s">
        <v>4364</v>
      </c>
      <c r="E409" s="1314"/>
      <c r="F409" s="1314"/>
      <c r="G409" s="1314"/>
      <c r="H409" s="1328"/>
      <c r="I409" s="1372">
        <f>$K$4</f>
        <v>0.1</v>
      </c>
      <c r="J409" s="1372"/>
      <c r="K409" s="1330">
        <f>K408*I409</f>
        <v>0</v>
      </c>
    </row>
    <row r="410" spans="2:11" ht="13">
      <c r="B410" s="1332" t="s">
        <v>71</v>
      </c>
      <c r="C410" s="1333"/>
      <c r="D410" s="1334" t="s">
        <v>4340</v>
      </c>
      <c r="E410" s="1319"/>
      <c r="F410" s="1319"/>
      <c r="G410" s="1319"/>
      <c r="H410" s="1335"/>
      <c r="I410" s="1336"/>
      <c r="J410" s="1073"/>
      <c r="K410" s="1337">
        <v>0</v>
      </c>
    </row>
    <row r="412" spans="2:11" ht="13">
      <c r="B412" s="1373"/>
      <c r="C412" s="1083" t="s">
        <v>4391</v>
      </c>
      <c r="D412" s="58"/>
      <c r="E412" s="58"/>
      <c r="F412" s="58"/>
      <c r="G412" s="58"/>
      <c r="H412" s="58"/>
      <c r="I412" s="58"/>
      <c r="J412" s="58"/>
      <c r="K412" s="58"/>
    </row>
    <row r="413" spans="2:11" ht="13">
      <c r="B413" s="1687" t="s">
        <v>3235</v>
      </c>
      <c r="C413" s="1690" t="s">
        <v>4288</v>
      </c>
      <c r="D413" s="1691"/>
      <c r="E413" s="1691"/>
      <c r="F413" s="1691"/>
      <c r="G413" s="1186"/>
      <c r="H413" s="1696" t="s">
        <v>4289</v>
      </c>
      <c r="I413" s="1696" t="s">
        <v>4290</v>
      </c>
      <c r="J413" s="1035" t="s">
        <v>1955</v>
      </c>
      <c r="K413" s="1035"/>
    </row>
    <row r="414" spans="2:11" ht="13">
      <c r="B414" s="1688"/>
      <c r="C414" s="1692"/>
      <c r="D414" s="1693"/>
      <c r="E414" s="1693"/>
      <c r="F414" s="1693"/>
      <c r="G414" s="1187" t="s">
        <v>4291</v>
      </c>
      <c r="H414" s="1697"/>
      <c r="I414" s="1697"/>
      <c r="J414" s="1037" t="s">
        <v>1954</v>
      </c>
      <c r="K414" s="1037" t="s">
        <v>3239</v>
      </c>
    </row>
    <row r="415" spans="2:11" ht="13">
      <c r="B415" s="1689"/>
      <c r="C415" s="1694"/>
      <c r="D415" s="1695"/>
      <c r="E415" s="1695"/>
      <c r="F415" s="1695"/>
      <c r="G415" s="1188"/>
      <c r="H415" s="1698"/>
      <c r="I415" s="1698"/>
      <c r="J415" s="1038" t="s">
        <v>4292</v>
      </c>
      <c r="K415" s="1038" t="s">
        <v>4292</v>
      </c>
    </row>
    <row r="416" spans="2:11" ht="13">
      <c r="B416" s="1189">
        <v>1</v>
      </c>
      <c r="C416" s="1710">
        <v>2</v>
      </c>
      <c r="D416" s="1711"/>
      <c r="E416" s="1711"/>
      <c r="F416" s="1711"/>
      <c r="G416" s="1190">
        <v>3</v>
      </c>
      <c r="H416" s="1191">
        <v>4</v>
      </c>
      <c r="I416" s="1192">
        <v>5</v>
      </c>
      <c r="J416" s="1191">
        <v>6</v>
      </c>
      <c r="K416" s="1191">
        <f>J416+1</f>
        <v>7</v>
      </c>
    </row>
    <row r="417" spans="2:11">
      <c r="B417" s="1119"/>
      <c r="C417" s="58"/>
      <c r="D417" s="58"/>
      <c r="E417" s="1264"/>
      <c r="F417" s="1264"/>
      <c r="G417" s="1265"/>
      <c r="H417" s="1122"/>
      <c r="I417" s="1174"/>
      <c r="J417" s="1174"/>
      <c r="K417" s="1266"/>
    </row>
    <row r="418" spans="2:11" ht="13">
      <c r="B418" s="1267" t="s">
        <v>45</v>
      </c>
      <c r="C418" s="1268"/>
      <c r="D418" s="1269" t="s">
        <v>4380</v>
      </c>
      <c r="E418" s="1269"/>
      <c r="F418" s="1269"/>
      <c r="G418" s="1270"/>
      <c r="H418" s="1113"/>
      <c r="I418" s="1271"/>
      <c r="J418" s="1272"/>
      <c r="K418" s="1273"/>
    </row>
    <row r="419" spans="2:11">
      <c r="B419" s="1059">
        <v>1</v>
      </c>
      <c r="C419" s="1274"/>
      <c r="D419" s="1108" t="s">
        <v>47</v>
      </c>
      <c r="E419" s="1108"/>
      <c r="F419" s="1108"/>
      <c r="G419" s="1215" t="s">
        <v>4303</v>
      </c>
      <c r="H419" s="1105" t="s">
        <v>48</v>
      </c>
      <c r="I419" s="1275">
        <v>2.9000000000000001E-2</v>
      </c>
      <c r="J419" s="1065">
        <f>J396</f>
        <v>0</v>
      </c>
      <c r="K419" s="1109">
        <f>J419*I419</f>
        <v>0</v>
      </c>
    </row>
    <row r="420" spans="2:11">
      <c r="B420" s="1059">
        <v>2</v>
      </c>
      <c r="C420" s="1276"/>
      <c r="D420" s="1108" t="s">
        <v>4346</v>
      </c>
      <c r="E420" s="1108"/>
      <c r="F420" s="1108"/>
      <c r="G420" s="1215" t="s">
        <v>4306</v>
      </c>
      <c r="H420" s="1105" t="s">
        <v>48</v>
      </c>
      <c r="I420" s="1275">
        <v>4.8000000000000001E-2</v>
      </c>
      <c r="J420" s="1065">
        <f>J397</f>
        <v>0</v>
      </c>
      <c r="K420" s="1109">
        <f>J420*I420</f>
        <v>0</v>
      </c>
    </row>
    <row r="421" spans="2:11">
      <c r="B421" s="1059">
        <v>3</v>
      </c>
      <c r="C421" s="1276"/>
      <c r="D421" s="1108" t="s">
        <v>50</v>
      </c>
      <c r="E421" s="1108"/>
      <c r="F421" s="1108"/>
      <c r="G421" s="1215" t="s">
        <v>4307</v>
      </c>
      <c r="H421" s="1105" t="s">
        <v>48</v>
      </c>
      <c r="I421" s="1275">
        <v>5.0000000000000001E-3</v>
      </c>
      <c r="J421" s="1065">
        <f>J398</f>
        <v>0</v>
      </c>
      <c r="K421" s="1109">
        <f>J421*I421</f>
        <v>0</v>
      </c>
    </row>
    <row r="422" spans="2:11">
      <c r="B422" s="1059">
        <v>4</v>
      </c>
      <c r="C422" s="1276"/>
      <c r="D422" s="1108" t="s">
        <v>51</v>
      </c>
      <c r="E422" s="1108"/>
      <c r="F422" s="1108"/>
      <c r="G422" s="1215" t="s">
        <v>4381</v>
      </c>
      <c r="H422" s="1105" t="s">
        <v>48</v>
      </c>
      <c r="I422" s="1275">
        <v>2E-3</v>
      </c>
      <c r="J422" s="1065">
        <f>J399</f>
        <v>0</v>
      </c>
      <c r="K422" s="1109">
        <f>J422*I422</f>
        <v>0</v>
      </c>
    </row>
    <row r="423" spans="2:11" ht="13">
      <c r="B423" s="1277"/>
      <c r="C423" s="1091"/>
      <c r="D423" s="1091"/>
      <c r="E423" s="1278"/>
      <c r="F423" s="1278"/>
      <c r="G423" s="1278"/>
      <c r="H423" s="1091"/>
      <c r="I423" s="1279" t="s">
        <v>4347</v>
      </c>
      <c r="J423" s="1280"/>
      <c r="K423" s="1281">
        <f>SUM(K419:K422)</f>
        <v>0</v>
      </c>
    </row>
    <row r="424" spans="2:11" ht="13">
      <c r="B424" s="1267" t="s">
        <v>53</v>
      </c>
      <c r="C424" s="1126"/>
      <c r="D424" s="1283" t="s">
        <v>4348</v>
      </c>
      <c r="E424" s="1283"/>
      <c r="F424" s="1283"/>
      <c r="G424" s="1284"/>
      <c r="H424" s="1285"/>
      <c r="I424" s="1286"/>
      <c r="J424" s="1287"/>
      <c r="K424" s="1288"/>
    </row>
    <row r="425" spans="2:11">
      <c r="B425" s="1289">
        <v>1</v>
      </c>
      <c r="C425" s="1276"/>
      <c r="D425" s="1061" t="s">
        <v>4392</v>
      </c>
      <c r="E425" s="1061"/>
      <c r="F425" s="1061"/>
      <c r="G425" s="1290"/>
      <c r="H425" s="1291" t="s">
        <v>113</v>
      </c>
      <c r="I425" s="1292">
        <v>1.1000000000000001</v>
      </c>
      <c r="J425" s="1064">
        <v>0</v>
      </c>
      <c r="K425" s="1293">
        <f>J425*I425</f>
        <v>0</v>
      </c>
    </row>
    <row r="426" spans="2:11">
      <c r="B426" s="1066">
        <v>2</v>
      </c>
      <c r="C426" s="1321"/>
      <c r="D426" s="1068" t="s">
        <v>4393</v>
      </c>
      <c r="E426" s="1068"/>
      <c r="F426" s="1068"/>
      <c r="G426" s="1145"/>
      <c r="H426" s="1291" t="s">
        <v>113</v>
      </c>
      <c r="I426" s="1292">
        <v>1.1000000000000001</v>
      </c>
      <c r="J426" s="1072">
        <v>0</v>
      </c>
      <c r="K426" s="1293">
        <f>J426*I426</f>
        <v>0</v>
      </c>
    </row>
    <row r="427" spans="2:11" ht="13">
      <c r="B427" s="1277"/>
      <c r="C427" s="1091"/>
      <c r="D427" s="1091"/>
      <c r="E427" s="1278"/>
      <c r="F427" s="1278"/>
      <c r="G427" s="1278"/>
      <c r="H427" s="1091"/>
      <c r="I427" s="1279" t="s">
        <v>4360</v>
      </c>
      <c r="J427" s="1306"/>
      <c r="K427" s="1307">
        <f>SUM(K425:K426)</f>
        <v>0</v>
      </c>
    </row>
    <row r="428" spans="2:11" ht="13">
      <c r="B428" s="1308" t="s">
        <v>65</v>
      </c>
      <c r="C428" s="1127"/>
      <c r="D428" s="1283" t="s">
        <v>1939</v>
      </c>
      <c r="E428" s="1283"/>
      <c r="F428" s="1283"/>
      <c r="G428" s="1309"/>
      <c r="H428" s="1310"/>
      <c r="I428" s="1311"/>
      <c r="J428" s="1055"/>
      <c r="K428" s="1312"/>
    </row>
    <row r="429" spans="2:11" ht="13">
      <c r="B429" s="1301"/>
      <c r="C429" s="1302"/>
      <c r="D429" s="1318"/>
      <c r="E429" s="1319"/>
      <c r="F429" s="1319"/>
      <c r="G429" s="1320"/>
      <c r="H429" s="1321"/>
      <c r="I429" s="1322"/>
      <c r="J429" s="1323"/>
      <c r="K429" s="1293"/>
    </row>
    <row r="430" spans="2:11" ht="13">
      <c r="B430" s="1277"/>
      <c r="C430" s="1091"/>
      <c r="D430" s="1091"/>
      <c r="E430" s="1278"/>
      <c r="F430" s="1278"/>
      <c r="G430" s="1278"/>
      <c r="H430" s="1091"/>
      <c r="I430" s="1279" t="s">
        <v>4362</v>
      </c>
      <c r="J430" s="1306"/>
      <c r="K430" s="1307">
        <f>K429</f>
        <v>0</v>
      </c>
    </row>
    <row r="431" spans="2:11" ht="13">
      <c r="B431" s="1324" t="s">
        <v>68</v>
      </c>
      <c r="C431" s="1325"/>
      <c r="D431" s="1326" t="s">
        <v>4363</v>
      </c>
      <c r="E431" s="1314"/>
      <c r="F431" s="1327"/>
      <c r="G431" s="1327"/>
      <c r="H431" s="1328"/>
      <c r="I431" s="1329"/>
      <c r="J431" s="1330"/>
      <c r="K431" s="1331">
        <f>K423+K427+K430</f>
        <v>0</v>
      </c>
    </row>
    <row r="432" spans="2:11" ht="13">
      <c r="B432" s="1324" t="s">
        <v>70</v>
      </c>
      <c r="C432" s="1325"/>
      <c r="D432" s="1326" t="s">
        <v>4364</v>
      </c>
      <c r="E432" s="1314"/>
      <c r="F432" s="1314"/>
      <c r="G432" s="1314"/>
      <c r="H432" s="1328"/>
      <c r="I432" s="1372">
        <f>$K$4</f>
        <v>0.1</v>
      </c>
      <c r="J432" s="1372"/>
      <c r="K432" s="1330">
        <f>K431*I432</f>
        <v>0</v>
      </c>
    </row>
    <row r="433" spans="2:11" ht="13">
      <c r="B433" s="1332" t="s">
        <v>71</v>
      </c>
      <c r="C433" s="1333"/>
      <c r="D433" s="1334" t="s">
        <v>4340</v>
      </c>
      <c r="E433" s="1319"/>
      <c r="F433" s="1319"/>
      <c r="G433" s="1319"/>
      <c r="H433" s="1335"/>
      <c r="I433" s="1336"/>
      <c r="J433" s="1073"/>
      <c r="K433" s="1337">
        <f>K431+K432</f>
        <v>0</v>
      </c>
    </row>
    <row r="434" spans="2:11" ht="13">
      <c r="B434" s="1074"/>
      <c r="C434" s="1087"/>
      <c r="D434" s="1083"/>
      <c r="E434" s="1085"/>
      <c r="F434" s="1085"/>
      <c r="G434" s="1085"/>
      <c r="H434" s="1087"/>
      <c r="I434" s="1375"/>
      <c r="J434" s="1376"/>
      <c r="K434" s="1377"/>
    </row>
    <row r="435" spans="2:11" ht="13">
      <c r="B435" s="1373"/>
      <c r="C435" s="1083" t="s">
        <v>4394</v>
      </c>
      <c r="D435" s="58"/>
      <c r="E435" s="58"/>
      <c r="F435" s="58"/>
      <c r="G435" s="58"/>
      <c r="H435" s="58"/>
      <c r="I435" s="58"/>
      <c r="J435" s="58"/>
      <c r="K435" s="58"/>
    </row>
    <row r="436" spans="2:11" ht="13">
      <c r="B436" s="1687" t="s">
        <v>3235</v>
      </c>
      <c r="C436" s="1690" t="s">
        <v>4288</v>
      </c>
      <c r="D436" s="1691"/>
      <c r="E436" s="1691"/>
      <c r="F436" s="1691"/>
      <c r="G436" s="1186"/>
      <c r="H436" s="1696" t="s">
        <v>4289</v>
      </c>
      <c r="I436" s="1696" t="s">
        <v>4290</v>
      </c>
      <c r="J436" s="1035" t="s">
        <v>1955</v>
      </c>
      <c r="K436" s="1035"/>
    </row>
    <row r="437" spans="2:11" ht="13">
      <c r="B437" s="1688"/>
      <c r="C437" s="1692"/>
      <c r="D437" s="1693"/>
      <c r="E437" s="1693"/>
      <c r="F437" s="1693"/>
      <c r="G437" s="1187" t="s">
        <v>4291</v>
      </c>
      <c r="H437" s="1697"/>
      <c r="I437" s="1697"/>
      <c r="J437" s="1037" t="s">
        <v>1954</v>
      </c>
      <c r="K437" s="1037" t="s">
        <v>3239</v>
      </c>
    </row>
    <row r="438" spans="2:11" ht="13">
      <c r="B438" s="1689"/>
      <c r="C438" s="1694"/>
      <c r="D438" s="1695"/>
      <c r="E438" s="1695"/>
      <c r="F438" s="1695"/>
      <c r="G438" s="1188"/>
      <c r="H438" s="1698"/>
      <c r="I438" s="1698"/>
      <c r="J438" s="1038" t="s">
        <v>4292</v>
      </c>
      <c r="K438" s="1038" t="s">
        <v>4292</v>
      </c>
    </row>
    <row r="439" spans="2:11" ht="13">
      <c r="B439" s="1189">
        <v>1</v>
      </c>
      <c r="C439" s="1710">
        <v>2</v>
      </c>
      <c r="D439" s="1711"/>
      <c r="E439" s="1711"/>
      <c r="F439" s="1711"/>
      <c r="G439" s="1190">
        <v>3</v>
      </c>
      <c r="H439" s="1191">
        <v>4</v>
      </c>
      <c r="I439" s="1192">
        <v>5</v>
      </c>
      <c r="J439" s="1191">
        <v>6</v>
      </c>
      <c r="K439" s="1191">
        <f>J439+1</f>
        <v>7</v>
      </c>
    </row>
    <row r="440" spans="2:11">
      <c r="B440" s="1119"/>
      <c r="C440" s="58"/>
      <c r="D440" s="58"/>
      <c r="E440" s="1264"/>
      <c r="F440" s="1264"/>
      <c r="G440" s="1265"/>
      <c r="H440" s="1122"/>
      <c r="I440" s="1174"/>
      <c r="J440" s="1174"/>
      <c r="K440" s="1266"/>
    </row>
    <row r="441" spans="2:11" ht="13">
      <c r="B441" s="1267" t="s">
        <v>45</v>
      </c>
      <c r="C441" s="1268"/>
      <c r="D441" s="1269" t="s">
        <v>4380</v>
      </c>
      <c r="E441" s="1269"/>
      <c r="F441" s="1269"/>
      <c r="G441" s="1270"/>
      <c r="H441" s="1113"/>
      <c r="I441" s="1271"/>
      <c r="J441" s="1272"/>
      <c r="K441" s="1273"/>
    </row>
    <row r="442" spans="2:11">
      <c r="B442" s="1059">
        <v>1</v>
      </c>
      <c r="C442" s="1274"/>
      <c r="D442" s="1108" t="s">
        <v>47</v>
      </c>
      <c r="E442" s="1108"/>
      <c r="F442" s="1108"/>
      <c r="G442" s="1215" t="s">
        <v>4303</v>
      </c>
      <c r="H442" s="1105" t="s">
        <v>48</v>
      </c>
      <c r="I442" s="1275">
        <v>3.5999999999999997E-2</v>
      </c>
      <c r="J442" s="1065">
        <f>J419</f>
        <v>0</v>
      </c>
      <c r="K442" s="1109">
        <f>J442*I442</f>
        <v>0</v>
      </c>
    </row>
    <row r="443" spans="2:11">
      <c r="B443" s="1059">
        <v>2</v>
      </c>
      <c r="C443" s="1276"/>
      <c r="D443" s="1108" t="s">
        <v>4346</v>
      </c>
      <c r="E443" s="1108"/>
      <c r="F443" s="1108"/>
      <c r="G443" s="1215" t="s">
        <v>4306</v>
      </c>
      <c r="H443" s="1105" t="s">
        <v>48</v>
      </c>
      <c r="I443" s="1275">
        <v>0.06</v>
      </c>
      <c r="J443" s="1065">
        <f>J420</f>
        <v>0</v>
      </c>
      <c r="K443" s="1109">
        <f>J443*I443</f>
        <v>0</v>
      </c>
    </row>
    <row r="444" spans="2:11">
      <c r="B444" s="1059">
        <v>3</v>
      </c>
      <c r="C444" s="1276"/>
      <c r="D444" s="1108" t="s">
        <v>50</v>
      </c>
      <c r="E444" s="1108"/>
      <c r="F444" s="1108"/>
      <c r="G444" s="1215" t="s">
        <v>4307</v>
      </c>
      <c r="H444" s="1105" t="s">
        <v>48</v>
      </c>
      <c r="I444" s="1275">
        <v>6.0000000000000001E-3</v>
      </c>
      <c r="J444" s="1065">
        <f>J421</f>
        <v>0</v>
      </c>
      <c r="K444" s="1109">
        <f>J444*I444</f>
        <v>0</v>
      </c>
    </row>
    <row r="445" spans="2:11">
      <c r="B445" s="1059">
        <v>4</v>
      </c>
      <c r="C445" s="1276"/>
      <c r="D445" s="1108" t="s">
        <v>51</v>
      </c>
      <c r="E445" s="1108"/>
      <c r="F445" s="1108"/>
      <c r="G445" s="1215" t="s">
        <v>4381</v>
      </c>
      <c r="H445" s="1105" t="s">
        <v>48</v>
      </c>
      <c r="I445" s="1275">
        <v>2E-3</v>
      </c>
      <c r="J445" s="1065">
        <f>J422</f>
        <v>0</v>
      </c>
      <c r="K445" s="1109">
        <f>J445*I445</f>
        <v>0</v>
      </c>
    </row>
    <row r="446" spans="2:11" ht="13">
      <c r="B446" s="1277"/>
      <c r="C446" s="1091"/>
      <c r="D446" s="1091"/>
      <c r="E446" s="1278"/>
      <c r="F446" s="1278"/>
      <c r="G446" s="1278"/>
      <c r="H446" s="1091"/>
      <c r="I446" s="1279" t="s">
        <v>4347</v>
      </c>
      <c r="J446" s="1280"/>
      <c r="K446" s="1281">
        <f>SUM(K442:K445)</f>
        <v>0</v>
      </c>
    </row>
    <row r="447" spans="2:11" ht="13">
      <c r="B447" s="1267" t="s">
        <v>53</v>
      </c>
      <c r="C447" s="1126"/>
      <c r="D447" s="1283" t="s">
        <v>4348</v>
      </c>
      <c r="E447" s="1283"/>
      <c r="F447" s="1283"/>
      <c r="G447" s="1284"/>
      <c r="H447" s="1285"/>
      <c r="I447" s="1286"/>
      <c r="J447" s="1287"/>
      <c r="K447" s="1288"/>
    </row>
    <row r="448" spans="2:11">
      <c r="B448" s="1289">
        <v>1</v>
      </c>
      <c r="C448" s="1276"/>
      <c r="D448" s="1061" t="s">
        <v>4395</v>
      </c>
      <c r="E448" s="1061"/>
      <c r="F448" s="1061"/>
      <c r="G448" s="1290"/>
      <c r="H448" s="1291" t="s">
        <v>113</v>
      </c>
      <c r="I448" s="1292">
        <v>1.1000000000000001</v>
      </c>
      <c r="J448" s="1064">
        <v>0</v>
      </c>
      <c r="K448" s="1293">
        <f>J448*I448</f>
        <v>0</v>
      </c>
    </row>
    <row r="449" spans="2:11">
      <c r="B449" s="1066">
        <v>2</v>
      </c>
      <c r="C449" s="1321"/>
      <c r="D449" s="1068" t="s">
        <v>4396</v>
      </c>
      <c r="E449" s="1068"/>
      <c r="F449" s="1068"/>
      <c r="G449" s="1145"/>
      <c r="H449" s="1291" t="s">
        <v>113</v>
      </c>
      <c r="I449" s="1292">
        <v>1.1000000000000001</v>
      </c>
      <c r="J449" s="1072">
        <v>0</v>
      </c>
      <c r="K449" s="1293">
        <f>J449*I449</f>
        <v>0</v>
      </c>
    </row>
    <row r="450" spans="2:11" ht="13">
      <c r="B450" s="1277"/>
      <c r="C450" s="1091"/>
      <c r="D450" s="1091"/>
      <c r="E450" s="1278"/>
      <c r="F450" s="1278"/>
      <c r="G450" s="1278"/>
      <c r="H450" s="1091"/>
      <c r="I450" s="1279" t="s">
        <v>4360</v>
      </c>
      <c r="J450" s="1306"/>
      <c r="K450" s="1307">
        <f>SUM(K448:K449)</f>
        <v>0</v>
      </c>
    </row>
    <row r="451" spans="2:11" ht="13">
      <c r="B451" s="1308" t="s">
        <v>65</v>
      </c>
      <c r="C451" s="1127"/>
      <c r="D451" s="1283" t="s">
        <v>1939</v>
      </c>
      <c r="E451" s="1283"/>
      <c r="F451" s="1283"/>
      <c r="G451" s="1309"/>
      <c r="H451" s="1310"/>
      <c r="I451" s="1311"/>
      <c r="J451" s="1055"/>
      <c r="K451" s="1312"/>
    </row>
    <row r="452" spans="2:11" ht="13">
      <c r="B452" s="1301"/>
      <c r="C452" s="1302"/>
      <c r="D452" s="1318"/>
      <c r="E452" s="1319"/>
      <c r="F452" s="1319"/>
      <c r="G452" s="1320"/>
      <c r="H452" s="1321"/>
      <c r="I452" s="1322"/>
      <c r="J452" s="1323"/>
      <c r="K452" s="1293"/>
    </row>
    <row r="453" spans="2:11" ht="13">
      <c r="B453" s="1277"/>
      <c r="C453" s="1091"/>
      <c r="D453" s="1091"/>
      <c r="E453" s="1278"/>
      <c r="F453" s="1278"/>
      <c r="G453" s="1278"/>
      <c r="H453" s="1091"/>
      <c r="I453" s="1279" t="s">
        <v>4362</v>
      </c>
      <c r="J453" s="1306"/>
      <c r="K453" s="1307">
        <f>K452</f>
        <v>0</v>
      </c>
    </row>
    <row r="454" spans="2:11" ht="13">
      <c r="B454" s="1324" t="s">
        <v>68</v>
      </c>
      <c r="C454" s="1325"/>
      <c r="D454" s="1326" t="s">
        <v>4363</v>
      </c>
      <c r="E454" s="1314"/>
      <c r="F454" s="1327"/>
      <c r="G454" s="1327"/>
      <c r="H454" s="1328"/>
      <c r="I454" s="1329"/>
      <c r="J454" s="1330"/>
      <c r="K454" s="1331">
        <f>K446+K450+K453</f>
        <v>0</v>
      </c>
    </row>
    <row r="455" spans="2:11" ht="13">
      <c r="B455" s="1324" t="s">
        <v>70</v>
      </c>
      <c r="C455" s="1325"/>
      <c r="D455" s="1326" t="s">
        <v>4364</v>
      </c>
      <c r="E455" s="1314"/>
      <c r="F455" s="1314"/>
      <c r="G455" s="1314"/>
      <c r="H455" s="1328"/>
      <c r="I455" s="1372">
        <f>$K$4</f>
        <v>0.1</v>
      </c>
      <c r="J455" s="1372"/>
      <c r="K455" s="1330">
        <f>K454*I455</f>
        <v>0</v>
      </c>
    </row>
    <row r="456" spans="2:11" ht="13">
      <c r="B456" s="1332" t="s">
        <v>71</v>
      </c>
      <c r="C456" s="1333"/>
      <c r="D456" s="1334" t="s">
        <v>4340</v>
      </c>
      <c r="E456" s="1319"/>
      <c r="F456" s="1319"/>
      <c r="G456" s="1319"/>
      <c r="H456" s="1335"/>
      <c r="I456" s="1336"/>
      <c r="J456" s="1073"/>
      <c r="K456" s="1337">
        <v>0</v>
      </c>
    </row>
    <row r="458" spans="2:11" ht="13">
      <c r="B458" s="1373"/>
      <c r="C458" s="1083" t="s">
        <v>4397</v>
      </c>
      <c r="D458" s="58"/>
      <c r="E458" s="58"/>
      <c r="F458" s="58"/>
      <c r="G458" s="58"/>
      <c r="H458" s="58"/>
      <c r="I458" s="58"/>
      <c r="J458" s="58"/>
      <c r="K458" s="58"/>
    </row>
    <row r="459" spans="2:11" ht="13">
      <c r="B459" s="1687" t="s">
        <v>3235</v>
      </c>
      <c r="C459" s="1690" t="s">
        <v>4288</v>
      </c>
      <c r="D459" s="1691"/>
      <c r="E459" s="1691"/>
      <c r="F459" s="1691"/>
      <c r="G459" s="1186"/>
      <c r="H459" s="1696" t="s">
        <v>4289</v>
      </c>
      <c r="I459" s="1696" t="s">
        <v>4290</v>
      </c>
      <c r="J459" s="1035" t="s">
        <v>1955</v>
      </c>
      <c r="K459" s="1035"/>
    </row>
    <row r="460" spans="2:11" ht="13">
      <c r="B460" s="1688"/>
      <c r="C460" s="1692"/>
      <c r="D460" s="1693"/>
      <c r="E460" s="1693"/>
      <c r="F460" s="1693"/>
      <c r="G460" s="1187" t="s">
        <v>4291</v>
      </c>
      <c r="H460" s="1697"/>
      <c r="I460" s="1697"/>
      <c r="J460" s="1037" t="s">
        <v>1954</v>
      </c>
      <c r="K460" s="1037" t="s">
        <v>3239</v>
      </c>
    </row>
    <row r="461" spans="2:11" ht="13">
      <c r="B461" s="1689"/>
      <c r="C461" s="1694"/>
      <c r="D461" s="1695"/>
      <c r="E461" s="1695"/>
      <c r="F461" s="1695"/>
      <c r="G461" s="1188"/>
      <c r="H461" s="1698"/>
      <c r="I461" s="1698"/>
      <c r="J461" s="1038" t="s">
        <v>4292</v>
      </c>
      <c r="K461" s="1038" t="s">
        <v>4292</v>
      </c>
    </row>
    <row r="462" spans="2:11" ht="13">
      <c r="B462" s="1189">
        <v>1</v>
      </c>
      <c r="C462" s="1710">
        <v>2</v>
      </c>
      <c r="D462" s="1711"/>
      <c r="E462" s="1711"/>
      <c r="F462" s="1711"/>
      <c r="G462" s="1190">
        <v>3</v>
      </c>
      <c r="H462" s="1191">
        <v>4</v>
      </c>
      <c r="I462" s="1192">
        <v>5</v>
      </c>
      <c r="J462" s="1191">
        <v>6</v>
      </c>
      <c r="K462" s="1191">
        <f>J462+1</f>
        <v>7</v>
      </c>
    </row>
    <row r="463" spans="2:11">
      <c r="B463" s="1119"/>
      <c r="C463" s="58"/>
      <c r="D463" s="58"/>
      <c r="E463" s="1264"/>
      <c r="F463" s="1264"/>
      <c r="G463" s="1265"/>
      <c r="H463" s="1122"/>
      <c r="I463" s="1174"/>
      <c r="J463" s="1174"/>
      <c r="K463" s="1266"/>
    </row>
    <row r="464" spans="2:11" ht="13">
      <c r="B464" s="1267" t="s">
        <v>45</v>
      </c>
      <c r="C464" s="1268"/>
      <c r="D464" s="1269" t="s">
        <v>4380</v>
      </c>
      <c r="E464" s="1269"/>
      <c r="F464" s="1269"/>
      <c r="G464" s="1270"/>
      <c r="H464" s="1113"/>
      <c r="I464" s="1271"/>
      <c r="J464" s="1272"/>
      <c r="K464" s="1273"/>
    </row>
    <row r="465" spans="2:11">
      <c r="B465" s="1059">
        <v>1</v>
      </c>
      <c r="C465" s="1274"/>
      <c r="D465" s="1108" t="s">
        <v>47</v>
      </c>
      <c r="E465" s="1108"/>
      <c r="F465" s="1108"/>
      <c r="G465" s="1215" t="s">
        <v>4303</v>
      </c>
      <c r="H465" s="1105" t="s">
        <v>48</v>
      </c>
      <c r="I465" s="1275">
        <v>3.5999999999999997E-2</v>
      </c>
      <c r="J465" s="1065">
        <f>J442</f>
        <v>0</v>
      </c>
      <c r="K465" s="1109">
        <f>J465*I465</f>
        <v>0</v>
      </c>
    </row>
    <row r="466" spans="2:11">
      <c r="B466" s="1059">
        <v>2</v>
      </c>
      <c r="C466" s="1276"/>
      <c r="D466" s="1108" t="s">
        <v>4346</v>
      </c>
      <c r="E466" s="1108"/>
      <c r="F466" s="1108"/>
      <c r="G466" s="1215" t="s">
        <v>4306</v>
      </c>
      <c r="H466" s="1105" t="s">
        <v>48</v>
      </c>
      <c r="I466" s="1275">
        <v>0.06</v>
      </c>
      <c r="J466" s="1065">
        <f>J443</f>
        <v>0</v>
      </c>
      <c r="K466" s="1109">
        <f>J466*I466</f>
        <v>0</v>
      </c>
    </row>
    <row r="467" spans="2:11">
      <c r="B467" s="1059">
        <v>3</v>
      </c>
      <c r="C467" s="1276"/>
      <c r="D467" s="1108" t="s">
        <v>50</v>
      </c>
      <c r="E467" s="1108"/>
      <c r="F467" s="1108"/>
      <c r="G467" s="1215" t="s">
        <v>4307</v>
      </c>
      <c r="H467" s="1105" t="s">
        <v>48</v>
      </c>
      <c r="I467" s="1275">
        <f>I466/10</f>
        <v>6.0000000000000001E-3</v>
      </c>
      <c r="J467" s="1065">
        <f>J444</f>
        <v>0</v>
      </c>
      <c r="K467" s="1109">
        <f>J467*I467</f>
        <v>0</v>
      </c>
    </row>
    <row r="468" spans="2:11">
      <c r="B468" s="1059">
        <v>4</v>
      </c>
      <c r="C468" s="1276"/>
      <c r="D468" s="1108" t="s">
        <v>51</v>
      </c>
      <c r="E468" s="1108"/>
      <c r="F468" s="1108"/>
      <c r="G468" s="1215" t="s">
        <v>4381</v>
      </c>
      <c r="H468" s="1105" t="s">
        <v>48</v>
      </c>
      <c r="I468" s="1275">
        <f>I467/10</f>
        <v>6.0000000000000006E-4</v>
      </c>
      <c r="J468" s="1065">
        <f>J445</f>
        <v>0</v>
      </c>
      <c r="K468" s="1109">
        <f>J468*I468</f>
        <v>0</v>
      </c>
    </row>
    <row r="469" spans="2:11" ht="13">
      <c r="B469" s="1277"/>
      <c r="C469" s="1091"/>
      <c r="D469" s="1091"/>
      <c r="E469" s="1278"/>
      <c r="F469" s="1278"/>
      <c r="G469" s="1278"/>
      <c r="H469" s="1091"/>
      <c r="I469" s="1279" t="s">
        <v>4347</v>
      </c>
      <c r="J469" s="1280"/>
      <c r="K469" s="1281">
        <f>SUM(K465:K468)</f>
        <v>0</v>
      </c>
    </row>
    <row r="470" spans="2:11" ht="13">
      <c r="B470" s="1267" t="s">
        <v>53</v>
      </c>
      <c r="C470" s="1126"/>
      <c r="D470" s="1283" t="s">
        <v>4348</v>
      </c>
      <c r="E470" s="1283"/>
      <c r="F470" s="1283"/>
      <c r="G470" s="1284"/>
      <c r="H470" s="1285"/>
      <c r="I470" s="1286"/>
      <c r="J470" s="1287"/>
      <c r="K470" s="1288"/>
    </row>
    <row r="471" spans="2:11">
      <c r="B471" s="1289">
        <v>1</v>
      </c>
      <c r="C471" s="1276"/>
      <c r="D471" s="1061" t="s">
        <v>4398</v>
      </c>
      <c r="E471" s="1061"/>
      <c r="F471" s="1061"/>
      <c r="G471" s="1290"/>
      <c r="H471" s="1291" t="s">
        <v>113</v>
      </c>
      <c r="I471" s="1292">
        <v>1.1000000000000001</v>
      </c>
      <c r="J471" s="1064">
        <v>0</v>
      </c>
      <c r="K471" s="1293">
        <f>J471*I471</f>
        <v>0</v>
      </c>
    </row>
    <row r="472" spans="2:11">
      <c r="B472" s="1066">
        <v>2</v>
      </c>
      <c r="C472" s="1321"/>
      <c r="D472" s="1068" t="s">
        <v>4399</v>
      </c>
      <c r="E472" s="1068"/>
      <c r="F472" s="1068"/>
      <c r="G472" s="1145"/>
      <c r="H472" s="1291" t="s">
        <v>113</v>
      </c>
      <c r="I472" s="1292">
        <v>1.1000000000000001</v>
      </c>
      <c r="J472" s="1072">
        <v>0</v>
      </c>
      <c r="K472" s="1293">
        <f>J472*I472</f>
        <v>0</v>
      </c>
    </row>
    <row r="473" spans="2:11" ht="13">
      <c r="B473" s="1277"/>
      <c r="C473" s="1091"/>
      <c r="D473" s="1091"/>
      <c r="E473" s="1278"/>
      <c r="F473" s="1278"/>
      <c r="G473" s="1278"/>
      <c r="H473" s="1091"/>
      <c r="I473" s="1279" t="s">
        <v>4360</v>
      </c>
      <c r="J473" s="1306"/>
      <c r="K473" s="1307">
        <f>SUM(K471:K472)</f>
        <v>0</v>
      </c>
    </row>
    <row r="474" spans="2:11" ht="13">
      <c r="B474" s="1308" t="s">
        <v>65</v>
      </c>
      <c r="C474" s="1127"/>
      <c r="D474" s="1283" t="s">
        <v>1939</v>
      </c>
      <c r="E474" s="1283"/>
      <c r="F474" s="1283"/>
      <c r="G474" s="1309"/>
      <c r="H474" s="1310"/>
      <c r="I474" s="1311"/>
      <c r="J474" s="1055"/>
      <c r="K474" s="1312"/>
    </row>
    <row r="475" spans="2:11" ht="13">
      <c r="B475" s="1301"/>
      <c r="C475" s="1302"/>
      <c r="D475" s="1318"/>
      <c r="E475" s="1319"/>
      <c r="F475" s="1319"/>
      <c r="G475" s="1320"/>
      <c r="H475" s="1321"/>
      <c r="I475" s="1322"/>
      <c r="J475" s="1323"/>
      <c r="K475" s="1293"/>
    </row>
    <row r="476" spans="2:11" ht="13">
      <c r="B476" s="1277"/>
      <c r="C476" s="1091"/>
      <c r="D476" s="1091"/>
      <c r="E476" s="1278"/>
      <c r="F476" s="1278"/>
      <c r="G476" s="1278"/>
      <c r="H476" s="1091"/>
      <c r="I476" s="1279" t="s">
        <v>4362</v>
      </c>
      <c r="J476" s="1306"/>
      <c r="K476" s="1307">
        <f>K475</f>
        <v>0</v>
      </c>
    </row>
    <row r="477" spans="2:11" ht="13">
      <c r="B477" s="1324" t="s">
        <v>68</v>
      </c>
      <c r="C477" s="1325"/>
      <c r="D477" s="1326" t="s">
        <v>4363</v>
      </c>
      <c r="E477" s="1314"/>
      <c r="F477" s="1327"/>
      <c r="G477" s="1327"/>
      <c r="H477" s="1328"/>
      <c r="I477" s="1329"/>
      <c r="J477" s="1330"/>
      <c r="K477" s="1331">
        <f>K469+K473+K476</f>
        <v>0</v>
      </c>
    </row>
    <row r="478" spans="2:11" ht="13">
      <c r="B478" s="1324" t="s">
        <v>70</v>
      </c>
      <c r="C478" s="1325"/>
      <c r="D478" s="1326" t="s">
        <v>4364</v>
      </c>
      <c r="E478" s="1314"/>
      <c r="F478" s="1314"/>
      <c r="G478" s="1314"/>
      <c r="H478" s="1328"/>
      <c r="I478" s="1372">
        <f>$K$4</f>
        <v>0.1</v>
      </c>
      <c r="J478" s="1372"/>
      <c r="K478" s="1330">
        <f>K477*I478</f>
        <v>0</v>
      </c>
    </row>
    <row r="479" spans="2:11" ht="13">
      <c r="B479" s="1332" t="s">
        <v>71</v>
      </c>
      <c r="C479" s="1333"/>
      <c r="D479" s="1334" t="s">
        <v>4340</v>
      </c>
      <c r="E479" s="1319"/>
      <c r="F479" s="1319"/>
      <c r="G479" s="1319"/>
      <c r="H479" s="1335"/>
      <c r="I479" s="1336"/>
      <c r="J479" s="1073"/>
      <c r="K479" s="1337">
        <v>0</v>
      </c>
    </row>
    <row r="480" spans="2:11" ht="13">
      <c r="B480" s="1074"/>
      <c r="C480" s="1087"/>
      <c r="D480" s="1083"/>
      <c r="E480" s="1085"/>
      <c r="F480" s="1085"/>
      <c r="G480" s="1085"/>
      <c r="H480" s="1087"/>
      <c r="I480" s="1375"/>
      <c r="J480" s="1376"/>
      <c r="K480" s="1377"/>
    </row>
    <row r="481" spans="2:11" ht="13">
      <c r="B481" s="1373"/>
      <c r="C481" s="1083" t="s">
        <v>4400</v>
      </c>
      <c r="D481" s="58"/>
      <c r="E481" s="58"/>
      <c r="F481" s="58"/>
      <c r="G481" s="58"/>
      <c r="H481" s="58"/>
      <c r="I481" s="58"/>
      <c r="J481" s="58"/>
      <c r="K481" s="58"/>
    </row>
    <row r="482" spans="2:11" ht="13">
      <c r="B482" s="1687" t="s">
        <v>3235</v>
      </c>
      <c r="C482" s="1690" t="s">
        <v>4288</v>
      </c>
      <c r="D482" s="1691"/>
      <c r="E482" s="1691"/>
      <c r="F482" s="1691"/>
      <c r="G482" s="1186"/>
      <c r="H482" s="1696" t="s">
        <v>4289</v>
      </c>
      <c r="I482" s="1696" t="s">
        <v>4290</v>
      </c>
      <c r="J482" s="1035" t="s">
        <v>1955</v>
      </c>
      <c r="K482" s="1035"/>
    </row>
    <row r="483" spans="2:11" ht="13">
      <c r="B483" s="1688"/>
      <c r="C483" s="1692"/>
      <c r="D483" s="1693"/>
      <c r="E483" s="1693"/>
      <c r="F483" s="1693"/>
      <c r="G483" s="1187" t="s">
        <v>4291</v>
      </c>
      <c r="H483" s="1697"/>
      <c r="I483" s="1697"/>
      <c r="J483" s="1037" t="s">
        <v>1954</v>
      </c>
      <c r="K483" s="1037" t="s">
        <v>3239</v>
      </c>
    </row>
    <row r="484" spans="2:11" ht="13">
      <c r="B484" s="1689"/>
      <c r="C484" s="1694"/>
      <c r="D484" s="1695"/>
      <c r="E484" s="1695"/>
      <c r="F484" s="1695"/>
      <c r="G484" s="1188"/>
      <c r="H484" s="1698"/>
      <c r="I484" s="1698"/>
      <c r="J484" s="1038" t="s">
        <v>4292</v>
      </c>
      <c r="K484" s="1038" t="s">
        <v>4292</v>
      </c>
    </row>
    <row r="485" spans="2:11" ht="13">
      <c r="B485" s="1189">
        <v>1</v>
      </c>
      <c r="C485" s="1710">
        <v>2</v>
      </c>
      <c r="D485" s="1711"/>
      <c r="E485" s="1711"/>
      <c r="F485" s="1711"/>
      <c r="G485" s="1190">
        <v>3</v>
      </c>
      <c r="H485" s="1191">
        <v>4</v>
      </c>
      <c r="I485" s="1192">
        <v>5</v>
      </c>
      <c r="J485" s="1191">
        <v>6</v>
      </c>
      <c r="K485" s="1191">
        <f>J485+1</f>
        <v>7</v>
      </c>
    </row>
    <row r="486" spans="2:11">
      <c r="B486" s="1119"/>
      <c r="C486" s="58"/>
      <c r="D486" s="58"/>
      <c r="E486" s="1264"/>
      <c r="F486" s="1264"/>
      <c r="G486" s="1265"/>
      <c r="H486" s="1122"/>
      <c r="I486" s="1174"/>
      <c r="J486" s="1174"/>
      <c r="K486" s="1266"/>
    </row>
    <row r="487" spans="2:11" ht="13">
      <c r="B487" s="1267" t="s">
        <v>45</v>
      </c>
      <c r="C487" s="1268"/>
      <c r="D487" s="1269" t="s">
        <v>4380</v>
      </c>
      <c r="E487" s="1269"/>
      <c r="F487" s="1269"/>
      <c r="G487" s="1270"/>
      <c r="H487" s="1113"/>
      <c r="I487" s="1271"/>
      <c r="J487" s="1272"/>
      <c r="K487" s="1273"/>
    </row>
    <row r="488" spans="2:11">
      <c r="B488" s="1059">
        <v>1</v>
      </c>
      <c r="C488" s="1274"/>
      <c r="D488" s="1108" t="s">
        <v>47</v>
      </c>
      <c r="E488" s="1108"/>
      <c r="F488" s="1108"/>
      <c r="G488" s="1105" t="s">
        <v>4326</v>
      </c>
      <c r="H488" s="1105" t="s">
        <v>48</v>
      </c>
      <c r="I488" s="1275">
        <v>0.03</v>
      </c>
      <c r="J488" s="1065">
        <f>J465</f>
        <v>0</v>
      </c>
      <c r="K488" s="1109">
        <f>J488*I488</f>
        <v>0</v>
      </c>
    </row>
    <row r="489" spans="2:11">
      <c r="B489" s="1059">
        <v>2</v>
      </c>
      <c r="C489" s="1276"/>
      <c r="D489" s="1108" t="s">
        <v>4346</v>
      </c>
      <c r="E489" s="1108"/>
      <c r="F489" s="1108"/>
      <c r="G489" s="1105" t="s">
        <v>4326</v>
      </c>
      <c r="H489" s="1105" t="s">
        <v>48</v>
      </c>
      <c r="I489" s="1275">
        <v>0.04</v>
      </c>
      <c r="J489" s="1065">
        <f>J466</f>
        <v>0</v>
      </c>
      <c r="K489" s="1109">
        <f>J489*I489</f>
        <v>0</v>
      </c>
    </row>
    <row r="490" spans="2:11">
      <c r="B490" s="1059">
        <v>3</v>
      </c>
      <c r="C490" s="1276"/>
      <c r="D490" s="1108" t="s">
        <v>50</v>
      </c>
      <c r="E490" s="1108"/>
      <c r="F490" s="1108"/>
      <c r="G490" s="1105" t="s">
        <v>4326</v>
      </c>
      <c r="H490" s="1105" t="s">
        <v>48</v>
      </c>
      <c r="I490" s="1275">
        <f>I489/10</f>
        <v>4.0000000000000001E-3</v>
      </c>
      <c r="J490" s="1065">
        <f>J467</f>
        <v>0</v>
      </c>
      <c r="K490" s="1109">
        <f>J490*I490</f>
        <v>0</v>
      </c>
    </row>
    <row r="491" spans="2:11" ht="13">
      <c r="B491" s="1277"/>
      <c r="C491" s="1091"/>
      <c r="D491" s="1091"/>
      <c r="E491" s="1278"/>
      <c r="F491" s="1278"/>
      <c r="G491" s="1278"/>
      <c r="H491" s="1091"/>
      <c r="I491" s="1279" t="s">
        <v>4347</v>
      </c>
      <c r="J491" s="1280"/>
      <c r="K491" s="1281">
        <f>SUM(K488:K490)</f>
        <v>0</v>
      </c>
    </row>
    <row r="492" spans="2:11" ht="13">
      <c r="B492" s="1267" t="s">
        <v>53</v>
      </c>
      <c r="C492" s="1126"/>
      <c r="D492" s="1283" t="s">
        <v>4348</v>
      </c>
      <c r="E492" s="1283"/>
      <c r="F492" s="1283"/>
      <c r="G492" s="1284"/>
      <c r="H492" s="1285"/>
      <c r="I492" s="1286"/>
      <c r="J492" s="1287"/>
      <c r="K492" s="1288"/>
    </row>
    <row r="493" spans="2:11">
      <c r="B493" s="1289">
        <v>1</v>
      </c>
      <c r="C493" s="1276"/>
      <c r="D493" s="1061" t="str">
        <f>C481</f>
        <v>Kabel BC 16 mm2</v>
      </c>
      <c r="E493" s="1061"/>
      <c r="F493" s="1061"/>
      <c r="G493" s="1290"/>
      <c r="H493" s="1291" t="s">
        <v>113</v>
      </c>
      <c r="I493" s="1292">
        <v>1.1000000000000001</v>
      </c>
      <c r="J493" s="1064">
        <v>0</v>
      </c>
      <c r="K493" s="1293">
        <f>J493*I493</f>
        <v>0</v>
      </c>
    </row>
    <row r="494" spans="2:11" ht="13">
      <c r="B494" s="1277"/>
      <c r="C494" s="1091"/>
      <c r="D494" s="1091"/>
      <c r="E494" s="1278"/>
      <c r="F494" s="1278"/>
      <c r="G494" s="1278"/>
      <c r="H494" s="1091"/>
      <c r="I494" s="1279" t="s">
        <v>4360</v>
      </c>
      <c r="J494" s="1306"/>
      <c r="K494" s="1307">
        <f>SUM(K493:K493)</f>
        <v>0</v>
      </c>
    </row>
    <row r="495" spans="2:11" ht="13">
      <c r="B495" s="1308" t="s">
        <v>65</v>
      </c>
      <c r="C495" s="1127"/>
      <c r="D495" s="1283" t="s">
        <v>1939</v>
      </c>
      <c r="E495" s="1283"/>
      <c r="F495" s="1283"/>
      <c r="G495" s="1309"/>
      <c r="H495" s="1310"/>
      <c r="I495" s="1311"/>
      <c r="J495" s="1055"/>
      <c r="K495" s="1312"/>
    </row>
    <row r="496" spans="2:11" ht="13">
      <c r="B496" s="1301"/>
      <c r="C496" s="1302"/>
      <c r="D496" s="1318"/>
      <c r="E496" s="1319"/>
      <c r="F496" s="1319"/>
      <c r="G496" s="1320"/>
      <c r="H496" s="1321"/>
      <c r="I496" s="1322"/>
      <c r="J496" s="1323"/>
      <c r="K496" s="1293"/>
    </row>
    <row r="497" spans="2:11" ht="13">
      <c r="B497" s="1277"/>
      <c r="C497" s="1091"/>
      <c r="D497" s="1091"/>
      <c r="E497" s="1278"/>
      <c r="F497" s="1278"/>
      <c r="G497" s="1278"/>
      <c r="H497" s="1091"/>
      <c r="I497" s="1279" t="s">
        <v>4362</v>
      </c>
      <c r="J497" s="1306"/>
      <c r="K497" s="1307">
        <f>K496</f>
        <v>0</v>
      </c>
    </row>
    <row r="498" spans="2:11" ht="13">
      <c r="B498" s="1324" t="s">
        <v>68</v>
      </c>
      <c r="C498" s="1325"/>
      <c r="D498" s="1326" t="s">
        <v>4363</v>
      </c>
      <c r="E498" s="1314"/>
      <c r="F498" s="1327"/>
      <c r="G498" s="1327"/>
      <c r="H498" s="1328"/>
      <c r="I498" s="1329"/>
      <c r="J498" s="1330"/>
      <c r="K498" s="1331">
        <f>K491+K494+K497</f>
        <v>0</v>
      </c>
    </row>
    <row r="499" spans="2:11" ht="13">
      <c r="B499" s="1324" t="s">
        <v>70</v>
      </c>
      <c r="C499" s="1325"/>
      <c r="D499" s="1326" t="s">
        <v>4364</v>
      </c>
      <c r="E499" s="1314"/>
      <c r="F499" s="1314"/>
      <c r="G499" s="1314"/>
      <c r="H499" s="1328"/>
      <c r="I499" s="1372">
        <f>$K$4</f>
        <v>0.1</v>
      </c>
      <c r="J499" s="1372"/>
      <c r="K499" s="1330">
        <f>K498*I499</f>
        <v>0</v>
      </c>
    </row>
    <row r="500" spans="2:11" ht="13">
      <c r="B500" s="1332" t="s">
        <v>71</v>
      </c>
      <c r="C500" s="1333"/>
      <c r="D500" s="1334" t="s">
        <v>4340</v>
      </c>
      <c r="E500" s="1319"/>
      <c r="F500" s="1319"/>
      <c r="G500" s="1319"/>
      <c r="H500" s="1335"/>
      <c r="I500" s="1336"/>
      <c r="J500" s="1073"/>
      <c r="K500" s="1337">
        <v>0</v>
      </c>
    </row>
    <row r="501" spans="2:11" ht="13">
      <c r="B501" s="1074"/>
      <c r="C501" s="1087"/>
      <c r="D501" s="1083"/>
      <c r="E501" s="1085"/>
      <c r="F501" s="1085"/>
      <c r="G501" s="1085"/>
      <c r="H501" s="1087"/>
      <c r="I501" s="1375"/>
      <c r="J501" s="1376"/>
      <c r="K501" s="1377"/>
    </row>
    <row r="502" spans="2:11">
      <c r="B502" s="1379"/>
      <c r="C502" s="1380"/>
      <c r="D502" s="1033"/>
      <c r="E502" s="1033"/>
      <c r="F502" s="1033"/>
      <c r="G502" s="1033"/>
      <c r="H502" s="1381"/>
      <c r="I502" s="1382"/>
      <c r="J502" s="1383"/>
      <c r="K502" s="1384"/>
    </row>
    <row r="503" spans="2:11" ht="13">
      <c r="B503" s="1031"/>
      <c r="C503" s="1184" t="str">
        <f>'[205]HARGA ME'!B83</f>
        <v>Lampu led slim 40 W, 4000 lm, 6500 K</v>
      </c>
      <c r="D503" s="1185"/>
      <c r="E503" s="1185"/>
      <c r="F503" s="1185"/>
      <c r="G503" s="1185"/>
      <c r="H503" s="1185"/>
      <c r="I503" s="1185"/>
      <c r="J503" s="1185"/>
      <c r="K503" s="1185"/>
    </row>
    <row r="504" spans="2:11" ht="13">
      <c r="B504" s="1687" t="s">
        <v>3235</v>
      </c>
      <c r="C504" s="1690" t="s">
        <v>4288</v>
      </c>
      <c r="D504" s="1691"/>
      <c r="E504" s="1691"/>
      <c r="F504" s="1691"/>
      <c r="G504" s="1186"/>
      <c r="H504" s="1696" t="s">
        <v>4289</v>
      </c>
      <c r="I504" s="1696" t="s">
        <v>4290</v>
      </c>
      <c r="J504" s="1035" t="s">
        <v>1955</v>
      </c>
      <c r="K504" s="1035"/>
    </row>
    <row r="505" spans="2:11" ht="13">
      <c r="B505" s="1688"/>
      <c r="C505" s="1692"/>
      <c r="D505" s="1693"/>
      <c r="E505" s="1693"/>
      <c r="F505" s="1693"/>
      <c r="G505" s="1187" t="s">
        <v>4291</v>
      </c>
      <c r="H505" s="1697"/>
      <c r="I505" s="1697"/>
      <c r="J505" s="1037" t="s">
        <v>1954</v>
      </c>
      <c r="K505" s="1037" t="s">
        <v>3239</v>
      </c>
    </row>
    <row r="506" spans="2:11" ht="13">
      <c r="B506" s="1689"/>
      <c r="C506" s="1694"/>
      <c r="D506" s="1695"/>
      <c r="E506" s="1695"/>
      <c r="F506" s="1695"/>
      <c r="G506" s="1188"/>
      <c r="H506" s="1698"/>
      <c r="I506" s="1698"/>
      <c r="J506" s="1038" t="s">
        <v>4292</v>
      </c>
      <c r="K506" s="1038" t="s">
        <v>4292</v>
      </c>
    </row>
    <row r="507" spans="2:11" ht="13">
      <c r="B507" s="1260">
        <v>1</v>
      </c>
      <c r="C507" s="1699">
        <v>2</v>
      </c>
      <c r="D507" s="1700"/>
      <c r="E507" s="1700"/>
      <c r="F507" s="1700"/>
      <c r="G507" s="1261">
        <v>3</v>
      </c>
      <c r="H507" s="1262">
        <v>4</v>
      </c>
      <c r="I507" s="1263">
        <v>5</v>
      </c>
      <c r="J507" s="1262">
        <v>6</v>
      </c>
      <c r="K507" s="1262">
        <f>J507+1</f>
        <v>7</v>
      </c>
    </row>
    <row r="508" spans="2:11">
      <c r="B508" s="1196"/>
      <c r="C508" s="1185"/>
      <c r="D508" s="1185"/>
      <c r="E508" s="1338"/>
      <c r="F508" s="1338"/>
      <c r="G508" s="1199"/>
      <c r="H508" s="1200"/>
      <c r="I508" s="1201"/>
      <c r="J508" s="1201"/>
      <c r="K508" s="1202"/>
    </row>
    <row r="509" spans="2:11" ht="13">
      <c r="B509" s="1193" t="s">
        <v>45</v>
      </c>
      <c r="C509" s="1203"/>
      <c r="D509" s="1339" t="s">
        <v>4345</v>
      </c>
      <c r="E509" s="1339"/>
      <c r="F509" s="1339"/>
      <c r="G509" s="1206"/>
      <c r="H509" s="1207"/>
      <c r="I509" s="1208"/>
      <c r="J509" s="1209"/>
      <c r="K509" s="1210"/>
    </row>
    <row r="510" spans="2:11">
      <c r="B510" s="1211">
        <v>1</v>
      </c>
      <c r="C510" s="1212"/>
      <c r="D510" s="1340" t="s">
        <v>47</v>
      </c>
      <c r="E510" s="1340"/>
      <c r="F510" s="1340"/>
      <c r="G510" s="1215" t="s">
        <v>4326</v>
      </c>
      <c r="H510" s="1215" t="s">
        <v>48</v>
      </c>
      <c r="I510" s="1216">
        <v>0.1</v>
      </c>
      <c r="J510" s="1168">
        <f>J488</f>
        <v>0</v>
      </c>
      <c r="K510" s="1217">
        <f>J510*I510</f>
        <v>0</v>
      </c>
    </row>
    <row r="511" spans="2:11">
      <c r="B511" s="1211">
        <v>2</v>
      </c>
      <c r="C511" s="1218"/>
      <c r="D511" s="1340" t="s">
        <v>4346</v>
      </c>
      <c r="E511" s="1340"/>
      <c r="F511" s="1340"/>
      <c r="G511" s="1215" t="s">
        <v>4326</v>
      </c>
      <c r="H511" s="1215" t="s">
        <v>48</v>
      </c>
      <c r="I511" s="1216">
        <v>0.2</v>
      </c>
      <c r="J511" s="1168">
        <f>J489</f>
        <v>0</v>
      </c>
      <c r="K511" s="1217">
        <f>J511*I511</f>
        <v>0</v>
      </c>
    </row>
    <row r="512" spans="2:11">
      <c r="B512" s="1211"/>
      <c r="C512" s="1218"/>
      <c r="D512" s="1340"/>
      <c r="E512" s="1340"/>
      <c r="F512" s="1340"/>
      <c r="G512" s="1215"/>
      <c r="H512" s="1215"/>
      <c r="I512" s="1216"/>
      <c r="J512" s="1168"/>
      <c r="K512" s="1217"/>
    </row>
    <row r="513" spans="2:11" ht="13">
      <c r="B513" s="1341"/>
      <c r="C513" s="1342"/>
      <c r="D513" s="1342"/>
      <c r="E513" s="1343"/>
      <c r="F513" s="1343"/>
      <c r="G513" s="1343"/>
      <c r="H513" s="1342"/>
      <c r="I513" s="1344" t="s">
        <v>4347</v>
      </c>
      <c r="J513" s="1345"/>
      <c r="K513" s="1346">
        <f>SUM(K510:K512)</f>
        <v>0</v>
      </c>
    </row>
    <row r="514" spans="2:11" ht="13">
      <c r="B514" s="1347" t="s">
        <v>53</v>
      </c>
      <c r="C514" s="1348"/>
      <c r="D514" s="1349" t="s">
        <v>4348</v>
      </c>
      <c r="E514" s="1349"/>
      <c r="F514" s="1349"/>
      <c r="G514" s="1350"/>
      <c r="H514" s="1351"/>
      <c r="I514" s="1352"/>
      <c r="J514" s="1353"/>
      <c r="K514" s="1354"/>
    </row>
    <row r="515" spans="2:11">
      <c r="B515" s="1355">
        <v>1</v>
      </c>
      <c r="C515" s="1218"/>
      <c r="D515" s="1214" t="str">
        <f>C503</f>
        <v>Lampu led slim 40 W, 4000 lm, 6500 K</v>
      </c>
      <c r="E515" s="1214"/>
      <c r="F515" s="1214"/>
      <c r="G515" s="1297"/>
      <c r="H515" s="1220" t="s">
        <v>87</v>
      </c>
      <c r="I515" s="1221">
        <v>1</v>
      </c>
      <c r="J515" s="1222">
        <v>0</v>
      </c>
      <c r="K515" s="1298">
        <f>J515*I515</f>
        <v>0</v>
      </c>
    </row>
    <row r="516" spans="2:11" ht="13">
      <c r="B516" s="1341"/>
      <c r="C516" s="1342"/>
      <c r="D516" s="1342"/>
      <c r="E516" s="1343"/>
      <c r="F516" s="1343"/>
      <c r="G516" s="1343"/>
      <c r="H516" s="1342"/>
      <c r="I516" s="1344" t="s">
        <v>4360</v>
      </c>
      <c r="J516" s="1357"/>
      <c r="K516" s="1358">
        <f>SUM(K515:K515)</f>
        <v>0</v>
      </c>
    </row>
    <row r="517" spans="2:11" ht="13">
      <c r="B517" s="1359" t="s">
        <v>65</v>
      </c>
      <c r="C517" s="1360"/>
      <c r="D517" s="1349" t="s">
        <v>1939</v>
      </c>
      <c r="E517" s="1349"/>
      <c r="F517" s="1349"/>
      <c r="G517" s="1361"/>
      <c r="H517" s="1362"/>
      <c r="I517" s="1363"/>
      <c r="J517" s="1364"/>
      <c r="K517" s="1365"/>
    </row>
    <row r="518" spans="2:11" ht="13">
      <c r="B518" s="1366"/>
      <c r="C518" s="1367"/>
      <c r="D518" s="1368"/>
      <c r="E518" s="1246"/>
      <c r="F518" s="1246"/>
      <c r="G518" s="1369"/>
      <c r="H518" s="1229"/>
      <c r="I518" s="1370"/>
      <c r="J518" s="1371"/>
      <c r="K518" s="1298"/>
    </row>
    <row r="519" spans="2:11" ht="13">
      <c r="B519" s="1341"/>
      <c r="C519" s="1342"/>
      <c r="D519" s="1342"/>
      <c r="E519" s="1343"/>
      <c r="F519" s="1343"/>
      <c r="G519" s="1343"/>
      <c r="H519" s="1342"/>
      <c r="I519" s="1344" t="s">
        <v>4362</v>
      </c>
      <c r="J519" s="1357"/>
      <c r="K519" s="1358">
        <f>K518</f>
        <v>0</v>
      </c>
    </row>
    <row r="520" spans="2:11" ht="13">
      <c r="B520" s="1236" t="s">
        <v>68</v>
      </c>
      <c r="C520" s="1237"/>
      <c r="D520" s="1204" t="s">
        <v>4363</v>
      </c>
      <c r="E520" s="1205"/>
      <c r="F520" s="1238"/>
      <c r="G520" s="1238"/>
      <c r="H520" s="1239"/>
      <c r="I520" s="1240"/>
      <c r="J520" s="1241"/>
      <c r="K520" s="1242">
        <f>K513+K516+K519</f>
        <v>0</v>
      </c>
    </row>
    <row r="521" spans="2:11" ht="13">
      <c r="B521" s="1236" t="s">
        <v>70</v>
      </c>
      <c r="C521" s="1237"/>
      <c r="D521" s="1326" t="s">
        <v>4364</v>
      </c>
      <c r="E521" s="1314"/>
      <c r="F521" s="1314"/>
      <c r="G521" s="1314"/>
      <c r="H521" s="1328"/>
      <c r="I521" s="1372">
        <f>$K$4</f>
        <v>0.1</v>
      </c>
      <c r="J521" s="1372"/>
      <c r="K521" s="1330">
        <f>K520*I521</f>
        <v>0</v>
      </c>
    </row>
    <row r="522" spans="2:11" ht="13">
      <c r="B522" s="1243" t="s">
        <v>71</v>
      </c>
      <c r="C522" s="1244"/>
      <c r="D522" s="1245" t="s">
        <v>4340</v>
      </c>
      <c r="E522" s="1246"/>
      <c r="F522" s="1246"/>
      <c r="G522" s="1246"/>
      <c r="H522" s="1247"/>
      <c r="I522" s="1248"/>
      <c r="J522" s="1249"/>
      <c r="K522" s="1250">
        <v>0</v>
      </c>
    </row>
    <row r="523" spans="2:11" ht="13">
      <c r="B523" s="1251"/>
      <c r="C523" s="1036"/>
      <c r="D523" s="1184"/>
      <c r="E523" s="1252"/>
      <c r="F523" s="1252"/>
      <c r="G523" s="1252"/>
      <c r="H523" s="1036"/>
      <c r="I523" s="1253"/>
      <c r="J523" s="1254"/>
      <c r="K523" s="1255"/>
    </row>
    <row r="524" spans="2:11" ht="13">
      <c r="B524" s="1031"/>
      <c r="C524" s="1184" t="str">
        <f>'HARGA ME'!B58</f>
        <v>Led DOWNLIGHT RECESSED  15W, 6500K</v>
      </c>
      <c r="D524" s="1185"/>
      <c r="E524" s="1185"/>
      <c r="F524" s="1185"/>
      <c r="G524" s="1185"/>
      <c r="H524" s="1185"/>
      <c r="I524" s="1185"/>
      <c r="J524" s="1185"/>
      <c r="K524" s="1185"/>
    </row>
    <row r="525" spans="2:11" ht="13">
      <c r="B525" s="1687" t="s">
        <v>3235</v>
      </c>
      <c r="C525" s="1690" t="s">
        <v>4288</v>
      </c>
      <c r="D525" s="1691"/>
      <c r="E525" s="1691"/>
      <c r="F525" s="1691"/>
      <c r="G525" s="1186"/>
      <c r="H525" s="1696" t="s">
        <v>4289</v>
      </c>
      <c r="I525" s="1696" t="s">
        <v>4290</v>
      </c>
      <c r="J525" s="1035" t="s">
        <v>1955</v>
      </c>
      <c r="K525" s="1035"/>
    </row>
    <row r="526" spans="2:11" ht="13">
      <c r="B526" s="1688"/>
      <c r="C526" s="1692"/>
      <c r="D526" s="1693"/>
      <c r="E526" s="1693"/>
      <c r="F526" s="1693"/>
      <c r="G526" s="1187" t="s">
        <v>4291</v>
      </c>
      <c r="H526" s="1697"/>
      <c r="I526" s="1697"/>
      <c r="J526" s="1037" t="s">
        <v>1954</v>
      </c>
      <c r="K526" s="1037" t="s">
        <v>3239</v>
      </c>
    </row>
    <row r="527" spans="2:11" ht="13">
      <c r="B527" s="1689"/>
      <c r="C527" s="1694"/>
      <c r="D527" s="1695"/>
      <c r="E527" s="1695"/>
      <c r="F527" s="1695"/>
      <c r="G527" s="1188"/>
      <c r="H527" s="1698"/>
      <c r="I527" s="1698"/>
      <c r="J527" s="1038" t="s">
        <v>4292</v>
      </c>
      <c r="K527" s="1038" t="s">
        <v>4292</v>
      </c>
    </row>
    <row r="528" spans="2:11" ht="13">
      <c r="B528" s="1260">
        <v>1</v>
      </c>
      <c r="C528" s="1699">
        <v>2</v>
      </c>
      <c r="D528" s="1700"/>
      <c r="E528" s="1700"/>
      <c r="F528" s="1700"/>
      <c r="G528" s="1261">
        <v>3</v>
      </c>
      <c r="H528" s="1262">
        <v>4</v>
      </c>
      <c r="I528" s="1263">
        <v>5</v>
      </c>
      <c r="J528" s="1262">
        <v>6</v>
      </c>
      <c r="K528" s="1262">
        <f>J528+1</f>
        <v>7</v>
      </c>
    </row>
    <row r="529" spans="2:11">
      <c r="B529" s="1196"/>
      <c r="C529" s="1185"/>
      <c r="D529" s="1185"/>
      <c r="E529" s="1338"/>
      <c r="F529" s="1338"/>
      <c r="G529" s="1199"/>
      <c r="H529" s="1200"/>
      <c r="I529" s="1201"/>
      <c r="J529" s="1201"/>
      <c r="K529" s="1202"/>
    </row>
    <row r="530" spans="2:11" ht="13">
      <c r="B530" s="1193" t="s">
        <v>45</v>
      </c>
      <c r="C530" s="1203"/>
      <c r="D530" s="1339" t="s">
        <v>4345</v>
      </c>
      <c r="E530" s="1339"/>
      <c r="F530" s="1339"/>
      <c r="G530" s="1206"/>
      <c r="H530" s="1207"/>
      <c r="I530" s="1208"/>
      <c r="J530" s="1209"/>
      <c r="K530" s="1210"/>
    </row>
    <row r="531" spans="2:11">
      <c r="B531" s="1211">
        <v>1</v>
      </c>
      <c r="C531" s="1212"/>
      <c r="D531" s="1340" t="s">
        <v>47</v>
      </c>
      <c r="E531" s="1340"/>
      <c r="F531" s="1340"/>
      <c r="G531" s="1215" t="s">
        <v>4326</v>
      </c>
      <c r="H531" s="1215" t="s">
        <v>48</v>
      </c>
      <c r="I531" s="1216">
        <v>0.05</v>
      </c>
      <c r="J531" s="1168">
        <f>J510</f>
        <v>0</v>
      </c>
      <c r="K531" s="1217">
        <f>J531*I531</f>
        <v>0</v>
      </c>
    </row>
    <row r="532" spans="2:11">
      <c r="B532" s="1211">
        <v>2</v>
      </c>
      <c r="C532" s="1218"/>
      <c r="D532" s="1340" t="s">
        <v>4346</v>
      </c>
      <c r="E532" s="1340"/>
      <c r="F532" s="1340"/>
      <c r="G532" s="1215" t="s">
        <v>4326</v>
      </c>
      <c r="H532" s="1215" t="s">
        <v>48</v>
      </c>
      <c r="I532" s="1216">
        <v>0.1</v>
      </c>
      <c r="J532" s="1168">
        <f>J511</f>
        <v>0</v>
      </c>
      <c r="K532" s="1217">
        <f>J532*I532</f>
        <v>0</v>
      </c>
    </row>
    <row r="533" spans="2:11">
      <c r="B533" s="1211"/>
      <c r="C533" s="1218"/>
      <c r="D533" s="1340"/>
      <c r="E533" s="1340"/>
      <c r="F533" s="1340"/>
      <c r="G533" s="1215"/>
      <c r="H533" s="1215"/>
      <c r="I533" s="1216"/>
      <c r="J533" s="1168"/>
      <c r="K533" s="1217"/>
    </row>
    <row r="534" spans="2:11" ht="13">
      <c r="B534" s="1341"/>
      <c r="C534" s="1342"/>
      <c r="D534" s="1342"/>
      <c r="E534" s="1343"/>
      <c r="F534" s="1343"/>
      <c r="G534" s="1343"/>
      <c r="H534" s="1342"/>
      <c r="I534" s="1344" t="s">
        <v>4347</v>
      </c>
      <c r="J534" s="1345"/>
      <c r="K534" s="1346">
        <f>SUM(K531:K533)</f>
        <v>0</v>
      </c>
    </row>
    <row r="535" spans="2:11" ht="13">
      <c r="B535" s="1347" t="s">
        <v>53</v>
      </c>
      <c r="C535" s="1348"/>
      <c r="D535" s="1349" t="s">
        <v>4348</v>
      </c>
      <c r="E535" s="1349"/>
      <c r="F535" s="1349"/>
      <c r="G535" s="1350"/>
      <c r="H535" s="1351"/>
      <c r="I535" s="1352"/>
      <c r="J535" s="1353"/>
      <c r="K535" s="1354"/>
    </row>
    <row r="536" spans="2:11">
      <c r="B536" s="1355">
        <v>1</v>
      </c>
      <c r="C536" s="1218"/>
      <c r="D536" s="1214" t="str">
        <f>C524</f>
        <v>Led DOWNLIGHT RECESSED  15W, 6500K</v>
      </c>
      <c r="E536" s="1214"/>
      <c r="F536" s="1214"/>
      <c r="G536" s="1297"/>
      <c r="H536" s="1220" t="s">
        <v>87</v>
      </c>
      <c r="I536" s="1221">
        <v>1</v>
      </c>
      <c r="J536" s="1222">
        <f>'HARGA ME'!D58</f>
        <v>0</v>
      </c>
      <c r="K536" s="1298">
        <f>J536*I536</f>
        <v>0</v>
      </c>
    </row>
    <row r="537" spans="2:11" ht="13">
      <c r="B537" s="1341"/>
      <c r="C537" s="1342"/>
      <c r="D537" s="1342"/>
      <c r="E537" s="1343"/>
      <c r="F537" s="1343"/>
      <c r="G537" s="1343"/>
      <c r="H537" s="1342"/>
      <c r="I537" s="1344" t="s">
        <v>4360</v>
      </c>
      <c r="J537" s="1357"/>
      <c r="K537" s="1358">
        <f>SUM(K536:K536)</f>
        <v>0</v>
      </c>
    </row>
    <row r="538" spans="2:11" ht="13">
      <c r="B538" s="1359" t="s">
        <v>65</v>
      </c>
      <c r="C538" s="1360"/>
      <c r="D538" s="1349" t="s">
        <v>1939</v>
      </c>
      <c r="E538" s="1349"/>
      <c r="F538" s="1349"/>
      <c r="G538" s="1361"/>
      <c r="H538" s="1362"/>
      <c r="I538" s="1363"/>
      <c r="J538" s="1364"/>
      <c r="K538" s="1365"/>
    </row>
    <row r="539" spans="2:11" ht="13">
      <c r="B539" s="1366"/>
      <c r="C539" s="1367"/>
      <c r="D539" s="1368"/>
      <c r="E539" s="1246"/>
      <c r="F539" s="1246"/>
      <c r="G539" s="1369"/>
      <c r="H539" s="1229"/>
      <c r="I539" s="1370"/>
      <c r="J539" s="1371"/>
      <c r="K539" s="1298"/>
    </row>
    <row r="540" spans="2:11" ht="13">
      <c r="B540" s="1341"/>
      <c r="C540" s="1342"/>
      <c r="D540" s="1342"/>
      <c r="E540" s="1343"/>
      <c r="F540" s="1343"/>
      <c r="G540" s="1343"/>
      <c r="H540" s="1342"/>
      <c r="I540" s="1344" t="s">
        <v>4362</v>
      </c>
      <c r="J540" s="1357"/>
      <c r="K540" s="1358">
        <f>K539</f>
        <v>0</v>
      </c>
    </row>
    <row r="541" spans="2:11" ht="13">
      <c r="B541" s="1236" t="s">
        <v>68</v>
      </c>
      <c r="C541" s="1237"/>
      <c r="D541" s="1204" t="s">
        <v>4363</v>
      </c>
      <c r="E541" s="1205"/>
      <c r="F541" s="1238"/>
      <c r="G541" s="1238"/>
      <c r="H541" s="1239"/>
      <c r="I541" s="1240"/>
      <c r="J541" s="1241"/>
      <c r="K541" s="1242">
        <f>K534+K537+K540</f>
        <v>0</v>
      </c>
    </row>
    <row r="542" spans="2:11" ht="13">
      <c r="B542" s="1236" t="s">
        <v>70</v>
      </c>
      <c r="C542" s="1237"/>
      <c r="D542" s="1326" t="s">
        <v>4364</v>
      </c>
      <c r="E542" s="1314"/>
      <c r="F542" s="1314"/>
      <c r="G542" s="1314"/>
      <c r="H542" s="1328"/>
      <c r="I542" s="1372">
        <f>$K$4</f>
        <v>0.1</v>
      </c>
      <c r="J542" s="1372"/>
      <c r="K542" s="1330">
        <f>K541*I542</f>
        <v>0</v>
      </c>
    </row>
    <row r="543" spans="2:11" ht="13">
      <c r="B543" s="1243" t="s">
        <v>71</v>
      </c>
      <c r="C543" s="1244"/>
      <c r="D543" s="1245" t="s">
        <v>4340</v>
      </c>
      <c r="E543" s="1246"/>
      <c r="F543" s="1246"/>
      <c r="G543" s="1246"/>
      <c r="H543" s="1247"/>
      <c r="I543" s="1248"/>
      <c r="J543" s="1249"/>
      <c r="K543" s="1250">
        <v>0</v>
      </c>
    </row>
    <row r="544" spans="2:11" ht="13">
      <c r="B544" s="1251"/>
      <c r="C544" s="1036"/>
      <c r="D544" s="1184"/>
      <c r="E544" s="1252"/>
      <c r="F544" s="1252"/>
      <c r="G544" s="1252"/>
      <c r="H544" s="1036"/>
      <c r="I544" s="1253"/>
      <c r="J544" s="1254"/>
      <c r="K544" s="1255"/>
    </row>
    <row r="545" spans="2:11" ht="13">
      <c r="B545" s="1031"/>
      <c r="C545" s="1184" t="str">
        <f>'HARGA ME'!B59</f>
        <v>Led DOWNLIGHT RECESSED  12W, 6500K</v>
      </c>
      <c r="D545" s="1185"/>
      <c r="E545" s="1185"/>
      <c r="F545" s="1185"/>
      <c r="G545" s="1185"/>
      <c r="H545" s="1185"/>
      <c r="I545" s="1185"/>
      <c r="J545" s="1185"/>
      <c r="K545" s="1185"/>
    </row>
    <row r="546" spans="2:11" ht="13">
      <c r="B546" s="1687" t="s">
        <v>3235</v>
      </c>
      <c r="C546" s="1690" t="s">
        <v>4288</v>
      </c>
      <c r="D546" s="1691"/>
      <c r="E546" s="1691"/>
      <c r="F546" s="1691"/>
      <c r="G546" s="1186"/>
      <c r="H546" s="1696" t="s">
        <v>4289</v>
      </c>
      <c r="I546" s="1696" t="s">
        <v>4290</v>
      </c>
      <c r="J546" s="1035" t="s">
        <v>1955</v>
      </c>
      <c r="K546" s="1035"/>
    </row>
    <row r="547" spans="2:11" ht="13">
      <c r="B547" s="1688"/>
      <c r="C547" s="1692"/>
      <c r="D547" s="1693"/>
      <c r="E547" s="1693"/>
      <c r="F547" s="1693"/>
      <c r="G547" s="1187" t="s">
        <v>4291</v>
      </c>
      <c r="H547" s="1697"/>
      <c r="I547" s="1697"/>
      <c r="J547" s="1037" t="s">
        <v>1954</v>
      </c>
      <c r="K547" s="1037" t="s">
        <v>3239</v>
      </c>
    </row>
    <row r="548" spans="2:11" ht="13">
      <c r="B548" s="1689"/>
      <c r="C548" s="1694"/>
      <c r="D548" s="1695"/>
      <c r="E548" s="1695"/>
      <c r="F548" s="1695"/>
      <c r="G548" s="1188"/>
      <c r="H548" s="1698"/>
      <c r="I548" s="1698"/>
      <c r="J548" s="1038" t="s">
        <v>4292</v>
      </c>
      <c r="K548" s="1038" t="s">
        <v>4292</v>
      </c>
    </row>
    <row r="549" spans="2:11" ht="13">
      <c r="B549" s="1260">
        <v>1</v>
      </c>
      <c r="C549" s="1699">
        <v>2</v>
      </c>
      <c r="D549" s="1700"/>
      <c r="E549" s="1700"/>
      <c r="F549" s="1700"/>
      <c r="G549" s="1261">
        <v>3</v>
      </c>
      <c r="H549" s="1262">
        <v>4</v>
      </c>
      <c r="I549" s="1263">
        <v>5</v>
      </c>
      <c r="J549" s="1262">
        <v>6</v>
      </c>
      <c r="K549" s="1262">
        <f>J549+1</f>
        <v>7</v>
      </c>
    </row>
    <row r="550" spans="2:11">
      <c r="B550" s="1196"/>
      <c r="C550" s="1185"/>
      <c r="D550" s="1185"/>
      <c r="E550" s="1338"/>
      <c r="F550" s="1338"/>
      <c r="G550" s="1199"/>
      <c r="H550" s="1200"/>
      <c r="I550" s="1201"/>
      <c r="J550" s="1201"/>
      <c r="K550" s="1202"/>
    </row>
    <row r="551" spans="2:11" ht="13">
      <c r="B551" s="1193" t="s">
        <v>45</v>
      </c>
      <c r="C551" s="1203"/>
      <c r="D551" s="1339" t="s">
        <v>4345</v>
      </c>
      <c r="E551" s="1339"/>
      <c r="F551" s="1339"/>
      <c r="G551" s="1206"/>
      <c r="H551" s="1207"/>
      <c r="I551" s="1208"/>
      <c r="J551" s="1209"/>
      <c r="K551" s="1210"/>
    </row>
    <row r="552" spans="2:11">
      <c r="B552" s="1211">
        <v>1</v>
      </c>
      <c r="C552" s="1212"/>
      <c r="D552" s="1340" t="s">
        <v>47</v>
      </c>
      <c r="E552" s="1340"/>
      <c r="F552" s="1340"/>
      <c r="G552" s="1215" t="s">
        <v>4326</v>
      </c>
      <c r="H552" s="1215" t="s">
        <v>48</v>
      </c>
      <c r="I552" s="1216">
        <v>0.05</v>
      </c>
      <c r="J552" s="1168">
        <f>J531</f>
        <v>0</v>
      </c>
      <c r="K552" s="1217">
        <f>J552*I552</f>
        <v>0</v>
      </c>
    </row>
    <row r="553" spans="2:11">
      <c r="B553" s="1211">
        <v>2</v>
      </c>
      <c r="C553" s="1218"/>
      <c r="D553" s="1340" t="s">
        <v>4346</v>
      </c>
      <c r="E553" s="1340"/>
      <c r="F553" s="1340"/>
      <c r="G553" s="1215" t="s">
        <v>4326</v>
      </c>
      <c r="H553" s="1215" t="s">
        <v>48</v>
      </c>
      <c r="I553" s="1216">
        <v>0.1</v>
      </c>
      <c r="J553" s="1168">
        <f>J532</f>
        <v>0</v>
      </c>
      <c r="K553" s="1217">
        <f>J553*I553</f>
        <v>0</v>
      </c>
    </row>
    <row r="554" spans="2:11">
      <c r="B554" s="1211"/>
      <c r="C554" s="1218"/>
      <c r="D554" s="1340"/>
      <c r="E554" s="1340"/>
      <c r="F554" s="1340"/>
      <c r="G554" s="1215"/>
      <c r="H554" s="1215"/>
      <c r="I554" s="1216"/>
      <c r="J554" s="1168"/>
      <c r="K554" s="1217"/>
    </row>
    <row r="555" spans="2:11" ht="13">
      <c r="B555" s="1341"/>
      <c r="C555" s="1342"/>
      <c r="D555" s="1342"/>
      <c r="E555" s="1343"/>
      <c r="F555" s="1343"/>
      <c r="G555" s="1343"/>
      <c r="H555" s="1342"/>
      <c r="I555" s="1344" t="s">
        <v>4347</v>
      </c>
      <c r="J555" s="1345"/>
      <c r="K555" s="1346">
        <f>SUM(K552:K554)</f>
        <v>0</v>
      </c>
    </row>
    <row r="556" spans="2:11" ht="13">
      <c r="B556" s="1347" t="s">
        <v>53</v>
      </c>
      <c r="C556" s="1348"/>
      <c r="D556" s="1349" t="s">
        <v>4348</v>
      </c>
      <c r="E556" s="1349"/>
      <c r="F556" s="1349"/>
      <c r="G556" s="1350"/>
      <c r="H556" s="1351"/>
      <c r="I556" s="1352"/>
      <c r="J556" s="1353"/>
      <c r="K556" s="1354"/>
    </row>
    <row r="557" spans="2:11">
      <c r="B557" s="1355">
        <v>1</v>
      </c>
      <c r="C557" s="1218"/>
      <c r="D557" s="1214" t="str">
        <f>C545</f>
        <v>Led DOWNLIGHT RECESSED  12W, 6500K</v>
      </c>
      <c r="E557" s="1214"/>
      <c r="F557" s="1214"/>
      <c r="G557" s="1297"/>
      <c r="H557" s="1220" t="s">
        <v>87</v>
      </c>
      <c r="I557" s="1221">
        <v>1</v>
      </c>
      <c r="J557" s="1222">
        <f>'HARGA ME'!D59</f>
        <v>0</v>
      </c>
      <c r="K557" s="1298">
        <f>J557*I557</f>
        <v>0</v>
      </c>
    </row>
    <row r="558" spans="2:11" ht="13">
      <c r="B558" s="1341"/>
      <c r="C558" s="1342"/>
      <c r="D558" s="1342"/>
      <c r="E558" s="1343"/>
      <c r="F558" s="1343"/>
      <c r="G558" s="1343"/>
      <c r="H558" s="1342"/>
      <c r="I558" s="1344" t="s">
        <v>4360</v>
      </c>
      <c r="J558" s="1357"/>
      <c r="K558" s="1358">
        <f>SUM(K557:K557)</f>
        <v>0</v>
      </c>
    </row>
    <row r="559" spans="2:11" ht="13">
      <c r="B559" s="1359" t="s">
        <v>65</v>
      </c>
      <c r="C559" s="1360"/>
      <c r="D559" s="1349" t="s">
        <v>1939</v>
      </c>
      <c r="E559" s="1349"/>
      <c r="F559" s="1349"/>
      <c r="G559" s="1361"/>
      <c r="H559" s="1362"/>
      <c r="I559" s="1363"/>
      <c r="J559" s="1364"/>
      <c r="K559" s="1365"/>
    </row>
    <row r="560" spans="2:11" ht="13">
      <c r="B560" s="1366"/>
      <c r="C560" s="1367"/>
      <c r="D560" s="1368"/>
      <c r="E560" s="1246"/>
      <c r="F560" s="1246"/>
      <c r="G560" s="1369"/>
      <c r="H560" s="1229"/>
      <c r="I560" s="1370"/>
      <c r="J560" s="1371"/>
      <c r="K560" s="1298"/>
    </row>
    <row r="561" spans="2:11" ht="13">
      <c r="B561" s="1341"/>
      <c r="C561" s="1342"/>
      <c r="D561" s="1342"/>
      <c r="E561" s="1343"/>
      <c r="F561" s="1343"/>
      <c r="G561" s="1343"/>
      <c r="H561" s="1342"/>
      <c r="I561" s="1344" t="s">
        <v>4362</v>
      </c>
      <c r="J561" s="1357"/>
      <c r="K561" s="1358">
        <f>K560</f>
        <v>0</v>
      </c>
    </row>
    <row r="562" spans="2:11" ht="13">
      <c r="B562" s="1236" t="s">
        <v>68</v>
      </c>
      <c r="C562" s="1237"/>
      <c r="D562" s="1204" t="s">
        <v>4363</v>
      </c>
      <c r="E562" s="1205"/>
      <c r="F562" s="1238"/>
      <c r="G562" s="1238"/>
      <c r="H562" s="1239"/>
      <c r="I562" s="1240"/>
      <c r="J562" s="1241"/>
      <c r="K562" s="1242">
        <f>K555+K558+K561</f>
        <v>0</v>
      </c>
    </row>
    <row r="563" spans="2:11" ht="13">
      <c r="B563" s="1236" t="s">
        <v>70</v>
      </c>
      <c r="C563" s="1237"/>
      <c r="D563" s="1326" t="s">
        <v>4364</v>
      </c>
      <c r="E563" s="1314"/>
      <c r="F563" s="1314"/>
      <c r="G563" s="1314"/>
      <c r="H563" s="1328"/>
      <c r="I563" s="1372">
        <f>$K$4</f>
        <v>0.1</v>
      </c>
      <c r="J563" s="1372"/>
      <c r="K563" s="1330">
        <f>K562*I563</f>
        <v>0</v>
      </c>
    </row>
    <row r="564" spans="2:11" ht="13">
      <c r="B564" s="1243" t="s">
        <v>71</v>
      </c>
      <c r="C564" s="1244"/>
      <c r="D564" s="1245" t="s">
        <v>4340</v>
      </c>
      <c r="E564" s="1246"/>
      <c r="F564" s="1246"/>
      <c r="G564" s="1246"/>
      <c r="H564" s="1247"/>
      <c r="I564" s="1248"/>
      <c r="J564" s="1249"/>
      <c r="K564" s="1250">
        <v>0</v>
      </c>
    </row>
    <row r="565" spans="2:11" ht="13">
      <c r="B565" s="1251"/>
      <c r="C565" s="1036"/>
      <c r="D565" s="1184"/>
      <c r="E565" s="1252"/>
      <c r="F565" s="1252"/>
      <c r="G565" s="1252"/>
      <c r="H565" s="1036"/>
      <c r="I565" s="1253"/>
      <c r="J565" s="1254"/>
      <c r="K565" s="1255"/>
    </row>
    <row r="566" spans="2:11" ht="13">
      <c r="B566" s="1031"/>
      <c r="C566" s="1184" t="str">
        <f>'HARGA ME'!B60</f>
        <v>Led DOWNLIGHT RECESSED  7W, 6500K</v>
      </c>
      <c r="D566" s="1185"/>
      <c r="E566" s="1185"/>
      <c r="F566" s="1185"/>
      <c r="G566" s="1185"/>
      <c r="H566" s="1185"/>
      <c r="I566" s="1185"/>
      <c r="J566" s="1185"/>
      <c r="K566" s="1185"/>
    </row>
    <row r="567" spans="2:11" ht="13">
      <c r="B567" s="1687" t="s">
        <v>3235</v>
      </c>
      <c r="C567" s="1690" t="s">
        <v>4288</v>
      </c>
      <c r="D567" s="1691"/>
      <c r="E567" s="1691"/>
      <c r="F567" s="1691"/>
      <c r="G567" s="1186"/>
      <c r="H567" s="1696" t="s">
        <v>4289</v>
      </c>
      <c r="I567" s="1696" t="s">
        <v>4290</v>
      </c>
      <c r="J567" s="1035" t="s">
        <v>1955</v>
      </c>
      <c r="K567" s="1035"/>
    </row>
    <row r="568" spans="2:11" ht="13">
      <c r="B568" s="1688"/>
      <c r="C568" s="1692"/>
      <c r="D568" s="1693"/>
      <c r="E568" s="1693"/>
      <c r="F568" s="1693"/>
      <c r="G568" s="1187" t="s">
        <v>4291</v>
      </c>
      <c r="H568" s="1697"/>
      <c r="I568" s="1697"/>
      <c r="J568" s="1037" t="s">
        <v>1954</v>
      </c>
      <c r="K568" s="1037" t="s">
        <v>3239</v>
      </c>
    </row>
    <row r="569" spans="2:11" ht="13">
      <c r="B569" s="1689"/>
      <c r="C569" s="1694"/>
      <c r="D569" s="1695"/>
      <c r="E569" s="1695"/>
      <c r="F569" s="1695"/>
      <c r="G569" s="1188"/>
      <c r="H569" s="1698"/>
      <c r="I569" s="1698"/>
      <c r="J569" s="1038" t="s">
        <v>4292</v>
      </c>
      <c r="K569" s="1038" t="s">
        <v>4292</v>
      </c>
    </row>
    <row r="570" spans="2:11" ht="13">
      <c r="B570" s="1260">
        <v>1</v>
      </c>
      <c r="C570" s="1699">
        <v>2</v>
      </c>
      <c r="D570" s="1700"/>
      <c r="E570" s="1700"/>
      <c r="F570" s="1700"/>
      <c r="G570" s="1261">
        <v>3</v>
      </c>
      <c r="H570" s="1262">
        <v>4</v>
      </c>
      <c r="I570" s="1263">
        <v>5</v>
      </c>
      <c r="J570" s="1262">
        <v>6</v>
      </c>
      <c r="K570" s="1262">
        <f>J570+1</f>
        <v>7</v>
      </c>
    </row>
    <row r="571" spans="2:11">
      <c r="B571" s="1196"/>
      <c r="C571" s="1185"/>
      <c r="D571" s="1185"/>
      <c r="E571" s="1338"/>
      <c r="F571" s="1338"/>
      <c r="G571" s="1199"/>
      <c r="H571" s="1200"/>
      <c r="I571" s="1201"/>
      <c r="J571" s="1201"/>
      <c r="K571" s="1202"/>
    </row>
    <row r="572" spans="2:11" ht="13">
      <c r="B572" s="1193" t="s">
        <v>45</v>
      </c>
      <c r="C572" s="1203"/>
      <c r="D572" s="1339" t="s">
        <v>4345</v>
      </c>
      <c r="E572" s="1339"/>
      <c r="F572" s="1339"/>
      <c r="G572" s="1206"/>
      <c r="H572" s="1207"/>
      <c r="I572" s="1208"/>
      <c r="J572" s="1209"/>
      <c r="K572" s="1210"/>
    </row>
    <row r="573" spans="2:11">
      <c r="B573" s="1211">
        <v>1</v>
      </c>
      <c r="C573" s="1212"/>
      <c r="D573" s="1340" t="s">
        <v>47</v>
      </c>
      <c r="E573" s="1340"/>
      <c r="F573" s="1340"/>
      <c r="G573" s="1215" t="s">
        <v>4326</v>
      </c>
      <c r="H573" s="1215" t="s">
        <v>48</v>
      </c>
      <c r="I573" s="1216">
        <v>0.05</v>
      </c>
      <c r="J573" s="1168">
        <f>J531</f>
        <v>0</v>
      </c>
      <c r="K573" s="1217">
        <f>J573*I573</f>
        <v>0</v>
      </c>
    </row>
    <row r="574" spans="2:11">
      <c r="B574" s="1211">
        <v>2</v>
      </c>
      <c r="C574" s="1218"/>
      <c r="D574" s="1340" t="s">
        <v>4346</v>
      </c>
      <c r="E574" s="1340"/>
      <c r="F574" s="1340"/>
      <c r="G574" s="1215" t="s">
        <v>4326</v>
      </c>
      <c r="H574" s="1215" t="s">
        <v>48</v>
      </c>
      <c r="I574" s="1216">
        <v>0.1</v>
      </c>
      <c r="J574" s="1168">
        <f>J532</f>
        <v>0</v>
      </c>
      <c r="K574" s="1217">
        <f>J574*I574</f>
        <v>0</v>
      </c>
    </row>
    <row r="575" spans="2:11">
      <c r="B575" s="1211"/>
      <c r="C575" s="1218"/>
      <c r="D575" s="1340"/>
      <c r="E575" s="1340"/>
      <c r="F575" s="1340"/>
      <c r="G575" s="1215"/>
      <c r="H575" s="1215"/>
      <c r="I575" s="1216"/>
      <c r="J575" s="1168"/>
      <c r="K575" s="1217"/>
    </row>
    <row r="576" spans="2:11" ht="13">
      <c r="B576" s="1341"/>
      <c r="C576" s="1342"/>
      <c r="D576" s="1342"/>
      <c r="E576" s="1343"/>
      <c r="F576" s="1343"/>
      <c r="G576" s="1343"/>
      <c r="H576" s="1342"/>
      <c r="I576" s="1344" t="s">
        <v>4347</v>
      </c>
      <c r="J576" s="1345"/>
      <c r="K576" s="1346">
        <f>SUM(K573:K575)</f>
        <v>0</v>
      </c>
    </row>
    <row r="577" spans="2:11" ht="13">
      <c r="B577" s="1347" t="s">
        <v>53</v>
      </c>
      <c r="C577" s="1348"/>
      <c r="D577" s="1349" t="s">
        <v>4348</v>
      </c>
      <c r="E577" s="1349"/>
      <c r="F577" s="1349"/>
      <c r="G577" s="1350"/>
      <c r="H577" s="1351"/>
      <c r="I577" s="1352"/>
      <c r="J577" s="1353"/>
      <c r="K577" s="1354"/>
    </row>
    <row r="578" spans="2:11">
      <c r="B578" s="1355">
        <v>1</v>
      </c>
      <c r="C578" s="1218"/>
      <c r="D578" s="1214" t="str">
        <f>C566</f>
        <v>Led DOWNLIGHT RECESSED  7W, 6500K</v>
      </c>
      <c r="E578" s="1214"/>
      <c r="F578" s="1214"/>
      <c r="G578" s="1297"/>
      <c r="H578" s="1220" t="s">
        <v>87</v>
      </c>
      <c r="I578" s="1221">
        <v>1</v>
      </c>
      <c r="J578" s="1222">
        <f>'HARGA ME'!D60</f>
        <v>0</v>
      </c>
      <c r="K578" s="1298">
        <f>J578*I578</f>
        <v>0</v>
      </c>
    </row>
    <row r="579" spans="2:11" ht="13">
      <c r="B579" s="1341"/>
      <c r="C579" s="1342"/>
      <c r="D579" s="1342"/>
      <c r="E579" s="1343"/>
      <c r="F579" s="1343"/>
      <c r="G579" s="1343"/>
      <c r="H579" s="1342"/>
      <c r="I579" s="1344" t="s">
        <v>4360</v>
      </c>
      <c r="J579" s="1357"/>
      <c r="K579" s="1358">
        <f>SUM(K578:K578)</f>
        <v>0</v>
      </c>
    </row>
    <row r="580" spans="2:11" ht="13">
      <c r="B580" s="1359" t="s">
        <v>65</v>
      </c>
      <c r="C580" s="1360"/>
      <c r="D580" s="1349" t="s">
        <v>1939</v>
      </c>
      <c r="E580" s="1349"/>
      <c r="F580" s="1349"/>
      <c r="G580" s="1361"/>
      <c r="H580" s="1362"/>
      <c r="I580" s="1363"/>
      <c r="J580" s="1364"/>
      <c r="K580" s="1365"/>
    </row>
    <row r="581" spans="2:11" ht="13">
      <c r="B581" s="1366"/>
      <c r="C581" s="1367"/>
      <c r="D581" s="1368"/>
      <c r="E581" s="1246"/>
      <c r="F581" s="1246"/>
      <c r="G581" s="1369"/>
      <c r="H581" s="1229"/>
      <c r="I581" s="1370"/>
      <c r="J581" s="1371"/>
      <c r="K581" s="1298"/>
    </row>
    <row r="582" spans="2:11" ht="13">
      <c r="B582" s="1341"/>
      <c r="C582" s="1342"/>
      <c r="D582" s="1342"/>
      <c r="E582" s="1343"/>
      <c r="F582" s="1343"/>
      <c r="G582" s="1343"/>
      <c r="H582" s="1342"/>
      <c r="I582" s="1344" t="s">
        <v>4362</v>
      </c>
      <c r="J582" s="1357"/>
      <c r="K582" s="1358">
        <f>K581</f>
        <v>0</v>
      </c>
    </row>
    <row r="583" spans="2:11" ht="13">
      <c r="B583" s="1236" t="s">
        <v>68</v>
      </c>
      <c r="C583" s="1237"/>
      <c r="D583" s="1204" t="s">
        <v>4363</v>
      </c>
      <c r="E583" s="1205"/>
      <c r="F583" s="1238"/>
      <c r="G583" s="1238"/>
      <c r="H583" s="1239"/>
      <c r="I583" s="1240"/>
      <c r="J583" s="1241"/>
      <c r="K583" s="1242">
        <f>K576+K579+K582</f>
        <v>0</v>
      </c>
    </row>
    <row r="584" spans="2:11" ht="13">
      <c r="B584" s="1236" t="s">
        <v>70</v>
      </c>
      <c r="C584" s="1237"/>
      <c r="D584" s="1326" t="s">
        <v>4364</v>
      </c>
      <c r="E584" s="1314"/>
      <c r="F584" s="1314"/>
      <c r="G584" s="1314"/>
      <c r="H584" s="1328"/>
      <c r="I584" s="1372">
        <f>$K$4</f>
        <v>0.1</v>
      </c>
      <c r="J584" s="1372"/>
      <c r="K584" s="1330">
        <f>K583*I584</f>
        <v>0</v>
      </c>
    </row>
    <row r="585" spans="2:11" ht="13">
      <c r="B585" s="1243" t="s">
        <v>71</v>
      </c>
      <c r="C585" s="1244"/>
      <c r="D585" s="1245" t="s">
        <v>4340</v>
      </c>
      <c r="E585" s="1246"/>
      <c r="F585" s="1246"/>
      <c r="G585" s="1246"/>
      <c r="H585" s="1247"/>
      <c r="I585" s="1248"/>
      <c r="J585" s="1249"/>
      <c r="K585" s="1250">
        <v>0</v>
      </c>
    </row>
    <row r="586" spans="2:11" ht="13">
      <c r="B586" s="1251"/>
      <c r="C586" s="1036"/>
      <c r="D586" s="1184"/>
      <c r="E586" s="1252"/>
      <c r="F586" s="1252"/>
      <c r="G586" s="1252"/>
      <c r="H586" s="1036"/>
      <c r="I586" s="1253"/>
      <c r="J586" s="1254"/>
      <c r="K586" s="1255"/>
    </row>
    <row r="587" spans="2:11" ht="13">
      <c r="B587" s="1031"/>
      <c r="C587" s="1184" t="str">
        <f>'HARGA ME'!B57</f>
        <v>Lampu led, T8-1x10W-L600mm-3300K</v>
      </c>
      <c r="D587" s="1185"/>
      <c r="E587" s="1185"/>
      <c r="F587" s="1185"/>
      <c r="G587" s="1185"/>
      <c r="H587" s="1185"/>
      <c r="I587" s="1185"/>
      <c r="J587" s="1185"/>
      <c r="K587" s="1185"/>
    </row>
    <row r="588" spans="2:11" ht="13">
      <c r="B588" s="1687" t="s">
        <v>3235</v>
      </c>
      <c r="C588" s="1690" t="s">
        <v>4288</v>
      </c>
      <c r="D588" s="1691"/>
      <c r="E588" s="1691"/>
      <c r="F588" s="1691"/>
      <c r="G588" s="1186"/>
      <c r="H588" s="1696" t="s">
        <v>4289</v>
      </c>
      <c r="I588" s="1696" t="s">
        <v>4290</v>
      </c>
      <c r="J588" s="1035" t="s">
        <v>1955</v>
      </c>
      <c r="K588" s="1035"/>
    </row>
    <row r="589" spans="2:11" ht="13">
      <c r="B589" s="1688"/>
      <c r="C589" s="1692"/>
      <c r="D589" s="1693"/>
      <c r="E589" s="1693"/>
      <c r="F589" s="1693"/>
      <c r="G589" s="1187" t="s">
        <v>4291</v>
      </c>
      <c r="H589" s="1697"/>
      <c r="I589" s="1697"/>
      <c r="J589" s="1037" t="s">
        <v>1954</v>
      </c>
      <c r="K589" s="1037" t="s">
        <v>3239</v>
      </c>
    </row>
    <row r="590" spans="2:11" ht="13">
      <c r="B590" s="1689"/>
      <c r="C590" s="1694"/>
      <c r="D590" s="1695"/>
      <c r="E590" s="1695"/>
      <c r="F590" s="1695"/>
      <c r="G590" s="1188"/>
      <c r="H590" s="1698"/>
      <c r="I590" s="1698"/>
      <c r="J590" s="1038" t="s">
        <v>4292</v>
      </c>
      <c r="K590" s="1038" t="s">
        <v>4292</v>
      </c>
    </row>
    <row r="591" spans="2:11" ht="13">
      <c r="B591" s="1260">
        <v>1</v>
      </c>
      <c r="C591" s="1699">
        <v>2</v>
      </c>
      <c r="D591" s="1700"/>
      <c r="E591" s="1700"/>
      <c r="F591" s="1700"/>
      <c r="G591" s="1261">
        <v>3</v>
      </c>
      <c r="H591" s="1262">
        <v>4</v>
      </c>
      <c r="I591" s="1263">
        <v>5</v>
      </c>
      <c r="J591" s="1262">
        <v>6</v>
      </c>
      <c r="K591" s="1262">
        <f>J591+1</f>
        <v>7</v>
      </c>
    </row>
    <row r="592" spans="2:11">
      <c r="B592" s="1196"/>
      <c r="C592" s="1185"/>
      <c r="D592" s="1185"/>
      <c r="E592" s="1338"/>
      <c r="F592" s="1338"/>
      <c r="G592" s="1199"/>
      <c r="H592" s="1200"/>
      <c r="I592" s="1201"/>
      <c r="J592" s="1201"/>
      <c r="K592" s="1202"/>
    </row>
    <row r="593" spans="2:11" ht="13">
      <c r="B593" s="1193" t="s">
        <v>45</v>
      </c>
      <c r="C593" s="1203"/>
      <c r="D593" s="1339" t="s">
        <v>4345</v>
      </c>
      <c r="E593" s="1339"/>
      <c r="F593" s="1339"/>
      <c r="G593" s="1206"/>
      <c r="H593" s="1207"/>
      <c r="I593" s="1208"/>
      <c r="J593" s="1209"/>
      <c r="K593" s="1210"/>
    </row>
    <row r="594" spans="2:11">
      <c r="B594" s="1211">
        <v>1</v>
      </c>
      <c r="C594" s="1212"/>
      <c r="D594" s="1340" t="s">
        <v>47</v>
      </c>
      <c r="E594" s="1340"/>
      <c r="F594" s="1340"/>
      <c r="G594" s="1215" t="s">
        <v>4326</v>
      </c>
      <c r="H594" s="1215" t="s">
        <v>48</v>
      </c>
      <c r="I594" s="1216">
        <v>0.05</v>
      </c>
      <c r="J594" s="1168">
        <f>J552</f>
        <v>0</v>
      </c>
      <c r="K594" s="1217">
        <f>J594*I594</f>
        <v>0</v>
      </c>
    </row>
    <row r="595" spans="2:11">
      <c r="B595" s="1211">
        <v>2</v>
      </c>
      <c r="C595" s="1218"/>
      <c r="D595" s="1340" t="s">
        <v>4346</v>
      </c>
      <c r="E595" s="1340"/>
      <c r="F595" s="1340"/>
      <c r="G595" s="1215" t="s">
        <v>4326</v>
      </c>
      <c r="H595" s="1215" t="s">
        <v>48</v>
      </c>
      <c r="I595" s="1216">
        <v>0.1</v>
      </c>
      <c r="J595" s="1168">
        <f>J553</f>
        <v>0</v>
      </c>
      <c r="K595" s="1217">
        <f>J595*I595</f>
        <v>0</v>
      </c>
    </row>
    <row r="596" spans="2:11">
      <c r="B596" s="1211"/>
      <c r="C596" s="1218"/>
      <c r="D596" s="1340"/>
      <c r="E596" s="1340"/>
      <c r="F596" s="1340"/>
      <c r="G596" s="1215"/>
      <c r="H596" s="1215"/>
      <c r="I596" s="1216"/>
      <c r="J596" s="1168"/>
      <c r="K596" s="1217"/>
    </row>
    <row r="597" spans="2:11" ht="13">
      <c r="B597" s="1341"/>
      <c r="C597" s="1342"/>
      <c r="D597" s="1342"/>
      <c r="E597" s="1343"/>
      <c r="F597" s="1343"/>
      <c r="G597" s="1343"/>
      <c r="H597" s="1342"/>
      <c r="I597" s="1344" t="s">
        <v>4347</v>
      </c>
      <c r="J597" s="1345"/>
      <c r="K597" s="1346">
        <f>SUM(K594:K596)</f>
        <v>0</v>
      </c>
    </row>
    <row r="598" spans="2:11" ht="13">
      <c r="B598" s="1347" t="s">
        <v>53</v>
      </c>
      <c r="C598" s="1348"/>
      <c r="D598" s="1349" t="s">
        <v>4348</v>
      </c>
      <c r="E598" s="1349"/>
      <c r="F598" s="1349"/>
      <c r="G598" s="1350"/>
      <c r="H598" s="1351"/>
      <c r="I598" s="1352"/>
      <c r="J598" s="1353"/>
      <c r="K598" s="1354"/>
    </row>
    <row r="599" spans="2:11">
      <c r="B599" s="1355">
        <v>1</v>
      </c>
      <c r="C599" s="1218"/>
      <c r="D599" s="1214" t="str">
        <f>C587</f>
        <v>Lampu led, T8-1x10W-L600mm-3300K</v>
      </c>
      <c r="E599" s="1214"/>
      <c r="F599" s="1214"/>
      <c r="G599" s="1297"/>
      <c r="H599" s="1220" t="s">
        <v>87</v>
      </c>
      <c r="I599" s="1221">
        <v>1</v>
      </c>
      <c r="J599" s="1222">
        <f>'HARGA ME'!D57</f>
        <v>0</v>
      </c>
      <c r="K599" s="1298">
        <f>J599*I599</f>
        <v>0</v>
      </c>
    </row>
    <row r="600" spans="2:11" ht="13">
      <c r="B600" s="1341"/>
      <c r="C600" s="1342"/>
      <c r="D600" s="1342"/>
      <c r="E600" s="1343"/>
      <c r="F600" s="1343"/>
      <c r="G600" s="1343"/>
      <c r="H600" s="1342"/>
      <c r="I600" s="1344" t="s">
        <v>4360</v>
      </c>
      <c r="J600" s="1357"/>
      <c r="K600" s="1358">
        <f>SUM(K599:K599)</f>
        <v>0</v>
      </c>
    </row>
    <row r="601" spans="2:11" ht="13">
      <c r="B601" s="1359" t="s">
        <v>65</v>
      </c>
      <c r="C601" s="1360"/>
      <c r="D601" s="1349" t="s">
        <v>1939</v>
      </c>
      <c r="E601" s="1349"/>
      <c r="F601" s="1349"/>
      <c r="G601" s="1361"/>
      <c r="H601" s="1362"/>
      <c r="I601" s="1363"/>
      <c r="J601" s="1364"/>
      <c r="K601" s="1365"/>
    </row>
    <row r="602" spans="2:11" ht="13">
      <c r="B602" s="1366"/>
      <c r="C602" s="1367"/>
      <c r="D602" s="1368"/>
      <c r="E602" s="1246"/>
      <c r="F602" s="1246"/>
      <c r="G602" s="1369"/>
      <c r="H602" s="1229"/>
      <c r="I602" s="1370"/>
      <c r="J602" s="1371"/>
      <c r="K602" s="1298"/>
    </row>
    <row r="603" spans="2:11" ht="13">
      <c r="B603" s="1341"/>
      <c r="C603" s="1342"/>
      <c r="D603" s="1342"/>
      <c r="E603" s="1343"/>
      <c r="F603" s="1343"/>
      <c r="G603" s="1343"/>
      <c r="H603" s="1342"/>
      <c r="I603" s="1344" t="s">
        <v>4362</v>
      </c>
      <c r="J603" s="1357"/>
      <c r="K603" s="1358">
        <f>K602</f>
        <v>0</v>
      </c>
    </row>
    <row r="604" spans="2:11" ht="13">
      <c r="B604" s="1236" t="s">
        <v>68</v>
      </c>
      <c r="C604" s="1237"/>
      <c r="D604" s="1204" t="s">
        <v>4363</v>
      </c>
      <c r="E604" s="1205"/>
      <c r="F604" s="1238"/>
      <c r="G604" s="1238"/>
      <c r="H604" s="1239"/>
      <c r="I604" s="1240"/>
      <c r="J604" s="1241"/>
      <c r="K604" s="1242">
        <f>K597+K600+K603</f>
        <v>0</v>
      </c>
    </row>
    <row r="605" spans="2:11" ht="13">
      <c r="B605" s="1236" t="s">
        <v>70</v>
      </c>
      <c r="C605" s="1237"/>
      <c r="D605" s="1326" t="s">
        <v>4364</v>
      </c>
      <c r="E605" s="1314"/>
      <c r="F605" s="1314"/>
      <c r="G605" s="1314"/>
      <c r="H605" s="1328"/>
      <c r="I605" s="1372">
        <f>$K$4</f>
        <v>0.1</v>
      </c>
      <c r="J605" s="1372"/>
      <c r="K605" s="1330">
        <f>K604*I605</f>
        <v>0</v>
      </c>
    </row>
    <row r="606" spans="2:11" ht="13">
      <c r="B606" s="1243" t="s">
        <v>71</v>
      </c>
      <c r="C606" s="1244"/>
      <c r="D606" s="1245" t="s">
        <v>4340</v>
      </c>
      <c r="E606" s="1246"/>
      <c r="F606" s="1246"/>
      <c r="G606" s="1246"/>
      <c r="H606" s="1247"/>
      <c r="I606" s="1248"/>
      <c r="J606" s="1249"/>
      <c r="K606" s="1250">
        <v>0</v>
      </c>
    </row>
    <row r="607" spans="2:11" ht="13">
      <c r="B607" s="1251"/>
      <c r="C607" s="1036"/>
      <c r="D607" s="1184"/>
      <c r="E607" s="1252"/>
      <c r="F607" s="1252"/>
      <c r="G607" s="1252"/>
      <c r="H607" s="1036"/>
      <c r="I607" s="1253"/>
      <c r="J607" s="1254"/>
      <c r="K607" s="1255"/>
    </row>
    <row r="608" spans="2:11" ht="13">
      <c r="B608" s="1031"/>
      <c r="C608" s="1184" t="str">
        <f>'HARGA ME'!B56</f>
        <v>Lampu LED- T8, 1x20W-1200mm - 6500K - 1900lm</v>
      </c>
      <c r="D608" s="1185"/>
      <c r="E608" s="1185"/>
      <c r="F608" s="1185"/>
      <c r="G608" s="1185"/>
      <c r="H608" s="1185"/>
      <c r="I608" s="1185"/>
      <c r="J608" s="1185"/>
      <c r="K608" s="1185"/>
    </row>
    <row r="609" spans="2:11" ht="13">
      <c r="B609" s="1687" t="s">
        <v>3235</v>
      </c>
      <c r="C609" s="1690" t="s">
        <v>4288</v>
      </c>
      <c r="D609" s="1691"/>
      <c r="E609" s="1691"/>
      <c r="F609" s="1691"/>
      <c r="G609" s="1186"/>
      <c r="H609" s="1696" t="s">
        <v>4289</v>
      </c>
      <c r="I609" s="1696" t="s">
        <v>4290</v>
      </c>
      <c r="J609" s="1035" t="s">
        <v>1955</v>
      </c>
      <c r="K609" s="1035"/>
    </row>
    <row r="610" spans="2:11" ht="13">
      <c r="B610" s="1688"/>
      <c r="C610" s="1692"/>
      <c r="D610" s="1693"/>
      <c r="E610" s="1693"/>
      <c r="F610" s="1693"/>
      <c r="G610" s="1187" t="s">
        <v>4291</v>
      </c>
      <c r="H610" s="1697"/>
      <c r="I610" s="1697"/>
      <c r="J610" s="1037" t="s">
        <v>1954</v>
      </c>
      <c r="K610" s="1037" t="s">
        <v>3239</v>
      </c>
    </row>
    <row r="611" spans="2:11" ht="13">
      <c r="B611" s="1689"/>
      <c r="C611" s="1694"/>
      <c r="D611" s="1695"/>
      <c r="E611" s="1695"/>
      <c r="F611" s="1695"/>
      <c r="G611" s="1188"/>
      <c r="H611" s="1698"/>
      <c r="I611" s="1698"/>
      <c r="J611" s="1038" t="s">
        <v>4292</v>
      </c>
      <c r="K611" s="1038" t="s">
        <v>4292</v>
      </c>
    </row>
    <row r="612" spans="2:11" ht="13">
      <c r="B612" s="1260">
        <v>1</v>
      </c>
      <c r="C612" s="1699">
        <v>2</v>
      </c>
      <c r="D612" s="1700"/>
      <c r="E612" s="1700"/>
      <c r="F612" s="1700"/>
      <c r="G612" s="1261">
        <v>3</v>
      </c>
      <c r="H612" s="1262">
        <v>4</v>
      </c>
      <c r="I612" s="1263">
        <v>5</v>
      </c>
      <c r="J612" s="1262">
        <v>6</v>
      </c>
      <c r="K612" s="1262">
        <f>J612+1</f>
        <v>7</v>
      </c>
    </row>
    <row r="613" spans="2:11">
      <c r="B613" s="1196"/>
      <c r="C613" s="1185"/>
      <c r="D613" s="1185"/>
      <c r="E613" s="1338"/>
      <c r="F613" s="1338"/>
      <c r="G613" s="1199"/>
      <c r="H613" s="1200"/>
      <c r="I613" s="1201"/>
      <c r="J613" s="1201"/>
      <c r="K613" s="1202"/>
    </row>
    <row r="614" spans="2:11" ht="13">
      <c r="B614" s="1193" t="s">
        <v>45</v>
      </c>
      <c r="C614" s="1203"/>
      <c r="D614" s="1339" t="s">
        <v>4345</v>
      </c>
      <c r="E614" s="1339"/>
      <c r="F614" s="1339"/>
      <c r="G614" s="1206"/>
      <c r="H614" s="1207"/>
      <c r="I614" s="1208"/>
      <c r="J614" s="1209"/>
      <c r="K614" s="1210"/>
    </row>
    <row r="615" spans="2:11">
      <c r="B615" s="1211">
        <v>1</v>
      </c>
      <c r="C615" s="1212"/>
      <c r="D615" s="1340" t="s">
        <v>47</v>
      </c>
      <c r="E615" s="1340"/>
      <c r="F615" s="1340"/>
      <c r="G615" s="1215" t="s">
        <v>4326</v>
      </c>
      <c r="H615" s="1215" t="s">
        <v>48</v>
      </c>
      <c r="I615" s="1216">
        <f>I594</f>
        <v>0.05</v>
      </c>
      <c r="J615" s="1168">
        <f>J573</f>
        <v>0</v>
      </c>
      <c r="K615" s="1217">
        <f>J615*I615</f>
        <v>0</v>
      </c>
    </row>
    <row r="616" spans="2:11">
      <c r="B616" s="1211">
        <v>2</v>
      </c>
      <c r="C616" s="1218"/>
      <c r="D616" s="1340" t="s">
        <v>4346</v>
      </c>
      <c r="E616" s="1340"/>
      <c r="F616" s="1340"/>
      <c r="G616" s="1215" t="s">
        <v>4326</v>
      </c>
      <c r="H616" s="1215" t="s">
        <v>48</v>
      </c>
      <c r="I616" s="1216">
        <v>0.1</v>
      </c>
      <c r="J616" s="1168">
        <f>J574</f>
        <v>0</v>
      </c>
      <c r="K616" s="1217">
        <f>J616*I616</f>
        <v>0</v>
      </c>
    </row>
    <row r="617" spans="2:11">
      <c r="B617" s="1211"/>
      <c r="C617" s="1218"/>
      <c r="D617" s="1340"/>
      <c r="E617" s="1340"/>
      <c r="F617" s="1340"/>
      <c r="G617" s="1215"/>
      <c r="H617" s="1215"/>
      <c r="I617" s="1216"/>
      <c r="J617" s="1168"/>
      <c r="K617" s="1217"/>
    </row>
    <row r="618" spans="2:11" ht="13">
      <c r="B618" s="1341"/>
      <c r="C618" s="1342"/>
      <c r="D618" s="1342"/>
      <c r="E618" s="1343"/>
      <c r="F618" s="1343"/>
      <c r="G618" s="1343"/>
      <c r="H618" s="1342"/>
      <c r="I618" s="1344" t="s">
        <v>4347</v>
      </c>
      <c r="J618" s="1345"/>
      <c r="K618" s="1346">
        <f>SUM(K615:K617)</f>
        <v>0</v>
      </c>
    </row>
    <row r="619" spans="2:11" ht="13">
      <c r="B619" s="1347" t="s">
        <v>53</v>
      </c>
      <c r="C619" s="1348"/>
      <c r="D619" s="1349" t="s">
        <v>4348</v>
      </c>
      <c r="E619" s="1349"/>
      <c r="F619" s="1349"/>
      <c r="G619" s="1350"/>
      <c r="H619" s="1351"/>
      <c r="I619" s="1352"/>
      <c r="J619" s="1353"/>
      <c r="K619" s="1354"/>
    </row>
    <row r="620" spans="2:11">
      <c r="B620" s="1355">
        <v>1</v>
      </c>
      <c r="C620" s="1218"/>
      <c r="D620" s="1214" t="str">
        <f>C608</f>
        <v>Lampu LED- T8, 1x20W-1200mm - 6500K - 1900lm</v>
      </c>
      <c r="E620" s="1214"/>
      <c r="F620" s="1214"/>
      <c r="G620" s="1297"/>
      <c r="H620" s="1220" t="s">
        <v>87</v>
      </c>
      <c r="I620" s="1221">
        <v>1</v>
      </c>
      <c r="J620" s="1222">
        <f>'HARGA ME'!D56</f>
        <v>0</v>
      </c>
      <c r="K620" s="1298">
        <f>J620*I620</f>
        <v>0</v>
      </c>
    </row>
    <row r="621" spans="2:11" ht="13">
      <c r="B621" s="1341"/>
      <c r="C621" s="1342"/>
      <c r="D621" s="1342"/>
      <c r="E621" s="1343"/>
      <c r="F621" s="1343"/>
      <c r="G621" s="1343"/>
      <c r="H621" s="1342"/>
      <c r="I621" s="1344" t="s">
        <v>4360</v>
      </c>
      <c r="J621" s="1357"/>
      <c r="K621" s="1358">
        <f>SUM(K620:K620)</f>
        <v>0</v>
      </c>
    </row>
    <row r="622" spans="2:11" ht="13">
      <c r="B622" s="1359" t="s">
        <v>65</v>
      </c>
      <c r="C622" s="1360"/>
      <c r="D622" s="1349" t="s">
        <v>1939</v>
      </c>
      <c r="E622" s="1349"/>
      <c r="F622" s="1349"/>
      <c r="G622" s="1361"/>
      <c r="H622" s="1362"/>
      <c r="I622" s="1363"/>
      <c r="J622" s="1364"/>
      <c r="K622" s="1365"/>
    </row>
    <row r="623" spans="2:11" ht="13">
      <c r="B623" s="1366"/>
      <c r="C623" s="1367"/>
      <c r="D623" s="1368"/>
      <c r="E623" s="1246"/>
      <c r="F623" s="1246"/>
      <c r="G623" s="1369"/>
      <c r="H623" s="1229"/>
      <c r="I623" s="1370"/>
      <c r="J623" s="1371"/>
      <c r="K623" s="1298"/>
    </row>
    <row r="624" spans="2:11" ht="13">
      <c r="B624" s="1341"/>
      <c r="C624" s="1342"/>
      <c r="D624" s="1342"/>
      <c r="E624" s="1343"/>
      <c r="F624" s="1343"/>
      <c r="G624" s="1343"/>
      <c r="H624" s="1342"/>
      <c r="I624" s="1344" t="s">
        <v>4362</v>
      </c>
      <c r="J624" s="1357"/>
      <c r="K624" s="1358">
        <f>K623</f>
        <v>0</v>
      </c>
    </row>
    <row r="625" spans="2:11" ht="13">
      <c r="B625" s="1236" t="s">
        <v>68</v>
      </c>
      <c r="C625" s="1237"/>
      <c r="D625" s="1204" t="s">
        <v>4363</v>
      </c>
      <c r="E625" s="1205"/>
      <c r="F625" s="1238"/>
      <c r="G625" s="1238"/>
      <c r="H625" s="1239"/>
      <c r="I625" s="1240"/>
      <c r="J625" s="1241"/>
      <c r="K625" s="1242">
        <f>K618+K621+K624</f>
        <v>0</v>
      </c>
    </row>
    <row r="626" spans="2:11" ht="13">
      <c r="B626" s="1236" t="s">
        <v>70</v>
      </c>
      <c r="C626" s="1237"/>
      <c r="D626" s="1326" t="s">
        <v>4364</v>
      </c>
      <c r="E626" s="1314"/>
      <c r="F626" s="1314"/>
      <c r="G626" s="1314"/>
      <c r="H626" s="1328"/>
      <c r="I626" s="1372">
        <f>$K$4</f>
        <v>0.1</v>
      </c>
      <c r="J626" s="1372"/>
      <c r="K626" s="1330">
        <f>K625*I626</f>
        <v>0</v>
      </c>
    </row>
    <row r="627" spans="2:11" ht="13">
      <c r="B627" s="1243" t="s">
        <v>71</v>
      </c>
      <c r="C627" s="1244"/>
      <c r="D627" s="1245" t="s">
        <v>4340</v>
      </c>
      <c r="E627" s="1246"/>
      <c r="F627" s="1246"/>
      <c r="G627" s="1246"/>
      <c r="H627" s="1247"/>
      <c r="I627" s="1248"/>
      <c r="J627" s="1249"/>
      <c r="K627" s="1250">
        <v>0</v>
      </c>
    </row>
    <row r="628" spans="2:11" ht="13">
      <c r="B628" s="1251"/>
      <c r="C628" s="1036"/>
      <c r="D628" s="1184"/>
      <c r="E628" s="1252"/>
      <c r="F628" s="1252"/>
      <c r="G628" s="1252"/>
      <c r="H628" s="1036"/>
      <c r="I628" s="1253"/>
      <c r="J628" s="1254"/>
      <c r="K628" s="1255"/>
    </row>
    <row r="629" spans="2:11" ht="13">
      <c r="B629" s="1031"/>
      <c r="C629" s="1184" t="str">
        <f>'HARGA ME'!B61</f>
        <v>Led strip 6500K</v>
      </c>
      <c r="D629" s="1185"/>
      <c r="E629" s="1185"/>
      <c r="F629" s="1185"/>
      <c r="G629" s="1185"/>
      <c r="H629" s="1185"/>
      <c r="I629" s="1185"/>
      <c r="J629" s="1185"/>
      <c r="K629" s="1185"/>
    </row>
    <row r="630" spans="2:11" ht="13">
      <c r="B630" s="1687" t="s">
        <v>3235</v>
      </c>
      <c r="C630" s="1690" t="s">
        <v>4288</v>
      </c>
      <c r="D630" s="1691"/>
      <c r="E630" s="1691"/>
      <c r="F630" s="1691"/>
      <c r="G630" s="1186"/>
      <c r="H630" s="1696" t="s">
        <v>4289</v>
      </c>
      <c r="I630" s="1696" t="s">
        <v>4290</v>
      </c>
      <c r="J630" s="1035" t="s">
        <v>1955</v>
      </c>
      <c r="K630" s="1035"/>
    </row>
    <row r="631" spans="2:11" ht="13">
      <c r="B631" s="1688"/>
      <c r="C631" s="1692"/>
      <c r="D631" s="1693"/>
      <c r="E631" s="1693"/>
      <c r="F631" s="1693"/>
      <c r="G631" s="1187" t="s">
        <v>4291</v>
      </c>
      <c r="H631" s="1697"/>
      <c r="I631" s="1697"/>
      <c r="J631" s="1037" t="s">
        <v>1954</v>
      </c>
      <c r="K631" s="1037" t="s">
        <v>3239</v>
      </c>
    </row>
    <row r="632" spans="2:11" ht="13">
      <c r="B632" s="1689"/>
      <c r="C632" s="1694"/>
      <c r="D632" s="1695"/>
      <c r="E632" s="1695"/>
      <c r="F632" s="1695"/>
      <c r="G632" s="1188"/>
      <c r="H632" s="1698"/>
      <c r="I632" s="1698"/>
      <c r="J632" s="1038" t="s">
        <v>4292</v>
      </c>
      <c r="K632" s="1038" t="s">
        <v>4292</v>
      </c>
    </row>
    <row r="633" spans="2:11" ht="13">
      <c r="B633" s="1260">
        <v>1</v>
      </c>
      <c r="C633" s="1699">
        <v>2</v>
      </c>
      <c r="D633" s="1700"/>
      <c r="E633" s="1700"/>
      <c r="F633" s="1700"/>
      <c r="G633" s="1261">
        <v>3</v>
      </c>
      <c r="H633" s="1262">
        <v>4</v>
      </c>
      <c r="I633" s="1263">
        <v>5</v>
      </c>
      <c r="J633" s="1262">
        <v>6</v>
      </c>
      <c r="K633" s="1262">
        <f>J633+1</f>
        <v>7</v>
      </c>
    </row>
    <row r="634" spans="2:11">
      <c r="B634" s="1196"/>
      <c r="C634" s="1185"/>
      <c r="D634" s="1185"/>
      <c r="E634" s="1338"/>
      <c r="F634" s="1338"/>
      <c r="G634" s="1199"/>
      <c r="H634" s="1200"/>
      <c r="I634" s="1201"/>
      <c r="J634" s="1201"/>
      <c r="K634" s="1202"/>
    </row>
    <row r="635" spans="2:11" ht="13">
      <c r="B635" s="1193" t="s">
        <v>45</v>
      </c>
      <c r="C635" s="1203"/>
      <c r="D635" s="1339" t="s">
        <v>4345</v>
      </c>
      <c r="E635" s="1339"/>
      <c r="F635" s="1339"/>
      <c r="G635" s="1206"/>
      <c r="H635" s="1207"/>
      <c r="I635" s="1208"/>
      <c r="J635" s="1209"/>
      <c r="K635" s="1210"/>
    </row>
    <row r="636" spans="2:11">
      <c r="B636" s="1211">
        <v>1</v>
      </c>
      <c r="C636" s="1212"/>
      <c r="D636" s="1340" t="s">
        <v>47</v>
      </c>
      <c r="E636" s="1340"/>
      <c r="F636" s="1340"/>
      <c r="G636" s="1215"/>
      <c r="H636" s="1215" t="s">
        <v>48</v>
      </c>
      <c r="I636" s="1216">
        <v>0.02</v>
      </c>
      <c r="J636" s="1168">
        <f>J465</f>
        <v>0</v>
      </c>
      <c r="K636" s="1217">
        <f>J636*I636</f>
        <v>0</v>
      </c>
    </row>
    <row r="637" spans="2:11">
      <c r="B637" s="1211">
        <v>2</v>
      </c>
      <c r="C637" s="1218"/>
      <c r="D637" s="1340" t="s">
        <v>4346</v>
      </c>
      <c r="E637" s="1340"/>
      <c r="F637" s="1340"/>
      <c r="G637" s="1215"/>
      <c r="H637" s="1215" t="s">
        <v>48</v>
      </c>
      <c r="I637" s="1216">
        <v>0.04</v>
      </c>
      <c r="J637" s="1168">
        <f>J466</f>
        <v>0</v>
      </c>
      <c r="K637" s="1217">
        <f>J637*I637</f>
        <v>0</v>
      </c>
    </row>
    <row r="638" spans="2:11">
      <c r="B638" s="1211">
        <v>3</v>
      </c>
      <c r="C638" s="1218"/>
      <c r="D638" s="1340" t="s">
        <v>50</v>
      </c>
      <c r="E638" s="1340"/>
      <c r="F638" s="1340"/>
      <c r="G638" s="1215"/>
      <c r="H638" s="1215" t="s">
        <v>48</v>
      </c>
      <c r="I638" s="1216">
        <f>I637/10</f>
        <v>4.0000000000000001E-3</v>
      </c>
      <c r="J638" s="1168">
        <f>J467</f>
        <v>0</v>
      </c>
      <c r="K638" s="1217">
        <f>J638*I638</f>
        <v>0</v>
      </c>
    </row>
    <row r="639" spans="2:11">
      <c r="B639" s="1211">
        <v>4</v>
      </c>
      <c r="C639" s="1218"/>
      <c r="D639" s="1340" t="s">
        <v>51</v>
      </c>
      <c r="E639" s="1340"/>
      <c r="F639" s="1340"/>
      <c r="G639" s="1215"/>
      <c r="H639" s="1215" t="s">
        <v>48</v>
      </c>
      <c r="I639" s="1216">
        <f>I638/10</f>
        <v>4.0000000000000002E-4</v>
      </c>
      <c r="J639" s="1168">
        <f>J468</f>
        <v>0</v>
      </c>
      <c r="K639" s="1217">
        <f>J639*I639</f>
        <v>0</v>
      </c>
    </row>
    <row r="640" spans="2:11" ht="13">
      <c r="B640" s="1341"/>
      <c r="C640" s="1342"/>
      <c r="D640" s="1342"/>
      <c r="E640" s="1343"/>
      <c r="F640" s="1343"/>
      <c r="G640" s="1343"/>
      <c r="H640" s="1342"/>
      <c r="I640" s="1344" t="s">
        <v>4347</v>
      </c>
      <c r="J640" s="1345"/>
      <c r="K640" s="1346">
        <f>SUM(K636:K639)</f>
        <v>0</v>
      </c>
    </row>
    <row r="641" spans="2:11" ht="13">
      <c r="B641" s="1347" t="s">
        <v>53</v>
      </c>
      <c r="C641" s="1348"/>
      <c r="D641" s="1349" t="s">
        <v>4348</v>
      </c>
      <c r="E641" s="1349"/>
      <c r="F641" s="1349"/>
      <c r="G641" s="1350"/>
      <c r="H641" s="1351"/>
      <c r="I641" s="1352"/>
      <c r="J641" s="1353"/>
      <c r="K641" s="1354"/>
    </row>
    <row r="642" spans="2:11">
      <c r="B642" s="1355">
        <v>1</v>
      </c>
      <c r="C642" s="1218"/>
      <c r="D642" s="1214" t="str">
        <f>C629</f>
        <v>Led strip 6500K</v>
      </c>
      <c r="E642" s="1214"/>
      <c r="F642" s="1214"/>
      <c r="G642" s="1297"/>
      <c r="H642" s="1220" t="s">
        <v>215</v>
      </c>
      <c r="I642" s="1221">
        <v>1</v>
      </c>
      <c r="J642" s="1222">
        <f>'HARGA ME'!D61</f>
        <v>0</v>
      </c>
      <c r="K642" s="1298">
        <f>J642*I642</f>
        <v>0</v>
      </c>
    </row>
    <row r="643" spans="2:11">
      <c r="B643" s="1366"/>
      <c r="C643" s="1367"/>
      <c r="D643" s="1230"/>
      <c r="E643" s="1230"/>
      <c r="F643" s="1230"/>
      <c r="G643" s="1231"/>
      <c r="H643" s="1232"/>
      <c r="I643" s="1233"/>
      <c r="J643" s="1234"/>
      <c r="K643" s="1235"/>
    </row>
    <row r="644" spans="2:11" ht="13">
      <c r="B644" s="1341"/>
      <c r="C644" s="1342"/>
      <c r="D644" s="1342"/>
      <c r="E644" s="1343"/>
      <c r="F644" s="1343"/>
      <c r="G644" s="1343"/>
      <c r="H644" s="1342"/>
      <c r="I644" s="1344" t="s">
        <v>4360</v>
      </c>
      <c r="J644" s="1357"/>
      <c r="K644" s="1358">
        <f>SUM(K642:K642)</f>
        <v>0</v>
      </c>
    </row>
    <row r="645" spans="2:11" ht="13">
      <c r="B645" s="1359" t="s">
        <v>65</v>
      </c>
      <c r="C645" s="1360"/>
      <c r="D645" s="1349" t="s">
        <v>1939</v>
      </c>
      <c r="E645" s="1349"/>
      <c r="F645" s="1349"/>
      <c r="G645" s="1361"/>
      <c r="H645" s="1362"/>
      <c r="I645" s="1363"/>
      <c r="J645" s="1364"/>
      <c r="K645" s="1365"/>
    </row>
    <row r="646" spans="2:11" ht="13">
      <c r="B646" s="1366"/>
      <c r="C646" s="1367"/>
      <c r="D646" s="1368"/>
      <c r="E646" s="1246"/>
      <c r="F646" s="1246"/>
      <c r="G646" s="1369"/>
      <c r="H646" s="1229"/>
      <c r="I646" s="1370"/>
      <c r="J646" s="1371"/>
      <c r="K646" s="1298"/>
    </row>
    <row r="647" spans="2:11" ht="13">
      <c r="B647" s="1341"/>
      <c r="C647" s="1342"/>
      <c r="D647" s="1342"/>
      <c r="E647" s="1343"/>
      <c r="F647" s="1343"/>
      <c r="G647" s="1343"/>
      <c r="H647" s="1342"/>
      <c r="I647" s="1344" t="s">
        <v>4362</v>
      </c>
      <c r="J647" s="1357"/>
      <c r="K647" s="1358">
        <f>K646</f>
        <v>0</v>
      </c>
    </row>
    <row r="648" spans="2:11" ht="13">
      <c r="B648" s="1236" t="s">
        <v>68</v>
      </c>
      <c r="C648" s="1237"/>
      <c r="D648" s="1204" t="s">
        <v>4363</v>
      </c>
      <c r="E648" s="1205"/>
      <c r="F648" s="1238"/>
      <c r="G648" s="1238"/>
      <c r="H648" s="1239"/>
      <c r="I648" s="1240"/>
      <c r="J648" s="1241"/>
      <c r="K648" s="1242">
        <f>K640+K644+K647</f>
        <v>0</v>
      </c>
    </row>
    <row r="649" spans="2:11" ht="13">
      <c r="B649" s="1236" t="s">
        <v>70</v>
      </c>
      <c r="C649" s="1237"/>
      <c r="D649" s="1326" t="s">
        <v>4364</v>
      </c>
      <c r="E649" s="1314"/>
      <c r="F649" s="1314"/>
      <c r="G649" s="1314"/>
      <c r="H649" s="1328"/>
      <c r="I649" s="1372">
        <f>$K$4</f>
        <v>0.1</v>
      </c>
      <c r="J649" s="1372"/>
      <c r="K649" s="1330">
        <f>K648*I649</f>
        <v>0</v>
      </c>
    </row>
    <row r="650" spans="2:11" ht="13">
      <c r="B650" s="1243" t="s">
        <v>71</v>
      </c>
      <c r="C650" s="1244"/>
      <c r="D650" s="1245" t="s">
        <v>4340</v>
      </c>
      <c r="E650" s="1246"/>
      <c r="F650" s="1246"/>
      <c r="G650" s="1246"/>
      <c r="H650" s="1247"/>
      <c r="I650" s="1248"/>
      <c r="J650" s="1249"/>
      <c r="K650" s="1250">
        <v>0</v>
      </c>
    </row>
    <row r="651" spans="2:11" ht="13">
      <c r="B651" s="1251"/>
      <c r="C651" s="1036"/>
      <c r="D651" s="1184"/>
      <c r="E651" s="1252"/>
      <c r="F651" s="1252"/>
      <c r="G651" s="1252"/>
      <c r="H651" s="1036"/>
      <c r="I651" s="1253"/>
      <c r="J651" s="1254"/>
      <c r="K651" s="1255"/>
    </row>
    <row r="652" spans="2:11">
      <c r="B652" s="1032"/>
      <c r="C652" s="1033"/>
      <c r="D652" s="1033"/>
      <c r="E652" s="1033"/>
      <c r="F652" s="1033"/>
      <c r="G652" s="1033"/>
      <c r="H652" s="1033"/>
      <c r="I652" s="1033"/>
      <c r="J652" s="1033"/>
      <c r="K652" s="1033"/>
    </row>
    <row r="653" spans="2:11" ht="13">
      <c r="B653" s="1031"/>
      <c r="C653" s="1184" t="str">
        <f>'HARGA ME'!B63</f>
        <v>Wall Lamp Up Down Led 15W, 6500K</v>
      </c>
      <c r="D653" s="1185"/>
      <c r="E653" s="1185"/>
      <c r="F653" s="1185"/>
      <c r="G653" s="1185"/>
      <c r="H653" s="1185"/>
      <c r="I653" s="1185"/>
      <c r="J653" s="1185"/>
      <c r="K653" s="1185"/>
    </row>
    <row r="654" spans="2:11" ht="13">
      <c r="B654" s="1687" t="s">
        <v>3235</v>
      </c>
      <c r="C654" s="1690" t="s">
        <v>4288</v>
      </c>
      <c r="D654" s="1691"/>
      <c r="E654" s="1691"/>
      <c r="F654" s="1691"/>
      <c r="G654" s="1186"/>
      <c r="H654" s="1696" t="s">
        <v>4289</v>
      </c>
      <c r="I654" s="1696" t="s">
        <v>4290</v>
      </c>
      <c r="J654" s="1035" t="s">
        <v>1955</v>
      </c>
      <c r="K654" s="1035"/>
    </row>
    <row r="655" spans="2:11" ht="13">
      <c r="B655" s="1688"/>
      <c r="C655" s="1692"/>
      <c r="D655" s="1693"/>
      <c r="E655" s="1693"/>
      <c r="F655" s="1693"/>
      <c r="G655" s="1187" t="s">
        <v>4291</v>
      </c>
      <c r="H655" s="1697"/>
      <c r="I655" s="1697"/>
      <c r="J655" s="1037" t="s">
        <v>1954</v>
      </c>
      <c r="K655" s="1037" t="s">
        <v>3239</v>
      </c>
    </row>
    <row r="656" spans="2:11" ht="13">
      <c r="B656" s="1689"/>
      <c r="C656" s="1694"/>
      <c r="D656" s="1695"/>
      <c r="E656" s="1695"/>
      <c r="F656" s="1695"/>
      <c r="G656" s="1188"/>
      <c r="H656" s="1698"/>
      <c r="I656" s="1698"/>
      <c r="J656" s="1038" t="s">
        <v>4292</v>
      </c>
      <c r="K656" s="1038" t="s">
        <v>4292</v>
      </c>
    </row>
    <row r="657" spans="2:11" ht="13">
      <c r="B657" s="1260">
        <v>1</v>
      </c>
      <c r="C657" s="1699">
        <v>2</v>
      </c>
      <c r="D657" s="1700"/>
      <c r="E657" s="1700"/>
      <c r="F657" s="1700"/>
      <c r="G657" s="1261">
        <v>3</v>
      </c>
      <c r="H657" s="1262">
        <v>4</v>
      </c>
      <c r="I657" s="1263">
        <v>5</v>
      </c>
      <c r="J657" s="1262">
        <v>6</v>
      </c>
      <c r="K657" s="1262">
        <f>J657+1</f>
        <v>7</v>
      </c>
    </row>
    <row r="658" spans="2:11">
      <c r="B658" s="1196"/>
      <c r="C658" s="1185"/>
      <c r="D658" s="1185"/>
      <c r="E658" s="1338"/>
      <c r="F658" s="1338"/>
      <c r="G658" s="1199"/>
      <c r="H658" s="1200"/>
      <c r="I658" s="1201"/>
      <c r="J658" s="1201"/>
      <c r="K658" s="1202"/>
    </row>
    <row r="659" spans="2:11" ht="13">
      <c r="B659" s="1193" t="s">
        <v>45</v>
      </c>
      <c r="C659" s="1203"/>
      <c r="D659" s="1339" t="s">
        <v>4345</v>
      </c>
      <c r="E659" s="1339"/>
      <c r="F659" s="1339"/>
      <c r="G659" s="1206"/>
      <c r="H659" s="1207"/>
      <c r="I659" s="1208"/>
      <c r="J659" s="1209"/>
      <c r="K659" s="1210"/>
    </row>
    <row r="660" spans="2:11">
      <c r="B660" s="1211">
        <v>1</v>
      </c>
      <c r="C660" s="1212"/>
      <c r="D660" s="1340" t="s">
        <v>47</v>
      </c>
      <c r="E660" s="1340"/>
      <c r="F660" s="1340"/>
      <c r="G660" s="1215"/>
      <c r="H660" s="1215" t="s">
        <v>48</v>
      </c>
      <c r="I660" s="1216">
        <v>6.4000000000000001E-2</v>
      </c>
      <c r="J660" s="1168">
        <f>J636</f>
        <v>0</v>
      </c>
      <c r="K660" s="1217">
        <f>J660*I660</f>
        <v>0</v>
      </c>
    </row>
    <row r="661" spans="2:11">
      <c r="B661" s="1211">
        <v>2</v>
      </c>
      <c r="C661" s="1218"/>
      <c r="D661" s="1340" t="s">
        <v>4346</v>
      </c>
      <c r="E661" s="1340"/>
      <c r="F661" s="1340"/>
      <c r="G661" s="1215"/>
      <c r="H661" s="1215" t="s">
        <v>48</v>
      </c>
      <c r="I661" s="1216">
        <v>0.107</v>
      </c>
      <c r="J661" s="1168">
        <f>J637</f>
        <v>0</v>
      </c>
      <c r="K661" s="1217">
        <f>J661*I661</f>
        <v>0</v>
      </c>
    </row>
    <row r="662" spans="2:11">
      <c r="B662" s="1211">
        <v>3</v>
      </c>
      <c r="C662" s="1218"/>
      <c r="D662" s="1340" t="s">
        <v>50</v>
      </c>
      <c r="E662" s="1340"/>
      <c r="F662" s="1340"/>
      <c r="G662" s="1215"/>
      <c r="H662" s="1215" t="s">
        <v>48</v>
      </c>
      <c r="I662" s="1216">
        <v>1.0999999999999999E-2</v>
      </c>
      <c r="J662" s="1168">
        <f>J638</f>
        <v>0</v>
      </c>
      <c r="K662" s="1217">
        <f>J662*I662</f>
        <v>0</v>
      </c>
    </row>
    <row r="663" spans="2:11">
      <c r="B663" s="1211">
        <v>4</v>
      </c>
      <c r="C663" s="1218"/>
      <c r="D663" s="1340" t="s">
        <v>51</v>
      </c>
      <c r="E663" s="1340"/>
      <c r="F663" s="1340"/>
      <c r="G663" s="1215"/>
      <c r="H663" s="1215" t="s">
        <v>48</v>
      </c>
      <c r="I663" s="1216">
        <v>4.0000000000000001E-3</v>
      </c>
      <c r="J663" s="1168">
        <f>J639</f>
        <v>0</v>
      </c>
      <c r="K663" s="1217">
        <f>J663*I663</f>
        <v>0</v>
      </c>
    </row>
    <row r="664" spans="2:11" ht="13">
      <c r="B664" s="1341"/>
      <c r="C664" s="1342"/>
      <c r="D664" s="1342"/>
      <c r="E664" s="1343"/>
      <c r="F664" s="1343"/>
      <c r="G664" s="1343"/>
      <c r="H664" s="1342"/>
      <c r="I664" s="1344" t="s">
        <v>4347</v>
      </c>
      <c r="J664" s="1345"/>
      <c r="K664" s="1346">
        <f>SUM(K660:K663)</f>
        <v>0</v>
      </c>
    </row>
    <row r="665" spans="2:11" ht="13">
      <c r="B665" s="1347" t="s">
        <v>53</v>
      </c>
      <c r="C665" s="1348"/>
      <c r="D665" s="1349" t="s">
        <v>4348</v>
      </c>
      <c r="E665" s="1349"/>
      <c r="F665" s="1349"/>
      <c r="G665" s="1350"/>
      <c r="H665" s="1351"/>
      <c r="I665" s="1352"/>
      <c r="J665" s="1353"/>
      <c r="K665" s="1354"/>
    </row>
    <row r="666" spans="2:11">
      <c r="B666" s="1355">
        <v>1</v>
      </c>
      <c r="C666" s="1218"/>
      <c r="D666" s="1214" t="str">
        <f>C653</f>
        <v>Wall Lamp Up Down Led 15W, 6500K</v>
      </c>
      <c r="E666" s="1214"/>
      <c r="F666" s="1214"/>
      <c r="G666" s="1297"/>
      <c r="H666" s="1220" t="s">
        <v>215</v>
      </c>
      <c r="I666" s="1221">
        <v>1</v>
      </c>
      <c r="J666" s="1222">
        <f>'HARGA ME'!D63</f>
        <v>0</v>
      </c>
      <c r="K666" s="1298">
        <f>J666*I666</f>
        <v>0</v>
      </c>
    </row>
    <row r="667" spans="2:11">
      <c r="B667" s="1366"/>
      <c r="C667" s="1367"/>
      <c r="D667" s="1230"/>
      <c r="E667" s="1230"/>
      <c r="F667" s="1230"/>
      <c r="G667" s="1231"/>
      <c r="H667" s="1232"/>
      <c r="I667" s="1233"/>
      <c r="J667" s="1234"/>
      <c r="K667" s="1235"/>
    </row>
    <row r="668" spans="2:11" ht="13">
      <c r="B668" s="1341"/>
      <c r="C668" s="1342"/>
      <c r="D668" s="1342"/>
      <c r="E668" s="1343"/>
      <c r="F668" s="1343"/>
      <c r="G668" s="1343"/>
      <c r="H668" s="1342"/>
      <c r="I668" s="1344" t="s">
        <v>4360</v>
      </c>
      <c r="J668" s="1357"/>
      <c r="K668" s="1358">
        <f>SUM(K666:K666)</f>
        <v>0</v>
      </c>
    </row>
    <row r="669" spans="2:11" ht="13">
      <c r="B669" s="1359" t="s">
        <v>65</v>
      </c>
      <c r="C669" s="1360"/>
      <c r="D669" s="1349" t="s">
        <v>1939</v>
      </c>
      <c r="E669" s="1349"/>
      <c r="F669" s="1349"/>
      <c r="G669" s="1361"/>
      <c r="H669" s="1362"/>
      <c r="I669" s="1363"/>
      <c r="J669" s="1364"/>
      <c r="K669" s="1365"/>
    </row>
    <row r="670" spans="2:11" ht="13">
      <c r="B670" s="1366"/>
      <c r="C670" s="1367"/>
      <c r="D670" s="1368"/>
      <c r="E670" s="1246"/>
      <c r="F670" s="1246"/>
      <c r="G670" s="1369"/>
      <c r="H670" s="1229"/>
      <c r="I670" s="1370"/>
      <c r="J670" s="1371"/>
      <c r="K670" s="1298"/>
    </row>
    <row r="671" spans="2:11" ht="13">
      <c r="B671" s="1341"/>
      <c r="C671" s="1342"/>
      <c r="D671" s="1342"/>
      <c r="E671" s="1343"/>
      <c r="F671" s="1343"/>
      <c r="G671" s="1343"/>
      <c r="H671" s="1342"/>
      <c r="I671" s="1344" t="s">
        <v>4362</v>
      </c>
      <c r="J671" s="1357"/>
      <c r="K671" s="1358">
        <f>K670</f>
        <v>0</v>
      </c>
    </row>
    <row r="672" spans="2:11" ht="13">
      <c r="B672" s="1236" t="s">
        <v>68</v>
      </c>
      <c r="C672" s="1237"/>
      <c r="D672" s="1204" t="s">
        <v>4363</v>
      </c>
      <c r="E672" s="1205"/>
      <c r="F672" s="1238"/>
      <c r="G672" s="1238"/>
      <c r="H672" s="1239"/>
      <c r="I672" s="1240"/>
      <c r="J672" s="1241"/>
      <c r="K672" s="1242">
        <f>K664+K668+K671</f>
        <v>0</v>
      </c>
    </row>
    <row r="673" spans="2:11" ht="13">
      <c r="B673" s="1236" t="s">
        <v>70</v>
      </c>
      <c r="C673" s="1237"/>
      <c r="D673" s="1326" t="s">
        <v>4364</v>
      </c>
      <c r="E673" s="1314"/>
      <c r="F673" s="1314"/>
      <c r="G673" s="1314"/>
      <c r="H673" s="1328"/>
      <c r="I673" s="1372">
        <f>$K$4</f>
        <v>0.1</v>
      </c>
      <c r="J673" s="1372"/>
      <c r="K673" s="1330">
        <f>K672*I673</f>
        <v>0</v>
      </c>
    </row>
    <row r="674" spans="2:11" ht="13">
      <c r="B674" s="1243" t="s">
        <v>71</v>
      </c>
      <c r="C674" s="1244"/>
      <c r="D674" s="1245" t="s">
        <v>4340</v>
      </c>
      <c r="E674" s="1246"/>
      <c r="F674" s="1246"/>
      <c r="G674" s="1246"/>
      <c r="H674" s="1247"/>
      <c r="I674" s="1248"/>
      <c r="J674" s="1249"/>
      <c r="K674" s="1250">
        <v>0</v>
      </c>
    </row>
    <row r="675" spans="2:11" ht="13">
      <c r="B675" s="1251"/>
      <c r="C675" s="1036"/>
      <c r="D675" s="1184"/>
      <c r="E675" s="1252"/>
      <c r="F675" s="1252"/>
      <c r="G675" s="1252"/>
      <c r="H675" s="1036"/>
      <c r="I675" s="1253"/>
      <c r="J675" s="1254"/>
      <c r="K675" s="1255"/>
    </row>
    <row r="676" spans="2:11" ht="13">
      <c r="B676" s="1031"/>
      <c r="C676" s="1184" t="str">
        <f>'HARGA ME'!B62</f>
        <v>Lampu taman led bulb 15 watt + tiang galvanis 1 meter</v>
      </c>
      <c r="D676" s="1185"/>
      <c r="E676" s="1185"/>
      <c r="F676" s="1185"/>
      <c r="G676" s="1033"/>
      <c r="H676" s="1033"/>
      <c r="I676" s="1033"/>
      <c r="J676" s="1033"/>
      <c r="K676" s="1033"/>
    </row>
    <row r="677" spans="2:11" ht="13">
      <c r="B677" s="1687" t="s">
        <v>3235</v>
      </c>
      <c r="C677" s="1690" t="s">
        <v>4288</v>
      </c>
      <c r="D677" s="1691"/>
      <c r="E677" s="1691"/>
      <c r="F677" s="1691"/>
      <c r="G677" s="1186"/>
      <c r="H677" s="1696" t="s">
        <v>4289</v>
      </c>
      <c r="I677" s="1696" t="s">
        <v>4290</v>
      </c>
      <c r="J677" s="1035" t="s">
        <v>1955</v>
      </c>
      <c r="K677" s="1035"/>
    </row>
    <row r="678" spans="2:11" ht="13">
      <c r="B678" s="1688"/>
      <c r="C678" s="1692"/>
      <c r="D678" s="1693"/>
      <c r="E678" s="1693"/>
      <c r="F678" s="1693"/>
      <c r="G678" s="1187" t="s">
        <v>4291</v>
      </c>
      <c r="H678" s="1697"/>
      <c r="I678" s="1697"/>
      <c r="J678" s="1037" t="s">
        <v>1954</v>
      </c>
      <c r="K678" s="1037" t="s">
        <v>3239</v>
      </c>
    </row>
    <row r="679" spans="2:11" ht="13">
      <c r="B679" s="1689"/>
      <c r="C679" s="1694"/>
      <c r="D679" s="1695"/>
      <c r="E679" s="1695"/>
      <c r="F679" s="1695"/>
      <c r="G679" s="1188"/>
      <c r="H679" s="1698"/>
      <c r="I679" s="1698"/>
      <c r="J679" s="1038" t="s">
        <v>4292</v>
      </c>
      <c r="K679" s="1038" t="s">
        <v>4292</v>
      </c>
    </row>
    <row r="680" spans="2:11" ht="13">
      <c r="B680" s="1260">
        <v>1</v>
      </c>
      <c r="C680" s="1699">
        <v>2</v>
      </c>
      <c r="D680" s="1700"/>
      <c r="E680" s="1700"/>
      <c r="F680" s="1700"/>
      <c r="G680" s="1261">
        <v>3</v>
      </c>
      <c r="H680" s="1262">
        <v>4</v>
      </c>
      <c r="I680" s="1263">
        <v>5</v>
      </c>
      <c r="J680" s="1262">
        <v>6</v>
      </c>
      <c r="K680" s="1262">
        <f>J680+1</f>
        <v>7</v>
      </c>
    </row>
    <row r="681" spans="2:11">
      <c r="B681" s="1196"/>
      <c r="C681" s="1185"/>
      <c r="D681" s="1185"/>
      <c r="E681" s="1338"/>
      <c r="F681" s="1338"/>
      <c r="G681" s="1199"/>
      <c r="H681" s="1200"/>
      <c r="I681" s="1201"/>
      <c r="J681" s="1201"/>
      <c r="K681" s="1202"/>
    </row>
    <row r="682" spans="2:11" ht="13">
      <c r="B682" s="1193" t="s">
        <v>45</v>
      </c>
      <c r="C682" s="1203"/>
      <c r="D682" s="1339" t="s">
        <v>4345</v>
      </c>
      <c r="E682" s="1339"/>
      <c r="F682" s="1339"/>
      <c r="G682" s="1206"/>
      <c r="H682" s="1207"/>
      <c r="I682" s="1208"/>
      <c r="J682" s="1209"/>
      <c r="K682" s="1210"/>
    </row>
    <row r="683" spans="2:11">
      <c r="B683" s="1211">
        <v>1</v>
      </c>
      <c r="C683" s="1212"/>
      <c r="D683" s="1340" t="s">
        <v>47</v>
      </c>
      <c r="E683" s="1340"/>
      <c r="F683" s="1340"/>
      <c r="G683" s="1215"/>
      <c r="H683" s="1215" t="s">
        <v>48</v>
      </c>
      <c r="I683" s="1216">
        <v>6.4000000000000001E-2</v>
      </c>
      <c r="J683" s="1168">
        <f>J660</f>
        <v>0</v>
      </c>
      <c r="K683" s="1217">
        <f>J683*I683</f>
        <v>0</v>
      </c>
    </row>
    <row r="684" spans="2:11">
      <c r="B684" s="1211">
        <v>2</v>
      </c>
      <c r="C684" s="1218"/>
      <c r="D684" s="1340" t="s">
        <v>4346</v>
      </c>
      <c r="E684" s="1340"/>
      <c r="F684" s="1340"/>
      <c r="G684" s="1215"/>
      <c r="H684" s="1215" t="s">
        <v>48</v>
      </c>
      <c r="I684" s="1216">
        <v>0.107</v>
      </c>
      <c r="J684" s="1168">
        <f>J661</f>
        <v>0</v>
      </c>
      <c r="K684" s="1217">
        <f>J684*I684</f>
        <v>0</v>
      </c>
    </row>
    <row r="685" spans="2:11">
      <c r="B685" s="1211">
        <v>3</v>
      </c>
      <c r="C685" s="1218"/>
      <c r="D685" s="1340" t="s">
        <v>50</v>
      </c>
      <c r="E685" s="1340"/>
      <c r="F685" s="1340"/>
      <c r="G685" s="1215"/>
      <c r="H685" s="1215" t="s">
        <v>48</v>
      </c>
      <c r="I685" s="1216">
        <v>1.0999999999999999E-2</v>
      </c>
      <c r="J685" s="1168">
        <f>J662</f>
        <v>0</v>
      </c>
      <c r="K685" s="1217">
        <f>J685*I685</f>
        <v>0</v>
      </c>
    </row>
    <row r="686" spans="2:11">
      <c r="B686" s="1211">
        <v>4</v>
      </c>
      <c r="C686" s="1218"/>
      <c r="D686" s="1340" t="s">
        <v>51</v>
      </c>
      <c r="E686" s="1340"/>
      <c r="F686" s="1340"/>
      <c r="G686" s="1215"/>
      <c r="H686" s="1215" t="s">
        <v>48</v>
      </c>
      <c r="I686" s="1216">
        <v>4.0000000000000001E-3</v>
      </c>
      <c r="J686" s="1168">
        <f>J663</f>
        <v>0</v>
      </c>
      <c r="K686" s="1217">
        <f>J686*I686</f>
        <v>0</v>
      </c>
    </row>
    <row r="687" spans="2:11" ht="13">
      <c r="B687" s="1341"/>
      <c r="C687" s="1342"/>
      <c r="D687" s="1342"/>
      <c r="E687" s="1343"/>
      <c r="F687" s="1343"/>
      <c r="G687" s="1343"/>
      <c r="H687" s="1342"/>
      <c r="I687" s="1344" t="s">
        <v>4347</v>
      </c>
      <c r="J687" s="1345"/>
      <c r="K687" s="1346">
        <f>SUM(K683:K686)</f>
        <v>0</v>
      </c>
    </row>
    <row r="688" spans="2:11" ht="13">
      <c r="B688" s="1347" t="s">
        <v>53</v>
      </c>
      <c r="C688" s="1348"/>
      <c r="D688" s="1349" t="s">
        <v>4348</v>
      </c>
      <c r="E688" s="1349"/>
      <c r="F688" s="1349"/>
      <c r="G688" s="1350"/>
      <c r="H688" s="1351"/>
      <c r="I688" s="1352"/>
      <c r="J688" s="1353"/>
      <c r="K688" s="1354"/>
    </row>
    <row r="689" spans="2:11">
      <c r="B689" s="1355">
        <v>1</v>
      </c>
      <c r="C689" s="1218"/>
      <c r="D689" s="1214" t="str">
        <f>C676</f>
        <v>Lampu taman led bulb 15 watt + tiang galvanis 1 meter</v>
      </c>
      <c r="E689" s="1214"/>
      <c r="F689" s="1214"/>
      <c r="G689" s="1297"/>
      <c r="H689" s="1220" t="s">
        <v>215</v>
      </c>
      <c r="I689" s="1221">
        <v>1</v>
      </c>
      <c r="J689" s="1222">
        <f>'HARGA ME'!D62</f>
        <v>0</v>
      </c>
      <c r="K689" s="1298">
        <f>J689*I689</f>
        <v>0</v>
      </c>
    </row>
    <row r="690" spans="2:11">
      <c r="B690" s="1366"/>
      <c r="C690" s="1367"/>
      <c r="D690" s="1230"/>
      <c r="E690" s="1230"/>
      <c r="F690" s="1230"/>
      <c r="G690" s="1231"/>
      <c r="H690" s="1232"/>
      <c r="I690" s="1233"/>
      <c r="J690" s="1234"/>
      <c r="K690" s="1235"/>
    </row>
    <row r="691" spans="2:11" ht="13">
      <c r="B691" s="1341"/>
      <c r="C691" s="1342"/>
      <c r="D691" s="1342"/>
      <c r="E691" s="1343"/>
      <c r="F691" s="1343"/>
      <c r="G691" s="1343"/>
      <c r="H691" s="1342"/>
      <c r="I691" s="1344" t="s">
        <v>4360</v>
      </c>
      <c r="J691" s="1357"/>
      <c r="K691" s="1358">
        <f>SUM(K689:K689)</f>
        <v>0</v>
      </c>
    </row>
    <row r="692" spans="2:11" ht="13">
      <c r="B692" s="1359" t="s">
        <v>65</v>
      </c>
      <c r="C692" s="1360"/>
      <c r="D692" s="1349" t="s">
        <v>1939</v>
      </c>
      <c r="E692" s="1349"/>
      <c r="F692" s="1349"/>
      <c r="G692" s="1361"/>
      <c r="H692" s="1362"/>
      <c r="I692" s="1363"/>
      <c r="J692" s="1364"/>
      <c r="K692" s="1365"/>
    </row>
    <row r="693" spans="2:11" ht="13">
      <c r="B693" s="1366"/>
      <c r="C693" s="1367"/>
      <c r="D693" s="1368"/>
      <c r="E693" s="1246"/>
      <c r="F693" s="1246"/>
      <c r="G693" s="1369"/>
      <c r="H693" s="1229"/>
      <c r="I693" s="1370"/>
      <c r="J693" s="1371"/>
      <c r="K693" s="1298"/>
    </row>
    <row r="694" spans="2:11" ht="13">
      <c r="B694" s="1341"/>
      <c r="C694" s="1342"/>
      <c r="D694" s="1342"/>
      <c r="E694" s="1343"/>
      <c r="F694" s="1343"/>
      <c r="G694" s="1343"/>
      <c r="H694" s="1342"/>
      <c r="I694" s="1344" t="s">
        <v>4362</v>
      </c>
      <c r="J694" s="1357"/>
      <c r="K694" s="1358">
        <f>K693</f>
        <v>0</v>
      </c>
    </row>
    <row r="695" spans="2:11" ht="13">
      <c r="B695" s="1236" t="s">
        <v>68</v>
      </c>
      <c r="C695" s="1237"/>
      <c r="D695" s="1204" t="s">
        <v>4363</v>
      </c>
      <c r="E695" s="1205"/>
      <c r="F695" s="1238"/>
      <c r="G695" s="1238"/>
      <c r="H695" s="1239"/>
      <c r="I695" s="1240"/>
      <c r="J695" s="1241"/>
      <c r="K695" s="1242">
        <f>K687+K691+K694</f>
        <v>0</v>
      </c>
    </row>
    <row r="696" spans="2:11" ht="13">
      <c r="B696" s="1236" t="s">
        <v>70</v>
      </c>
      <c r="C696" s="1237"/>
      <c r="D696" s="1326" t="s">
        <v>4364</v>
      </c>
      <c r="E696" s="1314"/>
      <c r="F696" s="1314"/>
      <c r="G696" s="1314"/>
      <c r="H696" s="1328"/>
      <c r="I696" s="1372">
        <f>$K$4</f>
        <v>0.1</v>
      </c>
      <c r="J696" s="1372"/>
      <c r="K696" s="1330">
        <f>K695*I696</f>
        <v>0</v>
      </c>
    </row>
    <row r="697" spans="2:11" ht="13">
      <c r="B697" s="1243" t="s">
        <v>71</v>
      </c>
      <c r="C697" s="1244"/>
      <c r="D697" s="1245" t="s">
        <v>4340</v>
      </c>
      <c r="E697" s="1246"/>
      <c r="F697" s="1246"/>
      <c r="G697" s="1246"/>
      <c r="H697" s="1247"/>
      <c r="I697" s="1248"/>
      <c r="J697" s="1249"/>
      <c r="K697" s="1250">
        <v>0</v>
      </c>
    </row>
    <row r="698" spans="2:11" ht="13">
      <c r="B698" s="1251"/>
      <c r="C698" s="1036"/>
      <c r="D698" s="1184"/>
      <c r="E698" s="1252"/>
      <c r="F698" s="1252"/>
      <c r="G698" s="1252"/>
      <c r="H698" s="1036"/>
      <c r="I698" s="1253"/>
      <c r="J698" s="1254"/>
      <c r="K698" s="1255"/>
    </row>
    <row r="699" spans="2:11" ht="13">
      <c r="B699" s="1031"/>
      <c r="C699" s="1184" t="s">
        <v>4401</v>
      </c>
      <c r="D699" s="1185"/>
      <c r="E699" s="1185"/>
      <c r="F699" s="1185"/>
      <c r="G699" s="1033"/>
      <c r="H699" s="1033"/>
      <c r="I699" s="1033"/>
      <c r="J699" s="1033"/>
      <c r="K699" s="1033"/>
    </row>
    <row r="700" spans="2:11" ht="13">
      <c r="B700" s="1687" t="s">
        <v>3235</v>
      </c>
      <c r="C700" s="1690" t="s">
        <v>4288</v>
      </c>
      <c r="D700" s="1691"/>
      <c r="E700" s="1691"/>
      <c r="F700" s="1691"/>
      <c r="G700" s="1186"/>
      <c r="H700" s="1696" t="s">
        <v>4289</v>
      </c>
      <c r="I700" s="1696" t="s">
        <v>4290</v>
      </c>
      <c r="J700" s="1035" t="s">
        <v>1955</v>
      </c>
      <c r="K700" s="1035"/>
    </row>
    <row r="701" spans="2:11" ht="13">
      <c r="B701" s="1688"/>
      <c r="C701" s="1692"/>
      <c r="D701" s="1693"/>
      <c r="E701" s="1693"/>
      <c r="F701" s="1693"/>
      <c r="G701" s="1187" t="s">
        <v>4291</v>
      </c>
      <c r="H701" s="1697"/>
      <c r="I701" s="1697"/>
      <c r="J701" s="1037" t="s">
        <v>1954</v>
      </c>
      <c r="K701" s="1037" t="s">
        <v>3239</v>
      </c>
    </row>
    <row r="702" spans="2:11" ht="13">
      <c r="B702" s="1689"/>
      <c r="C702" s="1694"/>
      <c r="D702" s="1695"/>
      <c r="E702" s="1695"/>
      <c r="F702" s="1695"/>
      <c r="G702" s="1188"/>
      <c r="H702" s="1698"/>
      <c r="I702" s="1698"/>
      <c r="J702" s="1038" t="s">
        <v>4292</v>
      </c>
      <c r="K702" s="1038" t="s">
        <v>4292</v>
      </c>
    </row>
    <row r="703" spans="2:11" ht="13">
      <c r="B703" s="1260">
        <v>1</v>
      </c>
      <c r="C703" s="1699">
        <v>2</v>
      </c>
      <c r="D703" s="1700"/>
      <c r="E703" s="1700"/>
      <c r="F703" s="1700"/>
      <c r="G703" s="1261">
        <v>3</v>
      </c>
      <c r="H703" s="1262">
        <v>4</v>
      </c>
      <c r="I703" s="1263">
        <v>5</v>
      </c>
      <c r="J703" s="1262">
        <v>6</v>
      </c>
      <c r="K703" s="1262">
        <f>J703+1</f>
        <v>7</v>
      </c>
    </row>
    <row r="704" spans="2:11">
      <c r="B704" s="1196"/>
      <c r="C704" s="1185"/>
      <c r="D704" s="1185"/>
      <c r="E704" s="1338"/>
      <c r="F704" s="1338"/>
      <c r="G704" s="1199"/>
      <c r="H704" s="1200"/>
      <c r="I704" s="1201"/>
      <c r="J704" s="1201"/>
      <c r="K704" s="1202"/>
    </row>
    <row r="705" spans="2:11" ht="13">
      <c r="B705" s="1193" t="s">
        <v>45</v>
      </c>
      <c r="C705" s="1203"/>
      <c r="D705" s="1339" t="s">
        <v>4345</v>
      </c>
      <c r="E705" s="1339"/>
      <c r="F705" s="1339"/>
      <c r="G705" s="1206"/>
      <c r="H705" s="1207"/>
      <c r="I705" s="1208"/>
      <c r="J705" s="1209"/>
      <c r="K705" s="1210"/>
    </row>
    <row r="706" spans="2:11">
      <c r="B706" s="1211">
        <v>1</v>
      </c>
      <c r="C706" s="1212"/>
      <c r="D706" s="1340" t="s">
        <v>47</v>
      </c>
      <c r="E706" s="1340"/>
      <c r="F706" s="1340"/>
      <c r="G706" s="1215" t="s">
        <v>4303</v>
      </c>
      <c r="H706" s="1215" t="s">
        <v>48</v>
      </c>
      <c r="I706" s="1216">
        <v>0.11899999999999999</v>
      </c>
      <c r="J706" s="1168">
        <f>J683</f>
        <v>0</v>
      </c>
      <c r="K706" s="1217">
        <f>J706*I706</f>
        <v>0</v>
      </c>
    </row>
    <row r="707" spans="2:11">
      <c r="B707" s="1211">
        <v>2</v>
      </c>
      <c r="C707" s="1218"/>
      <c r="D707" s="1340" t="s">
        <v>4346</v>
      </c>
      <c r="E707" s="1340"/>
      <c r="F707" s="1340"/>
      <c r="G707" s="1215" t="s">
        <v>4306</v>
      </c>
      <c r="H707" s="1215" t="s">
        <v>48</v>
      </c>
      <c r="I707" s="1216">
        <v>0.19900000000000001</v>
      </c>
      <c r="J707" s="1168">
        <f>J684</f>
        <v>0</v>
      </c>
      <c r="K707" s="1217">
        <f>J707*I707</f>
        <v>0</v>
      </c>
    </row>
    <row r="708" spans="2:11">
      <c r="B708" s="1059">
        <v>3</v>
      </c>
      <c r="C708" s="1276"/>
      <c r="D708" s="1108" t="s">
        <v>50</v>
      </c>
      <c r="E708" s="1108"/>
      <c r="F708" s="1108"/>
      <c r="G708" s="1215" t="s">
        <v>4307</v>
      </c>
      <c r="H708" s="1105" t="s">
        <v>48</v>
      </c>
      <c r="I708" s="1216">
        <v>0.02</v>
      </c>
      <c r="J708" s="1065">
        <f>J685</f>
        <v>0</v>
      </c>
      <c r="K708" s="1109">
        <f>J708*I708</f>
        <v>0</v>
      </c>
    </row>
    <row r="709" spans="2:11">
      <c r="B709" s="1059">
        <v>4</v>
      </c>
      <c r="C709" s="1276"/>
      <c r="D709" s="1108" t="s">
        <v>51</v>
      </c>
      <c r="E709" s="1108"/>
      <c r="F709" s="1108"/>
      <c r="G709" s="1215" t="s">
        <v>4381</v>
      </c>
      <c r="H709" s="1105" t="s">
        <v>48</v>
      </c>
      <c r="I709" s="1216">
        <v>7.0000000000000001E-3</v>
      </c>
      <c r="J709" s="1065">
        <f>J686</f>
        <v>0</v>
      </c>
      <c r="K709" s="1109">
        <f>J709*I709</f>
        <v>0</v>
      </c>
    </row>
    <row r="710" spans="2:11">
      <c r="B710" s="1211"/>
      <c r="C710" s="1218"/>
      <c r="D710" s="1340"/>
      <c r="E710" s="1340"/>
      <c r="F710" s="1340"/>
      <c r="G710" s="1215"/>
      <c r="H710" s="1215"/>
      <c r="I710" s="1216"/>
      <c r="J710" s="1168"/>
      <c r="K710" s="1217"/>
    </row>
    <row r="711" spans="2:11" ht="13">
      <c r="B711" s="1341"/>
      <c r="C711" s="1342"/>
      <c r="D711" s="1342"/>
      <c r="E711" s="1343"/>
      <c r="F711" s="1343"/>
      <c r="G711" s="1343"/>
      <c r="H711" s="1342"/>
      <c r="I711" s="1344" t="s">
        <v>4347</v>
      </c>
      <c r="J711" s="1345"/>
      <c r="K711" s="1346">
        <f>SUM(K706:K710)</f>
        <v>0</v>
      </c>
    </row>
    <row r="712" spans="2:11" ht="13">
      <c r="B712" s="1347" t="s">
        <v>53</v>
      </c>
      <c r="C712" s="1348"/>
      <c r="D712" s="1349" t="s">
        <v>4348</v>
      </c>
      <c r="E712" s="1349"/>
      <c r="F712" s="1349"/>
      <c r="G712" s="1350"/>
      <c r="H712" s="1351"/>
      <c r="I712" s="1352"/>
      <c r="J712" s="1353"/>
      <c r="K712" s="1354"/>
    </row>
    <row r="713" spans="2:11">
      <c r="B713" s="1355">
        <v>1</v>
      </c>
      <c r="C713" s="1218"/>
      <c r="D713" s="1214" t="s">
        <v>4402</v>
      </c>
      <c r="E713" s="1214"/>
      <c r="F713" s="1214"/>
      <c r="G713" s="1297"/>
      <c r="H713" s="1220" t="s">
        <v>113</v>
      </c>
      <c r="I713" s="1221">
        <v>1</v>
      </c>
      <c r="J713" s="1222">
        <v>0</v>
      </c>
      <c r="K713" s="1298">
        <f>J713*I713</f>
        <v>0</v>
      </c>
    </row>
    <row r="714" spans="2:11">
      <c r="B714" s="1366">
        <v>2</v>
      </c>
      <c r="C714" s="1367"/>
      <c r="D714" s="1230" t="s">
        <v>4403</v>
      </c>
      <c r="E714" s="1230"/>
      <c r="F714" s="1230"/>
      <c r="G714" s="1231"/>
      <c r="H714" s="1232" t="s">
        <v>3257</v>
      </c>
      <c r="I714" s="1233">
        <v>1</v>
      </c>
      <c r="J714" s="1234">
        <v>0</v>
      </c>
      <c r="K714" s="1298">
        <f>J714*I714</f>
        <v>0</v>
      </c>
    </row>
    <row r="715" spans="2:11" ht="13">
      <c r="B715" s="1341"/>
      <c r="C715" s="1342"/>
      <c r="D715" s="1342"/>
      <c r="E715" s="1343"/>
      <c r="F715" s="1343"/>
      <c r="G715" s="1343"/>
      <c r="H715" s="1342"/>
      <c r="I715" s="1344" t="s">
        <v>4360</v>
      </c>
      <c r="J715" s="1357"/>
      <c r="K715" s="1358">
        <f>SUM(K713:K714)</f>
        <v>0</v>
      </c>
    </row>
    <row r="716" spans="2:11" ht="13">
      <c r="B716" s="1359" t="s">
        <v>65</v>
      </c>
      <c r="C716" s="1360"/>
      <c r="D716" s="1349" t="s">
        <v>1939</v>
      </c>
      <c r="E716" s="1349"/>
      <c r="F716" s="1349"/>
      <c r="G716" s="1361"/>
      <c r="H716" s="1362"/>
      <c r="I716" s="1363"/>
      <c r="J716" s="1364"/>
      <c r="K716" s="1365"/>
    </row>
    <row r="717" spans="2:11" ht="13">
      <c r="B717" s="1366"/>
      <c r="C717" s="1367"/>
      <c r="D717" s="1368"/>
      <c r="E717" s="1246"/>
      <c r="F717" s="1246"/>
      <c r="G717" s="1369"/>
      <c r="H717" s="1229"/>
      <c r="I717" s="1370"/>
      <c r="J717" s="1371"/>
      <c r="K717" s="1298"/>
    </row>
    <row r="718" spans="2:11" ht="13">
      <c r="B718" s="1341"/>
      <c r="C718" s="1342"/>
      <c r="D718" s="1342"/>
      <c r="E718" s="1343"/>
      <c r="F718" s="1343"/>
      <c r="G718" s="1343"/>
      <c r="H718" s="1342"/>
      <c r="I718" s="1344" t="s">
        <v>4362</v>
      </c>
      <c r="J718" s="1357"/>
      <c r="K718" s="1358">
        <f>K717</f>
        <v>0</v>
      </c>
    </row>
    <row r="719" spans="2:11" ht="13">
      <c r="B719" s="1236" t="s">
        <v>68</v>
      </c>
      <c r="C719" s="1237"/>
      <c r="D719" s="1204" t="s">
        <v>4363</v>
      </c>
      <c r="E719" s="1205"/>
      <c r="F719" s="1238"/>
      <c r="G719" s="1238"/>
      <c r="H719" s="1239"/>
      <c r="I719" s="1240"/>
      <c r="J719" s="1241"/>
      <c r="K719" s="1242">
        <f>K711+K715+K718</f>
        <v>0</v>
      </c>
    </row>
    <row r="720" spans="2:11" ht="13">
      <c r="B720" s="1236" t="s">
        <v>70</v>
      </c>
      <c r="C720" s="1237"/>
      <c r="D720" s="1326" t="s">
        <v>4364</v>
      </c>
      <c r="E720" s="1314"/>
      <c r="F720" s="1314"/>
      <c r="G720" s="1314"/>
      <c r="H720" s="1328"/>
      <c r="I720" s="1372">
        <f>$K$4</f>
        <v>0.1</v>
      </c>
      <c r="J720" s="1372"/>
      <c r="K720" s="1330">
        <f>K719*I720</f>
        <v>0</v>
      </c>
    </row>
    <row r="721" spans="2:11" ht="13">
      <c r="B721" s="1243" t="s">
        <v>71</v>
      </c>
      <c r="C721" s="1244"/>
      <c r="D721" s="1245" t="s">
        <v>4340</v>
      </c>
      <c r="E721" s="1246"/>
      <c r="F721" s="1246"/>
      <c r="G721" s="1246"/>
      <c r="H721" s="1247"/>
      <c r="I721" s="1248"/>
      <c r="J721" s="1249"/>
      <c r="K721" s="1250">
        <f>K719+K720</f>
        <v>0</v>
      </c>
    </row>
    <row r="722" spans="2:11" ht="13">
      <c r="B722" s="1251"/>
      <c r="C722" s="1036"/>
      <c r="D722" s="1184"/>
      <c r="E722" s="1252"/>
      <c r="F722" s="1252"/>
      <c r="G722" s="1252"/>
      <c r="H722" s="1036"/>
      <c r="I722" s="1253"/>
      <c r="J722" s="1254"/>
      <c r="K722" s="1255"/>
    </row>
    <row r="723" spans="2:11" ht="13">
      <c r="B723" s="1031"/>
      <c r="C723" s="1184" t="s">
        <v>4404</v>
      </c>
      <c r="D723" s="1185"/>
      <c r="E723" s="1185"/>
      <c r="F723" s="1185"/>
      <c r="G723" s="1033"/>
      <c r="H723" s="1033"/>
      <c r="I723" s="1033"/>
      <c r="J723" s="1033"/>
      <c r="K723" s="1033"/>
    </row>
    <row r="724" spans="2:11" ht="13">
      <c r="B724" s="1687" t="s">
        <v>3235</v>
      </c>
      <c r="C724" s="1690" t="s">
        <v>4288</v>
      </c>
      <c r="D724" s="1691"/>
      <c r="E724" s="1691"/>
      <c r="F724" s="1691"/>
      <c r="G724" s="1186"/>
      <c r="H724" s="1696" t="s">
        <v>4289</v>
      </c>
      <c r="I724" s="1696" t="s">
        <v>4290</v>
      </c>
      <c r="J724" s="1035" t="s">
        <v>1955</v>
      </c>
      <c r="K724" s="1035"/>
    </row>
    <row r="725" spans="2:11" ht="13">
      <c r="B725" s="1688"/>
      <c r="C725" s="1692"/>
      <c r="D725" s="1693"/>
      <c r="E725" s="1693"/>
      <c r="F725" s="1693"/>
      <c r="G725" s="1187" t="s">
        <v>4291</v>
      </c>
      <c r="H725" s="1697"/>
      <c r="I725" s="1697"/>
      <c r="J725" s="1037" t="s">
        <v>1954</v>
      </c>
      <c r="K725" s="1037" t="s">
        <v>3239</v>
      </c>
    </row>
    <row r="726" spans="2:11" ht="13">
      <c r="B726" s="1689"/>
      <c r="C726" s="1694"/>
      <c r="D726" s="1695"/>
      <c r="E726" s="1695"/>
      <c r="F726" s="1695"/>
      <c r="G726" s="1188"/>
      <c r="H726" s="1698"/>
      <c r="I726" s="1698"/>
      <c r="J726" s="1038" t="s">
        <v>4292</v>
      </c>
      <c r="K726" s="1038" t="s">
        <v>4292</v>
      </c>
    </row>
    <row r="727" spans="2:11" ht="13">
      <c r="B727" s="1260">
        <v>1</v>
      </c>
      <c r="C727" s="1699">
        <v>2</v>
      </c>
      <c r="D727" s="1700"/>
      <c r="E727" s="1700"/>
      <c r="F727" s="1700"/>
      <c r="G727" s="1261">
        <v>3</v>
      </c>
      <c r="H727" s="1262">
        <v>4</v>
      </c>
      <c r="I727" s="1263">
        <v>5</v>
      </c>
      <c r="J727" s="1262">
        <v>6</v>
      </c>
      <c r="K727" s="1262">
        <f>J727+1</f>
        <v>7</v>
      </c>
    </row>
    <row r="728" spans="2:11">
      <c r="B728" s="1196"/>
      <c r="C728" s="1185"/>
      <c r="D728" s="1185"/>
      <c r="E728" s="1338"/>
      <c r="F728" s="1338"/>
      <c r="G728" s="1199"/>
      <c r="H728" s="1200"/>
      <c r="I728" s="1201"/>
      <c r="J728" s="1201"/>
      <c r="K728" s="1202"/>
    </row>
    <row r="729" spans="2:11" ht="13">
      <c r="B729" s="1193" t="s">
        <v>45</v>
      </c>
      <c r="C729" s="1203"/>
      <c r="D729" s="1339" t="s">
        <v>4345</v>
      </c>
      <c r="E729" s="1339"/>
      <c r="F729" s="1339"/>
      <c r="G729" s="1206"/>
      <c r="H729" s="1207"/>
      <c r="I729" s="1208"/>
      <c r="J729" s="1209"/>
      <c r="K729" s="1210"/>
    </row>
    <row r="730" spans="2:11">
      <c r="B730" s="1211">
        <v>1</v>
      </c>
      <c r="C730" s="1212"/>
      <c r="D730" s="1340" t="s">
        <v>47</v>
      </c>
      <c r="E730" s="1340"/>
      <c r="F730" s="1340"/>
      <c r="G730" s="1215" t="s">
        <v>4303</v>
      </c>
      <c r="H730" s="1215" t="s">
        <v>48</v>
      </c>
      <c r="I730" s="1216">
        <v>1</v>
      </c>
      <c r="J730" s="1168">
        <f>J706</f>
        <v>0</v>
      </c>
      <c r="K730" s="1217">
        <f>J730*I730</f>
        <v>0</v>
      </c>
    </row>
    <row r="731" spans="2:11">
      <c r="B731" s="1211">
        <v>2</v>
      </c>
      <c r="C731" s="1218"/>
      <c r="D731" s="1340" t="s">
        <v>4346</v>
      </c>
      <c r="E731" s="1340"/>
      <c r="F731" s="1340"/>
      <c r="G731" s="1215" t="s">
        <v>4306</v>
      </c>
      <c r="H731" s="1215" t="s">
        <v>48</v>
      </c>
      <c r="I731" s="1216">
        <v>0.5</v>
      </c>
      <c r="J731" s="1168">
        <f>J707</f>
        <v>0</v>
      </c>
      <c r="K731" s="1217">
        <f>J731*I731</f>
        <v>0</v>
      </c>
    </row>
    <row r="732" spans="2:11">
      <c r="B732" s="1059">
        <v>3</v>
      </c>
      <c r="C732" s="1276"/>
      <c r="D732" s="1108" t="s">
        <v>50</v>
      </c>
      <c r="E732" s="1108"/>
      <c r="F732" s="1108"/>
      <c r="G732" s="1215" t="s">
        <v>4307</v>
      </c>
      <c r="H732" s="1105" t="s">
        <v>48</v>
      </c>
      <c r="I732" s="1216">
        <f>I731/10</f>
        <v>0.05</v>
      </c>
      <c r="J732" s="1065">
        <f>J708</f>
        <v>0</v>
      </c>
      <c r="K732" s="1109">
        <f>J732*I732</f>
        <v>0</v>
      </c>
    </row>
    <row r="733" spans="2:11">
      <c r="B733" s="1059">
        <v>4</v>
      </c>
      <c r="C733" s="1276"/>
      <c r="D733" s="1108" t="s">
        <v>51</v>
      </c>
      <c r="E733" s="1108"/>
      <c r="F733" s="1108"/>
      <c r="G733" s="1215" t="s">
        <v>4381</v>
      </c>
      <c r="H733" s="1105" t="s">
        <v>48</v>
      </c>
      <c r="I733" s="1216">
        <f>I732/10</f>
        <v>5.0000000000000001E-3</v>
      </c>
      <c r="J733" s="1065">
        <f>J709</f>
        <v>0</v>
      </c>
      <c r="K733" s="1109">
        <f>J733*I733</f>
        <v>0</v>
      </c>
    </row>
    <row r="734" spans="2:11">
      <c r="B734" s="1211"/>
      <c r="C734" s="1218"/>
      <c r="D734" s="1340"/>
      <c r="E734" s="1340"/>
      <c r="F734" s="1340"/>
      <c r="G734" s="1215"/>
      <c r="H734" s="1215"/>
      <c r="I734" s="1216"/>
      <c r="J734" s="1168"/>
      <c r="K734" s="1217"/>
    </row>
    <row r="735" spans="2:11" ht="13">
      <c r="B735" s="1341"/>
      <c r="C735" s="1342"/>
      <c r="D735" s="1342"/>
      <c r="E735" s="1343"/>
      <c r="F735" s="1343"/>
      <c r="G735" s="1343"/>
      <c r="H735" s="1342"/>
      <c r="I735" s="1344" t="s">
        <v>4347</v>
      </c>
      <c r="J735" s="1345"/>
      <c r="K735" s="1346">
        <f>SUM(K730:K734)</f>
        <v>0</v>
      </c>
    </row>
    <row r="736" spans="2:11" ht="13">
      <c r="B736" s="1347" t="s">
        <v>53</v>
      </c>
      <c r="C736" s="1348"/>
      <c r="D736" s="1349" t="s">
        <v>4348</v>
      </c>
      <c r="E736" s="1349"/>
      <c r="F736" s="1349"/>
      <c r="G736" s="1350"/>
      <c r="H736" s="1351"/>
      <c r="I736" s="1352"/>
      <c r="J736" s="1353"/>
      <c r="K736" s="1354"/>
    </row>
    <row r="737" spans="2:11">
      <c r="B737" s="1355">
        <v>1</v>
      </c>
      <c r="C737" s="1218"/>
      <c r="D737" s="1214" t="s">
        <v>4405</v>
      </c>
      <c r="E737" s="1214"/>
      <c r="F737" s="1214"/>
      <c r="G737" s="1297"/>
      <c r="H737" s="1220" t="s">
        <v>113</v>
      </c>
      <c r="I737" s="1221">
        <v>1</v>
      </c>
      <c r="J737" s="1222">
        <v>0</v>
      </c>
      <c r="K737" s="1298">
        <f>J737*I737</f>
        <v>0</v>
      </c>
    </row>
    <row r="738" spans="2:11">
      <c r="B738" s="1385">
        <f>B737+1</f>
        <v>2</v>
      </c>
      <c r="C738" s="1223"/>
      <c r="D738" s="1299" t="s">
        <v>4406</v>
      </c>
      <c r="E738" s="1299"/>
      <c r="F738" s="1299"/>
      <c r="G738" s="1356"/>
      <c r="H738" s="1224" t="s">
        <v>113</v>
      </c>
      <c r="I738" s="1225">
        <v>12</v>
      </c>
      <c r="J738" s="1226">
        <v>0</v>
      </c>
      <c r="K738" s="1298">
        <f t="shared" ref="K738:K739" si="12">J738*I738</f>
        <v>0</v>
      </c>
    </row>
    <row r="739" spans="2:11">
      <c r="B739" s="1385">
        <f>B738+1</f>
        <v>3</v>
      </c>
      <c r="C739" s="1367"/>
      <c r="D739" s="1230" t="s">
        <v>4407</v>
      </c>
      <c r="E739" s="1230"/>
      <c r="F739" s="1230"/>
      <c r="G739" s="1231"/>
      <c r="H739" s="1232" t="s">
        <v>3257</v>
      </c>
      <c r="I739" s="1233">
        <v>1</v>
      </c>
      <c r="J739" s="1234" cm="1">
        <f t="array" ref="J739:J740">K737:K738*0.1</f>
        <v>0</v>
      </c>
      <c r="K739" s="1298">
        <f t="shared" si="12"/>
        <v>0</v>
      </c>
    </row>
    <row r="740" spans="2:11" ht="13">
      <c r="B740" s="1341"/>
      <c r="C740" s="1342"/>
      <c r="D740" s="1342"/>
      <c r="E740" s="1343"/>
      <c r="F740" s="1343"/>
      <c r="G740" s="1343"/>
      <c r="H740" s="1342"/>
      <c r="I740" s="1344" t="s">
        <v>4360</v>
      </c>
      <c r="J740" s="1357">
        <v>0</v>
      </c>
      <c r="K740" s="1358">
        <f>SUM(K737:K739)</f>
        <v>0</v>
      </c>
    </row>
    <row r="741" spans="2:11" ht="13">
      <c r="B741" s="1359" t="s">
        <v>65</v>
      </c>
      <c r="C741" s="1360"/>
      <c r="D741" s="1349" t="s">
        <v>1939</v>
      </c>
      <c r="E741" s="1349"/>
      <c r="F741" s="1349"/>
      <c r="G741" s="1361"/>
      <c r="H741" s="1362"/>
      <c r="I741" s="1363"/>
      <c r="J741" s="1364"/>
      <c r="K741" s="1365"/>
    </row>
    <row r="742" spans="2:11" ht="13">
      <c r="B742" s="1366"/>
      <c r="C742" s="1367"/>
      <c r="D742" s="1368"/>
      <c r="E742" s="1246"/>
      <c r="F742" s="1246"/>
      <c r="G742" s="1369"/>
      <c r="H742" s="1229"/>
      <c r="I742" s="1370"/>
      <c r="J742" s="1371"/>
      <c r="K742" s="1298"/>
    </row>
    <row r="743" spans="2:11" ht="13">
      <c r="B743" s="1341"/>
      <c r="C743" s="1342"/>
      <c r="D743" s="1342"/>
      <c r="E743" s="1343"/>
      <c r="F743" s="1343"/>
      <c r="G743" s="1343"/>
      <c r="H743" s="1342"/>
      <c r="I743" s="1344" t="s">
        <v>4362</v>
      </c>
      <c r="J743" s="1357"/>
      <c r="K743" s="1358">
        <f>K742</f>
        <v>0</v>
      </c>
    </row>
    <row r="744" spans="2:11" ht="13">
      <c r="B744" s="1236" t="s">
        <v>68</v>
      </c>
      <c r="C744" s="1237"/>
      <c r="D744" s="1204" t="s">
        <v>4363</v>
      </c>
      <c r="E744" s="1205"/>
      <c r="F744" s="1238"/>
      <c r="G744" s="1238"/>
      <c r="H744" s="1239"/>
      <c r="I744" s="1240"/>
      <c r="J744" s="1241"/>
      <c r="K744" s="1242">
        <f>K735+K740+K743</f>
        <v>0</v>
      </c>
    </row>
    <row r="745" spans="2:11" ht="13">
      <c r="B745" s="1236" t="s">
        <v>70</v>
      </c>
      <c r="C745" s="1237"/>
      <c r="D745" s="1326" t="s">
        <v>4364</v>
      </c>
      <c r="E745" s="1314"/>
      <c r="F745" s="1314"/>
      <c r="G745" s="1314"/>
      <c r="H745" s="1328"/>
      <c r="I745" s="1372">
        <f>$K$4</f>
        <v>0.1</v>
      </c>
      <c r="J745" s="1372"/>
      <c r="K745" s="1330">
        <f>K744*I745</f>
        <v>0</v>
      </c>
    </row>
    <row r="746" spans="2:11" ht="13">
      <c r="B746" s="1243" t="s">
        <v>71</v>
      </c>
      <c r="C746" s="1244"/>
      <c r="D746" s="1245" t="s">
        <v>4340</v>
      </c>
      <c r="E746" s="1246"/>
      <c r="F746" s="1246"/>
      <c r="G746" s="1246"/>
      <c r="H746" s="1247"/>
      <c r="I746" s="1248"/>
      <c r="J746" s="1249"/>
      <c r="K746" s="1250">
        <f>K744+K745</f>
        <v>0</v>
      </c>
    </row>
    <row r="747" spans="2:11" ht="13">
      <c r="B747" s="1251"/>
      <c r="C747" s="1036"/>
      <c r="D747" s="1184"/>
      <c r="E747" s="1252"/>
      <c r="F747" s="1252"/>
      <c r="G747" s="1252"/>
      <c r="H747" s="1036"/>
      <c r="I747" s="1253"/>
      <c r="J747" s="1254"/>
      <c r="K747" s="1255"/>
    </row>
    <row r="748" spans="2:11" ht="13">
      <c r="B748" s="1031"/>
      <c r="C748" s="1184" t="s">
        <v>4408</v>
      </c>
      <c r="D748" s="1185"/>
      <c r="E748" s="1185"/>
      <c r="F748" s="1185"/>
      <c r="G748" s="1033"/>
      <c r="H748" s="1033"/>
      <c r="I748" s="1033"/>
      <c r="J748" s="1033"/>
      <c r="K748" s="1033"/>
    </row>
    <row r="749" spans="2:11" ht="13">
      <c r="B749" s="1687" t="s">
        <v>3235</v>
      </c>
      <c r="C749" s="1690" t="s">
        <v>4288</v>
      </c>
      <c r="D749" s="1691"/>
      <c r="E749" s="1691"/>
      <c r="F749" s="1691"/>
      <c r="G749" s="1186"/>
      <c r="H749" s="1696" t="s">
        <v>4289</v>
      </c>
      <c r="I749" s="1696" t="s">
        <v>4290</v>
      </c>
      <c r="J749" s="1035" t="s">
        <v>1955</v>
      </c>
      <c r="K749" s="1035"/>
    </row>
    <row r="750" spans="2:11" ht="13">
      <c r="B750" s="1688"/>
      <c r="C750" s="1692"/>
      <c r="D750" s="1693"/>
      <c r="E750" s="1693"/>
      <c r="F750" s="1693"/>
      <c r="G750" s="1187" t="s">
        <v>4291</v>
      </c>
      <c r="H750" s="1697"/>
      <c r="I750" s="1697"/>
      <c r="J750" s="1037" t="s">
        <v>1954</v>
      </c>
      <c r="K750" s="1037" t="s">
        <v>3239</v>
      </c>
    </row>
    <row r="751" spans="2:11" ht="13">
      <c r="B751" s="1689"/>
      <c r="C751" s="1694"/>
      <c r="D751" s="1695"/>
      <c r="E751" s="1695"/>
      <c r="F751" s="1695"/>
      <c r="G751" s="1188"/>
      <c r="H751" s="1698"/>
      <c r="I751" s="1698"/>
      <c r="J751" s="1038" t="s">
        <v>4292</v>
      </c>
      <c r="K751" s="1038" t="s">
        <v>4292</v>
      </c>
    </row>
    <row r="752" spans="2:11" ht="13">
      <c r="B752" s="1260">
        <v>1</v>
      </c>
      <c r="C752" s="1699">
        <v>2</v>
      </c>
      <c r="D752" s="1700"/>
      <c r="E752" s="1700"/>
      <c r="F752" s="1700"/>
      <c r="G752" s="1261">
        <v>3</v>
      </c>
      <c r="H752" s="1262">
        <v>4</v>
      </c>
      <c r="I752" s="1263">
        <v>5</v>
      </c>
      <c r="J752" s="1262">
        <v>6</v>
      </c>
      <c r="K752" s="1262">
        <f>J752+1</f>
        <v>7</v>
      </c>
    </row>
    <row r="753" spans="2:11">
      <c r="B753" s="1196"/>
      <c r="C753" s="1185"/>
      <c r="D753" s="1185"/>
      <c r="E753" s="1338"/>
      <c r="F753" s="1338"/>
      <c r="G753" s="1199"/>
      <c r="H753" s="1200"/>
      <c r="I753" s="1201"/>
      <c r="J753" s="1201"/>
      <c r="K753" s="1202"/>
    </row>
    <row r="754" spans="2:11" ht="13">
      <c r="B754" s="1193" t="s">
        <v>45</v>
      </c>
      <c r="C754" s="1203"/>
      <c r="D754" s="1339" t="s">
        <v>4345</v>
      </c>
      <c r="E754" s="1339"/>
      <c r="F754" s="1339"/>
      <c r="G754" s="1206"/>
      <c r="H754" s="1207"/>
      <c r="I754" s="1208"/>
      <c r="J754" s="1209"/>
      <c r="K754" s="1210"/>
    </row>
    <row r="755" spans="2:11">
      <c r="B755" s="1211">
        <v>1</v>
      </c>
      <c r="C755" s="1212"/>
      <c r="D755" s="1340" t="s">
        <v>47</v>
      </c>
      <c r="E755" s="1340"/>
      <c r="F755" s="1340"/>
      <c r="G755" s="1215" t="s">
        <v>4303</v>
      </c>
      <c r="H755" s="1215" t="s">
        <v>48</v>
      </c>
      <c r="I755" s="1216">
        <v>1</v>
      </c>
      <c r="J755" s="1168">
        <f>J730</f>
        <v>0</v>
      </c>
      <c r="K755" s="1217">
        <f>J755*I755</f>
        <v>0</v>
      </c>
    </row>
    <row r="756" spans="2:11">
      <c r="B756" s="1211">
        <v>2</v>
      </c>
      <c r="C756" s="1218"/>
      <c r="D756" s="1340" t="s">
        <v>4346</v>
      </c>
      <c r="E756" s="1340"/>
      <c r="F756" s="1340"/>
      <c r="G756" s="1215" t="s">
        <v>4306</v>
      </c>
      <c r="H756" s="1215" t="s">
        <v>48</v>
      </c>
      <c r="I756" s="1216">
        <v>0.5</v>
      </c>
      <c r="J756" s="1168">
        <f>J731</f>
        <v>0</v>
      </c>
      <c r="K756" s="1217">
        <f>J756*I756</f>
        <v>0</v>
      </c>
    </row>
    <row r="757" spans="2:11">
      <c r="B757" s="1059">
        <v>3</v>
      </c>
      <c r="C757" s="1276"/>
      <c r="D757" s="1108" t="s">
        <v>50</v>
      </c>
      <c r="E757" s="1108"/>
      <c r="F757" s="1108"/>
      <c r="G757" s="1215" t="s">
        <v>4307</v>
      </c>
      <c r="H757" s="1105" t="s">
        <v>48</v>
      </c>
      <c r="I757" s="1216">
        <f>I756/10</f>
        <v>0.05</v>
      </c>
      <c r="J757" s="1065">
        <f>J732</f>
        <v>0</v>
      </c>
      <c r="K757" s="1109">
        <f>J757*I757</f>
        <v>0</v>
      </c>
    </row>
    <row r="758" spans="2:11">
      <c r="B758" s="1059">
        <v>4</v>
      </c>
      <c r="C758" s="1276"/>
      <c r="D758" s="1108" t="s">
        <v>51</v>
      </c>
      <c r="E758" s="1108"/>
      <c r="F758" s="1108"/>
      <c r="G758" s="1215" t="s">
        <v>4381</v>
      </c>
      <c r="H758" s="1105" t="s">
        <v>48</v>
      </c>
      <c r="I758" s="1216">
        <f>I757/10</f>
        <v>5.0000000000000001E-3</v>
      </c>
      <c r="J758" s="1065">
        <f>J733</f>
        <v>0</v>
      </c>
      <c r="K758" s="1109">
        <f>J758*I758</f>
        <v>0</v>
      </c>
    </row>
    <row r="759" spans="2:11">
      <c r="B759" s="1211"/>
      <c r="C759" s="1218"/>
      <c r="D759" s="1340"/>
      <c r="E759" s="1340"/>
      <c r="F759" s="1340"/>
      <c r="G759" s="1215"/>
      <c r="H759" s="1215"/>
      <c r="I759" s="1216"/>
      <c r="J759" s="1168"/>
      <c r="K759" s="1217"/>
    </row>
    <row r="760" spans="2:11" ht="13">
      <c r="B760" s="1341"/>
      <c r="C760" s="1342"/>
      <c r="D760" s="1342"/>
      <c r="E760" s="1343"/>
      <c r="F760" s="1343"/>
      <c r="G760" s="1343"/>
      <c r="H760" s="1342"/>
      <c r="I760" s="1344" t="s">
        <v>4347</v>
      </c>
      <c r="J760" s="1345"/>
      <c r="K760" s="1346">
        <f>SUM(K755:K759)</f>
        <v>0</v>
      </c>
    </row>
    <row r="761" spans="2:11" ht="13">
      <c r="B761" s="1347" t="s">
        <v>53</v>
      </c>
      <c r="C761" s="1348"/>
      <c r="D761" s="1349" t="s">
        <v>4348</v>
      </c>
      <c r="E761" s="1349"/>
      <c r="F761" s="1349"/>
      <c r="G761" s="1350"/>
      <c r="H761" s="1351"/>
      <c r="I761" s="1352"/>
      <c r="J761" s="1353"/>
      <c r="K761" s="1354"/>
    </row>
    <row r="762" spans="2:11">
      <c r="B762" s="1355">
        <v>1</v>
      </c>
      <c r="C762" s="1218"/>
      <c r="D762" s="1214" t="s">
        <v>4409</v>
      </c>
      <c r="E762" s="1214"/>
      <c r="F762" s="1214"/>
      <c r="G762" s="1297"/>
      <c r="H762" s="1220" t="s">
        <v>113</v>
      </c>
      <c r="I762" s="1221">
        <v>1</v>
      </c>
      <c r="J762" s="1222">
        <v>0</v>
      </c>
      <c r="K762" s="1298">
        <f>J762*I762</f>
        <v>0</v>
      </c>
    </row>
    <row r="763" spans="2:11">
      <c r="B763" s="1385">
        <f>B762+1</f>
        <v>2</v>
      </c>
      <c r="C763" s="1223"/>
      <c r="D763" s="1299" t="s">
        <v>4406</v>
      </c>
      <c r="E763" s="1299"/>
      <c r="F763" s="1299"/>
      <c r="G763" s="1356"/>
      <c r="H763" s="1224" t="s">
        <v>113</v>
      </c>
      <c r="I763" s="1225">
        <v>12</v>
      </c>
      <c r="J763" s="1226">
        <v>0</v>
      </c>
      <c r="K763" s="1298">
        <f t="shared" ref="K763:K764" si="13">J763*I763</f>
        <v>0</v>
      </c>
    </row>
    <row r="764" spans="2:11">
      <c r="B764" s="1385">
        <f>B763+1</f>
        <v>3</v>
      </c>
      <c r="C764" s="1367"/>
      <c r="D764" s="1230" t="s">
        <v>4407</v>
      </c>
      <c r="E764" s="1230"/>
      <c r="F764" s="1230"/>
      <c r="G764" s="1231"/>
      <c r="H764" s="1232" t="s">
        <v>3257</v>
      </c>
      <c r="I764" s="1233">
        <v>1</v>
      </c>
      <c r="J764" s="1234" cm="1">
        <f t="array" ref="J764:J765">K762:K763*0.1</f>
        <v>0</v>
      </c>
      <c r="K764" s="1298">
        <f t="shared" si="13"/>
        <v>0</v>
      </c>
    </row>
    <row r="765" spans="2:11" ht="13">
      <c r="B765" s="1341"/>
      <c r="C765" s="1342"/>
      <c r="D765" s="1342"/>
      <c r="E765" s="1343"/>
      <c r="F765" s="1343"/>
      <c r="G765" s="1343"/>
      <c r="H765" s="1342"/>
      <c r="I765" s="1344" t="s">
        <v>4360</v>
      </c>
      <c r="J765" s="1357">
        <v>0</v>
      </c>
      <c r="K765" s="1358">
        <f>SUM(K762:K764)</f>
        <v>0</v>
      </c>
    </row>
    <row r="766" spans="2:11" ht="13">
      <c r="B766" s="1359" t="s">
        <v>65</v>
      </c>
      <c r="C766" s="1360"/>
      <c r="D766" s="1349" t="s">
        <v>1939</v>
      </c>
      <c r="E766" s="1349"/>
      <c r="F766" s="1349"/>
      <c r="G766" s="1361"/>
      <c r="H766" s="1362"/>
      <c r="I766" s="1363"/>
      <c r="J766" s="1364"/>
      <c r="K766" s="1365"/>
    </row>
    <row r="767" spans="2:11" ht="13">
      <c r="B767" s="1366"/>
      <c r="C767" s="1367"/>
      <c r="D767" s="1368"/>
      <c r="E767" s="1246"/>
      <c r="F767" s="1246"/>
      <c r="G767" s="1369"/>
      <c r="H767" s="1229"/>
      <c r="I767" s="1370"/>
      <c r="J767" s="1371"/>
      <c r="K767" s="1298"/>
    </row>
    <row r="768" spans="2:11" ht="13">
      <c r="B768" s="1341"/>
      <c r="C768" s="1342"/>
      <c r="D768" s="1342"/>
      <c r="E768" s="1343"/>
      <c r="F768" s="1343"/>
      <c r="G768" s="1343"/>
      <c r="H768" s="1342"/>
      <c r="I768" s="1344" t="s">
        <v>4362</v>
      </c>
      <c r="J768" s="1357"/>
      <c r="K768" s="1358">
        <f>K767</f>
        <v>0</v>
      </c>
    </row>
    <row r="769" spans="2:11" ht="13">
      <c r="B769" s="1236" t="s">
        <v>68</v>
      </c>
      <c r="C769" s="1237"/>
      <c r="D769" s="1204" t="s">
        <v>4363</v>
      </c>
      <c r="E769" s="1205"/>
      <c r="F769" s="1238"/>
      <c r="G769" s="1238"/>
      <c r="H769" s="1239"/>
      <c r="I769" s="1240"/>
      <c r="J769" s="1241"/>
      <c r="K769" s="1242">
        <f>K760+K765+K768</f>
        <v>0</v>
      </c>
    </row>
    <row r="770" spans="2:11" ht="13">
      <c r="B770" s="1236" t="s">
        <v>70</v>
      </c>
      <c r="C770" s="1237"/>
      <c r="D770" s="1326" t="s">
        <v>4364</v>
      </c>
      <c r="E770" s="1314"/>
      <c r="F770" s="1314"/>
      <c r="G770" s="1314"/>
      <c r="H770" s="1328"/>
      <c r="I770" s="1372">
        <f>$K$4</f>
        <v>0.1</v>
      </c>
      <c r="J770" s="1372"/>
      <c r="K770" s="1330">
        <f>K769*I770</f>
        <v>0</v>
      </c>
    </row>
    <row r="771" spans="2:11" ht="13">
      <c r="B771" s="1243" t="s">
        <v>71</v>
      </c>
      <c r="C771" s="1244"/>
      <c r="D771" s="1245" t="s">
        <v>4340</v>
      </c>
      <c r="E771" s="1246"/>
      <c r="F771" s="1246"/>
      <c r="G771" s="1246"/>
      <c r="H771" s="1247"/>
      <c r="I771" s="1248"/>
      <c r="J771" s="1249"/>
      <c r="K771" s="1250">
        <f>K769+K770</f>
        <v>0</v>
      </c>
    </row>
    <row r="772" spans="2:11" ht="13">
      <c r="B772" s="1251"/>
      <c r="C772" s="1036"/>
      <c r="D772" s="1184"/>
      <c r="E772" s="1252"/>
      <c r="F772" s="1252"/>
      <c r="G772" s="1252"/>
      <c r="H772" s="1036"/>
      <c r="I772" s="1253"/>
      <c r="J772" s="1254"/>
      <c r="K772" s="1255"/>
    </row>
    <row r="773" spans="2:11" ht="13">
      <c r="B773" s="1031"/>
      <c r="C773" s="1184" t="s">
        <v>4410</v>
      </c>
      <c r="D773" s="1185"/>
      <c r="E773" s="1185"/>
      <c r="F773" s="1185"/>
      <c r="G773" s="1033"/>
      <c r="H773" s="1033"/>
      <c r="I773" s="1033"/>
      <c r="J773" s="1033"/>
      <c r="K773" s="1033"/>
    </row>
    <row r="774" spans="2:11" ht="13">
      <c r="B774" s="1687" t="s">
        <v>3235</v>
      </c>
      <c r="C774" s="1690" t="s">
        <v>4288</v>
      </c>
      <c r="D774" s="1691"/>
      <c r="E774" s="1691"/>
      <c r="F774" s="1691"/>
      <c r="G774" s="1186"/>
      <c r="H774" s="1696" t="s">
        <v>4289</v>
      </c>
      <c r="I774" s="1696" t="s">
        <v>4290</v>
      </c>
      <c r="J774" s="1035" t="s">
        <v>1955</v>
      </c>
      <c r="K774" s="1035"/>
    </row>
    <row r="775" spans="2:11" ht="13">
      <c r="B775" s="1688"/>
      <c r="C775" s="1692"/>
      <c r="D775" s="1693"/>
      <c r="E775" s="1693"/>
      <c r="F775" s="1693"/>
      <c r="G775" s="1187" t="s">
        <v>4291</v>
      </c>
      <c r="H775" s="1697"/>
      <c r="I775" s="1697"/>
      <c r="J775" s="1037" t="s">
        <v>1954</v>
      </c>
      <c r="K775" s="1037" t="s">
        <v>3239</v>
      </c>
    </row>
    <row r="776" spans="2:11" ht="13">
      <c r="B776" s="1689"/>
      <c r="C776" s="1694"/>
      <c r="D776" s="1695"/>
      <c r="E776" s="1695"/>
      <c r="F776" s="1695"/>
      <c r="G776" s="1188"/>
      <c r="H776" s="1698"/>
      <c r="I776" s="1698"/>
      <c r="J776" s="1038" t="s">
        <v>4292</v>
      </c>
      <c r="K776" s="1038" t="s">
        <v>4292</v>
      </c>
    </row>
    <row r="777" spans="2:11" ht="13">
      <c r="B777" s="1260">
        <v>1</v>
      </c>
      <c r="C777" s="1699">
        <v>2</v>
      </c>
      <c r="D777" s="1700"/>
      <c r="E777" s="1700"/>
      <c r="F777" s="1700"/>
      <c r="G777" s="1261">
        <v>3</v>
      </c>
      <c r="H777" s="1262">
        <v>4</v>
      </c>
      <c r="I777" s="1263">
        <v>5</v>
      </c>
      <c r="J777" s="1262">
        <v>6</v>
      </c>
      <c r="K777" s="1262">
        <f>J777+1</f>
        <v>7</v>
      </c>
    </row>
    <row r="778" spans="2:11">
      <c r="B778" s="1196"/>
      <c r="C778" s="1185"/>
      <c r="D778" s="1185"/>
      <c r="E778" s="1338"/>
      <c r="F778" s="1338"/>
      <c r="G778" s="1199"/>
      <c r="H778" s="1200"/>
      <c r="I778" s="1201"/>
      <c r="J778" s="1201"/>
      <c r="K778" s="1202"/>
    </row>
    <row r="779" spans="2:11" ht="13">
      <c r="B779" s="1193" t="s">
        <v>45</v>
      </c>
      <c r="C779" s="1203"/>
      <c r="D779" s="1339" t="s">
        <v>4345</v>
      </c>
      <c r="E779" s="1339"/>
      <c r="F779" s="1339"/>
      <c r="G779" s="1206"/>
      <c r="H779" s="1207"/>
      <c r="I779" s="1208"/>
      <c r="J779" s="1209"/>
      <c r="K779" s="1210"/>
    </row>
    <row r="780" spans="2:11">
      <c r="B780" s="1211">
        <v>1</v>
      </c>
      <c r="C780" s="1212"/>
      <c r="D780" s="1340" t="s">
        <v>47</v>
      </c>
      <c r="E780" s="1340"/>
      <c r="F780" s="1340"/>
      <c r="G780" s="1215" t="s">
        <v>4303</v>
      </c>
      <c r="H780" s="1215" t="s">
        <v>48</v>
      </c>
      <c r="I780" s="1216">
        <v>1</v>
      </c>
      <c r="J780" s="1168">
        <f>J755</f>
        <v>0</v>
      </c>
      <c r="K780" s="1217">
        <f>J780*I780</f>
        <v>0</v>
      </c>
    </row>
    <row r="781" spans="2:11">
      <c r="B781" s="1211">
        <v>2</v>
      </c>
      <c r="C781" s="1218"/>
      <c r="D781" s="1340" t="s">
        <v>4346</v>
      </c>
      <c r="E781" s="1340"/>
      <c r="F781" s="1340"/>
      <c r="G781" s="1215" t="s">
        <v>4306</v>
      </c>
      <c r="H781" s="1215" t="s">
        <v>48</v>
      </c>
      <c r="I781" s="1216">
        <v>0.5</v>
      </c>
      <c r="J781" s="1168">
        <f>J756</f>
        <v>0</v>
      </c>
      <c r="K781" s="1217">
        <f>J781*I781</f>
        <v>0</v>
      </c>
    </row>
    <row r="782" spans="2:11">
      <c r="B782" s="1059">
        <v>3</v>
      </c>
      <c r="C782" s="1276"/>
      <c r="D782" s="1108" t="s">
        <v>50</v>
      </c>
      <c r="E782" s="1108"/>
      <c r="F782" s="1108"/>
      <c r="G782" s="1215" t="s">
        <v>4307</v>
      </c>
      <c r="H782" s="1105" t="s">
        <v>48</v>
      </c>
      <c r="I782" s="1216">
        <f>I781/10</f>
        <v>0.05</v>
      </c>
      <c r="J782" s="1065">
        <f>J757</f>
        <v>0</v>
      </c>
      <c r="K782" s="1109">
        <f>J782*I782</f>
        <v>0</v>
      </c>
    </row>
    <row r="783" spans="2:11">
      <c r="B783" s="1059">
        <v>4</v>
      </c>
      <c r="C783" s="1276"/>
      <c r="D783" s="1108" t="s">
        <v>51</v>
      </c>
      <c r="E783" s="1108"/>
      <c r="F783" s="1108"/>
      <c r="G783" s="1215" t="s">
        <v>4381</v>
      </c>
      <c r="H783" s="1105" t="s">
        <v>48</v>
      </c>
      <c r="I783" s="1216">
        <f>I782/10</f>
        <v>5.0000000000000001E-3</v>
      </c>
      <c r="J783" s="1065">
        <f>J758</f>
        <v>0</v>
      </c>
      <c r="K783" s="1109">
        <f>J783*I783</f>
        <v>0</v>
      </c>
    </row>
    <row r="784" spans="2:11">
      <c r="B784" s="1211"/>
      <c r="C784" s="1218"/>
      <c r="D784" s="1340"/>
      <c r="E784" s="1340"/>
      <c r="F784" s="1340"/>
      <c r="G784" s="1215"/>
      <c r="H784" s="1215"/>
      <c r="I784" s="1216"/>
      <c r="J784" s="1168"/>
      <c r="K784" s="1217"/>
    </row>
    <row r="785" spans="2:11" ht="13">
      <c r="B785" s="1341"/>
      <c r="C785" s="1342"/>
      <c r="D785" s="1342"/>
      <c r="E785" s="1343"/>
      <c r="F785" s="1343"/>
      <c r="G785" s="1343"/>
      <c r="H785" s="1342"/>
      <c r="I785" s="1344" t="s">
        <v>4347</v>
      </c>
      <c r="J785" s="1345"/>
      <c r="K785" s="1346">
        <f>SUM(K780:K784)</f>
        <v>0</v>
      </c>
    </row>
    <row r="786" spans="2:11" ht="13">
      <c r="B786" s="1347" t="s">
        <v>53</v>
      </c>
      <c r="C786" s="1348"/>
      <c r="D786" s="1349" t="s">
        <v>4348</v>
      </c>
      <c r="E786" s="1349"/>
      <c r="F786" s="1349"/>
      <c r="G786" s="1350"/>
      <c r="H786" s="1351"/>
      <c r="I786" s="1352"/>
      <c r="J786" s="1353"/>
      <c r="K786" s="1354"/>
    </row>
    <row r="787" spans="2:11">
      <c r="B787" s="1355">
        <v>1</v>
      </c>
      <c r="C787" s="1218"/>
      <c r="D787" s="1214" t="s">
        <v>4411</v>
      </c>
      <c r="E787" s="1214"/>
      <c r="F787" s="1214"/>
      <c r="G787" s="1297"/>
      <c r="H787" s="1220" t="s">
        <v>113</v>
      </c>
      <c r="I787" s="1221">
        <v>1</v>
      </c>
      <c r="J787" s="1222">
        <v>0</v>
      </c>
      <c r="K787" s="1298">
        <f>J787*I787</f>
        <v>0</v>
      </c>
    </row>
    <row r="788" spans="2:11">
      <c r="B788" s="1385">
        <f>B787+1</f>
        <v>2</v>
      </c>
      <c r="C788" s="1223"/>
      <c r="D788" s="1299" t="s">
        <v>4406</v>
      </c>
      <c r="E788" s="1299"/>
      <c r="F788" s="1299"/>
      <c r="G788" s="1356"/>
      <c r="H788" s="1224" t="s">
        <v>113</v>
      </c>
      <c r="I788" s="1225">
        <v>12</v>
      </c>
      <c r="J788" s="1226">
        <v>0</v>
      </c>
      <c r="K788" s="1298">
        <f t="shared" ref="K788:K789" si="14">J788*I788</f>
        <v>0</v>
      </c>
    </row>
    <row r="789" spans="2:11">
      <c r="B789" s="1385">
        <f>B788+1</f>
        <v>3</v>
      </c>
      <c r="C789" s="1367"/>
      <c r="D789" s="1230" t="s">
        <v>4407</v>
      </c>
      <c r="E789" s="1230"/>
      <c r="F789" s="1230"/>
      <c r="G789" s="1231"/>
      <c r="H789" s="1232" t="s">
        <v>3257</v>
      </c>
      <c r="I789" s="1233">
        <v>1</v>
      </c>
      <c r="J789" s="1234" cm="1">
        <f t="array" ref="J789:J790">K787:K788*0.1</f>
        <v>0</v>
      </c>
      <c r="K789" s="1298">
        <f t="shared" si="14"/>
        <v>0</v>
      </c>
    </row>
    <row r="790" spans="2:11" ht="13">
      <c r="B790" s="1341"/>
      <c r="C790" s="1342"/>
      <c r="D790" s="1342"/>
      <c r="E790" s="1343"/>
      <c r="F790" s="1343"/>
      <c r="G790" s="1343"/>
      <c r="H790" s="1342"/>
      <c r="I790" s="1344" t="s">
        <v>4360</v>
      </c>
      <c r="J790" s="1357">
        <v>0</v>
      </c>
      <c r="K790" s="1358">
        <f>SUM(K787:K789)</f>
        <v>0</v>
      </c>
    </row>
    <row r="791" spans="2:11" ht="13">
      <c r="B791" s="1359" t="s">
        <v>65</v>
      </c>
      <c r="C791" s="1360"/>
      <c r="D791" s="1349" t="s">
        <v>1939</v>
      </c>
      <c r="E791" s="1349"/>
      <c r="F791" s="1349"/>
      <c r="G791" s="1361"/>
      <c r="H791" s="1362"/>
      <c r="I791" s="1363"/>
      <c r="J791" s="1364"/>
      <c r="K791" s="1365"/>
    </row>
    <row r="792" spans="2:11" ht="13">
      <c r="B792" s="1366"/>
      <c r="C792" s="1367"/>
      <c r="D792" s="1368"/>
      <c r="E792" s="1246"/>
      <c r="F792" s="1246"/>
      <c r="G792" s="1369"/>
      <c r="H792" s="1229"/>
      <c r="I792" s="1370"/>
      <c r="J792" s="1371"/>
      <c r="K792" s="1298"/>
    </row>
    <row r="793" spans="2:11" ht="13">
      <c r="B793" s="1341"/>
      <c r="C793" s="1342"/>
      <c r="D793" s="1342"/>
      <c r="E793" s="1343"/>
      <c r="F793" s="1343"/>
      <c r="G793" s="1343"/>
      <c r="H793" s="1342"/>
      <c r="I793" s="1344" t="s">
        <v>4362</v>
      </c>
      <c r="J793" s="1357"/>
      <c r="K793" s="1358">
        <f>K792</f>
        <v>0</v>
      </c>
    </row>
    <row r="794" spans="2:11" ht="13">
      <c r="B794" s="1236" t="s">
        <v>68</v>
      </c>
      <c r="C794" s="1237"/>
      <c r="D794" s="1204" t="s">
        <v>4363</v>
      </c>
      <c r="E794" s="1205"/>
      <c r="F794" s="1238"/>
      <c r="G794" s="1238"/>
      <c r="H794" s="1239"/>
      <c r="I794" s="1240"/>
      <c r="J794" s="1241"/>
      <c r="K794" s="1242">
        <f>K785+K790+K793</f>
        <v>0</v>
      </c>
    </row>
    <row r="795" spans="2:11" ht="13">
      <c r="B795" s="1236" t="s">
        <v>70</v>
      </c>
      <c r="C795" s="1237"/>
      <c r="D795" s="1326" t="s">
        <v>4364</v>
      </c>
      <c r="E795" s="1314"/>
      <c r="F795" s="1314"/>
      <c r="G795" s="1314"/>
      <c r="H795" s="1328"/>
      <c r="I795" s="1372">
        <f>$K$4</f>
        <v>0.1</v>
      </c>
      <c r="J795" s="1372"/>
      <c r="K795" s="1330">
        <f>K794*I795</f>
        <v>0</v>
      </c>
    </row>
    <row r="796" spans="2:11" ht="13">
      <c r="B796" s="1243" t="s">
        <v>71</v>
      </c>
      <c r="C796" s="1244"/>
      <c r="D796" s="1245" t="s">
        <v>4340</v>
      </c>
      <c r="E796" s="1246"/>
      <c r="F796" s="1246"/>
      <c r="G796" s="1246"/>
      <c r="H796" s="1247"/>
      <c r="I796" s="1248"/>
      <c r="J796" s="1249"/>
      <c r="K796" s="1250">
        <f>K794+K795</f>
        <v>0</v>
      </c>
    </row>
    <row r="797" spans="2:11" ht="13">
      <c r="B797" s="1251"/>
      <c r="C797" s="1036"/>
      <c r="D797" s="1184"/>
      <c r="E797" s="1252"/>
      <c r="F797" s="1252"/>
      <c r="G797" s="1252"/>
      <c r="H797" s="1036"/>
      <c r="I797" s="1253"/>
      <c r="J797" s="1254"/>
      <c r="K797" s="1255"/>
    </row>
    <row r="798" spans="2:11" ht="13">
      <c r="B798" s="1031"/>
      <c r="C798" s="1184" t="s">
        <v>4412</v>
      </c>
      <c r="D798" s="1185"/>
      <c r="E798" s="1185"/>
      <c r="F798" s="1185"/>
      <c r="G798" s="1033"/>
      <c r="H798" s="1033"/>
      <c r="I798" s="1033"/>
      <c r="J798" s="1033"/>
      <c r="K798" s="1033"/>
    </row>
    <row r="799" spans="2:11" ht="13">
      <c r="B799" s="1687" t="s">
        <v>3235</v>
      </c>
      <c r="C799" s="1690" t="s">
        <v>4288</v>
      </c>
      <c r="D799" s="1691"/>
      <c r="E799" s="1691"/>
      <c r="F799" s="1691"/>
      <c r="G799" s="1186"/>
      <c r="H799" s="1696" t="s">
        <v>4289</v>
      </c>
      <c r="I799" s="1696" t="s">
        <v>4290</v>
      </c>
      <c r="J799" s="1035" t="s">
        <v>1955</v>
      </c>
      <c r="K799" s="1035"/>
    </row>
    <row r="800" spans="2:11" ht="13">
      <c r="B800" s="1688"/>
      <c r="C800" s="1692"/>
      <c r="D800" s="1693"/>
      <c r="E800" s="1693"/>
      <c r="F800" s="1693"/>
      <c r="G800" s="1187" t="s">
        <v>4291</v>
      </c>
      <c r="H800" s="1697"/>
      <c r="I800" s="1697"/>
      <c r="J800" s="1037" t="s">
        <v>1954</v>
      </c>
      <c r="K800" s="1037" t="s">
        <v>3239</v>
      </c>
    </row>
    <row r="801" spans="2:11" ht="13">
      <c r="B801" s="1689"/>
      <c r="C801" s="1694"/>
      <c r="D801" s="1695"/>
      <c r="E801" s="1695"/>
      <c r="F801" s="1695"/>
      <c r="G801" s="1188"/>
      <c r="H801" s="1698"/>
      <c r="I801" s="1698"/>
      <c r="J801" s="1038" t="s">
        <v>4292</v>
      </c>
      <c r="K801" s="1038" t="s">
        <v>4292</v>
      </c>
    </row>
    <row r="802" spans="2:11" ht="13">
      <c r="B802" s="1260">
        <v>1</v>
      </c>
      <c r="C802" s="1699">
        <v>2</v>
      </c>
      <c r="D802" s="1700"/>
      <c r="E802" s="1700"/>
      <c r="F802" s="1700"/>
      <c r="G802" s="1261">
        <v>3</v>
      </c>
      <c r="H802" s="1262">
        <v>4</v>
      </c>
      <c r="I802" s="1263">
        <v>5</v>
      </c>
      <c r="J802" s="1262">
        <v>6</v>
      </c>
      <c r="K802" s="1262">
        <f>J802+1</f>
        <v>7</v>
      </c>
    </row>
    <row r="803" spans="2:11">
      <c r="B803" s="1196"/>
      <c r="C803" s="1185"/>
      <c r="D803" s="1185"/>
      <c r="E803" s="1338"/>
      <c r="F803" s="1338"/>
      <c r="G803" s="1199"/>
      <c r="H803" s="1200"/>
      <c r="I803" s="1201"/>
      <c r="J803" s="1201"/>
      <c r="K803" s="1202"/>
    </row>
    <row r="804" spans="2:11" ht="13">
      <c r="B804" s="1193" t="s">
        <v>45</v>
      </c>
      <c r="C804" s="1203"/>
      <c r="D804" s="1339" t="s">
        <v>4345</v>
      </c>
      <c r="E804" s="1339"/>
      <c r="F804" s="1339"/>
      <c r="G804" s="1206"/>
      <c r="H804" s="1207"/>
      <c r="I804" s="1208"/>
      <c r="J804" s="1209"/>
      <c r="K804" s="1210"/>
    </row>
    <row r="805" spans="2:11">
      <c r="B805" s="1211">
        <v>1</v>
      </c>
      <c r="C805" s="1212"/>
      <c r="D805" s="1340" t="s">
        <v>47</v>
      </c>
      <c r="E805" s="1340"/>
      <c r="F805" s="1340"/>
      <c r="G805" s="1215" t="s">
        <v>4303</v>
      </c>
      <c r="H805" s="1215" t="s">
        <v>48</v>
      </c>
      <c r="I805" s="1216">
        <v>1</v>
      </c>
      <c r="J805" s="1168">
        <f>J780</f>
        <v>0</v>
      </c>
      <c r="K805" s="1217">
        <f>J805*I805</f>
        <v>0</v>
      </c>
    </row>
    <row r="806" spans="2:11">
      <c r="B806" s="1211">
        <v>2</v>
      </c>
      <c r="C806" s="1218"/>
      <c r="D806" s="1340" t="s">
        <v>4346</v>
      </c>
      <c r="E806" s="1340"/>
      <c r="F806" s="1340"/>
      <c r="G806" s="1215" t="s">
        <v>4306</v>
      </c>
      <c r="H806" s="1215" t="s">
        <v>48</v>
      </c>
      <c r="I806" s="1216">
        <v>0.5</v>
      </c>
      <c r="J806" s="1168">
        <f>J781</f>
        <v>0</v>
      </c>
      <c r="K806" s="1217">
        <f>J806*I806</f>
        <v>0</v>
      </c>
    </row>
    <row r="807" spans="2:11">
      <c r="B807" s="1059">
        <v>3</v>
      </c>
      <c r="C807" s="1276"/>
      <c r="D807" s="1108" t="s">
        <v>50</v>
      </c>
      <c r="E807" s="1108"/>
      <c r="F807" s="1108"/>
      <c r="G807" s="1215" t="s">
        <v>4307</v>
      </c>
      <c r="H807" s="1105" t="s">
        <v>48</v>
      </c>
      <c r="I807" s="1216">
        <f>I806/10</f>
        <v>0.05</v>
      </c>
      <c r="J807" s="1065">
        <f>J782</f>
        <v>0</v>
      </c>
      <c r="K807" s="1109">
        <f>J807*I807</f>
        <v>0</v>
      </c>
    </row>
    <row r="808" spans="2:11">
      <c r="B808" s="1059">
        <v>4</v>
      </c>
      <c r="C808" s="1276"/>
      <c r="D808" s="1108" t="s">
        <v>51</v>
      </c>
      <c r="E808" s="1108"/>
      <c r="F808" s="1108"/>
      <c r="G808" s="1215" t="s">
        <v>4381</v>
      </c>
      <c r="H808" s="1105" t="s">
        <v>48</v>
      </c>
      <c r="I808" s="1216">
        <f>I807/10</f>
        <v>5.0000000000000001E-3</v>
      </c>
      <c r="J808" s="1065">
        <f>J783</f>
        <v>0</v>
      </c>
      <c r="K808" s="1109">
        <f>J808*I808</f>
        <v>0</v>
      </c>
    </row>
    <row r="809" spans="2:11">
      <c r="B809" s="1211"/>
      <c r="C809" s="1218"/>
      <c r="D809" s="1340"/>
      <c r="E809" s="1340"/>
      <c r="F809" s="1340"/>
      <c r="G809" s="1215"/>
      <c r="H809" s="1215"/>
      <c r="I809" s="1216"/>
      <c r="J809" s="1168"/>
      <c r="K809" s="1217"/>
    </row>
    <row r="810" spans="2:11" ht="13">
      <c r="B810" s="1341"/>
      <c r="C810" s="1342"/>
      <c r="D810" s="1342"/>
      <c r="E810" s="1343"/>
      <c r="F810" s="1343"/>
      <c r="G810" s="1343"/>
      <c r="H810" s="1342"/>
      <c r="I810" s="1344" t="s">
        <v>4347</v>
      </c>
      <c r="J810" s="1345"/>
      <c r="K810" s="1346">
        <f>SUM(K805:K809)</f>
        <v>0</v>
      </c>
    </row>
    <row r="811" spans="2:11" ht="13">
      <c r="B811" s="1347" t="s">
        <v>53</v>
      </c>
      <c r="C811" s="1348"/>
      <c r="D811" s="1349" t="s">
        <v>4348</v>
      </c>
      <c r="E811" s="1349"/>
      <c r="F811" s="1349"/>
      <c r="G811" s="1350"/>
      <c r="H811" s="1351"/>
      <c r="I811" s="1352"/>
      <c r="J811" s="1353"/>
      <c r="K811" s="1354"/>
    </row>
    <row r="812" spans="2:11">
      <c r="B812" s="1355">
        <v>1</v>
      </c>
      <c r="C812" s="1218"/>
      <c r="D812" s="1214" t="s">
        <v>4413</v>
      </c>
      <c r="E812" s="1214"/>
      <c r="F812" s="1214"/>
      <c r="G812" s="1297"/>
      <c r="H812" s="1220" t="s">
        <v>113</v>
      </c>
      <c r="I812" s="1221">
        <v>1</v>
      </c>
      <c r="J812" s="1222">
        <v>0</v>
      </c>
      <c r="K812" s="1298">
        <f>J812*I812</f>
        <v>0</v>
      </c>
    </row>
    <row r="813" spans="2:11">
      <c r="B813" s="1385">
        <f>B812+1</f>
        <v>2</v>
      </c>
      <c r="C813" s="1223"/>
      <c r="D813" s="1299" t="s">
        <v>4406</v>
      </c>
      <c r="E813" s="1299"/>
      <c r="F813" s="1299"/>
      <c r="G813" s="1356"/>
      <c r="H813" s="1224" t="s">
        <v>113</v>
      </c>
      <c r="I813" s="1225">
        <v>15</v>
      </c>
      <c r="J813" s="1226">
        <v>0</v>
      </c>
      <c r="K813" s="1298">
        <f t="shared" ref="K813:K814" si="15">J813*I813</f>
        <v>0</v>
      </c>
    </row>
    <row r="814" spans="2:11">
      <c r="B814" s="1385">
        <f>B813+1</f>
        <v>3</v>
      </c>
      <c r="C814" s="1367"/>
      <c r="D814" s="1230" t="s">
        <v>4407</v>
      </c>
      <c r="E814" s="1230"/>
      <c r="F814" s="1230"/>
      <c r="G814" s="1231"/>
      <c r="H814" s="1232" t="s">
        <v>3257</v>
      </c>
      <c r="I814" s="1233">
        <v>1</v>
      </c>
      <c r="J814" s="1234" cm="1">
        <f t="array" ref="J814:J815">K812:K813*0.1</f>
        <v>0</v>
      </c>
      <c r="K814" s="1298">
        <f t="shared" si="15"/>
        <v>0</v>
      </c>
    </row>
    <row r="815" spans="2:11" ht="13">
      <c r="B815" s="1341"/>
      <c r="C815" s="1342"/>
      <c r="D815" s="1342"/>
      <c r="E815" s="1343"/>
      <c r="F815" s="1343"/>
      <c r="G815" s="1343"/>
      <c r="H815" s="1342"/>
      <c r="I815" s="1344" t="s">
        <v>4360</v>
      </c>
      <c r="J815" s="1357">
        <v>0</v>
      </c>
      <c r="K815" s="1358">
        <f>SUM(K812:K814)</f>
        <v>0</v>
      </c>
    </row>
    <row r="816" spans="2:11" ht="13">
      <c r="B816" s="1359" t="s">
        <v>65</v>
      </c>
      <c r="C816" s="1360"/>
      <c r="D816" s="1349" t="s">
        <v>1939</v>
      </c>
      <c r="E816" s="1349"/>
      <c r="F816" s="1349"/>
      <c r="G816" s="1361"/>
      <c r="H816" s="1362"/>
      <c r="I816" s="1363"/>
      <c r="J816" s="1364"/>
      <c r="K816" s="1365"/>
    </row>
    <row r="817" spans="2:11" ht="13">
      <c r="B817" s="1366"/>
      <c r="C817" s="1367"/>
      <c r="D817" s="1368"/>
      <c r="E817" s="1246"/>
      <c r="F817" s="1246"/>
      <c r="G817" s="1369"/>
      <c r="H817" s="1229"/>
      <c r="I817" s="1370"/>
      <c r="J817" s="1371"/>
      <c r="K817" s="1298"/>
    </row>
    <row r="818" spans="2:11" ht="13">
      <c r="B818" s="1341"/>
      <c r="C818" s="1342"/>
      <c r="D818" s="1342"/>
      <c r="E818" s="1343"/>
      <c r="F818" s="1343"/>
      <c r="G818" s="1343"/>
      <c r="H818" s="1342"/>
      <c r="I818" s="1344" t="s">
        <v>4362</v>
      </c>
      <c r="J818" s="1357"/>
      <c r="K818" s="1358">
        <f>K817</f>
        <v>0</v>
      </c>
    </row>
    <row r="819" spans="2:11" ht="13">
      <c r="B819" s="1236" t="s">
        <v>68</v>
      </c>
      <c r="C819" s="1237"/>
      <c r="D819" s="1204" t="s">
        <v>4363</v>
      </c>
      <c r="E819" s="1205"/>
      <c r="F819" s="1238"/>
      <c r="G819" s="1238"/>
      <c r="H819" s="1239"/>
      <c r="I819" s="1240"/>
      <c r="J819" s="1241"/>
      <c r="K819" s="1242">
        <f>K810+K815+K818</f>
        <v>0</v>
      </c>
    </row>
    <row r="820" spans="2:11" ht="13">
      <c r="B820" s="1236" t="s">
        <v>70</v>
      </c>
      <c r="C820" s="1237"/>
      <c r="D820" s="1326" t="s">
        <v>4364</v>
      </c>
      <c r="E820" s="1314"/>
      <c r="F820" s="1314"/>
      <c r="G820" s="1314"/>
      <c r="H820" s="1328"/>
      <c r="I820" s="1372">
        <f>$K$4</f>
        <v>0.1</v>
      </c>
      <c r="J820" s="1372"/>
      <c r="K820" s="1330">
        <f>K819*I820</f>
        <v>0</v>
      </c>
    </row>
    <row r="821" spans="2:11" ht="13">
      <c r="B821" s="1243" t="s">
        <v>71</v>
      </c>
      <c r="C821" s="1244"/>
      <c r="D821" s="1245" t="s">
        <v>4340</v>
      </c>
      <c r="E821" s="1246"/>
      <c r="F821" s="1246"/>
      <c r="G821" s="1246"/>
      <c r="H821" s="1247"/>
      <c r="I821" s="1248"/>
      <c r="J821" s="1249"/>
      <c r="K821" s="1250">
        <f>K819+K820</f>
        <v>0</v>
      </c>
    </row>
    <row r="822" spans="2:11" ht="13">
      <c r="B822" s="1251"/>
      <c r="C822" s="1036"/>
      <c r="D822" s="1184"/>
      <c r="E822" s="1252"/>
      <c r="F822" s="1252"/>
      <c r="G822" s="1252"/>
      <c r="H822" s="1036"/>
      <c r="I822" s="1253"/>
      <c r="J822" s="1254"/>
      <c r="K822" s="1255"/>
    </row>
    <row r="823" spans="2:11" ht="13">
      <c r="B823" s="1031"/>
      <c r="C823" s="1184" t="s">
        <v>4414</v>
      </c>
      <c r="D823" s="1185"/>
      <c r="E823" s="1185"/>
      <c r="F823" s="1185"/>
      <c r="G823" s="1033"/>
      <c r="H823" s="1033"/>
      <c r="I823" s="1033"/>
      <c r="J823" s="1033"/>
      <c r="K823" s="1033"/>
    </row>
    <row r="824" spans="2:11" ht="13">
      <c r="B824" s="1687" t="s">
        <v>3235</v>
      </c>
      <c r="C824" s="1690" t="s">
        <v>4288</v>
      </c>
      <c r="D824" s="1691"/>
      <c r="E824" s="1691"/>
      <c r="F824" s="1691"/>
      <c r="G824" s="1186"/>
      <c r="H824" s="1696" t="s">
        <v>4289</v>
      </c>
      <c r="I824" s="1696" t="s">
        <v>4290</v>
      </c>
      <c r="J824" s="1035" t="s">
        <v>1955</v>
      </c>
      <c r="K824" s="1035"/>
    </row>
    <row r="825" spans="2:11" ht="13">
      <c r="B825" s="1688"/>
      <c r="C825" s="1692"/>
      <c r="D825" s="1693"/>
      <c r="E825" s="1693"/>
      <c r="F825" s="1693"/>
      <c r="G825" s="1187" t="s">
        <v>4291</v>
      </c>
      <c r="H825" s="1697"/>
      <c r="I825" s="1697"/>
      <c r="J825" s="1037" t="s">
        <v>1954</v>
      </c>
      <c r="K825" s="1037" t="s">
        <v>3239</v>
      </c>
    </row>
    <row r="826" spans="2:11" ht="13">
      <c r="B826" s="1689"/>
      <c r="C826" s="1694"/>
      <c r="D826" s="1695"/>
      <c r="E826" s="1695"/>
      <c r="F826" s="1695"/>
      <c r="G826" s="1188"/>
      <c r="H826" s="1698"/>
      <c r="I826" s="1698"/>
      <c r="J826" s="1038" t="s">
        <v>4292</v>
      </c>
      <c r="K826" s="1038" t="s">
        <v>4292</v>
      </c>
    </row>
    <row r="827" spans="2:11" ht="13">
      <c r="B827" s="1260">
        <v>1</v>
      </c>
      <c r="C827" s="1699">
        <v>2</v>
      </c>
      <c r="D827" s="1700"/>
      <c r="E827" s="1700"/>
      <c r="F827" s="1700"/>
      <c r="G827" s="1261">
        <v>3</v>
      </c>
      <c r="H827" s="1262">
        <v>4</v>
      </c>
      <c r="I827" s="1263">
        <v>5</v>
      </c>
      <c r="J827" s="1262">
        <v>6</v>
      </c>
      <c r="K827" s="1262">
        <f>J827+1</f>
        <v>7</v>
      </c>
    </row>
    <row r="828" spans="2:11">
      <c r="B828" s="1196"/>
      <c r="C828" s="1185"/>
      <c r="D828" s="1185"/>
      <c r="E828" s="1338"/>
      <c r="F828" s="1338"/>
      <c r="G828" s="1199"/>
      <c r="H828" s="1200"/>
      <c r="I828" s="1201"/>
      <c r="J828" s="1201"/>
      <c r="K828" s="1202"/>
    </row>
    <row r="829" spans="2:11" ht="13">
      <c r="B829" s="1193" t="s">
        <v>45</v>
      </c>
      <c r="C829" s="1203"/>
      <c r="D829" s="1339" t="s">
        <v>4345</v>
      </c>
      <c r="E829" s="1339"/>
      <c r="F829" s="1339"/>
      <c r="G829" s="1206"/>
      <c r="H829" s="1207"/>
      <c r="I829" s="1208"/>
      <c r="J829" s="1209"/>
      <c r="K829" s="1210"/>
    </row>
    <row r="830" spans="2:11">
      <c r="B830" s="1211">
        <v>1</v>
      </c>
      <c r="C830" s="1212"/>
      <c r="D830" s="1340" t="s">
        <v>47</v>
      </c>
      <c r="E830" s="1340"/>
      <c r="F830" s="1340"/>
      <c r="G830" s="1215" t="s">
        <v>4303</v>
      </c>
      <c r="H830" s="1215" t="s">
        <v>48</v>
      </c>
      <c r="I830" s="1216">
        <v>0.11899999999999999</v>
      </c>
      <c r="J830" s="1168">
        <f>J707</f>
        <v>0</v>
      </c>
      <c r="K830" s="1217">
        <f>J830*I830</f>
        <v>0</v>
      </c>
    </row>
    <row r="831" spans="2:11">
      <c r="B831" s="1211">
        <v>2</v>
      </c>
      <c r="C831" s="1218"/>
      <c r="D831" s="1340" t="s">
        <v>4346</v>
      </c>
      <c r="E831" s="1340"/>
      <c r="F831" s="1340"/>
      <c r="G831" s="1215" t="s">
        <v>4306</v>
      </c>
      <c r="H831" s="1215" t="s">
        <v>48</v>
      </c>
      <c r="I831" s="1216">
        <v>0.19900000000000001</v>
      </c>
      <c r="J831" s="1168">
        <f>J708</f>
        <v>0</v>
      </c>
      <c r="K831" s="1217">
        <f>J831*I831</f>
        <v>0</v>
      </c>
    </row>
    <row r="832" spans="2:11">
      <c r="B832" s="1059">
        <v>3</v>
      </c>
      <c r="C832" s="1276"/>
      <c r="D832" s="1108" t="s">
        <v>50</v>
      </c>
      <c r="E832" s="1108"/>
      <c r="F832" s="1108"/>
      <c r="G832" s="1215" t="s">
        <v>4307</v>
      </c>
      <c r="H832" s="1105" t="s">
        <v>48</v>
      </c>
      <c r="I832" s="1216">
        <v>0.02</v>
      </c>
      <c r="J832" s="1065">
        <f>J709</f>
        <v>0</v>
      </c>
      <c r="K832" s="1109">
        <f>J832*I832</f>
        <v>0</v>
      </c>
    </row>
    <row r="833" spans="2:11">
      <c r="B833" s="1059">
        <v>4</v>
      </c>
      <c r="C833" s="1276"/>
      <c r="D833" s="1108" t="s">
        <v>51</v>
      </c>
      <c r="E833" s="1108"/>
      <c r="F833" s="1108"/>
      <c r="G833" s="1215" t="s">
        <v>4381</v>
      </c>
      <c r="H833" s="1105" t="s">
        <v>48</v>
      </c>
      <c r="I833" s="1216">
        <v>7.0000000000000001E-3</v>
      </c>
      <c r="J833" s="1065">
        <f>J709</f>
        <v>0</v>
      </c>
      <c r="K833" s="1109">
        <f>J833*I833</f>
        <v>0</v>
      </c>
    </row>
    <row r="834" spans="2:11">
      <c r="B834" s="1211"/>
      <c r="C834" s="1218"/>
      <c r="D834" s="1340"/>
      <c r="E834" s="1340"/>
      <c r="F834" s="1340"/>
      <c r="G834" s="1215"/>
      <c r="H834" s="1215"/>
      <c r="I834" s="1216"/>
      <c r="J834" s="1168"/>
      <c r="K834" s="1217"/>
    </row>
    <row r="835" spans="2:11" ht="13">
      <c r="B835" s="1341"/>
      <c r="C835" s="1342"/>
      <c r="D835" s="1342"/>
      <c r="E835" s="1343"/>
      <c r="F835" s="1343"/>
      <c r="G835" s="1343"/>
      <c r="H835" s="1342"/>
      <c r="I835" s="1344" t="s">
        <v>4347</v>
      </c>
      <c r="J835" s="1345"/>
      <c r="K835" s="1346">
        <f>SUM(K830:K834)</f>
        <v>0</v>
      </c>
    </row>
    <row r="836" spans="2:11" ht="13">
      <c r="B836" s="1347" t="s">
        <v>53</v>
      </c>
      <c r="C836" s="1348"/>
      <c r="D836" s="1349" t="s">
        <v>4348</v>
      </c>
      <c r="E836" s="1349"/>
      <c r="F836" s="1349"/>
      <c r="G836" s="1350"/>
      <c r="H836" s="1351"/>
      <c r="I836" s="1352"/>
      <c r="J836" s="1353"/>
      <c r="K836" s="1354"/>
    </row>
    <row r="837" spans="2:11">
      <c r="B837" s="1355">
        <v>1</v>
      </c>
      <c r="C837" s="1218"/>
      <c r="D837" s="1214" t="s">
        <v>4415</v>
      </c>
      <c r="E837" s="1214"/>
      <c r="F837" s="1214"/>
      <c r="G837" s="1297"/>
      <c r="H837" s="1220" t="s">
        <v>113</v>
      </c>
      <c r="I837" s="1221">
        <v>1</v>
      </c>
      <c r="J837" s="1222">
        <v>0</v>
      </c>
      <c r="K837" s="1298">
        <f>J837*I837</f>
        <v>0</v>
      </c>
    </row>
    <row r="838" spans="2:11">
      <c r="B838" s="1366">
        <v>2</v>
      </c>
      <c r="C838" s="1367"/>
      <c r="D838" s="1230" t="s">
        <v>4403</v>
      </c>
      <c r="E838" s="1230"/>
      <c r="F838" s="1230"/>
      <c r="G838" s="1231"/>
      <c r="H838" s="1232" t="s">
        <v>3257</v>
      </c>
      <c r="I838" s="1233">
        <v>1</v>
      </c>
      <c r="J838" s="1234">
        <f>K837*0.2</f>
        <v>0</v>
      </c>
      <c r="K838" s="1298">
        <f>J838*I838</f>
        <v>0</v>
      </c>
    </row>
    <row r="839" spans="2:11" ht="13">
      <c r="B839" s="1341"/>
      <c r="C839" s="1342"/>
      <c r="D839" s="1342"/>
      <c r="E839" s="1343"/>
      <c r="F839" s="1343"/>
      <c r="G839" s="1343"/>
      <c r="H839" s="1342"/>
      <c r="I839" s="1344" t="s">
        <v>4360</v>
      </c>
      <c r="J839" s="1357"/>
      <c r="K839" s="1358">
        <f>SUM(K837:K838)</f>
        <v>0</v>
      </c>
    </row>
    <row r="840" spans="2:11" ht="13">
      <c r="B840" s="1359" t="s">
        <v>65</v>
      </c>
      <c r="C840" s="1360"/>
      <c r="D840" s="1349" t="s">
        <v>1939</v>
      </c>
      <c r="E840" s="1349"/>
      <c r="F840" s="1349"/>
      <c r="G840" s="1361"/>
      <c r="H840" s="1362"/>
      <c r="I840" s="1363"/>
      <c r="J840" s="1364"/>
      <c r="K840" s="1365"/>
    </row>
    <row r="841" spans="2:11" ht="13">
      <c r="B841" s="1366"/>
      <c r="C841" s="1367"/>
      <c r="D841" s="1368"/>
      <c r="E841" s="1246"/>
      <c r="F841" s="1246"/>
      <c r="G841" s="1369"/>
      <c r="H841" s="1229"/>
      <c r="I841" s="1370"/>
      <c r="J841" s="1371"/>
      <c r="K841" s="1298"/>
    </row>
    <row r="842" spans="2:11" ht="13">
      <c r="B842" s="1341"/>
      <c r="C842" s="1342"/>
      <c r="D842" s="1342"/>
      <c r="E842" s="1343"/>
      <c r="F842" s="1343"/>
      <c r="G842" s="1343"/>
      <c r="H842" s="1342"/>
      <c r="I842" s="1344" t="s">
        <v>4362</v>
      </c>
      <c r="J842" s="1357"/>
      <c r="K842" s="1358">
        <f>K841</f>
        <v>0</v>
      </c>
    </row>
    <row r="843" spans="2:11" ht="13">
      <c r="B843" s="1236" t="s">
        <v>68</v>
      </c>
      <c r="C843" s="1237"/>
      <c r="D843" s="1204" t="s">
        <v>4363</v>
      </c>
      <c r="E843" s="1205"/>
      <c r="F843" s="1238"/>
      <c r="G843" s="1238"/>
      <c r="H843" s="1239"/>
      <c r="I843" s="1240"/>
      <c r="J843" s="1241"/>
      <c r="K843" s="1242">
        <f>K835+K839+K842</f>
        <v>0</v>
      </c>
    </row>
    <row r="844" spans="2:11" ht="13">
      <c r="B844" s="1236" t="s">
        <v>70</v>
      </c>
      <c r="C844" s="1237"/>
      <c r="D844" s="1326" t="s">
        <v>4364</v>
      </c>
      <c r="E844" s="1314"/>
      <c r="F844" s="1314"/>
      <c r="G844" s="1314"/>
      <c r="H844" s="1328"/>
      <c r="I844" s="1372">
        <f>$K$4</f>
        <v>0.1</v>
      </c>
      <c r="J844" s="1372"/>
      <c r="K844" s="1330">
        <f>K843*I844</f>
        <v>0</v>
      </c>
    </row>
    <row r="845" spans="2:11" ht="13">
      <c r="B845" s="1243" t="s">
        <v>71</v>
      </c>
      <c r="C845" s="1244"/>
      <c r="D845" s="1245" t="s">
        <v>4340</v>
      </c>
      <c r="E845" s="1246"/>
      <c r="F845" s="1246"/>
      <c r="G845" s="1246"/>
      <c r="H845" s="1247"/>
      <c r="I845" s="1248"/>
      <c r="J845" s="1249"/>
      <c r="K845" s="1250">
        <f>K843+K844</f>
        <v>0</v>
      </c>
    </row>
    <row r="846" spans="2:11" ht="13">
      <c r="B846" s="1251"/>
      <c r="C846" s="1036"/>
      <c r="D846" s="1184"/>
      <c r="E846" s="1252"/>
      <c r="F846" s="1252"/>
      <c r="G846" s="1252"/>
      <c r="H846" s="1036"/>
      <c r="I846" s="1253"/>
      <c r="J846" s="1254"/>
      <c r="K846" s="1255"/>
    </row>
    <row r="847" spans="2:11" ht="13">
      <c r="B847" s="1031"/>
      <c r="C847" s="1184" t="s">
        <v>4416</v>
      </c>
      <c r="D847" s="1185"/>
      <c r="E847" s="1185"/>
      <c r="F847" s="1185"/>
      <c r="G847" s="1033"/>
      <c r="H847" s="1033"/>
      <c r="I847" s="1033"/>
      <c r="J847" s="1033"/>
      <c r="K847" s="1033"/>
    </row>
    <row r="848" spans="2:11" ht="13">
      <c r="B848" s="1687" t="s">
        <v>3235</v>
      </c>
      <c r="C848" s="1690" t="s">
        <v>4288</v>
      </c>
      <c r="D848" s="1691"/>
      <c r="E848" s="1691"/>
      <c r="F848" s="1691"/>
      <c r="G848" s="1186"/>
      <c r="H848" s="1696" t="s">
        <v>4289</v>
      </c>
      <c r="I848" s="1696" t="s">
        <v>4290</v>
      </c>
      <c r="J848" s="1035" t="s">
        <v>1955</v>
      </c>
      <c r="K848" s="1035"/>
    </row>
    <row r="849" spans="2:11" ht="13">
      <c r="B849" s="1688"/>
      <c r="C849" s="1692"/>
      <c r="D849" s="1693"/>
      <c r="E849" s="1693"/>
      <c r="F849" s="1693"/>
      <c r="G849" s="1187" t="s">
        <v>4291</v>
      </c>
      <c r="H849" s="1697"/>
      <c r="I849" s="1697"/>
      <c r="J849" s="1037" t="s">
        <v>1954</v>
      </c>
      <c r="K849" s="1037" t="s">
        <v>3239</v>
      </c>
    </row>
    <row r="850" spans="2:11" ht="13">
      <c r="B850" s="1689"/>
      <c r="C850" s="1694"/>
      <c r="D850" s="1695"/>
      <c r="E850" s="1695"/>
      <c r="F850" s="1695"/>
      <c r="G850" s="1188"/>
      <c r="H850" s="1698"/>
      <c r="I850" s="1698"/>
      <c r="J850" s="1038" t="s">
        <v>4292</v>
      </c>
      <c r="K850" s="1038" t="s">
        <v>4292</v>
      </c>
    </row>
    <row r="851" spans="2:11" ht="13">
      <c r="B851" s="1260">
        <v>1</v>
      </c>
      <c r="C851" s="1699">
        <v>2</v>
      </c>
      <c r="D851" s="1700"/>
      <c r="E851" s="1700"/>
      <c r="F851" s="1700"/>
      <c r="G851" s="1261">
        <v>3</v>
      </c>
      <c r="H851" s="1262">
        <v>4</v>
      </c>
      <c r="I851" s="1263">
        <v>5</v>
      </c>
      <c r="J851" s="1262">
        <v>6</v>
      </c>
      <c r="K851" s="1262">
        <f>J851+1</f>
        <v>7</v>
      </c>
    </row>
    <row r="852" spans="2:11">
      <c r="B852" s="1196"/>
      <c r="C852" s="1185"/>
      <c r="D852" s="1185"/>
      <c r="E852" s="1338"/>
      <c r="F852" s="1338"/>
      <c r="G852" s="1199"/>
      <c r="H852" s="1200"/>
      <c r="I852" s="1201"/>
      <c r="J852" s="1201"/>
      <c r="K852" s="1202"/>
    </row>
    <row r="853" spans="2:11" ht="13">
      <c r="B853" s="1193" t="s">
        <v>45</v>
      </c>
      <c r="C853" s="1203"/>
      <c r="D853" s="1339" t="s">
        <v>4345</v>
      </c>
      <c r="E853" s="1339"/>
      <c r="F853" s="1339"/>
      <c r="G853" s="1206"/>
      <c r="H853" s="1207"/>
      <c r="I853" s="1208"/>
      <c r="J853" s="1209"/>
      <c r="K853" s="1210"/>
    </row>
    <row r="854" spans="2:11">
      <c r="B854" s="1211">
        <v>1</v>
      </c>
      <c r="C854" s="1212"/>
      <c r="D854" s="1340" t="s">
        <v>47</v>
      </c>
      <c r="E854" s="1340"/>
      <c r="F854" s="1340"/>
      <c r="G854" s="1215" t="s">
        <v>4303</v>
      </c>
      <c r="H854" s="1215" t="s">
        <v>48</v>
      </c>
      <c r="I854" s="1216">
        <v>0.11899999999999999</v>
      </c>
      <c r="J854" s="1168">
        <f>J706</f>
        <v>0</v>
      </c>
      <c r="K854" s="1217">
        <f>J854*I854</f>
        <v>0</v>
      </c>
    </row>
    <row r="855" spans="2:11">
      <c r="B855" s="1211">
        <v>2</v>
      </c>
      <c r="C855" s="1218"/>
      <c r="D855" s="1340" t="s">
        <v>4346</v>
      </c>
      <c r="E855" s="1340"/>
      <c r="F855" s="1340"/>
      <c r="G855" s="1215" t="s">
        <v>4306</v>
      </c>
      <c r="H855" s="1215" t="s">
        <v>48</v>
      </c>
      <c r="I855" s="1216">
        <v>0.19900000000000001</v>
      </c>
      <c r="J855" s="1168">
        <f>J707</f>
        <v>0</v>
      </c>
      <c r="K855" s="1217">
        <f>J855*I855</f>
        <v>0</v>
      </c>
    </row>
    <row r="856" spans="2:11">
      <c r="B856" s="1059">
        <v>3</v>
      </c>
      <c r="C856" s="1276"/>
      <c r="D856" s="1108" t="s">
        <v>50</v>
      </c>
      <c r="E856" s="1108"/>
      <c r="F856" s="1108"/>
      <c r="G856" s="1215" t="s">
        <v>4307</v>
      </c>
      <c r="H856" s="1105" t="s">
        <v>48</v>
      </c>
      <c r="I856" s="1216">
        <v>0.02</v>
      </c>
      <c r="J856" s="1065">
        <f>J708</f>
        <v>0</v>
      </c>
      <c r="K856" s="1109">
        <f>J856*I856</f>
        <v>0</v>
      </c>
    </row>
    <row r="857" spans="2:11">
      <c r="B857" s="1059">
        <v>4</v>
      </c>
      <c r="C857" s="1276"/>
      <c r="D857" s="1108" t="s">
        <v>51</v>
      </c>
      <c r="E857" s="1108"/>
      <c r="F857" s="1108"/>
      <c r="G857" s="1215" t="s">
        <v>4381</v>
      </c>
      <c r="H857" s="1105" t="s">
        <v>48</v>
      </c>
      <c r="I857" s="1216">
        <v>7.0000000000000001E-3</v>
      </c>
      <c r="J857" s="1065">
        <f>J709</f>
        <v>0</v>
      </c>
      <c r="K857" s="1109">
        <f>J857*I857</f>
        <v>0</v>
      </c>
    </row>
    <row r="858" spans="2:11">
      <c r="B858" s="1211"/>
      <c r="C858" s="1218"/>
      <c r="D858" s="1340"/>
      <c r="E858" s="1340"/>
      <c r="F858" s="1340"/>
      <c r="G858" s="1215"/>
      <c r="H858" s="1215"/>
      <c r="I858" s="1216"/>
      <c r="J858" s="1168"/>
      <c r="K858" s="1217"/>
    </row>
    <row r="859" spans="2:11" ht="13">
      <c r="B859" s="1341"/>
      <c r="C859" s="1342"/>
      <c r="D859" s="1342"/>
      <c r="E859" s="1343"/>
      <c r="F859" s="1343"/>
      <c r="G859" s="1343"/>
      <c r="H859" s="1342"/>
      <c r="I859" s="1344" t="s">
        <v>4347</v>
      </c>
      <c r="J859" s="1345"/>
      <c r="K859" s="1346">
        <f>SUM(K854:K858)</f>
        <v>0</v>
      </c>
    </row>
    <row r="860" spans="2:11" ht="13">
      <c r="B860" s="1347" t="s">
        <v>53</v>
      </c>
      <c r="C860" s="1348"/>
      <c r="D860" s="1349" t="s">
        <v>4348</v>
      </c>
      <c r="E860" s="1349"/>
      <c r="F860" s="1349"/>
      <c r="G860" s="1350"/>
      <c r="H860" s="1351"/>
      <c r="I860" s="1352"/>
      <c r="J860" s="1353"/>
      <c r="K860" s="1354"/>
    </row>
    <row r="861" spans="2:11">
      <c r="B861" s="1355">
        <v>1</v>
      </c>
      <c r="C861" s="1218"/>
      <c r="D861" s="1214" t="s">
        <v>4417</v>
      </c>
      <c r="E861" s="1214"/>
      <c r="F861" s="1214"/>
      <c r="G861" s="1297"/>
      <c r="H861" s="1220" t="s">
        <v>113</v>
      </c>
      <c r="I861" s="1221">
        <v>1</v>
      </c>
      <c r="J861" s="1222">
        <v>0</v>
      </c>
      <c r="K861" s="1298">
        <f>J861*I861</f>
        <v>0</v>
      </c>
    </row>
    <row r="862" spans="2:11">
      <c r="B862" s="1366">
        <v>2</v>
      </c>
      <c r="C862" s="1367"/>
      <c r="D862" s="1230" t="s">
        <v>4403</v>
      </c>
      <c r="E862" s="1230"/>
      <c r="F862" s="1230"/>
      <c r="G862" s="1231"/>
      <c r="H862" s="1232" t="s">
        <v>3257</v>
      </c>
      <c r="I862" s="1233">
        <v>1</v>
      </c>
      <c r="J862" s="1234">
        <f>K861*0.2</f>
        <v>0</v>
      </c>
      <c r="K862" s="1298">
        <f>J862*I862</f>
        <v>0</v>
      </c>
    </row>
    <row r="863" spans="2:11" ht="13">
      <c r="B863" s="1341"/>
      <c r="C863" s="1342"/>
      <c r="D863" s="1342"/>
      <c r="E863" s="1343"/>
      <c r="F863" s="1343"/>
      <c r="G863" s="1343"/>
      <c r="H863" s="1342"/>
      <c r="I863" s="1344" t="s">
        <v>4360</v>
      </c>
      <c r="J863" s="1357"/>
      <c r="K863" s="1358">
        <f>SUM(K861:K862)</f>
        <v>0</v>
      </c>
    </row>
    <row r="864" spans="2:11" ht="13">
      <c r="B864" s="1359" t="s">
        <v>65</v>
      </c>
      <c r="C864" s="1360"/>
      <c r="D864" s="1349" t="s">
        <v>1939</v>
      </c>
      <c r="E864" s="1349"/>
      <c r="F864" s="1349"/>
      <c r="G864" s="1361"/>
      <c r="H864" s="1362"/>
      <c r="I864" s="1363"/>
      <c r="J864" s="1364"/>
      <c r="K864" s="1365"/>
    </row>
    <row r="865" spans="2:11" ht="13">
      <c r="B865" s="1366"/>
      <c r="C865" s="1367"/>
      <c r="D865" s="1368"/>
      <c r="E865" s="1246"/>
      <c r="F865" s="1246"/>
      <c r="G865" s="1369"/>
      <c r="H865" s="1229"/>
      <c r="I865" s="1370"/>
      <c r="J865" s="1371"/>
      <c r="K865" s="1298"/>
    </row>
    <row r="866" spans="2:11" ht="13">
      <c r="B866" s="1341"/>
      <c r="C866" s="1342"/>
      <c r="D866" s="1342"/>
      <c r="E866" s="1343"/>
      <c r="F866" s="1343"/>
      <c r="G866" s="1343"/>
      <c r="H866" s="1342"/>
      <c r="I866" s="1344" t="s">
        <v>4362</v>
      </c>
      <c r="J866" s="1357"/>
      <c r="K866" s="1358">
        <f>K865</f>
        <v>0</v>
      </c>
    </row>
    <row r="867" spans="2:11" ht="13">
      <c r="B867" s="1236" t="s">
        <v>68</v>
      </c>
      <c r="C867" s="1237"/>
      <c r="D867" s="1204" t="s">
        <v>4363</v>
      </c>
      <c r="E867" s="1205"/>
      <c r="F867" s="1238"/>
      <c r="G867" s="1238"/>
      <c r="H867" s="1239"/>
      <c r="I867" s="1240"/>
      <c r="J867" s="1241"/>
      <c r="K867" s="1242">
        <f>K859+K863+K866</f>
        <v>0</v>
      </c>
    </row>
    <row r="868" spans="2:11" ht="13">
      <c r="B868" s="1236" t="s">
        <v>70</v>
      </c>
      <c r="C868" s="1237"/>
      <c r="D868" s="1326" t="s">
        <v>4364</v>
      </c>
      <c r="E868" s="1314"/>
      <c r="F868" s="1314"/>
      <c r="G868" s="1314"/>
      <c r="H868" s="1328"/>
      <c r="I868" s="1372">
        <f>$K$4</f>
        <v>0.1</v>
      </c>
      <c r="J868" s="1372"/>
      <c r="K868" s="1330">
        <f>K867*I868</f>
        <v>0</v>
      </c>
    </row>
    <row r="869" spans="2:11" ht="13">
      <c r="B869" s="1243" t="s">
        <v>71</v>
      </c>
      <c r="C869" s="1244"/>
      <c r="D869" s="1245" t="s">
        <v>4340</v>
      </c>
      <c r="E869" s="1246"/>
      <c r="F869" s="1246"/>
      <c r="G869" s="1246"/>
      <c r="H869" s="1247"/>
      <c r="I869" s="1248"/>
      <c r="J869" s="1249"/>
      <c r="K869" s="1250">
        <f>K867+K868</f>
        <v>0</v>
      </c>
    </row>
    <row r="870" spans="2:11" ht="13">
      <c r="B870" s="1251"/>
      <c r="C870" s="1036"/>
      <c r="D870" s="1184"/>
      <c r="E870" s="1252"/>
      <c r="F870" s="1252"/>
      <c r="G870" s="1252"/>
      <c r="H870" s="1036"/>
      <c r="I870" s="1253"/>
      <c r="J870" s="1254"/>
      <c r="K870" s="1255"/>
    </row>
    <row r="871" spans="2:11" ht="13">
      <c r="C871" s="1084"/>
      <c r="D871" s="1084" t="s">
        <v>4418</v>
      </c>
      <c r="E871" s="1084"/>
      <c r="F871" s="1084"/>
      <c r="G871" s="1084"/>
      <c r="H871" s="1084"/>
      <c r="I871" s="1084"/>
    </row>
    <row r="872" spans="2:11" ht="13">
      <c r="B872" s="1676" t="s">
        <v>4419</v>
      </c>
      <c r="C872" s="1678" t="s">
        <v>4420</v>
      </c>
      <c r="D872" s="1679"/>
      <c r="E872" s="1679"/>
      <c r="F872" s="1679"/>
      <c r="G872" s="1679"/>
      <c r="H872" s="1680"/>
      <c r="I872" s="1387" t="s">
        <v>366</v>
      </c>
      <c r="J872" s="1387" t="s">
        <v>4421</v>
      </c>
      <c r="K872" s="1387" t="s">
        <v>3895</v>
      </c>
    </row>
    <row r="873" spans="2:11" ht="13">
      <c r="B873" s="1701"/>
      <c r="C873" s="1702"/>
      <c r="D873" s="1703"/>
      <c r="E873" s="1703"/>
      <c r="F873" s="1703"/>
      <c r="G873" s="1703"/>
      <c r="H873" s="1704"/>
      <c r="I873" s="1388" t="s">
        <v>4422</v>
      </c>
      <c r="J873" s="1388" t="s">
        <v>4422</v>
      </c>
      <c r="K873" s="1388" t="s">
        <v>4422</v>
      </c>
    </row>
    <row r="874" spans="2:11" ht="13">
      <c r="B874" s="1389" t="s">
        <v>4423</v>
      </c>
      <c r="C874" s="1705" t="s">
        <v>4424</v>
      </c>
      <c r="D874" s="1706"/>
      <c r="E874" s="1706"/>
      <c r="F874" s="1706"/>
      <c r="G874" s="1706"/>
      <c r="H874" s="1707"/>
      <c r="I874" s="1390" t="s">
        <v>4425</v>
      </c>
      <c r="J874" s="1391" t="s">
        <v>4426</v>
      </c>
      <c r="K874" s="1391" t="s">
        <v>4427</v>
      </c>
    </row>
    <row r="875" spans="2:11" ht="13">
      <c r="B875" s="1392" t="s">
        <v>4428</v>
      </c>
      <c r="C875" s="1393">
        <v>1</v>
      </c>
      <c r="D875" s="1394" t="s">
        <v>252</v>
      </c>
      <c r="E875" s="1395" t="s">
        <v>4429</v>
      </c>
      <c r="F875" s="1395"/>
      <c r="I875" s="1396"/>
      <c r="J875" s="1397"/>
      <c r="K875" s="1398">
        <v>0</v>
      </c>
    </row>
    <row r="876" spans="2:11" ht="13">
      <c r="B876" s="1392"/>
      <c r="C876" s="1393">
        <v>1</v>
      </c>
      <c r="D876" s="1399" t="s">
        <v>2333</v>
      </c>
      <c r="E876" s="1400" t="s">
        <v>4430</v>
      </c>
      <c r="F876" s="1400"/>
      <c r="I876" s="1396"/>
      <c r="J876" s="1397">
        <v>0</v>
      </c>
      <c r="K876" s="1398"/>
    </row>
    <row r="877" spans="2:11" ht="13">
      <c r="B877" s="1392"/>
      <c r="C877" s="1401"/>
      <c r="D877" s="1399"/>
      <c r="E877" s="1402" t="s">
        <v>4431</v>
      </c>
      <c r="F877" s="1402"/>
      <c r="I877" s="1396"/>
      <c r="J877" s="1397"/>
      <c r="K877" s="1398"/>
    </row>
    <row r="878" spans="2:11" ht="13">
      <c r="B878" s="1392"/>
      <c r="C878" s="1401"/>
      <c r="D878" s="1399"/>
      <c r="E878" s="1402" t="s">
        <v>4432</v>
      </c>
      <c r="F878" s="1402"/>
      <c r="I878" s="1396"/>
      <c r="J878" s="1397"/>
      <c r="K878" s="1398"/>
    </row>
    <row r="879" spans="2:11" ht="13">
      <c r="B879" s="1392"/>
      <c r="C879" s="1401"/>
      <c r="D879" s="1399"/>
      <c r="E879" s="1402" t="s">
        <v>4433</v>
      </c>
      <c r="F879" s="1402"/>
      <c r="I879" s="1396"/>
      <c r="J879" s="1397"/>
      <c r="K879" s="1398"/>
    </row>
    <row r="880" spans="2:11" ht="13">
      <c r="B880" s="1392"/>
      <c r="C880" s="1401"/>
      <c r="D880" s="1399"/>
      <c r="E880" s="1402" t="s">
        <v>4434</v>
      </c>
      <c r="F880" s="1402"/>
      <c r="I880" s="1396"/>
      <c r="J880" s="1397"/>
      <c r="K880" s="1398"/>
    </row>
    <row r="881" spans="2:11" ht="13">
      <c r="B881" s="1392"/>
      <c r="C881" s="1401"/>
      <c r="D881" s="1399"/>
      <c r="E881" s="1402" t="s">
        <v>4435</v>
      </c>
      <c r="F881" s="1402"/>
      <c r="I881" s="1396"/>
      <c r="J881" s="1397"/>
      <c r="K881" s="1398"/>
    </row>
    <row r="882" spans="2:11" ht="13">
      <c r="B882" s="1392"/>
      <c r="C882" s="1401"/>
      <c r="D882" s="1399"/>
      <c r="E882" s="1402" t="s">
        <v>4436</v>
      </c>
      <c r="F882" s="1402"/>
      <c r="I882" s="1396"/>
      <c r="J882" s="1397"/>
      <c r="K882" s="1398"/>
    </row>
    <row r="883" spans="2:11" ht="13">
      <c r="B883" s="1392"/>
      <c r="C883" s="1401"/>
      <c r="D883" s="1399"/>
      <c r="E883" s="1402" t="s">
        <v>4437</v>
      </c>
      <c r="F883" s="1402"/>
      <c r="I883" s="1396"/>
      <c r="J883" s="1397"/>
      <c r="K883" s="1398"/>
    </row>
    <row r="884" spans="2:11" ht="13">
      <c r="B884" s="1392"/>
      <c r="C884" s="1401"/>
      <c r="D884" s="1399"/>
      <c r="E884" s="1402" t="s">
        <v>4438</v>
      </c>
      <c r="F884" s="1402"/>
      <c r="I884" s="1396"/>
      <c r="J884" s="1397"/>
      <c r="K884" s="1398"/>
    </row>
    <row r="885" spans="2:11" ht="13">
      <c r="B885" s="1392"/>
      <c r="C885" s="1401"/>
      <c r="D885" s="1399"/>
      <c r="E885" s="1403" t="s">
        <v>4439</v>
      </c>
      <c r="F885" s="1403"/>
      <c r="G885" s="1708">
        <v>1500000</v>
      </c>
      <c r="H885" s="1709"/>
      <c r="I885" s="1404">
        <f>G885</f>
        <v>1500000</v>
      </c>
      <c r="J885" s="1405"/>
      <c r="K885" s="1406"/>
    </row>
    <row r="886" spans="2:11" ht="13">
      <c r="B886" s="1392"/>
      <c r="C886" s="1401"/>
      <c r="D886" s="1399"/>
      <c r="E886" s="1403" t="s">
        <v>3892</v>
      </c>
      <c r="F886" s="1403"/>
      <c r="G886" s="1407"/>
      <c r="I886" s="1396">
        <f>I885</f>
        <v>1500000</v>
      </c>
      <c r="J886" s="1396">
        <f>SUM(J876:J885)</f>
        <v>0</v>
      </c>
      <c r="K886" s="1398"/>
    </row>
    <row r="887" spans="2:11" ht="13">
      <c r="B887" s="1392"/>
      <c r="C887" s="1408"/>
      <c r="D887" s="1399"/>
      <c r="E887" s="1403" t="s">
        <v>4364</v>
      </c>
      <c r="F887" s="1403"/>
      <c r="G887" s="1708"/>
      <c r="H887" s="1709"/>
      <c r="I887" s="1396"/>
      <c r="J887" s="1397">
        <f>G887*K4</f>
        <v>0</v>
      </c>
      <c r="K887" s="1398"/>
    </row>
    <row r="888" spans="2:11" ht="13">
      <c r="B888" s="1409"/>
      <c r="C888" s="1410"/>
      <c r="D888" s="1411"/>
      <c r="E888" s="1412" t="s">
        <v>4440</v>
      </c>
      <c r="F888" s="1412"/>
      <c r="G888" s="1413"/>
      <c r="H888" s="1413"/>
      <c r="I888" s="1404">
        <f>SUM(I886:I887)</f>
        <v>1500000</v>
      </c>
      <c r="J888" s="1405">
        <f>ROUNDUP(J886+J887,-2)</f>
        <v>0</v>
      </c>
      <c r="K888" s="1414"/>
    </row>
    <row r="890" spans="2:11" ht="13">
      <c r="B890" s="1031"/>
      <c r="C890" s="9" t="s">
        <v>4441</v>
      </c>
    </row>
    <row r="891" spans="2:11" ht="13">
      <c r="B891" s="1687" t="s">
        <v>3235</v>
      </c>
      <c r="C891" s="1690" t="s">
        <v>4288</v>
      </c>
      <c r="D891" s="1691"/>
      <c r="E891" s="1691"/>
      <c r="F891" s="1691"/>
      <c r="G891" s="1186"/>
      <c r="H891" s="1696" t="s">
        <v>4289</v>
      </c>
      <c r="I891" s="1696" t="s">
        <v>4290</v>
      </c>
      <c r="J891" s="1035" t="s">
        <v>1955</v>
      </c>
      <c r="K891" s="1035"/>
    </row>
    <row r="892" spans="2:11" ht="13">
      <c r="B892" s="1688"/>
      <c r="C892" s="1692"/>
      <c r="D892" s="1693"/>
      <c r="E892" s="1693"/>
      <c r="F892" s="1693"/>
      <c r="G892" s="1187" t="s">
        <v>4291</v>
      </c>
      <c r="H892" s="1697"/>
      <c r="I892" s="1697"/>
      <c r="J892" s="1037" t="s">
        <v>1954</v>
      </c>
      <c r="K892" s="1037" t="s">
        <v>3239</v>
      </c>
    </row>
    <row r="893" spans="2:11" ht="13">
      <c r="B893" s="1689"/>
      <c r="C893" s="1694"/>
      <c r="D893" s="1695"/>
      <c r="E893" s="1695"/>
      <c r="F893" s="1695"/>
      <c r="G893" s="1188"/>
      <c r="H893" s="1698"/>
      <c r="I893" s="1698"/>
      <c r="J893" s="1038" t="s">
        <v>4292</v>
      </c>
      <c r="K893" s="1038" t="s">
        <v>4292</v>
      </c>
    </row>
    <row r="894" spans="2:11" ht="13">
      <c r="B894" s="1260">
        <v>1</v>
      </c>
      <c r="C894" s="1699">
        <v>2</v>
      </c>
      <c r="D894" s="1700"/>
      <c r="E894" s="1700"/>
      <c r="F894" s="1700"/>
      <c r="G894" s="1261">
        <v>3</v>
      </c>
      <c r="H894" s="1262">
        <v>4</v>
      </c>
      <c r="I894" s="1263">
        <v>5</v>
      </c>
      <c r="J894" s="1262">
        <v>6</v>
      </c>
      <c r="K894" s="1262">
        <f>J894+1</f>
        <v>7</v>
      </c>
    </row>
    <row r="895" spans="2:11">
      <c r="B895" s="1196"/>
      <c r="C895" s="1185"/>
      <c r="D895" s="1185"/>
      <c r="E895" s="1338"/>
      <c r="F895" s="1338"/>
      <c r="G895" s="1199"/>
      <c r="H895" s="1200"/>
      <c r="I895" s="1201"/>
      <c r="J895" s="1201"/>
      <c r="K895" s="1202"/>
    </row>
    <row r="896" spans="2:11" ht="13">
      <c r="B896" s="1193" t="s">
        <v>45</v>
      </c>
      <c r="C896" s="1203"/>
      <c r="D896" s="1339" t="s">
        <v>4345</v>
      </c>
      <c r="E896" s="1339"/>
      <c r="F896" s="1339"/>
      <c r="G896" s="1206"/>
      <c r="H896" s="1207"/>
      <c r="I896" s="1208"/>
      <c r="J896" s="1209"/>
      <c r="K896" s="1210"/>
    </row>
    <row r="897" spans="2:11">
      <c r="B897" s="1211">
        <v>1</v>
      </c>
      <c r="C897" s="1212"/>
      <c r="D897" s="1340" t="s">
        <v>47</v>
      </c>
      <c r="E897" s="1340"/>
      <c r="F897" s="1340"/>
      <c r="G897" s="1215" t="s">
        <v>4326</v>
      </c>
      <c r="H897" s="1215" t="s">
        <v>48</v>
      </c>
      <c r="I897" s="1216">
        <v>0.6</v>
      </c>
      <c r="J897" s="1168">
        <f>J854</f>
        <v>0</v>
      </c>
      <c r="K897" s="1217">
        <f>J897*I897</f>
        <v>0</v>
      </c>
    </row>
    <row r="898" spans="2:11">
      <c r="B898" s="1211">
        <v>2</v>
      </c>
      <c r="C898" s="1218"/>
      <c r="D898" s="1340" t="s">
        <v>4346</v>
      </c>
      <c r="E898" s="1340"/>
      <c r="F898" s="1340"/>
      <c r="G898" s="1215" t="s">
        <v>4326</v>
      </c>
      <c r="H898" s="1215" t="s">
        <v>48</v>
      </c>
      <c r="I898" s="1216">
        <v>0.9</v>
      </c>
      <c r="J898" s="1168">
        <f>J855</f>
        <v>0</v>
      </c>
      <c r="K898" s="1217">
        <f>J898*I898</f>
        <v>0</v>
      </c>
    </row>
    <row r="899" spans="2:11">
      <c r="B899" s="1211">
        <v>3</v>
      </c>
      <c r="C899" s="1218"/>
      <c r="D899" s="1340" t="s">
        <v>51</v>
      </c>
      <c r="E899" s="1340"/>
      <c r="F899" s="1340"/>
      <c r="G899" s="1215" t="s">
        <v>4326</v>
      </c>
      <c r="H899" s="1215" t="s">
        <v>48</v>
      </c>
      <c r="I899" s="1216">
        <f>I898/10</f>
        <v>0.09</v>
      </c>
      <c r="J899" s="1168">
        <f>J856</f>
        <v>0</v>
      </c>
      <c r="K899" s="1217">
        <f>J899*I899</f>
        <v>0</v>
      </c>
    </row>
    <row r="900" spans="2:11">
      <c r="B900" s="1211"/>
      <c r="C900" s="1218"/>
      <c r="D900" s="1340"/>
      <c r="E900" s="1340"/>
      <c r="F900" s="1340"/>
      <c r="G900" s="1215"/>
      <c r="H900" s="1215"/>
      <c r="I900" s="1216"/>
      <c r="J900" s="1168"/>
      <c r="K900" s="1217"/>
    </row>
    <row r="901" spans="2:11" ht="13">
      <c r="B901" s="1341"/>
      <c r="C901" s="1342"/>
      <c r="D901" s="1342"/>
      <c r="E901" s="1343"/>
      <c r="F901" s="1343"/>
      <c r="G901" s="1343"/>
      <c r="H901" s="1342"/>
      <c r="I901" s="1344" t="s">
        <v>4347</v>
      </c>
      <c r="J901" s="1345"/>
      <c r="K901" s="1346">
        <f>SUM(K897:K900)</f>
        <v>0</v>
      </c>
    </row>
    <row r="902" spans="2:11" ht="13">
      <c r="B902" s="1347" t="s">
        <v>53</v>
      </c>
      <c r="C902" s="1348"/>
      <c r="D902" s="1349" t="s">
        <v>4348</v>
      </c>
      <c r="E902" s="1349"/>
      <c r="F902" s="1349"/>
      <c r="G902" s="1215"/>
      <c r="H902" s="1351"/>
      <c r="I902" s="1352"/>
      <c r="J902" s="1353"/>
      <c r="K902" s="1354"/>
    </row>
    <row r="903" spans="2:11">
      <c r="B903" s="1355">
        <v>1</v>
      </c>
      <c r="C903" s="1218"/>
      <c r="D903" s="1340" t="s">
        <v>4442</v>
      </c>
      <c r="E903" s="1214"/>
      <c r="F903" s="1214"/>
      <c r="G903" s="1215"/>
      <c r="H903" s="1215" t="s">
        <v>215</v>
      </c>
      <c r="I903" s="1216">
        <v>1</v>
      </c>
      <c r="J903" s="1216">
        <v>0</v>
      </c>
      <c r="K903" s="1298">
        <f>J903*I903</f>
        <v>0</v>
      </c>
    </row>
    <row r="904" spans="2:11">
      <c r="B904" s="1385">
        <f>B903+1</f>
        <v>2</v>
      </c>
      <c r="C904" s="1223"/>
      <c r="D904" s="1340" t="s">
        <v>4443</v>
      </c>
      <c r="E904" s="1299"/>
      <c r="F904" s="1299"/>
      <c r="G904" s="1215"/>
      <c r="H904" s="1215" t="s">
        <v>55</v>
      </c>
      <c r="I904" s="1216">
        <v>1</v>
      </c>
      <c r="J904" s="1216">
        <v>0</v>
      </c>
      <c r="K904" s="1298">
        <f>J904*I904</f>
        <v>0</v>
      </c>
    </row>
    <row r="905" spans="2:11">
      <c r="B905" s="1385">
        <f>B904+1</f>
        <v>3</v>
      </c>
      <c r="C905" s="1223"/>
      <c r="D905" s="1340" t="s">
        <v>4444</v>
      </c>
      <c r="E905" s="1299"/>
      <c r="F905" s="1299"/>
      <c r="G905" s="1215"/>
      <c r="H905" s="1215" t="s">
        <v>3257</v>
      </c>
      <c r="I905" s="1216">
        <v>1</v>
      </c>
      <c r="J905" s="1216">
        <v>0</v>
      </c>
      <c r="K905" s="1298">
        <f>J905*I905</f>
        <v>0</v>
      </c>
    </row>
    <row r="906" spans="2:11">
      <c r="B906" s="1385">
        <f>B905+1</f>
        <v>4</v>
      </c>
      <c r="C906" s="1223"/>
      <c r="D906" s="1340" t="s">
        <v>4445</v>
      </c>
      <c r="E906" s="1299"/>
      <c r="F906" s="1299"/>
      <c r="G906" s="1215"/>
      <c r="H906" s="1215" t="s">
        <v>3257</v>
      </c>
      <c r="I906" s="1216">
        <v>1</v>
      </c>
      <c r="J906" s="1216">
        <f>SUM(K903:K905)*0.1</f>
        <v>0</v>
      </c>
      <c r="K906" s="1298">
        <f>J906*I906</f>
        <v>0</v>
      </c>
    </row>
    <row r="907" spans="2:11" ht="13">
      <c r="B907" s="1341"/>
      <c r="C907" s="1342"/>
      <c r="D907" s="1342"/>
      <c r="E907" s="1343"/>
      <c r="F907" s="1343"/>
      <c r="G907" s="1343"/>
      <c r="H907" s="1342"/>
      <c r="I907" s="1344" t="s">
        <v>4360</v>
      </c>
      <c r="J907" s="1357"/>
      <c r="K907" s="1358">
        <f>SUM(K903:K906)</f>
        <v>0</v>
      </c>
    </row>
    <row r="908" spans="2:11" ht="13">
      <c r="B908" s="1359" t="s">
        <v>65</v>
      </c>
      <c r="C908" s="1360"/>
      <c r="D908" s="1349" t="s">
        <v>1939</v>
      </c>
      <c r="E908" s="1349"/>
      <c r="F908" s="1349"/>
      <c r="G908" s="1361"/>
      <c r="H908" s="1362"/>
      <c r="I908" s="1363"/>
      <c r="J908" s="1364"/>
      <c r="K908" s="1365"/>
    </row>
    <row r="909" spans="2:11" ht="13">
      <c r="B909" s="1366"/>
      <c r="C909" s="1367"/>
      <c r="D909" s="1368" t="s">
        <v>4446</v>
      </c>
      <c r="E909" s="1246"/>
      <c r="F909" s="1246"/>
      <c r="G909" s="1369"/>
      <c r="H909" s="1229" t="s">
        <v>3257</v>
      </c>
      <c r="I909" s="1370">
        <v>1</v>
      </c>
      <c r="J909" s="1371">
        <v>0</v>
      </c>
      <c r="K909" s="1298">
        <f>I909*J909</f>
        <v>0</v>
      </c>
    </row>
    <row r="910" spans="2:11" ht="13">
      <c r="B910" s="1341"/>
      <c r="C910" s="1342"/>
      <c r="D910" s="1342"/>
      <c r="E910" s="1343"/>
      <c r="F910" s="1343"/>
      <c r="G910" s="1343"/>
      <c r="H910" s="1342"/>
      <c r="I910" s="1344" t="s">
        <v>4362</v>
      </c>
      <c r="J910" s="1357"/>
      <c r="K910" s="1358">
        <f>K909</f>
        <v>0</v>
      </c>
    </row>
    <row r="911" spans="2:11" ht="13">
      <c r="B911" s="1236" t="s">
        <v>68</v>
      </c>
      <c r="C911" s="1237"/>
      <c r="D911" s="1204" t="s">
        <v>4363</v>
      </c>
      <c r="E911" s="1205"/>
      <c r="F911" s="1238"/>
      <c r="G911" s="1238"/>
      <c r="H911" s="1239"/>
      <c r="I911" s="1240"/>
      <c r="J911" s="1241"/>
      <c r="K911" s="1242">
        <f>K901+K907+K910</f>
        <v>0</v>
      </c>
    </row>
    <row r="912" spans="2:11" ht="13">
      <c r="B912" s="1236" t="s">
        <v>70</v>
      </c>
      <c r="C912" s="1237"/>
      <c r="D912" s="1326" t="s">
        <v>4364</v>
      </c>
      <c r="E912" s="1314"/>
      <c r="F912" s="1314"/>
      <c r="G912" s="1314"/>
      <c r="H912" s="1328"/>
      <c r="I912" s="1374">
        <f>$K$4</f>
        <v>0.1</v>
      </c>
      <c r="J912" s="1372"/>
      <c r="K912" s="1330">
        <f>K911*I912</f>
        <v>0</v>
      </c>
    </row>
    <row r="913" spans="2:14" ht="13">
      <c r="B913" s="1243" t="s">
        <v>71</v>
      </c>
      <c r="C913" s="1244"/>
      <c r="D913" s="1245" t="s">
        <v>4340</v>
      </c>
      <c r="E913" s="1246"/>
      <c r="F913" s="1246"/>
      <c r="G913" s="1246"/>
      <c r="H913" s="1247"/>
      <c r="I913" s="1248"/>
      <c r="J913" s="1249"/>
      <c r="K913" s="1250">
        <v>0</v>
      </c>
    </row>
    <row r="914" spans="2:14" ht="13">
      <c r="B914" s="1251"/>
      <c r="C914" s="1036"/>
      <c r="D914" s="1184"/>
      <c r="E914" s="1252"/>
      <c r="F914" s="1252"/>
      <c r="G914" s="1252"/>
      <c r="H914" s="1036"/>
      <c r="I914" s="1253"/>
      <c r="J914" s="1254"/>
      <c r="K914" s="1255"/>
    </row>
    <row r="916" spans="2:14" ht="13">
      <c r="B916" s="1675" t="s">
        <v>4447</v>
      </c>
      <c r="C916" s="1675"/>
      <c r="D916" s="1675"/>
      <c r="E916" s="1675"/>
      <c r="F916" s="1675"/>
      <c r="G916" s="1675"/>
      <c r="H916" s="1675"/>
      <c r="I916" s="1675"/>
      <c r="J916" s="1675"/>
      <c r="K916" s="1675"/>
      <c r="L916" s="1415"/>
      <c r="M916" s="1415"/>
      <c r="N916" s="1415"/>
    </row>
    <row r="917" spans="2:14">
      <c r="B917" s="1416"/>
      <c r="C917" s="1415"/>
      <c r="D917" s="1415"/>
      <c r="E917" s="1415"/>
      <c r="F917" s="1415"/>
      <c r="G917" s="1415"/>
      <c r="H917" s="1415"/>
      <c r="I917" s="1415"/>
      <c r="J917" s="1415"/>
      <c r="K917" s="1417">
        <v>0.1</v>
      </c>
      <c r="L917" s="1415"/>
      <c r="M917" s="1415"/>
      <c r="N917" s="1415"/>
    </row>
    <row r="918" spans="2:14" s="1424" customFormat="1" ht="14">
      <c r="B918" s="1418"/>
      <c r="C918" s="1419" t="s">
        <v>4448</v>
      </c>
      <c r="D918" s="1419"/>
      <c r="E918" s="1419"/>
      <c r="F918" s="1419"/>
      <c r="G918" s="1420"/>
      <c r="H918" s="10"/>
      <c r="I918" s="1421"/>
      <c r="J918" s="1421"/>
      <c r="K918" s="1422"/>
      <c r="L918" s="1423"/>
      <c r="M918" s="1420"/>
      <c r="N918" s="1420"/>
    </row>
    <row r="919" spans="2:14" s="1424" customFormat="1" ht="25">
      <c r="B919" s="1425" t="s">
        <v>40</v>
      </c>
      <c r="C919" s="1426" t="s">
        <v>41</v>
      </c>
      <c r="D919" s="1427"/>
      <c r="E919" s="1427"/>
      <c r="F919" s="1428"/>
      <c r="G919" s="1429" t="s">
        <v>42</v>
      </c>
      <c r="H919" s="1429" t="s">
        <v>43</v>
      </c>
      <c r="I919" s="1430" t="s">
        <v>44</v>
      </c>
      <c r="J919" s="1431" t="s">
        <v>474</v>
      </c>
      <c r="K919" s="1432" t="s">
        <v>475</v>
      </c>
      <c r="L919" s="10"/>
      <c r="M919" s="10"/>
      <c r="N919" s="1420"/>
    </row>
    <row r="920" spans="2:14" s="1424" customFormat="1" ht="14">
      <c r="B920" s="1433" t="s">
        <v>45</v>
      </c>
      <c r="C920" s="1434" t="s">
        <v>46</v>
      </c>
      <c r="D920" s="1435"/>
      <c r="E920" s="1435"/>
      <c r="F920" s="1436"/>
      <c r="G920" s="1437"/>
      <c r="H920" s="1437"/>
      <c r="I920" s="1438"/>
      <c r="J920" s="1439"/>
      <c r="K920" s="1440"/>
      <c r="L920" s="10"/>
      <c r="M920" s="10"/>
      <c r="N920" s="1420"/>
    </row>
    <row r="921" spans="2:14" s="1424" customFormat="1" ht="14">
      <c r="B921" s="1441"/>
      <c r="C921" s="1434" t="s">
        <v>4302</v>
      </c>
      <c r="D921" s="1435"/>
      <c r="E921" s="1435"/>
      <c r="F921" s="1436"/>
      <c r="G921" s="1442" t="s">
        <v>4303</v>
      </c>
      <c r="H921" s="1430" t="s">
        <v>48</v>
      </c>
      <c r="I921" s="519">
        <v>6.6669999999999998</v>
      </c>
      <c r="J921" s="1439">
        <f>J957</f>
        <v>0</v>
      </c>
      <c r="K921" s="1443">
        <f>I921*J921</f>
        <v>0</v>
      </c>
      <c r="L921" s="10"/>
      <c r="M921" s="10"/>
      <c r="N921" s="1420"/>
    </row>
    <row r="922" spans="2:14" s="1424" customFormat="1" ht="14">
      <c r="B922" s="1441"/>
      <c r="C922" s="1434" t="str">
        <f>'[205]HARGA ME'!$B$13</f>
        <v xml:space="preserve">Tukang Pipa </v>
      </c>
      <c r="D922" s="1435"/>
      <c r="E922" s="1435"/>
      <c r="F922" s="1436"/>
      <c r="G922" s="1442" t="s">
        <v>4306</v>
      </c>
      <c r="H922" s="1430" t="s">
        <v>48</v>
      </c>
      <c r="I922" s="519">
        <v>11.132999999999999</v>
      </c>
      <c r="J922" s="1439">
        <f>J958</f>
        <v>0</v>
      </c>
      <c r="K922" s="1443">
        <f>I922*J922</f>
        <v>0</v>
      </c>
      <c r="L922" s="10"/>
      <c r="M922" s="10"/>
      <c r="N922" s="1420"/>
    </row>
    <row r="923" spans="2:14" s="1424" customFormat="1" ht="14">
      <c r="B923" s="1441"/>
      <c r="C923" s="1434" t="str">
        <f>'[205]HARGA ME'!$B$9</f>
        <v>Kepala Tukang Pipa</v>
      </c>
      <c r="D923" s="1435"/>
      <c r="E923" s="1435"/>
      <c r="F923" s="1436"/>
      <c r="G923" s="1442" t="s">
        <v>4449</v>
      </c>
      <c r="H923" s="1430" t="s">
        <v>48</v>
      </c>
      <c r="I923" s="519">
        <v>1.113</v>
      </c>
      <c r="J923" s="1439">
        <f>J959</f>
        <v>0</v>
      </c>
      <c r="K923" s="1443">
        <f>I923*J923</f>
        <v>0</v>
      </c>
      <c r="L923" s="10"/>
      <c r="M923" s="10"/>
      <c r="N923" s="1420"/>
    </row>
    <row r="924" spans="2:14" s="1424" customFormat="1" ht="14">
      <c r="B924" s="1441"/>
      <c r="C924" s="1434" t="s">
        <v>4308</v>
      </c>
      <c r="D924" s="1435"/>
      <c r="E924" s="1435"/>
      <c r="F924" s="1436"/>
      <c r="G924" s="1442" t="s">
        <v>4309</v>
      </c>
      <c r="H924" s="1430" t="s">
        <v>48</v>
      </c>
      <c r="I924" s="519">
        <v>0.33400000000000002</v>
      </c>
      <c r="J924" s="1439">
        <f>J960</f>
        <v>0</v>
      </c>
      <c r="K924" s="1443">
        <f>I924*J924</f>
        <v>0</v>
      </c>
      <c r="L924" s="10"/>
      <c r="M924" s="10"/>
      <c r="N924" s="1420"/>
    </row>
    <row r="925" spans="2:14" s="1424" customFormat="1" ht="14">
      <c r="B925" s="1441"/>
      <c r="C925" s="1444"/>
      <c r="D925" s="1445"/>
      <c r="E925" s="1445"/>
      <c r="F925" s="1446"/>
      <c r="G925" s="1437"/>
      <c r="H925" s="1437"/>
      <c r="I925" s="519" t="s">
        <v>52</v>
      </c>
      <c r="J925" s="1439"/>
      <c r="K925" s="1440">
        <f>SUM(K921:K924)</f>
        <v>0</v>
      </c>
      <c r="L925" s="10"/>
      <c r="M925" s="10"/>
      <c r="N925" s="1420"/>
    </row>
    <row r="926" spans="2:14" s="1424" customFormat="1" ht="14">
      <c r="B926" s="1433" t="s">
        <v>53</v>
      </c>
      <c r="C926" s="1434" t="s">
        <v>54</v>
      </c>
      <c r="D926" s="1435"/>
      <c r="E926" s="1435"/>
      <c r="F926" s="1436"/>
      <c r="G926" s="1437"/>
      <c r="H926" s="1437"/>
      <c r="I926" s="1438"/>
      <c r="J926" s="1439"/>
      <c r="K926" s="1440"/>
      <c r="L926" s="10"/>
      <c r="M926" s="10"/>
      <c r="N926" s="1420"/>
    </row>
    <row r="927" spans="2:14" s="1424" customFormat="1" ht="14">
      <c r="B927" s="1441"/>
      <c r="C927" s="1434" t="s">
        <v>4450</v>
      </c>
      <c r="D927" s="1435"/>
      <c r="E927" s="1435"/>
      <c r="F927" s="1436"/>
      <c r="G927" s="1442"/>
      <c r="H927" s="1430" t="s">
        <v>113</v>
      </c>
      <c r="I927" s="519">
        <v>1</v>
      </c>
      <c r="J927" s="1439">
        <v>0</v>
      </c>
      <c r="K927" s="1443">
        <f>I927*J927</f>
        <v>0</v>
      </c>
      <c r="L927" s="10"/>
      <c r="M927" s="10"/>
      <c r="N927" s="1420"/>
    </row>
    <row r="928" spans="2:14" s="1424" customFormat="1" ht="14">
      <c r="B928" s="1441"/>
      <c r="C928" s="1434" t="s">
        <v>4451</v>
      </c>
      <c r="D928" s="1435"/>
      <c r="E928" s="1435"/>
      <c r="F928" s="1436"/>
      <c r="G928" s="1442"/>
      <c r="H928" s="1430" t="s">
        <v>113</v>
      </c>
      <c r="I928" s="519">
        <v>1</v>
      </c>
      <c r="J928" s="1439">
        <v>0</v>
      </c>
      <c r="K928" s="1443">
        <f>I928*J928</f>
        <v>0</v>
      </c>
      <c r="L928" s="10"/>
      <c r="M928" s="10"/>
      <c r="N928" s="1420"/>
    </row>
    <row r="929" spans="2:14" s="1424" customFormat="1" ht="14">
      <c r="B929" s="1441"/>
      <c r="C929" s="1444"/>
      <c r="D929" s="1445"/>
      <c r="E929" s="1445"/>
      <c r="F929" s="1446"/>
      <c r="G929" s="1437"/>
      <c r="H929" s="1437"/>
      <c r="I929" s="519" t="s">
        <v>64</v>
      </c>
      <c r="J929" s="1439"/>
      <c r="K929" s="1440">
        <f>SUM(K927:K928)</f>
        <v>0</v>
      </c>
      <c r="L929" s="10"/>
      <c r="M929" s="10"/>
      <c r="N929" s="1420"/>
    </row>
    <row r="930" spans="2:14" s="1424" customFormat="1" ht="14">
      <c r="B930" s="1433" t="s">
        <v>65</v>
      </c>
      <c r="C930" s="1434" t="s">
        <v>66</v>
      </c>
      <c r="D930" s="1435"/>
      <c r="E930" s="1435"/>
      <c r="F930" s="1436"/>
      <c r="G930" s="1437"/>
      <c r="H930" s="1437"/>
      <c r="I930" s="1438"/>
      <c r="J930" s="1439">
        <v>0</v>
      </c>
      <c r="K930" s="1440">
        <v>0</v>
      </c>
      <c r="L930" s="10"/>
      <c r="M930" s="10"/>
      <c r="N930" s="1420"/>
    </row>
    <row r="931" spans="2:14" s="1424" customFormat="1" ht="14">
      <c r="B931" s="1441"/>
      <c r="C931" s="1444"/>
      <c r="D931" s="1445"/>
      <c r="E931" s="1445"/>
      <c r="F931" s="1446"/>
      <c r="G931" s="1437"/>
      <c r="H931" s="1437"/>
      <c r="I931" s="519" t="s">
        <v>67</v>
      </c>
      <c r="J931" s="1439"/>
      <c r="K931" s="1440">
        <v>0</v>
      </c>
      <c r="L931" s="10"/>
      <c r="M931" s="10"/>
      <c r="N931" s="1420"/>
    </row>
    <row r="932" spans="2:14" s="1424" customFormat="1" ht="14">
      <c r="B932" s="1433" t="s">
        <v>68</v>
      </c>
      <c r="C932" s="1434" t="s">
        <v>69</v>
      </c>
      <c r="D932" s="1435"/>
      <c r="E932" s="1435"/>
      <c r="F932" s="1436"/>
      <c r="G932" s="1437"/>
      <c r="H932" s="1437"/>
      <c r="I932" s="1438"/>
      <c r="J932" s="1439">
        <v>0</v>
      </c>
      <c r="K932" s="1440">
        <f>K929+K925</f>
        <v>0</v>
      </c>
      <c r="L932" s="10"/>
      <c r="M932" s="10"/>
      <c r="N932" s="1420"/>
    </row>
    <row r="933" spans="2:14" s="1424" customFormat="1" ht="14">
      <c r="B933" s="1433" t="s">
        <v>70</v>
      </c>
      <c r="C933" s="1434" t="s">
        <v>4299</v>
      </c>
      <c r="D933" s="1435"/>
      <c r="E933" s="1435"/>
      <c r="F933" s="1436"/>
      <c r="G933" s="1437"/>
      <c r="H933" s="1437"/>
      <c r="I933" s="1447">
        <f>K917</f>
        <v>0.1</v>
      </c>
      <c r="J933" s="1439"/>
      <c r="K933" s="1440">
        <f>K932*I933</f>
        <v>0</v>
      </c>
      <c r="L933" s="10"/>
      <c r="M933" s="10"/>
      <c r="N933" s="1420"/>
    </row>
    <row r="934" spans="2:14" s="1424" customFormat="1" ht="14">
      <c r="B934" s="1433" t="s">
        <v>71</v>
      </c>
      <c r="C934" s="1434" t="s">
        <v>72</v>
      </c>
      <c r="D934" s="1435"/>
      <c r="E934" s="1435"/>
      <c r="F934" s="1436"/>
      <c r="G934" s="1437"/>
      <c r="H934" s="1437"/>
      <c r="I934" s="1438"/>
      <c r="J934" s="1439">
        <v>0</v>
      </c>
      <c r="K934" s="1448">
        <v>0</v>
      </c>
      <c r="L934" s="10"/>
      <c r="M934" s="10"/>
      <c r="N934" s="1420"/>
    </row>
    <row r="935" spans="2:14" s="1424" customFormat="1" ht="14">
      <c r="B935" s="17"/>
      <c r="C935" s="10"/>
      <c r="D935" s="10"/>
      <c r="E935" s="10"/>
      <c r="F935" s="10"/>
      <c r="G935" s="10"/>
      <c r="H935" s="10"/>
      <c r="I935" s="10"/>
      <c r="J935" s="10"/>
      <c r="K935" s="10"/>
      <c r="L935" s="10"/>
      <c r="M935" s="10"/>
      <c r="N935" s="10"/>
    </row>
    <row r="936" spans="2:14" s="1424" customFormat="1" ht="14">
      <c r="B936" s="1418"/>
      <c r="C936" s="1419" t="s">
        <v>4452</v>
      </c>
      <c r="D936" s="1419"/>
      <c r="E936" s="1419"/>
      <c r="F936" s="1419"/>
      <c r="G936" s="1420"/>
      <c r="H936" s="10"/>
      <c r="I936" s="1421"/>
      <c r="J936" s="1421"/>
      <c r="K936" s="1422"/>
      <c r="L936" s="1423"/>
      <c r="M936" s="1420"/>
      <c r="N936" s="1420"/>
    </row>
    <row r="937" spans="2:14" s="1424" customFormat="1" ht="25">
      <c r="B937" s="1425" t="s">
        <v>40</v>
      </c>
      <c r="C937" s="1426" t="s">
        <v>41</v>
      </c>
      <c r="D937" s="1427"/>
      <c r="E937" s="1427"/>
      <c r="F937" s="1428"/>
      <c r="G937" s="1429" t="s">
        <v>42</v>
      </c>
      <c r="H937" s="1429" t="s">
        <v>43</v>
      </c>
      <c r="I937" s="1430" t="s">
        <v>44</v>
      </c>
      <c r="J937" s="1431" t="s">
        <v>474</v>
      </c>
      <c r="K937" s="1432" t="s">
        <v>475</v>
      </c>
      <c r="L937" s="10"/>
      <c r="M937" s="10"/>
      <c r="N937" s="1420"/>
    </row>
    <row r="938" spans="2:14" s="1424" customFormat="1" ht="14">
      <c r="B938" s="1433" t="s">
        <v>45</v>
      </c>
      <c r="C938" s="1434" t="s">
        <v>46</v>
      </c>
      <c r="D938" s="1435"/>
      <c r="E938" s="1435"/>
      <c r="F938" s="1436"/>
      <c r="G938" s="1437"/>
      <c r="H938" s="1437"/>
      <c r="I938" s="1438"/>
      <c r="J938" s="1439"/>
      <c r="K938" s="1440"/>
      <c r="L938" s="10"/>
      <c r="M938" s="10"/>
      <c r="N938" s="1420"/>
    </row>
    <row r="939" spans="2:14" s="1424" customFormat="1" ht="14">
      <c r="B939" s="1441"/>
      <c r="C939" s="1434" t="s">
        <v>4302</v>
      </c>
      <c r="D939" s="1435"/>
      <c r="E939" s="1435"/>
      <c r="F939" s="1436"/>
      <c r="G939" s="1442" t="s">
        <v>4303</v>
      </c>
      <c r="H939" s="1430" t="s">
        <v>48</v>
      </c>
      <c r="I939" s="519">
        <v>6.6669999999999998</v>
      </c>
      <c r="J939" s="1439">
        <f>J921</f>
        <v>0</v>
      </c>
      <c r="K939" s="1443">
        <f>I939*J939</f>
        <v>0</v>
      </c>
      <c r="L939" s="10"/>
      <c r="M939" s="10"/>
      <c r="N939" s="1420"/>
    </row>
    <row r="940" spans="2:14" s="1424" customFormat="1" ht="14">
      <c r="B940" s="1441"/>
      <c r="C940" s="1434" t="str">
        <f>'[205]HARGA ME'!$B$13</f>
        <v xml:space="preserve">Tukang Pipa </v>
      </c>
      <c r="D940" s="1435"/>
      <c r="E940" s="1435"/>
      <c r="F940" s="1436"/>
      <c r="G940" s="1442" t="s">
        <v>4306</v>
      </c>
      <c r="H940" s="1430" t="s">
        <v>48</v>
      </c>
      <c r="I940" s="519">
        <v>11.132999999999999</v>
      </c>
      <c r="J940" s="1439">
        <f>J922</f>
        <v>0</v>
      </c>
      <c r="K940" s="1443">
        <f>I940*J940</f>
        <v>0</v>
      </c>
      <c r="L940" s="10"/>
      <c r="M940" s="10"/>
      <c r="N940" s="1420"/>
    </row>
    <row r="941" spans="2:14" s="1424" customFormat="1" ht="14">
      <c r="B941" s="1441"/>
      <c r="C941" s="1434" t="str">
        <f>'[205]HARGA ME'!$B$9</f>
        <v>Kepala Tukang Pipa</v>
      </c>
      <c r="D941" s="1435"/>
      <c r="E941" s="1435"/>
      <c r="F941" s="1436"/>
      <c r="G941" s="1442" t="s">
        <v>4449</v>
      </c>
      <c r="H941" s="1430" t="s">
        <v>48</v>
      </c>
      <c r="I941" s="519">
        <v>1.113</v>
      </c>
      <c r="J941" s="1439">
        <f>J923</f>
        <v>0</v>
      </c>
      <c r="K941" s="1443">
        <f>I941*J941</f>
        <v>0</v>
      </c>
      <c r="L941" s="10"/>
      <c r="M941" s="10"/>
      <c r="N941" s="1420"/>
    </row>
    <row r="942" spans="2:14" s="1424" customFormat="1" ht="14">
      <c r="B942" s="1441"/>
      <c r="C942" s="1434" t="s">
        <v>4308</v>
      </c>
      <c r="D942" s="1435"/>
      <c r="E942" s="1435"/>
      <c r="F942" s="1436"/>
      <c r="G942" s="1442" t="s">
        <v>4309</v>
      </c>
      <c r="H942" s="1430" t="s">
        <v>48</v>
      </c>
      <c r="I942" s="519">
        <v>0.33400000000000002</v>
      </c>
      <c r="J942" s="1439">
        <f>J924</f>
        <v>0</v>
      </c>
      <c r="K942" s="1443">
        <f>I942*J942</f>
        <v>0</v>
      </c>
      <c r="L942" s="10"/>
      <c r="M942" s="10"/>
      <c r="N942" s="1420"/>
    </row>
    <row r="943" spans="2:14" s="1424" customFormat="1" ht="14">
      <c r="B943" s="1441"/>
      <c r="C943" s="1444"/>
      <c r="D943" s="1445"/>
      <c r="E943" s="1445"/>
      <c r="F943" s="1446"/>
      <c r="G943" s="1437"/>
      <c r="H943" s="1437"/>
      <c r="I943" s="519" t="s">
        <v>52</v>
      </c>
      <c r="J943" s="1439"/>
      <c r="K943" s="1440">
        <f>SUM(K939:K942)</f>
        <v>0</v>
      </c>
      <c r="L943" s="10"/>
      <c r="M943" s="10"/>
      <c r="N943" s="1420"/>
    </row>
    <row r="944" spans="2:14" s="1424" customFormat="1" ht="14">
      <c r="B944" s="1433" t="s">
        <v>53</v>
      </c>
      <c r="C944" s="1434" t="s">
        <v>54</v>
      </c>
      <c r="D944" s="1435"/>
      <c r="E944" s="1435"/>
      <c r="F944" s="1436"/>
      <c r="G944" s="1437"/>
      <c r="H944" s="1437"/>
      <c r="I944" s="1438"/>
      <c r="J944" s="1439"/>
      <c r="K944" s="1440"/>
      <c r="L944" s="10"/>
      <c r="M944" s="10"/>
      <c r="N944" s="1420"/>
    </row>
    <row r="945" spans="2:14" s="1424" customFormat="1" ht="14">
      <c r="B945" s="1441"/>
      <c r="C945" s="1434" t="s">
        <v>4453</v>
      </c>
      <c r="D945" s="1435"/>
      <c r="E945" s="1435"/>
      <c r="F945" s="1436"/>
      <c r="G945" s="1442"/>
      <c r="H945" s="1430" t="s">
        <v>113</v>
      </c>
      <c r="I945" s="519">
        <v>1</v>
      </c>
      <c r="J945" s="1439">
        <v>0</v>
      </c>
      <c r="K945" s="1443">
        <f>I945*J945</f>
        <v>0</v>
      </c>
      <c r="L945" s="10"/>
      <c r="M945" s="10"/>
      <c r="N945" s="1420"/>
    </row>
    <row r="946" spans="2:14" s="1424" customFormat="1" ht="14">
      <c r="B946" s="1441"/>
      <c r="C946" s="1434" t="s">
        <v>4451</v>
      </c>
      <c r="D946" s="1435"/>
      <c r="E946" s="1435"/>
      <c r="F946" s="1436"/>
      <c r="G946" s="1442"/>
      <c r="H946" s="1430" t="s">
        <v>113</v>
      </c>
      <c r="I946" s="519">
        <v>1</v>
      </c>
      <c r="J946" s="1439">
        <v>0</v>
      </c>
      <c r="K946" s="1443">
        <f>I946*J946</f>
        <v>0</v>
      </c>
      <c r="L946" s="10"/>
      <c r="M946" s="10"/>
      <c r="N946" s="1420"/>
    </row>
    <row r="947" spans="2:14" s="1424" customFormat="1" ht="14">
      <c r="B947" s="1441"/>
      <c r="C947" s="1444"/>
      <c r="D947" s="1445"/>
      <c r="E947" s="1445"/>
      <c r="F947" s="1446"/>
      <c r="G947" s="1437"/>
      <c r="H947" s="1437"/>
      <c r="I947" s="519" t="s">
        <v>64</v>
      </c>
      <c r="J947" s="1439"/>
      <c r="K947" s="1440">
        <f>SUM(K945:K946)</f>
        <v>0</v>
      </c>
      <c r="L947" s="10"/>
      <c r="M947" s="10"/>
      <c r="N947" s="1420"/>
    </row>
    <row r="948" spans="2:14" s="1424" customFormat="1" ht="14">
      <c r="B948" s="1433" t="s">
        <v>65</v>
      </c>
      <c r="C948" s="1434" t="s">
        <v>66</v>
      </c>
      <c r="D948" s="1435"/>
      <c r="E948" s="1435"/>
      <c r="F948" s="1436"/>
      <c r="G948" s="1437"/>
      <c r="H948" s="1437"/>
      <c r="I948" s="1438"/>
      <c r="J948" s="1439">
        <v>0</v>
      </c>
      <c r="K948" s="1440">
        <v>0</v>
      </c>
      <c r="L948" s="10"/>
      <c r="M948" s="10"/>
      <c r="N948" s="1420"/>
    </row>
    <row r="949" spans="2:14" s="1424" customFormat="1" ht="14">
      <c r="B949" s="1441"/>
      <c r="C949" s="1444"/>
      <c r="D949" s="1445"/>
      <c r="E949" s="1445"/>
      <c r="F949" s="1446"/>
      <c r="G949" s="1437"/>
      <c r="H949" s="1437"/>
      <c r="I949" s="519" t="s">
        <v>67</v>
      </c>
      <c r="J949" s="1439"/>
      <c r="K949" s="1440">
        <v>0</v>
      </c>
      <c r="L949" s="10"/>
      <c r="M949" s="10"/>
      <c r="N949" s="1420"/>
    </row>
    <row r="950" spans="2:14" s="1424" customFormat="1" ht="14">
      <c r="B950" s="1433" t="s">
        <v>68</v>
      </c>
      <c r="C950" s="1434" t="s">
        <v>69</v>
      </c>
      <c r="D950" s="1435"/>
      <c r="E950" s="1435"/>
      <c r="F950" s="1436"/>
      <c r="G950" s="1437"/>
      <c r="H950" s="1437"/>
      <c r="I950" s="1438"/>
      <c r="J950" s="1439">
        <v>0</v>
      </c>
      <c r="K950" s="1440">
        <f>K947+K943</f>
        <v>0</v>
      </c>
      <c r="L950" s="10"/>
      <c r="M950" s="10"/>
      <c r="N950" s="1420"/>
    </row>
    <row r="951" spans="2:14" s="1424" customFormat="1" ht="14">
      <c r="B951" s="1433" t="s">
        <v>70</v>
      </c>
      <c r="C951" s="1434" t="s">
        <v>4454</v>
      </c>
      <c r="D951" s="1435"/>
      <c r="E951" s="1435"/>
      <c r="F951" s="1436"/>
      <c r="G951" s="1437"/>
      <c r="H951" s="1437"/>
      <c r="I951" s="1447">
        <f>K917</f>
        <v>0.1</v>
      </c>
      <c r="J951" s="1439"/>
      <c r="K951" s="1440">
        <f>K950*I951</f>
        <v>0</v>
      </c>
      <c r="L951" s="10"/>
      <c r="M951" s="10"/>
      <c r="N951" s="1420"/>
    </row>
    <row r="952" spans="2:14" s="1424" customFormat="1" ht="14">
      <c r="B952" s="1433" t="s">
        <v>71</v>
      </c>
      <c r="C952" s="1434" t="s">
        <v>72</v>
      </c>
      <c r="D952" s="1435"/>
      <c r="E952" s="1435"/>
      <c r="F952" s="1436"/>
      <c r="G952" s="1437"/>
      <c r="H952" s="1437"/>
      <c r="I952" s="1438"/>
      <c r="J952" s="1439">
        <v>0</v>
      </c>
      <c r="K952" s="1448">
        <v>0</v>
      </c>
      <c r="L952" s="10"/>
      <c r="M952" s="10"/>
      <c r="N952" s="1420"/>
    </row>
    <row r="953" spans="2:14" s="1424" customFormat="1" ht="14">
      <c r="B953" s="1449"/>
      <c r="C953" s="1450"/>
      <c r="D953" s="1450"/>
      <c r="E953" s="1450"/>
      <c r="F953" s="1450"/>
      <c r="G953" s="1421"/>
      <c r="H953" s="1421"/>
      <c r="I953" s="1422"/>
      <c r="J953" s="1451"/>
      <c r="K953" s="1452"/>
      <c r="L953" s="10"/>
      <c r="M953" s="10"/>
      <c r="N953" s="1420"/>
    </row>
    <row r="954" spans="2:14" ht="13">
      <c r="B954" s="1453"/>
      <c r="C954" s="1454" t="s">
        <v>1353</v>
      </c>
      <c r="D954" s="1454"/>
      <c r="E954" s="1454"/>
      <c r="F954" s="1454"/>
      <c r="G954" s="1455"/>
      <c r="H954" s="1415"/>
      <c r="I954" s="1456"/>
      <c r="J954" s="1456"/>
      <c r="K954" s="1457"/>
      <c r="L954" s="1423"/>
      <c r="M954" s="1455"/>
      <c r="N954" s="1455"/>
    </row>
    <row r="955" spans="2:14" ht="25">
      <c r="B955" s="1458" t="s">
        <v>40</v>
      </c>
      <c r="C955" s="1459" t="s">
        <v>41</v>
      </c>
      <c r="D955" s="1460"/>
      <c r="E955" s="1460"/>
      <c r="F955" s="1461"/>
      <c r="G955" s="1462" t="s">
        <v>42</v>
      </c>
      <c r="H955" s="1462" t="s">
        <v>43</v>
      </c>
      <c r="I955" s="1463" t="s">
        <v>44</v>
      </c>
      <c r="J955" s="1431" t="s">
        <v>474</v>
      </c>
      <c r="K955" s="1464" t="s">
        <v>475</v>
      </c>
      <c r="L955" s="1415"/>
      <c r="M955" s="1415"/>
      <c r="N955" s="1455"/>
    </row>
    <row r="956" spans="2:14">
      <c r="B956" s="1465" t="s">
        <v>45</v>
      </c>
      <c r="C956" s="1466" t="s">
        <v>46</v>
      </c>
      <c r="D956" s="1467"/>
      <c r="E956" s="1467"/>
      <c r="F956" s="1468"/>
      <c r="G956" s="1469"/>
      <c r="H956" s="1469"/>
      <c r="I956" s="1470"/>
      <c r="J956" s="1439"/>
      <c r="K956" s="1471"/>
      <c r="L956" s="1415"/>
      <c r="M956" s="1415"/>
      <c r="N956" s="1455"/>
    </row>
    <row r="957" spans="2:14">
      <c r="B957" s="1472"/>
      <c r="C957" s="1466" t="s">
        <v>4302</v>
      </c>
      <c r="D957" s="1467"/>
      <c r="E957" s="1467"/>
      <c r="F957" s="1468"/>
      <c r="G957" s="1473" t="s">
        <v>4303</v>
      </c>
      <c r="H957" s="1463" t="s">
        <v>48</v>
      </c>
      <c r="I957" s="1474">
        <v>1.7000000000000001E-2</v>
      </c>
      <c r="J957" s="1439">
        <f>J854</f>
        <v>0</v>
      </c>
      <c r="K957" s="1475">
        <f>I957*J957</f>
        <v>0</v>
      </c>
      <c r="L957" s="1415"/>
      <c r="M957" s="1415"/>
      <c r="N957" s="1455"/>
    </row>
    <row r="958" spans="2:14">
      <c r="B958" s="1472"/>
      <c r="C958" s="1466" t="str">
        <f>'[205]HARGA ME'!$B$13</f>
        <v xml:space="preserve">Tukang Pipa </v>
      </c>
      <c r="D958" s="1467"/>
      <c r="E958" s="1467"/>
      <c r="F958" s="1468"/>
      <c r="G958" s="1473" t="s">
        <v>4306</v>
      </c>
      <c r="H958" s="1463" t="s">
        <v>48</v>
      </c>
      <c r="I958" s="1474">
        <v>2.8000000000000001E-2</v>
      </c>
      <c r="J958" s="1439">
        <f>'UPAH (2)'!H17</f>
        <v>0</v>
      </c>
      <c r="K958" s="1475">
        <f>I958*J958</f>
        <v>0</v>
      </c>
      <c r="L958" s="1415"/>
      <c r="M958" s="1415"/>
      <c r="N958" s="1455"/>
    </row>
    <row r="959" spans="2:14">
      <c r="B959" s="1472"/>
      <c r="C959" s="1466" t="str">
        <f>'[205]HARGA ME'!$B$9</f>
        <v>Kepala Tukang Pipa</v>
      </c>
      <c r="D959" s="1467"/>
      <c r="E959" s="1467"/>
      <c r="F959" s="1468"/>
      <c r="G959" s="1473" t="s">
        <v>4449</v>
      </c>
      <c r="H959" s="1463" t="s">
        <v>48</v>
      </c>
      <c r="I959" s="1474">
        <v>3.0000000000000001E-3</v>
      </c>
      <c r="J959" s="1439">
        <f>J856</f>
        <v>0</v>
      </c>
      <c r="K959" s="1475">
        <f>I959*J959</f>
        <v>0</v>
      </c>
      <c r="L959" s="1415"/>
      <c r="M959" s="1415"/>
      <c r="N959" s="1455"/>
    </row>
    <row r="960" spans="2:14">
      <c r="B960" s="1472"/>
      <c r="C960" s="1466" t="s">
        <v>4308</v>
      </c>
      <c r="D960" s="1467"/>
      <c r="E960" s="1467"/>
      <c r="F960" s="1468"/>
      <c r="G960" s="1473" t="s">
        <v>4309</v>
      </c>
      <c r="H960" s="1463" t="s">
        <v>48</v>
      </c>
      <c r="I960" s="1474">
        <v>1E-3</v>
      </c>
      <c r="J960" s="1439">
        <f>J857</f>
        <v>0</v>
      </c>
      <c r="K960" s="1475">
        <f>I960*J960</f>
        <v>0</v>
      </c>
      <c r="L960" s="1415"/>
      <c r="M960" s="1415"/>
      <c r="N960" s="1455"/>
    </row>
    <row r="961" spans="2:14">
      <c r="B961" s="1472"/>
      <c r="C961" s="1476"/>
      <c r="D961" s="1477"/>
      <c r="E961" s="1477"/>
      <c r="F961" s="1478"/>
      <c r="G961" s="1469"/>
      <c r="H961" s="1469"/>
      <c r="I961" s="1474" t="s">
        <v>52</v>
      </c>
      <c r="J961" s="1439"/>
      <c r="K961" s="1471">
        <f>SUM(K957:K960)</f>
        <v>0</v>
      </c>
      <c r="L961" s="1415"/>
      <c r="M961" s="1415"/>
      <c r="N961" s="1455"/>
    </row>
    <row r="962" spans="2:14">
      <c r="B962" s="1465" t="s">
        <v>53</v>
      </c>
      <c r="C962" s="1466" t="s">
        <v>54</v>
      </c>
      <c r="D962" s="1467"/>
      <c r="E962" s="1467"/>
      <c r="F962" s="1468"/>
      <c r="G962" s="1469"/>
      <c r="H962" s="1469"/>
      <c r="I962" s="1470"/>
      <c r="J962" s="1439"/>
      <c r="K962" s="1471"/>
      <c r="L962" s="1415"/>
      <c r="M962" s="1415"/>
      <c r="N962" s="1455"/>
    </row>
    <row r="963" spans="2:14">
      <c r="B963" s="1472"/>
      <c r="C963" s="1466" t="s">
        <v>4455</v>
      </c>
      <c r="D963" s="1467"/>
      <c r="E963" s="1467"/>
      <c r="F963" s="1468"/>
      <c r="G963" s="1473"/>
      <c r="H963" s="1463" t="s">
        <v>113</v>
      </c>
      <c r="I963" s="1474">
        <v>1.45</v>
      </c>
      <c r="J963" s="1439">
        <v>0</v>
      </c>
      <c r="K963" s="1475">
        <f>I963*J963</f>
        <v>0</v>
      </c>
      <c r="L963" s="1415"/>
      <c r="M963" s="1415"/>
      <c r="N963" s="1455"/>
    </row>
    <row r="964" spans="2:14">
      <c r="B964" s="1472"/>
      <c r="C964" s="1476"/>
      <c r="D964" s="1477"/>
      <c r="E964" s="1477"/>
      <c r="F964" s="1478"/>
      <c r="G964" s="1469"/>
      <c r="H964" s="1469"/>
      <c r="I964" s="1474" t="s">
        <v>64</v>
      </c>
      <c r="J964" s="1439"/>
      <c r="K964" s="1471">
        <f>SUM(K963:K963)</f>
        <v>0</v>
      </c>
      <c r="L964" s="1415"/>
      <c r="M964" s="1415"/>
      <c r="N964" s="1455"/>
    </row>
    <row r="965" spans="2:14">
      <c r="B965" s="1465" t="s">
        <v>65</v>
      </c>
      <c r="C965" s="1466" t="s">
        <v>66</v>
      </c>
      <c r="D965" s="1467"/>
      <c r="E965" s="1467"/>
      <c r="F965" s="1468"/>
      <c r="G965" s="1469"/>
      <c r="H965" s="1469"/>
      <c r="I965" s="1470"/>
      <c r="J965" s="1439">
        <v>0</v>
      </c>
      <c r="K965" s="1471">
        <v>0</v>
      </c>
      <c r="L965" s="1415"/>
      <c r="M965" s="1415"/>
      <c r="N965" s="1455"/>
    </row>
    <row r="966" spans="2:14">
      <c r="B966" s="1472"/>
      <c r="C966" s="1476"/>
      <c r="D966" s="1477"/>
      <c r="E966" s="1477"/>
      <c r="F966" s="1478"/>
      <c r="G966" s="1469"/>
      <c r="H966" s="1469"/>
      <c r="I966" s="1474" t="s">
        <v>67</v>
      </c>
      <c r="J966" s="1439"/>
      <c r="K966" s="1471">
        <v>0</v>
      </c>
      <c r="L966" s="1415"/>
      <c r="M966" s="1415"/>
      <c r="N966" s="1455"/>
    </row>
    <row r="967" spans="2:14">
      <c r="B967" s="1465" t="s">
        <v>68</v>
      </c>
      <c r="C967" s="1466" t="s">
        <v>69</v>
      </c>
      <c r="D967" s="1467"/>
      <c r="E967" s="1467"/>
      <c r="F967" s="1468"/>
      <c r="G967" s="1469"/>
      <c r="H967" s="1469"/>
      <c r="I967" s="1470"/>
      <c r="J967" s="1439">
        <v>0</v>
      </c>
      <c r="K967" s="1471">
        <f>K964+K961</f>
        <v>0</v>
      </c>
      <c r="L967" s="1415"/>
      <c r="M967" s="1415"/>
      <c r="N967" s="1455"/>
    </row>
    <row r="968" spans="2:14">
      <c r="B968" s="1465" t="s">
        <v>70</v>
      </c>
      <c r="C968" s="1466" t="s">
        <v>4299</v>
      </c>
      <c r="D968" s="1467"/>
      <c r="E968" s="1467"/>
      <c r="F968" s="1468"/>
      <c r="G968" s="1469"/>
      <c r="H968" s="1469"/>
      <c r="I968" s="1447">
        <f>$K$917</f>
        <v>0.1</v>
      </c>
      <c r="J968" s="1439"/>
      <c r="K968" s="1471">
        <f>K967*I968</f>
        <v>0</v>
      </c>
      <c r="L968" s="1415"/>
      <c r="M968" s="1415"/>
      <c r="N968" s="1455"/>
    </row>
    <row r="969" spans="2:14" ht="13">
      <c r="B969" s="1465" t="s">
        <v>71</v>
      </c>
      <c r="C969" s="1466" t="s">
        <v>72</v>
      </c>
      <c r="D969" s="1467"/>
      <c r="E969" s="1467"/>
      <c r="F969" s="1468"/>
      <c r="G969" s="1469"/>
      <c r="H969" s="1469"/>
      <c r="I969" s="1470"/>
      <c r="J969" s="1439">
        <v>0</v>
      </c>
      <c r="K969" s="1479">
        <v>0</v>
      </c>
      <c r="L969" s="1415"/>
      <c r="M969" s="1415"/>
      <c r="N969" s="1455"/>
    </row>
    <row r="970" spans="2:14">
      <c r="B970" s="1416"/>
      <c r="C970" s="1415"/>
      <c r="D970" s="1415"/>
      <c r="E970" s="1415"/>
      <c r="F970" s="1415"/>
      <c r="G970" s="1415"/>
      <c r="H970" s="1415"/>
      <c r="I970" s="1415"/>
      <c r="J970" s="1415"/>
      <c r="K970" s="1415"/>
      <c r="L970" s="1415"/>
      <c r="M970" s="1415"/>
      <c r="N970" s="1415"/>
    </row>
    <row r="971" spans="2:14" ht="13">
      <c r="B971" s="1453"/>
      <c r="C971" s="1454" t="s">
        <v>1355</v>
      </c>
      <c r="D971" s="1454"/>
      <c r="E971" s="1454"/>
      <c r="F971" s="1454"/>
      <c r="G971" s="1455"/>
      <c r="H971" s="1415"/>
      <c r="I971" s="1456"/>
      <c r="J971" s="1456"/>
      <c r="K971" s="1457"/>
      <c r="L971" s="1423"/>
      <c r="M971" s="1455"/>
      <c r="N971" s="1455"/>
    </row>
    <row r="972" spans="2:14" ht="25">
      <c r="B972" s="1458" t="s">
        <v>40</v>
      </c>
      <c r="C972" s="1459" t="s">
        <v>41</v>
      </c>
      <c r="D972" s="1460"/>
      <c r="E972" s="1460"/>
      <c r="F972" s="1461"/>
      <c r="G972" s="1462" t="s">
        <v>42</v>
      </c>
      <c r="H972" s="1462" t="s">
        <v>43</v>
      </c>
      <c r="I972" s="1463" t="s">
        <v>44</v>
      </c>
      <c r="J972" s="1431" t="s">
        <v>474</v>
      </c>
      <c r="K972" s="1464" t="s">
        <v>475</v>
      </c>
      <c r="L972" s="1415"/>
      <c r="M972" s="1415"/>
      <c r="N972" s="1455"/>
    </row>
    <row r="973" spans="2:14">
      <c r="B973" s="1465" t="s">
        <v>45</v>
      </c>
      <c r="C973" s="1466" t="s">
        <v>46</v>
      </c>
      <c r="D973" s="1467"/>
      <c r="E973" s="1467"/>
      <c r="F973" s="1468"/>
      <c r="G973" s="1469"/>
      <c r="H973" s="1469"/>
      <c r="I973" s="1470"/>
      <c r="J973" s="1439"/>
      <c r="K973" s="1471"/>
      <c r="L973" s="1415"/>
      <c r="M973" s="1415"/>
      <c r="N973" s="1455"/>
    </row>
    <row r="974" spans="2:14">
      <c r="B974" s="1472"/>
      <c r="C974" s="1466" t="s">
        <v>4302</v>
      </c>
      <c r="D974" s="1467"/>
      <c r="E974" s="1467"/>
      <c r="F974" s="1468"/>
      <c r="G974" s="1473" t="s">
        <v>4303</v>
      </c>
      <c r="H974" s="1463" t="s">
        <v>48</v>
      </c>
      <c r="I974" s="1474">
        <v>2.4E-2</v>
      </c>
      <c r="J974" s="1439">
        <f>J957</f>
        <v>0</v>
      </c>
      <c r="K974" s="1475">
        <f>I974*J974</f>
        <v>0</v>
      </c>
      <c r="L974" s="1415"/>
      <c r="M974" s="1415"/>
      <c r="N974" s="1455"/>
    </row>
    <row r="975" spans="2:14">
      <c r="B975" s="1472"/>
      <c r="C975" s="1466" t="str">
        <f>'[205]HARGA ME'!$B$13</f>
        <v xml:space="preserve">Tukang Pipa </v>
      </c>
      <c r="D975" s="1467"/>
      <c r="E975" s="1467"/>
      <c r="F975" s="1468"/>
      <c r="G975" s="1473" t="s">
        <v>4306</v>
      </c>
      <c r="H975" s="1463" t="s">
        <v>48</v>
      </c>
      <c r="I975" s="1474">
        <v>0.04</v>
      </c>
      <c r="J975" s="1439">
        <f>J958</f>
        <v>0</v>
      </c>
      <c r="K975" s="1475">
        <f>I975*J975</f>
        <v>0</v>
      </c>
      <c r="L975" s="1415"/>
      <c r="M975" s="1415"/>
      <c r="N975" s="1455"/>
    </row>
    <row r="976" spans="2:14">
      <c r="B976" s="1472"/>
      <c r="C976" s="1466" t="str">
        <f>'[205]HARGA ME'!$B$9</f>
        <v>Kepala Tukang Pipa</v>
      </c>
      <c r="D976" s="1467"/>
      <c r="E976" s="1467"/>
      <c r="F976" s="1468"/>
      <c r="G976" s="1473" t="s">
        <v>4449</v>
      </c>
      <c r="H976" s="1463" t="s">
        <v>48</v>
      </c>
      <c r="I976" s="1474">
        <v>4.0000000000000001E-3</v>
      </c>
      <c r="J976" s="1439">
        <f>J959</f>
        <v>0</v>
      </c>
      <c r="K976" s="1475">
        <f>I976*J976</f>
        <v>0</v>
      </c>
      <c r="L976" s="1415"/>
      <c r="M976" s="1415"/>
      <c r="N976" s="1455"/>
    </row>
    <row r="977" spans="2:14">
      <c r="B977" s="1472"/>
      <c r="C977" s="1466" t="s">
        <v>4308</v>
      </c>
      <c r="D977" s="1467"/>
      <c r="E977" s="1467"/>
      <c r="F977" s="1468"/>
      <c r="G977" s="1473" t="s">
        <v>4309</v>
      </c>
      <c r="H977" s="1463" t="s">
        <v>48</v>
      </c>
      <c r="I977" s="1474">
        <v>1E-3</v>
      </c>
      <c r="J977" s="1439">
        <f>J960</f>
        <v>0</v>
      </c>
      <c r="K977" s="1475">
        <f>I977*J977</f>
        <v>0</v>
      </c>
      <c r="L977" s="1415"/>
      <c r="M977" s="1415"/>
      <c r="N977" s="1455"/>
    </row>
    <row r="978" spans="2:14">
      <c r="B978" s="1472"/>
      <c r="C978" s="1476"/>
      <c r="D978" s="1477"/>
      <c r="E978" s="1477"/>
      <c r="F978" s="1478"/>
      <c r="G978" s="1469"/>
      <c r="H978" s="1469"/>
      <c r="I978" s="1474" t="s">
        <v>52</v>
      </c>
      <c r="J978" s="1439"/>
      <c r="K978" s="1471">
        <f>SUM(K974:K977)</f>
        <v>0</v>
      </c>
      <c r="L978" s="1415"/>
      <c r="M978" s="1415"/>
      <c r="N978" s="1455"/>
    </row>
    <row r="979" spans="2:14">
      <c r="B979" s="1465" t="s">
        <v>53</v>
      </c>
      <c r="C979" s="1466" t="s">
        <v>54</v>
      </c>
      <c r="D979" s="1467"/>
      <c r="E979" s="1467"/>
      <c r="F979" s="1468"/>
      <c r="G979" s="1469"/>
      <c r="H979" s="1469"/>
      <c r="I979" s="1470"/>
      <c r="J979" s="1439"/>
      <c r="K979" s="1471"/>
      <c r="L979" s="1415"/>
      <c r="M979" s="1415"/>
      <c r="N979" s="1455"/>
    </row>
    <row r="980" spans="2:14">
      <c r="B980" s="1472"/>
      <c r="C980" s="1466" t="s">
        <v>4456</v>
      </c>
      <c r="D980" s="1467"/>
      <c r="E980" s="1467"/>
      <c r="F980" s="1468"/>
      <c r="G980" s="1473"/>
      <c r="H980" s="1463" t="s">
        <v>113</v>
      </c>
      <c r="I980" s="1474">
        <v>1.45</v>
      </c>
      <c r="J980" s="1439">
        <v>0</v>
      </c>
      <c r="K980" s="1475">
        <f>I980*J980</f>
        <v>0</v>
      </c>
      <c r="L980" s="1415"/>
      <c r="M980" s="1415"/>
      <c r="N980" s="1455"/>
    </row>
    <row r="981" spans="2:14">
      <c r="B981" s="1472"/>
      <c r="C981" s="1476"/>
      <c r="D981" s="1477"/>
      <c r="E981" s="1477"/>
      <c r="F981" s="1478"/>
      <c r="G981" s="1469"/>
      <c r="H981" s="1469"/>
      <c r="I981" s="1474" t="s">
        <v>64</v>
      </c>
      <c r="J981" s="1439"/>
      <c r="K981" s="1471">
        <f>SUM(K980:K980)</f>
        <v>0</v>
      </c>
      <c r="L981" s="1415"/>
      <c r="M981" s="1415"/>
      <c r="N981" s="1455"/>
    </row>
    <row r="982" spans="2:14">
      <c r="B982" s="1465" t="s">
        <v>65</v>
      </c>
      <c r="C982" s="1466" t="s">
        <v>66</v>
      </c>
      <c r="D982" s="1467"/>
      <c r="E982" s="1467"/>
      <c r="F982" s="1468"/>
      <c r="G982" s="1469"/>
      <c r="H982" s="1469"/>
      <c r="I982" s="1470"/>
      <c r="J982" s="1439">
        <v>0</v>
      </c>
      <c r="K982" s="1471">
        <v>0</v>
      </c>
      <c r="L982" s="1415"/>
      <c r="M982" s="1415"/>
      <c r="N982" s="1455"/>
    </row>
    <row r="983" spans="2:14">
      <c r="B983" s="1472"/>
      <c r="C983" s="1476"/>
      <c r="D983" s="1477"/>
      <c r="E983" s="1477"/>
      <c r="F983" s="1478"/>
      <c r="G983" s="1469"/>
      <c r="H983" s="1469"/>
      <c r="I983" s="1474" t="s">
        <v>67</v>
      </c>
      <c r="J983" s="1439"/>
      <c r="K983" s="1471">
        <v>0</v>
      </c>
      <c r="L983" s="1415"/>
      <c r="M983" s="1415"/>
      <c r="N983" s="1455"/>
    </row>
    <row r="984" spans="2:14">
      <c r="B984" s="1465" t="s">
        <v>68</v>
      </c>
      <c r="C984" s="1466" t="s">
        <v>69</v>
      </c>
      <c r="D984" s="1467"/>
      <c r="E984" s="1467"/>
      <c r="F984" s="1468"/>
      <c r="G984" s="1469"/>
      <c r="H984" s="1469"/>
      <c r="I984" s="1470"/>
      <c r="J984" s="1439">
        <v>0</v>
      </c>
      <c r="K984" s="1471">
        <f>K981+K978</f>
        <v>0</v>
      </c>
      <c r="L984" s="1415"/>
      <c r="M984" s="1415"/>
      <c r="N984" s="1455"/>
    </row>
    <row r="985" spans="2:14">
      <c r="B985" s="1465" t="s">
        <v>70</v>
      </c>
      <c r="C985" s="1466" t="s">
        <v>4299</v>
      </c>
      <c r="D985" s="1467"/>
      <c r="E985" s="1467"/>
      <c r="F985" s="1468"/>
      <c r="G985" s="1469"/>
      <c r="H985" s="1469"/>
      <c r="I985" s="1447">
        <f>$K$917</f>
        <v>0.1</v>
      </c>
      <c r="J985" s="1439"/>
      <c r="K985" s="1471">
        <f>K984*I985</f>
        <v>0</v>
      </c>
      <c r="L985" s="1415"/>
      <c r="M985" s="1415"/>
      <c r="N985" s="1455"/>
    </row>
    <row r="986" spans="2:14" ht="13">
      <c r="B986" s="1465" t="s">
        <v>71</v>
      </c>
      <c r="C986" s="1466" t="s">
        <v>72</v>
      </c>
      <c r="D986" s="1467"/>
      <c r="E986" s="1467"/>
      <c r="F986" s="1468"/>
      <c r="G986" s="1469"/>
      <c r="H986" s="1469"/>
      <c r="I986" s="1470"/>
      <c r="J986" s="1439">
        <v>0</v>
      </c>
      <c r="K986" s="1479">
        <v>0</v>
      </c>
      <c r="L986" s="1415"/>
      <c r="M986" s="1415"/>
      <c r="N986" s="1455"/>
    </row>
    <row r="987" spans="2:14">
      <c r="B987" s="1416"/>
      <c r="C987" s="1415"/>
      <c r="D987" s="1415"/>
      <c r="E987" s="1415"/>
      <c r="F987" s="1415"/>
      <c r="G987" s="1415"/>
      <c r="H987" s="1415"/>
      <c r="I987" s="1415"/>
      <c r="J987" s="1415"/>
      <c r="K987" s="1415"/>
      <c r="L987" s="1415"/>
      <c r="M987" s="1415"/>
      <c r="N987" s="1415"/>
    </row>
    <row r="988" spans="2:14" ht="13">
      <c r="B988" s="1480"/>
      <c r="C988" s="1481" t="s">
        <v>1357</v>
      </c>
      <c r="D988" s="1481"/>
      <c r="E988" s="1481"/>
      <c r="F988" s="1481"/>
      <c r="G988" s="1481"/>
      <c r="H988" s="1481"/>
      <c r="I988" s="1481"/>
      <c r="J988" s="1481"/>
      <c r="K988" s="1481"/>
      <c r="L988" s="1482"/>
      <c r="M988" s="1454"/>
      <c r="N988" s="1483"/>
    </row>
    <row r="989" spans="2:14" ht="13">
      <c r="B989" s="1484" t="s">
        <v>40</v>
      </c>
      <c r="C989" s="1485" t="s">
        <v>41</v>
      </c>
      <c r="D989" s="1486"/>
      <c r="E989" s="1486"/>
      <c r="F989" s="1487"/>
      <c r="G989" s="1488" t="s">
        <v>42</v>
      </c>
      <c r="H989" s="1488" t="s">
        <v>43</v>
      </c>
      <c r="I989" s="1488" t="s">
        <v>44</v>
      </c>
      <c r="J989" s="1488" t="s">
        <v>474</v>
      </c>
      <c r="K989" s="1488" t="s">
        <v>475</v>
      </c>
      <c r="L989" s="1415"/>
      <c r="M989" s="1415"/>
      <c r="N989" s="1483"/>
    </row>
    <row r="990" spans="2:14" ht="13">
      <c r="B990" s="1484" t="s">
        <v>45</v>
      </c>
      <c r="C990" s="1485" t="s">
        <v>46</v>
      </c>
      <c r="D990" s="1486"/>
      <c r="E990" s="1486"/>
      <c r="F990" s="1487"/>
      <c r="G990" s="1488"/>
      <c r="H990" s="1488"/>
      <c r="I990" s="1488"/>
      <c r="J990" s="1488"/>
      <c r="K990" s="1488"/>
      <c r="L990" s="1415"/>
      <c r="M990" s="1415"/>
      <c r="N990" s="1483"/>
    </row>
    <row r="991" spans="2:14" ht="13">
      <c r="B991" s="1484"/>
      <c r="C991" s="1485" t="s">
        <v>4302</v>
      </c>
      <c r="D991" s="1486"/>
      <c r="E991" s="1486"/>
      <c r="F991" s="1487"/>
      <c r="G991" s="1488" t="s">
        <v>4303</v>
      </c>
      <c r="H991" s="1488" t="s">
        <v>48</v>
      </c>
      <c r="I991" s="1488">
        <v>3.1E-2</v>
      </c>
      <c r="J991" s="1439">
        <f>J974</f>
        <v>0</v>
      </c>
      <c r="K991" s="1488">
        <f>J991*I991</f>
        <v>0</v>
      </c>
      <c r="L991" s="1415"/>
      <c r="M991" s="1415"/>
      <c r="N991" s="1483"/>
    </row>
    <row r="992" spans="2:14" ht="13">
      <c r="B992" s="1484"/>
      <c r="C992" s="1466" t="str">
        <f>'[205]HARGA ME'!$B$13</f>
        <v xml:space="preserve">Tukang Pipa </v>
      </c>
      <c r="D992" s="1467"/>
      <c r="E992" s="1467"/>
      <c r="F992" s="1468"/>
      <c r="G992" s="1488" t="s">
        <v>4306</v>
      </c>
      <c r="H992" s="1488" t="s">
        <v>48</v>
      </c>
      <c r="I992" s="1488">
        <v>5.1999999999999998E-2</v>
      </c>
      <c r="J992" s="1439">
        <f>J975</f>
        <v>0</v>
      </c>
      <c r="K992" s="1488">
        <f>J992*I992</f>
        <v>0</v>
      </c>
      <c r="L992" s="1415"/>
      <c r="M992" s="1415"/>
      <c r="N992" s="1483"/>
    </row>
    <row r="993" spans="2:14" ht="13">
      <c r="B993" s="1484"/>
      <c r="C993" s="1466" t="str">
        <f>'[205]HARGA ME'!$B$9</f>
        <v>Kepala Tukang Pipa</v>
      </c>
      <c r="D993" s="1467"/>
      <c r="E993" s="1467"/>
      <c r="F993" s="1468"/>
      <c r="G993" s="1488" t="s">
        <v>4449</v>
      </c>
      <c r="H993" s="1488" t="s">
        <v>48</v>
      </c>
      <c r="I993" s="1488">
        <v>5.0000000000000001E-3</v>
      </c>
      <c r="J993" s="1439">
        <f>J976</f>
        <v>0</v>
      </c>
      <c r="K993" s="1488">
        <f>J993*I993</f>
        <v>0</v>
      </c>
      <c r="L993" s="1415"/>
      <c r="M993" s="1415"/>
      <c r="N993" s="1483"/>
    </row>
    <row r="994" spans="2:14" ht="13">
      <c r="B994" s="1484"/>
      <c r="C994" s="1485" t="s">
        <v>4308</v>
      </c>
      <c r="D994" s="1486"/>
      <c r="E994" s="1486"/>
      <c r="F994" s="1487"/>
      <c r="G994" s="1488" t="s">
        <v>4309</v>
      </c>
      <c r="H994" s="1488" t="s">
        <v>48</v>
      </c>
      <c r="I994" s="1488">
        <v>2E-3</v>
      </c>
      <c r="J994" s="1439">
        <f>J977</f>
        <v>0</v>
      </c>
      <c r="K994" s="1488">
        <f>J994*I994</f>
        <v>0</v>
      </c>
      <c r="L994" s="1415"/>
      <c r="M994" s="1415"/>
      <c r="N994" s="1483"/>
    </row>
    <row r="995" spans="2:14" ht="13">
      <c r="B995" s="1484"/>
      <c r="C995" s="1485"/>
      <c r="D995" s="1486"/>
      <c r="E995" s="1486"/>
      <c r="F995" s="1487"/>
      <c r="G995" s="1488"/>
      <c r="H995" s="1488"/>
      <c r="I995" s="1488" t="s">
        <v>52</v>
      </c>
      <c r="J995" s="1488"/>
      <c r="K995" s="1488">
        <f>SUM(K991:K994)</f>
        <v>0</v>
      </c>
      <c r="L995" s="1415"/>
      <c r="M995" s="1415"/>
      <c r="N995" s="1483"/>
    </row>
    <row r="996" spans="2:14" ht="13">
      <c r="B996" s="1484" t="s">
        <v>53</v>
      </c>
      <c r="C996" s="1485" t="s">
        <v>54</v>
      </c>
      <c r="D996" s="1486"/>
      <c r="E996" s="1486"/>
      <c r="F996" s="1487"/>
      <c r="G996" s="1488"/>
      <c r="H996" s="1488"/>
      <c r="I996" s="1488"/>
      <c r="J996" s="1488"/>
      <c r="K996" s="1488"/>
      <c r="L996" s="1415"/>
      <c r="M996" s="1415"/>
      <c r="N996" s="1483"/>
    </row>
    <row r="997" spans="2:14" ht="13">
      <c r="B997" s="1484"/>
      <c r="C997" s="1466" t="s">
        <v>4457</v>
      </c>
      <c r="D997" s="1467"/>
      <c r="E997" s="1467"/>
      <c r="F997" s="1468"/>
      <c r="G997" s="1473"/>
      <c r="H997" s="1463" t="s">
        <v>113</v>
      </c>
      <c r="I997" s="1474">
        <v>1.45</v>
      </c>
      <c r="J997" s="1488">
        <v>0</v>
      </c>
      <c r="K997" s="1488">
        <f>J997*I997</f>
        <v>0</v>
      </c>
      <c r="L997" s="1415"/>
      <c r="M997" s="1415"/>
      <c r="N997" s="1483"/>
    </row>
    <row r="998" spans="2:14" ht="13">
      <c r="B998" s="1484"/>
      <c r="C998" s="1485"/>
      <c r="D998" s="1486"/>
      <c r="E998" s="1486"/>
      <c r="F998" s="1487"/>
      <c r="G998" s="1488"/>
      <c r="H998" s="1488"/>
      <c r="I998" s="1488" t="s">
        <v>64</v>
      </c>
      <c r="J998" s="1488"/>
      <c r="K998" s="1488">
        <f>SUM(K997:K997)</f>
        <v>0</v>
      </c>
      <c r="L998" s="1415"/>
      <c r="M998" s="1415"/>
      <c r="N998" s="1483"/>
    </row>
    <row r="999" spans="2:14" ht="13">
      <c r="B999" s="1484" t="s">
        <v>65</v>
      </c>
      <c r="C999" s="1485" t="s">
        <v>66</v>
      </c>
      <c r="D999" s="1486"/>
      <c r="E999" s="1486"/>
      <c r="F999" s="1487"/>
      <c r="G999" s="1488"/>
      <c r="H999" s="1488"/>
      <c r="I999" s="1488"/>
      <c r="J999" s="1488"/>
      <c r="K999" s="1488"/>
      <c r="L999" s="1415"/>
      <c r="M999" s="1415"/>
      <c r="N999" s="1483"/>
    </row>
    <row r="1000" spans="2:14" ht="13">
      <c r="B1000" s="1484"/>
      <c r="C1000" s="1485"/>
      <c r="D1000" s="1486"/>
      <c r="E1000" s="1486"/>
      <c r="F1000" s="1487"/>
      <c r="G1000" s="1488"/>
      <c r="H1000" s="1488"/>
      <c r="I1000" s="1488" t="s">
        <v>67</v>
      </c>
      <c r="J1000" s="1488"/>
      <c r="K1000" s="1488">
        <v>0</v>
      </c>
      <c r="L1000" s="1415"/>
      <c r="M1000" s="1415"/>
      <c r="N1000" s="1483"/>
    </row>
    <row r="1001" spans="2:14" ht="13">
      <c r="B1001" s="1484" t="s">
        <v>68</v>
      </c>
      <c r="C1001" s="1485" t="s">
        <v>69</v>
      </c>
      <c r="D1001" s="1486"/>
      <c r="E1001" s="1486"/>
      <c r="F1001" s="1487"/>
      <c r="G1001" s="1488"/>
      <c r="H1001" s="1488"/>
      <c r="I1001" s="1488"/>
      <c r="J1001" s="1488"/>
      <c r="K1001" s="1488">
        <f>K998+K995</f>
        <v>0</v>
      </c>
      <c r="L1001" s="1415"/>
      <c r="M1001" s="1415"/>
      <c r="N1001" s="1483"/>
    </row>
    <row r="1002" spans="2:14" ht="13">
      <c r="B1002" s="1484" t="s">
        <v>70</v>
      </c>
      <c r="C1002" s="1466" t="s">
        <v>4299</v>
      </c>
      <c r="D1002" s="1467"/>
      <c r="E1002" s="1467"/>
      <c r="F1002" s="1468"/>
      <c r="G1002" s="1469"/>
      <c r="H1002" s="1469"/>
      <c r="I1002" s="1447">
        <f>$K$917</f>
        <v>0.1</v>
      </c>
      <c r="J1002" s="1439"/>
      <c r="K1002" s="1471">
        <f>K1001*I1002</f>
        <v>0</v>
      </c>
      <c r="L1002" s="1415"/>
      <c r="M1002" s="1415"/>
      <c r="N1002" s="1483"/>
    </row>
    <row r="1003" spans="2:14" ht="13">
      <c r="B1003" s="1484" t="s">
        <v>71</v>
      </c>
      <c r="C1003" s="1485" t="s">
        <v>72</v>
      </c>
      <c r="D1003" s="1486"/>
      <c r="E1003" s="1486"/>
      <c r="F1003" s="1487"/>
      <c r="G1003" s="1488"/>
      <c r="H1003" s="1488"/>
      <c r="I1003" s="1488"/>
      <c r="J1003" s="1488"/>
      <c r="K1003" s="1489">
        <v>0</v>
      </c>
      <c r="L1003" s="1415"/>
      <c r="M1003" s="1415"/>
      <c r="N1003" s="1483"/>
    </row>
    <row r="1004" spans="2:14">
      <c r="B1004" s="1416"/>
      <c r="C1004" s="1415"/>
      <c r="D1004" s="1415"/>
      <c r="E1004" s="1415"/>
      <c r="F1004" s="1415"/>
      <c r="G1004" s="1415"/>
      <c r="H1004" s="1415"/>
      <c r="I1004" s="1415"/>
      <c r="J1004" s="1415"/>
      <c r="K1004" s="1415"/>
      <c r="L1004" s="1415"/>
      <c r="M1004" s="1415"/>
      <c r="N1004" s="1415"/>
    </row>
    <row r="1005" spans="2:14" ht="13">
      <c r="B1005" s="1453"/>
      <c r="C1005" s="1454" t="s">
        <v>1361</v>
      </c>
      <c r="D1005" s="1454"/>
      <c r="E1005" s="1454"/>
      <c r="F1005" s="1454"/>
      <c r="G1005" s="1415"/>
      <c r="H1005" s="1455"/>
      <c r="I1005" s="1456"/>
      <c r="J1005" s="1456"/>
      <c r="K1005" s="1457"/>
      <c r="L1005" s="1423"/>
      <c r="M1005" s="1455"/>
      <c r="N1005" s="1455"/>
    </row>
    <row r="1006" spans="2:14" ht="25">
      <c r="B1006" s="1458" t="s">
        <v>40</v>
      </c>
      <c r="C1006" s="1459" t="s">
        <v>41</v>
      </c>
      <c r="D1006" s="1460"/>
      <c r="E1006" s="1460"/>
      <c r="F1006" s="1461"/>
      <c r="G1006" s="1462" t="s">
        <v>42</v>
      </c>
      <c r="H1006" s="1462" t="s">
        <v>43</v>
      </c>
      <c r="I1006" s="1463" t="s">
        <v>44</v>
      </c>
      <c r="J1006" s="1431" t="s">
        <v>474</v>
      </c>
      <c r="K1006" s="1464" t="s">
        <v>475</v>
      </c>
      <c r="L1006" s="1415"/>
      <c r="M1006" s="1415"/>
      <c r="N1006" s="1455"/>
    </row>
    <row r="1007" spans="2:14">
      <c r="B1007" s="1465" t="s">
        <v>45</v>
      </c>
      <c r="C1007" s="1466" t="s">
        <v>46</v>
      </c>
      <c r="D1007" s="1467"/>
      <c r="E1007" s="1467"/>
      <c r="F1007" s="1468"/>
      <c r="G1007" s="1469"/>
      <c r="H1007" s="1469"/>
      <c r="I1007" s="1470"/>
      <c r="J1007" s="1439"/>
      <c r="K1007" s="1471"/>
      <c r="L1007" s="1415"/>
      <c r="M1007" s="1415"/>
      <c r="N1007" s="1455"/>
    </row>
    <row r="1008" spans="2:14">
      <c r="B1008" s="1472"/>
      <c r="C1008" s="1466" t="s">
        <v>4302</v>
      </c>
      <c r="D1008" s="1467"/>
      <c r="E1008" s="1467"/>
      <c r="F1008" s="1468"/>
      <c r="G1008" s="1473" t="s">
        <v>4303</v>
      </c>
      <c r="H1008" s="1463" t="s">
        <v>48</v>
      </c>
      <c r="I1008" s="1474">
        <v>6.3E-2</v>
      </c>
      <c r="J1008" s="1439">
        <f>J991</f>
        <v>0</v>
      </c>
      <c r="K1008" s="1475">
        <f>I1008*J1008</f>
        <v>0</v>
      </c>
      <c r="L1008" s="1415"/>
      <c r="M1008" s="1415"/>
      <c r="N1008" s="1455"/>
    </row>
    <row r="1009" spans="2:14">
      <c r="B1009" s="1472"/>
      <c r="C1009" s="1466" t="str">
        <f>'[205]HARGA ME'!$B$13</f>
        <v xml:space="preserve">Tukang Pipa </v>
      </c>
      <c r="D1009" s="1467"/>
      <c r="E1009" s="1467"/>
      <c r="F1009" s="1468"/>
      <c r="G1009" s="1473" t="s">
        <v>4306</v>
      </c>
      <c r="H1009" s="1463" t="s">
        <v>48</v>
      </c>
      <c r="I1009" s="1474">
        <v>0.104</v>
      </c>
      <c r="J1009" s="1439">
        <f>J992</f>
        <v>0</v>
      </c>
      <c r="K1009" s="1475">
        <f>I1009*J1009</f>
        <v>0</v>
      </c>
      <c r="L1009" s="1415"/>
      <c r="M1009" s="1415"/>
      <c r="N1009" s="1455"/>
    </row>
    <row r="1010" spans="2:14">
      <c r="B1010" s="1472"/>
      <c r="C1010" s="1466" t="str">
        <f>'[205]HARGA ME'!$B$9</f>
        <v>Kepala Tukang Pipa</v>
      </c>
      <c r="D1010" s="1467"/>
      <c r="E1010" s="1467"/>
      <c r="F1010" s="1468"/>
      <c r="G1010" s="1473" t="s">
        <v>4449</v>
      </c>
      <c r="H1010" s="1463" t="s">
        <v>48</v>
      </c>
      <c r="I1010" s="1474">
        <v>0.01</v>
      </c>
      <c r="J1010" s="1439">
        <f>J993</f>
        <v>0</v>
      </c>
      <c r="K1010" s="1475">
        <f>I1010*J1010</f>
        <v>0</v>
      </c>
      <c r="L1010" s="1415"/>
      <c r="M1010" s="1415"/>
      <c r="N1010" s="1455"/>
    </row>
    <row r="1011" spans="2:14">
      <c r="B1011" s="1472"/>
      <c r="C1011" s="1466" t="s">
        <v>4308</v>
      </c>
      <c r="D1011" s="1467"/>
      <c r="E1011" s="1467"/>
      <c r="F1011" s="1468"/>
      <c r="G1011" s="1473" t="s">
        <v>4309</v>
      </c>
      <c r="H1011" s="1463" t="s">
        <v>48</v>
      </c>
      <c r="I1011" s="1474">
        <v>3.0000000000000001E-3</v>
      </c>
      <c r="J1011" s="1439">
        <f>J994</f>
        <v>0</v>
      </c>
      <c r="K1011" s="1475">
        <f>I1011*J1011</f>
        <v>0</v>
      </c>
      <c r="L1011" s="1415"/>
      <c r="M1011" s="1415"/>
      <c r="N1011" s="1455"/>
    </row>
    <row r="1012" spans="2:14">
      <c r="B1012" s="1472"/>
      <c r="C1012" s="1476"/>
      <c r="D1012" s="1477"/>
      <c r="E1012" s="1477"/>
      <c r="F1012" s="1478"/>
      <c r="G1012" s="1469"/>
      <c r="H1012" s="1469"/>
      <c r="I1012" s="1474" t="s">
        <v>52</v>
      </c>
      <c r="J1012" s="1439"/>
      <c r="K1012" s="1471">
        <f>SUM(K1008:K1011)</f>
        <v>0</v>
      </c>
      <c r="L1012" s="1415"/>
      <c r="M1012" s="1415"/>
      <c r="N1012" s="1455"/>
    </row>
    <row r="1013" spans="2:14">
      <c r="B1013" s="1465" t="s">
        <v>53</v>
      </c>
      <c r="C1013" s="1466" t="s">
        <v>54</v>
      </c>
      <c r="D1013" s="1467"/>
      <c r="E1013" s="1467"/>
      <c r="F1013" s="1468"/>
      <c r="G1013" s="1469"/>
      <c r="H1013" s="1469"/>
      <c r="I1013" s="1470"/>
      <c r="J1013" s="1439"/>
      <c r="K1013" s="1471"/>
      <c r="L1013" s="1415"/>
      <c r="M1013" s="1415"/>
      <c r="N1013" s="1455"/>
    </row>
    <row r="1014" spans="2:14">
      <c r="B1014" s="1472"/>
      <c r="C1014" s="1466" t="s">
        <v>4458</v>
      </c>
      <c r="D1014" s="1467"/>
      <c r="E1014" s="1467"/>
      <c r="F1014" s="1468"/>
      <c r="G1014" s="1473"/>
      <c r="H1014" s="1463" t="s">
        <v>113</v>
      </c>
      <c r="I1014" s="1474">
        <v>1.45</v>
      </c>
      <c r="J1014" s="1439">
        <v>0</v>
      </c>
      <c r="K1014" s="1475">
        <f>I1014*J1014</f>
        <v>0</v>
      </c>
      <c r="L1014" s="1415"/>
      <c r="M1014" s="1415"/>
      <c r="N1014" s="1455"/>
    </row>
    <row r="1015" spans="2:14">
      <c r="B1015" s="1472"/>
      <c r="C1015" s="1476"/>
      <c r="D1015" s="1477"/>
      <c r="E1015" s="1477"/>
      <c r="F1015" s="1478"/>
      <c r="G1015" s="1469"/>
      <c r="H1015" s="1469"/>
      <c r="I1015" s="1474" t="s">
        <v>64</v>
      </c>
      <c r="J1015" s="1439"/>
      <c r="K1015" s="1471">
        <f>SUM(K1014:K1014)</f>
        <v>0</v>
      </c>
      <c r="L1015" s="1415"/>
      <c r="M1015" s="1415"/>
      <c r="N1015" s="1455"/>
    </row>
    <row r="1016" spans="2:14">
      <c r="B1016" s="1465" t="s">
        <v>65</v>
      </c>
      <c r="C1016" s="1466" t="s">
        <v>66</v>
      </c>
      <c r="D1016" s="1467"/>
      <c r="E1016" s="1467"/>
      <c r="F1016" s="1468"/>
      <c r="G1016" s="1469"/>
      <c r="H1016" s="1469"/>
      <c r="I1016" s="1470"/>
      <c r="J1016" s="1439">
        <v>0</v>
      </c>
      <c r="K1016" s="1471">
        <v>0</v>
      </c>
      <c r="L1016" s="1415"/>
      <c r="M1016" s="1415"/>
      <c r="N1016" s="1455"/>
    </row>
    <row r="1017" spans="2:14">
      <c r="B1017" s="1472"/>
      <c r="C1017" s="1476"/>
      <c r="D1017" s="1477"/>
      <c r="E1017" s="1477"/>
      <c r="F1017" s="1478"/>
      <c r="G1017" s="1469"/>
      <c r="H1017" s="1469"/>
      <c r="I1017" s="1474" t="s">
        <v>67</v>
      </c>
      <c r="J1017" s="1439"/>
      <c r="K1017" s="1471">
        <v>0</v>
      </c>
      <c r="L1017" s="1415"/>
      <c r="M1017" s="1415"/>
      <c r="N1017" s="1455"/>
    </row>
    <row r="1018" spans="2:14">
      <c r="B1018" s="1465" t="s">
        <v>68</v>
      </c>
      <c r="C1018" s="1466" t="s">
        <v>69</v>
      </c>
      <c r="D1018" s="1467"/>
      <c r="E1018" s="1467"/>
      <c r="F1018" s="1468"/>
      <c r="G1018" s="1469"/>
      <c r="H1018" s="1469"/>
      <c r="I1018" s="1470"/>
      <c r="J1018" s="1439">
        <v>0</v>
      </c>
      <c r="K1018" s="1471">
        <f>K1015+K1012</f>
        <v>0</v>
      </c>
      <c r="L1018" s="1415"/>
      <c r="M1018" s="1415"/>
      <c r="N1018" s="1455"/>
    </row>
    <row r="1019" spans="2:14">
      <c r="B1019" s="1465" t="s">
        <v>70</v>
      </c>
      <c r="C1019" s="1466" t="s">
        <v>4299</v>
      </c>
      <c r="D1019" s="1467"/>
      <c r="E1019" s="1467"/>
      <c r="F1019" s="1468"/>
      <c r="G1019" s="1469"/>
      <c r="H1019" s="1469"/>
      <c r="I1019" s="1447">
        <f>$K$917</f>
        <v>0.1</v>
      </c>
      <c r="J1019" s="1439"/>
      <c r="K1019" s="1471">
        <f>K1018*I1019</f>
        <v>0</v>
      </c>
      <c r="L1019" s="1415"/>
      <c r="M1019" s="1415"/>
      <c r="N1019" s="1455"/>
    </row>
    <row r="1020" spans="2:14" ht="13">
      <c r="B1020" s="1465" t="s">
        <v>71</v>
      </c>
      <c r="C1020" s="1466" t="s">
        <v>72</v>
      </c>
      <c r="D1020" s="1467"/>
      <c r="E1020" s="1467"/>
      <c r="F1020" s="1468"/>
      <c r="G1020" s="1469"/>
      <c r="H1020" s="1469"/>
      <c r="I1020" s="1470"/>
      <c r="J1020" s="1439">
        <v>0</v>
      </c>
      <c r="K1020" s="1479">
        <v>0</v>
      </c>
      <c r="L1020" s="1415"/>
      <c r="M1020" s="1415"/>
      <c r="N1020" s="1455"/>
    </row>
    <row r="1021" spans="2:14">
      <c r="B1021" s="1416"/>
      <c r="C1021" s="1415"/>
      <c r="D1021" s="1415"/>
      <c r="E1021" s="1415"/>
      <c r="F1021" s="1415"/>
      <c r="G1021" s="1415"/>
      <c r="H1021" s="1415"/>
      <c r="I1021" s="1415"/>
      <c r="J1021" s="1415"/>
      <c r="K1021" s="1415"/>
      <c r="L1021" s="1415"/>
      <c r="M1021" s="1415"/>
      <c r="N1021" s="1415"/>
    </row>
    <row r="1022" spans="2:14">
      <c r="B1022" s="1416"/>
      <c r="C1022" s="1415"/>
      <c r="D1022" s="1415"/>
      <c r="E1022" s="1415"/>
      <c r="F1022" s="1415"/>
      <c r="G1022" s="1415"/>
      <c r="H1022" s="1415"/>
      <c r="I1022" s="1415"/>
      <c r="J1022" s="1415"/>
      <c r="K1022" s="1415"/>
      <c r="L1022" s="1415"/>
      <c r="M1022" s="1415"/>
      <c r="N1022" s="1415"/>
    </row>
    <row r="1023" spans="2:14" ht="13">
      <c r="B1023" s="1480"/>
      <c r="C1023" s="1481" t="s">
        <v>1365</v>
      </c>
      <c r="D1023" s="1481"/>
      <c r="E1023" s="1481"/>
      <c r="F1023" s="1481"/>
      <c r="G1023" s="1481"/>
      <c r="H1023" s="1481"/>
      <c r="I1023" s="1481"/>
      <c r="J1023" s="1481"/>
      <c r="K1023" s="1481"/>
      <c r="L1023" s="1482"/>
      <c r="M1023" s="1454"/>
      <c r="N1023" s="1483"/>
    </row>
    <row r="1024" spans="2:14" ht="13">
      <c r="B1024" s="1484" t="s">
        <v>40</v>
      </c>
      <c r="C1024" s="1485" t="s">
        <v>41</v>
      </c>
      <c r="D1024" s="1486"/>
      <c r="E1024" s="1486"/>
      <c r="F1024" s="1487"/>
      <c r="G1024" s="1488" t="s">
        <v>42</v>
      </c>
      <c r="H1024" s="1488" t="s">
        <v>43</v>
      </c>
      <c r="I1024" s="1488" t="s">
        <v>44</v>
      </c>
      <c r="J1024" s="1488" t="s">
        <v>474</v>
      </c>
      <c r="K1024" s="1488" t="s">
        <v>475</v>
      </c>
      <c r="L1024" s="1415"/>
      <c r="M1024" s="1415"/>
      <c r="N1024" s="1483"/>
    </row>
    <row r="1025" spans="2:14" ht="13">
      <c r="B1025" s="1484" t="s">
        <v>45</v>
      </c>
      <c r="C1025" s="1485" t="s">
        <v>46</v>
      </c>
      <c r="D1025" s="1486"/>
      <c r="E1025" s="1486"/>
      <c r="F1025" s="1487"/>
      <c r="G1025" s="1488"/>
      <c r="H1025" s="1488"/>
      <c r="I1025" s="1488"/>
      <c r="J1025" s="1488"/>
      <c r="K1025" s="1488"/>
      <c r="L1025" s="1415"/>
      <c r="M1025" s="1415"/>
      <c r="N1025" s="1483"/>
    </row>
    <row r="1026" spans="2:14" ht="13">
      <c r="B1026" s="1484"/>
      <c r="C1026" s="1485" t="s">
        <v>4302</v>
      </c>
      <c r="D1026" s="1486"/>
      <c r="E1026" s="1486"/>
      <c r="F1026" s="1487"/>
      <c r="G1026" s="1488" t="s">
        <v>4303</v>
      </c>
      <c r="H1026" s="1488" t="s">
        <v>48</v>
      </c>
      <c r="I1026" s="1488">
        <v>9.4E-2</v>
      </c>
      <c r="J1026" s="1439">
        <f>J1008</f>
        <v>0</v>
      </c>
      <c r="K1026" s="1488">
        <f>J1026*I1026</f>
        <v>0</v>
      </c>
      <c r="L1026" s="1415"/>
      <c r="M1026" s="1415"/>
      <c r="N1026" s="1483"/>
    </row>
    <row r="1027" spans="2:14" ht="13">
      <c r="B1027" s="1484"/>
      <c r="C1027" s="1466" t="str">
        <f>'[205]HARGA ME'!$B$13</f>
        <v xml:space="preserve">Tukang Pipa </v>
      </c>
      <c r="D1027" s="1467"/>
      <c r="E1027" s="1467"/>
      <c r="F1027" s="1468"/>
      <c r="G1027" s="1488" t="s">
        <v>4306</v>
      </c>
      <c r="H1027" s="1488" t="s">
        <v>48</v>
      </c>
      <c r="I1027" s="1488">
        <v>0.157</v>
      </c>
      <c r="J1027" s="1439">
        <f>J1009</f>
        <v>0</v>
      </c>
      <c r="K1027" s="1488">
        <f>J1027*I1027</f>
        <v>0</v>
      </c>
      <c r="L1027" s="1415"/>
      <c r="M1027" s="1415"/>
      <c r="N1027" s="1483"/>
    </row>
    <row r="1028" spans="2:14" ht="13">
      <c r="B1028" s="1484"/>
      <c r="C1028" s="1466" t="str">
        <f>'[205]HARGA ME'!$B$9</f>
        <v>Kepala Tukang Pipa</v>
      </c>
      <c r="D1028" s="1467"/>
      <c r="E1028" s="1467"/>
      <c r="F1028" s="1468"/>
      <c r="G1028" s="1488" t="s">
        <v>4449</v>
      </c>
      <c r="H1028" s="1488" t="s">
        <v>48</v>
      </c>
      <c r="I1028" s="1488">
        <v>1.6E-2</v>
      </c>
      <c r="J1028" s="1439">
        <f>J1010</f>
        <v>0</v>
      </c>
      <c r="K1028" s="1488">
        <f>J1028*I1028</f>
        <v>0</v>
      </c>
      <c r="L1028" s="1415"/>
      <c r="M1028" s="1415"/>
      <c r="N1028" s="1483"/>
    </row>
    <row r="1029" spans="2:14" ht="13">
      <c r="B1029" s="1484"/>
      <c r="C1029" s="1485" t="s">
        <v>4308</v>
      </c>
      <c r="D1029" s="1486"/>
      <c r="E1029" s="1486"/>
      <c r="F1029" s="1487"/>
      <c r="G1029" s="1488" t="s">
        <v>4309</v>
      </c>
      <c r="H1029" s="1488" t="s">
        <v>48</v>
      </c>
      <c r="I1029" s="1488">
        <v>5.0000000000000001E-3</v>
      </c>
      <c r="J1029" s="1439">
        <f>J1011</f>
        <v>0</v>
      </c>
      <c r="K1029" s="1488">
        <f>J1029*I1029</f>
        <v>0</v>
      </c>
      <c r="L1029" s="1415"/>
      <c r="M1029" s="1415"/>
      <c r="N1029" s="1483"/>
    </row>
    <row r="1030" spans="2:14" ht="13">
      <c r="B1030" s="1484"/>
      <c r="C1030" s="1485"/>
      <c r="D1030" s="1486"/>
      <c r="E1030" s="1486"/>
      <c r="F1030" s="1487"/>
      <c r="G1030" s="1488"/>
      <c r="H1030" s="1488"/>
      <c r="I1030" s="1488" t="s">
        <v>52</v>
      </c>
      <c r="J1030" s="1488"/>
      <c r="K1030" s="1488">
        <f>SUM(K1026:K1029)</f>
        <v>0</v>
      </c>
      <c r="L1030" s="1415"/>
      <c r="M1030" s="1415"/>
      <c r="N1030" s="1483"/>
    </row>
    <row r="1031" spans="2:14" ht="13">
      <c r="B1031" s="1484" t="s">
        <v>53</v>
      </c>
      <c r="C1031" s="1485" t="s">
        <v>54</v>
      </c>
      <c r="D1031" s="1486"/>
      <c r="E1031" s="1486"/>
      <c r="F1031" s="1487"/>
      <c r="G1031" s="1488"/>
      <c r="H1031" s="1488"/>
      <c r="I1031" s="1488"/>
      <c r="J1031" s="1488"/>
      <c r="K1031" s="1488"/>
      <c r="L1031" s="1415"/>
      <c r="M1031" s="1415"/>
      <c r="N1031" s="1483"/>
    </row>
    <row r="1032" spans="2:14" ht="13">
      <c r="B1032" s="1484"/>
      <c r="C1032" s="1466" t="s">
        <v>4459</v>
      </c>
      <c r="D1032" s="1467"/>
      <c r="E1032" s="1467"/>
      <c r="F1032" s="1468"/>
      <c r="G1032" s="1473"/>
      <c r="H1032" s="1463" t="s">
        <v>113</v>
      </c>
      <c r="I1032" s="1474">
        <v>1.45</v>
      </c>
      <c r="J1032" s="1488">
        <v>0</v>
      </c>
      <c r="K1032" s="1488">
        <f>J1032*I1032</f>
        <v>0</v>
      </c>
      <c r="L1032" s="1415"/>
      <c r="M1032" s="1415"/>
      <c r="N1032" s="1483"/>
    </row>
    <row r="1033" spans="2:14" ht="13">
      <c r="B1033" s="1484"/>
      <c r="C1033" s="1485"/>
      <c r="D1033" s="1486"/>
      <c r="E1033" s="1486"/>
      <c r="F1033" s="1487"/>
      <c r="G1033" s="1488"/>
      <c r="H1033" s="1488"/>
      <c r="I1033" s="1488" t="s">
        <v>64</v>
      </c>
      <c r="J1033" s="1488"/>
      <c r="K1033" s="1488">
        <f>SUM(K1032:K1032)</f>
        <v>0</v>
      </c>
      <c r="L1033" s="1415"/>
      <c r="M1033" s="1415"/>
      <c r="N1033" s="1483"/>
    </row>
    <row r="1034" spans="2:14" ht="13">
      <c r="B1034" s="1484" t="s">
        <v>65</v>
      </c>
      <c r="C1034" s="1485" t="s">
        <v>66</v>
      </c>
      <c r="D1034" s="1486"/>
      <c r="E1034" s="1486"/>
      <c r="F1034" s="1487"/>
      <c r="G1034" s="1488"/>
      <c r="H1034" s="1488"/>
      <c r="I1034" s="1488"/>
      <c r="J1034" s="1488"/>
      <c r="K1034" s="1488"/>
      <c r="L1034" s="1415"/>
      <c r="M1034" s="1415"/>
      <c r="N1034" s="1483"/>
    </row>
    <row r="1035" spans="2:14" ht="13">
      <c r="B1035" s="1484"/>
      <c r="C1035" s="1485"/>
      <c r="D1035" s="1486"/>
      <c r="E1035" s="1486"/>
      <c r="F1035" s="1487"/>
      <c r="G1035" s="1488"/>
      <c r="H1035" s="1488"/>
      <c r="I1035" s="1488" t="s">
        <v>67</v>
      </c>
      <c r="J1035" s="1488"/>
      <c r="K1035" s="1488">
        <v>0</v>
      </c>
      <c r="L1035" s="1415"/>
      <c r="M1035" s="1415"/>
      <c r="N1035" s="1483"/>
    </row>
    <row r="1036" spans="2:14" ht="13">
      <c r="B1036" s="1484" t="s">
        <v>68</v>
      </c>
      <c r="C1036" s="1485" t="s">
        <v>69</v>
      </c>
      <c r="D1036" s="1486"/>
      <c r="E1036" s="1486"/>
      <c r="F1036" s="1487"/>
      <c r="G1036" s="1488"/>
      <c r="H1036" s="1488"/>
      <c r="I1036" s="1488"/>
      <c r="J1036" s="1488"/>
      <c r="K1036" s="1488">
        <f>K1033+K1030</f>
        <v>0</v>
      </c>
      <c r="L1036" s="1415"/>
      <c r="M1036" s="1415"/>
      <c r="N1036" s="1483"/>
    </row>
    <row r="1037" spans="2:14" ht="13">
      <c r="B1037" s="1484" t="s">
        <v>70</v>
      </c>
      <c r="C1037" s="1466" t="s">
        <v>4299</v>
      </c>
      <c r="D1037" s="1467"/>
      <c r="E1037" s="1467"/>
      <c r="F1037" s="1468"/>
      <c r="G1037" s="1469"/>
      <c r="H1037" s="1469"/>
      <c r="I1037" s="1447">
        <f>$K$917</f>
        <v>0.1</v>
      </c>
      <c r="J1037" s="1439"/>
      <c r="K1037" s="1471">
        <f>K1036*I1037</f>
        <v>0</v>
      </c>
      <c r="L1037" s="1415"/>
      <c r="M1037" s="1415"/>
      <c r="N1037" s="1483"/>
    </row>
    <row r="1038" spans="2:14" ht="13">
      <c r="B1038" s="1484" t="s">
        <v>71</v>
      </c>
      <c r="C1038" s="1485" t="s">
        <v>72</v>
      </c>
      <c r="D1038" s="1486"/>
      <c r="E1038" s="1486"/>
      <c r="F1038" s="1487"/>
      <c r="G1038" s="1488"/>
      <c r="H1038" s="1488"/>
      <c r="I1038" s="1488"/>
      <c r="J1038" s="1488"/>
      <c r="K1038" s="1489">
        <v>0</v>
      </c>
      <c r="L1038" s="1415"/>
      <c r="M1038" s="1415"/>
      <c r="N1038" s="1483"/>
    </row>
    <row r="1039" spans="2:14">
      <c r="B1039" s="1416"/>
      <c r="C1039" s="1415"/>
      <c r="D1039" s="1415"/>
      <c r="E1039" s="1415"/>
      <c r="F1039" s="1415"/>
      <c r="G1039" s="1415"/>
      <c r="H1039" s="1415"/>
      <c r="I1039" s="1415"/>
      <c r="J1039" s="1415"/>
      <c r="K1039" s="1415"/>
      <c r="L1039" s="1415"/>
      <c r="M1039" s="1415"/>
      <c r="N1039" s="1415"/>
    </row>
    <row r="1040" spans="2:14" ht="13">
      <c r="B1040" s="1453"/>
      <c r="C1040" s="1454" t="s">
        <v>1367</v>
      </c>
      <c r="D1040" s="1454"/>
      <c r="E1040" s="1454"/>
      <c r="F1040" s="1454"/>
      <c r="G1040" s="1415"/>
      <c r="H1040" s="1455"/>
      <c r="I1040" s="1456"/>
      <c r="J1040" s="1456"/>
      <c r="K1040" s="1457"/>
      <c r="L1040" s="1423"/>
      <c r="M1040" s="1455"/>
      <c r="N1040" s="1455"/>
    </row>
    <row r="1041" spans="2:14" ht="26">
      <c r="B1041" s="1490" t="s">
        <v>40</v>
      </c>
      <c r="C1041" s="1491" t="s">
        <v>41</v>
      </c>
      <c r="D1041" s="1492"/>
      <c r="E1041" s="1492"/>
      <c r="F1041" s="1493"/>
      <c r="G1041" s="1494" t="s">
        <v>42</v>
      </c>
      <c r="H1041" s="1494" t="s">
        <v>43</v>
      </c>
      <c r="I1041" s="1495" t="s">
        <v>44</v>
      </c>
      <c r="J1041" s="1496" t="s">
        <v>474</v>
      </c>
      <c r="K1041" s="1497" t="s">
        <v>475</v>
      </c>
      <c r="L1041" s="1415"/>
      <c r="M1041" s="1415"/>
      <c r="N1041" s="1455"/>
    </row>
    <row r="1042" spans="2:14" ht="13">
      <c r="B1042" s="1490" t="s">
        <v>45</v>
      </c>
      <c r="C1042" s="1466" t="s">
        <v>46</v>
      </c>
      <c r="D1042" s="1467"/>
      <c r="E1042" s="1467"/>
      <c r="F1042" s="1468"/>
      <c r="G1042" s="1469"/>
      <c r="H1042" s="1469"/>
      <c r="I1042" s="1470"/>
      <c r="J1042" s="1439"/>
      <c r="K1042" s="1471"/>
      <c r="L1042" s="1415"/>
      <c r="M1042" s="1415"/>
      <c r="N1042" s="1455"/>
    </row>
    <row r="1043" spans="2:14" ht="13">
      <c r="B1043" s="1498"/>
      <c r="C1043" s="1466" t="s">
        <v>4302</v>
      </c>
      <c r="D1043" s="1467"/>
      <c r="E1043" s="1467"/>
      <c r="F1043" s="1468"/>
      <c r="G1043" s="1473" t="s">
        <v>4303</v>
      </c>
      <c r="H1043" s="1463" t="s">
        <v>48</v>
      </c>
      <c r="I1043" s="1474">
        <v>0.123</v>
      </c>
      <c r="J1043" s="1439">
        <f>J1026</f>
        <v>0</v>
      </c>
      <c r="K1043" s="1475">
        <f>I1043*J1043</f>
        <v>0</v>
      </c>
      <c r="L1043" s="1415"/>
      <c r="M1043" s="1415"/>
      <c r="N1043" s="1455"/>
    </row>
    <row r="1044" spans="2:14" ht="13">
      <c r="B1044" s="1498"/>
      <c r="C1044" s="1466" t="str">
        <f>'[205]HARGA ME'!$B$13</f>
        <v xml:space="preserve">Tukang Pipa </v>
      </c>
      <c r="D1044" s="1467"/>
      <c r="E1044" s="1467"/>
      <c r="F1044" s="1468"/>
      <c r="G1044" s="1473" t="s">
        <v>4306</v>
      </c>
      <c r="H1044" s="1463" t="s">
        <v>48</v>
      </c>
      <c r="I1044" s="1474">
        <v>0.20499999999999999</v>
      </c>
      <c r="J1044" s="1439">
        <f>J1027</f>
        <v>0</v>
      </c>
      <c r="K1044" s="1475">
        <f>I1044*J1044</f>
        <v>0</v>
      </c>
      <c r="L1044" s="1415"/>
      <c r="M1044" s="1415"/>
      <c r="N1044" s="1455"/>
    </row>
    <row r="1045" spans="2:14" ht="13">
      <c r="B1045" s="1498"/>
      <c r="C1045" s="1466" t="str">
        <f>'[205]HARGA ME'!$B$9</f>
        <v>Kepala Tukang Pipa</v>
      </c>
      <c r="D1045" s="1467"/>
      <c r="E1045" s="1467"/>
      <c r="F1045" s="1468"/>
      <c r="G1045" s="1473" t="s">
        <v>4449</v>
      </c>
      <c r="H1045" s="1463" t="s">
        <v>48</v>
      </c>
      <c r="I1045" s="1474">
        <v>2.1000000000000001E-2</v>
      </c>
      <c r="J1045" s="1439">
        <f>J1028</f>
        <v>0</v>
      </c>
      <c r="K1045" s="1475">
        <f>I1045*J1045</f>
        <v>0</v>
      </c>
      <c r="L1045" s="1415"/>
      <c r="M1045" s="1415"/>
      <c r="N1045" s="1455"/>
    </row>
    <row r="1046" spans="2:14" ht="13">
      <c r="B1046" s="1498"/>
      <c r="C1046" s="1466" t="s">
        <v>4308</v>
      </c>
      <c r="D1046" s="1467"/>
      <c r="E1046" s="1467"/>
      <c r="F1046" s="1468"/>
      <c r="G1046" s="1473" t="s">
        <v>4309</v>
      </c>
      <c r="H1046" s="1463" t="s">
        <v>48</v>
      </c>
      <c r="I1046" s="1474">
        <v>6.0000000000000001E-3</v>
      </c>
      <c r="J1046" s="1439">
        <f>J1029</f>
        <v>0</v>
      </c>
      <c r="K1046" s="1475">
        <f>I1046*J1046</f>
        <v>0</v>
      </c>
      <c r="L1046" s="1415"/>
      <c r="M1046" s="1415"/>
      <c r="N1046" s="1455"/>
    </row>
    <row r="1047" spans="2:14" ht="13">
      <c r="B1047" s="1498"/>
      <c r="C1047" s="1476"/>
      <c r="D1047" s="1477"/>
      <c r="E1047" s="1477"/>
      <c r="F1047" s="1478"/>
      <c r="G1047" s="1469"/>
      <c r="H1047" s="1469"/>
      <c r="I1047" s="1474" t="s">
        <v>52</v>
      </c>
      <c r="J1047" s="1439"/>
      <c r="K1047" s="1471">
        <f>SUM(K1043:K1046)</f>
        <v>0</v>
      </c>
      <c r="L1047" s="1415"/>
      <c r="M1047" s="1415"/>
      <c r="N1047" s="1455"/>
    </row>
    <row r="1048" spans="2:14" ht="13">
      <c r="B1048" s="1490" t="s">
        <v>53</v>
      </c>
      <c r="C1048" s="1466" t="s">
        <v>54</v>
      </c>
      <c r="D1048" s="1467"/>
      <c r="E1048" s="1467"/>
      <c r="F1048" s="1468"/>
      <c r="G1048" s="1469"/>
      <c r="H1048" s="1469"/>
      <c r="I1048" s="1470"/>
      <c r="J1048" s="1439"/>
      <c r="K1048" s="1471"/>
      <c r="L1048" s="1415"/>
      <c r="M1048" s="1415"/>
      <c r="N1048" s="1455"/>
    </row>
    <row r="1049" spans="2:14" ht="13">
      <c r="B1049" s="1498"/>
      <c r="C1049" s="1466" t="s">
        <v>4460</v>
      </c>
      <c r="D1049" s="1467"/>
      <c r="E1049" s="1467"/>
      <c r="F1049" s="1468"/>
      <c r="G1049" s="1473"/>
      <c r="H1049" s="1463" t="s">
        <v>113</v>
      </c>
      <c r="I1049" s="1474">
        <v>1.45</v>
      </c>
      <c r="J1049" s="1439">
        <v>0</v>
      </c>
      <c r="K1049" s="1475">
        <f>I1049*J1049</f>
        <v>0</v>
      </c>
      <c r="L1049" s="1415"/>
      <c r="M1049" s="1415"/>
      <c r="N1049" s="1455"/>
    </row>
    <row r="1050" spans="2:14" ht="13">
      <c r="B1050" s="1498"/>
      <c r="C1050" s="1476"/>
      <c r="D1050" s="1477"/>
      <c r="E1050" s="1477"/>
      <c r="F1050" s="1478"/>
      <c r="G1050" s="1469"/>
      <c r="H1050" s="1469"/>
      <c r="I1050" s="1474" t="s">
        <v>64</v>
      </c>
      <c r="J1050" s="1439"/>
      <c r="K1050" s="1471">
        <f>SUM(K1049:K1049)</f>
        <v>0</v>
      </c>
      <c r="L1050" s="1415"/>
      <c r="M1050" s="1415"/>
      <c r="N1050" s="1455"/>
    </row>
    <row r="1051" spans="2:14" ht="13">
      <c r="B1051" s="1490" t="s">
        <v>65</v>
      </c>
      <c r="C1051" s="1466" t="s">
        <v>66</v>
      </c>
      <c r="D1051" s="1467"/>
      <c r="E1051" s="1467"/>
      <c r="F1051" s="1468"/>
      <c r="G1051" s="1469"/>
      <c r="H1051" s="1469"/>
      <c r="I1051" s="1470"/>
      <c r="J1051" s="1439">
        <v>0</v>
      </c>
      <c r="K1051" s="1471">
        <v>0</v>
      </c>
      <c r="L1051" s="1415"/>
      <c r="M1051" s="1415"/>
      <c r="N1051" s="1455"/>
    </row>
    <row r="1052" spans="2:14" ht="13">
      <c r="B1052" s="1498"/>
      <c r="C1052" s="1476"/>
      <c r="D1052" s="1477"/>
      <c r="E1052" s="1477"/>
      <c r="F1052" s="1478"/>
      <c r="G1052" s="1469"/>
      <c r="H1052" s="1469"/>
      <c r="I1052" s="1474" t="s">
        <v>67</v>
      </c>
      <c r="J1052" s="1439"/>
      <c r="K1052" s="1471">
        <v>0</v>
      </c>
      <c r="L1052" s="1415"/>
      <c r="M1052" s="1415"/>
      <c r="N1052" s="1455"/>
    </row>
    <row r="1053" spans="2:14" ht="13">
      <c r="B1053" s="1490" t="s">
        <v>68</v>
      </c>
      <c r="C1053" s="1466" t="s">
        <v>69</v>
      </c>
      <c r="D1053" s="1467"/>
      <c r="E1053" s="1467"/>
      <c r="F1053" s="1468"/>
      <c r="G1053" s="1469"/>
      <c r="H1053" s="1469"/>
      <c r="I1053" s="1470"/>
      <c r="J1053" s="1439">
        <v>0</v>
      </c>
      <c r="K1053" s="1471">
        <f>K1050+K1047</f>
        <v>0</v>
      </c>
      <c r="L1053" s="1415"/>
      <c r="M1053" s="1415"/>
      <c r="N1053" s="1455"/>
    </row>
    <row r="1054" spans="2:14" ht="13">
      <c r="B1054" s="1490" t="s">
        <v>70</v>
      </c>
      <c r="C1054" s="1466" t="s">
        <v>4299</v>
      </c>
      <c r="D1054" s="1467"/>
      <c r="E1054" s="1467"/>
      <c r="F1054" s="1468"/>
      <c r="G1054" s="1469"/>
      <c r="H1054" s="1469"/>
      <c r="I1054" s="1447">
        <f>$K$917</f>
        <v>0.1</v>
      </c>
      <c r="J1054" s="1439"/>
      <c r="K1054" s="1471">
        <f>K1053*I1054</f>
        <v>0</v>
      </c>
      <c r="L1054" s="1415"/>
      <c r="M1054" s="1415"/>
      <c r="N1054" s="1455"/>
    </row>
    <row r="1055" spans="2:14" ht="13">
      <c r="B1055" s="1490" t="s">
        <v>71</v>
      </c>
      <c r="C1055" s="1466" t="s">
        <v>72</v>
      </c>
      <c r="D1055" s="1467"/>
      <c r="E1055" s="1467"/>
      <c r="F1055" s="1468"/>
      <c r="G1055" s="1469"/>
      <c r="H1055" s="1469"/>
      <c r="I1055" s="1470"/>
      <c r="J1055" s="1439">
        <v>0</v>
      </c>
      <c r="K1055" s="1479">
        <v>0</v>
      </c>
      <c r="L1055" s="1415"/>
      <c r="M1055" s="1415"/>
      <c r="N1055" s="1455"/>
    </row>
    <row r="1056" spans="2:14">
      <c r="B1056" s="1416"/>
      <c r="C1056" s="1415"/>
      <c r="D1056" s="1415"/>
      <c r="E1056" s="1415"/>
      <c r="F1056" s="1415"/>
      <c r="G1056" s="1415"/>
      <c r="H1056" s="1415"/>
      <c r="I1056" s="1415"/>
      <c r="J1056" s="1415"/>
      <c r="K1056" s="1415"/>
      <c r="L1056" s="1415"/>
      <c r="M1056" s="1415"/>
      <c r="N1056" s="1415"/>
    </row>
    <row r="1057" spans="2:14" ht="13">
      <c r="B1057" s="1453" t="s">
        <v>4461</v>
      </c>
      <c r="C1057" s="1454" t="s">
        <v>4462</v>
      </c>
      <c r="D1057" s="1454"/>
      <c r="E1057" s="1454"/>
      <c r="F1057" s="1454"/>
      <c r="G1057" s="1415"/>
      <c r="H1057" s="1455"/>
      <c r="I1057" s="1456"/>
      <c r="J1057" s="1456"/>
      <c r="K1057" s="1457"/>
      <c r="L1057" s="1423"/>
      <c r="M1057" s="1455"/>
      <c r="N1057" s="1455"/>
    </row>
    <row r="1058" spans="2:14" ht="26">
      <c r="B1058" s="1490" t="s">
        <v>40</v>
      </c>
      <c r="C1058" s="1491" t="s">
        <v>41</v>
      </c>
      <c r="D1058" s="1492"/>
      <c r="E1058" s="1492"/>
      <c r="F1058" s="1493"/>
      <c r="G1058" s="1494" t="s">
        <v>42</v>
      </c>
      <c r="H1058" s="1494" t="s">
        <v>43</v>
      </c>
      <c r="I1058" s="1495" t="s">
        <v>44</v>
      </c>
      <c r="J1058" s="1496" t="s">
        <v>474</v>
      </c>
      <c r="K1058" s="1497" t="s">
        <v>475</v>
      </c>
      <c r="L1058" s="1415"/>
      <c r="M1058" s="1415"/>
      <c r="N1058" s="1455"/>
    </row>
    <row r="1059" spans="2:14" ht="13">
      <c r="B1059" s="1490" t="s">
        <v>45</v>
      </c>
      <c r="C1059" s="1466" t="s">
        <v>46</v>
      </c>
      <c r="D1059" s="1467"/>
      <c r="E1059" s="1467"/>
      <c r="F1059" s="1468"/>
      <c r="G1059" s="1469"/>
      <c r="H1059" s="1469"/>
      <c r="I1059" s="1470"/>
      <c r="J1059" s="1439"/>
      <c r="K1059" s="1471"/>
      <c r="L1059" s="1415"/>
      <c r="M1059" s="1415"/>
      <c r="N1059" s="1455"/>
    </row>
    <row r="1060" spans="2:14" ht="13">
      <c r="B1060" s="1498"/>
      <c r="C1060" s="1466" t="s">
        <v>4302</v>
      </c>
      <c r="D1060" s="1467"/>
      <c r="E1060" s="1467"/>
      <c r="F1060" s="1468"/>
      <c r="G1060" s="1473" t="s">
        <v>4303</v>
      </c>
      <c r="H1060" s="1463" t="s">
        <v>48</v>
      </c>
      <c r="I1060" s="1474">
        <v>0.183</v>
      </c>
      <c r="J1060" s="1439">
        <f>J1043</f>
        <v>0</v>
      </c>
      <c r="K1060" s="1475">
        <f>I1060*J1060</f>
        <v>0</v>
      </c>
      <c r="L1060" s="1415"/>
      <c r="M1060" s="1415"/>
      <c r="N1060" s="1455"/>
    </row>
    <row r="1061" spans="2:14" ht="13">
      <c r="B1061" s="1498"/>
      <c r="C1061" s="1466" t="str">
        <f>'[205]HARGA ME'!$B$13</f>
        <v xml:space="preserve">Tukang Pipa </v>
      </c>
      <c r="D1061" s="1467"/>
      <c r="E1061" s="1467"/>
      <c r="F1061" s="1468"/>
      <c r="G1061" s="1473" t="s">
        <v>4306</v>
      </c>
      <c r="H1061" s="1463" t="s">
        <v>48</v>
      </c>
      <c r="I1061" s="1474">
        <v>0.30599999999999999</v>
      </c>
      <c r="J1061" s="1439">
        <f>J1044</f>
        <v>0</v>
      </c>
      <c r="K1061" s="1475">
        <f>I1061*J1061</f>
        <v>0</v>
      </c>
      <c r="L1061" s="1415"/>
      <c r="M1061" s="1415"/>
      <c r="N1061" s="1455"/>
    </row>
    <row r="1062" spans="2:14" ht="13">
      <c r="B1062" s="1498"/>
      <c r="C1062" s="1466" t="str">
        <f>'[205]HARGA ME'!$B$9</f>
        <v>Kepala Tukang Pipa</v>
      </c>
      <c r="D1062" s="1467"/>
      <c r="E1062" s="1467"/>
      <c r="F1062" s="1468"/>
      <c r="G1062" s="1473" t="s">
        <v>4449</v>
      </c>
      <c r="H1062" s="1463" t="s">
        <v>48</v>
      </c>
      <c r="I1062" s="1474">
        <v>3.1E-2</v>
      </c>
      <c r="J1062" s="1439">
        <f>J1045</f>
        <v>0</v>
      </c>
      <c r="K1062" s="1475">
        <f>I1062*J1062</f>
        <v>0</v>
      </c>
      <c r="L1062" s="1415"/>
      <c r="M1062" s="1415"/>
      <c r="N1062" s="1455"/>
    </row>
    <row r="1063" spans="2:14" ht="13">
      <c r="B1063" s="1498"/>
      <c r="C1063" s="1466" t="s">
        <v>4308</v>
      </c>
      <c r="D1063" s="1467"/>
      <c r="E1063" s="1467"/>
      <c r="F1063" s="1468"/>
      <c r="G1063" s="1473" t="s">
        <v>4309</v>
      </c>
      <c r="H1063" s="1463" t="s">
        <v>48</v>
      </c>
      <c r="I1063" s="1474">
        <v>8.9999999999999993E-3</v>
      </c>
      <c r="J1063" s="1439">
        <f>J1046</f>
        <v>0</v>
      </c>
      <c r="K1063" s="1475">
        <f>I1063*J1063</f>
        <v>0</v>
      </c>
      <c r="L1063" s="1415"/>
      <c r="M1063" s="1415"/>
      <c r="N1063" s="1455"/>
    </row>
    <row r="1064" spans="2:14" ht="13">
      <c r="B1064" s="1498"/>
      <c r="C1064" s="1476"/>
      <c r="D1064" s="1477"/>
      <c r="E1064" s="1477"/>
      <c r="F1064" s="1478"/>
      <c r="G1064" s="1469"/>
      <c r="H1064" s="1469"/>
      <c r="I1064" s="1474" t="s">
        <v>52</v>
      </c>
      <c r="J1064" s="1439"/>
      <c r="K1064" s="1471">
        <f>SUM(K1060:K1063)</f>
        <v>0</v>
      </c>
      <c r="L1064" s="1415"/>
      <c r="M1064" s="1415"/>
      <c r="N1064" s="1455"/>
    </row>
    <row r="1065" spans="2:14" ht="13">
      <c r="B1065" s="1490" t="s">
        <v>53</v>
      </c>
      <c r="C1065" s="1466" t="s">
        <v>54</v>
      </c>
      <c r="D1065" s="1467"/>
      <c r="E1065" s="1467"/>
      <c r="F1065" s="1468"/>
      <c r="G1065" s="1469"/>
      <c r="H1065" s="1469"/>
      <c r="I1065" s="1470"/>
      <c r="J1065" s="1439"/>
      <c r="K1065" s="1471"/>
      <c r="L1065" s="1415"/>
      <c r="M1065" s="1415"/>
      <c r="N1065" s="1455"/>
    </row>
    <row r="1066" spans="2:14" ht="13">
      <c r="B1066" s="1498"/>
      <c r="C1066" s="1466" t="s">
        <v>4455</v>
      </c>
      <c r="D1066" s="1467"/>
      <c r="E1066" s="1467"/>
      <c r="F1066" s="1468"/>
      <c r="G1066" s="1473"/>
      <c r="H1066" s="1463" t="s">
        <v>113</v>
      </c>
      <c r="I1066" s="1474">
        <v>1.45</v>
      </c>
      <c r="J1066" s="1439">
        <v>0</v>
      </c>
      <c r="K1066" s="1475">
        <f>I1066*J1066</f>
        <v>0</v>
      </c>
      <c r="L1066" s="1415"/>
      <c r="M1066" s="1415"/>
      <c r="N1066" s="1455"/>
    </row>
    <row r="1067" spans="2:14" ht="13">
      <c r="B1067" s="1498"/>
      <c r="C1067" s="1476"/>
      <c r="D1067" s="1477"/>
      <c r="E1067" s="1477"/>
      <c r="F1067" s="1478"/>
      <c r="G1067" s="1469"/>
      <c r="H1067" s="1469"/>
      <c r="I1067" s="1474" t="s">
        <v>64</v>
      </c>
      <c r="J1067" s="1439"/>
      <c r="K1067" s="1471">
        <f>SUM(K1066:K1066)</f>
        <v>0</v>
      </c>
      <c r="L1067" s="1415"/>
      <c r="M1067" s="1415"/>
      <c r="N1067" s="1455"/>
    </row>
    <row r="1068" spans="2:14" ht="13">
      <c r="B1068" s="1490" t="s">
        <v>65</v>
      </c>
      <c r="C1068" s="1466" t="s">
        <v>66</v>
      </c>
      <c r="D1068" s="1467"/>
      <c r="E1068" s="1467"/>
      <c r="F1068" s="1468"/>
      <c r="G1068" s="1469"/>
      <c r="H1068" s="1469"/>
      <c r="I1068" s="1470"/>
      <c r="J1068" s="1439">
        <v>0</v>
      </c>
      <c r="K1068" s="1471">
        <v>0</v>
      </c>
      <c r="L1068" s="1415"/>
      <c r="M1068" s="1415"/>
      <c r="N1068" s="1455"/>
    </row>
    <row r="1069" spans="2:14" ht="13">
      <c r="B1069" s="1498"/>
      <c r="C1069" s="1476"/>
      <c r="D1069" s="1477"/>
      <c r="E1069" s="1477"/>
      <c r="F1069" s="1478"/>
      <c r="G1069" s="1469"/>
      <c r="H1069" s="1469"/>
      <c r="I1069" s="1474" t="s">
        <v>67</v>
      </c>
      <c r="J1069" s="1439"/>
      <c r="K1069" s="1471">
        <v>0</v>
      </c>
      <c r="L1069" s="1415"/>
      <c r="M1069" s="1415"/>
      <c r="N1069" s="1455"/>
    </row>
    <row r="1070" spans="2:14" ht="13">
      <c r="B1070" s="1490" t="s">
        <v>68</v>
      </c>
      <c r="C1070" s="1466" t="s">
        <v>69</v>
      </c>
      <c r="D1070" s="1467"/>
      <c r="E1070" s="1467"/>
      <c r="F1070" s="1468"/>
      <c r="G1070" s="1469"/>
      <c r="H1070" s="1469"/>
      <c r="I1070" s="1470"/>
      <c r="J1070" s="1439">
        <v>0</v>
      </c>
      <c r="K1070" s="1471">
        <f>K1067+K1064</f>
        <v>0</v>
      </c>
      <c r="L1070" s="1415"/>
      <c r="M1070" s="1415"/>
      <c r="N1070" s="1455"/>
    </row>
    <row r="1071" spans="2:14" ht="13">
      <c r="B1071" s="1490" t="s">
        <v>70</v>
      </c>
      <c r="C1071" s="1466" t="s">
        <v>4299</v>
      </c>
      <c r="D1071" s="1467"/>
      <c r="E1071" s="1467"/>
      <c r="F1071" s="1468"/>
      <c r="G1071" s="1469"/>
      <c r="H1071" s="1469"/>
      <c r="I1071" s="1447">
        <f>$K$917</f>
        <v>0.1</v>
      </c>
      <c r="J1071" s="1439"/>
      <c r="K1071" s="1471">
        <f>K1070*I1071</f>
        <v>0</v>
      </c>
      <c r="L1071" s="1415"/>
      <c r="M1071" s="1415"/>
      <c r="N1071" s="1455"/>
    </row>
    <row r="1072" spans="2:14" ht="13">
      <c r="B1072" s="1490" t="s">
        <v>71</v>
      </c>
      <c r="C1072" s="1466" t="s">
        <v>72</v>
      </c>
      <c r="D1072" s="1467"/>
      <c r="E1072" s="1467"/>
      <c r="F1072" s="1468"/>
      <c r="G1072" s="1469"/>
      <c r="H1072" s="1469"/>
      <c r="I1072" s="1470"/>
      <c r="J1072" s="1439">
        <v>0</v>
      </c>
      <c r="K1072" s="1479">
        <v>0</v>
      </c>
      <c r="L1072" s="1415"/>
      <c r="M1072" s="1415"/>
      <c r="N1072" s="1455"/>
    </row>
    <row r="1073" spans="2:14">
      <c r="B1073" s="1416"/>
      <c r="C1073" s="1415"/>
      <c r="D1073" s="1415"/>
      <c r="E1073" s="1415"/>
      <c r="F1073" s="1415"/>
      <c r="G1073" s="1415"/>
      <c r="H1073" s="1415"/>
      <c r="I1073" s="1415"/>
      <c r="J1073" s="1415"/>
      <c r="K1073" s="1415"/>
      <c r="L1073" s="1415"/>
      <c r="M1073" s="1415"/>
      <c r="N1073" s="1415"/>
    </row>
    <row r="1074" spans="2:14" ht="13">
      <c r="B1074" s="1499" t="s">
        <v>4463</v>
      </c>
      <c r="C1074" s="1454" t="s">
        <v>4464</v>
      </c>
      <c r="D1074" s="1454"/>
      <c r="E1074" s="1454"/>
      <c r="F1074" s="1454"/>
      <c r="G1074" s="1455"/>
      <c r="H1074" s="1415"/>
      <c r="I1074" s="1456"/>
      <c r="J1074" s="1456"/>
      <c r="K1074" s="1457"/>
      <c r="L1074" s="1423"/>
      <c r="M1074" s="1455"/>
      <c r="N1074" s="1455"/>
    </row>
    <row r="1075" spans="2:14" ht="25">
      <c r="B1075" s="1458" t="s">
        <v>40</v>
      </c>
      <c r="C1075" s="1459" t="s">
        <v>41</v>
      </c>
      <c r="D1075" s="1460"/>
      <c r="E1075" s="1460"/>
      <c r="F1075" s="1461"/>
      <c r="G1075" s="1462" t="s">
        <v>42</v>
      </c>
      <c r="H1075" s="1462" t="s">
        <v>43</v>
      </c>
      <c r="I1075" s="1463" t="s">
        <v>44</v>
      </c>
      <c r="J1075" s="1431" t="s">
        <v>474</v>
      </c>
      <c r="K1075" s="1464" t="s">
        <v>475</v>
      </c>
      <c r="L1075" s="1415"/>
      <c r="M1075" s="1415"/>
      <c r="N1075" s="1455"/>
    </row>
    <row r="1076" spans="2:14">
      <c r="B1076" s="1465" t="s">
        <v>45</v>
      </c>
      <c r="C1076" s="1466" t="s">
        <v>46</v>
      </c>
      <c r="D1076" s="1467"/>
      <c r="E1076" s="1467"/>
      <c r="F1076" s="1468"/>
      <c r="G1076" s="1469"/>
      <c r="H1076" s="1469"/>
      <c r="I1076" s="1470"/>
      <c r="J1076" s="1439"/>
      <c r="K1076" s="1471"/>
      <c r="L1076" s="1415"/>
      <c r="M1076" s="1415"/>
      <c r="N1076" s="1455"/>
    </row>
    <row r="1077" spans="2:14">
      <c r="B1077" s="1472"/>
      <c r="C1077" s="1466" t="s">
        <v>4302</v>
      </c>
      <c r="D1077" s="1467"/>
      <c r="E1077" s="1467"/>
      <c r="F1077" s="1468"/>
      <c r="G1077" s="1473" t="s">
        <v>4303</v>
      </c>
      <c r="H1077" s="1463" t="s">
        <v>48</v>
      </c>
      <c r="I1077" s="1474">
        <v>3.5999999999999997E-2</v>
      </c>
      <c r="J1077" s="1439">
        <f>J1060</f>
        <v>0</v>
      </c>
      <c r="K1077" s="1475">
        <f>I1077*J1077</f>
        <v>0</v>
      </c>
      <c r="L1077" s="1415"/>
      <c r="M1077" s="1415"/>
      <c r="N1077" s="1455"/>
    </row>
    <row r="1078" spans="2:14">
      <c r="B1078" s="1472"/>
      <c r="C1078" s="1466" t="str">
        <f>'[205]HARGA ME'!$B$13</f>
        <v xml:space="preserve">Tukang Pipa </v>
      </c>
      <c r="D1078" s="1467"/>
      <c r="E1078" s="1467"/>
      <c r="F1078" s="1468"/>
      <c r="G1078" s="1473" t="s">
        <v>4306</v>
      </c>
      <c r="H1078" s="1463" t="s">
        <v>48</v>
      </c>
      <c r="I1078" s="1474">
        <v>0.06</v>
      </c>
      <c r="J1078" s="1439">
        <f>J1061</f>
        <v>0</v>
      </c>
      <c r="K1078" s="1475">
        <f>I1078*J1078</f>
        <v>0</v>
      </c>
      <c r="L1078" s="1415"/>
      <c r="M1078" s="1415"/>
      <c r="N1078" s="1455"/>
    </row>
    <row r="1079" spans="2:14">
      <c r="B1079" s="1472"/>
      <c r="C1079" s="1466" t="str">
        <f>'[205]HARGA ME'!$B$9</f>
        <v>Kepala Tukang Pipa</v>
      </c>
      <c r="D1079" s="1467"/>
      <c r="E1079" s="1467"/>
      <c r="F1079" s="1468"/>
      <c r="G1079" s="1473" t="s">
        <v>4449</v>
      </c>
      <c r="H1079" s="1463" t="s">
        <v>48</v>
      </c>
      <c r="I1079" s="1474">
        <v>6.0000000000000001E-3</v>
      </c>
      <c r="J1079" s="1439">
        <f>J1062</f>
        <v>0</v>
      </c>
      <c r="K1079" s="1475">
        <f>I1079*J1079</f>
        <v>0</v>
      </c>
      <c r="L1079" s="1415"/>
      <c r="M1079" s="1415"/>
      <c r="N1079" s="1455"/>
    </row>
    <row r="1080" spans="2:14">
      <c r="B1080" s="1472"/>
      <c r="C1080" s="1466" t="s">
        <v>4308</v>
      </c>
      <c r="D1080" s="1467"/>
      <c r="E1080" s="1467"/>
      <c r="F1080" s="1468"/>
      <c r="G1080" s="1473" t="s">
        <v>4309</v>
      </c>
      <c r="H1080" s="1463" t="s">
        <v>48</v>
      </c>
      <c r="I1080" s="1474">
        <v>2E-3</v>
      </c>
      <c r="J1080" s="1439">
        <f>J1063</f>
        <v>0</v>
      </c>
      <c r="K1080" s="1475">
        <f>I1080*J1080</f>
        <v>0</v>
      </c>
      <c r="L1080" s="1415"/>
      <c r="M1080" s="1415"/>
      <c r="N1080" s="1455"/>
    </row>
    <row r="1081" spans="2:14">
      <c r="B1081" s="1472"/>
      <c r="C1081" s="1476"/>
      <c r="D1081" s="1477"/>
      <c r="E1081" s="1477"/>
      <c r="F1081" s="1478"/>
      <c r="G1081" s="1469"/>
      <c r="H1081" s="1469"/>
      <c r="I1081" s="1474" t="s">
        <v>52</v>
      </c>
      <c r="J1081" s="1439"/>
      <c r="K1081" s="1471">
        <f>SUM(K1077:K1080)</f>
        <v>0</v>
      </c>
      <c r="L1081" s="1415"/>
      <c r="M1081" s="1415"/>
      <c r="N1081" s="1455"/>
    </row>
    <row r="1082" spans="2:14">
      <c r="B1082" s="1465" t="s">
        <v>53</v>
      </c>
      <c r="C1082" s="1466" t="s">
        <v>54</v>
      </c>
      <c r="D1082" s="1467"/>
      <c r="E1082" s="1467"/>
      <c r="F1082" s="1468"/>
      <c r="G1082" s="1469"/>
      <c r="H1082" s="1469"/>
      <c r="I1082" s="1470"/>
      <c r="J1082" s="1439"/>
      <c r="K1082" s="1471"/>
      <c r="L1082" s="1415"/>
      <c r="M1082" s="1415"/>
      <c r="N1082" s="1455"/>
    </row>
    <row r="1083" spans="2:14">
      <c r="B1083" s="1472"/>
      <c r="C1083" s="1466" t="s">
        <v>4465</v>
      </c>
      <c r="D1083" s="1467"/>
      <c r="E1083" s="1467"/>
      <c r="F1083" s="1468"/>
      <c r="G1083" s="1473" t="s">
        <v>4466</v>
      </c>
      <c r="H1083" s="1463" t="s">
        <v>268</v>
      </c>
      <c r="I1083" s="1474">
        <v>1.45</v>
      </c>
      <c r="J1083" s="1439">
        <v>0</v>
      </c>
      <c r="K1083" s="1475">
        <f>I1083*J1083</f>
        <v>0</v>
      </c>
      <c r="L1083" s="1415"/>
      <c r="M1083" s="1415"/>
      <c r="N1083" s="1455"/>
    </row>
    <row r="1084" spans="2:14">
      <c r="B1084" s="1472"/>
      <c r="C1084" s="1466"/>
      <c r="D1084" s="1467"/>
      <c r="E1084" s="1467"/>
      <c r="F1084" s="1468"/>
      <c r="G1084" s="1469"/>
      <c r="H1084" s="1463"/>
      <c r="I1084" s="1474"/>
      <c r="J1084" s="1439"/>
      <c r="K1084" s="1475"/>
      <c r="L1084" s="1415"/>
      <c r="M1084" s="1415"/>
      <c r="N1084" s="1455"/>
    </row>
    <row r="1085" spans="2:14">
      <c r="B1085" s="1472"/>
      <c r="C1085" s="1476"/>
      <c r="D1085" s="1477"/>
      <c r="E1085" s="1477"/>
      <c r="F1085" s="1478"/>
      <c r="G1085" s="1469"/>
      <c r="H1085" s="1469"/>
      <c r="I1085" s="1474" t="s">
        <v>64</v>
      </c>
      <c r="J1085" s="1439"/>
      <c r="K1085" s="1471">
        <f>SUM(K1083:K1084)</f>
        <v>0</v>
      </c>
      <c r="L1085" s="1415"/>
      <c r="M1085" s="1415"/>
      <c r="N1085" s="1455"/>
    </row>
    <row r="1086" spans="2:14">
      <c r="B1086" s="1465" t="s">
        <v>65</v>
      </c>
      <c r="C1086" s="1466" t="s">
        <v>66</v>
      </c>
      <c r="D1086" s="1467"/>
      <c r="E1086" s="1467"/>
      <c r="F1086" s="1468"/>
      <c r="G1086" s="1469"/>
      <c r="H1086" s="1469"/>
      <c r="I1086" s="1470"/>
      <c r="J1086" s="1439">
        <v>0</v>
      </c>
      <c r="K1086" s="1471">
        <v>0</v>
      </c>
      <c r="L1086" s="1415"/>
      <c r="M1086" s="1415"/>
      <c r="N1086" s="1455"/>
    </row>
    <row r="1087" spans="2:14">
      <c r="B1087" s="1472"/>
      <c r="C1087" s="1476"/>
      <c r="D1087" s="1477"/>
      <c r="E1087" s="1477"/>
      <c r="F1087" s="1478"/>
      <c r="G1087" s="1469"/>
      <c r="H1087" s="1469"/>
      <c r="I1087" s="1474" t="s">
        <v>67</v>
      </c>
      <c r="J1087" s="1439"/>
      <c r="K1087" s="1471">
        <v>0</v>
      </c>
      <c r="L1087" s="1415"/>
      <c r="M1087" s="1415"/>
      <c r="N1087" s="1455"/>
    </row>
    <row r="1088" spans="2:14">
      <c r="B1088" s="1465" t="s">
        <v>68</v>
      </c>
      <c r="C1088" s="1466" t="s">
        <v>69</v>
      </c>
      <c r="D1088" s="1467"/>
      <c r="E1088" s="1467"/>
      <c r="F1088" s="1468"/>
      <c r="G1088" s="1469"/>
      <c r="H1088" s="1469"/>
      <c r="I1088" s="1470"/>
      <c r="J1088" s="1439">
        <v>0</v>
      </c>
      <c r="K1088" s="1471">
        <f>K1085+K1081</f>
        <v>0</v>
      </c>
      <c r="L1088" s="1415"/>
      <c r="M1088" s="1415"/>
      <c r="N1088" s="1455"/>
    </row>
    <row r="1089" spans="2:14">
      <c r="B1089" s="1465" t="s">
        <v>70</v>
      </c>
      <c r="C1089" s="1466" t="s">
        <v>4299</v>
      </c>
      <c r="D1089" s="1467"/>
      <c r="E1089" s="1467"/>
      <c r="F1089" s="1468"/>
      <c r="G1089" s="1469"/>
      <c r="H1089" s="1469"/>
      <c r="I1089" s="1447">
        <f>$K$917</f>
        <v>0.1</v>
      </c>
      <c r="J1089" s="1439"/>
      <c r="K1089" s="1471">
        <f>K1088*I1089</f>
        <v>0</v>
      </c>
      <c r="L1089" s="1415"/>
      <c r="M1089" s="1415"/>
      <c r="N1089" s="1455"/>
    </row>
    <row r="1090" spans="2:14" ht="13">
      <c r="B1090" s="1465" t="s">
        <v>71</v>
      </c>
      <c r="C1090" s="1466" t="s">
        <v>72</v>
      </c>
      <c r="D1090" s="1467"/>
      <c r="E1090" s="1467"/>
      <c r="F1090" s="1468"/>
      <c r="G1090" s="1469"/>
      <c r="H1090" s="1469"/>
      <c r="I1090" s="1470"/>
      <c r="J1090" s="1439">
        <v>0</v>
      </c>
      <c r="K1090" s="1479">
        <v>0</v>
      </c>
      <c r="L1090" s="1415"/>
      <c r="M1090" s="1415"/>
      <c r="N1090" s="1455"/>
    </row>
    <row r="1091" spans="2:14">
      <c r="B1091" s="1416"/>
      <c r="C1091" s="1415"/>
      <c r="D1091" s="1415"/>
      <c r="E1091" s="1415"/>
      <c r="F1091" s="1415"/>
      <c r="G1091" s="1415"/>
      <c r="H1091" s="1415"/>
      <c r="I1091" s="1415"/>
      <c r="J1091" s="1415"/>
      <c r="K1091" s="1415"/>
      <c r="L1091" s="1415"/>
      <c r="M1091" s="1415"/>
      <c r="N1091" s="1415"/>
    </row>
    <row r="1092" spans="2:14" ht="13">
      <c r="B1092" s="1499" t="s">
        <v>4467</v>
      </c>
      <c r="C1092" s="1454" t="s">
        <v>4468</v>
      </c>
      <c r="D1092" s="1454"/>
      <c r="E1092" s="1454"/>
      <c r="F1092" s="1454"/>
      <c r="G1092" s="1455"/>
      <c r="H1092" s="1415"/>
      <c r="I1092" s="1456"/>
      <c r="J1092" s="1456"/>
      <c r="K1092" s="1457"/>
      <c r="L1092" s="1423"/>
      <c r="M1092" s="1455"/>
      <c r="N1092" s="1455"/>
    </row>
    <row r="1093" spans="2:14" ht="25">
      <c r="B1093" s="1458" t="s">
        <v>40</v>
      </c>
      <c r="C1093" s="1459" t="s">
        <v>41</v>
      </c>
      <c r="D1093" s="1460"/>
      <c r="E1093" s="1460"/>
      <c r="F1093" s="1461"/>
      <c r="G1093" s="1462" t="s">
        <v>42</v>
      </c>
      <c r="H1093" s="1462" t="s">
        <v>43</v>
      </c>
      <c r="I1093" s="1463" t="s">
        <v>44</v>
      </c>
      <c r="J1093" s="1431" t="s">
        <v>474</v>
      </c>
      <c r="K1093" s="1464" t="s">
        <v>475</v>
      </c>
      <c r="L1093" s="1415"/>
      <c r="M1093" s="1415"/>
      <c r="N1093" s="1455"/>
    </row>
    <row r="1094" spans="2:14">
      <c r="B1094" s="1465" t="s">
        <v>45</v>
      </c>
      <c r="C1094" s="1466" t="s">
        <v>46</v>
      </c>
      <c r="D1094" s="1467"/>
      <c r="E1094" s="1467"/>
      <c r="F1094" s="1468"/>
      <c r="G1094" s="1469"/>
      <c r="H1094" s="1469"/>
      <c r="I1094" s="1470"/>
      <c r="J1094" s="1439"/>
      <c r="K1094" s="1471"/>
      <c r="L1094" s="1415"/>
      <c r="M1094" s="1415"/>
      <c r="N1094" s="1455"/>
    </row>
    <row r="1095" spans="2:14">
      <c r="B1095" s="1472"/>
      <c r="C1095" s="1466" t="s">
        <v>4302</v>
      </c>
      <c r="D1095" s="1467"/>
      <c r="E1095" s="1467"/>
      <c r="F1095" s="1468"/>
      <c r="G1095" s="1473" t="s">
        <v>4303</v>
      </c>
      <c r="H1095" s="1463" t="s">
        <v>48</v>
      </c>
      <c r="I1095" s="1474">
        <v>3.5999999999999997E-2</v>
      </c>
      <c r="J1095" s="1439">
        <f>J1077</f>
        <v>0</v>
      </c>
      <c r="K1095" s="1475">
        <f>I1095*J1095</f>
        <v>0</v>
      </c>
      <c r="L1095" s="1415"/>
      <c r="M1095" s="1415"/>
      <c r="N1095" s="1455"/>
    </row>
    <row r="1096" spans="2:14">
      <c r="B1096" s="1472"/>
      <c r="C1096" s="1466" t="str">
        <f>'[205]HARGA ME'!$B$13</f>
        <v xml:space="preserve">Tukang Pipa </v>
      </c>
      <c r="D1096" s="1467"/>
      <c r="E1096" s="1467"/>
      <c r="F1096" s="1468"/>
      <c r="G1096" s="1473" t="s">
        <v>4306</v>
      </c>
      <c r="H1096" s="1463" t="s">
        <v>48</v>
      </c>
      <c r="I1096" s="1474">
        <v>0.06</v>
      </c>
      <c r="J1096" s="1439">
        <f>J1078</f>
        <v>0</v>
      </c>
      <c r="K1096" s="1475">
        <f>I1096*J1096</f>
        <v>0</v>
      </c>
      <c r="L1096" s="1415"/>
      <c r="M1096" s="1415"/>
      <c r="N1096" s="1455"/>
    </row>
    <row r="1097" spans="2:14">
      <c r="B1097" s="1472"/>
      <c r="C1097" s="1466" t="str">
        <f>'[205]HARGA ME'!$B$9</f>
        <v>Kepala Tukang Pipa</v>
      </c>
      <c r="D1097" s="1467"/>
      <c r="E1097" s="1467"/>
      <c r="F1097" s="1468"/>
      <c r="G1097" s="1473" t="s">
        <v>4449</v>
      </c>
      <c r="H1097" s="1463" t="s">
        <v>48</v>
      </c>
      <c r="I1097" s="1474">
        <v>6.0000000000000001E-3</v>
      </c>
      <c r="J1097" s="1439">
        <f>J1079</f>
        <v>0</v>
      </c>
      <c r="K1097" s="1475">
        <f>I1097*J1097</f>
        <v>0</v>
      </c>
      <c r="L1097" s="1415"/>
      <c r="M1097" s="1415"/>
      <c r="N1097" s="1455"/>
    </row>
    <row r="1098" spans="2:14">
      <c r="B1098" s="1472"/>
      <c r="C1098" s="1466" t="s">
        <v>4308</v>
      </c>
      <c r="D1098" s="1467"/>
      <c r="E1098" s="1467"/>
      <c r="F1098" s="1468"/>
      <c r="G1098" s="1473" t="s">
        <v>4309</v>
      </c>
      <c r="H1098" s="1463" t="s">
        <v>48</v>
      </c>
      <c r="I1098" s="1474">
        <v>2E-3</v>
      </c>
      <c r="J1098" s="1439">
        <f>J1080</f>
        <v>0</v>
      </c>
      <c r="K1098" s="1475">
        <f>I1098*J1098</f>
        <v>0</v>
      </c>
      <c r="L1098" s="1415"/>
      <c r="M1098" s="1415"/>
      <c r="N1098" s="1455"/>
    </row>
    <row r="1099" spans="2:14">
      <c r="B1099" s="1472"/>
      <c r="C1099" s="1476"/>
      <c r="D1099" s="1477"/>
      <c r="E1099" s="1477"/>
      <c r="F1099" s="1478"/>
      <c r="G1099" s="1469"/>
      <c r="H1099" s="1469"/>
      <c r="I1099" s="1474" t="s">
        <v>52</v>
      </c>
      <c r="J1099" s="1439"/>
      <c r="K1099" s="1471">
        <f>SUM(K1095:K1098)</f>
        <v>0</v>
      </c>
      <c r="L1099" s="1415"/>
      <c r="M1099" s="1415"/>
      <c r="N1099" s="1455"/>
    </row>
    <row r="1100" spans="2:14">
      <c r="B1100" s="1465" t="s">
        <v>53</v>
      </c>
      <c r="C1100" s="1466" t="s">
        <v>54</v>
      </c>
      <c r="D1100" s="1467"/>
      <c r="E1100" s="1467"/>
      <c r="F1100" s="1468"/>
      <c r="G1100" s="1469"/>
      <c r="H1100" s="1469"/>
      <c r="I1100" s="1470"/>
      <c r="J1100" s="1439"/>
      <c r="K1100" s="1471"/>
      <c r="L1100" s="1415"/>
      <c r="M1100" s="1415"/>
      <c r="N1100" s="1455"/>
    </row>
    <row r="1101" spans="2:14">
      <c r="B1101" s="1472"/>
      <c r="C1101" s="1466" t="s">
        <v>4469</v>
      </c>
      <c r="D1101" s="1467"/>
      <c r="E1101" s="1467"/>
      <c r="F1101" s="1468"/>
      <c r="G1101" s="1473" t="s">
        <v>4466</v>
      </c>
      <c r="H1101" s="1463" t="s">
        <v>268</v>
      </c>
      <c r="I1101" s="1474">
        <v>1.45</v>
      </c>
      <c r="J1101" s="1439">
        <v>0</v>
      </c>
      <c r="K1101" s="1475">
        <f>I1101*J1101</f>
        <v>0</v>
      </c>
      <c r="L1101" s="1415"/>
      <c r="M1101" s="1415"/>
      <c r="N1101" s="1455"/>
    </row>
    <row r="1102" spans="2:14">
      <c r="B1102" s="1472"/>
      <c r="C1102" s="1466"/>
      <c r="D1102" s="1467"/>
      <c r="E1102" s="1467"/>
      <c r="F1102" s="1468"/>
      <c r="G1102" s="1469"/>
      <c r="H1102" s="1463"/>
      <c r="I1102" s="1474"/>
      <c r="J1102" s="1439"/>
      <c r="K1102" s="1475"/>
      <c r="L1102" s="1415"/>
      <c r="M1102" s="1415"/>
      <c r="N1102" s="1455"/>
    </row>
    <row r="1103" spans="2:14">
      <c r="B1103" s="1472"/>
      <c r="C1103" s="1476"/>
      <c r="D1103" s="1477"/>
      <c r="E1103" s="1477"/>
      <c r="F1103" s="1478"/>
      <c r="G1103" s="1469"/>
      <c r="H1103" s="1469"/>
      <c r="I1103" s="1474" t="s">
        <v>64</v>
      </c>
      <c r="J1103" s="1439"/>
      <c r="K1103" s="1471">
        <f>SUM(K1101:K1102)</f>
        <v>0</v>
      </c>
      <c r="L1103" s="1415"/>
      <c r="M1103" s="1415"/>
      <c r="N1103" s="1455"/>
    </row>
    <row r="1104" spans="2:14">
      <c r="B1104" s="1465" t="s">
        <v>65</v>
      </c>
      <c r="C1104" s="1466" t="s">
        <v>66</v>
      </c>
      <c r="D1104" s="1467"/>
      <c r="E1104" s="1467"/>
      <c r="F1104" s="1468"/>
      <c r="G1104" s="1469"/>
      <c r="H1104" s="1469"/>
      <c r="I1104" s="1470"/>
      <c r="J1104" s="1439">
        <v>0</v>
      </c>
      <c r="K1104" s="1471">
        <v>0</v>
      </c>
      <c r="L1104" s="1415"/>
      <c r="M1104" s="1415"/>
      <c r="N1104" s="1455"/>
    </row>
    <row r="1105" spans="2:14">
      <c r="B1105" s="1472"/>
      <c r="C1105" s="1476"/>
      <c r="D1105" s="1477"/>
      <c r="E1105" s="1477"/>
      <c r="F1105" s="1478"/>
      <c r="G1105" s="1469"/>
      <c r="H1105" s="1469"/>
      <c r="I1105" s="1474" t="s">
        <v>67</v>
      </c>
      <c r="J1105" s="1439"/>
      <c r="K1105" s="1471">
        <v>0</v>
      </c>
      <c r="L1105" s="1415"/>
      <c r="M1105" s="1415"/>
      <c r="N1105" s="1455"/>
    </row>
    <row r="1106" spans="2:14">
      <c r="B1106" s="1465" t="s">
        <v>68</v>
      </c>
      <c r="C1106" s="1466" t="s">
        <v>69</v>
      </c>
      <c r="D1106" s="1467"/>
      <c r="E1106" s="1467"/>
      <c r="F1106" s="1468"/>
      <c r="G1106" s="1469"/>
      <c r="H1106" s="1469"/>
      <c r="I1106" s="1470"/>
      <c r="J1106" s="1439">
        <v>0</v>
      </c>
      <c r="K1106" s="1471">
        <f>K1103+K1099</f>
        <v>0</v>
      </c>
      <c r="L1106" s="1415"/>
      <c r="M1106" s="1415"/>
      <c r="N1106" s="1455"/>
    </row>
    <row r="1107" spans="2:14">
      <c r="B1107" s="1465" t="s">
        <v>70</v>
      </c>
      <c r="C1107" s="1466" t="s">
        <v>4299</v>
      </c>
      <c r="D1107" s="1467"/>
      <c r="E1107" s="1467"/>
      <c r="F1107" s="1468"/>
      <c r="G1107" s="1469"/>
      <c r="H1107" s="1469"/>
      <c r="I1107" s="1447">
        <f>$K$917</f>
        <v>0.1</v>
      </c>
      <c r="J1107" s="1439"/>
      <c r="K1107" s="1471">
        <f>K1106*I1107</f>
        <v>0</v>
      </c>
      <c r="L1107" s="1415"/>
      <c r="M1107" s="1415"/>
      <c r="N1107" s="1455"/>
    </row>
    <row r="1108" spans="2:14" ht="13">
      <c r="B1108" s="1465" t="s">
        <v>71</v>
      </c>
      <c r="C1108" s="1466" t="s">
        <v>72</v>
      </c>
      <c r="D1108" s="1467"/>
      <c r="E1108" s="1467"/>
      <c r="F1108" s="1468"/>
      <c r="G1108" s="1469"/>
      <c r="H1108" s="1469"/>
      <c r="I1108" s="1470"/>
      <c r="J1108" s="1439">
        <v>0</v>
      </c>
      <c r="K1108" s="1479">
        <v>0</v>
      </c>
      <c r="L1108" s="1415"/>
      <c r="M1108" s="1415"/>
      <c r="N1108" s="1455"/>
    </row>
    <row r="1109" spans="2:14">
      <c r="B1109" s="1416"/>
      <c r="C1109" s="1415"/>
      <c r="D1109" s="1415"/>
      <c r="E1109" s="1415"/>
      <c r="F1109" s="1415"/>
      <c r="G1109" s="1415"/>
      <c r="H1109" s="1415"/>
      <c r="I1109" s="1415"/>
      <c r="J1109" s="1415"/>
      <c r="K1109" s="1415"/>
      <c r="L1109" s="1415"/>
      <c r="M1109" s="1415"/>
      <c r="N1109" s="1415"/>
    </row>
    <row r="1110" spans="2:14" ht="13">
      <c r="B1110" s="1499" t="s">
        <v>4470</v>
      </c>
      <c r="C1110" s="1454" t="s">
        <v>4471</v>
      </c>
      <c r="D1110" s="1454"/>
      <c r="E1110" s="1454"/>
      <c r="F1110" s="1454"/>
      <c r="G1110" s="1455"/>
      <c r="H1110" s="1415"/>
      <c r="I1110" s="1456"/>
      <c r="J1110" s="1456"/>
      <c r="K1110" s="1457"/>
      <c r="L1110" s="1423"/>
      <c r="M1110" s="1455"/>
      <c r="N1110" s="1455"/>
    </row>
    <row r="1111" spans="2:14" ht="25">
      <c r="B1111" s="1458" t="s">
        <v>40</v>
      </c>
      <c r="C1111" s="1459" t="s">
        <v>41</v>
      </c>
      <c r="D1111" s="1460"/>
      <c r="E1111" s="1460"/>
      <c r="F1111" s="1461"/>
      <c r="G1111" s="1462" t="s">
        <v>42</v>
      </c>
      <c r="H1111" s="1462" t="s">
        <v>43</v>
      </c>
      <c r="I1111" s="1463" t="s">
        <v>44</v>
      </c>
      <c r="J1111" s="1431" t="s">
        <v>474</v>
      </c>
      <c r="K1111" s="1464" t="s">
        <v>475</v>
      </c>
      <c r="L1111" s="1415"/>
      <c r="M1111" s="1415"/>
      <c r="N1111" s="1455"/>
    </row>
    <row r="1112" spans="2:14">
      <c r="B1112" s="1465" t="s">
        <v>45</v>
      </c>
      <c r="C1112" s="1466" t="s">
        <v>46</v>
      </c>
      <c r="D1112" s="1467"/>
      <c r="E1112" s="1467"/>
      <c r="F1112" s="1468"/>
      <c r="G1112" s="1469"/>
      <c r="H1112" s="1469"/>
      <c r="I1112" s="1470"/>
      <c r="J1112" s="1439"/>
      <c r="K1112" s="1471"/>
      <c r="L1112" s="1415"/>
      <c r="M1112" s="1415"/>
      <c r="N1112" s="1455"/>
    </row>
    <row r="1113" spans="2:14">
      <c r="B1113" s="1472"/>
      <c r="C1113" s="1466" t="s">
        <v>4302</v>
      </c>
      <c r="D1113" s="1467"/>
      <c r="E1113" s="1467"/>
      <c r="F1113" s="1468"/>
      <c r="G1113" s="1473" t="s">
        <v>4303</v>
      </c>
      <c r="H1113" s="1463" t="s">
        <v>48</v>
      </c>
      <c r="I1113" s="1474">
        <v>0.05</v>
      </c>
      <c r="J1113" s="1439">
        <f>J1095</f>
        <v>0</v>
      </c>
      <c r="K1113" s="1475">
        <f>I1113*J1113</f>
        <v>0</v>
      </c>
      <c r="L1113" s="1415"/>
      <c r="M1113" s="1415"/>
      <c r="N1113" s="1455"/>
    </row>
    <row r="1114" spans="2:14">
      <c r="B1114" s="1472"/>
      <c r="C1114" s="1466" t="str">
        <f>'[205]HARGA ME'!$B$13</f>
        <v xml:space="preserve">Tukang Pipa </v>
      </c>
      <c r="D1114" s="1467"/>
      <c r="E1114" s="1467"/>
      <c r="F1114" s="1468"/>
      <c r="G1114" s="1473" t="s">
        <v>4306</v>
      </c>
      <c r="H1114" s="1463" t="s">
        <v>48</v>
      </c>
      <c r="I1114" s="1474">
        <v>0.1</v>
      </c>
      <c r="J1114" s="1439">
        <f>J1096</f>
        <v>0</v>
      </c>
      <c r="K1114" s="1475">
        <f>I1114*J1114</f>
        <v>0</v>
      </c>
      <c r="L1114" s="1415"/>
      <c r="M1114" s="1415"/>
      <c r="N1114" s="1455"/>
    </row>
    <row r="1115" spans="2:14">
      <c r="B1115" s="1472"/>
      <c r="C1115" s="1466" t="str">
        <f>'[205]HARGA ME'!$B$9</f>
        <v>Kepala Tukang Pipa</v>
      </c>
      <c r="D1115" s="1467"/>
      <c r="E1115" s="1467"/>
      <c r="F1115" s="1468"/>
      <c r="G1115" s="1473" t="s">
        <v>4449</v>
      </c>
      <c r="H1115" s="1463" t="s">
        <v>48</v>
      </c>
      <c r="I1115" s="1474">
        <f>I1114/10</f>
        <v>0.01</v>
      </c>
      <c r="J1115" s="1439">
        <f>J1097</f>
        <v>0</v>
      </c>
      <c r="K1115" s="1475">
        <f>I1115*J1115</f>
        <v>0</v>
      </c>
      <c r="L1115" s="1415"/>
      <c r="M1115" s="1415"/>
      <c r="N1115" s="1455"/>
    </row>
    <row r="1116" spans="2:14">
      <c r="B1116" s="1472"/>
      <c r="C1116" s="1466" t="s">
        <v>4308</v>
      </c>
      <c r="D1116" s="1467"/>
      <c r="E1116" s="1467"/>
      <c r="F1116" s="1468"/>
      <c r="G1116" s="1473" t="s">
        <v>4309</v>
      </c>
      <c r="H1116" s="1463" t="s">
        <v>48</v>
      </c>
      <c r="I1116" s="1474">
        <f>I1115/10</f>
        <v>1E-3</v>
      </c>
      <c r="J1116" s="1439">
        <f>J1098</f>
        <v>0</v>
      </c>
      <c r="K1116" s="1475">
        <f>I1116*J1116</f>
        <v>0</v>
      </c>
      <c r="L1116" s="1415"/>
      <c r="M1116" s="1415"/>
      <c r="N1116" s="1455"/>
    </row>
    <row r="1117" spans="2:14">
      <c r="B1117" s="1472"/>
      <c r="C1117" s="1476"/>
      <c r="D1117" s="1477"/>
      <c r="E1117" s="1477"/>
      <c r="F1117" s="1478"/>
      <c r="G1117" s="1469"/>
      <c r="H1117" s="1469"/>
      <c r="I1117" s="1474" t="s">
        <v>52</v>
      </c>
      <c r="J1117" s="1439"/>
      <c r="K1117" s="1471">
        <f>SUM(K1113:K1116)</f>
        <v>0</v>
      </c>
      <c r="L1117" s="1415"/>
      <c r="M1117" s="1415"/>
      <c r="N1117" s="1455"/>
    </row>
    <row r="1118" spans="2:14">
      <c r="B1118" s="1465" t="s">
        <v>53</v>
      </c>
      <c r="C1118" s="1466" t="s">
        <v>54</v>
      </c>
      <c r="D1118" s="1467"/>
      <c r="E1118" s="1467"/>
      <c r="F1118" s="1468"/>
      <c r="G1118" s="1469"/>
      <c r="H1118" s="1469"/>
      <c r="I1118" s="1470"/>
      <c r="J1118" s="1439"/>
      <c r="K1118" s="1471"/>
      <c r="L1118" s="1415"/>
      <c r="M1118" s="1415"/>
      <c r="N1118" s="1455"/>
    </row>
    <row r="1119" spans="2:14">
      <c r="B1119" s="1472"/>
      <c r="C1119" s="1466" t="s">
        <v>4472</v>
      </c>
      <c r="D1119" s="1467"/>
      <c r="E1119" s="1467"/>
      <c r="F1119" s="1468"/>
      <c r="G1119" s="1473" t="s">
        <v>4466</v>
      </c>
      <c r="H1119" s="1463" t="s">
        <v>268</v>
      </c>
      <c r="I1119" s="1474">
        <v>1.45</v>
      </c>
      <c r="J1119" s="1439">
        <v>0</v>
      </c>
      <c r="K1119" s="1475">
        <f>I1119*J1119</f>
        <v>0</v>
      </c>
      <c r="L1119" s="1415"/>
      <c r="M1119" s="1415"/>
      <c r="N1119" s="1455"/>
    </row>
    <row r="1120" spans="2:14">
      <c r="B1120" s="1472"/>
      <c r="C1120" s="1466"/>
      <c r="D1120" s="1467"/>
      <c r="E1120" s="1467"/>
      <c r="F1120" s="1468"/>
      <c r="G1120" s="1469"/>
      <c r="H1120" s="1463"/>
      <c r="I1120" s="1474"/>
      <c r="J1120" s="1439"/>
      <c r="K1120" s="1475"/>
      <c r="L1120" s="1415"/>
      <c r="M1120" s="1415"/>
      <c r="N1120" s="1455"/>
    </row>
    <row r="1121" spans="2:14">
      <c r="B1121" s="1472"/>
      <c r="C1121" s="1476"/>
      <c r="D1121" s="1477"/>
      <c r="E1121" s="1477"/>
      <c r="F1121" s="1478"/>
      <c r="G1121" s="1469"/>
      <c r="H1121" s="1469"/>
      <c r="I1121" s="1474" t="s">
        <v>64</v>
      </c>
      <c r="J1121" s="1439"/>
      <c r="K1121" s="1471">
        <f>SUM(K1119:K1120)</f>
        <v>0</v>
      </c>
      <c r="L1121" s="1415"/>
      <c r="M1121" s="1415"/>
      <c r="N1121" s="1455"/>
    </row>
    <row r="1122" spans="2:14">
      <c r="B1122" s="1465" t="s">
        <v>65</v>
      </c>
      <c r="C1122" s="1466" t="s">
        <v>66</v>
      </c>
      <c r="D1122" s="1467"/>
      <c r="E1122" s="1467"/>
      <c r="F1122" s="1468"/>
      <c r="G1122" s="1469"/>
      <c r="H1122" s="1469"/>
      <c r="I1122" s="1470"/>
      <c r="J1122" s="1439">
        <v>0</v>
      </c>
      <c r="K1122" s="1471">
        <v>0</v>
      </c>
      <c r="L1122" s="1415"/>
      <c r="M1122" s="1415"/>
      <c r="N1122" s="1455"/>
    </row>
    <row r="1123" spans="2:14">
      <c r="B1123" s="1472"/>
      <c r="C1123" s="1476"/>
      <c r="D1123" s="1477"/>
      <c r="E1123" s="1477"/>
      <c r="F1123" s="1478"/>
      <c r="G1123" s="1469"/>
      <c r="H1123" s="1469"/>
      <c r="I1123" s="1474" t="s">
        <v>67</v>
      </c>
      <c r="J1123" s="1439"/>
      <c r="K1123" s="1471">
        <v>0</v>
      </c>
      <c r="L1123" s="1415"/>
      <c r="M1123" s="1415"/>
      <c r="N1123" s="1455"/>
    </row>
    <row r="1124" spans="2:14">
      <c r="B1124" s="1465" t="s">
        <v>68</v>
      </c>
      <c r="C1124" s="1466" t="s">
        <v>69</v>
      </c>
      <c r="D1124" s="1467"/>
      <c r="E1124" s="1467"/>
      <c r="F1124" s="1468"/>
      <c r="G1124" s="1469"/>
      <c r="H1124" s="1469"/>
      <c r="I1124" s="1470"/>
      <c r="J1124" s="1439">
        <v>0</v>
      </c>
      <c r="K1124" s="1471">
        <f>K1121+K1117</f>
        <v>0</v>
      </c>
      <c r="L1124" s="1415"/>
      <c r="M1124" s="1415"/>
      <c r="N1124" s="1455"/>
    </row>
    <row r="1125" spans="2:14">
      <c r="B1125" s="1465" t="s">
        <v>70</v>
      </c>
      <c r="C1125" s="1466" t="s">
        <v>4299</v>
      </c>
      <c r="D1125" s="1467"/>
      <c r="E1125" s="1467"/>
      <c r="F1125" s="1468"/>
      <c r="G1125" s="1469"/>
      <c r="H1125" s="1469"/>
      <c r="I1125" s="1447">
        <f>$K$917</f>
        <v>0.1</v>
      </c>
      <c r="J1125" s="1439"/>
      <c r="K1125" s="1471">
        <f>K1124*I1125</f>
        <v>0</v>
      </c>
      <c r="L1125" s="1415"/>
      <c r="M1125" s="1415"/>
      <c r="N1125" s="1455"/>
    </row>
    <row r="1126" spans="2:14" ht="13">
      <c r="B1126" s="1465" t="s">
        <v>71</v>
      </c>
      <c r="C1126" s="1466" t="s">
        <v>72</v>
      </c>
      <c r="D1126" s="1467"/>
      <c r="E1126" s="1467"/>
      <c r="F1126" s="1468"/>
      <c r="G1126" s="1469"/>
      <c r="H1126" s="1469"/>
      <c r="I1126" s="1470"/>
      <c r="J1126" s="1439">
        <v>0</v>
      </c>
      <c r="K1126" s="1479">
        <v>0</v>
      </c>
      <c r="L1126" s="1415"/>
      <c r="M1126" s="1415"/>
      <c r="N1126" s="1455"/>
    </row>
    <row r="1127" spans="2:14">
      <c r="B1127" s="1416"/>
      <c r="C1127" s="1415"/>
      <c r="D1127" s="1415"/>
      <c r="E1127" s="1415"/>
      <c r="F1127" s="1415"/>
      <c r="G1127" s="1415"/>
      <c r="H1127" s="1415"/>
      <c r="I1127" s="1415"/>
      <c r="J1127" s="1415"/>
      <c r="K1127" s="1415"/>
      <c r="L1127" s="1415"/>
      <c r="M1127" s="1415"/>
      <c r="N1127" s="1415"/>
    </row>
    <row r="1128" spans="2:14" ht="13">
      <c r="B1128" s="1499" t="s">
        <v>4473</v>
      </c>
      <c r="C1128" s="1454" t="s">
        <v>4474</v>
      </c>
      <c r="D1128" s="1454"/>
      <c r="E1128" s="1454"/>
      <c r="F1128" s="1454"/>
      <c r="G1128" s="1455"/>
      <c r="H1128" s="1415"/>
      <c r="I1128" s="1456"/>
      <c r="J1128" s="1456"/>
      <c r="K1128" s="1457"/>
      <c r="L1128" s="1423"/>
      <c r="M1128" s="1455"/>
      <c r="N1128" s="1455"/>
    </row>
    <row r="1129" spans="2:14" ht="25">
      <c r="B1129" s="1458" t="s">
        <v>40</v>
      </c>
      <c r="C1129" s="1459" t="s">
        <v>41</v>
      </c>
      <c r="D1129" s="1460"/>
      <c r="E1129" s="1460"/>
      <c r="F1129" s="1461"/>
      <c r="G1129" s="1462" t="s">
        <v>42</v>
      </c>
      <c r="H1129" s="1462" t="s">
        <v>43</v>
      </c>
      <c r="I1129" s="1463" t="s">
        <v>44</v>
      </c>
      <c r="J1129" s="1431" t="s">
        <v>474</v>
      </c>
      <c r="K1129" s="1464" t="s">
        <v>475</v>
      </c>
      <c r="L1129" s="1415"/>
      <c r="M1129" s="1415"/>
      <c r="N1129" s="1455"/>
    </row>
    <row r="1130" spans="2:14">
      <c r="B1130" s="1465" t="s">
        <v>45</v>
      </c>
      <c r="C1130" s="1466" t="s">
        <v>46</v>
      </c>
      <c r="D1130" s="1467"/>
      <c r="E1130" s="1467"/>
      <c r="F1130" s="1468"/>
      <c r="G1130" s="1469"/>
      <c r="H1130" s="1469"/>
      <c r="I1130" s="1470"/>
      <c r="J1130" s="1439"/>
      <c r="K1130" s="1471"/>
      <c r="L1130" s="1415"/>
      <c r="M1130" s="1415"/>
      <c r="N1130" s="1455"/>
    </row>
    <row r="1131" spans="2:14">
      <c r="B1131" s="1472"/>
      <c r="C1131" s="1466" t="s">
        <v>4302</v>
      </c>
      <c r="D1131" s="1467"/>
      <c r="E1131" s="1467"/>
      <c r="F1131" s="1468"/>
      <c r="G1131" s="1473" t="s">
        <v>4303</v>
      </c>
      <c r="H1131" s="1463" t="s">
        <v>48</v>
      </c>
      <c r="I1131" s="1474">
        <v>0.05</v>
      </c>
      <c r="J1131" s="1439">
        <f>J1113</f>
        <v>0</v>
      </c>
      <c r="K1131" s="1475">
        <f>I1131*J1131</f>
        <v>0</v>
      </c>
      <c r="L1131" s="1415"/>
      <c r="M1131" s="1415"/>
      <c r="N1131" s="1455"/>
    </row>
    <row r="1132" spans="2:14">
      <c r="B1132" s="1472"/>
      <c r="C1132" s="1466" t="str">
        <f>'[205]HARGA ME'!$B$13</f>
        <v xml:space="preserve">Tukang Pipa </v>
      </c>
      <c r="D1132" s="1467"/>
      <c r="E1132" s="1467"/>
      <c r="F1132" s="1468"/>
      <c r="G1132" s="1473" t="s">
        <v>4306</v>
      </c>
      <c r="H1132" s="1463" t="s">
        <v>48</v>
      </c>
      <c r="I1132" s="1474">
        <v>0.1</v>
      </c>
      <c r="J1132" s="1439">
        <f>J1114</f>
        <v>0</v>
      </c>
      <c r="K1132" s="1475">
        <f>I1132*J1132</f>
        <v>0</v>
      </c>
      <c r="L1132" s="1415"/>
      <c r="M1132" s="1415"/>
      <c r="N1132" s="1455"/>
    </row>
    <row r="1133" spans="2:14">
      <c r="B1133" s="1472"/>
      <c r="C1133" s="1466" t="str">
        <f>'[205]HARGA ME'!$B$9</f>
        <v>Kepala Tukang Pipa</v>
      </c>
      <c r="D1133" s="1467"/>
      <c r="E1133" s="1467"/>
      <c r="F1133" s="1468"/>
      <c r="G1133" s="1473" t="s">
        <v>4449</v>
      </c>
      <c r="H1133" s="1463" t="s">
        <v>48</v>
      </c>
      <c r="I1133" s="1474">
        <f>I1132/10</f>
        <v>0.01</v>
      </c>
      <c r="J1133" s="1439">
        <f>J1115</f>
        <v>0</v>
      </c>
      <c r="K1133" s="1475">
        <f>I1133*J1133</f>
        <v>0</v>
      </c>
      <c r="L1133" s="1415"/>
      <c r="M1133" s="1415"/>
      <c r="N1133" s="1455"/>
    </row>
    <row r="1134" spans="2:14">
      <c r="B1134" s="1472"/>
      <c r="C1134" s="1466" t="s">
        <v>4308</v>
      </c>
      <c r="D1134" s="1467"/>
      <c r="E1134" s="1467"/>
      <c r="F1134" s="1468"/>
      <c r="G1134" s="1473" t="s">
        <v>4309</v>
      </c>
      <c r="H1134" s="1463" t="s">
        <v>48</v>
      </c>
      <c r="I1134" s="1474">
        <f>I1133/10</f>
        <v>1E-3</v>
      </c>
      <c r="J1134" s="1439">
        <f>J1116</f>
        <v>0</v>
      </c>
      <c r="K1134" s="1475">
        <f>I1134*J1134</f>
        <v>0</v>
      </c>
      <c r="L1134" s="1415"/>
      <c r="M1134" s="1415"/>
      <c r="N1134" s="1455"/>
    </row>
    <row r="1135" spans="2:14">
      <c r="B1135" s="1472"/>
      <c r="C1135" s="1476"/>
      <c r="D1135" s="1477"/>
      <c r="E1135" s="1477"/>
      <c r="F1135" s="1478"/>
      <c r="G1135" s="1469"/>
      <c r="H1135" s="1469"/>
      <c r="I1135" s="1474" t="s">
        <v>52</v>
      </c>
      <c r="J1135" s="1439"/>
      <c r="K1135" s="1471">
        <f>SUM(K1131:K1134)</f>
        <v>0</v>
      </c>
      <c r="L1135" s="1415"/>
      <c r="M1135" s="1415"/>
      <c r="N1135" s="1455"/>
    </row>
    <row r="1136" spans="2:14">
      <c r="B1136" s="1465" t="s">
        <v>53</v>
      </c>
      <c r="C1136" s="1466" t="s">
        <v>54</v>
      </c>
      <c r="D1136" s="1467"/>
      <c r="E1136" s="1467"/>
      <c r="F1136" s="1468"/>
      <c r="G1136" s="1469"/>
      <c r="H1136" s="1469"/>
      <c r="I1136" s="1470"/>
      <c r="J1136" s="1439"/>
      <c r="K1136" s="1471"/>
      <c r="L1136" s="1415"/>
      <c r="M1136" s="1415"/>
      <c r="N1136" s="1455"/>
    </row>
    <row r="1137" spans="2:14">
      <c r="B1137" s="1472"/>
      <c r="C1137" s="1466" t="s">
        <v>4475</v>
      </c>
      <c r="D1137" s="1467"/>
      <c r="E1137" s="1467"/>
      <c r="F1137" s="1468"/>
      <c r="G1137" s="1473" t="s">
        <v>4466</v>
      </c>
      <c r="H1137" s="1463" t="s">
        <v>268</v>
      </c>
      <c r="I1137" s="1474">
        <v>1.45</v>
      </c>
      <c r="J1137" s="1439">
        <v>0</v>
      </c>
      <c r="K1137" s="1475">
        <f>I1137*J1137</f>
        <v>0</v>
      </c>
      <c r="L1137" s="1415"/>
      <c r="M1137" s="1415"/>
      <c r="N1137" s="1455"/>
    </row>
    <row r="1138" spans="2:14">
      <c r="B1138" s="1472"/>
      <c r="C1138" s="1466"/>
      <c r="D1138" s="1467"/>
      <c r="E1138" s="1467"/>
      <c r="F1138" s="1468"/>
      <c r="G1138" s="1469"/>
      <c r="H1138" s="1463"/>
      <c r="I1138" s="1474"/>
      <c r="J1138" s="1439"/>
      <c r="K1138" s="1475"/>
      <c r="L1138" s="1415"/>
      <c r="M1138" s="1415"/>
      <c r="N1138" s="1455"/>
    </row>
    <row r="1139" spans="2:14">
      <c r="B1139" s="1472"/>
      <c r="C1139" s="1476"/>
      <c r="D1139" s="1477"/>
      <c r="E1139" s="1477"/>
      <c r="F1139" s="1478"/>
      <c r="G1139" s="1469"/>
      <c r="H1139" s="1469"/>
      <c r="I1139" s="1474" t="s">
        <v>64</v>
      </c>
      <c r="J1139" s="1439"/>
      <c r="K1139" s="1471">
        <f>SUM(K1137:K1138)</f>
        <v>0</v>
      </c>
      <c r="L1139" s="1415"/>
      <c r="M1139" s="1415"/>
      <c r="N1139" s="1455"/>
    </row>
    <row r="1140" spans="2:14">
      <c r="B1140" s="1465" t="s">
        <v>65</v>
      </c>
      <c r="C1140" s="1466" t="s">
        <v>66</v>
      </c>
      <c r="D1140" s="1467"/>
      <c r="E1140" s="1467"/>
      <c r="F1140" s="1468"/>
      <c r="G1140" s="1469"/>
      <c r="H1140" s="1469"/>
      <c r="I1140" s="1470"/>
      <c r="J1140" s="1439">
        <v>0</v>
      </c>
      <c r="K1140" s="1471">
        <v>0</v>
      </c>
      <c r="L1140" s="1415"/>
      <c r="M1140" s="1415"/>
      <c r="N1140" s="1455"/>
    </row>
    <row r="1141" spans="2:14">
      <c r="B1141" s="1472"/>
      <c r="C1141" s="1476"/>
      <c r="D1141" s="1477"/>
      <c r="E1141" s="1477"/>
      <c r="F1141" s="1478"/>
      <c r="G1141" s="1469"/>
      <c r="H1141" s="1469"/>
      <c r="I1141" s="1474" t="s">
        <v>67</v>
      </c>
      <c r="J1141" s="1439"/>
      <c r="K1141" s="1471">
        <v>0</v>
      </c>
      <c r="L1141" s="1415"/>
      <c r="M1141" s="1415"/>
      <c r="N1141" s="1455"/>
    </row>
    <row r="1142" spans="2:14">
      <c r="B1142" s="1465" t="s">
        <v>68</v>
      </c>
      <c r="C1142" s="1466" t="s">
        <v>69</v>
      </c>
      <c r="D1142" s="1467"/>
      <c r="E1142" s="1467"/>
      <c r="F1142" s="1468"/>
      <c r="G1142" s="1469"/>
      <c r="H1142" s="1469"/>
      <c r="I1142" s="1470"/>
      <c r="J1142" s="1439">
        <v>0</v>
      </c>
      <c r="K1142" s="1471">
        <f>K1139+K1135</f>
        <v>0</v>
      </c>
      <c r="L1142" s="1415"/>
      <c r="M1142" s="1415"/>
      <c r="N1142" s="1455"/>
    </row>
    <row r="1143" spans="2:14">
      <c r="B1143" s="1465" t="s">
        <v>70</v>
      </c>
      <c r="C1143" s="1466" t="s">
        <v>4299</v>
      </c>
      <c r="D1143" s="1467"/>
      <c r="E1143" s="1467"/>
      <c r="F1143" s="1468"/>
      <c r="G1143" s="1469"/>
      <c r="H1143" s="1469"/>
      <c r="I1143" s="1447">
        <f>$K$917</f>
        <v>0.1</v>
      </c>
      <c r="J1143" s="1439"/>
      <c r="K1143" s="1471">
        <f>K1142*I1143</f>
        <v>0</v>
      </c>
      <c r="L1143" s="1415"/>
      <c r="M1143" s="1415"/>
      <c r="N1143" s="1455"/>
    </row>
    <row r="1144" spans="2:14" ht="13">
      <c r="B1144" s="1465" t="s">
        <v>71</v>
      </c>
      <c r="C1144" s="1466" t="s">
        <v>72</v>
      </c>
      <c r="D1144" s="1467"/>
      <c r="E1144" s="1467"/>
      <c r="F1144" s="1468"/>
      <c r="G1144" s="1469"/>
      <c r="H1144" s="1469"/>
      <c r="I1144" s="1470"/>
      <c r="J1144" s="1439">
        <v>0</v>
      </c>
      <c r="K1144" s="1479">
        <v>0</v>
      </c>
      <c r="L1144" s="1415"/>
      <c r="M1144" s="1415"/>
      <c r="N1144" s="1455"/>
    </row>
    <row r="1145" spans="2:14">
      <c r="B1145" s="1416"/>
      <c r="C1145" s="1415"/>
      <c r="D1145" s="1415"/>
      <c r="E1145" s="1415"/>
      <c r="F1145" s="1415"/>
      <c r="G1145" s="1415"/>
      <c r="H1145" s="1415"/>
      <c r="I1145" s="1415"/>
      <c r="J1145" s="1415"/>
      <c r="K1145" s="1415"/>
      <c r="L1145" s="1415"/>
      <c r="M1145" s="1415"/>
      <c r="N1145" s="1415"/>
    </row>
    <row r="1146" spans="2:14" ht="13">
      <c r="B1146" s="1499" t="s">
        <v>4476</v>
      </c>
      <c r="C1146" s="1454" t="s">
        <v>4477</v>
      </c>
      <c r="D1146" s="1454"/>
      <c r="E1146" s="1454"/>
      <c r="F1146" s="1454"/>
      <c r="G1146" s="1455"/>
      <c r="H1146" s="1415"/>
      <c r="I1146" s="1456"/>
      <c r="J1146" s="1456"/>
      <c r="K1146" s="1457"/>
      <c r="L1146" s="1423"/>
      <c r="M1146" s="1455"/>
      <c r="N1146" s="1455"/>
    </row>
    <row r="1147" spans="2:14" ht="25">
      <c r="B1147" s="1458" t="s">
        <v>40</v>
      </c>
      <c r="C1147" s="1459" t="s">
        <v>41</v>
      </c>
      <c r="D1147" s="1460"/>
      <c r="E1147" s="1460"/>
      <c r="F1147" s="1461"/>
      <c r="G1147" s="1462" t="s">
        <v>42</v>
      </c>
      <c r="H1147" s="1462" t="s">
        <v>43</v>
      </c>
      <c r="I1147" s="1463" t="s">
        <v>44</v>
      </c>
      <c r="J1147" s="1431" t="s">
        <v>474</v>
      </c>
      <c r="K1147" s="1464" t="s">
        <v>475</v>
      </c>
      <c r="L1147" s="1415"/>
      <c r="M1147" s="1415"/>
      <c r="N1147" s="1455"/>
    </row>
    <row r="1148" spans="2:14">
      <c r="B1148" s="1465" t="s">
        <v>45</v>
      </c>
      <c r="C1148" s="1466" t="s">
        <v>46</v>
      </c>
      <c r="D1148" s="1467"/>
      <c r="E1148" s="1467"/>
      <c r="F1148" s="1468"/>
      <c r="G1148" s="1469"/>
      <c r="H1148" s="1469"/>
      <c r="I1148" s="1470"/>
      <c r="J1148" s="1439"/>
      <c r="K1148" s="1471"/>
      <c r="L1148" s="1415"/>
      <c r="M1148" s="1415"/>
      <c r="N1148" s="1455"/>
    </row>
    <row r="1149" spans="2:14">
      <c r="B1149" s="1472"/>
      <c r="C1149" s="1466" t="s">
        <v>4302</v>
      </c>
      <c r="D1149" s="1467"/>
      <c r="E1149" s="1467"/>
      <c r="F1149" s="1468"/>
      <c r="G1149" s="1473" t="s">
        <v>4303</v>
      </c>
      <c r="H1149" s="1463" t="s">
        <v>48</v>
      </c>
      <c r="I1149" s="1474">
        <v>0.04</v>
      </c>
      <c r="J1149" s="1439">
        <f>J1131</f>
        <v>0</v>
      </c>
      <c r="K1149" s="1475">
        <f>I1149*J1149</f>
        <v>0</v>
      </c>
      <c r="L1149" s="1415"/>
      <c r="M1149" s="1415"/>
      <c r="N1149" s="1455"/>
    </row>
    <row r="1150" spans="2:14">
      <c r="B1150" s="1472"/>
      <c r="C1150" s="1466" t="str">
        <f>'[205]HARGA ME'!$B$13</f>
        <v xml:space="preserve">Tukang Pipa </v>
      </c>
      <c r="D1150" s="1467"/>
      <c r="E1150" s="1467"/>
      <c r="F1150" s="1468"/>
      <c r="G1150" s="1473" t="s">
        <v>4306</v>
      </c>
      <c r="H1150" s="1463" t="s">
        <v>48</v>
      </c>
      <c r="I1150" s="1474">
        <v>0.15</v>
      </c>
      <c r="J1150" s="1439">
        <f>J1132</f>
        <v>0</v>
      </c>
      <c r="K1150" s="1475">
        <f>I1150*J1150</f>
        <v>0</v>
      </c>
      <c r="L1150" s="1415"/>
      <c r="M1150" s="1415"/>
      <c r="N1150" s="1455"/>
    </row>
    <row r="1151" spans="2:14">
      <c r="B1151" s="1472"/>
      <c r="C1151" s="1466" t="str">
        <f>'[205]HARGA ME'!$B$9</f>
        <v>Kepala Tukang Pipa</v>
      </c>
      <c r="D1151" s="1467"/>
      <c r="E1151" s="1467"/>
      <c r="F1151" s="1468"/>
      <c r="G1151" s="1473" t="s">
        <v>4449</v>
      </c>
      <c r="H1151" s="1463" t="s">
        <v>48</v>
      </c>
      <c r="I1151" s="1474">
        <f>I1150/10</f>
        <v>1.4999999999999999E-2</v>
      </c>
      <c r="J1151" s="1439">
        <f>J1133</f>
        <v>0</v>
      </c>
      <c r="K1151" s="1475">
        <f>I1151*J1151</f>
        <v>0</v>
      </c>
      <c r="L1151" s="1415"/>
      <c r="M1151" s="1415"/>
      <c r="N1151" s="1455"/>
    </row>
    <row r="1152" spans="2:14">
      <c r="B1152" s="1472"/>
      <c r="C1152" s="1466" t="s">
        <v>4308</v>
      </c>
      <c r="D1152" s="1467"/>
      <c r="E1152" s="1467"/>
      <c r="F1152" s="1468"/>
      <c r="G1152" s="1473" t="s">
        <v>4309</v>
      </c>
      <c r="H1152" s="1463" t="s">
        <v>48</v>
      </c>
      <c r="I1152" s="1474">
        <f>I1151/10</f>
        <v>1.5E-3</v>
      </c>
      <c r="J1152" s="1439">
        <f>J1134</f>
        <v>0</v>
      </c>
      <c r="K1152" s="1475">
        <f>I1152*J1152</f>
        <v>0</v>
      </c>
      <c r="L1152" s="1415"/>
      <c r="M1152" s="1415"/>
      <c r="N1152" s="1455"/>
    </row>
    <row r="1153" spans="2:14">
      <c r="B1153" s="1472"/>
      <c r="C1153" s="1476"/>
      <c r="D1153" s="1477"/>
      <c r="E1153" s="1477"/>
      <c r="F1153" s="1478"/>
      <c r="G1153" s="1469"/>
      <c r="H1153" s="1469"/>
      <c r="I1153" s="1474" t="s">
        <v>52</v>
      </c>
      <c r="J1153" s="1439"/>
      <c r="K1153" s="1471">
        <f>SUM(K1149:K1152)</f>
        <v>0</v>
      </c>
      <c r="L1153" s="1415"/>
      <c r="M1153" s="1415"/>
      <c r="N1153" s="1455"/>
    </row>
    <row r="1154" spans="2:14">
      <c r="B1154" s="1465" t="s">
        <v>53</v>
      </c>
      <c r="C1154" s="1466" t="s">
        <v>54</v>
      </c>
      <c r="D1154" s="1467"/>
      <c r="E1154" s="1467"/>
      <c r="F1154" s="1468"/>
      <c r="G1154" s="1469"/>
      <c r="H1154" s="1469"/>
      <c r="I1154" s="1470"/>
      <c r="J1154" s="1439"/>
      <c r="K1154" s="1471"/>
      <c r="L1154" s="1415"/>
      <c r="M1154" s="1415"/>
      <c r="N1154" s="1455"/>
    </row>
    <row r="1155" spans="2:14">
      <c r="B1155" s="1472"/>
      <c r="C1155" s="1466" t="s">
        <v>4478</v>
      </c>
      <c r="D1155" s="1467"/>
      <c r="E1155" s="1467"/>
      <c r="F1155" s="1468"/>
      <c r="G1155" s="1473" t="s">
        <v>4466</v>
      </c>
      <c r="H1155" s="1463" t="s">
        <v>268</v>
      </c>
      <c r="I1155" s="1474">
        <v>1.45</v>
      </c>
      <c r="J1155" s="1439">
        <v>0</v>
      </c>
      <c r="K1155" s="1475">
        <f>I1155*J1155</f>
        <v>0</v>
      </c>
      <c r="L1155" s="1415"/>
      <c r="M1155" s="1415"/>
      <c r="N1155" s="1455"/>
    </row>
    <row r="1156" spans="2:14">
      <c r="B1156" s="1472"/>
      <c r="C1156" s="1466"/>
      <c r="D1156" s="1467"/>
      <c r="E1156" s="1467"/>
      <c r="F1156" s="1468"/>
      <c r="G1156" s="1469"/>
      <c r="H1156" s="1463"/>
      <c r="I1156" s="1474"/>
      <c r="J1156" s="1439"/>
      <c r="K1156" s="1475"/>
      <c r="L1156" s="1415"/>
      <c r="M1156" s="1415"/>
      <c r="N1156" s="1455"/>
    </row>
    <row r="1157" spans="2:14">
      <c r="B1157" s="1472"/>
      <c r="C1157" s="1476"/>
      <c r="D1157" s="1477"/>
      <c r="E1157" s="1477"/>
      <c r="F1157" s="1478"/>
      <c r="G1157" s="1469"/>
      <c r="H1157" s="1469"/>
      <c r="I1157" s="1474" t="s">
        <v>64</v>
      </c>
      <c r="J1157" s="1439"/>
      <c r="K1157" s="1471">
        <f>SUM(K1155:K1156)</f>
        <v>0</v>
      </c>
      <c r="L1157" s="1415"/>
      <c r="M1157" s="1415"/>
      <c r="N1157" s="1455"/>
    </row>
    <row r="1158" spans="2:14">
      <c r="B1158" s="1465" t="s">
        <v>65</v>
      </c>
      <c r="C1158" s="1466" t="s">
        <v>66</v>
      </c>
      <c r="D1158" s="1467"/>
      <c r="E1158" s="1467"/>
      <c r="F1158" s="1468"/>
      <c r="G1158" s="1469"/>
      <c r="H1158" s="1469"/>
      <c r="I1158" s="1470"/>
      <c r="J1158" s="1439">
        <v>0</v>
      </c>
      <c r="K1158" s="1471">
        <v>0</v>
      </c>
      <c r="L1158" s="1415"/>
      <c r="M1158" s="1415"/>
      <c r="N1158" s="1455"/>
    </row>
    <row r="1159" spans="2:14">
      <c r="B1159" s="1472"/>
      <c r="C1159" s="1476"/>
      <c r="D1159" s="1477"/>
      <c r="E1159" s="1477"/>
      <c r="F1159" s="1478"/>
      <c r="G1159" s="1469"/>
      <c r="H1159" s="1469"/>
      <c r="I1159" s="1474" t="s">
        <v>67</v>
      </c>
      <c r="J1159" s="1439"/>
      <c r="K1159" s="1471">
        <v>0</v>
      </c>
      <c r="L1159" s="1415"/>
      <c r="M1159" s="1415"/>
      <c r="N1159" s="1455"/>
    </row>
    <row r="1160" spans="2:14">
      <c r="B1160" s="1465" t="s">
        <v>68</v>
      </c>
      <c r="C1160" s="1466" t="s">
        <v>69</v>
      </c>
      <c r="D1160" s="1467"/>
      <c r="E1160" s="1467"/>
      <c r="F1160" s="1468"/>
      <c r="G1160" s="1469"/>
      <c r="H1160" s="1469"/>
      <c r="I1160" s="1470"/>
      <c r="J1160" s="1439">
        <v>0</v>
      </c>
      <c r="K1160" s="1471">
        <f>K1157+K1153</f>
        <v>0</v>
      </c>
      <c r="L1160" s="1415"/>
      <c r="M1160" s="1415"/>
      <c r="N1160" s="1455"/>
    </row>
    <row r="1161" spans="2:14">
      <c r="B1161" s="1465" t="s">
        <v>70</v>
      </c>
      <c r="C1161" s="1466" t="s">
        <v>4299</v>
      </c>
      <c r="D1161" s="1467"/>
      <c r="E1161" s="1467"/>
      <c r="F1161" s="1468"/>
      <c r="G1161" s="1469"/>
      <c r="H1161" s="1469"/>
      <c r="I1161" s="1447">
        <f>$K$917</f>
        <v>0.1</v>
      </c>
      <c r="J1161" s="1439"/>
      <c r="K1161" s="1471">
        <f>K1160*I1161</f>
        <v>0</v>
      </c>
      <c r="L1161" s="1415"/>
      <c r="M1161" s="1415"/>
      <c r="N1161" s="1455"/>
    </row>
    <row r="1162" spans="2:14" ht="13">
      <c r="B1162" s="1465" t="s">
        <v>71</v>
      </c>
      <c r="C1162" s="1466" t="s">
        <v>72</v>
      </c>
      <c r="D1162" s="1467"/>
      <c r="E1162" s="1467"/>
      <c r="F1162" s="1468"/>
      <c r="G1162" s="1469"/>
      <c r="H1162" s="1469"/>
      <c r="I1162" s="1470"/>
      <c r="J1162" s="1439">
        <v>0</v>
      </c>
      <c r="K1162" s="1479">
        <v>0</v>
      </c>
      <c r="L1162" s="1415"/>
      <c r="M1162" s="1415"/>
      <c r="N1162" s="1455"/>
    </row>
    <row r="1163" spans="2:14">
      <c r="B1163" s="1416"/>
      <c r="C1163" s="1415"/>
      <c r="D1163" s="1415"/>
      <c r="E1163" s="1415"/>
      <c r="F1163" s="1415"/>
      <c r="G1163" s="1415"/>
      <c r="H1163" s="1415"/>
      <c r="I1163" s="1415"/>
      <c r="J1163" s="1415"/>
      <c r="K1163" s="1415"/>
      <c r="L1163" s="1415"/>
      <c r="M1163" s="1415"/>
      <c r="N1163" s="1415"/>
    </row>
    <row r="1164" spans="2:14" ht="13">
      <c r="B1164" s="1499" t="s">
        <v>4479</v>
      </c>
      <c r="C1164" s="1454" t="s">
        <v>4480</v>
      </c>
      <c r="D1164" s="1454"/>
      <c r="E1164" s="1454"/>
      <c r="F1164" s="1454"/>
      <c r="G1164" s="1455"/>
      <c r="H1164" s="1415"/>
      <c r="I1164" s="1456"/>
      <c r="J1164" s="1456"/>
      <c r="K1164" s="1457"/>
      <c r="L1164" s="1423"/>
      <c r="M1164" s="1455"/>
      <c r="N1164" s="1455"/>
    </row>
    <row r="1165" spans="2:14" ht="25">
      <c r="B1165" s="1458" t="s">
        <v>40</v>
      </c>
      <c r="C1165" s="1459" t="s">
        <v>41</v>
      </c>
      <c r="D1165" s="1460"/>
      <c r="E1165" s="1460"/>
      <c r="F1165" s="1461"/>
      <c r="G1165" s="1462" t="s">
        <v>42</v>
      </c>
      <c r="H1165" s="1462" t="s">
        <v>43</v>
      </c>
      <c r="I1165" s="1463" t="s">
        <v>44</v>
      </c>
      <c r="J1165" s="1431" t="s">
        <v>474</v>
      </c>
      <c r="K1165" s="1464" t="s">
        <v>475</v>
      </c>
      <c r="L1165" s="1415"/>
      <c r="M1165" s="1415"/>
      <c r="N1165" s="1455"/>
    </row>
    <row r="1166" spans="2:14">
      <c r="B1166" s="1465" t="s">
        <v>45</v>
      </c>
      <c r="C1166" s="1466" t="s">
        <v>46</v>
      </c>
      <c r="D1166" s="1467"/>
      <c r="E1166" s="1467"/>
      <c r="F1166" s="1468"/>
      <c r="G1166" s="1469"/>
      <c r="H1166" s="1469"/>
      <c r="I1166" s="1470"/>
      <c r="J1166" s="1439"/>
      <c r="K1166" s="1471"/>
      <c r="L1166" s="1415"/>
      <c r="M1166" s="1415"/>
      <c r="N1166" s="1455"/>
    </row>
    <row r="1167" spans="2:14">
      <c r="B1167" s="1472"/>
      <c r="C1167" s="1466" t="s">
        <v>4302</v>
      </c>
      <c r="D1167" s="1467"/>
      <c r="E1167" s="1467"/>
      <c r="F1167" s="1468"/>
      <c r="G1167" s="1473" t="s">
        <v>4303</v>
      </c>
      <c r="H1167" s="1463" t="s">
        <v>48</v>
      </c>
      <c r="I1167" s="1474">
        <v>0.05</v>
      </c>
      <c r="J1167" s="1439">
        <f>J1149</f>
        <v>0</v>
      </c>
      <c r="K1167" s="1475">
        <f>I1167*J1167</f>
        <v>0</v>
      </c>
      <c r="L1167" s="1415"/>
      <c r="M1167" s="1415"/>
      <c r="N1167" s="1455"/>
    </row>
    <row r="1168" spans="2:14">
      <c r="B1168" s="1472"/>
      <c r="C1168" s="1466" t="str">
        <f>'[205]HARGA ME'!$B$13</f>
        <v xml:space="preserve">Tukang Pipa </v>
      </c>
      <c r="D1168" s="1467"/>
      <c r="E1168" s="1467"/>
      <c r="F1168" s="1468"/>
      <c r="G1168" s="1473" t="s">
        <v>4306</v>
      </c>
      <c r="H1168" s="1463" t="s">
        <v>48</v>
      </c>
      <c r="I1168" s="1474">
        <v>0.17</v>
      </c>
      <c r="J1168" s="1439">
        <f>J1150</f>
        <v>0</v>
      </c>
      <c r="K1168" s="1475">
        <f>I1168*J1168</f>
        <v>0</v>
      </c>
      <c r="L1168" s="1415"/>
      <c r="M1168" s="1415"/>
      <c r="N1168" s="1455"/>
    </row>
    <row r="1169" spans="2:14">
      <c r="B1169" s="1472"/>
      <c r="C1169" s="1466" t="str">
        <f>'[205]HARGA ME'!$B$9</f>
        <v>Kepala Tukang Pipa</v>
      </c>
      <c r="D1169" s="1467"/>
      <c r="E1169" s="1467"/>
      <c r="F1169" s="1468"/>
      <c r="G1169" s="1473" t="s">
        <v>4449</v>
      </c>
      <c r="H1169" s="1463" t="s">
        <v>48</v>
      </c>
      <c r="I1169" s="1474">
        <f>I1168/10</f>
        <v>1.7000000000000001E-2</v>
      </c>
      <c r="J1169" s="1439">
        <f>J1151</f>
        <v>0</v>
      </c>
      <c r="K1169" s="1475">
        <f>I1169*J1169</f>
        <v>0</v>
      </c>
      <c r="L1169" s="1415"/>
      <c r="M1169" s="1415"/>
      <c r="N1169" s="1455"/>
    </row>
    <row r="1170" spans="2:14">
      <c r="B1170" s="1472"/>
      <c r="C1170" s="1466" t="s">
        <v>4308</v>
      </c>
      <c r="D1170" s="1467"/>
      <c r="E1170" s="1467"/>
      <c r="F1170" s="1468"/>
      <c r="G1170" s="1473" t="s">
        <v>4309</v>
      </c>
      <c r="H1170" s="1463" t="s">
        <v>48</v>
      </c>
      <c r="I1170" s="1474">
        <f>I1169/10</f>
        <v>1.7000000000000001E-3</v>
      </c>
      <c r="J1170" s="1439">
        <f>J1152</f>
        <v>0</v>
      </c>
      <c r="K1170" s="1475">
        <f>I1170*J1170</f>
        <v>0</v>
      </c>
      <c r="L1170" s="1415"/>
      <c r="M1170" s="1415"/>
      <c r="N1170" s="1455"/>
    </row>
    <row r="1171" spans="2:14">
      <c r="B1171" s="1472"/>
      <c r="C1171" s="1476"/>
      <c r="D1171" s="1477"/>
      <c r="E1171" s="1477"/>
      <c r="F1171" s="1478"/>
      <c r="G1171" s="1469"/>
      <c r="H1171" s="1469"/>
      <c r="I1171" s="1474" t="s">
        <v>52</v>
      </c>
      <c r="J1171" s="1439"/>
      <c r="K1171" s="1471">
        <f>SUM(K1167:K1170)</f>
        <v>0</v>
      </c>
      <c r="L1171" s="1415"/>
      <c r="M1171" s="1415"/>
      <c r="N1171" s="1455"/>
    </row>
    <row r="1172" spans="2:14">
      <c r="B1172" s="1465" t="s">
        <v>53</v>
      </c>
      <c r="C1172" s="1466" t="s">
        <v>54</v>
      </c>
      <c r="D1172" s="1467"/>
      <c r="E1172" s="1467"/>
      <c r="F1172" s="1468"/>
      <c r="G1172" s="1469"/>
      <c r="H1172" s="1469"/>
      <c r="I1172" s="1470"/>
      <c r="J1172" s="1439"/>
      <c r="K1172" s="1471"/>
      <c r="L1172" s="1415"/>
      <c r="M1172" s="1415"/>
      <c r="N1172" s="1455"/>
    </row>
    <row r="1173" spans="2:14">
      <c r="B1173" s="1472"/>
      <c r="C1173" s="1466" t="s">
        <v>4481</v>
      </c>
      <c r="D1173" s="1467"/>
      <c r="E1173" s="1467"/>
      <c r="F1173" s="1468"/>
      <c r="G1173" s="1473" t="s">
        <v>4466</v>
      </c>
      <c r="H1173" s="1463" t="s">
        <v>268</v>
      </c>
      <c r="I1173" s="1474">
        <v>1.45</v>
      </c>
      <c r="J1173" s="1439">
        <v>0</v>
      </c>
      <c r="K1173" s="1475">
        <f>I1173*J1173</f>
        <v>0</v>
      </c>
      <c r="L1173" s="1415"/>
      <c r="M1173" s="1415"/>
      <c r="N1173" s="1455"/>
    </row>
    <row r="1174" spans="2:14">
      <c r="B1174" s="1472"/>
      <c r="C1174" s="1466"/>
      <c r="D1174" s="1467"/>
      <c r="E1174" s="1467"/>
      <c r="F1174" s="1468"/>
      <c r="G1174" s="1469"/>
      <c r="H1174" s="1463"/>
      <c r="I1174" s="1474"/>
      <c r="J1174" s="1439"/>
      <c r="K1174" s="1475"/>
      <c r="L1174" s="1415"/>
      <c r="M1174" s="1415"/>
      <c r="N1174" s="1455"/>
    </row>
    <row r="1175" spans="2:14">
      <c r="B1175" s="1472"/>
      <c r="C1175" s="1476"/>
      <c r="D1175" s="1477"/>
      <c r="E1175" s="1477"/>
      <c r="F1175" s="1478"/>
      <c r="G1175" s="1469"/>
      <c r="H1175" s="1469"/>
      <c r="I1175" s="1474" t="s">
        <v>64</v>
      </c>
      <c r="J1175" s="1439"/>
      <c r="K1175" s="1471">
        <f>SUM(K1173:K1174)</f>
        <v>0</v>
      </c>
      <c r="L1175" s="1415"/>
      <c r="M1175" s="1415"/>
      <c r="N1175" s="1455"/>
    </row>
    <row r="1176" spans="2:14">
      <c r="B1176" s="1465" t="s">
        <v>65</v>
      </c>
      <c r="C1176" s="1466" t="s">
        <v>66</v>
      </c>
      <c r="D1176" s="1467"/>
      <c r="E1176" s="1467"/>
      <c r="F1176" s="1468"/>
      <c r="G1176" s="1469"/>
      <c r="H1176" s="1469"/>
      <c r="I1176" s="1470"/>
      <c r="J1176" s="1439">
        <v>0</v>
      </c>
      <c r="K1176" s="1471">
        <v>0</v>
      </c>
      <c r="L1176" s="1415"/>
      <c r="M1176" s="1415"/>
      <c r="N1176" s="1455"/>
    </row>
    <row r="1177" spans="2:14">
      <c r="B1177" s="1472"/>
      <c r="C1177" s="1476"/>
      <c r="D1177" s="1477"/>
      <c r="E1177" s="1477"/>
      <c r="F1177" s="1478"/>
      <c r="G1177" s="1469"/>
      <c r="H1177" s="1469"/>
      <c r="I1177" s="1474" t="s">
        <v>67</v>
      </c>
      <c r="J1177" s="1439"/>
      <c r="K1177" s="1471">
        <v>0</v>
      </c>
      <c r="L1177" s="1415"/>
      <c r="M1177" s="1415"/>
      <c r="N1177" s="1455"/>
    </row>
    <row r="1178" spans="2:14">
      <c r="B1178" s="1465" t="s">
        <v>68</v>
      </c>
      <c r="C1178" s="1466" t="s">
        <v>69</v>
      </c>
      <c r="D1178" s="1467"/>
      <c r="E1178" s="1467"/>
      <c r="F1178" s="1468"/>
      <c r="G1178" s="1469"/>
      <c r="H1178" s="1469"/>
      <c r="I1178" s="1470"/>
      <c r="J1178" s="1439">
        <v>0</v>
      </c>
      <c r="K1178" s="1471">
        <f>K1175+K1171</f>
        <v>0</v>
      </c>
      <c r="L1178" s="1415"/>
      <c r="M1178" s="1415"/>
      <c r="N1178" s="1455"/>
    </row>
    <row r="1179" spans="2:14">
      <c r="B1179" s="1465" t="s">
        <v>70</v>
      </c>
      <c r="C1179" s="1466" t="s">
        <v>4299</v>
      </c>
      <c r="D1179" s="1467"/>
      <c r="E1179" s="1467"/>
      <c r="F1179" s="1468"/>
      <c r="G1179" s="1469"/>
      <c r="H1179" s="1469"/>
      <c r="I1179" s="1447">
        <f>$K$917</f>
        <v>0.1</v>
      </c>
      <c r="J1179" s="1439"/>
      <c r="K1179" s="1471">
        <f>K1178*I1179</f>
        <v>0</v>
      </c>
      <c r="L1179" s="1415"/>
      <c r="M1179" s="1415"/>
      <c r="N1179" s="1455"/>
    </row>
    <row r="1180" spans="2:14" ht="13">
      <c r="B1180" s="1465" t="s">
        <v>71</v>
      </c>
      <c r="C1180" s="1466" t="s">
        <v>72</v>
      </c>
      <c r="D1180" s="1467"/>
      <c r="E1180" s="1467"/>
      <c r="F1180" s="1468"/>
      <c r="G1180" s="1469"/>
      <c r="H1180" s="1469"/>
      <c r="I1180" s="1470"/>
      <c r="J1180" s="1439">
        <v>0</v>
      </c>
      <c r="K1180" s="1479">
        <v>0</v>
      </c>
      <c r="L1180" s="1415"/>
      <c r="M1180" s="1415"/>
      <c r="N1180" s="1455"/>
    </row>
    <row r="1181" spans="2:14">
      <c r="B1181" s="1416"/>
      <c r="C1181" s="1415"/>
      <c r="D1181" s="1415"/>
      <c r="E1181" s="1415"/>
      <c r="F1181" s="1415"/>
      <c r="G1181" s="1415"/>
      <c r="H1181" s="1415"/>
      <c r="I1181" s="1415"/>
      <c r="J1181" s="1415"/>
      <c r="K1181" s="1415"/>
      <c r="L1181" s="1415"/>
      <c r="M1181" s="1415"/>
      <c r="N1181" s="1415"/>
    </row>
    <row r="1182" spans="2:14" ht="13">
      <c r="B1182" s="1453" t="s">
        <v>4482</v>
      </c>
      <c r="C1182" s="1454" t="s">
        <v>4483</v>
      </c>
      <c r="D1182" s="1454"/>
      <c r="E1182" s="1454"/>
      <c r="F1182" s="1454"/>
      <c r="G1182" s="1455"/>
      <c r="H1182" s="1415"/>
      <c r="I1182" s="1456"/>
      <c r="J1182" s="1456"/>
      <c r="K1182" s="1457"/>
      <c r="L1182" s="1423"/>
      <c r="M1182" s="1455"/>
      <c r="N1182" s="1455"/>
    </row>
    <row r="1183" spans="2:14" ht="25">
      <c r="B1183" s="1458" t="s">
        <v>40</v>
      </c>
      <c r="C1183" s="1459" t="s">
        <v>41</v>
      </c>
      <c r="D1183" s="1460"/>
      <c r="E1183" s="1460"/>
      <c r="F1183" s="1461"/>
      <c r="G1183" s="1462" t="s">
        <v>42</v>
      </c>
      <c r="H1183" s="1462" t="s">
        <v>43</v>
      </c>
      <c r="I1183" s="1463" t="s">
        <v>44</v>
      </c>
      <c r="J1183" s="1431" t="s">
        <v>474</v>
      </c>
      <c r="K1183" s="1464" t="s">
        <v>475</v>
      </c>
      <c r="L1183" s="1415"/>
      <c r="M1183" s="1415"/>
      <c r="N1183" s="1455"/>
    </row>
    <row r="1184" spans="2:14">
      <c r="B1184" s="1465" t="s">
        <v>45</v>
      </c>
      <c r="C1184" s="1466" t="s">
        <v>46</v>
      </c>
      <c r="D1184" s="1467"/>
      <c r="E1184" s="1467"/>
      <c r="F1184" s="1468"/>
      <c r="G1184" s="1469"/>
      <c r="H1184" s="1469"/>
      <c r="I1184" s="1470"/>
      <c r="J1184" s="1439"/>
      <c r="K1184" s="1471"/>
      <c r="L1184" s="1415"/>
      <c r="M1184" s="1415"/>
      <c r="N1184" s="1455"/>
    </row>
    <row r="1185" spans="2:14">
      <c r="B1185" s="1472"/>
      <c r="C1185" s="1466" t="s">
        <v>4302</v>
      </c>
      <c r="D1185" s="1467"/>
      <c r="E1185" s="1467"/>
      <c r="F1185" s="1468"/>
      <c r="G1185" s="1473" t="s">
        <v>4303</v>
      </c>
      <c r="H1185" s="1463" t="s">
        <v>48</v>
      </c>
      <c r="I1185" s="1474">
        <v>3.3000000000000002E-2</v>
      </c>
      <c r="J1185" s="1439">
        <f>J1167</f>
        <v>0</v>
      </c>
      <c r="K1185" s="1475">
        <f>I1185*J1185</f>
        <v>0</v>
      </c>
      <c r="L1185" s="1415"/>
      <c r="M1185" s="1415"/>
      <c r="N1185" s="1455"/>
    </row>
    <row r="1186" spans="2:14">
      <c r="B1186" s="1472"/>
      <c r="C1186" s="1466" t="str">
        <f>'[205]HARGA ME'!$B$13</f>
        <v xml:space="preserve">Tukang Pipa </v>
      </c>
      <c r="D1186" s="1467"/>
      <c r="E1186" s="1467"/>
      <c r="F1186" s="1468"/>
      <c r="G1186" s="1473" t="s">
        <v>4306</v>
      </c>
      <c r="H1186" s="1463" t="s">
        <v>48</v>
      </c>
      <c r="I1186" s="1474">
        <v>5.6000000000000001E-2</v>
      </c>
      <c r="J1186" s="1439">
        <f>J1168</f>
        <v>0</v>
      </c>
      <c r="K1186" s="1475">
        <f>I1186*J1186</f>
        <v>0</v>
      </c>
      <c r="L1186" s="1415"/>
      <c r="M1186" s="1415"/>
      <c r="N1186" s="1455"/>
    </row>
    <row r="1187" spans="2:14">
      <c r="B1187" s="1472"/>
      <c r="C1187" s="1466" t="str">
        <f>'[205]HARGA ME'!$B$9</f>
        <v>Kepala Tukang Pipa</v>
      </c>
      <c r="D1187" s="1467"/>
      <c r="E1187" s="1467"/>
      <c r="F1187" s="1468"/>
      <c r="G1187" s="1473" t="s">
        <v>4449</v>
      </c>
      <c r="H1187" s="1463" t="s">
        <v>48</v>
      </c>
      <c r="I1187" s="1474">
        <v>6.0000000000000001E-3</v>
      </c>
      <c r="J1187" s="1439">
        <f>J1169</f>
        <v>0</v>
      </c>
      <c r="K1187" s="1475">
        <f>I1187*J1187</f>
        <v>0</v>
      </c>
      <c r="L1187" s="1415"/>
      <c r="M1187" s="1415"/>
      <c r="N1187" s="1455"/>
    </row>
    <row r="1188" spans="2:14">
      <c r="B1188" s="1472"/>
      <c r="C1188" s="1466" t="s">
        <v>4308</v>
      </c>
      <c r="D1188" s="1467"/>
      <c r="E1188" s="1467"/>
      <c r="F1188" s="1468"/>
      <c r="G1188" s="1473" t="s">
        <v>4309</v>
      </c>
      <c r="H1188" s="1463" t="s">
        <v>48</v>
      </c>
      <c r="I1188" s="1474">
        <v>2E-3</v>
      </c>
      <c r="J1188" s="1439">
        <f>J1170</f>
        <v>0</v>
      </c>
      <c r="K1188" s="1475">
        <f>I1188*J1188</f>
        <v>0</v>
      </c>
      <c r="L1188" s="1415"/>
      <c r="M1188" s="1415"/>
      <c r="N1188" s="1455"/>
    </row>
    <row r="1189" spans="2:14">
      <c r="B1189" s="1472"/>
      <c r="C1189" s="1476"/>
      <c r="D1189" s="1477"/>
      <c r="E1189" s="1477"/>
      <c r="F1189" s="1478"/>
      <c r="G1189" s="1469"/>
      <c r="H1189" s="1469"/>
      <c r="I1189" s="1474" t="s">
        <v>52</v>
      </c>
      <c r="J1189" s="1439"/>
      <c r="K1189" s="1471">
        <f>SUM(K1185:K1188)</f>
        <v>0</v>
      </c>
      <c r="L1189" s="1415"/>
      <c r="M1189" s="1415"/>
      <c r="N1189" s="1455"/>
    </row>
    <row r="1190" spans="2:14">
      <c r="B1190" s="1465" t="s">
        <v>53</v>
      </c>
      <c r="C1190" s="1466" t="s">
        <v>54</v>
      </c>
      <c r="D1190" s="1467"/>
      <c r="E1190" s="1467"/>
      <c r="F1190" s="1468"/>
      <c r="G1190" s="1469"/>
      <c r="H1190" s="1469"/>
      <c r="I1190" s="1470"/>
      <c r="J1190" s="1439"/>
      <c r="K1190" s="1471"/>
      <c r="L1190" s="1415"/>
      <c r="M1190" s="1415"/>
      <c r="N1190" s="1455"/>
    </row>
    <row r="1191" spans="2:14">
      <c r="B1191" s="1472"/>
      <c r="C1191" s="1466" t="s">
        <v>4484</v>
      </c>
      <c r="D1191" s="1467"/>
      <c r="E1191" s="1467"/>
      <c r="F1191" s="1468"/>
      <c r="G1191" s="1473"/>
      <c r="H1191" s="1463" t="s">
        <v>113</v>
      </c>
      <c r="I1191" s="1474">
        <v>1.5</v>
      </c>
      <c r="J1191" s="1439">
        <v>0</v>
      </c>
      <c r="K1191" s="1475">
        <f>I1191*J1191</f>
        <v>0</v>
      </c>
      <c r="L1191" s="1415"/>
      <c r="M1191" s="1415"/>
      <c r="N1191" s="1455"/>
    </row>
    <row r="1192" spans="2:14">
      <c r="B1192" s="1472"/>
      <c r="C1192" s="1466" t="s">
        <v>4485</v>
      </c>
      <c r="D1192" s="1467"/>
      <c r="E1192" s="1467"/>
      <c r="F1192" s="1468"/>
      <c r="G1192" s="1469"/>
      <c r="H1192" s="1463" t="s">
        <v>113</v>
      </c>
      <c r="I1192" s="1474">
        <v>1</v>
      </c>
      <c r="J1192" s="1439">
        <v>0</v>
      </c>
      <c r="K1192" s="1475">
        <f>I1192*J1192</f>
        <v>0</v>
      </c>
      <c r="L1192" s="1415"/>
      <c r="M1192" s="1415"/>
      <c r="N1192" s="1455"/>
    </row>
    <row r="1193" spans="2:14">
      <c r="B1193" s="1472"/>
      <c r="C1193" s="1476"/>
      <c r="D1193" s="1477"/>
      <c r="E1193" s="1477"/>
      <c r="F1193" s="1478"/>
      <c r="G1193" s="1469"/>
      <c r="H1193" s="1469"/>
      <c r="I1193" s="1474" t="s">
        <v>64</v>
      </c>
      <c r="J1193" s="1439"/>
      <c r="K1193" s="1471">
        <f>SUM(K1191:K1192)</f>
        <v>0</v>
      </c>
      <c r="L1193" s="1415"/>
      <c r="M1193" s="1415"/>
      <c r="N1193" s="1455"/>
    </row>
    <row r="1194" spans="2:14">
      <c r="B1194" s="1465" t="s">
        <v>65</v>
      </c>
      <c r="C1194" s="1466" t="s">
        <v>66</v>
      </c>
      <c r="D1194" s="1467"/>
      <c r="E1194" s="1467"/>
      <c r="F1194" s="1468"/>
      <c r="G1194" s="1469"/>
      <c r="H1194" s="1469"/>
      <c r="I1194" s="1470"/>
      <c r="J1194" s="1439">
        <v>0</v>
      </c>
      <c r="K1194" s="1471">
        <v>0</v>
      </c>
      <c r="L1194" s="1415"/>
      <c r="M1194" s="1415"/>
      <c r="N1194" s="1455"/>
    </row>
    <row r="1195" spans="2:14">
      <c r="B1195" s="1472"/>
      <c r="C1195" s="1476"/>
      <c r="D1195" s="1477"/>
      <c r="E1195" s="1477"/>
      <c r="F1195" s="1478"/>
      <c r="G1195" s="1469"/>
      <c r="H1195" s="1469"/>
      <c r="I1195" s="1474" t="s">
        <v>67</v>
      </c>
      <c r="J1195" s="1439"/>
      <c r="K1195" s="1471">
        <v>0</v>
      </c>
      <c r="L1195" s="1415"/>
      <c r="M1195" s="1415"/>
      <c r="N1195" s="1455"/>
    </row>
    <row r="1196" spans="2:14">
      <c r="B1196" s="1465" t="s">
        <v>68</v>
      </c>
      <c r="C1196" s="1466" t="s">
        <v>69</v>
      </c>
      <c r="D1196" s="1467"/>
      <c r="E1196" s="1467"/>
      <c r="F1196" s="1468"/>
      <c r="G1196" s="1469"/>
      <c r="H1196" s="1469"/>
      <c r="I1196" s="1470"/>
      <c r="J1196" s="1439">
        <v>0</v>
      </c>
      <c r="K1196" s="1471">
        <f>K1193+K1189</f>
        <v>0</v>
      </c>
      <c r="L1196" s="1415"/>
      <c r="M1196" s="1415"/>
      <c r="N1196" s="1455"/>
    </row>
    <row r="1197" spans="2:14">
      <c r="B1197" s="1465" t="s">
        <v>70</v>
      </c>
      <c r="C1197" s="1466" t="s">
        <v>4299</v>
      </c>
      <c r="D1197" s="1467"/>
      <c r="E1197" s="1467"/>
      <c r="F1197" s="1468"/>
      <c r="G1197" s="1469"/>
      <c r="H1197" s="1469"/>
      <c r="I1197" s="1447">
        <f>$K$917</f>
        <v>0.1</v>
      </c>
      <c r="J1197" s="1439"/>
      <c r="K1197" s="1471">
        <f>K1196*I1197</f>
        <v>0</v>
      </c>
      <c r="L1197" s="1415"/>
      <c r="M1197" s="1415"/>
      <c r="N1197" s="1455"/>
    </row>
    <row r="1198" spans="2:14" ht="13">
      <c r="B1198" s="1465" t="s">
        <v>71</v>
      </c>
      <c r="C1198" s="1466" t="s">
        <v>72</v>
      </c>
      <c r="D1198" s="1467"/>
      <c r="E1198" s="1467"/>
      <c r="F1198" s="1468"/>
      <c r="G1198" s="1469"/>
      <c r="H1198" s="1469"/>
      <c r="I1198" s="1470"/>
      <c r="J1198" s="1439">
        <v>0</v>
      </c>
      <c r="K1198" s="1479">
        <v>0</v>
      </c>
      <c r="L1198" s="1415"/>
      <c r="M1198" s="1415"/>
      <c r="N1198" s="1455"/>
    </row>
    <row r="1199" spans="2:14">
      <c r="B1199" s="1416"/>
      <c r="C1199" s="1415"/>
      <c r="D1199" s="1415"/>
      <c r="E1199" s="1415"/>
      <c r="F1199" s="1415"/>
      <c r="G1199" s="1415"/>
      <c r="H1199" s="1415"/>
      <c r="I1199" s="1415"/>
      <c r="J1199" s="1415"/>
      <c r="K1199" s="1415"/>
      <c r="L1199" s="1415"/>
      <c r="M1199" s="1415"/>
      <c r="N1199" s="1415"/>
    </row>
    <row r="1200" spans="2:14" ht="13">
      <c r="B1200" s="1453" t="s">
        <v>4486</v>
      </c>
      <c r="C1200" s="1454" t="s">
        <v>4487</v>
      </c>
      <c r="D1200" s="1454"/>
      <c r="E1200" s="1454"/>
      <c r="F1200" s="1454"/>
      <c r="G1200" s="1455"/>
      <c r="H1200" s="1415"/>
      <c r="I1200" s="1456"/>
      <c r="J1200" s="1456"/>
      <c r="K1200" s="1457"/>
      <c r="L1200" s="1423"/>
      <c r="M1200" s="1455"/>
      <c r="N1200" s="1455"/>
    </row>
    <row r="1201" spans="2:14" ht="25">
      <c r="B1201" s="1458" t="s">
        <v>40</v>
      </c>
      <c r="C1201" s="1459" t="s">
        <v>41</v>
      </c>
      <c r="D1201" s="1460"/>
      <c r="E1201" s="1460"/>
      <c r="F1201" s="1461"/>
      <c r="G1201" s="1462" t="s">
        <v>42</v>
      </c>
      <c r="H1201" s="1462" t="s">
        <v>43</v>
      </c>
      <c r="I1201" s="1463" t="s">
        <v>44</v>
      </c>
      <c r="J1201" s="1431" t="s">
        <v>474</v>
      </c>
      <c r="K1201" s="1464" t="s">
        <v>475</v>
      </c>
      <c r="L1201" s="1415"/>
      <c r="M1201" s="1415"/>
      <c r="N1201" s="1455"/>
    </row>
    <row r="1202" spans="2:14">
      <c r="B1202" s="1465" t="s">
        <v>45</v>
      </c>
      <c r="C1202" s="1466" t="s">
        <v>46</v>
      </c>
      <c r="D1202" s="1467"/>
      <c r="E1202" s="1467"/>
      <c r="F1202" s="1468"/>
      <c r="G1202" s="1469"/>
      <c r="H1202" s="1469"/>
      <c r="I1202" s="1470"/>
      <c r="J1202" s="1439"/>
      <c r="K1202" s="1471"/>
      <c r="L1202" s="1415"/>
      <c r="M1202" s="1415"/>
      <c r="N1202" s="1455"/>
    </row>
    <row r="1203" spans="2:14">
      <c r="B1203" s="1472"/>
      <c r="C1203" s="1466" t="s">
        <v>4302</v>
      </c>
      <c r="D1203" s="1467"/>
      <c r="E1203" s="1467"/>
      <c r="F1203" s="1468"/>
      <c r="G1203" s="1473" t="s">
        <v>4303</v>
      </c>
      <c r="H1203" s="1463" t="s">
        <v>48</v>
      </c>
      <c r="I1203" s="1474">
        <v>4.8000000000000001E-2</v>
      </c>
      <c r="J1203" s="1439">
        <f>J1185</f>
        <v>0</v>
      </c>
      <c r="K1203" s="1475">
        <f>I1203*J1203</f>
        <v>0</v>
      </c>
      <c r="L1203" s="1415"/>
      <c r="M1203" s="1415"/>
      <c r="N1203" s="1455"/>
    </row>
    <row r="1204" spans="2:14">
      <c r="B1204" s="1472"/>
      <c r="C1204" s="1466" t="str">
        <f>'[205]HARGA ME'!$B$13</f>
        <v xml:space="preserve">Tukang Pipa </v>
      </c>
      <c r="D1204" s="1467"/>
      <c r="E1204" s="1467"/>
      <c r="F1204" s="1468"/>
      <c r="G1204" s="1473" t="s">
        <v>4306</v>
      </c>
      <c r="H1204" s="1463" t="s">
        <v>48</v>
      </c>
      <c r="I1204" s="1474">
        <v>0.08</v>
      </c>
      <c r="J1204" s="1439">
        <f>J1186</f>
        <v>0</v>
      </c>
      <c r="K1204" s="1475">
        <f>I1204*J1204</f>
        <v>0</v>
      </c>
      <c r="L1204" s="1415"/>
      <c r="M1204" s="1415"/>
      <c r="N1204" s="1455"/>
    </row>
    <row r="1205" spans="2:14">
      <c r="B1205" s="1472"/>
      <c r="C1205" s="1466" t="str">
        <f>'[205]HARGA ME'!$B$9</f>
        <v>Kepala Tukang Pipa</v>
      </c>
      <c r="D1205" s="1467"/>
      <c r="E1205" s="1467"/>
      <c r="F1205" s="1468"/>
      <c r="G1205" s="1473" t="s">
        <v>4449</v>
      </c>
      <c r="H1205" s="1463" t="s">
        <v>48</v>
      </c>
      <c r="I1205" s="1474">
        <v>8.0000000000000002E-3</v>
      </c>
      <c r="J1205" s="1439">
        <f>J1187</f>
        <v>0</v>
      </c>
      <c r="K1205" s="1475">
        <f>I1205*J1205</f>
        <v>0</v>
      </c>
      <c r="L1205" s="1415"/>
      <c r="M1205" s="1415"/>
      <c r="N1205" s="1455"/>
    </row>
    <row r="1206" spans="2:14">
      <c r="B1206" s="1472"/>
      <c r="C1206" s="1466" t="s">
        <v>4308</v>
      </c>
      <c r="D1206" s="1467"/>
      <c r="E1206" s="1467"/>
      <c r="F1206" s="1468"/>
      <c r="G1206" s="1473" t="s">
        <v>4309</v>
      </c>
      <c r="H1206" s="1463" t="s">
        <v>48</v>
      </c>
      <c r="I1206" s="1474">
        <v>3.0000000000000001E-3</v>
      </c>
      <c r="J1206" s="1439">
        <f>J1188</f>
        <v>0</v>
      </c>
      <c r="K1206" s="1475">
        <f>I1206*J1206</f>
        <v>0</v>
      </c>
      <c r="L1206" s="1415"/>
      <c r="M1206" s="1415"/>
      <c r="N1206" s="1455"/>
    </row>
    <row r="1207" spans="2:14">
      <c r="B1207" s="1472"/>
      <c r="C1207" s="1476"/>
      <c r="D1207" s="1477"/>
      <c r="E1207" s="1477"/>
      <c r="F1207" s="1478"/>
      <c r="G1207" s="1469"/>
      <c r="H1207" s="1469"/>
      <c r="I1207" s="1474" t="s">
        <v>52</v>
      </c>
      <c r="J1207" s="1439"/>
      <c r="K1207" s="1471">
        <f>SUM(K1203:K1206)</f>
        <v>0</v>
      </c>
      <c r="L1207" s="1415"/>
      <c r="M1207" s="1415"/>
      <c r="N1207" s="1455"/>
    </row>
    <row r="1208" spans="2:14">
      <c r="B1208" s="1465" t="s">
        <v>53</v>
      </c>
      <c r="C1208" s="1466" t="s">
        <v>54</v>
      </c>
      <c r="D1208" s="1467"/>
      <c r="E1208" s="1467"/>
      <c r="F1208" s="1468"/>
      <c r="G1208" s="1469"/>
      <c r="H1208" s="1469"/>
      <c r="I1208" s="1470"/>
      <c r="J1208" s="1439"/>
      <c r="K1208" s="1471"/>
      <c r="L1208" s="1415"/>
      <c r="M1208" s="1415"/>
      <c r="N1208" s="1455"/>
    </row>
    <row r="1209" spans="2:14">
      <c r="B1209" s="1472"/>
      <c r="C1209" s="1466" t="s">
        <v>4488</v>
      </c>
      <c r="D1209" s="1467"/>
      <c r="E1209" s="1467"/>
      <c r="F1209" s="1468"/>
      <c r="G1209" s="1473"/>
      <c r="H1209" s="1463" t="s">
        <v>113</v>
      </c>
      <c r="I1209" s="1474">
        <v>1.5</v>
      </c>
      <c r="J1209" s="1439">
        <v>0</v>
      </c>
      <c r="K1209" s="1475">
        <f>I1209*J1209</f>
        <v>0</v>
      </c>
      <c r="L1209" s="1415"/>
      <c r="M1209" s="1415"/>
      <c r="N1209" s="1455"/>
    </row>
    <row r="1210" spans="2:14">
      <c r="B1210" s="1472"/>
      <c r="C1210" s="1466" t="s">
        <v>4485</v>
      </c>
      <c r="D1210" s="1467"/>
      <c r="E1210" s="1467"/>
      <c r="F1210" s="1468"/>
      <c r="G1210" s="1469"/>
      <c r="H1210" s="1463" t="s">
        <v>113</v>
      </c>
      <c r="I1210" s="1474">
        <v>1</v>
      </c>
      <c r="J1210" s="1439">
        <v>0</v>
      </c>
      <c r="K1210" s="1475">
        <f>I1210*J1210</f>
        <v>0</v>
      </c>
      <c r="L1210" s="1415"/>
      <c r="M1210" s="1415"/>
      <c r="N1210" s="1455"/>
    </row>
    <row r="1211" spans="2:14">
      <c r="B1211" s="1472"/>
      <c r="C1211" s="1476"/>
      <c r="D1211" s="1477"/>
      <c r="E1211" s="1477"/>
      <c r="F1211" s="1478"/>
      <c r="G1211" s="1469"/>
      <c r="H1211" s="1469"/>
      <c r="I1211" s="1474" t="s">
        <v>64</v>
      </c>
      <c r="J1211" s="1439"/>
      <c r="K1211" s="1471">
        <f>SUM(K1209:K1210)</f>
        <v>0</v>
      </c>
      <c r="L1211" s="1415"/>
      <c r="M1211" s="1415"/>
      <c r="N1211" s="1455"/>
    </row>
    <row r="1212" spans="2:14">
      <c r="B1212" s="1465" t="s">
        <v>65</v>
      </c>
      <c r="C1212" s="1466" t="s">
        <v>66</v>
      </c>
      <c r="D1212" s="1467"/>
      <c r="E1212" s="1467"/>
      <c r="F1212" s="1468"/>
      <c r="G1212" s="1469"/>
      <c r="H1212" s="1469"/>
      <c r="I1212" s="1470"/>
      <c r="J1212" s="1439">
        <v>0</v>
      </c>
      <c r="K1212" s="1471">
        <v>0</v>
      </c>
      <c r="L1212" s="1415"/>
      <c r="M1212" s="1415"/>
      <c r="N1212" s="1455"/>
    </row>
    <row r="1213" spans="2:14">
      <c r="B1213" s="1472"/>
      <c r="C1213" s="1476"/>
      <c r="D1213" s="1477"/>
      <c r="E1213" s="1477"/>
      <c r="F1213" s="1478"/>
      <c r="G1213" s="1469"/>
      <c r="H1213" s="1469"/>
      <c r="I1213" s="1474" t="s">
        <v>67</v>
      </c>
      <c r="J1213" s="1439"/>
      <c r="K1213" s="1471">
        <v>0</v>
      </c>
      <c r="L1213" s="1415"/>
      <c r="M1213" s="1415"/>
      <c r="N1213" s="1455"/>
    </row>
    <row r="1214" spans="2:14">
      <c r="B1214" s="1465" t="s">
        <v>68</v>
      </c>
      <c r="C1214" s="1466" t="s">
        <v>69</v>
      </c>
      <c r="D1214" s="1467"/>
      <c r="E1214" s="1467"/>
      <c r="F1214" s="1468"/>
      <c r="G1214" s="1469"/>
      <c r="H1214" s="1469"/>
      <c r="I1214" s="1470"/>
      <c r="J1214" s="1439">
        <v>0</v>
      </c>
      <c r="K1214" s="1471">
        <f>K1211+K1207</f>
        <v>0</v>
      </c>
      <c r="L1214" s="1415"/>
      <c r="M1214" s="1415"/>
      <c r="N1214" s="1455"/>
    </row>
    <row r="1215" spans="2:14">
      <c r="B1215" s="1465" t="s">
        <v>70</v>
      </c>
      <c r="C1215" s="1466" t="s">
        <v>4299</v>
      </c>
      <c r="D1215" s="1467"/>
      <c r="E1215" s="1467"/>
      <c r="F1215" s="1468"/>
      <c r="G1215" s="1469"/>
      <c r="H1215" s="1469"/>
      <c r="I1215" s="1447">
        <f>$K$917</f>
        <v>0.1</v>
      </c>
      <c r="J1215" s="1439"/>
      <c r="K1215" s="1471">
        <f>K1214*I1215</f>
        <v>0</v>
      </c>
      <c r="L1215" s="1415"/>
      <c r="M1215" s="1415"/>
      <c r="N1215" s="1455"/>
    </row>
    <row r="1216" spans="2:14" ht="13">
      <c r="B1216" s="1465" t="s">
        <v>71</v>
      </c>
      <c r="C1216" s="1466" t="s">
        <v>72</v>
      </c>
      <c r="D1216" s="1467"/>
      <c r="E1216" s="1467"/>
      <c r="F1216" s="1468"/>
      <c r="G1216" s="1469"/>
      <c r="H1216" s="1469"/>
      <c r="I1216" s="1470"/>
      <c r="J1216" s="1439">
        <v>0</v>
      </c>
      <c r="K1216" s="1479">
        <v>0</v>
      </c>
      <c r="L1216" s="1415"/>
      <c r="M1216" s="1415"/>
      <c r="N1216" s="1455"/>
    </row>
    <row r="1217" spans="2:14">
      <c r="B1217" s="1416"/>
      <c r="C1217" s="1415"/>
      <c r="D1217" s="1415"/>
      <c r="E1217" s="1415"/>
      <c r="F1217" s="1415"/>
      <c r="G1217" s="1415"/>
      <c r="H1217" s="1415"/>
      <c r="I1217" s="1415"/>
      <c r="J1217" s="1415"/>
      <c r="K1217" s="1415"/>
      <c r="L1217" s="1415"/>
      <c r="M1217" s="1415"/>
      <c r="N1217" s="1415"/>
    </row>
    <row r="1218" spans="2:14" ht="13">
      <c r="B1218" s="1453" t="s">
        <v>4489</v>
      </c>
      <c r="C1218" s="1454" t="s">
        <v>4490</v>
      </c>
      <c r="D1218" s="1454"/>
      <c r="E1218" s="1454"/>
      <c r="F1218" s="1454"/>
      <c r="G1218" s="1455"/>
      <c r="H1218" s="1415"/>
      <c r="I1218" s="1456"/>
      <c r="J1218" s="1456"/>
      <c r="K1218" s="1457"/>
      <c r="L1218" s="1423"/>
      <c r="M1218" s="1455"/>
      <c r="N1218" s="1455"/>
    </row>
    <row r="1219" spans="2:14" ht="25">
      <c r="B1219" s="1458" t="s">
        <v>40</v>
      </c>
      <c r="C1219" s="1459" t="s">
        <v>41</v>
      </c>
      <c r="D1219" s="1460"/>
      <c r="E1219" s="1460"/>
      <c r="F1219" s="1461"/>
      <c r="G1219" s="1462" t="s">
        <v>42</v>
      </c>
      <c r="H1219" s="1462" t="s">
        <v>43</v>
      </c>
      <c r="I1219" s="1463" t="s">
        <v>44</v>
      </c>
      <c r="J1219" s="1431" t="s">
        <v>474</v>
      </c>
      <c r="K1219" s="1464" t="s">
        <v>475</v>
      </c>
      <c r="L1219" s="1415"/>
      <c r="M1219" s="1415"/>
      <c r="N1219" s="1455"/>
    </row>
    <row r="1220" spans="2:14">
      <c r="B1220" s="1465" t="s">
        <v>45</v>
      </c>
      <c r="C1220" s="1466" t="s">
        <v>46</v>
      </c>
      <c r="D1220" s="1467"/>
      <c r="E1220" s="1467"/>
      <c r="F1220" s="1468"/>
      <c r="G1220" s="1469"/>
      <c r="H1220" s="1469"/>
      <c r="I1220" s="1470"/>
      <c r="J1220" s="1439"/>
      <c r="K1220" s="1471"/>
      <c r="L1220" s="1415"/>
      <c r="M1220" s="1415"/>
      <c r="N1220" s="1455"/>
    </row>
    <row r="1221" spans="2:14">
      <c r="B1221" s="1472"/>
      <c r="C1221" s="1466" t="s">
        <v>4302</v>
      </c>
      <c r="D1221" s="1467"/>
      <c r="E1221" s="1467"/>
      <c r="F1221" s="1468"/>
      <c r="G1221" s="1473" t="s">
        <v>4303</v>
      </c>
      <c r="H1221" s="1463" t="s">
        <v>48</v>
      </c>
      <c r="I1221" s="1474">
        <v>6.4000000000000001E-2</v>
      </c>
      <c r="J1221" s="1439">
        <f>J1203</f>
        <v>0</v>
      </c>
      <c r="K1221" s="1475">
        <f>I1221*J1221</f>
        <v>0</v>
      </c>
      <c r="L1221" s="1415"/>
      <c r="M1221" s="1415"/>
      <c r="N1221" s="1455"/>
    </row>
    <row r="1222" spans="2:14">
      <c r="B1222" s="1472"/>
      <c r="C1222" s="1466" t="str">
        <f>'[205]HARGA ME'!$B$13</f>
        <v xml:space="preserve">Tukang Pipa </v>
      </c>
      <c r="D1222" s="1467"/>
      <c r="E1222" s="1467"/>
      <c r="F1222" s="1468"/>
      <c r="G1222" s="1473" t="s">
        <v>4306</v>
      </c>
      <c r="H1222" s="1463" t="s">
        <v>48</v>
      </c>
      <c r="I1222" s="1474">
        <v>0.107</v>
      </c>
      <c r="J1222" s="1439">
        <f>J1204</f>
        <v>0</v>
      </c>
      <c r="K1222" s="1475">
        <f>I1222*J1222</f>
        <v>0</v>
      </c>
      <c r="L1222" s="1415"/>
      <c r="M1222" s="1415"/>
      <c r="N1222" s="1455"/>
    </row>
    <row r="1223" spans="2:14">
      <c r="B1223" s="1472"/>
      <c r="C1223" s="1466" t="str">
        <f>'[205]HARGA ME'!$B$9</f>
        <v>Kepala Tukang Pipa</v>
      </c>
      <c r="D1223" s="1467"/>
      <c r="E1223" s="1467"/>
      <c r="F1223" s="1468"/>
      <c r="G1223" s="1473" t="s">
        <v>4449</v>
      </c>
      <c r="H1223" s="1463" t="s">
        <v>48</v>
      </c>
      <c r="I1223" s="1474">
        <v>1.0999999999999999E-2</v>
      </c>
      <c r="J1223" s="1439">
        <f>J1205</f>
        <v>0</v>
      </c>
      <c r="K1223" s="1475">
        <f>I1223*J1223</f>
        <v>0</v>
      </c>
      <c r="L1223" s="1415"/>
      <c r="M1223" s="1415"/>
      <c r="N1223" s="1455"/>
    </row>
    <row r="1224" spans="2:14">
      <c r="B1224" s="1472"/>
      <c r="C1224" s="1466" t="s">
        <v>4308</v>
      </c>
      <c r="D1224" s="1467"/>
      <c r="E1224" s="1467"/>
      <c r="F1224" s="1468"/>
      <c r="G1224" s="1473" t="s">
        <v>4309</v>
      </c>
      <c r="H1224" s="1463" t="s">
        <v>48</v>
      </c>
      <c r="I1224" s="1474">
        <v>4.0000000000000001E-3</v>
      </c>
      <c r="J1224" s="1439">
        <f>J1206</f>
        <v>0</v>
      </c>
      <c r="K1224" s="1475">
        <f>I1224*J1224</f>
        <v>0</v>
      </c>
      <c r="L1224" s="1415"/>
      <c r="M1224" s="1415"/>
      <c r="N1224" s="1455"/>
    </row>
    <row r="1225" spans="2:14">
      <c r="B1225" s="1472"/>
      <c r="C1225" s="1476"/>
      <c r="D1225" s="1477"/>
      <c r="E1225" s="1477"/>
      <c r="F1225" s="1478"/>
      <c r="G1225" s="1469"/>
      <c r="H1225" s="1469"/>
      <c r="I1225" s="1474" t="s">
        <v>52</v>
      </c>
      <c r="J1225" s="1439"/>
      <c r="K1225" s="1471">
        <f>SUM(K1221:K1224)</f>
        <v>0</v>
      </c>
      <c r="L1225" s="1415"/>
      <c r="M1225" s="1415"/>
      <c r="N1225" s="1455"/>
    </row>
    <row r="1226" spans="2:14">
      <c r="B1226" s="1465" t="s">
        <v>53</v>
      </c>
      <c r="C1226" s="1466" t="s">
        <v>54</v>
      </c>
      <c r="D1226" s="1467"/>
      <c r="E1226" s="1467"/>
      <c r="F1226" s="1468"/>
      <c r="G1226" s="1469"/>
      <c r="H1226" s="1469"/>
      <c r="I1226" s="1470"/>
      <c r="J1226" s="1439"/>
      <c r="K1226" s="1471"/>
      <c r="L1226" s="1415"/>
      <c r="M1226" s="1415"/>
      <c r="N1226" s="1455"/>
    </row>
    <row r="1227" spans="2:14">
      <c r="B1227" s="1472"/>
      <c r="C1227" s="1466" t="s">
        <v>4491</v>
      </c>
      <c r="D1227" s="1467"/>
      <c r="E1227" s="1467"/>
      <c r="F1227" s="1468"/>
      <c r="G1227" s="1473"/>
      <c r="H1227" s="1463" t="s">
        <v>113</v>
      </c>
      <c r="I1227" s="1474">
        <v>1.5</v>
      </c>
      <c r="J1227" s="1439">
        <v>0</v>
      </c>
      <c r="K1227" s="1475">
        <f>I1227*J1227</f>
        <v>0</v>
      </c>
      <c r="L1227" s="1415"/>
      <c r="M1227" s="1415"/>
      <c r="N1227" s="1455"/>
    </row>
    <row r="1228" spans="2:14">
      <c r="B1228" s="1472"/>
      <c r="C1228" s="1466" t="s">
        <v>4485</v>
      </c>
      <c r="D1228" s="1467"/>
      <c r="E1228" s="1467"/>
      <c r="F1228" s="1468"/>
      <c r="G1228" s="1469"/>
      <c r="H1228" s="1463" t="s">
        <v>113</v>
      </c>
      <c r="I1228" s="1474">
        <v>1</v>
      </c>
      <c r="J1228" s="1439">
        <v>0</v>
      </c>
      <c r="K1228" s="1475">
        <f>I1228*J1228</f>
        <v>0</v>
      </c>
      <c r="L1228" s="1415"/>
      <c r="M1228" s="1415"/>
      <c r="N1228" s="1455"/>
    </row>
    <row r="1229" spans="2:14">
      <c r="B1229" s="1472"/>
      <c r="C1229" s="1476"/>
      <c r="D1229" s="1477"/>
      <c r="E1229" s="1477"/>
      <c r="F1229" s="1478"/>
      <c r="G1229" s="1469"/>
      <c r="H1229" s="1469"/>
      <c r="I1229" s="1474" t="s">
        <v>64</v>
      </c>
      <c r="J1229" s="1439"/>
      <c r="K1229" s="1471">
        <f>SUM(K1227:K1228)</f>
        <v>0</v>
      </c>
      <c r="L1229" s="1415"/>
      <c r="M1229" s="1415"/>
      <c r="N1229" s="1455"/>
    </row>
    <row r="1230" spans="2:14">
      <c r="B1230" s="1465" t="s">
        <v>65</v>
      </c>
      <c r="C1230" s="1466" t="s">
        <v>66</v>
      </c>
      <c r="D1230" s="1467"/>
      <c r="E1230" s="1467"/>
      <c r="F1230" s="1468"/>
      <c r="G1230" s="1469"/>
      <c r="H1230" s="1469"/>
      <c r="I1230" s="1470"/>
      <c r="J1230" s="1439">
        <v>0</v>
      </c>
      <c r="K1230" s="1471">
        <v>0</v>
      </c>
      <c r="L1230" s="1415"/>
      <c r="M1230" s="1415"/>
      <c r="N1230" s="1455"/>
    </row>
    <row r="1231" spans="2:14">
      <c r="B1231" s="1472"/>
      <c r="C1231" s="1476"/>
      <c r="D1231" s="1477"/>
      <c r="E1231" s="1477"/>
      <c r="F1231" s="1478"/>
      <c r="G1231" s="1469"/>
      <c r="H1231" s="1469"/>
      <c r="I1231" s="1474" t="s">
        <v>67</v>
      </c>
      <c r="J1231" s="1439"/>
      <c r="K1231" s="1471">
        <v>0</v>
      </c>
      <c r="L1231" s="1415"/>
      <c r="M1231" s="1415"/>
      <c r="N1231" s="1455"/>
    </row>
    <row r="1232" spans="2:14">
      <c r="B1232" s="1465" t="s">
        <v>68</v>
      </c>
      <c r="C1232" s="1466" t="s">
        <v>69</v>
      </c>
      <c r="D1232" s="1467"/>
      <c r="E1232" s="1467"/>
      <c r="F1232" s="1468"/>
      <c r="G1232" s="1469"/>
      <c r="H1232" s="1469"/>
      <c r="I1232" s="1470"/>
      <c r="J1232" s="1439">
        <v>0</v>
      </c>
      <c r="K1232" s="1471">
        <f>K1229+K1225</f>
        <v>0</v>
      </c>
      <c r="L1232" s="1415"/>
      <c r="M1232" s="1415"/>
      <c r="N1232" s="1455"/>
    </row>
    <row r="1233" spans="2:14">
      <c r="B1233" s="1465" t="s">
        <v>70</v>
      </c>
      <c r="C1233" s="1466" t="s">
        <v>4299</v>
      </c>
      <c r="D1233" s="1467"/>
      <c r="E1233" s="1467"/>
      <c r="F1233" s="1468"/>
      <c r="G1233" s="1469"/>
      <c r="H1233" s="1469"/>
      <c r="I1233" s="1447">
        <f>$K$917</f>
        <v>0.1</v>
      </c>
      <c r="J1233" s="1439"/>
      <c r="K1233" s="1471">
        <f>K1232*I1233</f>
        <v>0</v>
      </c>
      <c r="L1233" s="1415"/>
      <c r="M1233" s="1415"/>
      <c r="N1233" s="1455"/>
    </row>
    <row r="1234" spans="2:14" ht="13">
      <c r="B1234" s="1465" t="s">
        <v>71</v>
      </c>
      <c r="C1234" s="1466" t="s">
        <v>72</v>
      </c>
      <c r="D1234" s="1467"/>
      <c r="E1234" s="1467"/>
      <c r="F1234" s="1468"/>
      <c r="G1234" s="1469"/>
      <c r="H1234" s="1469"/>
      <c r="I1234" s="1470"/>
      <c r="J1234" s="1439">
        <v>0</v>
      </c>
      <c r="K1234" s="1479">
        <v>0</v>
      </c>
      <c r="L1234" s="1415"/>
      <c r="M1234" s="1415"/>
      <c r="N1234" s="1455"/>
    </row>
    <row r="1235" spans="2:14">
      <c r="B1235" s="1416"/>
      <c r="C1235" s="1415"/>
      <c r="D1235" s="1415"/>
      <c r="E1235" s="1415"/>
      <c r="F1235" s="1415"/>
      <c r="G1235" s="1415"/>
      <c r="H1235" s="1415"/>
      <c r="I1235" s="1415"/>
      <c r="J1235" s="1415"/>
      <c r="K1235" s="1415"/>
      <c r="L1235" s="1415"/>
      <c r="M1235" s="1415"/>
      <c r="N1235" s="1415"/>
    </row>
    <row r="1236" spans="2:14" ht="13">
      <c r="B1236" s="1453" t="s">
        <v>4492</v>
      </c>
      <c r="C1236" s="1454" t="s">
        <v>4493</v>
      </c>
      <c r="D1236" s="1454"/>
      <c r="E1236" s="1454"/>
      <c r="F1236" s="1454"/>
      <c r="G1236" s="1455"/>
      <c r="H1236" s="1415"/>
      <c r="I1236" s="1456"/>
      <c r="J1236" s="1456"/>
      <c r="K1236" s="1457"/>
      <c r="L1236" s="1423"/>
      <c r="M1236" s="1455"/>
      <c r="N1236" s="1455"/>
    </row>
    <row r="1237" spans="2:14" ht="25">
      <c r="B1237" s="1458" t="s">
        <v>40</v>
      </c>
      <c r="C1237" s="1459" t="s">
        <v>41</v>
      </c>
      <c r="D1237" s="1460"/>
      <c r="E1237" s="1460"/>
      <c r="F1237" s="1461"/>
      <c r="G1237" s="1462" t="s">
        <v>42</v>
      </c>
      <c r="H1237" s="1462" t="s">
        <v>43</v>
      </c>
      <c r="I1237" s="1463" t="s">
        <v>44</v>
      </c>
      <c r="J1237" s="1431" t="s">
        <v>474</v>
      </c>
      <c r="K1237" s="1464" t="s">
        <v>475</v>
      </c>
      <c r="L1237" s="1415"/>
      <c r="M1237" s="1415"/>
      <c r="N1237" s="1455"/>
    </row>
    <row r="1238" spans="2:14">
      <c r="B1238" s="1465" t="s">
        <v>45</v>
      </c>
      <c r="C1238" s="1466" t="s">
        <v>46</v>
      </c>
      <c r="D1238" s="1467"/>
      <c r="E1238" s="1467"/>
      <c r="F1238" s="1468"/>
      <c r="G1238" s="1469"/>
      <c r="H1238" s="1469"/>
      <c r="I1238" s="1470"/>
      <c r="J1238" s="1439"/>
      <c r="K1238" s="1471"/>
      <c r="L1238" s="1415"/>
      <c r="M1238" s="1415"/>
      <c r="N1238" s="1455"/>
    </row>
    <row r="1239" spans="2:14">
      <c r="B1239" s="1472"/>
      <c r="C1239" s="1466" t="s">
        <v>4302</v>
      </c>
      <c r="D1239" s="1467"/>
      <c r="E1239" s="1467"/>
      <c r="F1239" s="1468"/>
      <c r="G1239" s="1473" t="s">
        <v>4303</v>
      </c>
      <c r="H1239" s="1463" t="s">
        <v>48</v>
      </c>
      <c r="I1239" s="1474">
        <v>8.1000000000000003E-2</v>
      </c>
      <c r="J1239" s="1439">
        <f>J1221</f>
        <v>0</v>
      </c>
      <c r="K1239" s="1475">
        <f>I1239*J1239</f>
        <v>0</v>
      </c>
      <c r="L1239" s="1415"/>
      <c r="M1239" s="1415"/>
      <c r="N1239" s="1455"/>
    </row>
    <row r="1240" spans="2:14">
      <c r="B1240" s="1472"/>
      <c r="C1240" s="1466" t="str">
        <f>'[205]HARGA ME'!$B$13</f>
        <v xml:space="preserve">Tukang Pipa </v>
      </c>
      <c r="D1240" s="1467"/>
      <c r="E1240" s="1467"/>
      <c r="F1240" s="1468"/>
      <c r="G1240" s="1473" t="s">
        <v>4306</v>
      </c>
      <c r="H1240" s="1463" t="s">
        <v>48</v>
      </c>
      <c r="I1240" s="1474">
        <v>0.13500000000000001</v>
      </c>
      <c r="J1240" s="1439">
        <f>J1222</f>
        <v>0</v>
      </c>
      <c r="K1240" s="1475">
        <f>I1240*J1240</f>
        <v>0</v>
      </c>
      <c r="L1240" s="1415"/>
      <c r="M1240" s="1415"/>
      <c r="N1240" s="1455"/>
    </row>
    <row r="1241" spans="2:14">
      <c r="B1241" s="1472"/>
      <c r="C1241" s="1466" t="str">
        <f>'[205]HARGA ME'!$B$9</f>
        <v>Kepala Tukang Pipa</v>
      </c>
      <c r="D1241" s="1467"/>
      <c r="E1241" s="1467"/>
      <c r="F1241" s="1468"/>
      <c r="G1241" s="1473" t="s">
        <v>4449</v>
      </c>
      <c r="H1241" s="1463" t="s">
        <v>48</v>
      </c>
      <c r="I1241" s="1474">
        <v>1.4E-2</v>
      </c>
      <c r="J1241" s="1439">
        <f>J1223</f>
        <v>0</v>
      </c>
      <c r="K1241" s="1475">
        <f>I1241*J1241</f>
        <v>0</v>
      </c>
      <c r="L1241" s="1415"/>
      <c r="M1241" s="1415"/>
      <c r="N1241" s="1455"/>
    </row>
    <row r="1242" spans="2:14">
      <c r="B1242" s="1472"/>
      <c r="C1242" s="1466" t="s">
        <v>4308</v>
      </c>
      <c r="D1242" s="1467"/>
      <c r="E1242" s="1467"/>
      <c r="F1242" s="1468"/>
      <c r="G1242" s="1473" t="s">
        <v>4309</v>
      </c>
      <c r="H1242" s="1463" t="s">
        <v>48</v>
      </c>
      <c r="I1242" s="1474">
        <v>5.0000000000000001E-3</v>
      </c>
      <c r="J1242" s="1439">
        <f>J1224</f>
        <v>0</v>
      </c>
      <c r="K1242" s="1475">
        <f>I1242*J1242</f>
        <v>0</v>
      </c>
      <c r="L1242" s="1415"/>
      <c r="M1242" s="1415"/>
      <c r="N1242" s="1455"/>
    </row>
    <row r="1243" spans="2:14">
      <c r="B1243" s="1472"/>
      <c r="C1243" s="1476"/>
      <c r="D1243" s="1477"/>
      <c r="E1243" s="1477"/>
      <c r="F1243" s="1478"/>
      <c r="G1243" s="1469"/>
      <c r="H1243" s="1469"/>
      <c r="I1243" s="1474" t="s">
        <v>52</v>
      </c>
      <c r="J1243" s="1439"/>
      <c r="K1243" s="1471">
        <f>SUM(K1239:K1242)</f>
        <v>0</v>
      </c>
      <c r="L1243" s="1415"/>
      <c r="M1243" s="1415"/>
      <c r="N1243" s="1455"/>
    </row>
    <row r="1244" spans="2:14">
      <c r="B1244" s="1465" t="s">
        <v>53</v>
      </c>
      <c r="C1244" s="1466" t="s">
        <v>54</v>
      </c>
      <c r="D1244" s="1467"/>
      <c r="E1244" s="1467"/>
      <c r="F1244" s="1468"/>
      <c r="G1244" s="1469"/>
      <c r="H1244" s="1469"/>
      <c r="I1244" s="1470"/>
      <c r="J1244" s="1439"/>
      <c r="K1244" s="1471"/>
      <c r="L1244" s="1415"/>
      <c r="M1244" s="1415"/>
      <c r="N1244" s="1455"/>
    </row>
    <row r="1245" spans="2:14">
      <c r="B1245" s="1472"/>
      <c r="C1245" s="1466" t="s">
        <v>4494</v>
      </c>
      <c r="D1245" s="1467"/>
      <c r="E1245" s="1467"/>
      <c r="F1245" s="1468"/>
      <c r="G1245" s="1473"/>
      <c r="H1245" s="1463" t="s">
        <v>113</v>
      </c>
      <c r="I1245" s="1474">
        <v>1.5</v>
      </c>
      <c r="J1245" s="1439">
        <v>0</v>
      </c>
      <c r="K1245" s="1475">
        <f>I1245*J1245</f>
        <v>0</v>
      </c>
      <c r="L1245" s="1415"/>
      <c r="M1245" s="1415"/>
      <c r="N1245" s="1455"/>
    </row>
    <row r="1246" spans="2:14">
      <c r="B1246" s="1472"/>
      <c r="C1246" s="1466" t="s">
        <v>4485</v>
      </c>
      <c r="D1246" s="1467"/>
      <c r="E1246" s="1467"/>
      <c r="F1246" s="1468"/>
      <c r="G1246" s="1469"/>
      <c r="H1246" s="1463" t="s">
        <v>113</v>
      </c>
      <c r="I1246" s="1474">
        <v>1</v>
      </c>
      <c r="J1246" s="1439">
        <v>0</v>
      </c>
      <c r="K1246" s="1475">
        <f>I1246*J1246</f>
        <v>0</v>
      </c>
      <c r="L1246" s="1415"/>
      <c r="M1246" s="1415"/>
      <c r="N1246" s="1455"/>
    </row>
    <row r="1247" spans="2:14">
      <c r="B1247" s="1472"/>
      <c r="C1247" s="1476"/>
      <c r="D1247" s="1477"/>
      <c r="E1247" s="1477"/>
      <c r="F1247" s="1478"/>
      <c r="G1247" s="1469"/>
      <c r="H1247" s="1469"/>
      <c r="I1247" s="1474" t="s">
        <v>64</v>
      </c>
      <c r="J1247" s="1439"/>
      <c r="K1247" s="1471">
        <f>SUM(K1245:K1246)</f>
        <v>0</v>
      </c>
      <c r="L1247" s="1415"/>
      <c r="M1247" s="1415"/>
      <c r="N1247" s="1455"/>
    </row>
    <row r="1248" spans="2:14">
      <c r="B1248" s="1465" t="s">
        <v>65</v>
      </c>
      <c r="C1248" s="1466" t="s">
        <v>66</v>
      </c>
      <c r="D1248" s="1467"/>
      <c r="E1248" s="1467"/>
      <c r="F1248" s="1468"/>
      <c r="G1248" s="1469"/>
      <c r="H1248" s="1469"/>
      <c r="I1248" s="1470"/>
      <c r="J1248" s="1439">
        <v>0</v>
      </c>
      <c r="K1248" s="1471">
        <v>0</v>
      </c>
      <c r="L1248" s="1415"/>
      <c r="M1248" s="1415"/>
      <c r="N1248" s="1455"/>
    </row>
    <row r="1249" spans="2:14">
      <c r="B1249" s="1472"/>
      <c r="C1249" s="1476"/>
      <c r="D1249" s="1477"/>
      <c r="E1249" s="1477"/>
      <c r="F1249" s="1478"/>
      <c r="G1249" s="1469"/>
      <c r="H1249" s="1469"/>
      <c r="I1249" s="1474" t="s">
        <v>67</v>
      </c>
      <c r="J1249" s="1439"/>
      <c r="K1249" s="1471">
        <v>0</v>
      </c>
      <c r="L1249" s="1415"/>
      <c r="M1249" s="1415"/>
      <c r="N1249" s="1455"/>
    </row>
    <row r="1250" spans="2:14">
      <c r="B1250" s="1465" t="s">
        <v>68</v>
      </c>
      <c r="C1250" s="1466" t="s">
        <v>69</v>
      </c>
      <c r="D1250" s="1467"/>
      <c r="E1250" s="1467"/>
      <c r="F1250" s="1468"/>
      <c r="G1250" s="1469"/>
      <c r="H1250" s="1469"/>
      <c r="I1250" s="1470"/>
      <c r="J1250" s="1439">
        <v>0</v>
      </c>
      <c r="K1250" s="1471">
        <f>K1247+K1243</f>
        <v>0</v>
      </c>
      <c r="L1250" s="1415"/>
      <c r="M1250" s="1415"/>
      <c r="N1250" s="1455"/>
    </row>
    <row r="1251" spans="2:14">
      <c r="B1251" s="1465" t="s">
        <v>70</v>
      </c>
      <c r="C1251" s="1466" t="s">
        <v>4299</v>
      </c>
      <c r="D1251" s="1467"/>
      <c r="E1251" s="1467"/>
      <c r="F1251" s="1468"/>
      <c r="G1251" s="1469"/>
      <c r="H1251" s="1469"/>
      <c r="I1251" s="1447">
        <f>$K$917</f>
        <v>0.1</v>
      </c>
      <c r="J1251" s="1439"/>
      <c r="K1251" s="1471">
        <f>K1250*I1251</f>
        <v>0</v>
      </c>
      <c r="L1251" s="1415"/>
      <c r="M1251" s="1415"/>
      <c r="N1251" s="1455"/>
    </row>
    <row r="1252" spans="2:14" ht="13">
      <c r="B1252" s="1465" t="s">
        <v>71</v>
      </c>
      <c r="C1252" s="1466" t="s">
        <v>72</v>
      </c>
      <c r="D1252" s="1467"/>
      <c r="E1252" s="1467"/>
      <c r="F1252" s="1468"/>
      <c r="G1252" s="1469"/>
      <c r="H1252" s="1469"/>
      <c r="I1252" s="1470"/>
      <c r="J1252" s="1439">
        <v>0</v>
      </c>
      <c r="K1252" s="1479">
        <v>0</v>
      </c>
      <c r="L1252" s="1415"/>
      <c r="M1252" s="1415"/>
      <c r="N1252" s="1455"/>
    </row>
    <row r="1253" spans="2:14" ht="13">
      <c r="B1253" s="1500"/>
      <c r="C1253" s="1501"/>
      <c r="D1253" s="1501"/>
      <c r="E1253" s="1501"/>
      <c r="F1253" s="1501"/>
      <c r="G1253" s="1502"/>
      <c r="H1253" s="1502"/>
      <c r="I1253" s="1503"/>
      <c r="J1253" s="1504"/>
      <c r="K1253" s="1505"/>
      <c r="L1253" s="1415"/>
      <c r="M1253" s="1415"/>
      <c r="N1253" s="1455"/>
    </row>
    <row r="1254" spans="2:14" ht="13">
      <c r="B1254" s="1453" t="s">
        <v>4495</v>
      </c>
      <c r="C1254" s="1454" t="s">
        <v>4496</v>
      </c>
      <c r="D1254" s="1454"/>
      <c r="E1254" s="1454"/>
      <c r="F1254" s="1454"/>
      <c r="G1254" s="1455"/>
      <c r="H1254" s="1415"/>
      <c r="I1254" s="1456"/>
      <c r="J1254" s="1456"/>
      <c r="K1254" s="1457"/>
      <c r="L1254" s="1423"/>
      <c r="M1254" s="1455"/>
      <c r="N1254" s="1455"/>
    </row>
    <row r="1255" spans="2:14" ht="25">
      <c r="B1255" s="1458" t="s">
        <v>40</v>
      </c>
      <c r="C1255" s="1459" t="s">
        <v>41</v>
      </c>
      <c r="D1255" s="1460"/>
      <c r="E1255" s="1460"/>
      <c r="F1255" s="1461"/>
      <c r="G1255" s="1462" t="s">
        <v>42</v>
      </c>
      <c r="H1255" s="1462" t="s">
        <v>43</v>
      </c>
      <c r="I1255" s="1463" t="s">
        <v>44</v>
      </c>
      <c r="J1255" s="1431" t="s">
        <v>474</v>
      </c>
      <c r="K1255" s="1464" t="s">
        <v>475</v>
      </c>
      <c r="L1255" s="1415"/>
      <c r="M1255" s="1415"/>
      <c r="N1255" s="1455"/>
    </row>
    <row r="1256" spans="2:14">
      <c r="B1256" s="1465" t="s">
        <v>45</v>
      </c>
      <c r="C1256" s="1466" t="s">
        <v>46</v>
      </c>
      <c r="D1256" s="1467"/>
      <c r="E1256" s="1467"/>
      <c r="F1256" s="1468"/>
      <c r="G1256" s="1469"/>
      <c r="H1256" s="1469"/>
      <c r="I1256" s="1470"/>
      <c r="J1256" s="1439"/>
      <c r="K1256" s="1471"/>
      <c r="L1256" s="1415"/>
      <c r="M1256" s="1415"/>
      <c r="N1256" s="1455"/>
    </row>
    <row r="1257" spans="2:14">
      <c r="B1257" s="1472"/>
      <c r="C1257" s="1466" t="s">
        <v>4302</v>
      </c>
      <c r="D1257" s="1467"/>
      <c r="E1257" s="1467"/>
      <c r="F1257" s="1468"/>
      <c r="G1257" s="1473" t="s">
        <v>4303</v>
      </c>
      <c r="H1257" s="1463" t="s">
        <v>48</v>
      </c>
      <c r="I1257" s="1474">
        <v>9.5000000000000001E-2</v>
      </c>
      <c r="J1257" s="1439">
        <f>J1239</f>
        <v>0</v>
      </c>
      <c r="K1257" s="1475">
        <f>I1257*J1257</f>
        <v>0</v>
      </c>
      <c r="L1257" s="1415"/>
      <c r="M1257" s="1415"/>
      <c r="N1257" s="1455"/>
    </row>
    <row r="1258" spans="2:14">
      <c r="B1258" s="1472"/>
      <c r="C1258" s="1466" t="str">
        <f>'[205]HARGA ME'!$B$13</f>
        <v xml:space="preserve">Tukang Pipa </v>
      </c>
      <c r="D1258" s="1467"/>
      <c r="E1258" s="1467"/>
      <c r="F1258" s="1468"/>
      <c r="G1258" s="1473" t="s">
        <v>4306</v>
      </c>
      <c r="H1258" s="1463" t="s">
        <v>48</v>
      </c>
      <c r="I1258" s="1474">
        <v>1.5900000000000001E-2</v>
      </c>
      <c r="J1258" s="1439">
        <f>J1240</f>
        <v>0</v>
      </c>
      <c r="K1258" s="1475">
        <f>I1258*J1258</f>
        <v>0</v>
      </c>
      <c r="L1258" s="1415"/>
      <c r="M1258" s="1415"/>
      <c r="N1258" s="1455"/>
    </row>
    <row r="1259" spans="2:14">
      <c r="B1259" s="1472"/>
      <c r="C1259" s="1466" t="str">
        <f>'[205]HARGA ME'!$B$9</f>
        <v>Kepala Tukang Pipa</v>
      </c>
      <c r="D1259" s="1467"/>
      <c r="E1259" s="1467"/>
      <c r="F1259" s="1468"/>
      <c r="G1259" s="1473" t="s">
        <v>4449</v>
      </c>
      <c r="H1259" s="1463" t="s">
        <v>48</v>
      </c>
      <c r="I1259" s="1474">
        <v>1.6E-2</v>
      </c>
      <c r="J1259" s="1439">
        <f>J1241</f>
        <v>0</v>
      </c>
      <c r="K1259" s="1475">
        <f>I1259*J1259</f>
        <v>0</v>
      </c>
      <c r="L1259" s="1415"/>
      <c r="M1259" s="1415"/>
      <c r="N1259" s="1455"/>
    </row>
    <row r="1260" spans="2:14">
      <c r="B1260" s="1472"/>
      <c r="C1260" s="1466" t="s">
        <v>4308</v>
      </c>
      <c r="D1260" s="1467"/>
      <c r="E1260" s="1467"/>
      <c r="F1260" s="1468"/>
      <c r="G1260" s="1473" t="s">
        <v>4309</v>
      </c>
      <c r="H1260" s="1463" t="s">
        <v>48</v>
      </c>
      <c r="I1260" s="1474">
        <v>5.0000000000000001E-3</v>
      </c>
      <c r="J1260" s="1439">
        <f>J1242</f>
        <v>0</v>
      </c>
      <c r="K1260" s="1475">
        <f>I1260*J1260</f>
        <v>0</v>
      </c>
      <c r="L1260" s="1415"/>
      <c r="M1260" s="1415"/>
      <c r="N1260" s="1455"/>
    </row>
    <row r="1261" spans="2:14">
      <c r="B1261" s="1472"/>
      <c r="C1261" s="1476"/>
      <c r="D1261" s="1477"/>
      <c r="E1261" s="1477"/>
      <c r="F1261" s="1478"/>
      <c r="G1261" s="1469"/>
      <c r="H1261" s="1469"/>
      <c r="I1261" s="1474" t="s">
        <v>52</v>
      </c>
      <c r="J1261" s="1439"/>
      <c r="K1261" s="1471">
        <f>SUM(K1257:K1260)</f>
        <v>0</v>
      </c>
      <c r="L1261" s="1415"/>
      <c r="M1261" s="1415"/>
      <c r="N1261" s="1455"/>
    </row>
    <row r="1262" spans="2:14">
      <c r="B1262" s="1465" t="s">
        <v>53</v>
      </c>
      <c r="C1262" s="1466" t="s">
        <v>54</v>
      </c>
      <c r="D1262" s="1467"/>
      <c r="E1262" s="1467"/>
      <c r="F1262" s="1468"/>
      <c r="G1262" s="1469"/>
      <c r="H1262" s="1469"/>
      <c r="I1262" s="1470"/>
      <c r="J1262" s="1439"/>
      <c r="K1262" s="1471"/>
      <c r="L1262" s="1415"/>
      <c r="M1262" s="1415"/>
      <c r="N1262" s="1455"/>
    </row>
    <row r="1263" spans="2:14">
      <c r="B1263" s="1472"/>
      <c r="C1263" s="1466" t="s">
        <v>4497</v>
      </c>
      <c r="D1263" s="1467"/>
      <c r="E1263" s="1467"/>
      <c r="F1263" s="1468"/>
      <c r="G1263" s="1473"/>
      <c r="H1263" s="1463" t="s">
        <v>113</v>
      </c>
      <c r="I1263" s="1474">
        <v>1.5</v>
      </c>
      <c r="J1263" s="1439">
        <v>0</v>
      </c>
      <c r="K1263" s="1475">
        <f>I1263*J1263</f>
        <v>0</v>
      </c>
      <c r="L1263" s="1415"/>
      <c r="M1263" s="1415"/>
      <c r="N1263" s="1455"/>
    </row>
    <row r="1264" spans="2:14">
      <c r="B1264" s="1472"/>
      <c r="C1264" s="1466" t="s">
        <v>4485</v>
      </c>
      <c r="D1264" s="1467"/>
      <c r="E1264" s="1467"/>
      <c r="F1264" s="1468"/>
      <c r="G1264" s="1469"/>
      <c r="H1264" s="1463" t="s">
        <v>113</v>
      </c>
      <c r="I1264" s="1474">
        <v>1</v>
      </c>
      <c r="J1264" s="1439">
        <v>0</v>
      </c>
      <c r="K1264" s="1475">
        <f>I1264*J1264</f>
        <v>0</v>
      </c>
      <c r="L1264" s="1415"/>
      <c r="M1264" s="1415"/>
      <c r="N1264" s="1455"/>
    </row>
    <row r="1265" spans="2:14">
      <c r="B1265" s="1472"/>
      <c r="C1265" s="1476"/>
      <c r="D1265" s="1477"/>
      <c r="E1265" s="1477"/>
      <c r="F1265" s="1478"/>
      <c r="G1265" s="1469"/>
      <c r="H1265" s="1469"/>
      <c r="I1265" s="1474" t="s">
        <v>64</v>
      </c>
      <c r="J1265" s="1439"/>
      <c r="K1265" s="1471">
        <f>SUM(K1263:K1264)</f>
        <v>0</v>
      </c>
      <c r="L1265" s="1415"/>
      <c r="M1265" s="1415"/>
      <c r="N1265" s="1455"/>
    </row>
    <row r="1266" spans="2:14">
      <c r="B1266" s="1465" t="s">
        <v>65</v>
      </c>
      <c r="C1266" s="1466" t="s">
        <v>66</v>
      </c>
      <c r="D1266" s="1467"/>
      <c r="E1266" s="1467"/>
      <c r="F1266" s="1468"/>
      <c r="G1266" s="1469"/>
      <c r="H1266" s="1469"/>
      <c r="I1266" s="1470"/>
      <c r="J1266" s="1439">
        <v>0</v>
      </c>
      <c r="K1266" s="1471">
        <v>0</v>
      </c>
      <c r="L1266" s="1415"/>
      <c r="M1266" s="1415"/>
      <c r="N1266" s="1455"/>
    </row>
    <row r="1267" spans="2:14">
      <c r="B1267" s="1472"/>
      <c r="C1267" s="1476"/>
      <c r="D1267" s="1477"/>
      <c r="E1267" s="1477"/>
      <c r="F1267" s="1478"/>
      <c r="G1267" s="1469"/>
      <c r="H1267" s="1469"/>
      <c r="I1267" s="1474" t="s">
        <v>67</v>
      </c>
      <c r="J1267" s="1439"/>
      <c r="K1267" s="1471">
        <v>0</v>
      </c>
      <c r="L1267" s="1415"/>
      <c r="M1267" s="1415"/>
      <c r="N1267" s="1455"/>
    </row>
    <row r="1268" spans="2:14">
      <c r="B1268" s="1465" t="s">
        <v>68</v>
      </c>
      <c r="C1268" s="1466" t="s">
        <v>69</v>
      </c>
      <c r="D1268" s="1467"/>
      <c r="E1268" s="1467"/>
      <c r="F1268" s="1468"/>
      <c r="G1268" s="1469"/>
      <c r="H1268" s="1469"/>
      <c r="I1268" s="1470"/>
      <c r="J1268" s="1439">
        <v>0</v>
      </c>
      <c r="K1268" s="1471">
        <f>K1265+K1261</f>
        <v>0</v>
      </c>
      <c r="L1268" s="1415"/>
      <c r="M1268" s="1415"/>
      <c r="N1268" s="1455"/>
    </row>
    <row r="1269" spans="2:14">
      <c r="B1269" s="1465" t="s">
        <v>70</v>
      </c>
      <c r="C1269" s="1466" t="s">
        <v>4299</v>
      </c>
      <c r="D1269" s="1467"/>
      <c r="E1269" s="1467"/>
      <c r="F1269" s="1468"/>
      <c r="G1269" s="1469"/>
      <c r="H1269" s="1469"/>
      <c r="I1269" s="1447">
        <f>$K$917</f>
        <v>0.1</v>
      </c>
      <c r="J1269" s="1439"/>
      <c r="K1269" s="1471">
        <f>K1268*I1269</f>
        <v>0</v>
      </c>
      <c r="L1269" s="1415"/>
      <c r="M1269" s="1415"/>
      <c r="N1269" s="1455"/>
    </row>
    <row r="1270" spans="2:14" ht="13">
      <c r="B1270" s="1465" t="s">
        <v>71</v>
      </c>
      <c r="C1270" s="1466" t="s">
        <v>72</v>
      </c>
      <c r="D1270" s="1467"/>
      <c r="E1270" s="1467"/>
      <c r="F1270" s="1468"/>
      <c r="G1270" s="1469"/>
      <c r="H1270" s="1469"/>
      <c r="I1270" s="1470"/>
      <c r="J1270" s="1439">
        <v>0</v>
      </c>
      <c r="K1270" s="1479">
        <v>0</v>
      </c>
      <c r="L1270" s="1415"/>
      <c r="M1270" s="1415"/>
      <c r="N1270" s="1455"/>
    </row>
    <row r="1271" spans="2:14" ht="13">
      <c r="B1271" s="1500"/>
      <c r="C1271" s="1501"/>
      <c r="D1271" s="1501"/>
      <c r="E1271" s="1501"/>
      <c r="F1271" s="1501"/>
      <c r="G1271" s="1502"/>
      <c r="H1271" s="1502"/>
      <c r="I1271" s="1503"/>
      <c r="J1271" s="1504"/>
      <c r="K1271" s="1505"/>
      <c r="L1271" s="1415"/>
      <c r="M1271" s="1415"/>
      <c r="N1271" s="1455"/>
    </row>
    <row r="1272" spans="2:14" ht="13">
      <c r="B1272" s="1453" t="s">
        <v>4498</v>
      </c>
      <c r="C1272" s="1454" t="s">
        <v>4499</v>
      </c>
      <c r="D1272" s="1454"/>
      <c r="E1272" s="1454"/>
      <c r="F1272" s="1454"/>
      <c r="G1272" s="1455"/>
      <c r="H1272" s="1415"/>
      <c r="I1272" s="1456"/>
      <c r="J1272" s="1456"/>
      <c r="K1272" s="1457"/>
      <c r="L1272" s="1423"/>
      <c r="M1272" s="1455"/>
      <c r="N1272" s="1455"/>
    </row>
    <row r="1273" spans="2:14" ht="25">
      <c r="B1273" s="1458" t="s">
        <v>40</v>
      </c>
      <c r="C1273" s="1459" t="s">
        <v>41</v>
      </c>
      <c r="D1273" s="1460"/>
      <c r="E1273" s="1460"/>
      <c r="F1273" s="1461"/>
      <c r="G1273" s="1462" t="s">
        <v>42</v>
      </c>
      <c r="H1273" s="1462" t="s">
        <v>43</v>
      </c>
      <c r="I1273" s="1463" t="s">
        <v>44</v>
      </c>
      <c r="J1273" s="1431" t="s">
        <v>474</v>
      </c>
      <c r="K1273" s="1464" t="s">
        <v>475</v>
      </c>
      <c r="L1273" s="1415"/>
      <c r="M1273" s="1415"/>
      <c r="N1273" s="1455"/>
    </row>
    <row r="1274" spans="2:14">
      <c r="B1274" s="1465" t="s">
        <v>45</v>
      </c>
      <c r="C1274" s="1466" t="s">
        <v>46</v>
      </c>
      <c r="D1274" s="1467"/>
      <c r="E1274" s="1467"/>
      <c r="F1274" s="1468"/>
      <c r="G1274" s="1469"/>
      <c r="H1274" s="1469"/>
      <c r="I1274" s="1470"/>
      <c r="J1274" s="1439"/>
      <c r="K1274" s="1471"/>
      <c r="L1274" s="1415"/>
      <c r="M1274" s="1415"/>
      <c r="N1274" s="1455"/>
    </row>
    <row r="1275" spans="2:14">
      <c r="B1275" s="1472"/>
      <c r="C1275" s="1466" t="s">
        <v>4302</v>
      </c>
      <c r="D1275" s="1467"/>
      <c r="E1275" s="1467"/>
      <c r="F1275" s="1468"/>
      <c r="G1275" s="1473" t="s">
        <v>4303</v>
      </c>
      <c r="H1275" s="1463" t="s">
        <v>48</v>
      </c>
      <c r="I1275" s="1474">
        <v>0.112</v>
      </c>
      <c r="J1275" s="1439">
        <f>J1257</f>
        <v>0</v>
      </c>
      <c r="K1275" s="1475">
        <f>I1275*J1275</f>
        <v>0</v>
      </c>
      <c r="L1275" s="1415"/>
      <c r="M1275" s="1415"/>
      <c r="N1275" s="1455"/>
    </row>
    <row r="1276" spans="2:14">
      <c r="B1276" s="1472"/>
      <c r="C1276" s="1466" t="str">
        <f>'[205]HARGA ME'!$B$13</f>
        <v xml:space="preserve">Tukang Pipa </v>
      </c>
      <c r="D1276" s="1467"/>
      <c r="E1276" s="1467"/>
      <c r="F1276" s="1468"/>
      <c r="G1276" s="1473" t="s">
        <v>4306</v>
      </c>
      <c r="H1276" s="1463" t="s">
        <v>48</v>
      </c>
      <c r="I1276" s="1474">
        <v>0.187</v>
      </c>
      <c r="J1276" s="1439">
        <f>J1258</f>
        <v>0</v>
      </c>
      <c r="K1276" s="1475">
        <f>I1276*J1276</f>
        <v>0</v>
      </c>
      <c r="L1276" s="1415"/>
      <c r="M1276" s="1415"/>
      <c r="N1276" s="1455"/>
    </row>
    <row r="1277" spans="2:14">
      <c r="B1277" s="1472"/>
      <c r="C1277" s="1466" t="str">
        <f>'[205]HARGA ME'!$B$9</f>
        <v>Kepala Tukang Pipa</v>
      </c>
      <c r="D1277" s="1467"/>
      <c r="E1277" s="1467"/>
      <c r="F1277" s="1468"/>
      <c r="G1277" s="1473" t="s">
        <v>4449</v>
      </c>
      <c r="H1277" s="1463" t="s">
        <v>48</v>
      </c>
      <c r="I1277" s="1474">
        <v>1.9E-2</v>
      </c>
      <c r="J1277" s="1439">
        <f>J1259</f>
        <v>0</v>
      </c>
      <c r="K1277" s="1475">
        <f>I1277*J1277</f>
        <v>0</v>
      </c>
      <c r="L1277" s="1415"/>
      <c r="M1277" s="1415"/>
      <c r="N1277" s="1455"/>
    </row>
    <row r="1278" spans="2:14">
      <c r="B1278" s="1472"/>
      <c r="C1278" s="1466" t="s">
        <v>4308</v>
      </c>
      <c r="D1278" s="1467"/>
      <c r="E1278" s="1467"/>
      <c r="F1278" s="1468"/>
      <c r="G1278" s="1473" t="s">
        <v>4309</v>
      </c>
      <c r="H1278" s="1463" t="s">
        <v>48</v>
      </c>
      <c r="I1278" s="1474">
        <v>6.0000000000000001E-3</v>
      </c>
      <c r="J1278" s="1439">
        <f>J1260</f>
        <v>0</v>
      </c>
      <c r="K1278" s="1475">
        <f>I1278*J1278</f>
        <v>0</v>
      </c>
      <c r="L1278" s="1415"/>
      <c r="M1278" s="1415"/>
      <c r="N1278" s="1455"/>
    </row>
    <row r="1279" spans="2:14">
      <c r="B1279" s="1472"/>
      <c r="C1279" s="1476"/>
      <c r="D1279" s="1477"/>
      <c r="E1279" s="1477"/>
      <c r="F1279" s="1478"/>
      <c r="G1279" s="1469"/>
      <c r="H1279" s="1469"/>
      <c r="I1279" s="1474" t="s">
        <v>52</v>
      </c>
      <c r="J1279" s="1439"/>
      <c r="K1279" s="1471">
        <f>SUM(K1275:K1278)</f>
        <v>0</v>
      </c>
      <c r="L1279" s="1415"/>
      <c r="M1279" s="1415"/>
      <c r="N1279" s="1455"/>
    </row>
    <row r="1280" spans="2:14">
      <c r="B1280" s="1465" t="s">
        <v>53</v>
      </c>
      <c r="C1280" s="1466" t="s">
        <v>54</v>
      </c>
      <c r="D1280" s="1467"/>
      <c r="E1280" s="1467"/>
      <c r="F1280" s="1468"/>
      <c r="G1280" s="1469"/>
      <c r="H1280" s="1469"/>
      <c r="I1280" s="1470"/>
      <c r="J1280" s="1439"/>
      <c r="K1280" s="1471"/>
      <c r="L1280" s="1415"/>
      <c r="M1280" s="1415"/>
      <c r="N1280" s="1455"/>
    </row>
    <row r="1281" spans="2:14">
      <c r="B1281" s="1472"/>
      <c r="C1281" s="1466" t="s">
        <v>4500</v>
      </c>
      <c r="D1281" s="1467"/>
      <c r="E1281" s="1467"/>
      <c r="F1281" s="1468"/>
      <c r="G1281" s="1473"/>
      <c r="H1281" s="1463" t="s">
        <v>113</v>
      </c>
      <c r="I1281" s="1474">
        <v>1.5</v>
      </c>
      <c r="J1281" s="1439">
        <v>0</v>
      </c>
      <c r="K1281" s="1475">
        <f>I1281*J1281</f>
        <v>0</v>
      </c>
      <c r="L1281" s="1415"/>
      <c r="M1281" s="1415"/>
      <c r="N1281" s="1455"/>
    </row>
    <row r="1282" spans="2:14">
      <c r="B1282" s="1472"/>
      <c r="C1282" s="1466" t="s">
        <v>4485</v>
      </c>
      <c r="D1282" s="1467"/>
      <c r="E1282" s="1467"/>
      <c r="F1282" s="1468"/>
      <c r="G1282" s="1469"/>
      <c r="H1282" s="1463" t="s">
        <v>113</v>
      </c>
      <c r="I1282" s="1474">
        <v>1</v>
      </c>
      <c r="J1282" s="1439">
        <v>0</v>
      </c>
      <c r="K1282" s="1475">
        <f>I1282*J1282</f>
        <v>0</v>
      </c>
      <c r="L1282" s="1415"/>
      <c r="M1282" s="1415"/>
      <c r="N1282" s="1455"/>
    </row>
    <row r="1283" spans="2:14">
      <c r="B1283" s="1472"/>
      <c r="C1283" s="1476"/>
      <c r="D1283" s="1477"/>
      <c r="E1283" s="1477"/>
      <c r="F1283" s="1478"/>
      <c r="G1283" s="1469"/>
      <c r="H1283" s="1469"/>
      <c r="I1283" s="1474" t="s">
        <v>64</v>
      </c>
      <c r="J1283" s="1439"/>
      <c r="K1283" s="1471">
        <f>SUM(K1281:K1282)</f>
        <v>0</v>
      </c>
      <c r="L1283" s="1415"/>
      <c r="M1283" s="1415"/>
      <c r="N1283" s="1455"/>
    </row>
    <row r="1284" spans="2:14">
      <c r="B1284" s="1465" t="s">
        <v>65</v>
      </c>
      <c r="C1284" s="1466" t="s">
        <v>66</v>
      </c>
      <c r="D1284" s="1467"/>
      <c r="E1284" s="1467"/>
      <c r="F1284" s="1468"/>
      <c r="G1284" s="1469"/>
      <c r="H1284" s="1469"/>
      <c r="I1284" s="1470"/>
      <c r="J1284" s="1439">
        <v>0</v>
      </c>
      <c r="K1284" s="1471">
        <v>0</v>
      </c>
      <c r="L1284" s="1415"/>
      <c r="M1284" s="1415"/>
      <c r="N1284" s="1455"/>
    </row>
    <row r="1285" spans="2:14">
      <c r="B1285" s="1472"/>
      <c r="C1285" s="1476"/>
      <c r="D1285" s="1477"/>
      <c r="E1285" s="1477"/>
      <c r="F1285" s="1478"/>
      <c r="G1285" s="1469"/>
      <c r="H1285" s="1469"/>
      <c r="I1285" s="1474" t="s">
        <v>67</v>
      </c>
      <c r="J1285" s="1439"/>
      <c r="K1285" s="1471">
        <v>0</v>
      </c>
      <c r="L1285" s="1415"/>
      <c r="M1285" s="1415"/>
      <c r="N1285" s="1455"/>
    </row>
    <row r="1286" spans="2:14">
      <c r="B1286" s="1465" t="s">
        <v>68</v>
      </c>
      <c r="C1286" s="1466" t="s">
        <v>69</v>
      </c>
      <c r="D1286" s="1467"/>
      <c r="E1286" s="1467"/>
      <c r="F1286" s="1468"/>
      <c r="G1286" s="1469"/>
      <c r="H1286" s="1469"/>
      <c r="I1286" s="1470"/>
      <c r="J1286" s="1439">
        <v>0</v>
      </c>
      <c r="K1286" s="1471">
        <f>K1283+K1279</f>
        <v>0</v>
      </c>
      <c r="L1286" s="1415"/>
      <c r="M1286" s="1415"/>
      <c r="N1286" s="1455"/>
    </row>
    <row r="1287" spans="2:14">
      <c r="B1287" s="1465" t="s">
        <v>70</v>
      </c>
      <c r="C1287" s="1466" t="s">
        <v>4299</v>
      </c>
      <c r="D1287" s="1467"/>
      <c r="E1287" s="1467"/>
      <c r="F1287" s="1468"/>
      <c r="G1287" s="1469"/>
      <c r="H1287" s="1469"/>
      <c r="I1287" s="1447">
        <f>$K$917</f>
        <v>0.1</v>
      </c>
      <c r="J1287" s="1439"/>
      <c r="K1287" s="1471">
        <f>K1286*I1287</f>
        <v>0</v>
      </c>
      <c r="L1287" s="1415"/>
      <c r="M1287" s="1415"/>
      <c r="N1287" s="1455"/>
    </row>
    <row r="1288" spans="2:14" ht="13">
      <c r="B1288" s="1465" t="s">
        <v>71</v>
      </c>
      <c r="C1288" s="1466" t="s">
        <v>72</v>
      </c>
      <c r="D1288" s="1467"/>
      <c r="E1288" s="1467"/>
      <c r="F1288" s="1468"/>
      <c r="G1288" s="1469"/>
      <c r="H1288" s="1469"/>
      <c r="I1288" s="1470"/>
      <c r="J1288" s="1439">
        <v>0</v>
      </c>
      <c r="K1288" s="1479">
        <v>0</v>
      </c>
      <c r="L1288" s="1415"/>
      <c r="M1288" s="1415"/>
      <c r="N1288" s="1455"/>
    </row>
    <row r="1289" spans="2:14" ht="13">
      <c r="B1289" s="1500"/>
      <c r="C1289" s="1501"/>
      <c r="D1289" s="1501"/>
      <c r="E1289" s="1501"/>
      <c r="F1289" s="1501"/>
      <c r="G1289" s="1502"/>
      <c r="H1289" s="1502"/>
      <c r="I1289" s="1503"/>
      <c r="J1289" s="1504"/>
      <c r="K1289" s="1505"/>
      <c r="L1289" s="1415"/>
      <c r="M1289" s="1415"/>
      <c r="N1289" s="1455"/>
    </row>
    <row r="1290" spans="2:14" ht="13">
      <c r="B1290" s="1453" t="s">
        <v>4501</v>
      </c>
      <c r="C1290" s="1454" t="s">
        <v>4502</v>
      </c>
      <c r="D1290" s="1454"/>
      <c r="E1290" s="1454"/>
      <c r="F1290" s="1454"/>
      <c r="G1290" s="1455"/>
      <c r="H1290" s="1415"/>
      <c r="I1290" s="1456"/>
      <c r="J1290" s="1456"/>
      <c r="K1290" s="1457"/>
      <c r="L1290" s="1423"/>
      <c r="M1290" s="1455"/>
      <c r="N1290" s="1455"/>
    </row>
    <row r="1291" spans="2:14" ht="25">
      <c r="B1291" s="1458" t="s">
        <v>40</v>
      </c>
      <c r="C1291" s="1459" t="s">
        <v>41</v>
      </c>
      <c r="D1291" s="1460"/>
      <c r="E1291" s="1460"/>
      <c r="F1291" s="1461"/>
      <c r="G1291" s="1462" t="s">
        <v>42</v>
      </c>
      <c r="H1291" s="1462" t="s">
        <v>43</v>
      </c>
      <c r="I1291" s="1463" t="s">
        <v>44</v>
      </c>
      <c r="J1291" s="1431" t="s">
        <v>474</v>
      </c>
      <c r="K1291" s="1464" t="s">
        <v>475</v>
      </c>
      <c r="L1291" s="1415"/>
      <c r="M1291" s="1415"/>
      <c r="N1291" s="1455"/>
    </row>
    <row r="1292" spans="2:14">
      <c r="B1292" s="1465" t="s">
        <v>45</v>
      </c>
      <c r="C1292" s="1466" t="s">
        <v>46</v>
      </c>
      <c r="D1292" s="1467"/>
      <c r="E1292" s="1467"/>
      <c r="F1292" s="1468"/>
      <c r="G1292" s="1469"/>
      <c r="H1292" s="1469"/>
      <c r="I1292" s="1470"/>
      <c r="J1292" s="1439"/>
      <c r="K1292" s="1471"/>
      <c r="L1292" s="1415"/>
      <c r="M1292" s="1415"/>
      <c r="N1292" s="1455"/>
    </row>
    <row r="1293" spans="2:14">
      <c r="B1293" s="1472"/>
      <c r="C1293" s="1466" t="s">
        <v>4302</v>
      </c>
      <c r="D1293" s="1467"/>
      <c r="E1293" s="1467"/>
      <c r="F1293" s="1468"/>
      <c r="G1293" s="1473" t="s">
        <v>4303</v>
      </c>
      <c r="H1293" s="1463" t="s">
        <v>48</v>
      </c>
      <c r="I1293" s="1474">
        <v>0.129</v>
      </c>
      <c r="J1293" s="1439">
        <f>J1275</f>
        <v>0</v>
      </c>
      <c r="K1293" s="1475">
        <f>I1293*J1293</f>
        <v>0</v>
      </c>
      <c r="L1293" s="1415"/>
      <c r="M1293" s="1415"/>
      <c r="N1293" s="1455"/>
    </row>
    <row r="1294" spans="2:14">
      <c r="B1294" s="1472"/>
      <c r="C1294" s="1466" t="str">
        <f>'[205]HARGA ME'!$B$13</f>
        <v xml:space="preserve">Tukang Pipa </v>
      </c>
      <c r="D1294" s="1467"/>
      <c r="E1294" s="1467"/>
      <c r="F1294" s="1468"/>
      <c r="G1294" s="1473" t="s">
        <v>4306</v>
      </c>
      <c r="H1294" s="1463" t="s">
        <v>48</v>
      </c>
      <c r="I1294" s="1474">
        <v>0.215</v>
      </c>
      <c r="J1294" s="1439">
        <f>J1276</f>
        <v>0</v>
      </c>
      <c r="K1294" s="1475">
        <f>I1294*J1294</f>
        <v>0</v>
      </c>
      <c r="L1294" s="1415"/>
      <c r="M1294" s="1415"/>
      <c r="N1294" s="1455"/>
    </row>
    <row r="1295" spans="2:14">
      <c r="B1295" s="1472"/>
      <c r="C1295" s="1466" t="str">
        <f>'[205]HARGA ME'!$B$9</f>
        <v>Kepala Tukang Pipa</v>
      </c>
      <c r="D1295" s="1467"/>
      <c r="E1295" s="1467"/>
      <c r="F1295" s="1468"/>
      <c r="G1295" s="1473" t="s">
        <v>4449</v>
      </c>
      <c r="H1295" s="1463" t="s">
        <v>48</v>
      </c>
      <c r="I1295" s="1474">
        <v>2.1000000000000001E-2</v>
      </c>
      <c r="J1295" s="1439">
        <f>J1277</f>
        <v>0</v>
      </c>
      <c r="K1295" s="1475">
        <f>I1295*J1295</f>
        <v>0</v>
      </c>
      <c r="L1295" s="1415"/>
      <c r="M1295" s="1415"/>
      <c r="N1295" s="1455"/>
    </row>
    <row r="1296" spans="2:14">
      <c r="B1296" s="1472"/>
      <c r="C1296" s="1466" t="s">
        <v>4308</v>
      </c>
      <c r="D1296" s="1467"/>
      <c r="E1296" s="1467"/>
      <c r="F1296" s="1468"/>
      <c r="G1296" s="1473" t="s">
        <v>4309</v>
      </c>
      <c r="H1296" s="1463" t="s">
        <v>48</v>
      </c>
      <c r="I1296" s="1474">
        <v>7.0000000000000001E-3</v>
      </c>
      <c r="J1296" s="1439">
        <f>J1278</f>
        <v>0</v>
      </c>
      <c r="K1296" s="1475">
        <f>I1296*J1296</f>
        <v>0</v>
      </c>
      <c r="L1296" s="1415"/>
      <c r="M1296" s="1415"/>
      <c r="N1296" s="1455"/>
    </row>
    <row r="1297" spans="2:14">
      <c r="B1297" s="1472"/>
      <c r="C1297" s="1476"/>
      <c r="D1297" s="1477"/>
      <c r="E1297" s="1477"/>
      <c r="F1297" s="1478"/>
      <c r="G1297" s="1469"/>
      <c r="H1297" s="1469"/>
      <c r="I1297" s="1474" t="s">
        <v>52</v>
      </c>
      <c r="J1297" s="1439"/>
      <c r="K1297" s="1471">
        <f>SUM(K1293:K1296)</f>
        <v>0</v>
      </c>
      <c r="L1297" s="1415"/>
      <c r="M1297" s="1415"/>
      <c r="N1297" s="1455"/>
    </row>
    <row r="1298" spans="2:14">
      <c r="B1298" s="1465" t="s">
        <v>53</v>
      </c>
      <c r="C1298" s="1466" t="s">
        <v>54</v>
      </c>
      <c r="D1298" s="1467"/>
      <c r="E1298" s="1467"/>
      <c r="F1298" s="1468"/>
      <c r="G1298" s="1469"/>
      <c r="H1298" s="1469"/>
      <c r="I1298" s="1470"/>
      <c r="J1298" s="1439"/>
      <c r="K1298" s="1471"/>
      <c r="L1298" s="1415"/>
      <c r="M1298" s="1415"/>
      <c r="N1298" s="1455"/>
    </row>
    <row r="1299" spans="2:14">
      <c r="B1299" s="1472"/>
      <c r="C1299" s="1466" t="s">
        <v>4503</v>
      </c>
      <c r="D1299" s="1467"/>
      <c r="E1299" s="1467"/>
      <c r="F1299" s="1468"/>
      <c r="G1299" s="1473"/>
      <c r="H1299" s="1463" t="s">
        <v>113</v>
      </c>
      <c r="I1299" s="1474">
        <v>1.5</v>
      </c>
      <c r="J1299" s="1439">
        <v>0</v>
      </c>
      <c r="K1299" s="1475">
        <f>I1299*J1299</f>
        <v>0</v>
      </c>
      <c r="L1299" s="1415"/>
      <c r="M1299" s="1415"/>
      <c r="N1299" s="1455"/>
    </row>
    <row r="1300" spans="2:14">
      <c r="B1300" s="1472"/>
      <c r="C1300" s="1466" t="s">
        <v>4485</v>
      </c>
      <c r="D1300" s="1467"/>
      <c r="E1300" s="1467"/>
      <c r="F1300" s="1468"/>
      <c r="G1300" s="1469"/>
      <c r="H1300" s="1463" t="s">
        <v>113</v>
      </c>
      <c r="I1300" s="1474">
        <v>1</v>
      </c>
      <c r="J1300" s="1439">
        <v>0</v>
      </c>
      <c r="K1300" s="1475">
        <f>I1300*J1300</f>
        <v>0</v>
      </c>
      <c r="L1300" s="1415"/>
      <c r="M1300" s="1415"/>
      <c r="N1300" s="1455"/>
    </row>
    <row r="1301" spans="2:14">
      <c r="B1301" s="1472"/>
      <c r="C1301" s="1476"/>
      <c r="D1301" s="1477"/>
      <c r="E1301" s="1477"/>
      <c r="F1301" s="1478"/>
      <c r="G1301" s="1469"/>
      <c r="H1301" s="1469"/>
      <c r="I1301" s="1474" t="s">
        <v>64</v>
      </c>
      <c r="J1301" s="1439"/>
      <c r="K1301" s="1471">
        <f>SUM(K1299:K1300)</f>
        <v>0</v>
      </c>
      <c r="L1301" s="1415"/>
      <c r="M1301" s="1415"/>
      <c r="N1301" s="1455"/>
    </row>
    <row r="1302" spans="2:14">
      <c r="B1302" s="1465" t="s">
        <v>65</v>
      </c>
      <c r="C1302" s="1466" t="s">
        <v>66</v>
      </c>
      <c r="D1302" s="1467"/>
      <c r="E1302" s="1467"/>
      <c r="F1302" s="1468"/>
      <c r="G1302" s="1469"/>
      <c r="H1302" s="1469"/>
      <c r="I1302" s="1470"/>
      <c r="J1302" s="1439">
        <v>0</v>
      </c>
      <c r="K1302" s="1471">
        <v>0</v>
      </c>
      <c r="L1302" s="1415"/>
      <c r="M1302" s="1415"/>
      <c r="N1302" s="1455"/>
    </row>
    <row r="1303" spans="2:14">
      <c r="B1303" s="1472"/>
      <c r="C1303" s="1476"/>
      <c r="D1303" s="1477"/>
      <c r="E1303" s="1477"/>
      <c r="F1303" s="1478"/>
      <c r="G1303" s="1469"/>
      <c r="H1303" s="1469"/>
      <c r="I1303" s="1474" t="s">
        <v>67</v>
      </c>
      <c r="J1303" s="1439"/>
      <c r="K1303" s="1471">
        <v>0</v>
      </c>
      <c r="L1303" s="1415"/>
      <c r="M1303" s="1415"/>
      <c r="N1303" s="1455"/>
    </row>
    <row r="1304" spans="2:14">
      <c r="B1304" s="1465" t="s">
        <v>68</v>
      </c>
      <c r="C1304" s="1466" t="s">
        <v>69</v>
      </c>
      <c r="D1304" s="1467"/>
      <c r="E1304" s="1467"/>
      <c r="F1304" s="1468"/>
      <c r="G1304" s="1469"/>
      <c r="H1304" s="1469"/>
      <c r="I1304" s="1470"/>
      <c r="J1304" s="1439">
        <v>0</v>
      </c>
      <c r="K1304" s="1471">
        <f>K1301+K1297</f>
        <v>0</v>
      </c>
      <c r="L1304" s="1415"/>
      <c r="M1304" s="1415"/>
      <c r="N1304" s="1455"/>
    </row>
    <row r="1305" spans="2:14">
      <c r="B1305" s="1465" t="s">
        <v>70</v>
      </c>
      <c r="C1305" s="1466" t="s">
        <v>4299</v>
      </c>
      <c r="D1305" s="1467"/>
      <c r="E1305" s="1467"/>
      <c r="F1305" s="1468"/>
      <c r="G1305" s="1469"/>
      <c r="H1305" s="1469"/>
      <c r="I1305" s="1447">
        <f>$K$917</f>
        <v>0.1</v>
      </c>
      <c r="J1305" s="1439"/>
      <c r="K1305" s="1471">
        <f>K1304*I1305</f>
        <v>0</v>
      </c>
      <c r="L1305" s="1415"/>
      <c r="M1305" s="1415"/>
      <c r="N1305" s="1455"/>
    </row>
    <row r="1306" spans="2:14" ht="13">
      <c r="B1306" s="1465" t="s">
        <v>71</v>
      </c>
      <c r="C1306" s="1466" t="s">
        <v>72</v>
      </c>
      <c r="D1306" s="1467"/>
      <c r="E1306" s="1467"/>
      <c r="F1306" s="1468"/>
      <c r="G1306" s="1469"/>
      <c r="H1306" s="1469"/>
      <c r="I1306" s="1470"/>
      <c r="J1306" s="1439">
        <v>0</v>
      </c>
      <c r="K1306" s="1479">
        <v>0</v>
      </c>
      <c r="L1306" s="1415"/>
      <c r="M1306" s="1415"/>
      <c r="N1306" s="1455"/>
    </row>
    <row r="1307" spans="2:14" ht="13">
      <c r="B1307" s="1500"/>
      <c r="C1307" s="1501"/>
      <c r="D1307" s="1501"/>
      <c r="E1307" s="1501"/>
      <c r="F1307" s="1501"/>
      <c r="G1307" s="1502"/>
      <c r="H1307" s="1502"/>
      <c r="I1307" s="1503"/>
      <c r="J1307" s="1504"/>
      <c r="K1307" s="1505"/>
      <c r="L1307" s="1415"/>
      <c r="M1307" s="1415"/>
      <c r="N1307" s="1455"/>
    </row>
    <row r="1308" spans="2:14" ht="13">
      <c r="B1308" s="1453" t="s">
        <v>4504</v>
      </c>
      <c r="C1308" s="1454" t="s">
        <v>4505</v>
      </c>
      <c r="D1308" s="1454"/>
      <c r="E1308" s="1454"/>
      <c r="F1308" s="1454"/>
      <c r="G1308" s="1455"/>
      <c r="H1308" s="1415"/>
      <c r="I1308" s="1456"/>
      <c r="J1308" s="1456"/>
      <c r="K1308" s="1457"/>
      <c r="L1308" s="1423"/>
      <c r="M1308" s="1455"/>
      <c r="N1308" s="1455"/>
    </row>
    <row r="1309" spans="2:14" ht="25">
      <c r="B1309" s="1458" t="s">
        <v>40</v>
      </c>
      <c r="C1309" s="1459" t="s">
        <v>41</v>
      </c>
      <c r="D1309" s="1460"/>
      <c r="E1309" s="1460"/>
      <c r="F1309" s="1461"/>
      <c r="G1309" s="1462" t="s">
        <v>42</v>
      </c>
      <c r="H1309" s="1462" t="s">
        <v>43</v>
      </c>
      <c r="I1309" s="1463" t="s">
        <v>44</v>
      </c>
      <c r="J1309" s="1431" t="s">
        <v>474</v>
      </c>
      <c r="K1309" s="1464" t="s">
        <v>475</v>
      </c>
      <c r="L1309" s="1415"/>
      <c r="M1309" s="1415"/>
      <c r="N1309" s="1455"/>
    </row>
    <row r="1310" spans="2:14">
      <c r="B1310" s="1465" t="s">
        <v>45</v>
      </c>
      <c r="C1310" s="1466" t="s">
        <v>46</v>
      </c>
      <c r="D1310" s="1467"/>
      <c r="E1310" s="1467"/>
      <c r="F1310" s="1468"/>
      <c r="G1310" s="1469"/>
      <c r="H1310" s="1469"/>
      <c r="I1310" s="1470"/>
      <c r="J1310" s="1439"/>
      <c r="K1310" s="1471"/>
      <c r="L1310" s="1415"/>
      <c r="M1310" s="1415"/>
      <c r="N1310" s="1455"/>
    </row>
    <row r="1311" spans="2:14">
      <c r="B1311" s="1472"/>
      <c r="C1311" s="1466" t="s">
        <v>4302</v>
      </c>
      <c r="D1311" s="1467"/>
      <c r="E1311" s="1467"/>
      <c r="F1311" s="1468"/>
      <c r="G1311" s="1473" t="s">
        <v>4303</v>
      </c>
      <c r="H1311" s="1463" t="s">
        <v>48</v>
      </c>
      <c r="I1311" s="1474">
        <v>0.14299999999999999</v>
      </c>
      <c r="J1311" s="1439">
        <f>J1293</f>
        <v>0</v>
      </c>
      <c r="K1311" s="1475">
        <f>I1311*J1311</f>
        <v>0</v>
      </c>
      <c r="L1311" s="1415"/>
      <c r="M1311" s="1415"/>
      <c r="N1311" s="1455"/>
    </row>
    <row r="1312" spans="2:14">
      <c r="B1312" s="1472"/>
      <c r="C1312" s="1466" t="str">
        <f>'[205]HARGA ME'!$B$13</f>
        <v xml:space="preserve">Tukang Pipa </v>
      </c>
      <c r="D1312" s="1467"/>
      <c r="E1312" s="1467"/>
      <c r="F1312" s="1468"/>
      <c r="G1312" s="1473" t="s">
        <v>4306</v>
      </c>
      <c r="H1312" s="1463" t="s">
        <v>48</v>
      </c>
      <c r="I1312" s="1474">
        <v>0.23899999999999999</v>
      </c>
      <c r="J1312" s="1439">
        <f>J1294</f>
        <v>0</v>
      </c>
      <c r="K1312" s="1475">
        <f>I1312*J1312</f>
        <v>0</v>
      </c>
      <c r="L1312" s="1415"/>
      <c r="M1312" s="1415"/>
      <c r="N1312" s="1455"/>
    </row>
    <row r="1313" spans="2:14">
      <c r="B1313" s="1472"/>
      <c r="C1313" s="1466" t="str">
        <f>'[205]HARGA ME'!$B$9</f>
        <v>Kepala Tukang Pipa</v>
      </c>
      <c r="D1313" s="1467"/>
      <c r="E1313" s="1467"/>
      <c r="F1313" s="1468"/>
      <c r="G1313" s="1473" t="s">
        <v>4449</v>
      </c>
      <c r="H1313" s="1463" t="s">
        <v>48</v>
      </c>
      <c r="I1313" s="1474">
        <v>2.4E-2</v>
      </c>
      <c r="J1313" s="1439">
        <f>J1295</f>
        <v>0</v>
      </c>
      <c r="K1313" s="1475">
        <f>I1313*J1313</f>
        <v>0</v>
      </c>
      <c r="L1313" s="1415"/>
      <c r="M1313" s="1415"/>
      <c r="N1313" s="1455"/>
    </row>
    <row r="1314" spans="2:14">
      <c r="B1314" s="1472"/>
      <c r="C1314" s="1466" t="s">
        <v>4308</v>
      </c>
      <c r="D1314" s="1467"/>
      <c r="E1314" s="1467"/>
      <c r="F1314" s="1468"/>
      <c r="G1314" s="1473" t="s">
        <v>4309</v>
      </c>
      <c r="H1314" s="1463" t="s">
        <v>48</v>
      </c>
      <c r="I1314" s="1474">
        <v>8.0000000000000002E-3</v>
      </c>
      <c r="J1314" s="1439">
        <f>J1296</f>
        <v>0</v>
      </c>
      <c r="K1314" s="1475">
        <f>I1314*J1314</f>
        <v>0</v>
      </c>
      <c r="L1314" s="1415"/>
      <c r="M1314" s="1415"/>
      <c r="N1314" s="1455"/>
    </row>
    <row r="1315" spans="2:14">
      <c r="B1315" s="1472"/>
      <c r="C1315" s="1476"/>
      <c r="D1315" s="1477"/>
      <c r="E1315" s="1477"/>
      <c r="F1315" s="1478"/>
      <c r="G1315" s="1469"/>
      <c r="H1315" s="1469"/>
      <c r="I1315" s="1474" t="s">
        <v>52</v>
      </c>
      <c r="J1315" s="1439"/>
      <c r="K1315" s="1471">
        <f>SUM(K1311:K1314)</f>
        <v>0</v>
      </c>
      <c r="L1315" s="1415"/>
      <c r="M1315" s="1415"/>
      <c r="N1315" s="1455"/>
    </row>
    <row r="1316" spans="2:14">
      <c r="B1316" s="1465" t="s">
        <v>53</v>
      </c>
      <c r="C1316" s="1466" t="s">
        <v>54</v>
      </c>
      <c r="D1316" s="1467"/>
      <c r="E1316" s="1467"/>
      <c r="F1316" s="1468"/>
      <c r="G1316" s="1469"/>
      <c r="H1316" s="1469"/>
      <c r="I1316" s="1470"/>
      <c r="J1316" s="1439"/>
      <c r="K1316" s="1471"/>
      <c r="L1316" s="1415"/>
      <c r="M1316" s="1415"/>
      <c r="N1316" s="1455"/>
    </row>
    <row r="1317" spans="2:14">
      <c r="B1317" s="1472"/>
      <c r="C1317" s="1466" t="s">
        <v>4506</v>
      </c>
      <c r="D1317" s="1467"/>
      <c r="E1317" s="1467"/>
      <c r="F1317" s="1468"/>
      <c r="G1317" s="1473"/>
      <c r="H1317" s="1463" t="s">
        <v>113</v>
      </c>
      <c r="I1317" s="1474">
        <v>1.5</v>
      </c>
      <c r="J1317" s="1439">
        <v>0</v>
      </c>
      <c r="K1317" s="1475">
        <f>I1317*J1317</f>
        <v>0</v>
      </c>
      <c r="L1317" s="1415"/>
      <c r="M1317" s="1415"/>
      <c r="N1317" s="1455"/>
    </row>
    <row r="1318" spans="2:14">
      <c r="B1318" s="1472"/>
      <c r="C1318" s="1466" t="s">
        <v>4485</v>
      </c>
      <c r="D1318" s="1467"/>
      <c r="E1318" s="1467"/>
      <c r="F1318" s="1468"/>
      <c r="G1318" s="1469"/>
      <c r="H1318" s="1463" t="s">
        <v>113</v>
      </c>
      <c r="I1318" s="1474">
        <v>1</v>
      </c>
      <c r="J1318" s="1439">
        <v>0</v>
      </c>
      <c r="K1318" s="1475">
        <f>I1318*J1318</f>
        <v>0</v>
      </c>
      <c r="L1318" s="1415"/>
      <c r="M1318" s="1415"/>
      <c r="N1318" s="1455"/>
    </row>
    <row r="1319" spans="2:14">
      <c r="B1319" s="1472"/>
      <c r="C1319" s="1476"/>
      <c r="D1319" s="1477"/>
      <c r="E1319" s="1477"/>
      <c r="F1319" s="1478"/>
      <c r="G1319" s="1469"/>
      <c r="H1319" s="1469"/>
      <c r="I1319" s="1474" t="s">
        <v>64</v>
      </c>
      <c r="J1319" s="1439"/>
      <c r="K1319" s="1471">
        <f>SUM(K1317:K1318)</f>
        <v>0</v>
      </c>
      <c r="L1319" s="1415"/>
      <c r="M1319" s="1415"/>
      <c r="N1319" s="1455"/>
    </row>
    <row r="1320" spans="2:14">
      <c r="B1320" s="1465" t="s">
        <v>65</v>
      </c>
      <c r="C1320" s="1466" t="s">
        <v>66</v>
      </c>
      <c r="D1320" s="1467"/>
      <c r="E1320" s="1467"/>
      <c r="F1320" s="1468"/>
      <c r="G1320" s="1469"/>
      <c r="H1320" s="1469"/>
      <c r="I1320" s="1470"/>
      <c r="J1320" s="1439">
        <v>0</v>
      </c>
      <c r="K1320" s="1471">
        <v>0</v>
      </c>
      <c r="L1320" s="1415"/>
      <c r="M1320" s="1415"/>
      <c r="N1320" s="1455"/>
    </row>
    <row r="1321" spans="2:14">
      <c r="B1321" s="1472"/>
      <c r="C1321" s="1476"/>
      <c r="D1321" s="1477"/>
      <c r="E1321" s="1477"/>
      <c r="F1321" s="1478"/>
      <c r="G1321" s="1469"/>
      <c r="H1321" s="1469"/>
      <c r="I1321" s="1474" t="s">
        <v>67</v>
      </c>
      <c r="J1321" s="1439"/>
      <c r="K1321" s="1471">
        <v>0</v>
      </c>
      <c r="L1321" s="1415"/>
      <c r="M1321" s="1415"/>
      <c r="N1321" s="1455"/>
    </row>
    <row r="1322" spans="2:14">
      <c r="B1322" s="1465" t="s">
        <v>68</v>
      </c>
      <c r="C1322" s="1466" t="s">
        <v>69</v>
      </c>
      <c r="D1322" s="1467"/>
      <c r="E1322" s="1467"/>
      <c r="F1322" s="1468"/>
      <c r="G1322" s="1469"/>
      <c r="H1322" s="1469"/>
      <c r="I1322" s="1470"/>
      <c r="J1322" s="1439">
        <v>0</v>
      </c>
      <c r="K1322" s="1471">
        <f>K1319+K1315</f>
        <v>0</v>
      </c>
      <c r="L1322" s="1415"/>
      <c r="M1322" s="1415"/>
      <c r="N1322" s="1455"/>
    </row>
    <row r="1323" spans="2:14">
      <c r="B1323" s="1465" t="s">
        <v>70</v>
      </c>
      <c r="C1323" s="1466" t="s">
        <v>4299</v>
      </c>
      <c r="D1323" s="1467"/>
      <c r="E1323" s="1467"/>
      <c r="F1323" s="1468"/>
      <c r="G1323" s="1469"/>
      <c r="H1323" s="1469"/>
      <c r="I1323" s="1447">
        <f>$K$917</f>
        <v>0.1</v>
      </c>
      <c r="J1323" s="1439"/>
      <c r="K1323" s="1471">
        <f>K1322*I1323</f>
        <v>0</v>
      </c>
      <c r="L1323" s="1415"/>
      <c r="M1323" s="1415"/>
      <c r="N1323" s="1455"/>
    </row>
    <row r="1324" spans="2:14" ht="13">
      <c r="B1324" s="1465" t="s">
        <v>71</v>
      </c>
      <c r="C1324" s="1466" t="s">
        <v>72</v>
      </c>
      <c r="D1324" s="1467"/>
      <c r="E1324" s="1467"/>
      <c r="F1324" s="1468"/>
      <c r="G1324" s="1469"/>
      <c r="H1324" s="1469"/>
      <c r="I1324" s="1470"/>
      <c r="J1324" s="1439">
        <v>0</v>
      </c>
      <c r="K1324" s="1479">
        <v>0</v>
      </c>
      <c r="L1324" s="1415"/>
      <c r="M1324" s="1415"/>
      <c r="N1324" s="1455"/>
    </row>
    <row r="1325" spans="2:14" ht="13">
      <c r="B1325" s="1500"/>
      <c r="C1325" s="1501"/>
      <c r="D1325" s="1501"/>
      <c r="E1325" s="1501"/>
      <c r="F1325" s="1501"/>
      <c r="G1325" s="1502"/>
      <c r="H1325" s="1502"/>
      <c r="I1325" s="1503"/>
      <c r="J1325" s="1504"/>
      <c r="K1325" s="1505"/>
      <c r="L1325" s="1415"/>
      <c r="M1325" s="1415"/>
      <c r="N1325" s="1455"/>
    </row>
    <row r="1326" spans="2:14" ht="13">
      <c r="B1326" s="1453" t="s">
        <v>4507</v>
      </c>
      <c r="C1326" s="1454" t="s">
        <v>4508</v>
      </c>
      <c r="D1326" s="1454"/>
      <c r="E1326" s="1454"/>
      <c r="F1326" s="1454"/>
      <c r="G1326" s="1455"/>
      <c r="H1326" s="1415"/>
      <c r="I1326" s="1456"/>
      <c r="J1326" s="1456"/>
      <c r="K1326" s="1457"/>
      <c r="L1326" s="1423"/>
      <c r="M1326" s="1455"/>
      <c r="N1326" s="1455"/>
    </row>
    <row r="1327" spans="2:14" ht="25">
      <c r="B1327" s="1458" t="s">
        <v>40</v>
      </c>
      <c r="C1327" s="1459" t="s">
        <v>41</v>
      </c>
      <c r="D1327" s="1460"/>
      <c r="E1327" s="1460"/>
      <c r="F1327" s="1461"/>
      <c r="G1327" s="1462" t="s">
        <v>42</v>
      </c>
      <c r="H1327" s="1462" t="s">
        <v>43</v>
      </c>
      <c r="I1327" s="1463" t="s">
        <v>44</v>
      </c>
      <c r="J1327" s="1431" t="s">
        <v>474</v>
      </c>
      <c r="K1327" s="1464" t="s">
        <v>475</v>
      </c>
      <c r="L1327" s="1415"/>
      <c r="M1327" s="1415"/>
      <c r="N1327" s="1455"/>
    </row>
    <row r="1328" spans="2:14">
      <c r="B1328" s="1465" t="s">
        <v>45</v>
      </c>
      <c r="C1328" s="1466" t="s">
        <v>46</v>
      </c>
      <c r="D1328" s="1467"/>
      <c r="E1328" s="1467"/>
      <c r="F1328" s="1468"/>
      <c r="G1328" s="1469"/>
      <c r="H1328" s="1469"/>
      <c r="I1328" s="1470"/>
      <c r="J1328" s="1439"/>
      <c r="K1328" s="1471"/>
      <c r="L1328" s="1415"/>
      <c r="M1328" s="1415"/>
      <c r="N1328" s="1455"/>
    </row>
    <row r="1329" spans="2:14">
      <c r="B1329" s="1472"/>
      <c r="C1329" s="1466" t="s">
        <v>4302</v>
      </c>
      <c r="D1329" s="1467"/>
      <c r="E1329" s="1467"/>
      <c r="F1329" s="1468"/>
      <c r="G1329" s="1473" t="s">
        <v>4303</v>
      </c>
      <c r="H1329" s="1463" t="s">
        <v>48</v>
      </c>
      <c r="I1329" s="1474">
        <v>0.17399999999999999</v>
      </c>
      <c r="J1329" s="1439">
        <f>J1311</f>
        <v>0</v>
      </c>
      <c r="K1329" s="1475">
        <f>I1329*J1329</f>
        <v>0</v>
      </c>
      <c r="L1329" s="1415"/>
      <c r="M1329" s="1415"/>
      <c r="N1329" s="1455"/>
    </row>
    <row r="1330" spans="2:14">
      <c r="B1330" s="1472"/>
      <c r="C1330" s="1466" t="str">
        <f>'[205]HARGA ME'!$B$13</f>
        <v xml:space="preserve">Tukang Pipa </v>
      </c>
      <c r="D1330" s="1467"/>
      <c r="E1330" s="1467"/>
      <c r="F1330" s="1468"/>
      <c r="G1330" s="1473" t="s">
        <v>4306</v>
      </c>
      <c r="H1330" s="1463" t="s">
        <v>48</v>
      </c>
      <c r="I1330" s="1474">
        <v>0.28999999999999998</v>
      </c>
      <c r="J1330" s="1439">
        <f>J1312</f>
        <v>0</v>
      </c>
      <c r="K1330" s="1475">
        <f>I1330*J1330</f>
        <v>0</v>
      </c>
      <c r="L1330" s="1415"/>
      <c r="M1330" s="1415"/>
      <c r="N1330" s="1455"/>
    </row>
    <row r="1331" spans="2:14">
      <c r="B1331" s="1472"/>
      <c r="C1331" s="1466" t="str">
        <f>'[205]HARGA ME'!$B$9</f>
        <v>Kepala Tukang Pipa</v>
      </c>
      <c r="D1331" s="1467"/>
      <c r="E1331" s="1467"/>
      <c r="F1331" s="1468"/>
      <c r="G1331" s="1473" t="s">
        <v>4449</v>
      </c>
      <c r="H1331" s="1463" t="s">
        <v>48</v>
      </c>
      <c r="I1331" s="1474">
        <v>2.9000000000000001E-2</v>
      </c>
      <c r="J1331" s="1439">
        <f>J1313</f>
        <v>0</v>
      </c>
      <c r="K1331" s="1475">
        <f>I1331*J1331</f>
        <v>0</v>
      </c>
      <c r="L1331" s="1415"/>
      <c r="M1331" s="1415"/>
      <c r="N1331" s="1455"/>
    </row>
    <row r="1332" spans="2:14">
      <c r="B1332" s="1472"/>
      <c r="C1332" s="1466" t="s">
        <v>4308</v>
      </c>
      <c r="D1332" s="1467"/>
      <c r="E1332" s="1467"/>
      <c r="F1332" s="1468"/>
      <c r="G1332" s="1473" t="s">
        <v>4309</v>
      </c>
      <c r="H1332" s="1463" t="s">
        <v>48</v>
      </c>
      <c r="I1332" s="1474">
        <v>0.01</v>
      </c>
      <c r="J1332" s="1439">
        <f>J1314</f>
        <v>0</v>
      </c>
      <c r="K1332" s="1475">
        <f>I1332*J1332</f>
        <v>0</v>
      </c>
      <c r="L1332" s="1415"/>
      <c r="M1332" s="1415"/>
      <c r="N1332" s="1455"/>
    </row>
    <row r="1333" spans="2:14">
      <c r="B1333" s="1472"/>
      <c r="C1333" s="1476"/>
      <c r="D1333" s="1477"/>
      <c r="E1333" s="1477"/>
      <c r="F1333" s="1478"/>
      <c r="G1333" s="1469"/>
      <c r="H1333" s="1469"/>
      <c r="I1333" s="1474" t="s">
        <v>52</v>
      </c>
      <c r="J1333" s="1439"/>
      <c r="K1333" s="1471">
        <f>SUM(K1329:K1332)</f>
        <v>0</v>
      </c>
      <c r="L1333" s="1415"/>
      <c r="M1333" s="1415"/>
      <c r="N1333" s="1455"/>
    </row>
    <row r="1334" spans="2:14">
      <c r="B1334" s="1465" t="s">
        <v>53</v>
      </c>
      <c r="C1334" s="1466" t="s">
        <v>54</v>
      </c>
      <c r="D1334" s="1467"/>
      <c r="E1334" s="1467"/>
      <c r="F1334" s="1468"/>
      <c r="G1334" s="1469"/>
      <c r="H1334" s="1469"/>
      <c r="I1334" s="1470"/>
      <c r="J1334" s="1439"/>
      <c r="K1334" s="1471"/>
      <c r="L1334" s="1415"/>
      <c r="M1334" s="1415"/>
      <c r="N1334" s="1455"/>
    </row>
    <row r="1335" spans="2:14">
      <c r="B1335" s="1472"/>
      <c r="C1335" s="1466" t="s">
        <v>4509</v>
      </c>
      <c r="D1335" s="1467"/>
      <c r="E1335" s="1467"/>
      <c r="F1335" s="1468"/>
      <c r="G1335" s="1473"/>
      <c r="H1335" s="1463" t="s">
        <v>113</v>
      </c>
      <c r="I1335" s="1474">
        <v>1.5</v>
      </c>
      <c r="J1335" s="1439">
        <v>0</v>
      </c>
      <c r="K1335" s="1475">
        <f>I1335*J1335</f>
        <v>0</v>
      </c>
      <c r="L1335" s="1415"/>
      <c r="M1335" s="1415"/>
      <c r="N1335" s="1455"/>
    </row>
    <row r="1336" spans="2:14">
      <c r="B1336" s="1472"/>
      <c r="C1336" s="1466" t="s">
        <v>4485</v>
      </c>
      <c r="D1336" s="1467"/>
      <c r="E1336" s="1467"/>
      <c r="F1336" s="1468"/>
      <c r="G1336" s="1469"/>
      <c r="H1336" s="1463" t="s">
        <v>113</v>
      </c>
      <c r="I1336" s="1474">
        <v>1</v>
      </c>
      <c r="J1336" s="1439">
        <v>0</v>
      </c>
      <c r="K1336" s="1475">
        <f>I1336*J1336</f>
        <v>0</v>
      </c>
      <c r="L1336" s="1415"/>
      <c r="M1336" s="1415"/>
      <c r="N1336" s="1455"/>
    </row>
    <row r="1337" spans="2:14">
      <c r="B1337" s="1472"/>
      <c r="C1337" s="1476"/>
      <c r="D1337" s="1477"/>
      <c r="E1337" s="1477"/>
      <c r="F1337" s="1478"/>
      <c r="G1337" s="1469"/>
      <c r="H1337" s="1469"/>
      <c r="I1337" s="1474" t="s">
        <v>64</v>
      </c>
      <c r="J1337" s="1439"/>
      <c r="K1337" s="1471">
        <f>SUM(K1335:K1336)</f>
        <v>0</v>
      </c>
      <c r="L1337" s="1415"/>
      <c r="M1337" s="1415"/>
      <c r="N1337" s="1455"/>
    </row>
    <row r="1338" spans="2:14">
      <c r="B1338" s="1465" t="s">
        <v>65</v>
      </c>
      <c r="C1338" s="1466" t="s">
        <v>66</v>
      </c>
      <c r="D1338" s="1467"/>
      <c r="E1338" s="1467"/>
      <c r="F1338" s="1468"/>
      <c r="G1338" s="1469"/>
      <c r="H1338" s="1469"/>
      <c r="I1338" s="1470"/>
      <c r="J1338" s="1439">
        <v>0</v>
      </c>
      <c r="K1338" s="1471">
        <v>0</v>
      </c>
      <c r="L1338" s="1415"/>
      <c r="M1338" s="1415"/>
      <c r="N1338" s="1455"/>
    </row>
    <row r="1339" spans="2:14">
      <c r="B1339" s="1472"/>
      <c r="C1339" s="1476"/>
      <c r="D1339" s="1477"/>
      <c r="E1339" s="1477"/>
      <c r="F1339" s="1478"/>
      <c r="G1339" s="1469"/>
      <c r="H1339" s="1469"/>
      <c r="I1339" s="1474" t="s">
        <v>67</v>
      </c>
      <c r="J1339" s="1439"/>
      <c r="K1339" s="1471">
        <v>0</v>
      </c>
      <c r="L1339" s="1415"/>
      <c r="M1339" s="1415"/>
      <c r="N1339" s="1455"/>
    </row>
    <row r="1340" spans="2:14">
      <c r="B1340" s="1465" t="s">
        <v>68</v>
      </c>
      <c r="C1340" s="1466" t="s">
        <v>69</v>
      </c>
      <c r="D1340" s="1467"/>
      <c r="E1340" s="1467"/>
      <c r="F1340" s="1468"/>
      <c r="G1340" s="1469"/>
      <c r="H1340" s="1469"/>
      <c r="I1340" s="1470"/>
      <c r="J1340" s="1439">
        <v>0</v>
      </c>
      <c r="K1340" s="1471">
        <f>K1337+K1333</f>
        <v>0</v>
      </c>
      <c r="L1340" s="1415"/>
      <c r="M1340" s="1415"/>
      <c r="N1340" s="1455"/>
    </row>
    <row r="1341" spans="2:14">
      <c r="B1341" s="1465" t="s">
        <v>70</v>
      </c>
      <c r="C1341" s="1466" t="s">
        <v>4299</v>
      </c>
      <c r="D1341" s="1467"/>
      <c r="E1341" s="1467"/>
      <c r="F1341" s="1468"/>
      <c r="G1341" s="1469"/>
      <c r="H1341" s="1469"/>
      <c r="I1341" s="1447">
        <f>$K$917</f>
        <v>0.1</v>
      </c>
      <c r="J1341" s="1439"/>
      <c r="K1341" s="1471">
        <f>K1340*I1341</f>
        <v>0</v>
      </c>
      <c r="L1341" s="1415"/>
      <c r="M1341" s="1415"/>
      <c r="N1341" s="1455"/>
    </row>
    <row r="1342" spans="2:14" ht="13">
      <c r="B1342" s="1465" t="s">
        <v>71</v>
      </c>
      <c r="C1342" s="1466" t="s">
        <v>72</v>
      </c>
      <c r="D1342" s="1467"/>
      <c r="E1342" s="1467"/>
      <c r="F1342" s="1468"/>
      <c r="G1342" s="1469"/>
      <c r="H1342" s="1469"/>
      <c r="I1342" s="1470"/>
      <c r="J1342" s="1439">
        <v>0</v>
      </c>
      <c r="K1342" s="1479">
        <v>0</v>
      </c>
      <c r="L1342" s="1415"/>
      <c r="M1342" s="1415"/>
      <c r="N1342" s="1455"/>
    </row>
    <row r="1343" spans="2:14" ht="13">
      <c r="B1343" s="1500"/>
      <c r="C1343" s="1501"/>
      <c r="D1343" s="1501"/>
      <c r="E1343" s="1501"/>
      <c r="F1343" s="1501"/>
      <c r="G1343" s="1502"/>
      <c r="H1343" s="1502"/>
      <c r="I1343" s="1503"/>
      <c r="J1343" s="1504"/>
      <c r="K1343" s="1505"/>
      <c r="L1343" s="1415"/>
      <c r="M1343" s="1415"/>
      <c r="N1343" s="1455"/>
    </row>
    <row r="1344" spans="2:14" ht="13">
      <c r="B1344" s="1453" t="s">
        <v>4510</v>
      </c>
      <c r="C1344" s="1454" t="s">
        <v>4511</v>
      </c>
      <c r="D1344" s="1454"/>
      <c r="E1344" s="1454"/>
      <c r="F1344" s="1454"/>
      <c r="G1344" s="1455"/>
      <c r="H1344" s="1415"/>
      <c r="I1344" s="1456"/>
      <c r="J1344" s="1456"/>
      <c r="K1344" s="1457"/>
      <c r="L1344" s="1423"/>
      <c r="M1344" s="1455"/>
      <c r="N1344" s="1455"/>
    </row>
    <row r="1345" spans="2:14" ht="25">
      <c r="B1345" s="1458" t="s">
        <v>40</v>
      </c>
      <c r="C1345" s="1459" t="s">
        <v>41</v>
      </c>
      <c r="D1345" s="1460"/>
      <c r="E1345" s="1460"/>
      <c r="F1345" s="1461"/>
      <c r="G1345" s="1462" t="s">
        <v>42</v>
      </c>
      <c r="H1345" s="1462" t="s">
        <v>43</v>
      </c>
      <c r="I1345" s="1463" t="s">
        <v>44</v>
      </c>
      <c r="J1345" s="1431" t="s">
        <v>474</v>
      </c>
      <c r="K1345" s="1464" t="s">
        <v>475</v>
      </c>
      <c r="L1345" s="1415"/>
      <c r="M1345" s="1415"/>
      <c r="N1345" s="1455"/>
    </row>
    <row r="1346" spans="2:14">
      <c r="B1346" s="1465" t="s">
        <v>45</v>
      </c>
      <c r="C1346" s="1466" t="s">
        <v>46</v>
      </c>
      <c r="D1346" s="1467"/>
      <c r="E1346" s="1467"/>
      <c r="F1346" s="1468"/>
      <c r="G1346" s="1469"/>
      <c r="H1346" s="1469"/>
      <c r="I1346" s="1470"/>
      <c r="J1346" s="1439"/>
      <c r="K1346" s="1471"/>
      <c r="L1346" s="1415"/>
      <c r="M1346" s="1415"/>
      <c r="N1346" s="1455"/>
    </row>
    <row r="1347" spans="2:14">
      <c r="B1347" s="1472"/>
      <c r="C1347" s="1466" t="s">
        <v>4302</v>
      </c>
      <c r="D1347" s="1467"/>
      <c r="E1347" s="1467"/>
      <c r="F1347" s="1468"/>
      <c r="G1347" s="1473" t="s">
        <v>4303</v>
      </c>
      <c r="H1347" s="1463" t="s">
        <v>48</v>
      </c>
      <c r="I1347" s="1474">
        <v>0.20699999999999999</v>
      </c>
      <c r="J1347" s="1439">
        <f>J1329</f>
        <v>0</v>
      </c>
      <c r="K1347" s="1475">
        <f>I1347*J1347</f>
        <v>0</v>
      </c>
      <c r="L1347" s="1415"/>
      <c r="M1347" s="1415"/>
      <c r="N1347" s="1455"/>
    </row>
    <row r="1348" spans="2:14">
      <c r="B1348" s="1472"/>
      <c r="C1348" s="1466" t="str">
        <f>'[205]HARGA ME'!$B$13</f>
        <v xml:space="preserve">Tukang Pipa </v>
      </c>
      <c r="D1348" s="1467"/>
      <c r="E1348" s="1467"/>
      <c r="F1348" s="1468"/>
      <c r="G1348" s="1473" t="s">
        <v>4306</v>
      </c>
      <c r="H1348" s="1463" t="s">
        <v>48</v>
      </c>
      <c r="I1348" s="1474">
        <v>0.34599999999999997</v>
      </c>
      <c r="J1348" s="1439">
        <f>J1330</f>
        <v>0</v>
      </c>
      <c r="K1348" s="1475">
        <f>I1348*J1348</f>
        <v>0</v>
      </c>
      <c r="L1348" s="1415"/>
      <c r="M1348" s="1415"/>
      <c r="N1348" s="1455"/>
    </row>
    <row r="1349" spans="2:14">
      <c r="B1349" s="1472"/>
      <c r="C1349" s="1466" t="str">
        <f>'[205]HARGA ME'!$B$9</f>
        <v>Kepala Tukang Pipa</v>
      </c>
      <c r="D1349" s="1467"/>
      <c r="E1349" s="1467"/>
      <c r="F1349" s="1468"/>
      <c r="G1349" s="1473" t="s">
        <v>4449</v>
      </c>
      <c r="H1349" s="1463" t="s">
        <v>48</v>
      </c>
      <c r="I1349" s="1474">
        <v>3.5000000000000003E-2</v>
      </c>
      <c r="J1349" s="1439">
        <f>J1331</f>
        <v>0</v>
      </c>
      <c r="K1349" s="1475">
        <f>I1349*J1349</f>
        <v>0</v>
      </c>
      <c r="L1349" s="1415"/>
      <c r="M1349" s="1415"/>
      <c r="N1349" s="1455"/>
    </row>
    <row r="1350" spans="2:14">
      <c r="B1350" s="1472"/>
      <c r="C1350" s="1466" t="s">
        <v>4308</v>
      </c>
      <c r="D1350" s="1467"/>
      <c r="E1350" s="1467"/>
      <c r="F1350" s="1468"/>
      <c r="G1350" s="1473" t="s">
        <v>4309</v>
      </c>
      <c r="H1350" s="1463" t="s">
        <v>48</v>
      </c>
      <c r="I1350" s="1474">
        <v>1.2E-2</v>
      </c>
      <c r="J1350" s="1439">
        <f>J1332</f>
        <v>0</v>
      </c>
      <c r="K1350" s="1475">
        <f>I1350*J1350</f>
        <v>0</v>
      </c>
      <c r="L1350" s="1415"/>
      <c r="M1350" s="1415"/>
      <c r="N1350" s="1455"/>
    </row>
    <row r="1351" spans="2:14">
      <c r="B1351" s="1472"/>
      <c r="C1351" s="1476"/>
      <c r="D1351" s="1477"/>
      <c r="E1351" s="1477"/>
      <c r="F1351" s="1478"/>
      <c r="G1351" s="1469"/>
      <c r="H1351" s="1469"/>
      <c r="I1351" s="1474" t="s">
        <v>52</v>
      </c>
      <c r="J1351" s="1439"/>
      <c r="K1351" s="1471">
        <f>SUM(K1347:K1350)</f>
        <v>0</v>
      </c>
      <c r="L1351" s="1415"/>
      <c r="M1351" s="1415"/>
      <c r="N1351" s="1455"/>
    </row>
    <row r="1352" spans="2:14">
      <c r="B1352" s="1465" t="s">
        <v>53</v>
      </c>
      <c r="C1352" s="1466" t="s">
        <v>54</v>
      </c>
      <c r="D1352" s="1467"/>
      <c r="E1352" s="1467"/>
      <c r="F1352" s="1468"/>
      <c r="G1352" s="1469"/>
      <c r="H1352" s="1469"/>
      <c r="I1352" s="1470"/>
      <c r="J1352" s="1439"/>
      <c r="K1352" s="1471"/>
      <c r="L1352" s="1415"/>
      <c r="M1352" s="1415"/>
      <c r="N1352" s="1455"/>
    </row>
    <row r="1353" spans="2:14">
      <c r="B1353" s="1472"/>
      <c r="C1353" s="1466" t="s">
        <v>4512</v>
      </c>
      <c r="D1353" s="1467"/>
      <c r="E1353" s="1467"/>
      <c r="F1353" s="1468"/>
      <c r="G1353" s="1473"/>
      <c r="H1353" s="1463" t="s">
        <v>113</v>
      </c>
      <c r="I1353" s="1474">
        <v>1.5</v>
      </c>
      <c r="J1353" s="1439">
        <v>0</v>
      </c>
      <c r="K1353" s="1475">
        <f>I1353*J1353</f>
        <v>0</v>
      </c>
      <c r="L1353" s="1415"/>
      <c r="M1353" s="1415"/>
      <c r="N1353" s="1455"/>
    </row>
    <row r="1354" spans="2:14">
      <c r="B1354" s="1472"/>
      <c r="C1354" s="1466" t="s">
        <v>4485</v>
      </c>
      <c r="D1354" s="1467"/>
      <c r="E1354" s="1467"/>
      <c r="F1354" s="1468"/>
      <c r="G1354" s="1469"/>
      <c r="H1354" s="1463" t="s">
        <v>113</v>
      </c>
      <c r="I1354" s="1474">
        <v>1</v>
      </c>
      <c r="J1354" s="1439">
        <v>0</v>
      </c>
      <c r="K1354" s="1475">
        <f>I1354*J1354</f>
        <v>0</v>
      </c>
      <c r="L1354" s="1415"/>
      <c r="M1354" s="1415"/>
      <c r="N1354" s="1455"/>
    </row>
    <row r="1355" spans="2:14">
      <c r="B1355" s="1472"/>
      <c r="C1355" s="1476"/>
      <c r="D1355" s="1477"/>
      <c r="E1355" s="1477"/>
      <c r="F1355" s="1478"/>
      <c r="G1355" s="1469"/>
      <c r="H1355" s="1469"/>
      <c r="I1355" s="1474" t="s">
        <v>64</v>
      </c>
      <c r="J1355" s="1439"/>
      <c r="K1355" s="1471">
        <f>SUM(K1353:K1354)</f>
        <v>0</v>
      </c>
      <c r="L1355" s="1415"/>
      <c r="M1355" s="1415"/>
      <c r="N1355" s="1455"/>
    </row>
    <row r="1356" spans="2:14">
      <c r="B1356" s="1465" t="s">
        <v>65</v>
      </c>
      <c r="C1356" s="1466" t="s">
        <v>66</v>
      </c>
      <c r="D1356" s="1467"/>
      <c r="E1356" s="1467"/>
      <c r="F1356" s="1468"/>
      <c r="G1356" s="1469"/>
      <c r="H1356" s="1469"/>
      <c r="I1356" s="1470"/>
      <c r="J1356" s="1439">
        <v>0</v>
      </c>
      <c r="K1356" s="1471">
        <v>0</v>
      </c>
      <c r="L1356" s="1415"/>
      <c r="M1356" s="1415"/>
      <c r="N1356" s="1455"/>
    </row>
    <row r="1357" spans="2:14">
      <c r="B1357" s="1472"/>
      <c r="C1357" s="1476"/>
      <c r="D1357" s="1477"/>
      <c r="E1357" s="1477"/>
      <c r="F1357" s="1478"/>
      <c r="G1357" s="1469"/>
      <c r="H1357" s="1469"/>
      <c r="I1357" s="1474" t="s">
        <v>67</v>
      </c>
      <c r="J1357" s="1439"/>
      <c r="K1357" s="1471">
        <v>0</v>
      </c>
      <c r="L1357" s="1415"/>
      <c r="M1357" s="1415"/>
      <c r="N1357" s="1455"/>
    </row>
    <row r="1358" spans="2:14">
      <c r="B1358" s="1465" t="s">
        <v>68</v>
      </c>
      <c r="C1358" s="1466" t="s">
        <v>69</v>
      </c>
      <c r="D1358" s="1467"/>
      <c r="E1358" s="1467"/>
      <c r="F1358" s="1468"/>
      <c r="G1358" s="1469"/>
      <c r="H1358" s="1469"/>
      <c r="I1358" s="1470"/>
      <c r="J1358" s="1439">
        <v>0</v>
      </c>
      <c r="K1358" s="1471">
        <f>K1355+K1351</f>
        <v>0</v>
      </c>
      <c r="L1358" s="1415"/>
      <c r="M1358" s="1415"/>
      <c r="N1358" s="1455"/>
    </row>
    <row r="1359" spans="2:14">
      <c r="B1359" s="1465" t="s">
        <v>70</v>
      </c>
      <c r="C1359" s="1466" t="s">
        <v>4299</v>
      </c>
      <c r="D1359" s="1467"/>
      <c r="E1359" s="1467"/>
      <c r="F1359" s="1468"/>
      <c r="G1359" s="1469"/>
      <c r="H1359" s="1469"/>
      <c r="I1359" s="1447">
        <f>$K$917</f>
        <v>0.1</v>
      </c>
      <c r="J1359" s="1439"/>
      <c r="K1359" s="1471">
        <f>K1358*I1359</f>
        <v>0</v>
      </c>
      <c r="L1359" s="1415"/>
      <c r="M1359" s="1415"/>
      <c r="N1359" s="1455"/>
    </row>
    <row r="1360" spans="2:14" ht="13">
      <c r="B1360" s="1465" t="s">
        <v>71</v>
      </c>
      <c r="C1360" s="1466" t="s">
        <v>72</v>
      </c>
      <c r="D1360" s="1467"/>
      <c r="E1360" s="1467"/>
      <c r="F1360" s="1468"/>
      <c r="G1360" s="1469"/>
      <c r="H1360" s="1469"/>
      <c r="I1360" s="1470"/>
      <c r="J1360" s="1439">
        <v>0</v>
      </c>
      <c r="K1360" s="1479">
        <v>0</v>
      </c>
      <c r="L1360" s="1415"/>
      <c r="M1360" s="1415"/>
      <c r="N1360" s="1455"/>
    </row>
    <row r="1361" spans="2:14" ht="13">
      <c r="B1361" s="1500"/>
      <c r="C1361" s="1501"/>
      <c r="D1361" s="1501"/>
      <c r="E1361" s="1501"/>
      <c r="F1361" s="1501"/>
      <c r="G1361" s="1502"/>
      <c r="H1361" s="1502"/>
      <c r="I1361" s="1503"/>
      <c r="J1361" s="1504"/>
      <c r="K1361" s="1505"/>
      <c r="L1361" s="1415"/>
      <c r="M1361" s="1415"/>
      <c r="N1361" s="1455"/>
    </row>
    <row r="1362" spans="2:14" ht="13">
      <c r="B1362" s="1453" t="s">
        <v>4513</v>
      </c>
      <c r="C1362" s="1506" t="s">
        <v>1333</v>
      </c>
      <c r="D1362" s="1507"/>
      <c r="E1362" s="1507"/>
      <c r="F1362" s="1508"/>
      <c r="G1362" s="1509"/>
      <c r="H1362" s="1510"/>
      <c r="I1362" s="1511"/>
      <c r="J1362" s="1511"/>
      <c r="K1362" s="1512"/>
      <c r="L1362" s="1482"/>
      <c r="M1362" s="1454"/>
      <c r="N1362" s="1483"/>
    </row>
    <row r="1363" spans="2:14" ht="25">
      <c r="B1363" s="1458" t="s">
        <v>40</v>
      </c>
      <c r="C1363" s="1459" t="s">
        <v>41</v>
      </c>
      <c r="D1363" s="1460"/>
      <c r="E1363" s="1460"/>
      <c r="F1363" s="1461"/>
      <c r="G1363" s="1462" t="s">
        <v>42</v>
      </c>
      <c r="H1363" s="1462" t="s">
        <v>43</v>
      </c>
      <c r="I1363" s="1513" t="s">
        <v>44</v>
      </c>
      <c r="J1363" s="1431" t="s">
        <v>474</v>
      </c>
      <c r="K1363" s="1464" t="s">
        <v>475</v>
      </c>
      <c r="N1363" s="1483"/>
    </row>
    <row r="1364" spans="2:14" ht="13">
      <c r="B1364" s="1465" t="s">
        <v>45</v>
      </c>
      <c r="C1364" s="1466" t="s">
        <v>46</v>
      </c>
      <c r="D1364" s="1467"/>
      <c r="E1364" s="1467"/>
      <c r="F1364" s="1468"/>
      <c r="G1364" s="1469"/>
      <c r="H1364" s="1469"/>
      <c r="I1364" s="1514"/>
      <c r="J1364" s="1439"/>
      <c r="K1364" s="1471"/>
      <c r="N1364" s="1483"/>
    </row>
    <row r="1365" spans="2:14" ht="13">
      <c r="B1365" s="1472"/>
      <c r="C1365" s="1466" t="s">
        <v>4302</v>
      </c>
      <c r="D1365" s="1467"/>
      <c r="E1365" s="1467"/>
      <c r="F1365" s="1468"/>
      <c r="G1365" s="1473" t="s">
        <v>4303</v>
      </c>
      <c r="H1365" s="1463" t="s">
        <v>48</v>
      </c>
      <c r="I1365" s="1513">
        <v>2.16</v>
      </c>
      <c r="J1365" s="1439">
        <f>J1347</f>
        <v>0</v>
      </c>
      <c r="K1365" s="1471">
        <f>J1365*I1365</f>
        <v>0</v>
      </c>
      <c r="N1365" s="1483"/>
    </row>
    <row r="1366" spans="2:14" ht="13">
      <c r="B1366" s="1472"/>
      <c r="C1366" s="1466" t="s">
        <v>81</v>
      </c>
      <c r="D1366" s="1467"/>
      <c r="E1366" s="1467"/>
      <c r="F1366" s="1468"/>
      <c r="G1366" s="1473" t="s">
        <v>4306</v>
      </c>
      <c r="H1366" s="1463" t="s">
        <v>48</v>
      </c>
      <c r="I1366" s="1513">
        <v>0.72</v>
      </c>
      <c r="J1366" s="1439">
        <f>J1348</f>
        <v>0</v>
      </c>
      <c r="K1366" s="1471">
        <f>J1366*I1366</f>
        <v>0</v>
      </c>
      <c r="N1366" s="1483"/>
    </row>
    <row r="1367" spans="2:14" ht="13">
      <c r="B1367" s="1472"/>
      <c r="C1367" s="1466" t="s">
        <v>4514</v>
      </c>
      <c r="D1367" s="1467"/>
      <c r="E1367" s="1467"/>
      <c r="F1367" s="1468"/>
      <c r="G1367" s="1473" t="s">
        <v>4449</v>
      </c>
      <c r="H1367" s="1463" t="s">
        <v>48</v>
      </c>
      <c r="I1367" s="1513">
        <v>7.1999999999999995E-2</v>
      </c>
      <c r="J1367" s="1439">
        <f>J1349</f>
        <v>0</v>
      </c>
      <c r="K1367" s="1471">
        <f>J1367*I1367</f>
        <v>0</v>
      </c>
      <c r="N1367" s="1483"/>
    </row>
    <row r="1368" spans="2:14" ht="13">
      <c r="B1368" s="1472"/>
      <c r="C1368" s="1466" t="s">
        <v>4308</v>
      </c>
      <c r="D1368" s="1467"/>
      <c r="E1368" s="1467"/>
      <c r="F1368" s="1468"/>
      <c r="G1368" s="1473" t="s">
        <v>4309</v>
      </c>
      <c r="H1368" s="1463" t="s">
        <v>48</v>
      </c>
      <c r="I1368" s="1513">
        <v>1.0999999999999999E-2</v>
      </c>
      <c r="J1368" s="1439">
        <f>J1350</f>
        <v>0</v>
      </c>
      <c r="K1368" s="1471">
        <f>J1368*I1368</f>
        <v>0</v>
      </c>
      <c r="N1368" s="1483"/>
    </row>
    <row r="1369" spans="2:14" ht="13">
      <c r="B1369" s="1472"/>
      <c r="C1369" s="1476"/>
      <c r="D1369" s="1477"/>
      <c r="E1369" s="1477"/>
      <c r="F1369" s="1478"/>
      <c r="G1369" s="1469"/>
      <c r="H1369" s="1469"/>
      <c r="I1369" s="1513" t="s">
        <v>52</v>
      </c>
      <c r="J1369" s="1439"/>
      <c r="K1369" s="1471">
        <f>SUM(K1365:K1368)</f>
        <v>0</v>
      </c>
      <c r="N1369" s="1483"/>
    </row>
    <row r="1370" spans="2:14" ht="13">
      <c r="B1370" s="1465" t="s">
        <v>53</v>
      </c>
      <c r="C1370" s="1466" t="s">
        <v>54</v>
      </c>
      <c r="D1370" s="1467"/>
      <c r="E1370" s="1467"/>
      <c r="F1370" s="1468"/>
      <c r="G1370" s="1469"/>
      <c r="H1370" s="1469"/>
      <c r="I1370" s="1514"/>
      <c r="J1370" s="1439"/>
      <c r="K1370" s="1471"/>
      <c r="N1370" s="1483"/>
    </row>
    <row r="1371" spans="2:14" ht="13">
      <c r="B1371" s="1472"/>
      <c r="C1371" s="1466" t="s">
        <v>4515</v>
      </c>
      <c r="D1371" s="1467"/>
      <c r="E1371" s="1467"/>
      <c r="F1371" s="1468"/>
      <c r="G1371" s="1473" t="s">
        <v>4516</v>
      </c>
      <c r="H1371" s="1463" t="s">
        <v>128</v>
      </c>
      <c r="I1371" s="1513">
        <v>40</v>
      </c>
      <c r="J1371" s="1439">
        <v>0</v>
      </c>
      <c r="K1371" s="1471">
        <f t="shared" ref="K1371:K1376" si="16">J1371*I1371</f>
        <v>0</v>
      </c>
      <c r="N1371" s="1483"/>
    </row>
    <row r="1372" spans="2:14" ht="13">
      <c r="B1372" s="1472"/>
      <c r="C1372" s="1466" t="s">
        <v>4517</v>
      </c>
      <c r="D1372" s="1467"/>
      <c r="E1372" s="1467"/>
      <c r="F1372" s="1468"/>
      <c r="G1372" s="1473" t="s">
        <v>4518</v>
      </c>
      <c r="H1372" s="1463" t="s">
        <v>57</v>
      </c>
      <c r="I1372" s="1513">
        <v>44</v>
      </c>
      <c r="J1372" s="1439">
        <v>0</v>
      </c>
      <c r="K1372" s="1471">
        <f t="shared" si="16"/>
        <v>0</v>
      </c>
      <c r="N1372" s="1483"/>
    </row>
    <row r="1373" spans="2:14" ht="13">
      <c r="B1373" s="1472"/>
      <c r="C1373" s="1466" t="s">
        <v>4519</v>
      </c>
      <c r="D1373" s="1467"/>
      <c r="E1373" s="1467"/>
      <c r="F1373" s="1468"/>
      <c r="G1373" s="1473" t="s">
        <v>4520</v>
      </c>
      <c r="H1373" s="1463" t="s">
        <v>375</v>
      </c>
      <c r="I1373" s="1513">
        <v>7.0000000000000007E-2</v>
      </c>
      <c r="J1373" s="1439">
        <v>0</v>
      </c>
      <c r="K1373" s="1471">
        <f t="shared" si="16"/>
        <v>0</v>
      </c>
      <c r="N1373" s="1483"/>
    </row>
    <row r="1374" spans="2:14" ht="13">
      <c r="B1374" s="1472"/>
      <c r="C1374" s="1466" t="s">
        <v>4519</v>
      </c>
      <c r="D1374" s="1467"/>
      <c r="E1374" s="1467"/>
      <c r="F1374" s="1468"/>
      <c r="G1374" s="1473" t="s">
        <v>4520</v>
      </c>
      <c r="H1374" s="1463" t="s">
        <v>375</v>
      </c>
      <c r="I1374" s="1513">
        <v>0.06</v>
      </c>
      <c r="J1374" s="1439">
        <v>0</v>
      </c>
      <c r="K1374" s="1471">
        <f t="shared" si="16"/>
        <v>0</v>
      </c>
      <c r="N1374" s="1483"/>
    </row>
    <row r="1375" spans="2:14" ht="13">
      <c r="B1375" s="1472"/>
      <c r="C1375" s="1515" t="s">
        <v>59</v>
      </c>
      <c r="D1375" s="1516"/>
      <c r="E1375" s="1516"/>
      <c r="F1375" s="1517"/>
      <c r="G1375" s="1473" t="s">
        <v>4521</v>
      </c>
      <c r="H1375" s="1463" t="s">
        <v>375</v>
      </c>
      <c r="I1375" s="1513">
        <v>7.0000000000000007E-2</v>
      </c>
      <c r="J1375" s="1439">
        <v>0</v>
      </c>
      <c r="K1375" s="1471">
        <f t="shared" si="16"/>
        <v>0</v>
      </c>
      <c r="N1375" s="1483"/>
    </row>
    <row r="1376" spans="2:14" ht="13">
      <c r="B1376" s="1472"/>
      <c r="C1376" s="1466" t="s">
        <v>4522</v>
      </c>
      <c r="D1376" s="1467"/>
      <c r="E1376" s="1467"/>
      <c r="F1376" s="1468"/>
      <c r="G1376" s="1473" t="s">
        <v>4523</v>
      </c>
      <c r="H1376" s="1463" t="s">
        <v>57</v>
      </c>
      <c r="I1376" s="1513">
        <v>1.6</v>
      </c>
      <c r="J1376" s="1439">
        <v>0</v>
      </c>
      <c r="K1376" s="1471">
        <f t="shared" si="16"/>
        <v>0</v>
      </c>
      <c r="N1376" s="1483"/>
    </row>
    <row r="1377" spans="2:14" ht="13">
      <c r="B1377" s="1472"/>
      <c r="C1377" s="1476"/>
      <c r="D1377" s="1477"/>
      <c r="E1377" s="1477"/>
      <c r="F1377" s="1478"/>
      <c r="G1377" s="1469"/>
      <c r="H1377" s="1469"/>
      <c r="I1377" s="1513" t="s">
        <v>64</v>
      </c>
      <c r="J1377" s="1439"/>
      <c r="K1377" s="1471">
        <f>SUM(K1371:K1376)</f>
        <v>0</v>
      </c>
      <c r="N1377" s="1483"/>
    </row>
    <row r="1378" spans="2:14" ht="13">
      <c r="B1378" s="1465" t="s">
        <v>65</v>
      </c>
      <c r="C1378" s="1466" t="s">
        <v>66</v>
      </c>
      <c r="D1378" s="1467"/>
      <c r="E1378" s="1467"/>
      <c r="F1378" s="1468"/>
      <c r="G1378" s="1469"/>
      <c r="H1378" s="1469"/>
      <c r="I1378" s="1514"/>
      <c r="J1378" s="1439"/>
      <c r="K1378" s="1471"/>
      <c r="N1378" s="1483"/>
    </row>
    <row r="1379" spans="2:14" ht="13">
      <c r="B1379" s="1472"/>
      <c r="C1379" s="1476"/>
      <c r="D1379" s="1477"/>
      <c r="E1379" s="1477"/>
      <c r="F1379" s="1478"/>
      <c r="G1379" s="1469"/>
      <c r="H1379" s="1469"/>
      <c r="I1379" s="1513" t="s">
        <v>67</v>
      </c>
      <c r="J1379" s="1439"/>
      <c r="K1379" s="1471">
        <v>0</v>
      </c>
      <c r="N1379" s="1483"/>
    </row>
    <row r="1380" spans="2:14" ht="13">
      <c r="B1380" s="1465" t="s">
        <v>68</v>
      </c>
      <c r="C1380" s="1466" t="s">
        <v>69</v>
      </c>
      <c r="D1380" s="1467"/>
      <c r="E1380" s="1467"/>
      <c r="F1380" s="1468"/>
      <c r="G1380" s="1469"/>
      <c r="H1380" s="1469"/>
      <c r="I1380" s="1514"/>
      <c r="J1380" s="1439"/>
      <c r="K1380" s="1471">
        <f>K1377+K1369</f>
        <v>0</v>
      </c>
      <c r="N1380" s="1483"/>
    </row>
    <row r="1381" spans="2:14" ht="13">
      <c r="B1381" s="1465" t="s">
        <v>70</v>
      </c>
      <c r="C1381" s="1466" t="s">
        <v>4299</v>
      </c>
      <c r="D1381" s="1467"/>
      <c r="E1381" s="1467"/>
      <c r="F1381" s="1468"/>
      <c r="G1381" s="1469"/>
      <c r="H1381" s="1469"/>
      <c r="I1381" s="1447">
        <f>$K$917</f>
        <v>0.1</v>
      </c>
      <c r="J1381" s="1439"/>
      <c r="K1381" s="1471">
        <f>K1380*I1381</f>
        <v>0</v>
      </c>
      <c r="N1381" s="1483"/>
    </row>
    <row r="1382" spans="2:14" ht="13">
      <c r="B1382" s="1465" t="s">
        <v>71</v>
      </c>
      <c r="C1382" s="1466" t="s">
        <v>72</v>
      </c>
      <c r="D1382" s="1467"/>
      <c r="E1382" s="1467"/>
      <c r="F1382" s="1468"/>
      <c r="G1382" s="1469"/>
      <c r="H1382" s="1469"/>
      <c r="I1382" s="1514"/>
      <c r="J1382" s="1439"/>
      <c r="K1382" s="1471">
        <v>0</v>
      </c>
      <c r="N1382" s="1483"/>
    </row>
    <row r="1383" spans="2:14">
      <c r="B1383" s="1518"/>
      <c r="C1383" s="1076"/>
      <c r="D1383" s="1076"/>
      <c r="E1383" s="1076"/>
      <c r="F1383" s="1076"/>
      <c r="G1383" s="1076"/>
      <c r="H1383" s="1076"/>
      <c r="J1383" s="559"/>
      <c r="N1383" s="1076"/>
    </row>
    <row r="1384" spans="2:14" ht="13">
      <c r="B1384" s="1519"/>
      <c r="C1384" s="1520"/>
      <c r="D1384" s="1520"/>
      <c r="E1384" s="1520"/>
      <c r="F1384" s="1520"/>
      <c r="G1384" s="1456"/>
      <c r="H1384" s="1456"/>
      <c r="I1384" s="1457"/>
      <c r="J1384" s="1451"/>
      <c r="K1384" s="1521"/>
      <c r="L1384" s="1415"/>
      <c r="M1384" s="1415"/>
      <c r="N1384" s="1455"/>
    </row>
    <row r="1385" spans="2:14">
      <c r="B1385" s="1416"/>
      <c r="C1385" s="1415"/>
      <c r="D1385" s="1415"/>
      <c r="E1385" s="1415"/>
      <c r="F1385" s="1415"/>
      <c r="G1385" s="1415"/>
      <c r="H1385" s="1415"/>
      <c r="I1385" s="1415"/>
      <c r="J1385" s="1415"/>
      <c r="K1385" s="1415"/>
    </row>
    <row r="1386" spans="2:14" ht="13">
      <c r="B1386" s="1675" t="s">
        <v>4524</v>
      </c>
      <c r="C1386" s="1675"/>
      <c r="D1386" s="1675"/>
      <c r="E1386" s="1675"/>
      <c r="F1386" s="1675"/>
      <c r="G1386" s="1675"/>
      <c r="H1386" s="1675"/>
      <c r="I1386" s="1675"/>
      <c r="J1386" s="1675"/>
      <c r="K1386" s="1675"/>
    </row>
    <row r="1387" spans="2:14">
      <c r="B1387" s="1416"/>
      <c r="C1387" s="1417">
        <v>0.15</v>
      </c>
      <c r="D1387" s="1415"/>
      <c r="E1387" s="1415"/>
      <c r="F1387" s="1415"/>
      <c r="G1387" s="1415"/>
      <c r="H1387" s="1415"/>
      <c r="I1387" s="1415"/>
      <c r="J1387" s="1415"/>
      <c r="K1387" s="1417">
        <v>0.1</v>
      </c>
    </row>
    <row r="1388" spans="2:14" ht="13">
      <c r="B1388" s="1676" t="s">
        <v>4419</v>
      </c>
      <c r="C1388" s="1678" t="s">
        <v>4420</v>
      </c>
      <c r="D1388" s="1679"/>
      <c r="E1388" s="1679"/>
      <c r="F1388" s="1679"/>
      <c r="G1388" s="1679"/>
      <c r="H1388" s="1680"/>
      <c r="I1388" s="1522" t="s">
        <v>366</v>
      </c>
      <c r="J1388" s="1522" t="s">
        <v>4421</v>
      </c>
      <c r="K1388" s="1522" t="s">
        <v>3895</v>
      </c>
    </row>
    <row r="1389" spans="2:14" ht="13.5" thickBot="1">
      <c r="B1389" s="1677"/>
      <c r="C1389" s="1681"/>
      <c r="D1389" s="1682"/>
      <c r="E1389" s="1682"/>
      <c r="F1389" s="1682"/>
      <c r="G1389" s="1682"/>
      <c r="H1389" s="1683"/>
      <c r="I1389" s="1523" t="s">
        <v>4422</v>
      </c>
      <c r="J1389" s="1523" t="s">
        <v>4422</v>
      </c>
      <c r="K1389" s="1523" t="s">
        <v>4422</v>
      </c>
    </row>
    <row r="1390" spans="2:14" ht="14" thickTop="1" thickBot="1">
      <c r="B1390" s="1524" t="s">
        <v>4423</v>
      </c>
      <c r="C1390" s="1684" t="s">
        <v>4424</v>
      </c>
      <c r="D1390" s="1685"/>
      <c r="E1390" s="1685"/>
      <c r="F1390" s="1685"/>
      <c r="G1390" s="1685"/>
      <c r="H1390" s="1686"/>
      <c r="I1390" s="1525" t="s">
        <v>4425</v>
      </c>
      <c r="J1390" s="1526" t="s">
        <v>4426</v>
      </c>
      <c r="K1390" s="1526" t="s">
        <v>4427</v>
      </c>
    </row>
    <row r="1391" spans="2:14" ht="13.5" thickTop="1">
      <c r="B1391" s="1527" t="s">
        <v>4525</v>
      </c>
      <c r="C1391" s="1528" t="s">
        <v>4526</v>
      </c>
      <c r="D1391" s="1529"/>
      <c r="E1391" s="1529"/>
      <c r="F1391" s="1529"/>
      <c r="G1391" s="1529"/>
      <c r="H1391" s="1529"/>
      <c r="I1391" s="1530"/>
      <c r="J1391" s="1531"/>
      <c r="K1391" s="1531">
        <f>I1397+J1397</f>
        <v>0</v>
      </c>
    </row>
    <row r="1392" spans="2:14" ht="13">
      <c r="B1392" s="1392" t="s">
        <v>4428</v>
      </c>
      <c r="C1392" s="1532">
        <v>1</v>
      </c>
      <c r="D1392" s="1399" t="s">
        <v>215</v>
      </c>
      <c r="E1392" s="1533" t="s">
        <v>4196</v>
      </c>
      <c r="F1392" s="1533"/>
      <c r="G1392" s="1533"/>
      <c r="H1392" s="1534">
        <f>'[205]HARGA ME'!D140</f>
        <v>945500</v>
      </c>
      <c r="I1392" s="1535"/>
      <c r="J1392" s="1536">
        <v>0</v>
      </c>
      <c r="K1392" s="1537"/>
    </row>
    <row r="1393" spans="2:11" ht="13">
      <c r="B1393" s="1392"/>
      <c r="C1393" s="1532">
        <v>1</v>
      </c>
      <c r="D1393" s="1399" t="s">
        <v>259</v>
      </c>
      <c r="E1393" s="1403" t="s">
        <v>4445</v>
      </c>
      <c r="F1393" s="1403"/>
      <c r="G1393" s="1403"/>
      <c r="H1393" s="1534">
        <v>15000</v>
      </c>
      <c r="I1393" s="1535"/>
      <c r="J1393" s="1536">
        <v>0</v>
      </c>
      <c r="K1393" s="1537"/>
    </row>
    <row r="1394" spans="2:11" ht="13">
      <c r="B1394" s="1392"/>
      <c r="C1394" s="1532">
        <v>0.6</v>
      </c>
      <c r="D1394" s="1399" t="s">
        <v>3257</v>
      </c>
      <c r="E1394" s="1403" t="s">
        <v>4439</v>
      </c>
      <c r="F1394" s="1403"/>
      <c r="G1394" s="1403"/>
      <c r="H1394" s="1534">
        <f>J1365</f>
        <v>0</v>
      </c>
      <c r="I1394" s="1538">
        <f>H1394*C1394</f>
        <v>0</v>
      </c>
      <c r="J1394" s="1539"/>
      <c r="K1394" s="1406"/>
    </row>
    <row r="1395" spans="2:11" ht="13">
      <c r="B1395" s="1392"/>
      <c r="C1395" s="1532"/>
      <c r="D1395" s="1399"/>
      <c r="E1395" s="1403" t="s">
        <v>3892</v>
      </c>
      <c r="F1395" s="1403"/>
      <c r="G1395" s="1403"/>
      <c r="H1395" s="1534"/>
      <c r="I1395" s="1535">
        <f>I1394</f>
        <v>0</v>
      </c>
      <c r="J1395" s="1535">
        <f>SUM(J1392:J1394)</f>
        <v>0</v>
      </c>
      <c r="K1395" s="1537"/>
    </row>
    <row r="1396" spans="2:11" ht="13">
      <c r="B1396" s="1392"/>
      <c r="C1396" s="1540">
        <f>$K$1387</f>
        <v>0.1</v>
      </c>
      <c r="D1396" s="1399"/>
      <c r="E1396" s="1403" t="s">
        <v>4339</v>
      </c>
      <c r="F1396" s="1403"/>
      <c r="G1396" s="1403"/>
      <c r="H1396" s="1534">
        <f>J1395+I1395</f>
        <v>0</v>
      </c>
      <c r="I1396" s="1535"/>
      <c r="J1396" s="1536">
        <f>C1396*H1396</f>
        <v>0</v>
      </c>
      <c r="K1396" s="1537"/>
    </row>
    <row r="1397" spans="2:11" ht="13">
      <c r="B1397" s="1409"/>
      <c r="C1397" s="1541"/>
      <c r="D1397" s="1411"/>
      <c r="E1397" s="1412" t="s">
        <v>4440</v>
      </c>
      <c r="F1397" s="1412"/>
      <c r="G1397" s="1412"/>
      <c r="H1397" s="1542"/>
      <c r="I1397" s="1543">
        <f>SUM(I1395:I1396)</f>
        <v>0</v>
      </c>
      <c r="J1397" s="1536">
        <f>ROUNDUP(J1395+J1396,-2)</f>
        <v>0</v>
      </c>
      <c r="K1397" s="1544"/>
    </row>
    <row r="1398" spans="2:11" ht="13">
      <c r="B1398" s="1545"/>
      <c r="C1398" s="1546"/>
      <c r="D1398" s="1547"/>
      <c r="E1398" s="1548"/>
      <c r="F1398" s="1548"/>
      <c r="G1398" s="1548"/>
      <c r="H1398" s="1549"/>
      <c r="I1398" s="1549"/>
      <c r="J1398" s="1549"/>
      <c r="K1398" s="1550"/>
    </row>
    <row r="1399" spans="2:11" ht="13">
      <c r="B1399" s="1527" t="s">
        <v>4527</v>
      </c>
      <c r="C1399" s="1551" t="s">
        <v>4528</v>
      </c>
      <c r="D1399" s="1399"/>
      <c r="E1399" s="1403"/>
      <c r="F1399" s="1403"/>
      <c r="G1399" s="1403"/>
      <c r="H1399" s="1534"/>
      <c r="I1399" s="1535"/>
      <c r="J1399" s="1536"/>
      <c r="K1399" s="1537">
        <f>I1407+J1407</f>
        <v>0</v>
      </c>
    </row>
    <row r="1400" spans="2:11" ht="13">
      <c r="B1400" s="1392" t="s">
        <v>4428</v>
      </c>
      <c r="C1400" s="1532">
        <v>1</v>
      </c>
      <c r="D1400" s="1399" t="s">
        <v>3256</v>
      </c>
      <c r="E1400" s="1552" t="s">
        <v>4529</v>
      </c>
      <c r="F1400" s="1552"/>
      <c r="G1400" s="1552"/>
      <c r="H1400" s="1534"/>
      <c r="I1400" s="1535"/>
      <c r="J1400" s="1536"/>
      <c r="K1400" s="1537"/>
    </row>
    <row r="1401" spans="2:11" ht="13">
      <c r="B1401" s="1392"/>
      <c r="C1401" s="1532">
        <v>45</v>
      </c>
      <c r="D1401" s="1399" t="s">
        <v>3170</v>
      </c>
      <c r="E1401" s="1403" t="s">
        <v>4530</v>
      </c>
      <c r="F1401" s="1403"/>
      <c r="G1401" s="1403"/>
      <c r="H1401" s="1534">
        <v>9700</v>
      </c>
      <c r="I1401" s="1535"/>
      <c r="J1401" s="1536">
        <v>0</v>
      </c>
      <c r="K1401" s="1537"/>
    </row>
    <row r="1402" spans="2:11" ht="13">
      <c r="B1402" s="1392"/>
      <c r="C1402" s="1532">
        <v>45</v>
      </c>
      <c r="D1402" s="1399" t="s">
        <v>3170</v>
      </c>
      <c r="E1402" s="1403" t="s">
        <v>4336</v>
      </c>
      <c r="F1402" s="1403"/>
      <c r="G1402" s="1403"/>
      <c r="H1402" s="1534">
        <v>4000</v>
      </c>
      <c r="I1402" s="1535"/>
      <c r="J1402" s="1536">
        <v>0</v>
      </c>
      <c r="K1402" s="1537"/>
    </row>
    <row r="1403" spans="2:11" ht="13">
      <c r="B1403" s="1392"/>
      <c r="C1403" s="1532">
        <v>1</v>
      </c>
      <c r="D1403" s="1399" t="s">
        <v>3257</v>
      </c>
      <c r="E1403" s="1403" t="s">
        <v>4531</v>
      </c>
      <c r="F1403" s="1403"/>
      <c r="G1403" s="1403"/>
      <c r="H1403" s="1534">
        <v>15000</v>
      </c>
      <c r="I1403" s="1535"/>
      <c r="J1403" s="1536">
        <v>0</v>
      </c>
      <c r="K1403" s="1537"/>
    </row>
    <row r="1404" spans="2:11" ht="13">
      <c r="B1404" s="1392"/>
      <c r="C1404" s="1532">
        <v>0.8</v>
      </c>
      <c r="D1404" s="1399" t="s">
        <v>3257</v>
      </c>
      <c r="E1404" s="1403" t="s">
        <v>4439</v>
      </c>
      <c r="F1404" s="1403"/>
      <c r="G1404" s="1403"/>
      <c r="H1404" s="1534">
        <f>H1394</f>
        <v>0</v>
      </c>
      <c r="I1404" s="1538">
        <f>H1404*C1404</f>
        <v>0</v>
      </c>
      <c r="J1404" s="1539"/>
      <c r="K1404" s="1406"/>
    </row>
    <row r="1405" spans="2:11" ht="13">
      <c r="B1405" s="1392"/>
      <c r="C1405" s="1532"/>
      <c r="D1405" s="1399"/>
      <c r="E1405" s="1403" t="s">
        <v>3892</v>
      </c>
      <c r="F1405" s="1403"/>
      <c r="G1405" s="1403"/>
      <c r="H1405" s="1534"/>
      <c r="I1405" s="1535">
        <f>I1404</f>
        <v>0</v>
      </c>
      <c r="J1405" s="1535">
        <f>SUM(J1401:J1404)</f>
        <v>0</v>
      </c>
      <c r="K1405" s="1537"/>
    </row>
    <row r="1406" spans="2:11" ht="13">
      <c r="B1406" s="1392"/>
      <c r="C1406" s="1540">
        <f>$K$1387</f>
        <v>0.1</v>
      </c>
      <c r="D1406" s="1399"/>
      <c r="E1406" s="1403" t="s">
        <v>4339</v>
      </c>
      <c r="F1406" s="1403"/>
      <c r="G1406" s="1403"/>
      <c r="H1406" s="1534">
        <f>J1405+I1405</f>
        <v>0</v>
      </c>
      <c r="I1406" s="1535"/>
      <c r="J1406" s="1536">
        <f>C1406*H1406</f>
        <v>0</v>
      </c>
      <c r="K1406" s="1537"/>
    </row>
    <row r="1407" spans="2:11" ht="13">
      <c r="B1407" s="1409"/>
      <c r="C1407" s="1541"/>
      <c r="D1407" s="1411"/>
      <c r="E1407" s="1412" t="s">
        <v>4440</v>
      </c>
      <c r="F1407" s="1412"/>
      <c r="G1407" s="1412"/>
      <c r="H1407" s="1542"/>
      <c r="I1407" s="1543">
        <f>SUM(I1405:I1406)</f>
        <v>0</v>
      </c>
      <c r="J1407" s="1536">
        <f>ROUNDUP(J1405+J1406,-2)</f>
        <v>0</v>
      </c>
      <c r="K1407" s="1544"/>
    </row>
    <row r="1408" spans="2:11" ht="13">
      <c r="B1408" s="1545"/>
      <c r="C1408" s="1546"/>
      <c r="D1408" s="1547"/>
      <c r="E1408" s="1548"/>
      <c r="F1408" s="1548"/>
      <c r="G1408" s="1548"/>
      <c r="H1408" s="1549"/>
      <c r="I1408" s="1549"/>
      <c r="J1408" s="1549"/>
      <c r="K1408" s="1550"/>
    </row>
    <row r="1409" spans="2:11" ht="13">
      <c r="B1409" s="1527" t="s">
        <v>4532</v>
      </c>
      <c r="C1409" s="1553" t="s">
        <v>4533</v>
      </c>
      <c r="D1409" s="1399"/>
      <c r="E1409" s="1403"/>
      <c r="F1409" s="1403"/>
      <c r="G1409" s="1403"/>
      <c r="H1409" s="1534"/>
      <c r="I1409" s="1554"/>
      <c r="J1409" s="1554"/>
      <c r="K1409" s="1555">
        <f>I1417+J1417</f>
        <v>0</v>
      </c>
    </row>
    <row r="1410" spans="2:11" ht="13">
      <c r="B1410" s="1392" t="s">
        <v>4428</v>
      </c>
      <c r="C1410" s="1532">
        <v>1</v>
      </c>
      <c r="D1410" s="1399" t="s">
        <v>2333</v>
      </c>
      <c r="E1410" s="1556" t="s">
        <v>4534</v>
      </c>
      <c r="F1410" s="1556"/>
      <c r="G1410" s="1556"/>
      <c r="H1410" s="1534"/>
      <c r="I1410" s="1535"/>
      <c r="J1410" s="1536"/>
      <c r="K1410" s="1537"/>
    </row>
    <row r="1411" spans="2:11" ht="13">
      <c r="B1411" s="1392"/>
      <c r="C1411" s="1532">
        <v>1</v>
      </c>
      <c r="D1411" s="1399" t="s">
        <v>2333</v>
      </c>
      <c r="E1411" s="1533" t="s">
        <v>4535</v>
      </c>
      <c r="F1411" s="1533"/>
      <c r="G1411" s="1533"/>
      <c r="H1411" s="1534">
        <f>'[205]HARGA ME'!D143</f>
        <v>1028000</v>
      </c>
      <c r="I1411" s="1535"/>
      <c r="J1411" s="1536">
        <v>0</v>
      </c>
      <c r="K1411" s="1537"/>
    </row>
    <row r="1412" spans="2:11" ht="13">
      <c r="B1412" s="1392"/>
      <c r="C1412" s="1532">
        <v>1</v>
      </c>
      <c r="D1412" s="1399" t="s">
        <v>2333</v>
      </c>
      <c r="E1412" s="1403" t="s">
        <v>4536</v>
      </c>
      <c r="F1412" s="1403"/>
      <c r="G1412" s="1403"/>
      <c r="H1412" s="1557" t="s">
        <v>4537</v>
      </c>
      <c r="I1412" s="1535"/>
      <c r="J1412" s="1536"/>
      <c r="K1412" s="1537"/>
    </row>
    <row r="1413" spans="2:11" ht="13">
      <c r="B1413" s="1392"/>
      <c r="C1413" s="1532">
        <v>1</v>
      </c>
      <c r="D1413" s="1399" t="s">
        <v>3257</v>
      </c>
      <c r="E1413" s="1403" t="s">
        <v>4445</v>
      </c>
      <c r="F1413" s="1403"/>
      <c r="G1413" s="1403"/>
      <c r="H1413" s="1534">
        <v>41250</v>
      </c>
      <c r="I1413" s="1535"/>
      <c r="J1413" s="1536">
        <v>0</v>
      </c>
      <c r="K1413" s="1537"/>
    </row>
    <row r="1414" spans="2:11" ht="13">
      <c r="B1414" s="1392"/>
      <c r="C1414" s="1532">
        <v>1</v>
      </c>
      <c r="D1414" s="1399" t="s">
        <v>3257</v>
      </c>
      <c r="E1414" s="1403" t="s">
        <v>4439</v>
      </c>
      <c r="F1414" s="1403"/>
      <c r="G1414" s="1403"/>
      <c r="H1414" s="1534">
        <f>H1404</f>
        <v>0</v>
      </c>
      <c r="I1414" s="1538">
        <f>H1414*C1414</f>
        <v>0</v>
      </c>
      <c r="J1414" s="1539"/>
      <c r="K1414" s="1406"/>
    </row>
    <row r="1415" spans="2:11" ht="13">
      <c r="B1415" s="1392"/>
      <c r="C1415" s="1532"/>
      <c r="D1415" s="1399"/>
      <c r="E1415" s="1403" t="s">
        <v>3892</v>
      </c>
      <c r="F1415" s="1403"/>
      <c r="G1415" s="1403"/>
      <c r="H1415" s="1534"/>
      <c r="I1415" s="1535">
        <f>I1414</f>
        <v>0</v>
      </c>
      <c r="J1415" s="1535">
        <v>0</v>
      </c>
      <c r="K1415" s="1537"/>
    </row>
    <row r="1416" spans="2:11" ht="13">
      <c r="B1416" s="1392"/>
      <c r="C1416" s="1540">
        <f>$K$1387</f>
        <v>0.1</v>
      </c>
      <c r="D1416" s="1399"/>
      <c r="E1416" s="1403" t="s">
        <v>4339</v>
      </c>
      <c r="F1416" s="1403"/>
      <c r="G1416" s="1403"/>
      <c r="H1416" s="1534">
        <f>J1415+I1415</f>
        <v>0</v>
      </c>
      <c r="I1416" s="1535"/>
      <c r="J1416" s="1536">
        <f>C1416*H1416</f>
        <v>0</v>
      </c>
      <c r="K1416" s="1537"/>
    </row>
    <row r="1417" spans="2:11" ht="13">
      <c r="B1417" s="1409"/>
      <c r="C1417" s="1541"/>
      <c r="D1417" s="1411"/>
      <c r="E1417" s="1412" t="s">
        <v>4440</v>
      </c>
      <c r="F1417" s="1412"/>
      <c r="G1417" s="1412"/>
      <c r="H1417" s="1542"/>
      <c r="I1417" s="1543">
        <f>SUM(I1415:I1416)</f>
        <v>0</v>
      </c>
      <c r="J1417" s="1536">
        <f>ROUNDUP(J1415+J1416,-2)</f>
        <v>0</v>
      </c>
      <c r="K1417" s="1544"/>
    </row>
    <row r="1418" spans="2:11" ht="13">
      <c r="B1418" s="1545"/>
      <c r="C1418" s="1546"/>
      <c r="D1418" s="1547"/>
      <c r="E1418" s="1548"/>
      <c r="F1418" s="1548"/>
      <c r="G1418" s="1548"/>
      <c r="H1418" s="1549"/>
      <c r="I1418" s="1549"/>
      <c r="J1418" s="1549"/>
      <c r="K1418" s="1550"/>
    </row>
    <row r="1419" spans="2:11" ht="13">
      <c r="B1419" s="1527" t="s">
        <v>4538</v>
      </c>
      <c r="C1419" s="1672" t="s">
        <v>4539</v>
      </c>
      <c r="D1419" s="1673"/>
      <c r="E1419" s="1673"/>
      <c r="F1419" s="1673"/>
      <c r="G1419" s="1673"/>
      <c r="H1419" s="1674"/>
      <c r="I1419" s="1535"/>
      <c r="J1419" s="1536"/>
      <c r="K1419" s="1537">
        <f>J1426+I1424</f>
        <v>0</v>
      </c>
    </row>
    <row r="1420" spans="2:11" ht="13">
      <c r="B1420" s="1392" t="s">
        <v>4428</v>
      </c>
      <c r="C1420" s="1532">
        <v>1</v>
      </c>
      <c r="D1420" s="1399" t="s">
        <v>2333</v>
      </c>
      <c r="E1420" s="1533" t="str">
        <f>C1419</f>
        <v>IP PTZ Camera PoE</v>
      </c>
      <c r="F1420" s="1533"/>
      <c r="G1420" s="1533"/>
      <c r="H1420" s="1534">
        <f>'[205]HARGA ME'!D142</f>
        <v>4253000</v>
      </c>
      <c r="I1420" s="1535"/>
      <c r="J1420" s="1536">
        <v>0</v>
      </c>
      <c r="K1420" s="1537"/>
    </row>
    <row r="1421" spans="2:11" ht="13">
      <c r="B1421" s="1392"/>
      <c r="C1421" s="1532">
        <v>1</v>
      </c>
      <c r="D1421" s="1399" t="s">
        <v>259</v>
      </c>
      <c r="E1421" s="1403" t="s">
        <v>4536</v>
      </c>
      <c r="F1421" s="1403"/>
      <c r="G1421" s="1403"/>
      <c r="H1421" s="1557" t="s">
        <v>4537</v>
      </c>
      <c r="I1421" s="1535"/>
      <c r="J1421" s="1536"/>
      <c r="K1421" s="1537"/>
    </row>
    <row r="1422" spans="2:11" ht="13">
      <c r="B1422" s="1392"/>
      <c r="C1422" s="1532">
        <v>1</v>
      </c>
      <c r="D1422" s="1399" t="s">
        <v>3257</v>
      </c>
      <c r="E1422" s="1403" t="s">
        <v>4445</v>
      </c>
      <c r="F1422" s="1403"/>
      <c r="G1422" s="1403"/>
      <c r="H1422" s="1534">
        <v>38250</v>
      </c>
      <c r="I1422" s="1535"/>
      <c r="J1422" s="1536">
        <v>0</v>
      </c>
      <c r="K1422" s="1537"/>
    </row>
    <row r="1423" spans="2:11" ht="13">
      <c r="B1423" s="1392"/>
      <c r="C1423" s="1532">
        <v>1</v>
      </c>
      <c r="D1423" s="1399" t="s">
        <v>3257</v>
      </c>
      <c r="E1423" s="1403" t="s">
        <v>4439</v>
      </c>
      <c r="F1423" s="1403"/>
      <c r="G1423" s="1403"/>
      <c r="H1423" s="1534">
        <f>H1404</f>
        <v>0</v>
      </c>
      <c r="I1423" s="1538">
        <f>H1423*C1423</f>
        <v>0</v>
      </c>
      <c r="J1423" s="1539"/>
      <c r="K1423" s="1406"/>
    </row>
    <row r="1424" spans="2:11" ht="13">
      <c r="B1424" s="1392"/>
      <c r="C1424" s="1532"/>
      <c r="D1424" s="1399"/>
      <c r="E1424" s="1403" t="s">
        <v>3892</v>
      </c>
      <c r="F1424" s="1403"/>
      <c r="G1424" s="1403"/>
      <c r="H1424" s="1534"/>
      <c r="I1424" s="1535">
        <f>I1423</f>
        <v>0</v>
      </c>
      <c r="J1424" s="1535">
        <f>SUM(J1420:J1423)</f>
        <v>0</v>
      </c>
      <c r="K1424" s="1537"/>
    </row>
    <row r="1425" spans="2:11" ht="13">
      <c r="B1425" s="1392"/>
      <c r="C1425" s="1540">
        <f>$K$1387</f>
        <v>0.1</v>
      </c>
      <c r="D1425" s="1399"/>
      <c r="E1425" s="1403" t="s">
        <v>4339</v>
      </c>
      <c r="F1425" s="1403"/>
      <c r="G1425" s="1403"/>
      <c r="H1425" s="1534">
        <f>J1424+I1424</f>
        <v>0</v>
      </c>
      <c r="I1425" s="1535"/>
      <c r="J1425" s="1536">
        <f>C1425*H1425</f>
        <v>0</v>
      </c>
      <c r="K1425" s="1537"/>
    </row>
    <row r="1426" spans="2:11" ht="13">
      <c r="B1426" s="1409"/>
      <c r="C1426" s="1541"/>
      <c r="D1426" s="1411"/>
      <c r="E1426" s="1412" t="s">
        <v>4440</v>
      </c>
      <c r="F1426" s="1412"/>
      <c r="G1426" s="1412"/>
      <c r="H1426" s="1542"/>
      <c r="I1426" s="1543">
        <f>SUM(I1424:I1425)</f>
        <v>0</v>
      </c>
      <c r="J1426" s="1536">
        <f>ROUNDUP(J1424+J1425,-2)</f>
        <v>0</v>
      </c>
      <c r="K1426" s="1544"/>
    </row>
    <row r="1427" spans="2:11" ht="13">
      <c r="B1427" s="1545"/>
      <c r="C1427" s="1546"/>
      <c r="D1427" s="1547"/>
      <c r="E1427" s="1548"/>
      <c r="F1427" s="1548"/>
      <c r="G1427" s="1548"/>
      <c r="H1427" s="1549"/>
      <c r="I1427" s="1549"/>
      <c r="J1427" s="1549"/>
      <c r="K1427" s="1550"/>
    </row>
    <row r="1428" spans="2:11" ht="13">
      <c r="B1428" s="1527" t="s">
        <v>4540</v>
      </c>
      <c r="C1428" s="1672" t="s">
        <v>4541</v>
      </c>
      <c r="D1428" s="1673"/>
      <c r="E1428" s="1673"/>
      <c r="F1428" s="1673"/>
      <c r="G1428" s="1673"/>
      <c r="H1428" s="1674"/>
      <c r="I1428" s="1535"/>
      <c r="J1428" s="1536"/>
      <c r="K1428" s="1537">
        <v>0</v>
      </c>
    </row>
    <row r="1429" spans="2:11" ht="13">
      <c r="B1429" s="1392" t="s">
        <v>4428</v>
      </c>
      <c r="C1429" s="1532">
        <v>1</v>
      </c>
      <c r="D1429" s="1399" t="s">
        <v>2333</v>
      </c>
      <c r="E1429" s="1533" t="str">
        <f>C1428</f>
        <v>IP bullet camera PoE</v>
      </c>
      <c r="F1429" s="1533"/>
      <c r="G1429" s="1533"/>
      <c r="H1429" s="1534">
        <f>'[205]HARGA ME'!D141</f>
        <v>1350000</v>
      </c>
      <c r="I1429" s="1535"/>
      <c r="J1429" s="1536">
        <v>0</v>
      </c>
      <c r="K1429" s="1537"/>
    </row>
    <row r="1430" spans="2:11" ht="13">
      <c r="B1430" s="1392"/>
      <c r="C1430" s="1532">
        <v>1</v>
      </c>
      <c r="D1430" s="1399" t="s">
        <v>259</v>
      </c>
      <c r="E1430" s="1403" t="s">
        <v>4536</v>
      </c>
      <c r="F1430" s="1403"/>
      <c r="G1430" s="1403"/>
      <c r="H1430" s="1557" t="s">
        <v>4537</v>
      </c>
      <c r="I1430" s="1535"/>
      <c r="J1430" s="1536"/>
      <c r="K1430" s="1537"/>
    </row>
    <row r="1431" spans="2:11" ht="13">
      <c r="B1431" s="1392"/>
      <c r="C1431" s="1532">
        <v>1</v>
      </c>
      <c r="D1431" s="1399" t="s">
        <v>3257</v>
      </c>
      <c r="E1431" s="1403" t="s">
        <v>4445</v>
      </c>
      <c r="F1431" s="1403"/>
      <c r="G1431" s="1403"/>
      <c r="H1431" s="1534">
        <v>38250</v>
      </c>
      <c r="I1431" s="1535"/>
      <c r="J1431" s="1536">
        <v>0</v>
      </c>
      <c r="K1431" s="1537"/>
    </row>
    <row r="1432" spans="2:11" ht="13">
      <c r="B1432" s="1392"/>
      <c r="C1432" s="1532">
        <v>1</v>
      </c>
      <c r="D1432" s="1399" t="s">
        <v>3257</v>
      </c>
      <c r="E1432" s="1403" t="s">
        <v>4439</v>
      </c>
      <c r="F1432" s="1403"/>
      <c r="G1432" s="1403"/>
      <c r="H1432" s="1534">
        <f>H1413</f>
        <v>41250</v>
      </c>
      <c r="I1432" s="1538">
        <f>H1432*C1432</f>
        <v>41250</v>
      </c>
      <c r="J1432" s="1539"/>
      <c r="K1432" s="1406"/>
    </row>
    <row r="1433" spans="2:11" ht="13">
      <c r="B1433" s="1392"/>
      <c r="C1433" s="1532"/>
      <c r="D1433" s="1399"/>
      <c r="E1433" s="1403" t="s">
        <v>3892</v>
      </c>
      <c r="F1433" s="1403"/>
      <c r="G1433" s="1403"/>
      <c r="H1433" s="1534"/>
      <c r="I1433" s="1535">
        <f>I1432</f>
        <v>41250</v>
      </c>
      <c r="J1433" s="1535">
        <f>SUM(J1429:J1432)</f>
        <v>0</v>
      </c>
      <c r="K1433" s="1537"/>
    </row>
    <row r="1434" spans="2:11" ht="13">
      <c r="B1434" s="1392"/>
      <c r="C1434" s="1540">
        <f>$K$1387</f>
        <v>0.1</v>
      </c>
      <c r="D1434" s="1399"/>
      <c r="E1434" s="1403" t="s">
        <v>4339</v>
      </c>
      <c r="F1434" s="1403"/>
      <c r="G1434" s="1403"/>
      <c r="H1434" s="1534">
        <f>J1433+I1433</f>
        <v>41250</v>
      </c>
      <c r="I1434" s="1535"/>
      <c r="J1434" s="1536">
        <v>0</v>
      </c>
      <c r="K1434" s="1537"/>
    </row>
    <row r="1435" spans="2:11" ht="13">
      <c r="B1435" s="1409"/>
      <c r="C1435" s="1541"/>
      <c r="D1435" s="1411"/>
      <c r="E1435" s="1412" t="s">
        <v>4440</v>
      </c>
      <c r="F1435" s="1412"/>
      <c r="G1435" s="1412"/>
      <c r="H1435" s="1542"/>
      <c r="I1435" s="1543">
        <f>SUM(I1433:I1434)</f>
        <v>41250</v>
      </c>
      <c r="J1435" s="1536">
        <f>ROUNDUP(J1433+J1434,-2)</f>
        <v>0</v>
      </c>
      <c r="K1435" s="1544"/>
    </row>
    <row r="1436" spans="2:11" ht="13">
      <c r="B1436" s="1545"/>
      <c r="C1436" s="1546"/>
      <c r="D1436" s="1547"/>
      <c r="E1436" s="1548"/>
      <c r="F1436" s="1548"/>
      <c r="G1436" s="1548"/>
      <c r="H1436" s="1549"/>
      <c r="I1436" s="1549"/>
      <c r="J1436" s="1549"/>
      <c r="K1436" s="1550"/>
    </row>
    <row r="1437" spans="2:11" ht="13">
      <c r="B1437" s="1527" t="s">
        <v>4542</v>
      </c>
      <c r="C1437" s="1558" t="s">
        <v>4543</v>
      </c>
      <c r="D1437" s="1399"/>
      <c r="E1437" s="1403"/>
      <c r="F1437" s="1403"/>
      <c r="G1437" s="1403"/>
      <c r="H1437" s="1534"/>
      <c r="I1437" s="1554"/>
      <c r="J1437" s="1554"/>
      <c r="K1437" s="1555"/>
    </row>
    <row r="1438" spans="2:11" ht="13">
      <c r="B1438" s="1392" t="s">
        <v>4428</v>
      </c>
      <c r="C1438" s="1532">
        <v>1</v>
      </c>
      <c r="D1438" s="1399" t="s">
        <v>2333</v>
      </c>
      <c r="E1438" s="1558" t="str">
        <f>C1437</f>
        <v>smart  tv 43"</v>
      </c>
      <c r="F1438" s="1558"/>
      <c r="G1438" s="1558"/>
      <c r="H1438" s="1534">
        <v>3300000</v>
      </c>
      <c r="I1438" s="1535"/>
      <c r="J1438" s="1536">
        <v>0</v>
      </c>
      <c r="K1438" s="1537">
        <f>J1443+I1441</f>
        <v>0</v>
      </c>
    </row>
    <row r="1439" spans="2:11" ht="13">
      <c r="B1439" s="1392"/>
      <c r="C1439" s="1532">
        <v>1</v>
      </c>
      <c r="D1439" s="1399" t="s">
        <v>259</v>
      </c>
      <c r="E1439" s="1403" t="s">
        <v>4445</v>
      </c>
      <c r="F1439" s="1403"/>
      <c r="G1439" s="1403"/>
      <c r="H1439" s="1534">
        <v>67500</v>
      </c>
      <c r="I1439" s="1535"/>
      <c r="J1439" s="1536">
        <v>0</v>
      </c>
      <c r="K1439" s="1537"/>
    </row>
    <row r="1440" spans="2:11" ht="13">
      <c r="B1440" s="1392"/>
      <c r="C1440" s="1532">
        <v>2</v>
      </c>
      <c r="D1440" s="1399" t="s">
        <v>3257</v>
      </c>
      <c r="E1440" s="1403" t="s">
        <v>4439</v>
      </c>
      <c r="F1440" s="1403"/>
      <c r="G1440" s="1403"/>
      <c r="H1440" s="1534">
        <f>H1423</f>
        <v>0</v>
      </c>
      <c r="I1440" s="1538">
        <f>H1440*C1440</f>
        <v>0</v>
      </c>
      <c r="J1440" s="1539"/>
      <c r="K1440" s="1406"/>
    </row>
    <row r="1441" spans="2:11" ht="13">
      <c r="B1441" s="1392"/>
      <c r="C1441" s="1532"/>
      <c r="D1441" s="1399"/>
      <c r="E1441" s="1403" t="s">
        <v>3892</v>
      </c>
      <c r="F1441" s="1403"/>
      <c r="G1441" s="1403"/>
      <c r="H1441" s="1534"/>
      <c r="I1441" s="1535">
        <f>I1440</f>
        <v>0</v>
      </c>
      <c r="J1441" s="1535">
        <f>SUM(J1438:J1440)</f>
        <v>0</v>
      </c>
      <c r="K1441" s="1537"/>
    </row>
    <row r="1442" spans="2:11" ht="13">
      <c r="B1442" s="1392"/>
      <c r="C1442" s="1540">
        <f>$K$1387</f>
        <v>0.1</v>
      </c>
      <c r="D1442" s="1399"/>
      <c r="E1442" s="1403" t="s">
        <v>4339</v>
      </c>
      <c r="F1442" s="1403"/>
      <c r="G1442" s="1403"/>
      <c r="H1442" s="1534">
        <f>J1441</f>
        <v>0</v>
      </c>
      <c r="I1442" s="1535"/>
      <c r="J1442" s="1536">
        <f>C1442*H1442</f>
        <v>0</v>
      </c>
      <c r="K1442" s="1537"/>
    </row>
    <row r="1443" spans="2:11" ht="13">
      <c r="B1443" s="1409"/>
      <c r="C1443" s="1541"/>
      <c r="D1443" s="1411"/>
      <c r="E1443" s="1412" t="s">
        <v>4440</v>
      </c>
      <c r="F1443" s="1412"/>
      <c r="G1443" s="1412"/>
      <c r="H1443" s="1542"/>
      <c r="I1443" s="1539">
        <f>SUM(I1440:I1442)</f>
        <v>0</v>
      </c>
      <c r="J1443" s="1536">
        <f>J1442+J1441</f>
        <v>0</v>
      </c>
      <c r="K1443" s="1544"/>
    </row>
    <row r="1444" spans="2:11" ht="13">
      <c r="B1444" s="1545"/>
      <c r="C1444" s="1546"/>
      <c r="D1444" s="1547"/>
      <c r="E1444" s="1548"/>
      <c r="F1444" s="1548"/>
      <c r="G1444" s="1548"/>
      <c r="H1444" s="1549"/>
      <c r="I1444" s="1549"/>
      <c r="J1444" s="1549"/>
      <c r="K1444" s="1550"/>
    </row>
    <row r="1445" spans="2:11" ht="13">
      <c r="B1445" s="1527" t="s">
        <v>4544</v>
      </c>
      <c r="C1445" s="1672" t="s">
        <v>4545</v>
      </c>
      <c r="D1445" s="1673"/>
      <c r="E1445" s="1673"/>
      <c r="F1445" s="1673"/>
      <c r="G1445" s="1673"/>
      <c r="H1445" s="1674"/>
      <c r="I1445" s="1535"/>
      <c r="J1445" s="1536"/>
      <c r="K1445" s="1537">
        <f>J1452+I1450</f>
        <v>0</v>
      </c>
    </row>
    <row r="1446" spans="2:11" ht="13">
      <c r="B1446" s="1392" t="s">
        <v>4428</v>
      </c>
      <c r="C1446" s="1532">
        <v>1</v>
      </c>
      <c r="D1446" s="1399" t="s">
        <v>259</v>
      </c>
      <c r="E1446" s="1403" t="s">
        <v>4546</v>
      </c>
      <c r="F1446" s="1403"/>
      <c r="G1446" s="1403"/>
      <c r="H1446" s="1534">
        <v>11700000</v>
      </c>
      <c r="I1446" s="1535"/>
      <c r="J1446" s="1536">
        <v>0</v>
      </c>
      <c r="K1446" s="1537"/>
    </row>
    <row r="1447" spans="2:11" ht="13">
      <c r="B1447" s="1392"/>
      <c r="C1447" s="1532">
        <v>1</v>
      </c>
      <c r="D1447" s="1399" t="s">
        <v>259</v>
      </c>
      <c r="E1447" s="1403" t="s">
        <v>4547</v>
      </c>
      <c r="F1447" s="1403"/>
      <c r="G1447" s="1403"/>
      <c r="H1447" s="1534">
        <v>1650000</v>
      </c>
      <c r="I1447" s="1535"/>
      <c r="J1447" s="1536">
        <v>0</v>
      </c>
      <c r="K1447" s="1537"/>
    </row>
    <row r="1448" spans="2:11" ht="13">
      <c r="B1448" s="1392"/>
      <c r="C1448" s="1532">
        <v>1</v>
      </c>
      <c r="D1448" s="1399" t="s">
        <v>259</v>
      </c>
      <c r="E1448" s="1403" t="s">
        <v>4445</v>
      </c>
      <c r="F1448" s="1403"/>
      <c r="G1448" s="1403"/>
      <c r="H1448" s="1534">
        <f>SUM(H1446:H1447)*0.1</f>
        <v>1335000</v>
      </c>
      <c r="I1448" s="1535"/>
      <c r="J1448" s="1536">
        <v>0</v>
      </c>
      <c r="K1448" s="1537"/>
    </row>
    <row r="1449" spans="2:11" ht="13">
      <c r="B1449" s="1392"/>
      <c r="C1449" s="1532">
        <v>2</v>
      </c>
      <c r="D1449" s="1399" t="s">
        <v>3257</v>
      </c>
      <c r="E1449" s="1403" t="s">
        <v>4439</v>
      </c>
      <c r="F1449" s="1403"/>
      <c r="G1449" s="1403"/>
      <c r="H1449" s="1534">
        <f>H1440</f>
        <v>0</v>
      </c>
      <c r="I1449" s="1538">
        <f>H1449*C1449</f>
        <v>0</v>
      </c>
      <c r="J1449" s="1539"/>
      <c r="K1449" s="1406"/>
    </row>
    <row r="1450" spans="2:11" ht="13">
      <c r="B1450" s="1392"/>
      <c r="C1450" s="1532"/>
      <c r="D1450" s="1399"/>
      <c r="E1450" s="1403" t="s">
        <v>3892</v>
      </c>
      <c r="F1450" s="1403"/>
      <c r="G1450" s="1403"/>
      <c r="H1450" s="1534"/>
      <c r="I1450" s="1535">
        <f>I1449</f>
        <v>0</v>
      </c>
      <c r="J1450" s="1535">
        <f>SUM(J1446:J1449)</f>
        <v>0</v>
      </c>
      <c r="K1450" s="1537"/>
    </row>
    <row r="1451" spans="2:11" ht="13">
      <c r="B1451" s="1392"/>
      <c r="C1451" s="1540">
        <f>$K$1387</f>
        <v>0.1</v>
      </c>
      <c r="D1451" s="1399"/>
      <c r="E1451" s="1403" t="s">
        <v>4339</v>
      </c>
      <c r="F1451" s="1403"/>
      <c r="G1451" s="1403"/>
      <c r="H1451" s="1534">
        <f>J1450+I1450</f>
        <v>0</v>
      </c>
      <c r="I1451" s="1535"/>
      <c r="J1451" s="1536">
        <f>C1451*H1451</f>
        <v>0</v>
      </c>
      <c r="K1451" s="1537"/>
    </row>
    <row r="1452" spans="2:11" ht="13">
      <c r="B1452" s="1409"/>
      <c r="C1452" s="1541"/>
      <c r="D1452" s="1411"/>
      <c r="E1452" s="1412" t="s">
        <v>4440</v>
      </c>
      <c r="F1452" s="1412"/>
      <c r="G1452" s="1412"/>
      <c r="H1452" s="1542"/>
      <c r="I1452" s="1543">
        <f>SUM(I1450:I1451)</f>
        <v>0</v>
      </c>
      <c r="J1452" s="1539">
        <f>ROUNDUP(J1450+J1451,-2)</f>
        <v>0</v>
      </c>
      <c r="K1452" s="1544"/>
    </row>
    <row r="1453" spans="2:11">
      <c r="B1453" s="1416"/>
      <c r="C1453" s="1415"/>
      <c r="D1453" s="1415"/>
      <c r="E1453" s="1415"/>
      <c r="F1453" s="1415"/>
      <c r="G1453" s="1415"/>
      <c r="H1453" s="1415"/>
      <c r="I1453" s="1415"/>
      <c r="J1453" s="1415"/>
      <c r="K1453" s="1415"/>
    </row>
    <row r="1454" spans="2:11">
      <c r="B1454" s="1416"/>
      <c r="C1454" s="1415"/>
      <c r="D1454" s="1415"/>
      <c r="E1454" s="1415"/>
      <c r="F1454" s="1415"/>
      <c r="G1454" s="1415"/>
      <c r="H1454" s="1415"/>
      <c r="I1454" s="1415"/>
      <c r="J1454" s="1415"/>
      <c r="K1454" s="1415"/>
    </row>
    <row r="1455" spans="2:11">
      <c r="B1455" s="1416"/>
      <c r="C1455" s="1415"/>
      <c r="D1455" s="1415"/>
      <c r="E1455" s="1415"/>
      <c r="F1455" s="1415"/>
      <c r="G1455" s="1415"/>
      <c r="H1455" s="1415"/>
      <c r="I1455" s="1415"/>
      <c r="J1455" s="1415"/>
      <c r="K1455" s="1415"/>
    </row>
    <row r="1456" spans="2:11">
      <c r="B1456" s="1416"/>
      <c r="C1456" s="1415"/>
      <c r="D1456" s="1415"/>
      <c r="E1456" s="1415"/>
      <c r="F1456" s="1415"/>
      <c r="G1456" s="1415"/>
      <c r="H1456" s="1415"/>
      <c r="I1456" s="1415"/>
      <c r="J1456" s="1415"/>
      <c r="K1456" s="1415"/>
    </row>
    <row r="1457" spans="2:11">
      <c r="B1457" s="1416"/>
      <c r="C1457" s="1415"/>
      <c r="D1457" s="1415"/>
      <c r="E1457" s="1415"/>
      <c r="F1457" s="1415"/>
      <c r="G1457" s="1415"/>
      <c r="H1457" s="1415"/>
      <c r="I1457" s="1415"/>
      <c r="J1457" s="1415"/>
      <c r="K1457" s="1415"/>
    </row>
    <row r="1458" spans="2:11">
      <c r="B1458" s="1416"/>
      <c r="C1458" s="1415"/>
      <c r="D1458" s="1415"/>
      <c r="E1458" s="1415"/>
      <c r="F1458" s="1415"/>
      <c r="G1458" s="1415"/>
      <c r="H1458" s="1415"/>
      <c r="I1458" s="1415"/>
      <c r="J1458" s="1415"/>
      <c r="K1458" s="1415"/>
    </row>
  </sheetData>
  <protectedRanges>
    <protectedRange password="CF35" sqref="I59:I60 I26 I23:I24 I44 I41:I42 I62 I77:I78 I80 I95:I96 I98 I113:I114 I116 I154:I155 I157 I179:I180 I182 I130:I131 I133" name="Range1"/>
  </protectedRanges>
  <mergeCells count="206">
    <mergeCell ref="B2:K2"/>
    <mergeCell ref="B5:B7"/>
    <mergeCell ref="C5:F7"/>
    <mergeCell ref="H5:H7"/>
    <mergeCell ref="I5:I7"/>
    <mergeCell ref="C8:F8"/>
    <mergeCell ref="B49:J49"/>
    <mergeCell ref="B51:J51"/>
    <mergeCell ref="C57:F57"/>
    <mergeCell ref="B63:J63"/>
    <mergeCell ref="B67:J67"/>
    <mergeCell ref="B69:J69"/>
    <mergeCell ref="C21:F21"/>
    <mergeCell ref="B27:J27"/>
    <mergeCell ref="B31:J31"/>
    <mergeCell ref="B33:J33"/>
    <mergeCell ref="C39:F39"/>
    <mergeCell ref="B45:J45"/>
    <mergeCell ref="B103:J103"/>
    <mergeCell ref="B105:J105"/>
    <mergeCell ref="C111:F111"/>
    <mergeCell ref="B117:J117"/>
    <mergeCell ref="B120:J120"/>
    <mergeCell ref="B122:J122"/>
    <mergeCell ref="C75:F75"/>
    <mergeCell ref="B81:J81"/>
    <mergeCell ref="B85:J85"/>
    <mergeCell ref="B87:J87"/>
    <mergeCell ref="C93:F93"/>
    <mergeCell ref="B99:J99"/>
    <mergeCell ref="C152:F152"/>
    <mergeCell ref="B158:J158"/>
    <mergeCell ref="B167:J167"/>
    <mergeCell ref="B174:B176"/>
    <mergeCell ref="C174:F176"/>
    <mergeCell ref="H174:H176"/>
    <mergeCell ref="I174:I176"/>
    <mergeCell ref="C128:F128"/>
    <mergeCell ref="B134:J134"/>
    <mergeCell ref="B141:J141"/>
    <mergeCell ref="B143:J143"/>
    <mergeCell ref="B149:B151"/>
    <mergeCell ref="C149:F151"/>
    <mergeCell ref="H149:H151"/>
    <mergeCell ref="I149:I151"/>
    <mergeCell ref="C202:F202"/>
    <mergeCell ref="B233:B235"/>
    <mergeCell ref="C233:F235"/>
    <mergeCell ref="H233:H235"/>
    <mergeCell ref="I233:I235"/>
    <mergeCell ref="C236:F236"/>
    <mergeCell ref="C177:F177"/>
    <mergeCell ref="B183:J183"/>
    <mergeCell ref="B192:J192"/>
    <mergeCell ref="B199:B201"/>
    <mergeCell ref="C199:F201"/>
    <mergeCell ref="H199:H201"/>
    <mergeCell ref="I199:I201"/>
    <mergeCell ref="C289:F289"/>
    <mergeCell ref="B316:B318"/>
    <mergeCell ref="C316:F318"/>
    <mergeCell ref="H316:H318"/>
    <mergeCell ref="I316:I318"/>
    <mergeCell ref="C319:F319"/>
    <mergeCell ref="B260:B262"/>
    <mergeCell ref="C260:F262"/>
    <mergeCell ref="H260:H262"/>
    <mergeCell ref="I260:I262"/>
    <mergeCell ref="C263:F263"/>
    <mergeCell ref="B286:B288"/>
    <mergeCell ref="C286:F288"/>
    <mergeCell ref="H286:H288"/>
    <mergeCell ref="I286:I288"/>
    <mergeCell ref="C369:F369"/>
    <mergeCell ref="B390:B392"/>
    <mergeCell ref="C390:F392"/>
    <mergeCell ref="H390:H392"/>
    <mergeCell ref="I390:I392"/>
    <mergeCell ref="C393:F393"/>
    <mergeCell ref="B341:B343"/>
    <mergeCell ref="C341:F343"/>
    <mergeCell ref="H341:H343"/>
    <mergeCell ref="I341:I343"/>
    <mergeCell ref="C344:F344"/>
    <mergeCell ref="B366:B368"/>
    <mergeCell ref="C366:F368"/>
    <mergeCell ref="H366:H368"/>
    <mergeCell ref="I366:I368"/>
    <mergeCell ref="C439:F439"/>
    <mergeCell ref="B459:B461"/>
    <mergeCell ref="C459:F461"/>
    <mergeCell ref="H459:H461"/>
    <mergeCell ref="I459:I461"/>
    <mergeCell ref="C462:F462"/>
    <mergeCell ref="B413:B415"/>
    <mergeCell ref="C413:F415"/>
    <mergeCell ref="H413:H415"/>
    <mergeCell ref="I413:I415"/>
    <mergeCell ref="C416:F416"/>
    <mergeCell ref="B436:B438"/>
    <mergeCell ref="C436:F438"/>
    <mergeCell ref="H436:H438"/>
    <mergeCell ref="I436:I438"/>
    <mergeCell ref="C507:F507"/>
    <mergeCell ref="B525:B527"/>
    <mergeCell ref="C525:F527"/>
    <mergeCell ref="H525:H527"/>
    <mergeCell ref="I525:I527"/>
    <mergeCell ref="C528:F528"/>
    <mergeCell ref="B482:B484"/>
    <mergeCell ref="C482:F484"/>
    <mergeCell ref="H482:H484"/>
    <mergeCell ref="I482:I484"/>
    <mergeCell ref="C485:F485"/>
    <mergeCell ref="B504:B506"/>
    <mergeCell ref="C504:F506"/>
    <mergeCell ref="H504:H506"/>
    <mergeCell ref="I504:I506"/>
    <mergeCell ref="C570:F570"/>
    <mergeCell ref="B588:B590"/>
    <mergeCell ref="C588:F590"/>
    <mergeCell ref="H588:H590"/>
    <mergeCell ref="I588:I590"/>
    <mergeCell ref="C591:F591"/>
    <mergeCell ref="B546:B548"/>
    <mergeCell ref="C546:F548"/>
    <mergeCell ref="H546:H548"/>
    <mergeCell ref="I546:I548"/>
    <mergeCell ref="C549:F549"/>
    <mergeCell ref="B567:B569"/>
    <mergeCell ref="C567:F569"/>
    <mergeCell ref="H567:H569"/>
    <mergeCell ref="I567:I569"/>
    <mergeCell ref="C633:F633"/>
    <mergeCell ref="B654:B656"/>
    <mergeCell ref="C654:F656"/>
    <mergeCell ref="H654:H656"/>
    <mergeCell ref="I654:I656"/>
    <mergeCell ref="C657:F657"/>
    <mergeCell ref="B609:B611"/>
    <mergeCell ref="C609:F611"/>
    <mergeCell ref="H609:H611"/>
    <mergeCell ref="I609:I611"/>
    <mergeCell ref="C612:F612"/>
    <mergeCell ref="B630:B632"/>
    <mergeCell ref="C630:F632"/>
    <mergeCell ref="H630:H632"/>
    <mergeCell ref="I630:I632"/>
    <mergeCell ref="C703:F703"/>
    <mergeCell ref="B724:B726"/>
    <mergeCell ref="C724:F726"/>
    <mergeCell ref="H724:H726"/>
    <mergeCell ref="I724:I726"/>
    <mergeCell ref="C727:F727"/>
    <mergeCell ref="B677:B679"/>
    <mergeCell ref="C677:F679"/>
    <mergeCell ref="H677:H679"/>
    <mergeCell ref="I677:I679"/>
    <mergeCell ref="C680:F680"/>
    <mergeCell ref="B700:B702"/>
    <mergeCell ref="C700:F702"/>
    <mergeCell ref="H700:H702"/>
    <mergeCell ref="I700:I702"/>
    <mergeCell ref="B749:B751"/>
    <mergeCell ref="C749:F751"/>
    <mergeCell ref="H749:H751"/>
    <mergeCell ref="I749:I751"/>
    <mergeCell ref="C752:F752"/>
    <mergeCell ref="B774:B776"/>
    <mergeCell ref="C774:F776"/>
    <mergeCell ref="H774:H776"/>
    <mergeCell ref="I774:I776"/>
    <mergeCell ref="I824:I826"/>
    <mergeCell ref="C827:F827"/>
    <mergeCell ref="B848:B850"/>
    <mergeCell ref="C848:F850"/>
    <mergeCell ref="H848:H850"/>
    <mergeCell ref="I848:I850"/>
    <mergeCell ref="C777:F777"/>
    <mergeCell ref="B799:B801"/>
    <mergeCell ref="C799:F801"/>
    <mergeCell ref="H799:H801"/>
    <mergeCell ref="I799:I801"/>
    <mergeCell ref="C802:F802"/>
    <mergeCell ref="C851:F851"/>
    <mergeCell ref="B872:B873"/>
    <mergeCell ref="C872:H873"/>
    <mergeCell ref="C874:H874"/>
    <mergeCell ref="G885:H885"/>
    <mergeCell ref="G887:H887"/>
    <mergeCell ref="B824:B826"/>
    <mergeCell ref="C824:F826"/>
    <mergeCell ref="H824:H826"/>
    <mergeCell ref="C1445:H1445"/>
    <mergeCell ref="B1386:K1386"/>
    <mergeCell ref="B1388:B1389"/>
    <mergeCell ref="C1388:H1389"/>
    <mergeCell ref="C1390:H1390"/>
    <mergeCell ref="C1419:H1419"/>
    <mergeCell ref="C1428:H1428"/>
    <mergeCell ref="B891:B893"/>
    <mergeCell ref="C891:F893"/>
    <mergeCell ref="H891:H893"/>
    <mergeCell ref="I891:I893"/>
    <mergeCell ref="C894:F894"/>
    <mergeCell ref="B916:K916"/>
  </mergeCells>
  <printOptions horizontalCentered="1"/>
  <pageMargins left="0.19685039370078741" right="0" top="0.19685039370078741" bottom="0.19685039370078741" header="0.31496062992125984" footer="0.19685039370078741"/>
  <pageSetup paperSize="9" scale="8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3EA94-8B04-437B-9B49-5F47E8E70537}">
  <dimension ref="A1:I41"/>
  <sheetViews>
    <sheetView view="pageBreakPreview" zoomScale="85" zoomScaleSheetLayoutView="85" workbookViewId="0">
      <selection activeCell="D25" sqref="D25"/>
    </sheetView>
  </sheetViews>
  <sheetFormatPr defaultColWidth="8.6328125" defaultRowHeight="14"/>
  <cols>
    <col min="1" max="1" width="8.6328125" style="1424"/>
    <col min="2" max="2" width="11.08984375" style="1424" customWidth="1"/>
    <col min="3" max="3" width="32.54296875" style="1424" customWidth="1"/>
    <col min="4" max="4" width="15.54296875" style="1424" customWidth="1"/>
    <col min="5" max="7" width="9.08984375" style="1424" hidden="1" customWidth="1"/>
    <col min="8" max="8" width="23.90625" style="1424" customWidth="1"/>
    <col min="9" max="9" width="11.08984375" style="1424" customWidth="1"/>
    <col min="10" max="16384" width="8.6328125" style="1424"/>
  </cols>
  <sheetData>
    <row r="1" spans="2:9" ht="20">
      <c r="B1" s="1738" t="s">
        <v>2873</v>
      </c>
      <c r="C1" s="1738"/>
      <c r="D1" s="1738"/>
      <c r="E1" s="1738"/>
      <c r="F1" s="1738"/>
      <c r="G1" s="1738"/>
      <c r="H1" s="1738"/>
      <c r="I1" s="1559"/>
    </row>
    <row r="3" spans="2:9" ht="18">
      <c r="B3" s="1560" t="s">
        <v>42</v>
      </c>
      <c r="C3" s="1560" t="s">
        <v>41</v>
      </c>
      <c r="D3" s="1560" t="s">
        <v>43</v>
      </c>
      <c r="E3" s="1560"/>
      <c r="F3" s="1560"/>
      <c r="G3" s="1560"/>
      <c r="H3" s="1561" t="s">
        <v>1846</v>
      </c>
      <c r="I3" s="1560" t="s">
        <v>2874</v>
      </c>
    </row>
    <row r="4" spans="2:9">
      <c r="B4" s="1562" t="s">
        <v>1918</v>
      </c>
      <c r="C4" s="1563" t="s">
        <v>451</v>
      </c>
      <c r="D4" s="1564" t="s">
        <v>48</v>
      </c>
      <c r="E4" s="1565">
        <v>1</v>
      </c>
      <c r="F4" s="1566">
        <v>1</v>
      </c>
      <c r="G4" s="1566">
        <v>1</v>
      </c>
      <c r="H4" s="1181">
        <v>0</v>
      </c>
      <c r="I4" s="1565"/>
    </row>
    <row r="5" spans="2:9" ht="14.5" thickBot="1">
      <c r="B5" s="1437" t="s">
        <v>1919</v>
      </c>
      <c r="C5" s="554" t="s">
        <v>452</v>
      </c>
      <c r="D5" s="1567" t="s">
        <v>48</v>
      </c>
      <c r="E5" s="1441">
        <v>2</v>
      </c>
      <c r="F5" s="1568">
        <v>2</v>
      </c>
      <c r="G5" s="1568">
        <v>2</v>
      </c>
      <c r="H5" s="1181">
        <v>0</v>
      </c>
      <c r="I5" s="1441"/>
    </row>
    <row r="6" spans="2:9">
      <c r="B6" s="1437" t="s">
        <v>1920</v>
      </c>
      <c r="C6" s="554" t="s">
        <v>453</v>
      </c>
      <c r="D6" s="1567" t="s">
        <v>48</v>
      </c>
      <c r="E6" s="1569">
        <v>3</v>
      </c>
      <c r="F6" s="1570">
        <v>3</v>
      </c>
      <c r="G6" s="1570">
        <v>3</v>
      </c>
      <c r="H6" s="1181">
        <v>0</v>
      </c>
      <c r="I6" s="1441"/>
    </row>
    <row r="7" spans="2:9" ht="14.5" thickBot="1">
      <c r="B7" s="1437" t="s">
        <v>1921</v>
      </c>
      <c r="C7" s="554" t="s">
        <v>454</v>
      </c>
      <c r="D7" s="1567" t="s">
        <v>48</v>
      </c>
      <c r="E7" s="1441">
        <v>4</v>
      </c>
      <c r="F7" s="1568">
        <v>4</v>
      </c>
      <c r="G7" s="1568">
        <v>4</v>
      </c>
      <c r="H7" s="1181">
        <v>0</v>
      </c>
      <c r="I7" s="1441"/>
    </row>
    <row r="8" spans="2:9">
      <c r="B8" s="1437" t="s">
        <v>1922</v>
      </c>
      <c r="C8" s="554" t="s">
        <v>455</v>
      </c>
      <c r="D8" s="1567" t="s">
        <v>48</v>
      </c>
      <c r="E8" s="1569">
        <v>5</v>
      </c>
      <c r="F8" s="1570">
        <v>5</v>
      </c>
      <c r="G8" s="1570">
        <v>5</v>
      </c>
      <c r="H8" s="1181">
        <v>0</v>
      </c>
      <c r="I8" s="1441"/>
    </row>
    <row r="9" spans="2:9" ht="14.5" thickBot="1">
      <c r="B9" s="1437" t="s">
        <v>1923</v>
      </c>
      <c r="C9" s="554" t="s">
        <v>456</v>
      </c>
      <c r="D9" s="1567" t="s">
        <v>48</v>
      </c>
      <c r="E9" s="1441">
        <v>6</v>
      </c>
      <c r="F9" s="1568">
        <v>6</v>
      </c>
      <c r="G9" s="1568">
        <v>6</v>
      </c>
      <c r="H9" s="1181">
        <v>0</v>
      </c>
      <c r="I9" s="1441"/>
    </row>
    <row r="10" spans="2:9">
      <c r="B10" s="1437" t="s">
        <v>1924</v>
      </c>
      <c r="C10" s="554" t="s">
        <v>3171</v>
      </c>
      <c r="D10" s="1567" t="s">
        <v>48</v>
      </c>
      <c r="E10" s="1569">
        <v>7</v>
      </c>
      <c r="F10" s="1570">
        <v>7</v>
      </c>
      <c r="G10" s="1570">
        <v>7</v>
      </c>
      <c r="H10" s="1181">
        <v>0</v>
      </c>
      <c r="I10" s="1441"/>
    </row>
    <row r="11" spans="2:9" ht="14.5" thickBot="1">
      <c r="B11" s="1437" t="s">
        <v>1925</v>
      </c>
      <c r="C11" s="554" t="s">
        <v>458</v>
      </c>
      <c r="D11" s="1567" t="s">
        <v>48</v>
      </c>
      <c r="E11" s="1441">
        <v>8</v>
      </c>
      <c r="F11" s="1568">
        <v>8</v>
      </c>
      <c r="G11" s="1568">
        <v>8</v>
      </c>
      <c r="H11" s="1181">
        <v>0</v>
      </c>
      <c r="I11" s="1441"/>
    </row>
    <row r="12" spans="2:9">
      <c r="B12" s="1437" t="s">
        <v>1926</v>
      </c>
      <c r="C12" s="554" t="s">
        <v>459</v>
      </c>
      <c r="D12" s="1567" t="s">
        <v>48</v>
      </c>
      <c r="E12" s="1569">
        <v>9</v>
      </c>
      <c r="F12" s="1570">
        <v>9</v>
      </c>
      <c r="G12" s="1570">
        <v>9</v>
      </c>
      <c r="H12" s="1181">
        <v>0</v>
      </c>
      <c r="I12" s="1441"/>
    </row>
    <row r="13" spans="2:9" ht="14.5" thickBot="1">
      <c r="B13" s="1437" t="s">
        <v>1927</v>
      </c>
      <c r="C13" s="467" t="s">
        <v>3172</v>
      </c>
      <c r="D13" s="1567" t="s">
        <v>48</v>
      </c>
      <c r="E13" s="1441">
        <v>10</v>
      </c>
      <c r="F13" s="1568">
        <v>10</v>
      </c>
      <c r="G13" s="1568">
        <v>10</v>
      </c>
      <c r="H13" s="1181">
        <v>0</v>
      </c>
      <c r="I13" s="1441"/>
    </row>
    <row r="14" spans="2:9">
      <c r="B14" s="1437" t="s">
        <v>1910</v>
      </c>
      <c r="C14" s="554" t="s">
        <v>3173</v>
      </c>
      <c r="D14" s="1567" t="s">
        <v>48</v>
      </c>
      <c r="E14" s="1569">
        <v>11</v>
      </c>
      <c r="F14" s="1570">
        <v>11</v>
      </c>
      <c r="G14" s="1570">
        <v>11</v>
      </c>
      <c r="H14" s="1181">
        <v>0</v>
      </c>
      <c r="I14" s="1441"/>
    </row>
    <row r="15" spans="2:9" ht="14.5" thickBot="1">
      <c r="B15" s="1437" t="s">
        <v>1911</v>
      </c>
      <c r="C15" s="554" t="s">
        <v>3174</v>
      </c>
      <c r="D15" s="1567" t="s">
        <v>48</v>
      </c>
      <c r="E15" s="1441">
        <v>12</v>
      </c>
      <c r="F15" s="1568">
        <v>12</v>
      </c>
      <c r="G15" s="1568">
        <v>12</v>
      </c>
      <c r="H15" s="1181">
        <v>0</v>
      </c>
      <c r="I15" s="1441"/>
    </row>
    <row r="16" spans="2:9">
      <c r="B16" s="1437" t="s">
        <v>1912</v>
      </c>
      <c r="C16" s="554" t="s">
        <v>462</v>
      </c>
      <c r="D16" s="1567" t="s">
        <v>48</v>
      </c>
      <c r="E16" s="1569">
        <v>13</v>
      </c>
      <c r="F16" s="1570">
        <v>13</v>
      </c>
      <c r="G16" s="1570">
        <v>13</v>
      </c>
      <c r="H16" s="1181">
        <v>0</v>
      </c>
      <c r="I16" s="1441"/>
    </row>
    <row r="17" spans="2:9" ht="14.5" thickBot="1">
      <c r="B17" s="1437" t="s">
        <v>1913</v>
      </c>
      <c r="C17" s="554" t="s">
        <v>463</v>
      </c>
      <c r="D17" s="1567" t="s">
        <v>48</v>
      </c>
      <c r="E17" s="1441">
        <v>14</v>
      </c>
      <c r="F17" s="1568">
        <v>14</v>
      </c>
      <c r="G17" s="1568">
        <v>14</v>
      </c>
      <c r="H17" s="1181">
        <v>0</v>
      </c>
      <c r="I17" s="1441"/>
    </row>
    <row r="18" spans="2:9">
      <c r="B18" s="1437" t="s">
        <v>1914</v>
      </c>
      <c r="C18" s="554" t="s">
        <v>464</v>
      </c>
      <c r="D18" s="1567" t="s">
        <v>48</v>
      </c>
      <c r="E18" s="1569">
        <v>15</v>
      </c>
      <c r="F18" s="1570">
        <v>15</v>
      </c>
      <c r="G18" s="1570">
        <v>15</v>
      </c>
      <c r="H18" s="1181">
        <v>0</v>
      </c>
      <c r="I18" s="1441"/>
    </row>
    <row r="19" spans="2:9" ht="14.5" thickBot="1">
      <c r="B19" s="1437" t="s">
        <v>1928</v>
      </c>
      <c r="C19" s="554" t="s">
        <v>465</v>
      </c>
      <c r="D19" s="1567" t="s">
        <v>48</v>
      </c>
      <c r="E19" s="1441">
        <v>16</v>
      </c>
      <c r="F19" s="1568">
        <v>16</v>
      </c>
      <c r="G19" s="1568">
        <v>16</v>
      </c>
      <c r="H19" s="1181">
        <v>0</v>
      </c>
      <c r="I19" s="1441"/>
    </row>
    <row r="20" spans="2:9">
      <c r="B20" s="1437" t="s">
        <v>1929</v>
      </c>
      <c r="C20" s="554" t="s">
        <v>466</v>
      </c>
      <c r="D20" s="1567" t="s">
        <v>48</v>
      </c>
      <c r="E20" s="1569">
        <v>17</v>
      </c>
      <c r="F20" s="1570">
        <v>17</v>
      </c>
      <c r="G20" s="1570">
        <v>17</v>
      </c>
      <c r="H20" s="1181">
        <v>0</v>
      </c>
      <c r="I20" s="1441"/>
    </row>
    <row r="21" spans="2:9" ht="14.5" thickBot="1">
      <c r="B21" s="1437" t="s">
        <v>1930</v>
      </c>
      <c r="C21" s="13" t="s">
        <v>3175</v>
      </c>
      <c r="D21" s="1567" t="s">
        <v>48</v>
      </c>
      <c r="E21" s="1441">
        <v>18</v>
      </c>
      <c r="F21" s="1568">
        <v>18</v>
      </c>
      <c r="G21" s="1568">
        <v>18</v>
      </c>
      <c r="H21" s="1181">
        <v>0</v>
      </c>
      <c r="I21" s="1441"/>
    </row>
    <row r="22" spans="2:9">
      <c r="B22" s="1437" t="s">
        <v>1932</v>
      </c>
      <c r="C22" s="13" t="s">
        <v>3176</v>
      </c>
      <c r="D22" s="1567" t="s">
        <v>48</v>
      </c>
      <c r="E22" s="1569">
        <v>19</v>
      </c>
      <c r="F22" s="1570">
        <v>19</v>
      </c>
      <c r="G22" s="1570">
        <v>19</v>
      </c>
      <c r="H22" s="1181">
        <v>0</v>
      </c>
      <c r="I22" s="1441"/>
    </row>
    <row r="23" spans="2:9" ht="14.5" thickBot="1">
      <c r="B23" s="1437" t="s">
        <v>1931</v>
      </c>
      <c r="C23" s="13" t="s">
        <v>3177</v>
      </c>
      <c r="D23" s="1567" t="s">
        <v>48</v>
      </c>
      <c r="E23" s="1441">
        <v>20</v>
      </c>
      <c r="F23" s="1568">
        <v>20</v>
      </c>
      <c r="G23" s="1568">
        <v>20</v>
      </c>
      <c r="H23" s="1181">
        <v>0</v>
      </c>
      <c r="I23" s="1441"/>
    </row>
    <row r="24" spans="2:9">
      <c r="B24" s="1437" t="s">
        <v>1933</v>
      </c>
      <c r="C24" s="13" t="s">
        <v>3178</v>
      </c>
      <c r="D24" s="1567" t="s">
        <v>48</v>
      </c>
      <c r="E24" s="1569">
        <v>21</v>
      </c>
      <c r="F24" s="1570">
        <v>21</v>
      </c>
      <c r="G24" s="1570">
        <v>21</v>
      </c>
      <c r="H24" s="1181">
        <v>0</v>
      </c>
      <c r="I24" s="1441"/>
    </row>
    <row r="25" spans="2:9" ht="14.5" thickBot="1">
      <c r="B25" s="1437" t="s">
        <v>1934</v>
      </c>
      <c r="C25" s="13" t="s">
        <v>3179</v>
      </c>
      <c r="D25" s="1567" t="s">
        <v>48</v>
      </c>
      <c r="E25" s="1441">
        <v>22</v>
      </c>
      <c r="F25" s="1568">
        <v>22</v>
      </c>
      <c r="G25" s="1568">
        <v>22</v>
      </c>
      <c r="H25" s="1181">
        <v>0</v>
      </c>
      <c r="I25" s="1441"/>
    </row>
    <row r="26" spans="2:9">
      <c r="B26" s="1437" t="s">
        <v>1935</v>
      </c>
      <c r="C26" s="13" t="s">
        <v>3180</v>
      </c>
      <c r="D26" s="1567" t="s">
        <v>48</v>
      </c>
      <c r="E26" s="1569">
        <v>23</v>
      </c>
      <c r="F26" s="1570">
        <v>23</v>
      </c>
      <c r="G26" s="1570">
        <v>23</v>
      </c>
      <c r="H26" s="1181">
        <v>0</v>
      </c>
      <c r="I26" s="1441"/>
    </row>
    <row r="27" spans="2:9" ht="14.5" thickBot="1">
      <c r="B27" s="1437" t="s">
        <v>1938</v>
      </c>
      <c r="C27" s="13" t="s">
        <v>3181</v>
      </c>
      <c r="D27" s="1567" t="s">
        <v>48</v>
      </c>
      <c r="E27" s="1441">
        <v>24</v>
      </c>
      <c r="F27" s="1568">
        <v>24</v>
      </c>
      <c r="G27" s="1568">
        <v>24</v>
      </c>
      <c r="H27" s="1181">
        <v>0</v>
      </c>
      <c r="I27" s="1441"/>
    </row>
    <row r="28" spans="2:9">
      <c r="B28" s="1437" t="s">
        <v>1936</v>
      </c>
      <c r="C28" s="13" t="s">
        <v>3182</v>
      </c>
      <c r="D28" s="1567" t="s">
        <v>48</v>
      </c>
      <c r="E28" s="1569">
        <v>25</v>
      </c>
      <c r="F28" s="1570">
        <v>25</v>
      </c>
      <c r="G28" s="1570">
        <v>25</v>
      </c>
      <c r="H28" s="1181">
        <v>0</v>
      </c>
      <c r="I28" s="1441"/>
    </row>
    <row r="29" spans="2:9" ht="14.5" thickBot="1">
      <c r="B29" s="1437" t="s">
        <v>1915</v>
      </c>
      <c r="C29" s="554" t="s">
        <v>3183</v>
      </c>
      <c r="D29" s="1567" t="s">
        <v>48</v>
      </c>
      <c r="E29" s="1441">
        <v>26</v>
      </c>
      <c r="F29" s="1568">
        <v>26</v>
      </c>
      <c r="G29" s="1568">
        <v>26</v>
      </c>
      <c r="H29" s="1181">
        <v>0</v>
      </c>
      <c r="I29" s="1441"/>
    </row>
    <row r="30" spans="2:9">
      <c r="B30" s="1437"/>
      <c r="C30" s="554" t="s">
        <v>469</v>
      </c>
      <c r="D30" s="1567" t="s">
        <v>48</v>
      </c>
      <c r="E30" s="1569">
        <v>27</v>
      </c>
      <c r="F30" s="1570">
        <v>27</v>
      </c>
      <c r="G30" s="1570">
        <v>27</v>
      </c>
      <c r="H30" s="1181">
        <v>0</v>
      </c>
      <c r="I30" s="1441"/>
    </row>
    <row r="31" spans="2:9">
      <c r="B31" s="1437"/>
      <c r="C31" s="554" t="s">
        <v>470</v>
      </c>
      <c r="D31" s="1567" t="s">
        <v>48</v>
      </c>
      <c r="E31" s="1441">
        <v>28</v>
      </c>
      <c r="F31" s="1568">
        <v>28</v>
      </c>
      <c r="G31" s="1568">
        <v>28</v>
      </c>
      <c r="H31" s="1181">
        <v>0</v>
      </c>
      <c r="I31" s="1441"/>
    </row>
    <row r="33" spans="1:9">
      <c r="A33" s="1737"/>
      <c r="B33" s="1737"/>
      <c r="C33" s="1737"/>
      <c r="H33" s="1737"/>
      <c r="I33" s="1737"/>
    </row>
    <row r="34" spans="1:9">
      <c r="A34" s="1739"/>
      <c r="B34" s="1739"/>
      <c r="C34" s="1739"/>
      <c r="E34" s="1571"/>
      <c r="F34" s="1571"/>
      <c r="G34" s="1571"/>
      <c r="H34" s="1739"/>
      <c r="I34" s="1739"/>
    </row>
    <row r="35" spans="1:9">
      <c r="A35" s="1571"/>
      <c r="B35" s="1571"/>
      <c r="C35" s="1571"/>
      <c r="E35" s="1571"/>
      <c r="F35" s="1571"/>
      <c r="G35" s="1571"/>
      <c r="H35" s="1571"/>
      <c r="I35" s="1571"/>
    </row>
    <row r="36" spans="1:9">
      <c r="A36" s="1571"/>
      <c r="B36" s="1571"/>
      <c r="C36" s="1571"/>
    </row>
    <row r="37" spans="1:9">
      <c r="A37" s="1571"/>
      <c r="B37" s="1571"/>
      <c r="C37" s="1571"/>
    </row>
    <row r="38" spans="1:9">
      <c r="A38" s="1571"/>
      <c r="B38" s="1571"/>
      <c r="C38" s="1571"/>
    </row>
    <row r="39" spans="1:9">
      <c r="A39" s="1571"/>
      <c r="B39" s="1571"/>
      <c r="C39" s="1571"/>
    </row>
    <row r="40" spans="1:9">
      <c r="A40" s="1740"/>
      <c r="B40" s="1739"/>
      <c r="C40" s="1739"/>
      <c r="H40" s="1740"/>
      <c r="I40" s="1740"/>
    </row>
    <row r="41" spans="1:9">
      <c r="A41" s="1737"/>
      <c r="B41" s="1737"/>
      <c r="C41" s="1737"/>
      <c r="H41" s="1737"/>
      <c r="I41" s="1737"/>
    </row>
  </sheetData>
  <mergeCells count="9">
    <mergeCell ref="A41:C41"/>
    <mergeCell ref="H41:I41"/>
    <mergeCell ref="B1:H1"/>
    <mergeCell ref="A33:C33"/>
    <mergeCell ref="H33:I33"/>
    <mergeCell ref="A34:C34"/>
    <mergeCell ref="H34:I34"/>
    <mergeCell ref="A40:C40"/>
    <mergeCell ref="H40:I40"/>
  </mergeCells>
  <printOptions horizontalCentered="1"/>
  <pageMargins left="0.70866141732283472" right="0.70866141732283472" top="0.35433070866141736" bottom="0.55118110236220474" header="0.31496062992125984" footer="0.31496062992125984"/>
  <pageSetup paperSize="9" scale="8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7674A-D97C-47EC-A3BB-622DCB5A6816}">
  <sheetPr>
    <tabColor theme="0"/>
  </sheetPr>
  <dimension ref="A2:F89"/>
  <sheetViews>
    <sheetView view="pageBreakPreview" zoomScale="70" zoomScaleNormal="100" zoomScaleSheetLayoutView="70" workbookViewId="0">
      <selection activeCell="E9" sqref="E9"/>
    </sheetView>
  </sheetViews>
  <sheetFormatPr defaultColWidth="8.6328125" defaultRowHeight="12.5"/>
  <cols>
    <col min="1" max="1" width="9.54296875" style="1573" customWidth="1"/>
    <col min="2" max="2" width="64.54296875" style="1573" customWidth="1"/>
    <col min="3" max="3" width="11.453125" style="1573" customWidth="1"/>
    <col min="4" max="4" width="20.6328125" style="1573" customWidth="1"/>
    <col min="5" max="5" width="13.453125" style="1575" customWidth="1"/>
    <col min="6" max="6" width="19.54296875" style="1573" customWidth="1"/>
    <col min="7" max="16384" width="8.6328125" style="1573"/>
  </cols>
  <sheetData>
    <row r="2" spans="1:6" ht="15.5">
      <c r="A2" s="1741" t="s">
        <v>4548</v>
      </c>
      <c r="B2" s="1741"/>
      <c r="C2" s="1741"/>
      <c r="D2" s="1741"/>
      <c r="E2" s="1741"/>
      <c r="F2" s="1572"/>
    </row>
    <row r="3" spans="1:6">
      <c r="A3" s="1574"/>
      <c r="C3" s="1575"/>
    </row>
    <row r="4" spans="1:6">
      <c r="A4" s="1742" t="s">
        <v>1952</v>
      </c>
      <c r="B4" s="1742" t="s">
        <v>4549</v>
      </c>
      <c r="C4" s="1742" t="s">
        <v>1954</v>
      </c>
      <c r="D4" s="1745" t="s">
        <v>4550</v>
      </c>
      <c r="E4" s="1748" t="s">
        <v>4551</v>
      </c>
    </row>
    <row r="5" spans="1:6">
      <c r="A5" s="1743"/>
      <c r="B5" s="1743"/>
      <c r="C5" s="1743"/>
      <c r="D5" s="1746"/>
      <c r="E5" s="1749"/>
    </row>
    <row r="6" spans="1:6">
      <c r="A6" s="1744"/>
      <c r="B6" s="1744"/>
      <c r="C6" s="1744"/>
      <c r="D6" s="1747"/>
      <c r="E6" s="1750"/>
    </row>
    <row r="7" spans="1:6">
      <c r="A7" s="1576"/>
      <c r="B7" s="1062"/>
      <c r="C7" s="1577"/>
      <c r="D7" s="1578"/>
      <c r="E7" s="1577"/>
    </row>
    <row r="8" spans="1:6" ht="13">
      <c r="A8" s="1579"/>
      <c r="B8" s="1580" t="s">
        <v>4552</v>
      </c>
      <c r="C8" s="1577"/>
      <c r="D8" s="1578"/>
      <c r="E8" s="1577"/>
      <c r="F8" s="1581"/>
    </row>
    <row r="9" spans="1:6">
      <c r="A9" s="1104">
        <v>1</v>
      </c>
      <c r="B9" s="1582" t="s">
        <v>4553</v>
      </c>
      <c r="C9" s="1583" t="s">
        <v>113</v>
      </c>
      <c r="D9" s="1578">
        <v>0</v>
      </c>
      <c r="E9" s="1577" t="s">
        <v>4554</v>
      </c>
      <c r="F9" s="1581"/>
    </row>
    <row r="10" spans="1:6">
      <c r="A10" s="1104">
        <f t="shared" ref="A10:A24" si="0">A9+1</f>
        <v>2</v>
      </c>
      <c r="B10" s="1582" t="s">
        <v>4555</v>
      </c>
      <c r="C10" s="1583" t="s">
        <v>2911</v>
      </c>
      <c r="D10" s="1578">
        <v>0</v>
      </c>
      <c r="E10" s="1577" t="s">
        <v>4554</v>
      </c>
      <c r="F10" s="1581"/>
    </row>
    <row r="11" spans="1:6">
      <c r="A11" s="1104">
        <f t="shared" si="0"/>
        <v>3</v>
      </c>
      <c r="B11" s="1582" t="s">
        <v>4556</v>
      </c>
      <c r="C11" s="1583" t="s">
        <v>2911</v>
      </c>
      <c r="D11" s="1578">
        <v>0</v>
      </c>
      <c r="E11" s="1577" t="s">
        <v>4554</v>
      </c>
      <c r="F11" s="1581"/>
    </row>
    <row r="12" spans="1:6">
      <c r="A12" s="1104">
        <f t="shared" si="0"/>
        <v>4</v>
      </c>
      <c r="B12" s="1582" t="s">
        <v>4557</v>
      </c>
      <c r="C12" s="1583" t="s">
        <v>2911</v>
      </c>
      <c r="D12" s="1578">
        <v>0</v>
      </c>
      <c r="E12" s="1577" t="s">
        <v>4554</v>
      </c>
      <c r="F12" s="1581"/>
    </row>
    <row r="13" spans="1:6">
      <c r="A13" s="1104">
        <f t="shared" si="0"/>
        <v>5</v>
      </c>
      <c r="B13" s="1582" t="s">
        <v>4558</v>
      </c>
      <c r="C13" s="1583" t="s">
        <v>2911</v>
      </c>
      <c r="D13" s="1578">
        <v>0</v>
      </c>
      <c r="E13" s="1577" t="s">
        <v>4554</v>
      </c>
      <c r="F13" s="1581"/>
    </row>
    <row r="14" spans="1:6">
      <c r="A14" s="1104">
        <f t="shared" si="0"/>
        <v>6</v>
      </c>
      <c r="B14" s="1582" t="s">
        <v>4559</v>
      </c>
      <c r="C14" s="1583" t="s">
        <v>2911</v>
      </c>
      <c r="D14" s="1578">
        <v>0</v>
      </c>
      <c r="E14" s="1577" t="s">
        <v>4554</v>
      </c>
      <c r="F14" s="1581"/>
    </row>
    <row r="15" spans="1:6">
      <c r="A15" s="1104">
        <f t="shared" si="0"/>
        <v>7</v>
      </c>
      <c r="B15" s="1582" t="s">
        <v>4560</v>
      </c>
      <c r="C15" s="1583" t="s">
        <v>2911</v>
      </c>
      <c r="D15" s="1578">
        <v>0</v>
      </c>
      <c r="E15" s="1577" t="s">
        <v>4554</v>
      </c>
      <c r="F15" s="1581"/>
    </row>
    <row r="16" spans="1:6">
      <c r="A16" s="1104">
        <f t="shared" si="0"/>
        <v>8</v>
      </c>
      <c r="B16" s="1582" t="s">
        <v>4561</v>
      </c>
      <c r="C16" s="1583" t="s">
        <v>2911</v>
      </c>
      <c r="D16" s="1578">
        <v>0</v>
      </c>
      <c r="E16" s="1577" t="s">
        <v>4554</v>
      </c>
      <c r="F16" s="1581"/>
    </row>
    <row r="17" spans="1:6">
      <c r="A17" s="1104">
        <f t="shared" si="0"/>
        <v>9</v>
      </c>
      <c r="B17" s="1582" t="s">
        <v>4562</v>
      </c>
      <c r="C17" s="1583" t="s">
        <v>2911</v>
      </c>
      <c r="D17" s="1578">
        <v>0</v>
      </c>
      <c r="E17" s="1577" t="s">
        <v>4554</v>
      </c>
      <c r="F17" s="1581"/>
    </row>
    <row r="18" spans="1:6">
      <c r="A18" s="1104"/>
      <c r="B18" s="1582"/>
      <c r="C18" s="1583"/>
      <c r="D18" s="1578"/>
      <c r="E18" s="1577"/>
      <c r="F18" s="1581"/>
    </row>
    <row r="19" spans="1:6">
      <c r="A19" s="1104">
        <f>A17+1</f>
        <v>10</v>
      </c>
      <c r="B19" s="1582" t="s">
        <v>4563</v>
      </c>
      <c r="C19" s="1583" t="s">
        <v>2911</v>
      </c>
      <c r="D19" s="1578">
        <v>0</v>
      </c>
      <c r="E19" s="1577" t="s">
        <v>4554</v>
      </c>
      <c r="F19" s="1581"/>
    </row>
    <row r="20" spans="1:6">
      <c r="A20" s="1104">
        <f t="shared" si="0"/>
        <v>11</v>
      </c>
      <c r="B20" s="1582" t="s">
        <v>4564</v>
      </c>
      <c r="C20" s="1583" t="s">
        <v>2911</v>
      </c>
      <c r="D20" s="1578">
        <v>0</v>
      </c>
      <c r="E20" s="1577" t="s">
        <v>4554</v>
      </c>
      <c r="F20" s="1581"/>
    </row>
    <row r="21" spans="1:6">
      <c r="A21" s="1104">
        <f t="shared" si="0"/>
        <v>12</v>
      </c>
      <c r="B21" s="1582" t="s">
        <v>4565</v>
      </c>
      <c r="C21" s="1583" t="s">
        <v>2911</v>
      </c>
      <c r="D21" s="1578">
        <v>0</v>
      </c>
      <c r="E21" s="1577" t="s">
        <v>4554</v>
      </c>
      <c r="F21" s="1581"/>
    </row>
    <row r="22" spans="1:6">
      <c r="A22" s="1104">
        <f t="shared" si="0"/>
        <v>13</v>
      </c>
      <c r="B22" s="1582" t="s">
        <v>4566</v>
      </c>
      <c r="C22" s="1583" t="s">
        <v>2911</v>
      </c>
      <c r="D22" s="1578">
        <v>0</v>
      </c>
      <c r="E22" s="1577" t="s">
        <v>4554</v>
      </c>
      <c r="F22" s="1581"/>
    </row>
    <row r="23" spans="1:6">
      <c r="A23" s="1104">
        <f t="shared" si="0"/>
        <v>14</v>
      </c>
      <c r="B23" s="1582" t="s">
        <v>4567</v>
      </c>
      <c r="C23" s="1583" t="s">
        <v>2911</v>
      </c>
      <c r="D23" s="1578">
        <v>0</v>
      </c>
      <c r="E23" s="1577" t="s">
        <v>4554</v>
      </c>
      <c r="F23" s="1581"/>
    </row>
    <row r="24" spans="1:6">
      <c r="A24" s="1104">
        <f t="shared" si="0"/>
        <v>15</v>
      </c>
      <c r="B24" s="1582" t="s">
        <v>4568</v>
      </c>
      <c r="C24" s="1583" t="s">
        <v>2911</v>
      </c>
      <c r="D24" s="1578">
        <v>0</v>
      </c>
      <c r="E24" s="1577" t="s">
        <v>4554</v>
      </c>
      <c r="F24" s="1581"/>
    </row>
    <row r="25" spans="1:6">
      <c r="A25" s="1104"/>
      <c r="B25" s="1582"/>
      <c r="C25" s="1583"/>
      <c r="D25" s="1578"/>
      <c r="E25" s="1577"/>
      <c r="F25" s="1581"/>
    </row>
    <row r="26" spans="1:6" ht="13">
      <c r="A26" s="1579"/>
      <c r="B26" s="1580" t="s">
        <v>4569</v>
      </c>
      <c r="C26" s="1577"/>
      <c r="D26" s="1578"/>
      <c r="E26" s="1577"/>
      <c r="F26" s="1581"/>
    </row>
    <row r="27" spans="1:6">
      <c r="A27" s="1576">
        <v>1</v>
      </c>
      <c r="B27" s="1584" t="s">
        <v>4331</v>
      </c>
      <c r="C27" s="1576" t="s">
        <v>259</v>
      </c>
      <c r="D27" s="1578">
        <v>0</v>
      </c>
      <c r="E27" s="1577" t="s">
        <v>4554</v>
      </c>
      <c r="F27" s="1581"/>
    </row>
    <row r="28" spans="1:6">
      <c r="A28" s="1576">
        <f t="shared" ref="A28:A60" si="1">A27+1</f>
        <v>2</v>
      </c>
      <c r="B28" s="1584" t="s">
        <v>4311</v>
      </c>
      <c r="C28" s="1576" t="s">
        <v>259</v>
      </c>
      <c r="D28" s="1578">
        <v>0</v>
      </c>
      <c r="E28" s="1577" t="s">
        <v>4554</v>
      </c>
      <c r="F28" s="1581"/>
    </row>
    <row r="29" spans="1:6">
      <c r="A29" s="1576">
        <f t="shared" si="1"/>
        <v>3</v>
      </c>
      <c r="B29" s="1584" t="s">
        <v>2636</v>
      </c>
      <c r="C29" s="1576" t="s">
        <v>259</v>
      </c>
      <c r="D29" s="1578">
        <v>0</v>
      </c>
      <c r="E29" s="1577" t="s">
        <v>4554</v>
      </c>
      <c r="F29" s="1581"/>
    </row>
    <row r="30" spans="1:6">
      <c r="A30" s="1576">
        <f t="shared" si="1"/>
        <v>4</v>
      </c>
      <c r="B30" s="1584" t="s">
        <v>4315</v>
      </c>
      <c r="C30" s="1576" t="s">
        <v>259</v>
      </c>
      <c r="D30" s="1578">
        <v>0</v>
      </c>
      <c r="E30" s="1577" t="s">
        <v>4554</v>
      </c>
      <c r="F30" s="1581"/>
    </row>
    <row r="31" spans="1:6">
      <c r="A31" s="1576">
        <f t="shared" si="1"/>
        <v>5</v>
      </c>
      <c r="B31" s="1584" t="s">
        <v>4570</v>
      </c>
      <c r="C31" s="1576" t="s">
        <v>259</v>
      </c>
      <c r="D31" s="1578">
        <v>0</v>
      </c>
      <c r="E31" s="1577" t="s">
        <v>4554</v>
      </c>
      <c r="F31" s="1581"/>
    </row>
    <row r="32" spans="1:6">
      <c r="A32" s="1576">
        <f t="shared" si="1"/>
        <v>6</v>
      </c>
      <c r="B32" s="1584" t="s">
        <v>4571</v>
      </c>
      <c r="C32" s="1576" t="s">
        <v>259</v>
      </c>
      <c r="D32" s="1578">
        <v>0</v>
      </c>
      <c r="E32" s="1577" t="s">
        <v>4554</v>
      </c>
      <c r="F32" s="1581"/>
    </row>
    <row r="33" spans="1:6">
      <c r="A33" s="1576">
        <f t="shared" si="1"/>
        <v>7</v>
      </c>
      <c r="B33" s="1584" t="s">
        <v>4572</v>
      </c>
      <c r="C33" s="1576" t="s">
        <v>259</v>
      </c>
      <c r="D33" s="1578">
        <v>0</v>
      </c>
      <c r="E33" s="1577" t="s">
        <v>4554</v>
      </c>
      <c r="F33" s="1581"/>
    </row>
    <row r="34" spans="1:6">
      <c r="A34" s="1576">
        <f t="shared" si="1"/>
        <v>8</v>
      </c>
      <c r="B34" s="1584" t="s">
        <v>370</v>
      </c>
      <c r="C34" s="1576" t="s">
        <v>259</v>
      </c>
      <c r="D34" s="1578">
        <v>0</v>
      </c>
      <c r="E34" s="1577" t="s">
        <v>4554</v>
      </c>
      <c r="F34" s="1581"/>
    </row>
    <row r="35" spans="1:6">
      <c r="A35" s="1576">
        <f t="shared" si="1"/>
        <v>9</v>
      </c>
      <c r="B35" s="1584" t="s">
        <v>371</v>
      </c>
      <c r="C35" s="1576" t="s">
        <v>259</v>
      </c>
      <c r="D35" s="1578">
        <v>0</v>
      </c>
      <c r="E35" s="1577" t="s">
        <v>4554</v>
      </c>
      <c r="F35" s="1581"/>
    </row>
    <row r="36" spans="1:6">
      <c r="A36" s="1576">
        <f t="shared" si="1"/>
        <v>10</v>
      </c>
      <c r="B36" s="1584" t="s">
        <v>4357</v>
      </c>
      <c r="C36" s="1576" t="s">
        <v>259</v>
      </c>
      <c r="D36" s="1578">
        <v>0</v>
      </c>
      <c r="E36" s="1577" t="s">
        <v>4554</v>
      </c>
      <c r="F36" s="1581"/>
    </row>
    <row r="37" spans="1:6">
      <c r="A37" s="1576">
        <f t="shared" si="1"/>
        <v>11</v>
      </c>
      <c r="B37" s="1584" t="s">
        <v>4573</v>
      </c>
      <c r="C37" s="1576" t="s">
        <v>259</v>
      </c>
      <c r="D37" s="1578">
        <v>0</v>
      </c>
      <c r="E37" s="1577" t="s">
        <v>4554</v>
      </c>
      <c r="F37" s="1581"/>
    </row>
    <row r="38" spans="1:6">
      <c r="A38" s="1576">
        <f t="shared" si="1"/>
        <v>12</v>
      </c>
      <c r="B38" s="1584" t="s">
        <v>4574</v>
      </c>
      <c r="C38" s="1576" t="s">
        <v>259</v>
      </c>
      <c r="D38" s="1578">
        <v>0</v>
      </c>
      <c r="E38" s="1577" t="s">
        <v>4554</v>
      </c>
      <c r="F38" s="1581"/>
    </row>
    <row r="39" spans="1:6">
      <c r="A39" s="1576">
        <f t="shared" si="1"/>
        <v>13</v>
      </c>
      <c r="B39" s="1584" t="s">
        <v>4575</v>
      </c>
      <c r="C39" s="1576" t="s">
        <v>259</v>
      </c>
      <c r="D39" s="1578">
        <v>0</v>
      </c>
      <c r="E39" s="1577" t="s">
        <v>4554</v>
      </c>
      <c r="F39" s="1581"/>
    </row>
    <row r="40" spans="1:6">
      <c r="A40" s="1576">
        <f t="shared" si="1"/>
        <v>14</v>
      </c>
      <c r="B40" s="1584" t="s">
        <v>4576</v>
      </c>
      <c r="C40" s="1576" t="s">
        <v>113</v>
      </c>
      <c r="D40" s="1578">
        <v>0</v>
      </c>
      <c r="E40" s="1577" t="s">
        <v>4554</v>
      </c>
      <c r="F40" s="1581"/>
    </row>
    <row r="41" spans="1:6">
      <c r="A41" s="1576">
        <f t="shared" si="1"/>
        <v>15</v>
      </c>
      <c r="B41" s="1584" t="s">
        <v>1780</v>
      </c>
      <c r="C41" s="1576" t="s">
        <v>259</v>
      </c>
      <c r="D41" s="1578">
        <v>0</v>
      </c>
      <c r="E41" s="1577" t="s">
        <v>4554</v>
      </c>
      <c r="F41" s="1581"/>
    </row>
    <row r="42" spans="1:6">
      <c r="A42" s="1576">
        <f t="shared" si="1"/>
        <v>16</v>
      </c>
      <c r="B42" s="1584" t="s">
        <v>4577</v>
      </c>
      <c r="C42" s="1576" t="s">
        <v>2911</v>
      </c>
      <c r="D42" s="1578">
        <v>0</v>
      </c>
      <c r="E42" s="1577" t="s">
        <v>4554</v>
      </c>
      <c r="F42" s="1581"/>
    </row>
    <row r="43" spans="1:6">
      <c r="A43" s="1576">
        <f t="shared" si="1"/>
        <v>17</v>
      </c>
      <c r="B43" s="1584" t="s">
        <v>4578</v>
      </c>
      <c r="C43" s="1576" t="s">
        <v>2911</v>
      </c>
      <c r="D43" s="1578">
        <v>0</v>
      </c>
      <c r="E43" s="1577" t="s">
        <v>4554</v>
      </c>
      <c r="F43" s="1581"/>
    </row>
    <row r="44" spans="1:6">
      <c r="A44" s="1576">
        <f t="shared" si="1"/>
        <v>18</v>
      </c>
      <c r="B44" s="1584" t="s">
        <v>4579</v>
      </c>
      <c r="C44" s="1576" t="s">
        <v>2911</v>
      </c>
      <c r="D44" s="1578">
        <v>0</v>
      </c>
      <c r="E44" s="1577" t="s">
        <v>4554</v>
      </c>
      <c r="F44" s="1581"/>
    </row>
    <row r="45" spans="1:6">
      <c r="A45" s="1576">
        <f t="shared" si="1"/>
        <v>19</v>
      </c>
      <c r="B45" s="1584" t="s">
        <v>4580</v>
      </c>
      <c r="C45" s="1576" t="s">
        <v>2911</v>
      </c>
      <c r="D45" s="1578">
        <v>0</v>
      </c>
      <c r="E45" s="1577" t="s">
        <v>4554</v>
      </c>
      <c r="F45" s="1581"/>
    </row>
    <row r="46" spans="1:6">
      <c r="A46" s="1576">
        <f t="shared" si="1"/>
        <v>20</v>
      </c>
      <c r="B46" s="1584" t="s">
        <v>4581</v>
      </c>
      <c r="C46" s="1576" t="s">
        <v>2911</v>
      </c>
      <c r="D46" s="1578">
        <v>0</v>
      </c>
      <c r="E46" s="1577" t="s">
        <v>4554</v>
      </c>
      <c r="F46" s="1581"/>
    </row>
    <row r="47" spans="1:6">
      <c r="A47" s="1576">
        <f t="shared" si="1"/>
        <v>21</v>
      </c>
      <c r="B47" s="1584" t="s">
        <v>4582</v>
      </c>
      <c r="C47" s="1576" t="s">
        <v>2911</v>
      </c>
      <c r="D47" s="1578">
        <v>0</v>
      </c>
      <c r="E47" s="1577" t="s">
        <v>4554</v>
      </c>
      <c r="F47" s="1581"/>
    </row>
    <row r="48" spans="1:6">
      <c r="A48" s="1576">
        <f t="shared" si="1"/>
        <v>22</v>
      </c>
      <c r="B48" s="1584" t="s">
        <v>4583</v>
      </c>
      <c r="C48" s="1576" t="s">
        <v>2911</v>
      </c>
      <c r="D48" s="1578">
        <v>0</v>
      </c>
      <c r="E48" s="1577" t="s">
        <v>4554</v>
      </c>
      <c r="F48" s="1581"/>
    </row>
    <row r="49" spans="1:6">
      <c r="A49" s="1576">
        <f t="shared" si="1"/>
        <v>23</v>
      </c>
      <c r="B49" s="1584" t="s">
        <v>4584</v>
      </c>
      <c r="C49" s="1576" t="s">
        <v>2911</v>
      </c>
      <c r="D49" s="1578">
        <v>0</v>
      </c>
      <c r="E49" s="1577" t="s">
        <v>4554</v>
      </c>
      <c r="F49" s="1581"/>
    </row>
    <row r="50" spans="1:6">
      <c r="A50" s="1576">
        <f t="shared" si="1"/>
        <v>24</v>
      </c>
      <c r="B50" s="1584" t="s">
        <v>4585</v>
      </c>
      <c r="C50" s="1576" t="s">
        <v>2911</v>
      </c>
      <c r="D50" s="1578">
        <v>0</v>
      </c>
      <c r="E50" s="1577" t="s">
        <v>4554</v>
      </c>
      <c r="F50" s="1581"/>
    </row>
    <row r="51" spans="1:6">
      <c r="A51" s="1576">
        <f t="shared" si="1"/>
        <v>25</v>
      </c>
      <c r="B51" s="1584" t="s">
        <v>4586</v>
      </c>
      <c r="C51" s="1576" t="s">
        <v>2911</v>
      </c>
      <c r="D51" s="1578">
        <v>0</v>
      </c>
      <c r="E51" s="1577" t="s">
        <v>4554</v>
      </c>
      <c r="F51" s="1581"/>
    </row>
    <row r="52" spans="1:6">
      <c r="A52" s="1576">
        <f t="shared" si="1"/>
        <v>26</v>
      </c>
      <c r="B52" s="1584" t="s">
        <v>4587</v>
      </c>
      <c r="C52" s="1576" t="s">
        <v>2911</v>
      </c>
      <c r="D52" s="1578">
        <v>0</v>
      </c>
      <c r="E52" s="1577" t="s">
        <v>4554</v>
      </c>
      <c r="F52" s="1581"/>
    </row>
    <row r="53" spans="1:6">
      <c r="A53" s="1576">
        <f t="shared" si="1"/>
        <v>27</v>
      </c>
      <c r="B53" s="1584" t="s">
        <v>4588</v>
      </c>
      <c r="C53" s="1576" t="s">
        <v>2911</v>
      </c>
      <c r="D53" s="1578">
        <v>0</v>
      </c>
      <c r="E53" s="1577" t="s">
        <v>4554</v>
      </c>
      <c r="F53" s="1581"/>
    </row>
    <row r="54" spans="1:6">
      <c r="A54" s="1576">
        <f t="shared" si="1"/>
        <v>28</v>
      </c>
      <c r="B54" s="1584" t="s">
        <v>4589</v>
      </c>
      <c r="C54" s="1576" t="s">
        <v>2911</v>
      </c>
      <c r="D54" s="1578">
        <v>0</v>
      </c>
      <c r="E54" s="1577" t="s">
        <v>4554</v>
      </c>
      <c r="F54" s="1581"/>
    </row>
    <row r="55" spans="1:6">
      <c r="A55" s="1576">
        <f t="shared" si="1"/>
        <v>29</v>
      </c>
      <c r="B55" s="1584" t="s">
        <v>4590</v>
      </c>
      <c r="C55" s="1576" t="s">
        <v>259</v>
      </c>
      <c r="D55" s="1578">
        <v>0</v>
      </c>
      <c r="E55" s="1577" t="s">
        <v>4554</v>
      </c>
      <c r="F55" s="1581"/>
    </row>
    <row r="56" spans="1:6">
      <c r="A56" s="1576">
        <f t="shared" si="1"/>
        <v>30</v>
      </c>
      <c r="B56" s="1584" t="s">
        <v>4591</v>
      </c>
      <c r="C56" s="1576" t="s">
        <v>259</v>
      </c>
      <c r="D56" s="1578">
        <v>0</v>
      </c>
      <c r="E56" s="1577" t="s">
        <v>4554</v>
      </c>
      <c r="F56" s="1581"/>
    </row>
    <row r="57" spans="1:6">
      <c r="A57" s="1576">
        <f t="shared" si="1"/>
        <v>31</v>
      </c>
      <c r="B57" s="1584" t="s">
        <v>4592</v>
      </c>
      <c r="C57" s="1576" t="s">
        <v>259</v>
      </c>
      <c r="D57" s="1578">
        <v>0</v>
      </c>
      <c r="E57" s="1577" t="s">
        <v>4554</v>
      </c>
      <c r="F57" s="1581"/>
    </row>
    <row r="58" spans="1:6">
      <c r="A58" s="1576">
        <f t="shared" si="1"/>
        <v>32</v>
      </c>
      <c r="B58" s="1581" t="s">
        <v>4593</v>
      </c>
      <c r="C58" s="1576" t="s">
        <v>259</v>
      </c>
      <c r="D58" s="1578">
        <v>0</v>
      </c>
      <c r="E58" s="1577" t="s">
        <v>4554</v>
      </c>
      <c r="F58" s="1581"/>
    </row>
    <row r="59" spans="1:6">
      <c r="A59" s="1576">
        <f t="shared" si="1"/>
        <v>33</v>
      </c>
      <c r="B59" s="1581" t="s">
        <v>4594</v>
      </c>
      <c r="C59" s="1576" t="s">
        <v>259</v>
      </c>
      <c r="D59" s="1578">
        <v>0</v>
      </c>
      <c r="E59" s="1577" t="s">
        <v>4554</v>
      </c>
      <c r="F59" s="1581"/>
    </row>
    <row r="60" spans="1:6">
      <c r="A60" s="1576">
        <f t="shared" si="1"/>
        <v>34</v>
      </c>
      <c r="B60" s="1581" t="s">
        <v>4595</v>
      </c>
      <c r="C60" s="1576" t="s">
        <v>259</v>
      </c>
      <c r="D60" s="1578">
        <v>0</v>
      </c>
      <c r="E60" s="1577" t="s">
        <v>4554</v>
      </c>
      <c r="F60" s="1581"/>
    </row>
    <row r="61" spans="1:6">
      <c r="A61" s="1576">
        <f>A58+1</f>
        <v>33</v>
      </c>
      <c r="B61" s="1584" t="s">
        <v>4596</v>
      </c>
      <c r="C61" s="1576" t="s">
        <v>259</v>
      </c>
      <c r="D61" s="1578">
        <v>0</v>
      </c>
      <c r="E61" s="1577" t="s">
        <v>4554</v>
      </c>
      <c r="F61" s="1581"/>
    </row>
    <row r="62" spans="1:6">
      <c r="A62" s="1576">
        <f t="shared" ref="A62:A67" si="2">A61+1</f>
        <v>34</v>
      </c>
      <c r="B62" s="998" t="s">
        <v>4597</v>
      </c>
      <c r="C62" s="1576" t="s">
        <v>259</v>
      </c>
      <c r="D62" s="1578">
        <v>0</v>
      </c>
      <c r="E62" s="1577" t="s">
        <v>4554</v>
      </c>
      <c r="F62" s="1581"/>
    </row>
    <row r="63" spans="1:6">
      <c r="A63" s="1576">
        <f t="shared" si="2"/>
        <v>35</v>
      </c>
      <c r="B63" s="998" t="s">
        <v>4598</v>
      </c>
      <c r="C63" s="1576" t="s">
        <v>259</v>
      </c>
      <c r="D63" s="1578">
        <v>0</v>
      </c>
      <c r="E63" s="1577" t="s">
        <v>4554</v>
      </c>
      <c r="F63" s="1581"/>
    </row>
    <row r="64" spans="1:6">
      <c r="A64" s="1576">
        <f t="shared" si="2"/>
        <v>36</v>
      </c>
      <c r="B64" s="1584" t="s">
        <v>4599</v>
      </c>
      <c r="C64" s="1576" t="s">
        <v>259</v>
      </c>
      <c r="D64" s="1578">
        <v>0</v>
      </c>
      <c r="E64" s="1577" t="s">
        <v>4554</v>
      </c>
      <c r="F64" s="1581"/>
    </row>
    <row r="65" spans="1:6">
      <c r="A65" s="1576">
        <f t="shared" si="2"/>
        <v>37</v>
      </c>
      <c r="B65" s="1584" t="s">
        <v>4600</v>
      </c>
      <c r="C65" s="1576" t="s">
        <v>113</v>
      </c>
      <c r="D65" s="1578">
        <v>0</v>
      </c>
      <c r="E65" s="1577" t="s">
        <v>4554</v>
      </c>
      <c r="F65" s="1581"/>
    </row>
    <row r="66" spans="1:6">
      <c r="A66" s="1576">
        <f t="shared" si="2"/>
        <v>38</v>
      </c>
      <c r="B66" s="1584" t="s">
        <v>4601</v>
      </c>
      <c r="C66" s="1576" t="s">
        <v>113</v>
      </c>
      <c r="D66" s="1578">
        <v>0</v>
      </c>
      <c r="E66" s="1577" t="s">
        <v>4554</v>
      </c>
      <c r="F66" s="1581"/>
    </row>
    <row r="67" spans="1:6">
      <c r="A67" s="1576">
        <f t="shared" si="2"/>
        <v>39</v>
      </c>
      <c r="B67" s="1584" t="s">
        <v>4602</v>
      </c>
      <c r="C67" s="1576" t="s">
        <v>113</v>
      </c>
      <c r="D67" s="1578">
        <v>0</v>
      </c>
      <c r="E67" s="1577" t="s">
        <v>4554</v>
      </c>
      <c r="F67" s="1581"/>
    </row>
    <row r="68" spans="1:6">
      <c r="A68" s="1576"/>
      <c r="B68" s="1584"/>
      <c r="C68" s="1576"/>
      <c r="D68" s="1578"/>
      <c r="E68" s="1577"/>
      <c r="F68" s="1581"/>
    </row>
    <row r="69" spans="1:6" s="1572" customFormat="1" ht="13">
      <c r="A69" s="1579"/>
      <c r="B69" s="1585" t="s">
        <v>4603</v>
      </c>
      <c r="C69" s="1576"/>
      <c r="D69" s="1064"/>
      <c r="E69" s="1586"/>
      <c r="F69" s="1587"/>
    </row>
    <row r="70" spans="1:6" s="1572" customFormat="1" ht="13">
      <c r="A70" s="1576">
        <v>1</v>
      </c>
      <c r="B70" s="1003" t="s">
        <v>4604</v>
      </c>
      <c r="C70" s="1576" t="s">
        <v>215</v>
      </c>
      <c r="D70" s="1578">
        <v>0</v>
      </c>
      <c r="E70" s="1577" t="s">
        <v>4554</v>
      </c>
      <c r="F70" s="1587"/>
    </row>
    <row r="71" spans="1:6" s="1572" customFormat="1" ht="13">
      <c r="A71" s="1576">
        <f>1+A70</f>
        <v>2</v>
      </c>
      <c r="B71" s="1004" t="s">
        <v>4605</v>
      </c>
      <c r="C71" s="1576" t="s">
        <v>128</v>
      </c>
      <c r="D71" s="1578">
        <v>0</v>
      </c>
      <c r="E71" s="1577" t="s">
        <v>4554</v>
      </c>
      <c r="F71" s="1587"/>
    </row>
    <row r="72" spans="1:6" s="1572" customFormat="1" ht="13">
      <c r="A72" s="1576">
        <f>1+A71</f>
        <v>3</v>
      </c>
      <c r="B72" s="1004" t="s">
        <v>4196</v>
      </c>
      <c r="C72" s="1576" t="s">
        <v>128</v>
      </c>
      <c r="D72" s="1578">
        <v>0</v>
      </c>
      <c r="E72" s="1577" t="s">
        <v>4554</v>
      </c>
      <c r="F72" s="1587"/>
    </row>
    <row r="73" spans="1:6" s="1572" customFormat="1" ht="13">
      <c r="A73" s="1576">
        <f>1+A72</f>
        <v>4</v>
      </c>
      <c r="B73" s="1003" t="s">
        <v>4606</v>
      </c>
      <c r="C73" s="1576" t="s">
        <v>128</v>
      </c>
      <c r="D73" s="1578">
        <v>0</v>
      </c>
      <c r="E73" s="1577" t="s">
        <v>4554</v>
      </c>
      <c r="F73" s="1587"/>
    </row>
    <row r="74" spans="1:6" s="1572" customFormat="1" ht="13">
      <c r="A74" s="1576">
        <v>2</v>
      </c>
      <c r="B74" s="1003" t="s">
        <v>4539</v>
      </c>
      <c r="C74" s="1576" t="s">
        <v>128</v>
      </c>
      <c r="D74" s="1578">
        <v>0</v>
      </c>
      <c r="E74" s="1577" t="s">
        <v>4554</v>
      </c>
      <c r="F74" s="1587"/>
    </row>
    <row r="75" spans="1:6" s="1572" customFormat="1" ht="13">
      <c r="A75" s="1576">
        <f>1+A74</f>
        <v>3</v>
      </c>
      <c r="B75" s="1003" t="s">
        <v>4197</v>
      </c>
      <c r="C75" s="1576" t="s">
        <v>128</v>
      </c>
      <c r="D75" s="1578">
        <v>0</v>
      </c>
      <c r="E75" s="1577" t="s">
        <v>4554</v>
      </c>
      <c r="F75" s="1587"/>
    </row>
    <row r="76" spans="1:6" s="1572" customFormat="1" ht="13">
      <c r="A76" s="1576">
        <f>1+A75</f>
        <v>4</v>
      </c>
      <c r="B76" s="1588" t="s">
        <v>4607</v>
      </c>
      <c r="C76" s="1576" t="s">
        <v>113</v>
      </c>
      <c r="D76" s="1578">
        <v>0</v>
      </c>
      <c r="E76" s="1577" t="s">
        <v>4554</v>
      </c>
      <c r="F76" s="1587"/>
    </row>
    <row r="77" spans="1:6" s="1572" customFormat="1" ht="13">
      <c r="A77" s="1579"/>
      <c r="B77" s="1585" t="s">
        <v>4608</v>
      </c>
      <c r="C77" s="1576" t="s">
        <v>215</v>
      </c>
      <c r="D77" s="1064"/>
      <c r="E77" s="1586"/>
      <c r="F77" s="1587"/>
    </row>
    <row r="78" spans="1:6" s="1572" customFormat="1" ht="13">
      <c r="A78" s="1576">
        <v>1</v>
      </c>
      <c r="B78" s="1004" t="s">
        <v>4609</v>
      </c>
      <c r="C78" s="1576" t="s">
        <v>128</v>
      </c>
      <c r="D78" s="1578">
        <v>0</v>
      </c>
      <c r="E78" s="1577" t="s">
        <v>4554</v>
      </c>
      <c r="F78" s="1587"/>
    </row>
    <row r="79" spans="1:6" s="1572" customFormat="1" ht="13">
      <c r="A79" s="1576">
        <f>1+A78</f>
        <v>2</v>
      </c>
      <c r="B79" s="1004" t="s">
        <v>4201</v>
      </c>
      <c r="C79" s="1576" t="s">
        <v>215</v>
      </c>
      <c r="D79" s="1578">
        <v>0</v>
      </c>
      <c r="E79" s="1577" t="s">
        <v>4554</v>
      </c>
      <c r="F79" s="1587"/>
    </row>
    <row r="80" spans="1:6" s="1572" customFormat="1" ht="13">
      <c r="A80" s="1576">
        <f>1+A79</f>
        <v>3</v>
      </c>
      <c r="B80" s="1588" t="s">
        <v>4610</v>
      </c>
      <c r="C80" s="1576" t="s">
        <v>215</v>
      </c>
      <c r="D80" s="1578">
        <v>0</v>
      </c>
      <c r="E80" s="1577" t="s">
        <v>4554</v>
      </c>
      <c r="F80" s="1587"/>
    </row>
    <row r="81" spans="1:6" s="1572" customFormat="1" ht="13">
      <c r="A81" s="1576">
        <f>1+A80</f>
        <v>4</v>
      </c>
      <c r="B81" s="1008" t="s">
        <v>4206</v>
      </c>
      <c r="C81" s="1576" t="s">
        <v>215</v>
      </c>
      <c r="D81" s="1578">
        <v>0</v>
      </c>
      <c r="E81" s="1577" t="s">
        <v>4554</v>
      </c>
      <c r="F81" s="1587"/>
    </row>
    <row r="82" spans="1:6" s="1572" customFormat="1" ht="13">
      <c r="A82" s="1576">
        <v>2</v>
      </c>
      <c r="B82" s="1008" t="s">
        <v>4207</v>
      </c>
      <c r="C82" s="1576" t="s">
        <v>215</v>
      </c>
      <c r="D82" s="1578">
        <v>0</v>
      </c>
      <c r="E82" s="1577" t="s">
        <v>4554</v>
      </c>
      <c r="F82" s="1587"/>
    </row>
    <row r="83" spans="1:6" s="1572" customFormat="1" ht="13">
      <c r="A83" s="1576">
        <f>1+A82</f>
        <v>3</v>
      </c>
      <c r="B83" s="1008" t="s">
        <v>4208</v>
      </c>
      <c r="C83" s="1576" t="s">
        <v>215</v>
      </c>
      <c r="D83" s="1578">
        <v>0</v>
      </c>
      <c r="E83" s="1577" t="s">
        <v>4554</v>
      </c>
      <c r="F83" s="1587"/>
    </row>
    <row r="84" spans="1:6" s="1572" customFormat="1" ht="13">
      <c r="A84" s="1576">
        <f>1+A83</f>
        <v>4</v>
      </c>
      <c r="B84" s="1008" t="s">
        <v>4611</v>
      </c>
      <c r="C84" s="1576" t="s">
        <v>215</v>
      </c>
      <c r="D84" s="1578">
        <v>0</v>
      </c>
      <c r="E84" s="1577" t="s">
        <v>4554</v>
      </c>
      <c r="F84" s="1587"/>
    </row>
    <row r="85" spans="1:6" s="1572" customFormat="1" ht="13">
      <c r="A85" s="1576">
        <v>2</v>
      </c>
      <c r="B85" s="1004" t="s">
        <v>4612</v>
      </c>
      <c r="C85" s="1576" t="s">
        <v>215</v>
      </c>
      <c r="D85" s="1578">
        <v>0</v>
      </c>
      <c r="E85" s="1577" t="s">
        <v>4554</v>
      </c>
      <c r="F85" s="1587"/>
    </row>
    <row r="86" spans="1:6" s="1572" customFormat="1" ht="13">
      <c r="A86" s="1576">
        <f>1+A85</f>
        <v>3</v>
      </c>
      <c r="B86" s="1004" t="s">
        <v>4613</v>
      </c>
      <c r="C86" s="1576" t="s">
        <v>215</v>
      </c>
      <c r="D86" s="1578">
        <v>0</v>
      </c>
      <c r="E86" s="1577" t="s">
        <v>4554</v>
      </c>
      <c r="F86" s="1587"/>
    </row>
    <row r="87" spans="1:6" s="1572" customFormat="1" ht="13">
      <c r="A87" s="1576">
        <f>1+A86</f>
        <v>4</v>
      </c>
      <c r="B87" s="1008" t="s">
        <v>4211</v>
      </c>
      <c r="C87" s="1576" t="s">
        <v>215</v>
      </c>
      <c r="D87" s="1578">
        <v>0</v>
      </c>
      <c r="E87" s="1577" t="s">
        <v>4554</v>
      </c>
      <c r="F87" s="1587"/>
    </row>
    <row r="88" spans="1:6" s="1572" customFormat="1" ht="13">
      <c r="A88" s="1576">
        <f>1+A87</f>
        <v>5</v>
      </c>
      <c r="B88" s="1008" t="s">
        <v>4212</v>
      </c>
      <c r="C88" s="1576" t="s">
        <v>215</v>
      </c>
      <c r="D88" s="1578">
        <v>0</v>
      </c>
      <c r="E88" s="1577" t="s">
        <v>4554</v>
      </c>
      <c r="F88" s="1587"/>
    </row>
    <row r="89" spans="1:6">
      <c r="A89" s="1576"/>
      <c r="B89" s="1588"/>
      <c r="C89" s="1576"/>
      <c r="D89" s="1064"/>
      <c r="E89" s="1577"/>
      <c r="F89" s="1581"/>
    </row>
  </sheetData>
  <mergeCells count="6">
    <mergeCell ref="A2:E2"/>
    <mergeCell ref="A4:A6"/>
    <mergeCell ref="B4:B6"/>
    <mergeCell ref="C4:C6"/>
    <mergeCell ref="D4:D6"/>
    <mergeCell ref="E4:E6"/>
  </mergeCells>
  <printOptions horizontalCentered="1"/>
  <pageMargins left="0.19685039370078741" right="0" top="0.39370078740157483" bottom="0.19685039370078741" header="0.31496062992125984" footer="0.19685039370078741"/>
  <pageSetup paperSize="9" scale="80" orientation="portrait" horizontalDpi="4294967292"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2:T746"/>
  <sheetViews>
    <sheetView view="pageBreakPreview" topLeftCell="C701" zoomScale="60" zoomScaleNormal="100" workbookViewId="0">
      <selection activeCell="G31" sqref="G31"/>
    </sheetView>
  </sheetViews>
  <sheetFormatPr defaultColWidth="9.08984375" defaultRowHeight="12.5"/>
  <cols>
    <col min="1" max="1" width="5.453125" style="538" customWidth="1"/>
    <col min="2" max="2" width="9.08984375" style="588"/>
    <col min="3" max="3" width="13.08984375" style="538" customWidth="1"/>
    <col min="4" max="4" width="51.54296875" style="538" customWidth="1"/>
    <col min="5" max="5" width="24.6328125" style="538" customWidth="1"/>
    <col min="6" max="6" width="13.453125" style="588" customWidth="1"/>
    <col min="7" max="7" width="14" style="538" customWidth="1"/>
    <col min="8" max="8" width="12.54296875" style="538" bestFit="1" customWidth="1"/>
    <col min="9" max="9" width="18" style="538" customWidth="1"/>
    <col min="10" max="16384" width="9.08984375" style="538"/>
  </cols>
  <sheetData>
    <row r="2" spans="1:8" ht="15.5">
      <c r="A2" s="1751" t="s">
        <v>2875</v>
      </c>
      <c r="B2" s="1751"/>
      <c r="C2" s="1751"/>
      <c r="D2" s="1751"/>
      <c r="E2" s="1751"/>
      <c r="F2" s="1751"/>
    </row>
    <row r="3" spans="1:8">
      <c r="B3" s="587"/>
    </row>
    <row r="4" spans="1:8" ht="15.5">
      <c r="A4" s="589" t="s">
        <v>40</v>
      </c>
      <c r="B4" s="590" t="s">
        <v>42</v>
      </c>
      <c r="C4" s="589"/>
      <c r="D4" s="591" t="s">
        <v>3672</v>
      </c>
      <c r="E4" s="592"/>
      <c r="F4" s="590" t="s">
        <v>1846</v>
      </c>
    </row>
    <row r="5" spans="1:8">
      <c r="A5" s="496"/>
      <c r="B5" s="112"/>
      <c r="C5" s="496"/>
      <c r="D5" s="593"/>
      <c r="E5" s="594"/>
      <c r="F5" s="595"/>
    </row>
    <row r="6" spans="1:8" s="600" customFormat="1" ht="13">
      <c r="A6" s="596"/>
      <c r="B6" s="597" t="s">
        <v>472</v>
      </c>
      <c r="C6" s="596" t="s">
        <v>473</v>
      </c>
      <c r="D6" s="598"/>
      <c r="E6" s="599"/>
      <c r="F6" s="597"/>
    </row>
    <row r="7" spans="1:8">
      <c r="A7" s="526">
        <v>1</v>
      </c>
      <c r="B7" s="112"/>
      <c r="C7" s="496" t="s">
        <v>1794</v>
      </c>
      <c r="D7" s="601" t="s">
        <v>536</v>
      </c>
      <c r="E7" s="602"/>
      <c r="F7" s="595">
        <f>ANL!J27</f>
        <v>0</v>
      </c>
      <c r="G7" s="603"/>
      <c r="H7" s="604"/>
    </row>
    <row r="8" spans="1:8">
      <c r="A8" s="526">
        <f>A7+1</f>
        <v>2</v>
      </c>
      <c r="B8" s="112"/>
      <c r="C8" s="496" t="s">
        <v>1800</v>
      </c>
      <c r="D8" s="601" t="s">
        <v>537</v>
      </c>
      <c r="E8" s="602"/>
      <c r="F8" s="595">
        <f>ANL!J51</f>
        <v>0</v>
      </c>
      <c r="G8" s="603"/>
      <c r="H8" s="604"/>
    </row>
    <row r="9" spans="1:8">
      <c r="A9" s="526">
        <f t="shared" ref="A9:A78" si="0">A8+1</f>
        <v>3</v>
      </c>
      <c r="B9" s="112"/>
      <c r="C9" s="496" t="s">
        <v>1801</v>
      </c>
      <c r="D9" s="601" t="s">
        <v>538</v>
      </c>
      <c r="E9" s="602"/>
      <c r="F9" s="595">
        <f>ANL!J73</f>
        <v>0</v>
      </c>
      <c r="G9" s="603"/>
      <c r="H9" s="604"/>
    </row>
    <row r="10" spans="1:8">
      <c r="A10" s="526">
        <f t="shared" si="0"/>
        <v>4</v>
      </c>
      <c r="B10" s="112"/>
      <c r="C10" s="496" t="s">
        <v>1802</v>
      </c>
      <c r="D10" s="601" t="s">
        <v>1066</v>
      </c>
      <c r="E10" s="602"/>
      <c r="F10" s="595">
        <f>ANL!J92</f>
        <v>0</v>
      </c>
      <c r="G10" s="603"/>
      <c r="H10" s="604"/>
    </row>
    <row r="11" spans="1:8">
      <c r="A11" s="526">
        <f t="shared" si="0"/>
        <v>5</v>
      </c>
      <c r="B11" s="112"/>
      <c r="C11" s="496" t="s">
        <v>1803</v>
      </c>
      <c r="D11" s="601" t="s">
        <v>539</v>
      </c>
      <c r="E11" s="602"/>
      <c r="F11" s="595">
        <f>ANL!J123</f>
        <v>0</v>
      </c>
      <c r="G11" s="603"/>
      <c r="H11" s="604"/>
    </row>
    <row r="12" spans="1:8">
      <c r="A12" s="526">
        <f t="shared" si="0"/>
        <v>6</v>
      </c>
      <c r="B12" s="112"/>
      <c r="C12" s="496" t="s">
        <v>1804</v>
      </c>
      <c r="D12" s="601" t="s">
        <v>540</v>
      </c>
      <c r="E12" s="602"/>
      <c r="F12" s="595">
        <f>ANL!J143</f>
        <v>0</v>
      </c>
      <c r="G12" s="603"/>
      <c r="H12" s="604"/>
    </row>
    <row r="13" spans="1:8">
      <c r="A13" s="526">
        <f t="shared" si="0"/>
        <v>7</v>
      </c>
      <c r="B13" s="112" t="s">
        <v>543</v>
      </c>
      <c r="C13" s="496" t="s">
        <v>1805</v>
      </c>
      <c r="D13" s="601" t="s">
        <v>541</v>
      </c>
      <c r="E13" s="602"/>
      <c r="F13" s="595">
        <f>ANL!J167</f>
        <v>0</v>
      </c>
      <c r="G13" s="603"/>
      <c r="H13" s="604"/>
    </row>
    <row r="14" spans="1:8">
      <c r="A14" s="526">
        <f t="shared" si="0"/>
        <v>8</v>
      </c>
      <c r="B14" s="112" t="s">
        <v>3662</v>
      </c>
      <c r="C14" s="496" t="s">
        <v>1806</v>
      </c>
      <c r="D14" s="601" t="s">
        <v>542</v>
      </c>
      <c r="E14" s="602"/>
      <c r="F14" s="595">
        <f>ANL!J191</f>
        <v>0</v>
      </c>
      <c r="G14" s="603"/>
      <c r="H14" s="604"/>
    </row>
    <row r="15" spans="1:8">
      <c r="A15" s="526">
        <f t="shared" si="0"/>
        <v>9</v>
      </c>
      <c r="B15" s="112"/>
      <c r="C15" s="496" t="s">
        <v>1807</v>
      </c>
      <c r="D15" s="601" t="s">
        <v>543</v>
      </c>
      <c r="E15" s="602"/>
      <c r="F15" s="595">
        <f>ANL!J205</f>
        <v>0</v>
      </c>
      <c r="G15" s="603"/>
      <c r="H15" s="604"/>
    </row>
    <row r="16" spans="1:8">
      <c r="A16" s="526">
        <f t="shared" si="0"/>
        <v>10</v>
      </c>
      <c r="B16" s="112"/>
      <c r="C16" s="496" t="s">
        <v>1795</v>
      </c>
      <c r="D16" s="601" t="s">
        <v>1067</v>
      </c>
      <c r="E16" s="602"/>
      <c r="F16" s="595">
        <f>ANL!J223</f>
        <v>0</v>
      </c>
      <c r="G16" s="603"/>
      <c r="H16" s="604"/>
    </row>
    <row r="17" spans="1:8">
      <c r="A17" s="526">
        <f t="shared" si="0"/>
        <v>11</v>
      </c>
      <c r="B17" s="112"/>
      <c r="C17" s="496" t="s">
        <v>1796</v>
      </c>
      <c r="D17" s="601" t="s">
        <v>544</v>
      </c>
      <c r="E17" s="602"/>
      <c r="F17" s="595">
        <f>ANL!J240</f>
        <v>0</v>
      </c>
      <c r="G17" s="603"/>
      <c r="H17" s="604"/>
    </row>
    <row r="18" spans="1:8">
      <c r="A18" s="526">
        <f t="shared" si="0"/>
        <v>12</v>
      </c>
      <c r="B18" s="112"/>
      <c r="C18" s="496" t="s">
        <v>1797</v>
      </c>
      <c r="D18" s="601" t="s">
        <v>545</v>
      </c>
      <c r="E18" s="602"/>
      <c r="F18" s="595">
        <f>ANL!J257</f>
        <v>0</v>
      </c>
      <c r="G18" s="603"/>
      <c r="H18" s="604"/>
    </row>
    <row r="19" spans="1:8">
      <c r="A19" s="526">
        <f t="shared" si="0"/>
        <v>13</v>
      </c>
      <c r="B19" s="112"/>
      <c r="C19" s="496" t="s">
        <v>1798</v>
      </c>
      <c r="D19" s="601" t="s">
        <v>546</v>
      </c>
      <c r="E19" s="602"/>
      <c r="F19" s="595">
        <f>ANL!J271</f>
        <v>0</v>
      </c>
      <c r="G19" s="603"/>
      <c r="H19" s="604"/>
    </row>
    <row r="20" spans="1:8">
      <c r="A20" s="526">
        <f t="shared" si="0"/>
        <v>14</v>
      </c>
      <c r="B20" s="112"/>
      <c r="C20" s="496" t="s">
        <v>1808</v>
      </c>
      <c r="D20" s="601" t="s">
        <v>547</v>
      </c>
      <c r="E20" s="602"/>
      <c r="F20" s="595">
        <f>ANL!J285</f>
        <v>0</v>
      </c>
      <c r="G20" s="603"/>
      <c r="H20" s="604"/>
    </row>
    <row r="21" spans="1:8">
      <c r="A21" s="526">
        <f t="shared" si="0"/>
        <v>15</v>
      </c>
      <c r="B21" s="112"/>
      <c r="C21" s="496" t="s">
        <v>1809</v>
      </c>
      <c r="D21" s="601" t="s">
        <v>1068</v>
      </c>
      <c r="E21" s="602"/>
      <c r="F21" s="595">
        <f>ANL!J302</f>
        <v>0</v>
      </c>
      <c r="G21" s="603"/>
      <c r="H21" s="604"/>
    </row>
    <row r="22" spans="1:8">
      <c r="A22" s="526">
        <f t="shared" si="0"/>
        <v>16</v>
      </c>
      <c r="B22" s="112"/>
      <c r="C22" s="496" t="s">
        <v>549</v>
      </c>
      <c r="D22" s="601" t="s">
        <v>548</v>
      </c>
      <c r="E22" s="602"/>
      <c r="F22" s="595">
        <f>ANL!J323</f>
        <v>0</v>
      </c>
      <c r="G22" s="603"/>
      <c r="H22" s="604"/>
    </row>
    <row r="23" spans="1:8">
      <c r="A23" s="526"/>
      <c r="B23" s="112"/>
      <c r="C23" s="458"/>
      <c r="D23" s="593"/>
      <c r="E23" s="594"/>
      <c r="F23" s="595"/>
      <c r="G23" s="603"/>
      <c r="H23" s="604"/>
    </row>
    <row r="24" spans="1:8" s="600" customFormat="1" ht="13">
      <c r="A24" s="605"/>
      <c r="B24" s="606" t="s">
        <v>478</v>
      </c>
      <c r="C24" s="607" t="s">
        <v>479</v>
      </c>
      <c r="D24" s="598"/>
      <c r="E24" s="599"/>
      <c r="F24" s="597"/>
      <c r="G24" s="603"/>
      <c r="H24" s="604"/>
    </row>
    <row r="25" spans="1:8">
      <c r="A25" s="526">
        <v>17</v>
      </c>
      <c r="B25" s="112"/>
      <c r="C25" s="496" t="s">
        <v>551</v>
      </c>
      <c r="D25" s="601" t="s">
        <v>550</v>
      </c>
      <c r="E25" s="602"/>
      <c r="F25" s="595">
        <f>ANL!J339</f>
        <v>0</v>
      </c>
      <c r="G25" s="603"/>
      <c r="H25" s="604"/>
    </row>
    <row r="26" spans="1:8">
      <c r="A26" s="526">
        <f t="shared" si="0"/>
        <v>18</v>
      </c>
      <c r="B26" s="112"/>
      <c r="C26" s="496" t="s">
        <v>553</v>
      </c>
      <c r="D26" s="601" t="s">
        <v>552</v>
      </c>
      <c r="E26" s="602"/>
      <c r="F26" s="595">
        <f>ANL!J353</f>
        <v>0</v>
      </c>
      <c r="G26" s="603"/>
      <c r="H26" s="604"/>
    </row>
    <row r="27" spans="1:8">
      <c r="A27" s="526">
        <f t="shared" si="0"/>
        <v>19</v>
      </c>
      <c r="B27" s="112"/>
      <c r="C27" s="496" t="s">
        <v>555</v>
      </c>
      <c r="D27" s="601" t="s">
        <v>1847</v>
      </c>
      <c r="E27" s="602"/>
      <c r="F27" s="595">
        <f>ANL!J367</f>
        <v>0</v>
      </c>
      <c r="G27" s="603"/>
      <c r="H27" s="604"/>
    </row>
    <row r="28" spans="1:8">
      <c r="A28" s="526">
        <f t="shared" si="0"/>
        <v>20</v>
      </c>
      <c r="B28" s="112"/>
      <c r="C28" s="496" t="s">
        <v>557</v>
      </c>
      <c r="D28" s="601" t="s">
        <v>556</v>
      </c>
      <c r="E28" s="602"/>
      <c r="F28" s="595">
        <f>ANL!J381</f>
        <v>0</v>
      </c>
      <c r="G28" s="603"/>
      <c r="H28" s="604"/>
    </row>
    <row r="29" spans="1:8">
      <c r="A29" s="526">
        <f t="shared" si="0"/>
        <v>21</v>
      </c>
      <c r="B29" s="112"/>
      <c r="C29" s="496" t="s">
        <v>559</v>
      </c>
      <c r="D29" s="601" t="s">
        <v>558</v>
      </c>
      <c r="E29" s="602"/>
      <c r="F29" s="595">
        <f>ANL!J395</f>
        <v>0</v>
      </c>
      <c r="G29" s="603"/>
      <c r="H29" s="604"/>
    </row>
    <row r="30" spans="1:8">
      <c r="A30" s="526">
        <f t="shared" si="0"/>
        <v>22</v>
      </c>
      <c r="B30" s="112"/>
      <c r="C30" s="496" t="s">
        <v>565</v>
      </c>
      <c r="D30" s="601" t="s">
        <v>564</v>
      </c>
      <c r="E30" s="602"/>
      <c r="F30" s="595">
        <f>ANL!J409</f>
        <v>0</v>
      </c>
      <c r="G30" s="603"/>
      <c r="H30" s="604"/>
    </row>
    <row r="31" spans="1:8" ht="14.5">
      <c r="A31" s="526">
        <f t="shared" si="0"/>
        <v>23</v>
      </c>
      <c r="B31" s="112"/>
      <c r="C31" s="496" t="s">
        <v>560</v>
      </c>
      <c r="D31" s="593" t="s">
        <v>563</v>
      </c>
      <c r="E31" s="594"/>
      <c r="F31" s="608">
        <f>ANL!J423</f>
        <v>0</v>
      </c>
      <c r="G31" s="603"/>
      <c r="H31" s="604"/>
    </row>
    <row r="32" spans="1:8" ht="14.5">
      <c r="A32" s="526">
        <f t="shared" si="0"/>
        <v>24</v>
      </c>
      <c r="B32" s="112"/>
      <c r="C32" s="496" t="s">
        <v>561</v>
      </c>
      <c r="D32" s="601" t="s">
        <v>566</v>
      </c>
      <c r="E32" s="602"/>
      <c r="F32" s="608">
        <f>ANL!J437</f>
        <v>0</v>
      </c>
      <c r="G32" s="603"/>
      <c r="H32" s="604"/>
    </row>
    <row r="33" spans="1:8" ht="14.5">
      <c r="A33" s="526">
        <f t="shared" si="0"/>
        <v>25</v>
      </c>
      <c r="B33" s="112"/>
      <c r="C33" s="496" t="s">
        <v>562</v>
      </c>
      <c r="D33" s="601" t="s">
        <v>1841</v>
      </c>
      <c r="E33" s="602"/>
      <c r="F33" s="608">
        <f>ANL!J452</f>
        <v>0</v>
      </c>
      <c r="G33" s="603"/>
      <c r="H33" s="604"/>
    </row>
    <row r="34" spans="1:8" ht="14.5">
      <c r="A34" s="526">
        <f t="shared" si="0"/>
        <v>26</v>
      </c>
      <c r="B34" s="112"/>
      <c r="C34" s="458" t="s">
        <v>567</v>
      </c>
      <c r="D34" s="593" t="s">
        <v>568</v>
      </c>
      <c r="E34" s="594"/>
      <c r="F34" s="608">
        <f>ANL!J466</f>
        <v>0</v>
      </c>
      <c r="G34" s="603"/>
      <c r="H34" s="604"/>
    </row>
    <row r="35" spans="1:8" ht="14.5">
      <c r="A35" s="526">
        <f t="shared" si="0"/>
        <v>27</v>
      </c>
      <c r="B35" s="112"/>
      <c r="C35" s="458" t="s">
        <v>569</v>
      </c>
      <c r="D35" s="593" t="s">
        <v>570</v>
      </c>
      <c r="E35" s="594"/>
      <c r="F35" s="608">
        <f>ANL!J481</f>
        <v>0</v>
      </c>
      <c r="G35" s="603"/>
      <c r="H35" s="604"/>
    </row>
    <row r="36" spans="1:8" ht="14.5">
      <c r="A36" s="526">
        <f t="shared" si="0"/>
        <v>28</v>
      </c>
      <c r="B36" s="112"/>
      <c r="C36" s="458" t="s">
        <v>3658</v>
      </c>
      <c r="D36" s="593" t="str">
        <f>+ANL!D483</f>
        <v>Pengurugan 1 m3 dengan tanah urug</v>
      </c>
      <c r="E36" s="594"/>
      <c r="F36" s="608">
        <f>+ANL!J496</f>
        <v>0</v>
      </c>
      <c r="G36" s="603"/>
      <c r="H36" s="604"/>
    </row>
    <row r="37" spans="1:8" ht="14.5">
      <c r="A37" s="526">
        <f t="shared" si="0"/>
        <v>29</v>
      </c>
      <c r="B37" s="112"/>
      <c r="C37" s="496" t="s">
        <v>572</v>
      </c>
      <c r="D37" s="601" t="s">
        <v>571</v>
      </c>
      <c r="E37" s="602"/>
      <c r="F37" s="608">
        <f>ANL!J515</f>
        <v>0</v>
      </c>
      <c r="G37" s="603"/>
      <c r="H37" s="604"/>
    </row>
    <row r="38" spans="1:8" ht="14.5">
      <c r="A38" s="526">
        <f t="shared" si="0"/>
        <v>30</v>
      </c>
      <c r="B38" s="112"/>
      <c r="C38" s="496" t="s">
        <v>574</v>
      </c>
      <c r="D38" s="601" t="s">
        <v>573</v>
      </c>
      <c r="E38" s="602"/>
      <c r="F38" s="608">
        <f>ANL!J530</f>
        <v>0</v>
      </c>
      <c r="G38" s="603"/>
      <c r="H38" s="604"/>
    </row>
    <row r="39" spans="1:8" ht="14.5">
      <c r="A39" s="526">
        <f t="shared" si="0"/>
        <v>31</v>
      </c>
      <c r="B39" s="112"/>
      <c r="C39" s="496" t="s">
        <v>575</v>
      </c>
      <c r="D39" s="601" t="s">
        <v>576</v>
      </c>
      <c r="E39" s="602"/>
      <c r="F39" s="608">
        <f>ANL!J545</f>
        <v>0</v>
      </c>
      <c r="G39" s="603"/>
      <c r="H39" s="604"/>
    </row>
    <row r="40" spans="1:8" ht="14.5">
      <c r="A40" s="526"/>
      <c r="B40" s="112"/>
      <c r="C40" s="496"/>
      <c r="D40" s="601"/>
      <c r="E40" s="602"/>
      <c r="F40" s="608"/>
      <c r="G40" s="603"/>
      <c r="H40" s="604"/>
    </row>
    <row r="41" spans="1:8" s="600" customFormat="1" ht="14.5">
      <c r="A41" s="605"/>
      <c r="B41" s="606" t="s">
        <v>1839</v>
      </c>
      <c r="C41" s="607" t="s">
        <v>480</v>
      </c>
      <c r="D41" s="598"/>
      <c r="E41" s="599"/>
      <c r="F41" s="609"/>
      <c r="G41" s="603"/>
      <c r="H41" s="604"/>
    </row>
    <row r="42" spans="1:8" ht="14.5">
      <c r="A42" s="526">
        <v>31</v>
      </c>
      <c r="B42" s="112"/>
      <c r="C42" s="458" t="s">
        <v>577</v>
      </c>
      <c r="D42" s="593" t="s">
        <v>578</v>
      </c>
      <c r="E42" s="594"/>
      <c r="F42" s="608">
        <f>ANL!J565</f>
        <v>0</v>
      </c>
      <c r="G42" s="603"/>
      <c r="H42" s="604"/>
    </row>
    <row r="43" spans="1:8" ht="14.5">
      <c r="A43" s="526">
        <f t="shared" si="0"/>
        <v>32</v>
      </c>
      <c r="B43" s="112"/>
      <c r="C43" s="458" t="s">
        <v>579</v>
      </c>
      <c r="D43" s="593" t="s">
        <v>580</v>
      </c>
      <c r="E43" s="594"/>
      <c r="F43" s="608">
        <f>ANL!J584</f>
        <v>0</v>
      </c>
      <c r="G43" s="603"/>
      <c r="H43" s="604"/>
    </row>
    <row r="44" spans="1:8" ht="14.5">
      <c r="A44" s="526">
        <f t="shared" si="0"/>
        <v>33</v>
      </c>
      <c r="B44" s="112"/>
      <c r="C44" s="496" t="s">
        <v>582</v>
      </c>
      <c r="D44" s="601" t="s">
        <v>581</v>
      </c>
      <c r="E44" s="602"/>
      <c r="F44" s="608">
        <f>ANL!J603</f>
        <v>0</v>
      </c>
      <c r="G44" s="603"/>
      <c r="H44" s="604"/>
    </row>
    <row r="45" spans="1:8" ht="14.5">
      <c r="A45" s="526">
        <f t="shared" si="0"/>
        <v>34</v>
      </c>
      <c r="B45" s="112"/>
      <c r="C45" s="496" t="s">
        <v>586</v>
      </c>
      <c r="D45" s="601" t="s">
        <v>585</v>
      </c>
      <c r="E45" s="602"/>
      <c r="F45" s="608">
        <f>ANL!J622</f>
        <v>0</v>
      </c>
      <c r="G45" s="603"/>
      <c r="H45" s="604"/>
    </row>
    <row r="46" spans="1:8" ht="14.5">
      <c r="A46" s="526">
        <f t="shared" si="0"/>
        <v>35</v>
      </c>
      <c r="B46" s="112"/>
      <c r="C46" s="496" t="s">
        <v>584</v>
      </c>
      <c r="D46" s="601" t="s">
        <v>583</v>
      </c>
      <c r="E46" s="602"/>
      <c r="F46" s="608">
        <f>ANL!J641</f>
        <v>0</v>
      </c>
      <c r="G46" s="603"/>
      <c r="H46" s="604"/>
    </row>
    <row r="47" spans="1:8" ht="14.5">
      <c r="A47" s="526">
        <f t="shared" si="0"/>
        <v>36</v>
      </c>
      <c r="B47" s="112"/>
      <c r="C47" s="496" t="s">
        <v>588</v>
      </c>
      <c r="D47" s="601" t="s">
        <v>587</v>
      </c>
      <c r="E47" s="602"/>
      <c r="F47" s="608">
        <f>ANL!J661</f>
        <v>0</v>
      </c>
      <c r="G47" s="603"/>
      <c r="H47" s="604"/>
    </row>
    <row r="48" spans="1:8" ht="14.5">
      <c r="A48" s="526">
        <f t="shared" si="0"/>
        <v>37</v>
      </c>
      <c r="B48" s="112"/>
      <c r="C48" s="458" t="s">
        <v>1828</v>
      </c>
      <c r="D48" s="593" t="s">
        <v>1829</v>
      </c>
      <c r="E48" s="594"/>
      <c r="F48" s="608">
        <f>ANL!J681</f>
        <v>0</v>
      </c>
      <c r="G48" s="603"/>
      <c r="H48" s="604"/>
    </row>
    <row r="49" spans="1:8" ht="14.5">
      <c r="A49" s="526">
        <f t="shared" si="0"/>
        <v>38</v>
      </c>
      <c r="B49" s="112"/>
      <c r="C49" s="458" t="s">
        <v>589</v>
      </c>
      <c r="D49" s="593" t="s">
        <v>590</v>
      </c>
      <c r="E49" s="594"/>
      <c r="F49" s="608">
        <f>ANL!J701</f>
        <v>0</v>
      </c>
      <c r="G49" s="603"/>
      <c r="H49" s="604"/>
    </row>
    <row r="50" spans="1:8" ht="14.5">
      <c r="A50" s="526">
        <f t="shared" si="0"/>
        <v>39</v>
      </c>
      <c r="B50" s="112"/>
      <c r="C50" s="458" t="s">
        <v>591</v>
      </c>
      <c r="D50" s="593" t="s">
        <v>592</v>
      </c>
      <c r="E50" s="594"/>
      <c r="F50" s="608">
        <f>ANL!J719</f>
        <v>0</v>
      </c>
      <c r="G50" s="603"/>
      <c r="H50" s="604"/>
    </row>
    <row r="51" spans="1:8" ht="14.5">
      <c r="A51" s="526">
        <f t="shared" si="0"/>
        <v>40</v>
      </c>
      <c r="B51" s="112"/>
      <c r="C51" s="496" t="s">
        <v>593</v>
      </c>
      <c r="D51" s="601" t="s">
        <v>594</v>
      </c>
      <c r="E51" s="602"/>
      <c r="F51" s="608">
        <f>ANL!J741</f>
        <v>0</v>
      </c>
      <c r="G51" s="603"/>
      <c r="H51" s="604"/>
    </row>
    <row r="52" spans="1:8" ht="14.5">
      <c r="A52" s="526">
        <f t="shared" si="0"/>
        <v>41</v>
      </c>
      <c r="B52" s="112"/>
      <c r="C52" s="458" t="s">
        <v>595</v>
      </c>
      <c r="D52" s="593" t="s">
        <v>596</v>
      </c>
      <c r="E52" s="594"/>
      <c r="F52" s="608">
        <f>ANL!J761</f>
        <v>0</v>
      </c>
      <c r="G52" s="603"/>
      <c r="H52" s="604"/>
    </row>
    <row r="53" spans="1:8" ht="14.5">
      <c r="A53" s="526">
        <f t="shared" si="0"/>
        <v>42</v>
      </c>
      <c r="B53" s="112"/>
      <c r="C53" s="458" t="s">
        <v>3632</v>
      </c>
      <c r="D53" s="593" t="str">
        <f>ANL!D763</f>
        <v>1 m' Pengadan tiang pancang square 30x30</v>
      </c>
      <c r="E53" s="594"/>
      <c r="F53" s="608">
        <f>ANL!J778</f>
        <v>0</v>
      </c>
      <c r="G53" s="603"/>
      <c r="H53" s="604"/>
    </row>
    <row r="54" spans="1:8" ht="14.5">
      <c r="A54" s="526">
        <f t="shared" si="0"/>
        <v>43</v>
      </c>
      <c r="B54" s="112"/>
      <c r="C54" s="458" t="s">
        <v>3635</v>
      </c>
      <c r="D54" s="593" t="str">
        <f>ANL!D780</f>
        <v>Pemotongan 1 titik kepala tiang pancang</v>
      </c>
      <c r="E54" s="594"/>
      <c r="F54" s="608">
        <f>ANL!J795</f>
        <v>0</v>
      </c>
      <c r="G54" s="603"/>
      <c r="H54" s="604"/>
    </row>
    <row r="55" spans="1:8" ht="14.5">
      <c r="A55" s="526">
        <f t="shared" si="0"/>
        <v>44</v>
      </c>
      <c r="B55" s="112"/>
      <c r="C55" s="458" t="s">
        <v>3637</v>
      </c>
      <c r="D55" s="593" t="str">
        <f>ANL!D797</f>
        <v>Test PDA</v>
      </c>
      <c r="E55" s="594"/>
      <c r="F55" s="608">
        <f>ANL!J812</f>
        <v>0</v>
      </c>
      <c r="G55" s="603"/>
      <c r="H55" s="604"/>
    </row>
    <row r="56" spans="1:8" ht="14.5">
      <c r="A56" s="526">
        <f t="shared" si="0"/>
        <v>45</v>
      </c>
      <c r="B56" s="112"/>
      <c r="C56" s="458" t="s">
        <v>3848</v>
      </c>
      <c r="D56" s="593" t="str">
        <f>ANL!D814</f>
        <v xml:space="preserve">Pemasangan 1 ttk  Crucuk Bambu Ø ± 10 cm </v>
      </c>
      <c r="E56" s="594"/>
      <c r="F56" s="608">
        <f>ANL!J829</f>
        <v>0</v>
      </c>
      <c r="G56" s="603"/>
      <c r="H56" s="604"/>
    </row>
    <row r="57" spans="1:8" ht="14.5">
      <c r="A57" s="526"/>
      <c r="B57" s="112"/>
      <c r="C57" s="496"/>
      <c r="D57" s="601"/>
      <c r="E57" s="602"/>
      <c r="F57" s="608"/>
      <c r="G57" s="603"/>
      <c r="H57" s="604"/>
    </row>
    <row r="58" spans="1:8" s="600" customFormat="1" ht="14.5">
      <c r="A58" s="605"/>
      <c r="B58" s="606" t="s">
        <v>481</v>
      </c>
      <c r="C58" s="607" t="s">
        <v>482</v>
      </c>
      <c r="D58" s="598"/>
      <c r="E58" s="599"/>
      <c r="F58" s="609"/>
      <c r="G58" s="603"/>
      <c r="H58" s="604"/>
    </row>
    <row r="59" spans="1:8" ht="14.5">
      <c r="A59" s="526">
        <v>45</v>
      </c>
      <c r="B59" s="112"/>
      <c r="C59" s="458" t="s">
        <v>597</v>
      </c>
      <c r="D59" s="593" t="s">
        <v>1842</v>
      </c>
      <c r="E59" s="594"/>
      <c r="F59" s="608">
        <f>ANL!J850</f>
        <v>0</v>
      </c>
      <c r="G59" s="603"/>
      <c r="H59" s="604"/>
    </row>
    <row r="60" spans="1:8" ht="14.5">
      <c r="A60" s="526">
        <f t="shared" si="0"/>
        <v>46</v>
      </c>
      <c r="B60" s="112"/>
      <c r="C60" s="458" t="s">
        <v>598</v>
      </c>
      <c r="D60" s="593" t="s">
        <v>1843</v>
      </c>
      <c r="E60" s="594"/>
      <c r="F60" s="608">
        <f>ANL!J870</f>
        <v>0</v>
      </c>
      <c r="G60" s="603"/>
      <c r="H60" s="604"/>
    </row>
    <row r="61" spans="1:8" ht="14.5">
      <c r="A61" s="526">
        <f t="shared" si="0"/>
        <v>47</v>
      </c>
      <c r="B61" s="112"/>
      <c r="C61" s="458" t="s">
        <v>599</v>
      </c>
      <c r="D61" s="593" t="s">
        <v>1844</v>
      </c>
      <c r="E61" s="594"/>
      <c r="F61" s="608">
        <f>ANL!J890</f>
        <v>0</v>
      </c>
      <c r="G61" s="603"/>
      <c r="H61" s="604"/>
    </row>
    <row r="62" spans="1:8" ht="14.5">
      <c r="A62" s="526">
        <f t="shared" si="0"/>
        <v>48</v>
      </c>
      <c r="B62" s="112"/>
      <c r="C62" s="458" t="s">
        <v>600</v>
      </c>
      <c r="D62" s="593" t="s">
        <v>601</v>
      </c>
      <c r="E62" s="594"/>
      <c r="F62" s="608">
        <f>ANL!J912</f>
        <v>0</v>
      </c>
      <c r="G62" s="603"/>
      <c r="H62" s="604"/>
    </row>
    <row r="63" spans="1:8" ht="14.5">
      <c r="A63" s="526">
        <f t="shared" si="0"/>
        <v>49</v>
      </c>
      <c r="B63" s="112"/>
      <c r="C63" s="458" t="s">
        <v>1791</v>
      </c>
      <c r="D63" s="593" t="s">
        <v>602</v>
      </c>
      <c r="E63" s="594"/>
      <c r="F63" s="608">
        <f>ANL!J932</f>
        <v>0</v>
      </c>
      <c r="G63" s="603"/>
      <c r="H63" s="604"/>
    </row>
    <row r="64" spans="1:8" ht="14.5">
      <c r="A64" s="526">
        <f t="shared" si="0"/>
        <v>50</v>
      </c>
      <c r="B64" s="112"/>
      <c r="C64" s="458" t="s">
        <v>603</v>
      </c>
      <c r="D64" s="593" t="s">
        <v>618</v>
      </c>
      <c r="E64" s="594"/>
      <c r="F64" s="608">
        <f>ANL!J952</f>
        <v>0</v>
      </c>
      <c r="G64" s="603"/>
      <c r="H64" s="604"/>
    </row>
    <row r="65" spans="1:8" ht="14.5">
      <c r="A65" s="526">
        <f t="shared" si="0"/>
        <v>51</v>
      </c>
      <c r="B65" s="112"/>
      <c r="C65" s="458" t="s">
        <v>604</v>
      </c>
      <c r="D65" s="593" t="s">
        <v>619</v>
      </c>
      <c r="E65" s="594"/>
      <c r="F65" s="608">
        <f>ANL!J972</f>
        <v>0</v>
      </c>
      <c r="G65" s="603"/>
      <c r="H65" s="604"/>
    </row>
    <row r="66" spans="1:8" ht="14.5">
      <c r="A66" s="526">
        <f t="shared" si="0"/>
        <v>52</v>
      </c>
      <c r="B66" s="112"/>
      <c r="C66" s="458" t="s">
        <v>605</v>
      </c>
      <c r="D66" s="593" t="s">
        <v>620</v>
      </c>
      <c r="E66" s="594"/>
      <c r="F66" s="608">
        <f>ANL!J992</f>
        <v>0</v>
      </c>
      <c r="G66" s="603"/>
      <c r="H66" s="604"/>
    </row>
    <row r="67" spans="1:8" ht="14.5">
      <c r="A67" s="526"/>
      <c r="B67" s="112"/>
      <c r="C67" s="458" t="s">
        <v>3881</v>
      </c>
      <c r="D67" s="593" t="str">
        <f>ANL!D994</f>
        <v>Membuat 1 m3 beton  ready mix mutu fc’= 21,7 Mpa</v>
      </c>
      <c r="E67" s="594"/>
      <c r="F67" s="608">
        <f>ANL!J1012</f>
        <v>0</v>
      </c>
      <c r="G67" s="603"/>
      <c r="H67" s="604"/>
    </row>
    <row r="68" spans="1:8" ht="14.5">
      <c r="A68" s="526">
        <f>A66+1</f>
        <v>53</v>
      </c>
      <c r="B68" s="112"/>
      <c r="C68" s="458" t="s">
        <v>606</v>
      </c>
      <c r="D68" s="593" t="s">
        <v>621</v>
      </c>
      <c r="E68" s="594"/>
      <c r="F68" s="608">
        <f>ANL!J1032</f>
        <v>0</v>
      </c>
      <c r="G68" s="603"/>
      <c r="H68" s="604"/>
    </row>
    <row r="69" spans="1:8" ht="14.5">
      <c r="A69" s="526">
        <f t="shared" si="0"/>
        <v>54</v>
      </c>
      <c r="B69" s="112"/>
      <c r="C69" s="458" t="s">
        <v>607</v>
      </c>
      <c r="D69" s="593" t="s">
        <v>622</v>
      </c>
      <c r="E69" s="594"/>
      <c r="F69" s="608">
        <f>ANL!J1052</f>
        <v>0</v>
      </c>
      <c r="G69" s="603"/>
      <c r="H69" s="604"/>
    </row>
    <row r="70" spans="1:8" ht="14.5">
      <c r="A70" s="526">
        <f t="shared" si="0"/>
        <v>55</v>
      </c>
      <c r="B70" s="112"/>
      <c r="C70" s="458" t="s">
        <v>608</v>
      </c>
      <c r="D70" s="593" t="s">
        <v>623</v>
      </c>
      <c r="E70" s="594"/>
      <c r="F70" s="608">
        <f>ANL!J1072</f>
        <v>0</v>
      </c>
      <c r="G70" s="603"/>
      <c r="H70" s="604"/>
    </row>
    <row r="71" spans="1:8" ht="14.5">
      <c r="A71" s="526">
        <f t="shared" si="0"/>
        <v>56</v>
      </c>
      <c r="B71" s="112"/>
      <c r="C71" s="458" t="s">
        <v>609</v>
      </c>
      <c r="D71" s="593" t="s">
        <v>624</v>
      </c>
      <c r="E71" s="594"/>
      <c r="F71" s="608">
        <f>ANL!J1092</f>
        <v>0</v>
      </c>
      <c r="G71" s="603"/>
      <c r="H71" s="604"/>
    </row>
    <row r="72" spans="1:8" ht="14.5">
      <c r="A72" s="526">
        <f t="shared" si="0"/>
        <v>57</v>
      </c>
      <c r="B72" s="112"/>
      <c r="C72" s="458" t="s">
        <v>610</v>
      </c>
      <c r="D72" s="593" t="s">
        <v>611</v>
      </c>
      <c r="E72" s="594"/>
      <c r="F72" s="608">
        <f>ANL!J1136</f>
        <v>0</v>
      </c>
      <c r="G72" s="603"/>
      <c r="H72" s="604"/>
    </row>
    <row r="73" spans="1:8" ht="14.5">
      <c r="A73" s="526">
        <f t="shared" si="0"/>
        <v>58</v>
      </c>
      <c r="B73" s="112"/>
      <c r="C73" s="458" t="s">
        <v>612</v>
      </c>
      <c r="D73" s="593" t="s">
        <v>613</v>
      </c>
      <c r="E73" s="594"/>
      <c r="F73" s="608">
        <f>ANL!J1153</f>
        <v>0</v>
      </c>
      <c r="G73" s="603"/>
      <c r="H73" s="604"/>
    </row>
    <row r="74" spans="1:8" ht="14.5">
      <c r="A74" s="526">
        <f t="shared" si="0"/>
        <v>59</v>
      </c>
      <c r="B74" s="112"/>
      <c r="C74" s="458" t="s">
        <v>614</v>
      </c>
      <c r="D74" s="593" t="s">
        <v>615</v>
      </c>
      <c r="E74" s="594"/>
      <c r="F74" s="608">
        <f>ANL!J1170</f>
        <v>0</v>
      </c>
      <c r="G74" s="603"/>
      <c r="H74" s="604"/>
    </row>
    <row r="75" spans="1:8" ht="14.5">
      <c r="A75" s="526">
        <f t="shared" si="0"/>
        <v>60</v>
      </c>
      <c r="B75" s="112"/>
      <c r="C75" s="496" t="s">
        <v>616</v>
      </c>
      <c r="D75" s="601" t="s">
        <v>1070</v>
      </c>
      <c r="E75" s="602"/>
      <c r="F75" s="608">
        <f>ANL!J1187</f>
        <v>0</v>
      </c>
      <c r="G75" s="603"/>
      <c r="H75" s="604"/>
    </row>
    <row r="76" spans="1:8" ht="14.5">
      <c r="A76" s="526">
        <f t="shared" si="0"/>
        <v>61</v>
      </c>
      <c r="B76" s="112"/>
      <c r="C76" s="458" t="s">
        <v>1830</v>
      </c>
      <c r="D76" s="593" t="s">
        <v>1831</v>
      </c>
      <c r="E76" s="594"/>
      <c r="F76" s="608">
        <f>ANL!J1205</f>
        <v>0</v>
      </c>
      <c r="G76" s="603"/>
      <c r="H76" s="604"/>
    </row>
    <row r="77" spans="1:8" ht="14.5">
      <c r="A77" s="526">
        <f t="shared" si="0"/>
        <v>62</v>
      </c>
      <c r="B77" s="112"/>
      <c r="C77" s="496" t="s">
        <v>625</v>
      </c>
      <c r="D77" s="593" t="s">
        <v>626</v>
      </c>
      <c r="E77" s="594"/>
      <c r="F77" s="608">
        <f>ANL!J1223</f>
        <v>0</v>
      </c>
      <c r="G77" s="603"/>
      <c r="H77" s="604"/>
    </row>
    <row r="78" spans="1:8" ht="14.5">
      <c r="A78" s="526">
        <f t="shared" si="0"/>
        <v>63</v>
      </c>
      <c r="B78" s="112"/>
      <c r="C78" s="496" t="s">
        <v>627</v>
      </c>
      <c r="D78" s="601" t="s">
        <v>1071</v>
      </c>
      <c r="E78" s="602"/>
      <c r="F78" s="608">
        <f>ANL!J1241</f>
        <v>0</v>
      </c>
      <c r="G78" s="603"/>
      <c r="H78" s="604"/>
    </row>
    <row r="79" spans="1:8" ht="14.5">
      <c r="A79" s="526">
        <f t="shared" ref="A79:A141" si="1">A78+1</f>
        <v>64</v>
      </c>
      <c r="B79" s="112"/>
      <c r="C79" s="458" t="s">
        <v>628</v>
      </c>
      <c r="D79" s="593" t="s">
        <v>629</v>
      </c>
      <c r="E79" s="594"/>
      <c r="F79" s="608">
        <f>ANL!J1260</f>
        <v>0</v>
      </c>
      <c r="G79" s="603"/>
      <c r="H79" s="604"/>
    </row>
    <row r="80" spans="1:8" ht="14.5">
      <c r="A80" s="526">
        <f t="shared" si="1"/>
        <v>65</v>
      </c>
      <c r="B80" s="112"/>
      <c r="C80" s="458" t="s">
        <v>630</v>
      </c>
      <c r="D80" s="593" t="s">
        <v>3868</v>
      </c>
      <c r="E80" s="594"/>
      <c r="F80" s="608">
        <f>ANL!J1279</f>
        <v>0</v>
      </c>
      <c r="G80" s="603"/>
      <c r="H80" s="604"/>
    </row>
    <row r="81" spans="1:8" ht="14.5">
      <c r="A81" s="526">
        <f t="shared" si="1"/>
        <v>66</v>
      </c>
      <c r="B81" s="112"/>
      <c r="C81" s="458" t="s">
        <v>631</v>
      </c>
      <c r="D81" s="593" t="s">
        <v>3869</v>
      </c>
      <c r="E81" s="594"/>
      <c r="F81" s="608">
        <f>ANL!J1301</f>
        <v>0</v>
      </c>
      <c r="G81" s="603"/>
      <c r="H81" s="604"/>
    </row>
    <row r="82" spans="1:8" ht="14.5">
      <c r="A82" s="526">
        <f t="shared" si="1"/>
        <v>67</v>
      </c>
      <c r="B82" s="112"/>
      <c r="C82" s="458" t="s">
        <v>632</v>
      </c>
      <c r="D82" s="593" t="s">
        <v>3870</v>
      </c>
      <c r="E82" s="594"/>
      <c r="F82" s="608">
        <f>ANL!J1323</f>
        <v>0</v>
      </c>
      <c r="G82" s="603"/>
      <c r="H82" s="604"/>
    </row>
    <row r="83" spans="1:8" ht="14.5">
      <c r="A83" s="526">
        <f t="shared" si="1"/>
        <v>68</v>
      </c>
      <c r="B83" s="112"/>
      <c r="C83" s="458" t="s">
        <v>633</v>
      </c>
      <c r="D83" s="593" t="s">
        <v>3871</v>
      </c>
      <c r="E83" s="594"/>
      <c r="F83" s="608">
        <f>ANL!J1345</f>
        <v>0</v>
      </c>
      <c r="G83" s="603"/>
      <c r="H83" s="604"/>
    </row>
    <row r="84" spans="1:8" ht="14.5">
      <c r="A84" s="526">
        <f t="shared" si="1"/>
        <v>69</v>
      </c>
      <c r="B84" s="112"/>
      <c r="C84" s="458" t="s">
        <v>634</v>
      </c>
      <c r="D84" s="593" t="s">
        <v>3872</v>
      </c>
      <c r="E84" s="594"/>
      <c r="F84" s="608">
        <f>ANL!J1368</f>
        <v>0</v>
      </c>
      <c r="G84" s="603"/>
      <c r="H84" s="604"/>
    </row>
    <row r="85" spans="1:8" ht="14.5">
      <c r="A85" s="526">
        <f t="shared" si="1"/>
        <v>70</v>
      </c>
      <c r="B85" s="112"/>
      <c r="C85" s="458" t="s">
        <v>635</v>
      </c>
      <c r="D85" s="593" t="s">
        <v>636</v>
      </c>
      <c r="E85" s="594"/>
      <c r="F85" s="608">
        <f>ANL!J1390</f>
        <v>0</v>
      </c>
      <c r="G85" s="603"/>
      <c r="H85" s="604"/>
    </row>
    <row r="86" spans="1:8" ht="14.5">
      <c r="A86" s="526">
        <f t="shared" si="1"/>
        <v>71</v>
      </c>
      <c r="B86" s="112"/>
      <c r="C86" s="458" t="s">
        <v>637</v>
      </c>
      <c r="D86" s="593" t="s">
        <v>638</v>
      </c>
      <c r="E86" s="594"/>
      <c r="F86" s="608">
        <f>ANL!J1409</f>
        <v>0</v>
      </c>
      <c r="G86" s="603"/>
      <c r="H86" s="604"/>
    </row>
    <row r="87" spans="1:8" ht="14.5">
      <c r="A87" s="526">
        <f t="shared" si="1"/>
        <v>72</v>
      </c>
      <c r="B87" s="112"/>
      <c r="C87" s="458" t="s">
        <v>639</v>
      </c>
      <c r="D87" s="593" t="s">
        <v>640</v>
      </c>
      <c r="E87" s="594"/>
      <c r="F87" s="608">
        <f>ANL!J1435</f>
        <v>0</v>
      </c>
      <c r="G87" s="603"/>
      <c r="H87" s="604"/>
    </row>
    <row r="88" spans="1:8" ht="14.5">
      <c r="A88" s="526">
        <f t="shared" si="1"/>
        <v>73</v>
      </c>
      <c r="B88" s="112"/>
      <c r="C88" s="458" t="s">
        <v>641</v>
      </c>
      <c r="D88" s="593" t="s">
        <v>642</v>
      </c>
      <c r="E88" s="594"/>
      <c r="F88" s="608">
        <f>ANL!J1461</f>
        <v>0</v>
      </c>
      <c r="G88" s="603"/>
      <c r="H88" s="604"/>
    </row>
    <row r="89" spans="1:8" ht="14.5">
      <c r="A89" s="526">
        <f t="shared" si="1"/>
        <v>74</v>
      </c>
      <c r="B89" s="112"/>
      <c r="C89" s="458" t="s">
        <v>643</v>
      </c>
      <c r="D89" s="593" t="s">
        <v>644</v>
      </c>
      <c r="E89" s="594"/>
      <c r="F89" s="608">
        <f>ANL!J1490</f>
        <v>0</v>
      </c>
      <c r="G89" s="603"/>
      <c r="H89" s="604"/>
    </row>
    <row r="90" spans="1:8" ht="14.5">
      <c r="A90" s="526">
        <f t="shared" si="1"/>
        <v>75</v>
      </c>
      <c r="B90" s="112"/>
      <c r="C90" s="458" t="s">
        <v>647</v>
      </c>
      <c r="D90" s="593" t="s">
        <v>648</v>
      </c>
      <c r="E90" s="594"/>
      <c r="F90" s="608">
        <f>ANL!J1519</f>
        <v>0</v>
      </c>
      <c r="G90" s="603"/>
      <c r="H90" s="604"/>
    </row>
    <row r="91" spans="1:8" ht="14.5">
      <c r="A91" s="526">
        <f t="shared" si="1"/>
        <v>76</v>
      </c>
      <c r="B91" s="112"/>
      <c r="C91" s="458" t="s">
        <v>645</v>
      </c>
      <c r="D91" s="593" t="s">
        <v>646</v>
      </c>
      <c r="E91" s="594"/>
      <c r="F91" s="608">
        <f>ANL!J1548</f>
        <v>0</v>
      </c>
      <c r="G91" s="603"/>
      <c r="H91" s="604"/>
    </row>
    <row r="92" spans="1:8" ht="14.5">
      <c r="A92" s="526">
        <f t="shared" si="1"/>
        <v>77</v>
      </c>
      <c r="B92" s="112"/>
      <c r="C92" s="458" t="s">
        <v>649</v>
      </c>
      <c r="D92" s="593" t="s">
        <v>650</v>
      </c>
      <c r="E92" s="594"/>
      <c r="F92" s="608">
        <f>ANL!J1577</f>
        <v>0</v>
      </c>
      <c r="G92" s="603"/>
      <c r="H92" s="604"/>
    </row>
    <row r="93" spans="1:8" ht="14.5">
      <c r="A93" s="526">
        <f t="shared" si="1"/>
        <v>78</v>
      </c>
      <c r="B93" s="112"/>
      <c r="C93" s="458" t="s">
        <v>651</v>
      </c>
      <c r="D93" s="593" t="s">
        <v>652</v>
      </c>
      <c r="E93" s="594"/>
      <c r="F93" s="608">
        <f>ANL!J1606</f>
        <v>0</v>
      </c>
      <c r="G93" s="603"/>
      <c r="H93" s="604"/>
    </row>
    <row r="94" spans="1:8" ht="14.5">
      <c r="A94" s="526">
        <f t="shared" si="1"/>
        <v>79</v>
      </c>
      <c r="B94" s="112"/>
      <c r="C94" s="458" t="s">
        <v>653</v>
      </c>
      <c r="D94" s="593" t="s">
        <v>654</v>
      </c>
      <c r="E94" s="594"/>
      <c r="F94" s="608">
        <f>ANL!J1632</f>
        <v>0</v>
      </c>
      <c r="G94" s="603"/>
      <c r="H94" s="604"/>
    </row>
    <row r="95" spans="1:8" ht="14.5">
      <c r="A95" s="526">
        <f t="shared" si="1"/>
        <v>80</v>
      </c>
      <c r="B95" s="112"/>
      <c r="C95" s="458" t="s">
        <v>655</v>
      </c>
      <c r="D95" s="593" t="s">
        <v>656</v>
      </c>
      <c r="E95" s="594"/>
      <c r="F95" s="608">
        <f>ANL!J1658</f>
        <v>0</v>
      </c>
      <c r="G95" s="603"/>
      <c r="H95" s="604"/>
    </row>
    <row r="96" spans="1:8" ht="14.5">
      <c r="A96" s="526"/>
      <c r="B96" s="112"/>
      <c r="C96" s="496"/>
      <c r="D96" s="601"/>
      <c r="E96" s="602"/>
      <c r="F96" s="608"/>
      <c r="G96" s="603"/>
      <c r="H96" s="604"/>
    </row>
    <row r="97" spans="1:9" s="600" customFormat="1" ht="14.5">
      <c r="A97" s="605"/>
      <c r="B97" s="606" t="s">
        <v>488</v>
      </c>
      <c r="C97" s="607" t="s">
        <v>489</v>
      </c>
      <c r="D97" s="598"/>
      <c r="E97" s="599"/>
      <c r="F97" s="609"/>
      <c r="G97" s="603"/>
      <c r="H97" s="604"/>
    </row>
    <row r="98" spans="1:9" ht="14.5">
      <c r="A98" s="526">
        <v>78</v>
      </c>
      <c r="B98" s="112"/>
      <c r="C98" s="458" t="s">
        <v>657</v>
      </c>
      <c r="D98" s="593" t="s">
        <v>658</v>
      </c>
      <c r="E98" s="594"/>
      <c r="F98" s="608">
        <f>ANL!J1679</f>
        <v>0</v>
      </c>
      <c r="G98" s="603"/>
      <c r="H98" s="604"/>
    </row>
    <row r="99" spans="1:9">
      <c r="A99" s="526">
        <f t="shared" si="1"/>
        <v>79</v>
      </c>
      <c r="B99" s="112"/>
      <c r="C99" s="496" t="s">
        <v>659</v>
      </c>
      <c r="D99" s="601" t="s">
        <v>660</v>
      </c>
      <c r="E99" s="602"/>
      <c r="F99" s="595">
        <f>ANL!J1699</f>
        <v>0</v>
      </c>
      <c r="G99" s="603"/>
      <c r="H99" s="604"/>
    </row>
    <row r="100" spans="1:9">
      <c r="A100" s="526">
        <f t="shared" si="1"/>
        <v>80</v>
      </c>
      <c r="B100" s="112"/>
      <c r="C100" s="496" t="s">
        <v>662</v>
      </c>
      <c r="D100" s="601" t="s">
        <v>661</v>
      </c>
      <c r="E100" s="602"/>
      <c r="F100" s="595">
        <f>ANL!J1719</f>
        <v>0</v>
      </c>
      <c r="G100" s="603"/>
      <c r="H100" s="604"/>
    </row>
    <row r="101" spans="1:9">
      <c r="A101" s="526">
        <f t="shared" si="1"/>
        <v>81</v>
      </c>
      <c r="B101" s="112"/>
      <c r="C101" s="496" t="s">
        <v>664</v>
      </c>
      <c r="D101" s="601" t="s">
        <v>663</v>
      </c>
      <c r="E101" s="602"/>
      <c r="F101" s="595">
        <f>ANL!J1739</f>
        <v>0</v>
      </c>
      <c r="G101" s="603"/>
      <c r="H101" s="604"/>
    </row>
    <row r="102" spans="1:9">
      <c r="A102" s="526">
        <f t="shared" si="1"/>
        <v>82</v>
      </c>
      <c r="B102" s="112"/>
      <c r="C102" s="496" t="s">
        <v>666</v>
      </c>
      <c r="D102" s="601" t="s">
        <v>665</v>
      </c>
      <c r="E102" s="602"/>
      <c r="F102" s="595">
        <f>ANL!J1761</f>
        <v>0</v>
      </c>
      <c r="G102" s="603"/>
      <c r="H102" s="604"/>
    </row>
    <row r="103" spans="1:9">
      <c r="A103" s="526">
        <f t="shared" si="1"/>
        <v>83</v>
      </c>
      <c r="B103" s="112"/>
      <c r="C103" s="496" t="s">
        <v>668</v>
      </c>
      <c r="D103" s="601" t="s">
        <v>667</v>
      </c>
      <c r="E103" s="602"/>
      <c r="F103" s="595">
        <f>ANL!J1781</f>
        <v>0</v>
      </c>
      <c r="G103" s="603"/>
      <c r="H103" s="604"/>
    </row>
    <row r="104" spans="1:9">
      <c r="A104" s="526">
        <f t="shared" si="1"/>
        <v>84</v>
      </c>
      <c r="B104" s="112"/>
      <c r="C104" s="496" t="s">
        <v>670</v>
      </c>
      <c r="D104" s="601" t="s">
        <v>669</v>
      </c>
      <c r="E104" s="602"/>
      <c r="F104" s="595">
        <f>ANL!J1802</f>
        <v>0</v>
      </c>
      <c r="G104" s="603"/>
      <c r="H104" s="604"/>
    </row>
    <row r="105" spans="1:9">
      <c r="A105" s="526">
        <f t="shared" si="1"/>
        <v>85</v>
      </c>
      <c r="B105" s="112"/>
      <c r="C105" s="458" t="s">
        <v>671</v>
      </c>
      <c r="D105" s="593" t="s">
        <v>672</v>
      </c>
      <c r="E105" s="594"/>
      <c r="F105" s="595">
        <f>ANL!J1817</f>
        <v>0</v>
      </c>
      <c r="G105" s="603"/>
      <c r="H105" s="604"/>
    </row>
    <row r="106" spans="1:9">
      <c r="A106" s="526">
        <f t="shared" si="1"/>
        <v>86</v>
      </c>
      <c r="B106" s="112"/>
      <c r="C106" s="458" t="s">
        <v>673</v>
      </c>
      <c r="D106" s="593" t="s">
        <v>674</v>
      </c>
      <c r="E106" s="594"/>
      <c r="F106" s="595">
        <f>ANL!J1832</f>
        <v>0</v>
      </c>
      <c r="G106" s="603"/>
      <c r="H106" s="604"/>
    </row>
    <row r="107" spans="1:9">
      <c r="A107" s="526">
        <f t="shared" si="1"/>
        <v>87</v>
      </c>
      <c r="B107" s="112"/>
      <c r="C107" s="458" t="s">
        <v>675</v>
      </c>
      <c r="D107" s="593" t="s">
        <v>676</v>
      </c>
      <c r="E107" s="594"/>
      <c r="F107" s="595">
        <f>ANL!J1847</f>
        <v>0</v>
      </c>
      <c r="G107" s="603"/>
      <c r="H107" s="604"/>
    </row>
    <row r="108" spans="1:9">
      <c r="A108" s="526">
        <f t="shared" si="1"/>
        <v>88</v>
      </c>
      <c r="B108" s="112"/>
      <c r="C108" s="458" t="s">
        <v>677</v>
      </c>
      <c r="D108" s="593" t="s">
        <v>678</v>
      </c>
      <c r="E108" s="594"/>
      <c r="F108" s="595">
        <f>ANL!J1864</f>
        <v>0</v>
      </c>
      <c r="G108" s="603"/>
      <c r="H108" s="604"/>
    </row>
    <row r="109" spans="1:9">
      <c r="A109" s="526">
        <f t="shared" si="1"/>
        <v>89</v>
      </c>
      <c r="B109" s="112"/>
      <c r="C109" s="458" t="s">
        <v>679</v>
      </c>
      <c r="D109" s="593" t="s">
        <v>680</v>
      </c>
      <c r="E109" s="594"/>
      <c r="F109" s="595">
        <f>ANL!J1881</f>
        <v>0</v>
      </c>
      <c r="G109" s="603"/>
      <c r="H109" s="604"/>
    </row>
    <row r="110" spans="1:9">
      <c r="A110" s="526">
        <f t="shared" si="1"/>
        <v>90</v>
      </c>
      <c r="B110" s="112"/>
      <c r="C110" s="458" t="s">
        <v>681</v>
      </c>
      <c r="D110" s="593" t="s">
        <v>682</v>
      </c>
      <c r="E110" s="594"/>
      <c r="F110" s="595">
        <f>ANL!J1898</f>
        <v>0</v>
      </c>
      <c r="G110" s="603"/>
      <c r="H110" s="604"/>
    </row>
    <row r="111" spans="1:9">
      <c r="A111" s="526">
        <f t="shared" si="1"/>
        <v>91</v>
      </c>
      <c r="B111" s="112"/>
      <c r="C111" s="611" t="s">
        <v>692</v>
      </c>
      <c r="D111" s="601" t="s">
        <v>696</v>
      </c>
      <c r="E111" s="602"/>
      <c r="F111" s="595">
        <f>ANL!J2026</f>
        <v>0</v>
      </c>
      <c r="G111" s="603"/>
      <c r="H111" s="604"/>
      <c r="I111" s="610"/>
    </row>
    <row r="112" spans="1:9">
      <c r="A112" s="526">
        <f t="shared" si="1"/>
        <v>92</v>
      </c>
      <c r="B112" s="112"/>
      <c r="C112" s="458" t="s">
        <v>697</v>
      </c>
      <c r="D112" s="593" t="s">
        <v>698</v>
      </c>
      <c r="E112" s="594"/>
      <c r="F112" s="595">
        <f>ANL!J2075</f>
        <v>0</v>
      </c>
      <c r="G112" s="603"/>
      <c r="H112" s="604"/>
    </row>
    <row r="113" spans="1:8">
      <c r="A113" s="526">
        <f t="shared" si="1"/>
        <v>93</v>
      </c>
      <c r="B113" s="112"/>
      <c r="C113" s="458" t="s">
        <v>699</v>
      </c>
      <c r="D113" s="593" t="s">
        <v>700</v>
      </c>
      <c r="E113" s="594"/>
      <c r="F113" s="595">
        <f>ANL!J2093</f>
        <v>0</v>
      </c>
      <c r="G113" s="603"/>
      <c r="H113" s="604"/>
    </row>
    <row r="114" spans="1:8">
      <c r="A114" s="526">
        <f t="shared" si="1"/>
        <v>94</v>
      </c>
      <c r="B114" s="112"/>
      <c r="C114" s="458" t="s">
        <v>701</v>
      </c>
      <c r="D114" s="593" t="s">
        <v>702</v>
      </c>
      <c r="E114" s="594"/>
      <c r="F114" s="595">
        <f>ANL!J2111</f>
        <v>0</v>
      </c>
      <c r="G114" s="603"/>
      <c r="H114" s="604"/>
    </row>
    <row r="115" spans="1:8">
      <c r="A115" s="526">
        <f t="shared" si="1"/>
        <v>95</v>
      </c>
      <c r="B115" s="112"/>
      <c r="C115" s="458" t="s">
        <v>703</v>
      </c>
      <c r="D115" s="593" t="s">
        <v>704</v>
      </c>
      <c r="E115" s="594"/>
      <c r="F115" s="595">
        <f>ANL!J2126</f>
        <v>0</v>
      </c>
      <c r="G115" s="603"/>
      <c r="H115" s="604"/>
    </row>
    <row r="116" spans="1:8">
      <c r="A116" s="526">
        <f t="shared" si="1"/>
        <v>96</v>
      </c>
      <c r="B116" s="112"/>
      <c r="C116" s="458" t="s">
        <v>705</v>
      </c>
      <c r="D116" s="593" t="s">
        <v>706</v>
      </c>
      <c r="E116" s="594"/>
      <c r="F116" s="595">
        <f>ANL!J2140</f>
        <v>0</v>
      </c>
      <c r="G116" s="603"/>
      <c r="H116" s="604"/>
    </row>
    <row r="117" spans="1:8">
      <c r="A117" s="526">
        <f t="shared" si="1"/>
        <v>97</v>
      </c>
      <c r="B117" s="112"/>
      <c r="C117" s="458" t="s">
        <v>707</v>
      </c>
      <c r="D117" s="593" t="s">
        <v>708</v>
      </c>
      <c r="E117" s="594"/>
      <c r="F117" s="595">
        <f>ANL!J2155</f>
        <v>0</v>
      </c>
      <c r="G117" s="603"/>
      <c r="H117" s="604"/>
    </row>
    <row r="118" spans="1:8">
      <c r="A118" s="526">
        <f t="shared" si="1"/>
        <v>98</v>
      </c>
      <c r="B118" s="112"/>
      <c r="C118" s="458" t="s">
        <v>709</v>
      </c>
      <c r="D118" s="593" t="s">
        <v>710</v>
      </c>
      <c r="E118" s="594"/>
      <c r="F118" s="595">
        <f>ANL!J2174</f>
        <v>0</v>
      </c>
      <c r="G118" s="603"/>
      <c r="H118" s="604"/>
    </row>
    <row r="119" spans="1:8">
      <c r="A119" s="526">
        <f t="shared" si="1"/>
        <v>99</v>
      </c>
      <c r="B119" s="112"/>
      <c r="C119" s="458" t="s">
        <v>711</v>
      </c>
      <c r="D119" s="601" t="s">
        <v>712</v>
      </c>
      <c r="E119" s="602"/>
      <c r="F119" s="595">
        <f>ANL!J2190</f>
        <v>0</v>
      </c>
      <c r="G119" s="603"/>
      <c r="H119" s="604"/>
    </row>
    <row r="120" spans="1:8">
      <c r="A120" s="526"/>
      <c r="B120" s="112"/>
      <c r="C120" s="458"/>
      <c r="D120" s="601"/>
      <c r="E120" s="602"/>
      <c r="F120" s="595"/>
      <c r="G120" s="603"/>
      <c r="H120" s="604"/>
    </row>
    <row r="121" spans="1:8">
      <c r="A121" s="526"/>
      <c r="B121" s="112"/>
      <c r="C121" s="458"/>
      <c r="D121" s="601"/>
      <c r="E121" s="602"/>
      <c r="F121" s="595"/>
      <c r="G121" s="603"/>
      <c r="H121" s="604"/>
    </row>
    <row r="122" spans="1:8" s="600" customFormat="1" ht="13">
      <c r="A122" s="605"/>
      <c r="B122" s="606" t="s">
        <v>492</v>
      </c>
      <c r="C122" s="607" t="s">
        <v>493</v>
      </c>
      <c r="D122" s="598"/>
      <c r="E122" s="599"/>
      <c r="F122" s="597"/>
      <c r="G122" s="603"/>
      <c r="H122" s="604"/>
    </row>
    <row r="123" spans="1:8">
      <c r="A123" s="526">
        <v>102</v>
      </c>
      <c r="B123" s="112"/>
      <c r="C123" s="458" t="s">
        <v>713</v>
      </c>
      <c r="D123" s="593" t="s">
        <v>714</v>
      </c>
      <c r="E123" s="594"/>
      <c r="F123" s="595">
        <f>ANL!J2225</f>
        <v>0</v>
      </c>
      <c r="G123" s="603"/>
      <c r="H123" s="604"/>
    </row>
    <row r="124" spans="1:8">
      <c r="A124" s="526">
        <f t="shared" si="1"/>
        <v>103</v>
      </c>
      <c r="B124" s="112"/>
      <c r="C124" s="458" t="s">
        <v>715</v>
      </c>
      <c r="D124" s="593" t="s">
        <v>716</v>
      </c>
      <c r="E124" s="594"/>
      <c r="F124" s="595">
        <f>ANL!J2225</f>
        <v>0</v>
      </c>
      <c r="G124" s="603"/>
      <c r="H124" s="604"/>
    </row>
    <row r="125" spans="1:8">
      <c r="A125" s="526">
        <f t="shared" si="1"/>
        <v>104</v>
      </c>
      <c r="B125" s="112"/>
      <c r="C125" s="458" t="s">
        <v>717</v>
      </c>
      <c r="D125" s="593" t="s">
        <v>718</v>
      </c>
      <c r="E125" s="594"/>
      <c r="F125" s="595">
        <f>ANL!J2244</f>
        <v>0</v>
      </c>
      <c r="G125" s="603"/>
      <c r="H125" s="604"/>
    </row>
    <row r="126" spans="1:8">
      <c r="A126" s="526">
        <f t="shared" si="1"/>
        <v>105</v>
      </c>
      <c r="B126" s="112"/>
      <c r="C126" s="458" t="s">
        <v>719</v>
      </c>
      <c r="D126" s="593" t="s">
        <v>720</v>
      </c>
      <c r="E126" s="594"/>
      <c r="F126" s="595">
        <f>ANL!J2263</f>
        <v>0</v>
      </c>
      <c r="G126" s="603"/>
      <c r="H126" s="604"/>
    </row>
    <row r="127" spans="1:8">
      <c r="A127" s="526">
        <f t="shared" si="1"/>
        <v>106</v>
      </c>
      <c r="B127" s="112"/>
      <c r="C127" s="458" t="s">
        <v>721</v>
      </c>
      <c r="D127" s="593" t="s">
        <v>722</v>
      </c>
      <c r="E127" s="594"/>
      <c r="F127" s="595">
        <f>ANL!J2283</f>
        <v>0</v>
      </c>
      <c r="G127" s="603"/>
      <c r="H127" s="604"/>
    </row>
    <row r="128" spans="1:8">
      <c r="A128" s="526">
        <f t="shared" si="1"/>
        <v>107</v>
      </c>
      <c r="B128" s="112"/>
      <c r="C128" s="458" t="s">
        <v>724</v>
      </c>
      <c r="D128" s="593" t="s">
        <v>1848</v>
      </c>
      <c r="E128" s="594"/>
      <c r="F128" s="595">
        <f>ANL!J2302</f>
        <v>0</v>
      </c>
      <c r="G128" s="603"/>
      <c r="H128" s="604"/>
    </row>
    <row r="129" spans="1:8">
      <c r="A129" s="526">
        <f t="shared" si="1"/>
        <v>108</v>
      </c>
      <c r="B129" s="112"/>
      <c r="C129" s="458" t="s">
        <v>726</v>
      </c>
      <c r="D129" s="593" t="s">
        <v>727</v>
      </c>
      <c r="E129" s="594"/>
      <c r="F129" s="595">
        <f>ANL!J2319</f>
        <v>0</v>
      </c>
      <c r="G129" s="603"/>
      <c r="H129" s="604"/>
    </row>
    <row r="130" spans="1:8">
      <c r="A130" s="526">
        <f t="shared" si="1"/>
        <v>109</v>
      </c>
      <c r="B130" s="112"/>
      <c r="C130" s="458" t="s">
        <v>728</v>
      </c>
      <c r="D130" s="593" t="s">
        <v>729</v>
      </c>
      <c r="E130" s="594"/>
      <c r="F130" s="595">
        <f>ANL!J2336</f>
        <v>0</v>
      </c>
      <c r="G130" s="603"/>
      <c r="H130" s="604"/>
    </row>
    <row r="131" spans="1:8">
      <c r="A131" s="526">
        <f t="shared" si="1"/>
        <v>110</v>
      </c>
      <c r="B131" s="112"/>
      <c r="C131" s="458" t="s">
        <v>730</v>
      </c>
      <c r="D131" s="593" t="s">
        <v>731</v>
      </c>
      <c r="E131" s="594"/>
      <c r="F131" s="595">
        <f>ANL!J2353</f>
        <v>0</v>
      </c>
      <c r="G131" s="603"/>
      <c r="H131" s="604"/>
    </row>
    <row r="132" spans="1:8">
      <c r="A132" s="526">
        <f t="shared" si="1"/>
        <v>111</v>
      </c>
      <c r="B132" s="112"/>
      <c r="C132" s="458" t="s">
        <v>732</v>
      </c>
      <c r="D132" s="593" t="s">
        <v>733</v>
      </c>
      <c r="E132" s="594"/>
      <c r="F132" s="595">
        <f>ANL!J2370</f>
        <v>0</v>
      </c>
      <c r="G132" s="603"/>
      <c r="H132" s="604"/>
    </row>
    <row r="133" spans="1:8">
      <c r="A133" s="526">
        <f t="shared" si="1"/>
        <v>112</v>
      </c>
      <c r="B133" s="112"/>
      <c r="C133" s="458" t="s">
        <v>734</v>
      </c>
      <c r="D133" s="593" t="s">
        <v>735</v>
      </c>
      <c r="E133" s="594"/>
      <c r="F133" s="595">
        <f>ANL!J2389</f>
        <v>0</v>
      </c>
      <c r="G133" s="603"/>
      <c r="H133" s="604"/>
    </row>
    <row r="134" spans="1:8">
      <c r="A134" s="526">
        <f t="shared" si="1"/>
        <v>113</v>
      </c>
      <c r="B134" s="112"/>
      <c r="C134" s="458" t="s">
        <v>736</v>
      </c>
      <c r="D134" s="593" t="s">
        <v>737</v>
      </c>
      <c r="E134" s="594"/>
      <c r="F134" s="595">
        <f>ANL!J2407</f>
        <v>0</v>
      </c>
      <c r="G134" s="603"/>
      <c r="H134" s="604"/>
    </row>
    <row r="135" spans="1:8">
      <c r="A135" s="526">
        <f t="shared" si="1"/>
        <v>114</v>
      </c>
      <c r="B135" s="112"/>
      <c r="C135" s="458" t="s">
        <v>738</v>
      </c>
      <c r="D135" s="593" t="s">
        <v>739</v>
      </c>
      <c r="E135" s="594"/>
      <c r="F135" s="595">
        <f>ANL!J2426</f>
        <v>0</v>
      </c>
      <c r="G135" s="603"/>
      <c r="H135" s="604"/>
    </row>
    <row r="136" spans="1:8">
      <c r="A136" s="526">
        <f t="shared" si="1"/>
        <v>115</v>
      </c>
      <c r="B136" s="112"/>
      <c r="C136" s="458" t="s">
        <v>740</v>
      </c>
      <c r="D136" s="593" t="s">
        <v>741</v>
      </c>
      <c r="E136" s="594"/>
      <c r="F136" s="595">
        <f>ANL!J2443</f>
        <v>0</v>
      </c>
      <c r="G136" s="603"/>
      <c r="H136" s="604"/>
    </row>
    <row r="137" spans="1:8">
      <c r="A137" s="526">
        <f t="shared" si="1"/>
        <v>116</v>
      </c>
      <c r="B137" s="112"/>
      <c r="C137" s="458" t="s">
        <v>742</v>
      </c>
      <c r="D137" s="593" t="s">
        <v>743</v>
      </c>
      <c r="E137" s="594"/>
      <c r="F137" s="595">
        <f>ANL!J2461</f>
        <v>0</v>
      </c>
      <c r="G137" s="603"/>
      <c r="H137" s="604"/>
    </row>
    <row r="138" spans="1:8">
      <c r="A138" s="526">
        <f t="shared" si="1"/>
        <v>117</v>
      </c>
      <c r="B138" s="112"/>
      <c r="C138" s="458" t="s">
        <v>744</v>
      </c>
      <c r="D138" s="593" t="s">
        <v>745</v>
      </c>
      <c r="E138" s="594"/>
      <c r="F138" s="595">
        <f>ANL!J2480</f>
        <v>0</v>
      </c>
      <c r="G138" s="603"/>
      <c r="H138" s="604"/>
    </row>
    <row r="139" spans="1:8">
      <c r="A139" s="526">
        <f t="shared" si="1"/>
        <v>118</v>
      </c>
      <c r="B139" s="112"/>
      <c r="C139" s="458" t="s">
        <v>746</v>
      </c>
      <c r="D139" s="593" t="s">
        <v>747</v>
      </c>
      <c r="E139" s="594"/>
      <c r="F139" s="595">
        <f>ANL!J2499</f>
        <v>0</v>
      </c>
      <c r="G139" s="603"/>
      <c r="H139" s="604"/>
    </row>
    <row r="140" spans="1:8">
      <c r="A140" s="526">
        <f t="shared" si="1"/>
        <v>119</v>
      </c>
      <c r="B140" s="112"/>
      <c r="C140" s="458" t="s">
        <v>748</v>
      </c>
      <c r="D140" s="593" t="s">
        <v>749</v>
      </c>
      <c r="E140" s="594"/>
      <c r="F140" s="595">
        <f>ANL!J2518</f>
        <v>0</v>
      </c>
      <c r="G140" s="603"/>
      <c r="H140" s="604"/>
    </row>
    <row r="141" spans="1:8">
      <c r="A141" s="526">
        <f t="shared" si="1"/>
        <v>120</v>
      </c>
      <c r="B141" s="112"/>
      <c r="C141" s="458" t="s">
        <v>750</v>
      </c>
      <c r="D141" s="601" t="s">
        <v>751</v>
      </c>
      <c r="E141" s="602"/>
      <c r="F141" s="595">
        <f>ANL!J2537</f>
        <v>0</v>
      </c>
      <c r="G141" s="603"/>
      <c r="H141" s="604"/>
    </row>
    <row r="142" spans="1:8">
      <c r="A142" s="526">
        <f t="shared" ref="A142:A205" si="2">A141+1</f>
        <v>121</v>
      </c>
      <c r="B142" s="112"/>
      <c r="C142" s="458" t="s">
        <v>752</v>
      </c>
      <c r="D142" s="593" t="s">
        <v>753</v>
      </c>
      <c r="E142" s="594"/>
      <c r="F142" s="595">
        <f>ANL!J2555</f>
        <v>0</v>
      </c>
      <c r="G142" s="603"/>
      <c r="H142" s="604"/>
    </row>
    <row r="143" spans="1:8">
      <c r="A143" s="526">
        <f t="shared" si="2"/>
        <v>122</v>
      </c>
      <c r="B143" s="112"/>
      <c r="C143" s="458" t="s">
        <v>754</v>
      </c>
      <c r="D143" s="593" t="s">
        <v>755</v>
      </c>
      <c r="E143" s="594"/>
      <c r="F143" s="595">
        <f>ANL!J2573</f>
        <v>0</v>
      </c>
      <c r="G143" s="603"/>
      <c r="H143" s="604"/>
    </row>
    <row r="144" spans="1:8">
      <c r="A144" s="526">
        <f t="shared" si="2"/>
        <v>123</v>
      </c>
      <c r="B144" s="112"/>
      <c r="C144" s="458" t="s">
        <v>756</v>
      </c>
      <c r="D144" s="593" t="s">
        <v>757</v>
      </c>
      <c r="E144" s="594"/>
      <c r="F144" s="595">
        <f>ANL!J2591</f>
        <v>0</v>
      </c>
      <c r="G144" s="603"/>
      <c r="H144" s="604"/>
    </row>
    <row r="145" spans="1:9">
      <c r="A145" s="526">
        <f t="shared" si="2"/>
        <v>124</v>
      </c>
      <c r="B145" s="112"/>
      <c r="C145" s="458" t="s">
        <v>758</v>
      </c>
      <c r="D145" s="593" t="s">
        <v>759</v>
      </c>
      <c r="E145" s="594"/>
      <c r="F145" s="595">
        <f>ANL!J2609</f>
        <v>0</v>
      </c>
      <c r="G145" s="603"/>
      <c r="H145" s="604"/>
    </row>
    <row r="146" spans="1:9">
      <c r="A146" s="526">
        <f t="shared" si="2"/>
        <v>125</v>
      </c>
      <c r="B146" s="112"/>
      <c r="C146" s="458" t="s">
        <v>762</v>
      </c>
      <c r="D146" s="601" t="s">
        <v>3202</v>
      </c>
      <c r="E146" s="602"/>
      <c r="F146" s="595">
        <f>ANL!J2631</f>
        <v>0</v>
      </c>
      <c r="G146" s="603"/>
      <c r="H146" s="604"/>
      <c r="I146" s="610"/>
    </row>
    <row r="147" spans="1:9">
      <c r="A147" s="526"/>
      <c r="B147" s="112"/>
      <c r="C147" s="496"/>
      <c r="D147" s="601"/>
      <c r="E147" s="602"/>
      <c r="F147" s="595"/>
      <c r="G147" s="603"/>
      <c r="H147" s="604"/>
    </row>
    <row r="148" spans="1:9" s="600" customFormat="1" ht="13">
      <c r="A148" s="605"/>
      <c r="B148" s="606" t="s">
        <v>496</v>
      </c>
      <c r="C148" s="607" t="s">
        <v>497</v>
      </c>
      <c r="D148" s="598"/>
      <c r="E148" s="599"/>
      <c r="F148" s="597"/>
      <c r="G148" s="603"/>
      <c r="H148" s="604"/>
    </row>
    <row r="149" spans="1:9">
      <c r="A149" s="526">
        <v>126</v>
      </c>
      <c r="B149" s="112"/>
      <c r="C149" s="458" t="s">
        <v>1810</v>
      </c>
      <c r="D149" s="593" t="s">
        <v>1849</v>
      </c>
      <c r="E149" s="594"/>
      <c r="F149" s="595">
        <f>ANL!J2652</f>
        <v>0</v>
      </c>
      <c r="G149" s="603"/>
      <c r="H149" s="604"/>
    </row>
    <row r="150" spans="1:9">
      <c r="A150" s="526">
        <f t="shared" si="2"/>
        <v>127</v>
      </c>
      <c r="B150" s="112"/>
      <c r="C150" s="458" t="s">
        <v>1811</v>
      </c>
      <c r="D150" s="593" t="s">
        <v>1850</v>
      </c>
      <c r="E150" s="594"/>
      <c r="F150" s="595">
        <f>ANL!J2671</f>
        <v>0</v>
      </c>
      <c r="G150" s="603"/>
      <c r="H150" s="604"/>
    </row>
    <row r="151" spans="1:9">
      <c r="A151" s="526">
        <f t="shared" si="2"/>
        <v>128</v>
      </c>
      <c r="B151" s="112"/>
      <c r="C151" s="458" t="s">
        <v>1792</v>
      </c>
      <c r="D151" s="593" t="s">
        <v>1851</v>
      </c>
      <c r="E151" s="594"/>
      <c r="F151" s="595">
        <f>ANL!J2690</f>
        <v>0</v>
      </c>
      <c r="G151" s="603"/>
      <c r="H151" s="604"/>
    </row>
    <row r="152" spans="1:9">
      <c r="A152" s="526">
        <f t="shared" si="2"/>
        <v>129</v>
      </c>
      <c r="B152" s="112"/>
      <c r="C152" s="458" t="s">
        <v>1793</v>
      </c>
      <c r="D152" s="593" t="s">
        <v>1852</v>
      </c>
      <c r="E152" s="594"/>
      <c r="F152" s="595">
        <f>ANL!J2709</f>
        <v>0</v>
      </c>
      <c r="G152" s="603"/>
      <c r="H152" s="604"/>
    </row>
    <row r="153" spans="1:9">
      <c r="A153" s="526">
        <f t="shared" si="2"/>
        <v>130</v>
      </c>
      <c r="B153" s="112"/>
      <c r="C153" s="458" t="s">
        <v>1812</v>
      </c>
      <c r="D153" s="593" t="s">
        <v>1853</v>
      </c>
      <c r="E153" s="594"/>
      <c r="F153" s="595">
        <f>ANL!J2728</f>
        <v>0</v>
      </c>
      <c r="G153" s="603"/>
      <c r="H153" s="604"/>
    </row>
    <row r="154" spans="1:9">
      <c r="A154" s="526">
        <f t="shared" si="2"/>
        <v>131</v>
      </c>
      <c r="B154" s="112"/>
      <c r="C154" s="458" t="s">
        <v>1799</v>
      </c>
      <c r="D154" s="593" t="s">
        <v>1854</v>
      </c>
      <c r="E154" s="594"/>
      <c r="F154" s="595">
        <f>ANL!J2748</f>
        <v>0</v>
      </c>
      <c r="G154" s="603"/>
      <c r="H154" s="604"/>
    </row>
    <row r="155" spans="1:9">
      <c r="A155" s="526">
        <f t="shared" si="2"/>
        <v>132</v>
      </c>
      <c r="B155" s="112"/>
      <c r="C155" s="496" t="s">
        <v>773</v>
      </c>
      <c r="D155" s="593" t="s">
        <v>1855</v>
      </c>
      <c r="E155" s="594"/>
      <c r="F155" s="595">
        <f>ANL!J2767</f>
        <v>0</v>
      </c>
      <c r="G155" s="603"/>
      <c r="H155" s="604"/>
    </row>
    <row r="156" spans="1:9">
      <c r="A156" s="526">
        <f t="shared" si="2"/>
        <v>133</v>
      </c>
      <c r="B156" s="112"/>
      <c r="C156" s="458" t="s">
        <v>1813</v>
      </c>
      <c r="D156" s="593" t="s">
        <v>1856</v>
      </c>
      <c r="E156" s="594"/>
      <c r="F156" s="595">
        <f>ANL!J2786</f>
        <v>0</v>
      </c>
      <c r="G156" s="603"/>
      <c r="H156" s="604"/>
    </row>
    <row r="157" spans="1:9">
      <c r="A157" s="526">
        <f t="shared" si="2"/>
        <v>134</v>
      </c>
      <c r="B157" s="112"/>
      <c r="C157" s="458" t="s">
        <v>775</v>
      </c>
      <c r="D157" s="593" t="s">
        <v>1857</v>
      </c>
      <c r="E157" s="594"/>
      <c r="F157" s="595">
        <f>ANL!J2805</f>
        <v>0</v>
      </c>
      <c r="G157" s="603"/>
      <c r="H157" s="604"/>
    </row>
    <row r="158" spans="1:9">
      <c r="A158" s="526">
        <f t="shared" si="2"/>
        <v>135</v>
      </c>
      <c r="B158" s="112"/>
      <c r="C158" s="458" t="s">
        <v>1814</v>
      </c>
      <c r="D158" s="593" t="s">
        <v>1858</v>
      </c>
      <c r="E158" s="594"/>
      <c r="F158" s="595">
        <f>ANL!J2824</f>
        <v>0</v>
      </c>
      <c r="G158" s="603"/>
      <c r="H158" s="604"/>
    </row>
    <row r="159" spans="1:9">
      <c r="A159" s="526">
        <f t="shared" si="2"/>
        <v>136</v>
      </c>
      <c r="B159" s="112"/>
      <c r="C159" s="458" t="s">
        <v>1815</v>
      </c>
      <c r="D159" s="593" t="s">
        <v>1859</v>
      </c>
      <c r="E159" s="594"/>
      <c r="F159" s="595">
        <f>ANL!J2843</f>
        <v>0</v>
      </c>
      <c r="G159" s="603"/>
      <c r="H159" s="604"/>
    </row>
    <row r="160" spans="1:9">
      <c r="A160" s="526">
        <f t="shared" si="2"/>
        <v>137</v>
      </c>
      <c r="B160" s="112"/>
      <c r="C160" s="458" t="s">
        <v>1816</v>
      </c>
      <c r="D160" s="593" t="s">
        <v>1860</v>
      </c>
      <c r="E160" s="594"/>
      <c r="F160" s="595">
        <f>ANL!J2862</f>
        <v>0</v>
      </c>
      <c r="G160" s="603"/>
      <c r="H160" s="604"/>
    </row>
    <row r="161" spans="1:9">
      <c r="A161" s="526">
        <f t="shared" si="2"/>
        <v>138</v>
      </c>
      <c r="B161" s="112"/>
      <c r="C161" s="458" t="s">
        <v>1817</v>
      </c>
      <c r="D161" s="593" t="s">
        <v>1861</v>
      </c>
      <c r="E161" s="594"/>
      <c r="F161" s="595">
        <f>ANL!J2882</f>
        <v>0</v>
      </c>
      <c r="G161" s="603"/>
      <c r="H161" s="604"/>
    </row>
    <row r="162" spans="1:9">
      <c r="A162" s="526">
        <f t="shared" si="2"/>
        <v>139</v>
      </c>
      <c r="B162" s="112"/>
      <c r="C162" s="458" t="s">
        <v>1818</v>
      </c>
      <c r="D162" s="593" t="s">
        <v>1862</v>
      </c>
      <c r="E162" s="594"/>
      <c r="F162" s="595">
        <f>ANL!J2902</f>
        <v>0</v>
      </c>
      <c r="G162" s="603"/>
      <c r="H162" s="604"/>
    </row>
    <row r="163" spans="1:9">
      <c r="A163" s="526">
        <f t="shared" si="2"/>
        <v>140</v>
      </c>
      <c r="B163" s="112"/>
      <c r="C163" s="458" t="s">
        <v>1819</v>
      </c>
      <c r="D163" s="593" t="s">
        <v>1863</v>
      </c>
      <c r="E163" s="594"/>
      <c r="F163" s="595">
        <f>ANL!J2922</f>
        <v>0</v>
      </c>
      <c r="G163" s="603"/>
      <c r="H163" s="604"/>
    </row>
    <row r="164" spans="1:9">
      <c r="A164" s="526">
        <f t="shared" si="2"/>
        <v>141</v>
      </c>
      <c r="B164" s="112"/>
      <c r="C164" s="458" t="s">
        <v>1820</v>
      </c>
      <c r="D164" s="593" t="s">
        <v>1864</v>
      </c>
      <c r="E164" s="594"/>
      <c r="F164" s="595">
        <f>ANL!J2942</f>
        <v>0</v>
      </c>
      <c r="G164" s="603"/>
      <c r="H164" s="604"/>
    </row>
    <row r="165" spans="1:9">
      <c r="A165" s="526">
        <f t="shared" si="2"/>
        <v>142</v>
      </c>
      <c r="B165" s="112"/>
      <c r="C165" s="458" t="s">
        <v>1821</v>
      </c>
      <c r="D165" s="593" t="s">
        <v>1865</v>
      </c>
      <c r="E165" s="594"/>
      <c r="F165" s="595">
        <f>ANL!J2962</f>
        <v>0</v>
      </c>
      <c r="G165" s="603"/>
      <c r="H165" s="604"/>
    </row>
    <row r="166" spans="1:9">
      <c r="A166" s="526">
        <f t="shared" si="2"/>
        <v>143</v>
      </c>
      <c r="B166" s="112"/>
      <c r="C166" s="458" t="s">
        <v>1946</v>
      </c>
      <c r="D166" s="593" t="s">
        <v>1866</v>
      </c>
      <c r="E166" s="594"/>
      <c r="F166" s="595">
        <f>ANL!J2982</f>
        <v>0</v>
      </c>
      <c r="G166" s="603"/>
      <c r="H166" s="604"/>
    </row>
    <row r="167" spans="1:9">
      <c r="A167" s="526">
        <f t="shared" si="2"/>
        <v>144</v>
      </c>
      <c r="B167" s="112"/>
      <c r="C167" s="458" t="s">
        <v>1822</v>
      </c>
      <c r="D167" s="593" t="s">
        <v>1890</v>
      </c>
      <c r="E167" s="594"/>
      <c r="F167" s="595">
        <f>ANL!J3002</f>
        <v>0</v>
      </c>
      <c r="G167" s="603"/>
      <c r="H167" s="604"/>
    </row>
    <row r="168" spans="1:9">
      <c r="A168" s="526">
        <f t="shared" si="2"/>
        <v>145</v>
      </c>
      <c r="B168" s="112"/>
      <c r="C168" s="458" t="s">
        <v>1823</v>
      </c>
      <c r="D168" s="593" t="s">
        <v>1891</v>
      </c>
      <c r="E168" s="594"/>
      <c r="F168" s="595">
        <f>ANL!J3022</f>
        <v>0</v>
      </c>
      <c r="G168" s="603"/>
      <c r="H168" s="604"/>
    </row>
    <row r="169" spans="1:9">
      <c r="A169" s="526">
        <f t="shared" si="2"/>
        <v>146</v>
      </c>
      <c r="B169" s="112"/>
      <c r="C169" s="458" t="s">
        <v>1824</v>
      </c>
      <c r="D169" s="593" t="s">
        <v>1892</v>
      </c>
      <c r="E169" s="594"/>
      <c r="F169" s="595">
        <f>ANL!J3042</f>
        <v>0</v>
      </c>
      <c r="G169" s="603"/>
      <c r="H169" s="604"/>
    </row>
    <row r="170" spans="1:9">
      <c r="A170" s="526">
        <f t="shared" si="2"/>
        <v>147</v>
      </c>
      <c r="B170" s="112"/>
      <c r="C170" s="458" t="s">
        <v>1825</v>
      </c>
      <c r="D170" s="593" t="s">
        <v>1893</v>
      </c>
      <c r="E170" s="594"/>
      <c r="F170" s="595">
        <f>ANL!J3061</f>
        <v>0</v>
      </c>
      <c r="G170" s="603"/>
      <c r="H170" s="604"/>
    </row>
    <row r="171" spans="1:9">
      <c r="A171" s="526">
        <f t="shared" si="2"/>
        <v>148</v>
      </c>
      <c r="B171" s="112"/>
      <c r="C171" s="458" t="s">
        <v>1826</v>
      </c>
      <c r="D171" s="593" t="s">
        <v>1894</v>
      </c>
      <c r="E171" s="594"/>
      <c r="F171" s="595">
        <f>ANL!J3080</f>
        <v>0</v>
      </c>
      <c r="G171" s="603"/>
      <c r="H171" s="604"/>
    </row>
    <row r="172" spans="1:9">
      <c r="A172" s="526">
        <f t="shared" si="2"/>
        <v>149</v>
      </c>
      <c r="B172" s="112"/>
      <c r="C172" s="496" t="s">
        <v>1827</v>
      </c>
      <c r="D172" s="601" t="s">
        <v>1895</v>
      </c>
      <c r="E172" s="602"/>
      <c r="F172" s="595">
        <f>ANL!J3099</f>
        <v>0</v>
      </c>
      <c r="G172" s="603"/>
      <c r="H172" s="604"/>
    </row>
    <row r="173" spans="1:9">
      <c r="A173" s="526">
        <f t="shared" si="2"/>
        <v>150</v>
      </c>
      <c r="B173" s="112"/>
      <c r="C173" s="611" t="s">
        <v>1789</v>
      </c>
      <c r="D173" s="601" t="s">
        <v>786</v>
      </c>
      <c r="E173" s="602"/>
      <c r="F173" s="595">
        <f>ANL!J3118</f>
        <v>0</v>
      </c>
      <c r="G173" s="603"/>
      <c r="H173" s="604"/>
      <c r="I173" s="610"/>
    </row>
    <row r="174" spans="1:9">
      <c r="A174" s="526">
        <f t="shared" si="2"/>
        <v>151</v>
      </c>
      <c r="B174" s="112"/>
      <c r="C174" s="611" t="s">
        <v>1790</v>
      </c>
      <c r="D174" s="601" t="s">
        <v>788</v>
      </c>
      <c r="E174" s="602"/>
      <c r="F174" s="595">
        <f>ANL!J3136</f>
        <v>0</v>
      </c>
      <c r="G174" s="603"/>
      <c r="H174" s="604"/>
      <c r="I174" s="610"/>
    </row>
    <row r="175" spans="1:9">
      <c r="A175" s="526"/>
      <c r="B175" s="112"/>
      <c r="C175" s="496"/>
      <c r="D175" s="601"/>
      <c r="E175" s="602"/>
      <c r="F175" s="595"/>
      <c r="G175" s="603"/>
      <c r="H175" s="604"/>
    </row>
    <row r="176" spans="1:9" s="600" customFormat="1" ht="13">
      <c r="A176" s="605"/>
      <c r="B176" s="606" t="s">
        <v>498</v>
      </c>
      <c r="C176" s="607" t="s">
        <v>499</v>
      </c>
      <c r="D176" s="598"/>
      <c r="E176" s="599"/>
      <c r="F176" s="597"/>
      <c r="G176" s="603"/>
      <c r="H176" s="604"/>
    </row>
    <row r="177" spans="1:8">
      <c r="A177" s="526">
        <v>152</v>
      </c>
      <c r="B177" s="112"/>
      <c r="C177" s="458" t="s">
        <v>789</v>
      </c>
      <c r="D177" s="593" t="s">
        <v>790</v>
      </c>
      <c r="E177" s="594"/>
      <c r="F177" s="595">
        <f>ANL!J3156</f>
        <v>0</v>
      </c>
      <c r="G177" s="603"/>
      <c r="H177" s="604"/>
    </row>
    <row r="178" spans="1:8">
      <c r="A178" s="526">
        <f t="shared" si="2"/>
        <v>153</v>
      </c>
      <c r="B178" s="112"/>
      <c r="C178" s="458" t="s">
        <v>791</v>
      </c>
      <c r="D178" s="593" t="s">
        <v>792</v>
      </c>
      <c r="E178" s="594"/>
      <c r="F178" s="595">
        <f>ANL!J3174</f>
        <v>0</v>
      </c>
      <c r="G178" s="603"/>
      <c r="H178" s="604"/>
    </row>
    <row r="179" spans="1:8">
      <c r="A179" s="526">
        <f t="shared" si="2"/>
        <v>154</v>
      </c>
      <c r="B179" s="112"/>
      <c r="C179" s="458" t="s">
        <v>793</v>
      </c>
      <c r="D179" s="593" t="s">
        <v>794</v>
      </c>
      <c r="E179" s="594"/>
      <c r="F179" s="595">
        <f>ANL!J3192</f>
        <v>0</v>
      </c>
      <c r="G179" s="603"/>
      <c r="H179" s="604"/>
    </row>
    <row r="180" spans="1:8">
      <c r="A180" s="526">
        <f t="shared" si="2"/>
        <v>155</v>
      </c>
      <c r="B180" s="112"/>
      <c r="C180" s="458" t="s">
        <v>795</v>
      </c>
      <c r="D180" s="593" t="s">
        <v>796</v>
      </c>
      <c r="E180" s="594"/>
      <c r="F180" s="595">
        <f>ANL!J3210</f>
        <v>0</v>
      </c>
      <c r="G180" s="603"/>
      <c r="H180" s="604"/>
    </row>
    <row r="181" spans="1:8">
      <c r="A181" s="526">
        <f t="shared" si="2"/>
        <v>156</v>
      </c>
      <c r="B181" s="112"/>
      <c r="C181" s="458" t="s">
        <v>797</v>
      </c>
      <c r="D181" s="593" t="s">
        <v>798</v>
      </c>
      <c r="E181" s="594"/>
      <c r="F181" s="595">
        <f>ANL!J3228</f>
        <v>0</v>
      </c>
      <c r="G181" s="603"/>
      <c r="H181" s="604"/>
    </row>
    <row r="182" spans="1:8">
      <c r="A182" s="526">
        <f t="shared" si="2"/>
        <v>157</v>
      </c>
      <c r="B182" s="112"/>
      <c r="C182" s="458" t="s">
        <v>799</v>
      </c>
      <c r="D182" s="593" t="s">
        <v>800</v>
      </c>
      <c r="E182" s="594"/>
      <c r="F182" s="595">
        <f>ANL!J3246</f>
        <v>0</v>
      </c>
      <c r="G182" s="603"/>
      <c r="H182" s="604"/>
    </row>
    <row r="183" spans="1:8">
      <c r="A183" s="526">
        <f t="shared" si="2"/>
        <v>158</v>
      </c>
      <c r="B183" s="112"/>
      <c r="C183" s="458" t="s">
        <v>801</v>
      </c>
      <c r="D183" s="593" t="s">
        <v>802</v>
      </c>
      <c r="E183" s="594"/>
      <c r="F183" s="595">
        <f>ANL!J3264</f>
        <v>0</v>
      </c>
      <c r="G183" s="603"/>
      <c r="H183" s="604"/>
    </row>
    <row r="184" spans="1:8">
      <c r="A184" s="526">
        <f t="shared" si="2"/>
        <v>159</v>
      </c>
      <c r="B184" s="112"/>
      <c r="C184" s="458" t="s">
        <v>803</v>
      </c>
      <c r="D184" s="593" t="s">
        <v>804</v>
      </c>
      <c r="E184" s="594"/>
      <c r="F184" s="595">
        <f>ANL!J3282</f>
        <v>0</v>
      </c>
      <c r="G184" s="603"/>
      <c r="H184" s="604"/>
    </row>
    <row r="185" spans="1:8">
      <c r="A185" s="526">
        <f t="shared" si="2"/>
        <v>160</v>
      </c>
      <c r="B185" s="112"/>
      <c r="C185" s="458" t="s">
        <v>805</v>
      </c>
      <c r="D185" s="593" t="s">
        <v>806</v>
      </c>
      <c r="E185" s="594"/>
      <c r="F185" s="595">
        <f>ANL!J3301</f>
        <v>0</v>
      </c>
      <c r="G185" s="603"/>
      <c r="H185" s="604"/>
    </row>
    <row r="186" spans="1:8">
      <c r="A186" s="526">
        <f t="shared" si="2"/>
        <v>161</v>
      </c>
      <c r="B186" s="112"/>
      <c r="C186" s="458" t="s">
        <v>807</v>
      </c>
      <c r="D186" s="593" t="s">
        <v>808</v>
      </c>
      <c r="E186" s="594"/>
      <c r="F186" s="595">
        <f>ANL!J3320</f>
        <v>0</v>
      </c>
      <c r="G186" s="603"/>
      <c r="H186" s="604"/>
    </row>
    <row r="187" spans="1:8">
      <c r="A187" s="526">
        <f t="shared" si="2"/>
        <v>162</v>
      </c>
      <c r="B187" s="112"/>
      <c r="C187" s="458" t="s">
        <v>809</v>
      </c>
      <c r="D187" s="593" t="s">
        <v>810</v>
      </c>
      <c r="E187" s="594"/>
      <c r="F187" s="595">
        <f>ANL!J3339</f>
        <v>0</v>
      </c>
      <c r="G187" s="603"/>
      <c r="H187" s="604"/>
    </row>
    <row r="188" spans="1:8">
      <c r="A188" s="526">
        <f t="shared" si="2"/>
        <v>163</v>
      </c>
      <c r="B188" s="112"/>
      <c r="C188" s="458" t="s">
        <v>812</v>
      </c>
      <c r="D188" s="601" t="s">
        <v>811</v>
      </c>
      <c r="E188" s="602"/>
      <c r="F188" s="595">
        <f>ANL!J3358</f>
        <v>0</v>
      </c>
      <c r="G188" s="603"/>
      <c r="H188" s="604"/>
    </row>
    <row r="189" spans="1:8">
      <c r="A189" s="526">
        <f t="shared" si="2"/>
        <v>164</v>
      </c>
      <c r="B189" s="112"/>
      <c r="C189" s="458" t="s">
        <v>813</v>
      </c>
      <c r="D189" s="593" t="s">
        <v>814</v>
      </c>
      <c r="E189" s="594"/>
      <c r="F189" s="595">
        <f>ANL!J3376</f>
        <v>0</v>
      </c>
      <c r="G189" s="603"/>
      <c r="H189" s="604"/>
    </row>
    <row r="190" spans="1:8">
      <c r="A190" s="526">
        <f t="shared" si="2"/>
        <v>165</v>
      </c>
      <c r="B190" s="112"/>
      <c r="C190" s="458" t="s">
        <v>815</v>
      </c>
      <c r="D190" s="593" t="s">
        <v>816</v>
      </c>
      <c r="E190" s="594"/>
      <c r="F190" s="595">
        <f>ANL!J3394</f>
        <v>0</v>
      </c>
      <c r="G190" s="603"/>
      <c r="H190" s="604"/>
    </row>
    <row r="191" spans="1:8">
      <c r="A191" s="526">
        <f t="shared" si="2"/>
        <v>166</v>
      </c>
      <c r="B191" s="112"/>
      <c r="C191" s="458" t="s">
        <v>818</v>
      </c>
      <c r="D191" s="593" t="s">
        <v>817</v>
      </c>
      <c r="E191" s="594"/>
      <c r="F191" s="595">
        <f>ANL!J3412</f>
        <v>0</v>
      </c>
      <c r="G191" s="603"/>
      <c r="H191" s="604"/>
    </row>
    <row r="192" spans="1:8">
      <c r="A192" s="526">
        <f t="shared" si="2"/>
        <v>167</v>
      </c>
      <c r="B192" s="112"/>
      <c r="C192" s="458" t="s">
        <v>819</v>
      </c>
      <c r="D192" s="593" t="s">
        <v>820</v>
      </c>
      <c r="E192" s="594"/>
      <c r="F192" s="595">
        <f>ANL!J3430</f>
        <v>0</v>
      </c>
      <c r="G192" s="603"/>
      <c r="H192" s="604"/>
    </row>
    <row r="193" spans="1:9">
      <c r="A193" s="526">
        <f t="shared" si="2"/>
        <v>168</v>
      </c>
      <c r="B193" s="112"/>
      <c r="C193" s="458" t="s">
        <v>821</v>
      </c>
      <c r="D193" s="593" t="s">
        <v>822</v>
      </c>
      <c r="E193" s="594"/>
      <c r="F193" s="595">
        <f>ANL!J3448</f>
        <v>0</v>
      </c>
      <c r="G193" s="603"/>
      <c r="H193" s="604"/>
    </row>
    <row r="194" spans="1:9">
      <c r="A194" s="526">
        <f t="shared" si="2"/>
        <v>169</v>
      </c>
      <c r="B194" s="112"/>
      <c r="C194" s="458" t="s">
        <v>823</v>
      </c>
      <c r="D194" s="593" t="s">
        <v>824</v>
      </c>
      <c r="E194" s="594"/>
      <c r="F194" s="595">
        <f>ANL!J3467</f>
        <v>0</v>
      </c>
      <c r="G194" s="603"/>
      <c r="H194" s="604"/>
    </row>
    <row r="195" spans="1:9">
      <c r="A195" s="526">
        <f t="shared" si="2"/>
        <v>170</v>
      </c>
      <c r="B195" s="112"/>
      <c r="C195" s="458" t="s">
        <v>825</v>
      </c>
      <c r="D195" s="593" t="s">
        <v>826</v>
      </c>
      <c r="E195" s="594"/>
      <c r="F195" s="595">
        <f>ANL!J3485</f>
        <v>0</v>
      </c>
      <c r="G195" s="603"/>
      <c r="H195" s="604"/>
    </row>
    <row r="196" spans="1:9">
      <c r="A196" s="526">
        <f t="shared" si="2"/>
        <v>171</v>
      </c>
      <c r="B196" s="112"/>
      <c r="C196" s="458" t="s">
        <v>827</v>
      </c>
      <c r="D196" s="593" t="s">
        <v>828</v>
      </c>
      <c r="E196" s="594"/>
      <c r="F196" s="595">
        <f>ANL!J3503</f>
        <v>0</v>
      </c>
      <c r="G196" s="603"/>
      <c r="H196" s="604"/>
    </row>
    <row r="197" spans="1:9">
      <c r="A197" s="526">
        <f t="shared" si="2"/>
        <v>172</v>
      </c>
      <c r="B197" s="112"/>
      <c r="C197" s="458" t="s">
        <v>829</v>
      </c>
      <c r="D197" s="593" t="s">
        <v>830</v>
      </c>
      <c r="E197" s="594"/>
      <c r="F197" s="595">
        <f>ANL!J3521</f>
        <v>0</v>
      </c>
      <c r="G197" s="603"/>
      <c r="H197" s="604"/>
    </row>
    <row r="198" spans="1:9">
      <c r="A198" s="526">
        <f t="shared" si="2"/>
        <v>173</v>
      </c>
      <c r="B198" s="112"/>
      <c r="C198" s="458" t="s">
        <v>831</v>
      </c>
      <c r="D198" s="593" t="s">
        <v>832</v>
      </c>
      <c r="E198" s="594"/>
      <c r="F198" s="595">
        <f>ANL!J3539</f>
        <v>0</v>
      </c>
      <c r="G198" s="603"/>
      <c r="H198" s="604"/>
    </row>
    <row r="199" spans="1:9">
      <c r="A199" s="526">
        <f t="shared" si="2"/>
        <v>174</v>
      </c>
      <c r="B199" s="112"/>
      <c r="C199" s="458" t="s">
        <v>833</v>
      </c>
      <c r="D199" s="593" t="s">
        <v>834</v>
      </c>
      <c r="E199" s="594"/>
      <c r="F199" s="595">
        <f>ANL!J3557</f>
        <v>0</v>
      </c>
      <c r="G199" s="603"/>
      <c r="H199" s="604"/>
    </row>
    <row r="200" spans="1:9">
      <c r="A200" s="526">
        <f t="shared" si="2"/>
        <v>175</v>
      </c>
      <c r="B200" s="112"/>
      <c r="C200" s="496" t="s">
        <v>835</v>
      </c>
      <c r="D200" s="601" t="s">
        <v>1074</v>
      </c>
      <c r="E200" s="602"/>
      <c r="F200" s="595">
        <f>ANL!J3574</f>
        <v>0</v>
      </c>
      <c r="G200" s="603"/>
      <c r="H200" s="604"/>
    </row>
    <row r="201" spans="1:9">
      <c r="A201" s="526">
        <f t="shared" si="2"/>
        <v>176</v>
      </c>
      <c r="B201" s="112"/>
      <c r="C201" s="458" t="s">
        <v>836</v>
      </c>
      <c r="D201" s="593" t="s">
        <v>837</v>
      </c>
      <c r="E201" s="594"/>
      <c r="F201" s="595">
        <f>ANL!J3591</f>
        <v>0</v>
      </c>
      <c r="G201" s="603"/>
      <c r="H201" s="604"/>
    </row>
    <row r="202" spans="1:9">
      <c r="A202" s="526">
        <f t="shared" si="2"/>
        <v>177</v>
      </c>
      <c r="B202" s="112"/>
      <c r="C202" s="458" t="s">
        <v>838</v>
      </c>
      <c r="D202" s="593" t="s">
        <v>839</v>
      </c>
      <c r="E202" s="594"/>
      <c r="F202" s="595">
        <f>ANL!J3609</f>
        <v>0</v>
      </c>
      <c r="G202" s="603"/>
      <c r="H202" s="604"/>
    </row>
    <row r="203" spans="1:9">
      <c r="A203" s="526">
        <f t="shared" si="2"/>
        <v>178</v>
      </c>
      <c r="B203" s="112"/>
      <c r="C203" s="458" t="s">
        <v>840</v>
      </c>
      <c r="D203" s="593" t="s">
        <v>841</v>
      </c>
      <c r="E203" s="594"/>
      <c r="F203" s="595">
        <f>ANL!J3626</f>
        <v>0</v>
      </c>
      <c r="G203" s="603"/>
      <c r="H203" s="604"/>
    </row>
    <row r="204" spans="1:9">
      <c r="A204" s="526">
        <f t="shared" si="2"/>
        <v>179</v>
      </c>
      <c r="B204" s="112"/>
      <c r="C204" s="458" t="s">
        <v>864</v>
      </c>
      <c r="D204" s="601" t="s">
        <v>865</v>
      </c>
      <c r="E204" s="602"/>
      <c r="F204" s="595">
        <f>ANL!J3643</f>
        <v>0</v>
      </c>
      <c r="G204" s="603"/>
      <c r="H204" s="604"/>
      <c r="I204" s="610"/>
    </row>
    <row r="205" spans="1:9">
      <c r="A205" s="526">
        <f t="shared" si="2"/>
        <v>180</v>
      </c>
      <c r="B205" s="112"/>
      <c r="C205" s="458" t="s">
        <v>867</v>
      </c>
      <c r="D205" s="601" t="s">
        <v>866</v>
      </c>
      <c r="E205" s="602"/>
      <c r="F205" s="595">
        <f>ANL!J3660</f>
        <v>0</v>
      </c>
      <c r="G205" s="603"/>
      <c r="H205" s="604"/>
      <c r="I205" s="610"/>
    </row>
    <row r="206" spans="1:9">
      <c r="A206" s="526"/>
      <c r="B206" s="112"/>
      <c r="C206" s="496"/>
      <c r="D206" s="601"/>
      <c r="E206" s="602"/>
      <c r="F206" s="595"/>
      <c r="G206" s="603"/>
      <c r="H206" s="604"/>
      <c r="I206" s="610"/>
    </row>
    <row r="207" spans="1:9" s="600" customFormat="1" ht="13">
      <c r="A207" s="605"/>
      <c r="B207" s="606" t="s">
        <v>500</v>
      </c>
      <c r="C207" s="607" t="s">
        <v>501</v>
      </c>
      <c r="D207" s="598"/>
      <c r="E207" s="599"/>
      <c r="F207" s="597"/>
      <c r="G207" s="603"/>
      <c r="H207" s="604"/>
    </row>
    <row r="208" spans="1:9">
      <c r="A208" s="526">
        <v>181</v>
      </c>
      <c r="B208" s="112"/>
      <c r="C208" s="458" t="s">
        <v>842</v>
      </c>
      <c r="D208" s="593" t="s">
        <v>1867</v>
      </c>
      <c r="E208" s="594"/>
      <c r="F208" s="595">
        <f>ANL!J3680</f>
        <v>0</v>
      </c>
      <c r="G208" s="603"/>
      <c r="H208" s="604"/>
    </row>
    <row r="209" spans="1:8">
      <c r="A209" s="526">
        <f t="shared" ref="A209:A275" si="3">A208+1</f>
        <v>182</v>
      </c>
      <c r="B209" s="112"/>
      <c r="C209" s="458" t="s">
        <v>844</v>
      </c>
      <c r="D209" s="593" t="s">
        <v>1868</v>
      </c>
      <c r="E209" s="594"/>
      <c r="F209" s="595">
        <f>ANL!J3699</f>
        <v>0</v>
      </c>
      <c r="G209" s="603"/>
      <c r="H209" s="604"/>
    </row>
    <row r="210" spans="1:8">
      <c r="A210" s="526">
        <f t="shared" si="3"/>
        <v>183</v>
      </c>
      <c r="B210" s="112"/>
      <c r="C210" s="458" t="s">
        <v>846</v>
      </c>
      <c r="D210" s="593" t="s">
        <v>1869</v>
      </c>
      <c r="E210" s="594"/>
      <c r="F210" s="595">
        <f>ANL!J3718</f>
        <v>0</v>
      </c>
      <c r="G210" s="603"/>
      <c r="H210" s="604"/>
    </row>
    <row r="211" spans="1:8">
      <c r="A211" s="526">
        <f t="shared" si="3"/>
        <v>184</v>
      </c>
      <c r="B211" s="112"/>
      <c r="C211" s="458" t="s">
        <v>848</v>
      </c>
      <c r="D211" s="593" t="s">
        <v>1870</v>
      </c>
      <c r="E211" s="594"/>
      <c r="F211" s="595">
        <f>ANL!J3738</f>
        <v>0</v>
      </c>
      <c r="G211" s="603"/>
      <c r="H211" s="604"/>
    </row>
    <row r="212" spans="1:8">
      <c r="A212" s="526">
        <f t="shared" si="3"/>
        <v>185</v>
      </c>
      <c r="B212" s="112"/>
      <c r="C212" s="458" t="s">
        <v>850</v>
      </c>
      <c r="D212" s="593" t="s">
        <v>1871</v>
      </c>
      <c r="E212" s="594"/>
      <c r="F212" s="595">
        <f>ANL!J3758</f>
        <v>0</v>
      </c>
      <c r="G212" s="603"/>
      <c r="H212" s="604"/>
    </row>
    <row r="213" spans="1:8">
      <c r="A213" s="526">
        <f t="shared" si="3"/>
        <v>186</v>
      </c>
      <c r="B213" s="112"/>
      <c r="C213" s="458" t="s">
        <v>852</v>
      </c>
      <c r="D213" s="593" t="s">
        <v>1872</v>
      </c>
      <c r="E213" s="594"/>
      <c r="F213" s="595">
        <f>ANL!J3778</f>
        <v>0</v>
      </c>
      <c r="G213" s="603"/>
      <c r="H213" s="604"/>
    </row>
    <row r="214" spans="1:8">
      <c r="A214" s="526">
        <f t="shared" si="3"/>
        <v>187</v>
      </c>
      <c r="B214" s="112"/>
      <c r="C214" s="458" t="s">
        <v>854</v>
      </c>
      <c r="D214" s="593" t="s">
        <v>1873</v>
      </c>
      <c r="E214" s="594"/>
      <c r="F214" s="595">
        <f>ANL!J3798</f>
        <v>0</v>
      </c>
      <c r="G214" s="603"/>
      <c r="H214" s="604"/>
    </row>
    <row r="215" spans="1:8">
      <c r="A215" s="526">
        <f t="shared" si="3"/>
        <v>188</v>
      </c>
      <c r="B215" s="112"/>
      <c r="C215" s="458" t="s">
        <v>856</v>
      </c>
      <c r="D215" s="593" t="s">
        <v>1874</v>
      </c>
      <c r="E215" s="594"/>
      <c r="F215" s="595">
        <f>ANL!J3818</f>
        <v>0</v>
      </c>
      <c r="G215" s="603"/>
      <c r="H215" s="604"/>
    </row>
    <row r="216" spans="1:8">
      <c r="A216" s="526">
        <f t="shared" si="3"/>
        <v>189</v>
      </c>
      <c r="B216" s="112"/>
      <c r="C216" s="458" t="s">
        <v>858</v>
      </c>
      <c r="D216" s="593" t="s">
        <v>1875</v>
      </c>
      <c r="E216" s="594"/>
      <c r="F216" s="595">
        <f>ANL!J3838</f>
        <v>0</v>
      </c>
      <c r="G216" s="603"/>
      <c r="H216" s="604"/>
    </row>
    <row r="217" spans="1:8">
      <c r="A217" s="526">
        <f t="shared" si="3"/>
        <v>190</v>
      </c>
      <c r="B217" s="112"/>
      <c r="C217" s="458" t="s">
        <v>860</v>
      </c>
      <c r="D217" s="593" t="s">
        <v>1876</v>
      </c>
      <c r="E217" s="594"/>
      <c r="F217" s="595">
        <f>ANL!J3858</f>
        <v>0</v>
      </c>
      <c r="G217" s="603"/>
      <c r="H217" s="604"/>
    </row>
    <row r="218" spans="1:8">
      <c r="A218" s="526">
        <f t="shared" si="3"/>
        <v>191</v>
      </c>
      <c r="B218" s="112"/>
      <c r="C218" s="458" t="s">
        <v>862</v>
      </c>
      <c r="D218" s="593" t="s">
        <v>1877</v>
      </c>
      <c r="E218" s="594"/>
      <c r="F218" s="595">
        <f>ANL!J3878</f>
        <v>0</v>
      </c>
      <c r="G218" s="603"/>
      <c r="H218" s="604"/>
    </row>
    <row r="219" spans="1:8">
      <c r="A219" s="526">
        <f t="shared" si="3"/>
        <v>192</v>
      </c>
      <c r="B219" s="112"/>
      <c r="C219" s="458" t="s">
        <v>879</v>
      </c>
      <c r="D219" s="593" t="s">
        <v>1878</v>
      </c>
      <c r="E219" s="594"/>
      <c r="F219" s="595">
        <f>ANL!J3898</f>
        <v>0</v>
      </c>
      <c r="G219" s="603"/>
      <c r="H219" s="604"/>
    </row>
    <row r="220" spans="1:8">
      <c r="A220" s="526">
        <f t="shared" si="3"/>
        <v>193</v>
      </c>
      <c r="B220" s="112"/>
      <c r="C220" s="458" t="s">
        <v>882</v>
      </c>
      <c r="D220" s="593" t="s">
        <v>1879</v>
      </c>
      <c r="E220" s="594"/>
      <c r="F220" s="595">
        <f>ANL!J3918</f>
        <v>0</v>
      </c>
      <c r="G220" s="603"/>
      <c r="H220" s="604"/>
    </row>
    <row r="221" spans="1:8">
      <c r="A221" s="526">
        <f t="shared" si="3"/>
        <v>194</v>
      </c>
      <c r="B221" s="112"/>
      <c r="C221" s="458" t="s">
        <v>885</v>
      </c>
      <c r="D221" s="593" t="s">
        <v>1880</v>
      </c>
      <c r="E221" s="594"/>
      <c r="F221" s="595">
        <f>ANL!J3938</f>
        <v>0</v>
      </c>
      <c r="G221" s="603"/>
      <c r="H221" s="604"/>
    </row>
    <row r="222" spans="1:8">
      <c r="A222" s="526">
        <f t="shared" si="3"/>
        <v>195</v>
      </c>
      <c r="B222" s="112"/>
      <c r="C222" s="458" t="s">
        <v>888</v>
      </c>
      <c r="D222" s="593" t="s">
        <v>1881</v>
      </c>
      <c r="E222" s="594"/>
      <c r="F222" s="595">
        <f>ANL!J3958</f>
        <v>0</v>
      </c>
      <c r="G222" s="603"/>
      <c r="H222" s="604"/>
    </row>
    <row r="223" spans="1:8">
      <c r="A223" s="526">
        <f t="shared" si="3"/>
        <v>196</v>
      </c>
      <c r="B223" s="112"/>
      <c r="C223" s="458" t="s">
        <v>891</v>
      </c>
      <c r="D223" s="593" t="s">
        <v>892</v>
      </c>
      <c r="E223" s="594"/>
      <c r="F223" s="595">
        <f>ANL!J3977</f>
        <v>0</v>
      </c>
      <c r="G223" s="603"/>
      <c r="H223" s="604"/>
    </row>
    <row r="224" spans="1:8">
      <c r="A224" s="526">
        <f t="shared" si="3"/>
        <v>197</v>
      </c>
      <c r="B224" s="112"/>
      <c r="C224" s="458" t="s">
        <v>894</v>
      </c>
      <c r="D224" s="593" t="s">
        <v>895</v>
      </c>
      <c r="E224" s="594"/>
      <c r="F224" s="595">
        <f>ANL!J3996</f>
        <v>0</v>
      </c>
      <c r="G224" s="603"/>
      <c r="H224" s="604"/>
    </row>
    <row r="225" spans="1:8">
      <c r="A225" s="526">
        <f t="shared" si="3"/>
        <v>198</v>
      </c>
      <c r="B225" s="112"/>
      <c r="C225" s="458" t="s">
        <v>930</v>
      </c>
      <c r="D225" s="593" t="s">
        <v>931</v>
      </c>
      <c r="E225" s="594"/>
      <c r="F225" s="595">
        <f>ANL!J4015</f>
        <v>0</v>
      </c>
      <c r="G225" s="603"/>
      <c r="H225" s="604"/>
    </row>
    <row r="226" spans="1:8">
      <c r="A226" s="526">
        <f t="shared" si="3"/>
        <v>199</v>
      </c>
      <c r="B226" s="112"/>
      <c r="C226" s="458" t="s">
        <v>924</v>
      </c>
      <c r="D226" s="593" t="s">
        <v>925</v>
      </c>
      <c r="E226" s="594"/>
      <c r="F226" s="595">
        <f>ANL!J4035</f>
        <v>0</v>
      </c>
      <c r="G226" s="603"/>
      <c r="H226" s="604"/>
    </row>
    <row r="227" spans="1:8">
      <c r="A227" s="526">
        <f t="shared" si="3"/>
        <v>200</v>
      </c>
      <c r="B227" s="112"/>
      <c r="C227" s="458" t="s">
        <v>927</v>
      </c>
      <c r="D227" s="593" t="s">
        <v>928</v>
      </c>
      <c r="E227" s="594"/>
      <c r="F227" s="595">
        <f>ANL!J4055</f>
        <v>0</v>
      </c>
      <c r="G227" s="603"/>
      <c r="H227" s="604"/>
    </row>
    <row r="228" spans="1:8">
      <c r="A228" s="526">
        <f t="shared" si="3"/>
        <v>201</v>
      </c>
      <c r="B228" s="112"/>
      <c r="C228" s="458" t="s">
        <v>918</v>
      </c>
      <c r="D228" s="593" t="s">
        <v>919</v>
      </c>
      <c r="E228" s="594"/>
      <c r="F228" s="595">
        <f>ANL!J4075</f>
        <v>0</v>
      </c>
      <c r="G228" s="603"/>
      <c r="H228" s="604"/>
    </row>
    <row r="229" spans="1:8">
      <c r="A229" s="526">
        <f t="shared" si="3"/>
        <v>202</v>
      </c>
      <c r="B229" s="112"/>
      <c r="C229" s="458" t="s">
        <v>921</v>
      </c>
      <c r="D229" s="593" t="s">
        <v>922</v>
      </c>
      <c r="E229" s="594"/>
      <c r="F229" s="595">
        <f>ANL!J4095</f>
        <v>0</v>
      </c>
      <c r="G229" s="603"/>
      <c r="H229" s="604"/>
    </row>
    <row r="230" spans="1:8">
      <c r="A230" s="526">
        <f t="shared" si="3"/>
        <v>203</v>
      </c>
      <c r="B230" s="112"/>
      <c r="C230" s="458" t="s">
        <v>917</v>
      </c>
      <c r="D230" s="593" t="s">
        <v>916</v>
      </c>
      <c r="E230" s="594"/>
      <c r="F230" s="595">
        <f>ANL!J4115</f>
        <v>0</v>
      </c>
      <c r="G230" s="603"/>
      <c r="H230" s="604"/>
    </row>
    <row r="231" spans="1:8">
      <c r="A231" s="526">
        <f t="shared" si="3"/>
        <v>204</v>
      </c>
      <c r="B231" s="112"/>
      <c r="C231" s="458" t="s">
        <v>912</v>
      </c>
      <c r="D231" s="593" t="s">
        <v>913</v>
      </c>
      <c r="E231" s="594"/>
      <c r="F231" s="595">
        <f>ANL!J4135</f>
        <v>0</v>
      </c>
      <c r="G231" s="603"/>
      <c r="H231" s="604"/>
    </row>
    <row r="232" spans="1:8">
      <c r="A232" s="526">
        <f t="shared" si="3"/>
        <v>205</v>
      </c>
      <c r="B232" s="112"/>
      <c r="C232" s="458" t="s">
        <v>909</v>
      </c>
      <c r="D232" s="593" t="s">
        <v>910</v>
      </c>
      <c r="E232" s="594"/>
      <c r="F232" s="595">
        <f>ANL!J4155</f>
        <v>0</v>
      </c>
      <c r="G232" s="603"/>
      <c r="H232" s="604"/>
    </row>
    <row r="233" spans="1:8">
      <c r="A233" s="526">
        <f t="shared" si="3"/>
        <v>206</v>
      </c>
      <c r="B233" s="112"/>
      <c r="C233" s="458" t="s">
        <v>906</v>
      </c>
      <c r="D233" s="593" t="s">
        <v>907</v>
      </c>
      <c r="E233" s="594"/>
      <c r="F233" s="595">
        <f>ANL!J4175</f>
        <v>0</v>
      </c>
      <c r="G233" s="603"/>
      <c r="H233" s="604"/>
    </row>
    <row r="234" spans="1:8">
      <c r="A234" s="526">
        <f t="shared" si="3"/>
        <v>207</v>
      </c>
      <c r="B234" s="112"/>
      <c r="C234" s="458" t="s">
        <v>903</v>
      </c>
      <c r="D234" s="593" t="s">
        <v>904</v>
      </c>
      <c r="E234" s="594"/>
      <c r="F234" s="595">
        <f>ANL!J4195</f>
        <v>0</v>
      </c>
      <c r="G234" s="603"/>
      <c r="H234" s="604"/>
    </row>
    <row r="235" spans="1:8">
      <c r="A235" s="526">
        <f t="shared" si="3"/>
        <v>208</v>
      </c>
      <c r="B235" s="112"/>
      <c r="C235" s="458" t="s">
        <v>900</v>
      </c>
      <c r="D235" s="593" t="s">
        <v>901</v>
      </c>
      <c r="E235" s="594"/>
      <c r="F235" s="595">
        <f>ANL!J4215</f>
        <v>0</v>
      </c>
      <c r="G235" s="603"/>
      <c r="H235" s="604"/>
    </row>
    <row r="236" spans="1:8">
      <c r="A236" s="526">
        <f t="shared" si="3"/>
        <v>209</v>
      </c>
      <c r="B236" s="112"/>
      <c r="C236" s="458" t="s">
        <v>897</v>
      </c>
      <c r="D236" s="593" t="s">
        <v>898</v>
      </c>
      <c r="E236" s="594"/>
      <c r="F236" s="595">
        <f>ANL!J4235</f>
        <v>0</v>
      </c>
      <c r="G236" s="603"/>
      <c r="H236" s="604"/>
    </row>
    <row r="237" spans="1:8">
      <c r="A237" s="526">
        <f t="shared" si="3"/>
        <v>210</v>
      </c>
      <c r="B237" s="112"/>
      <c r="C237" s="458" t="s">
        <v>933</v>
      </c>
      <c r="D237" s="593" t="s">
        <v>934</v>
      </c>
      <c r="E237" s="594"/>
      <c r="F237" s="595">
        <f>ANL!J4255</f>
        <v>0</v>
      </c>
      <c r="G237" s="603"/>
      <c r="H237" s="604"/>
    </row>
    <row r="238" spans="1:8">
      <c r="A238" s="526">
        <f t="shared" si="3"/>
        <v>211</v>
      </c>
      <c r="B238" s="112"/>
      <c r="C238" s="458" t="s">
        <v>936</v>
      </c>
      <c r="D238" s="593" t="s">
        <v>1882</v>
      </c>
      <c r="E238" s="594"/>
      <c r="F238" s="595">
        <f>ANL!J4273</f>
        <v>0</v>
      </c>
      <c r="G238" s="603"/>
      <c r="H238" s="604"/>
    </row>
    <row r="239" spans="1:8">
      <c r="A239" s="526">
        <f t="shared" si="3"/>
        <v>212</v>
      </c>
      <c r="B239" s="112"/>
      <c r="C239" s="458" t="s">
        <v>939</v>
      </c>
      <c r="D239" s="593" t="s">
        <v>1883</v>
      </c>
      <c r="E239" s="594"/>
      <c r="F239" s="595">
        <f>ANL!J4293</f>
        <v>0</v>
      </c>
      <c r="G239" s="603"/>
      <c r="H239" s="604"/>
    </row>
    <row r="240" spans="1:8">
      <c r="A240" s="526">
        <f t="shared" si="3"/>
        <v>213</v>
      </c>
      <c r="B240" s="112"/>
      <c r="C240" s="458" t="s">
        <v>941</v>
      </c>
      <c r="D240" s="593" t="s">
        <v>1884</v>
      </c>
      <c r="E240" s="594"/>
      <c r="F240" s="595">
        <f>ANL!J4313</f>
        <v>0</v>
      </c>
      <c r="G240" s="603"/>
      <c r="H240" s="604"/>
    </row>
    <row r="241" spans="1:8">
      <c r="A241" s="526">
        <f t="shared" si="3"/>
        <v>214</v>
      </c>
      <c r="B241" s="112"/>
      <c r="C241" s="458" t="s">
        <v>3555</v>
      </c>
      <c r="D241" s="593" t="str">
        <f>ANL!D4315</f>
        <v>Pemasangan 1 m2 Lantai Homogenous Tile 60x60 cm Polished (1Sp : 2PP)</v>
      </c>
      <c r="E241" s="594"/>
      <c r="F241" s="595">
        <f>ANL!J4333</f>
        <v>0</v>
      </c>
      <c r="G241" s="603"/>
      <c r="H241" s="604"/>
    </row>
    <row r="242" spans="1:8">
      <c r="A242" s="526">
        <f t="shared" si="3"/>
        <v>215</v>
      </c>
      <c r="B242" s="112"/>
      <c r="C242" s="458" t="s">
        <v>3560</v>
      </c>
      <c r="D242" s="593" t="str">
        <f>ANL!D4335</f>
        <v>Pemasangan 1 m2 Lantai Homogenous Tile 60x60 cm Unpolished (1Sp : 2PP)</v>
      </c>
      <c r="E242" s="594"/>
      <c r="F242" s="595">
        <f>ANL!J4353</f>
        <v>0</v>
      </c>
      <c r="G242" s="603"/>
      <c r="H242" s="604"/>
    </row>
    <row r="243" spans="1:8">
      <c r="A243" s="526">
        <f t="shared" si="3"/>
        <v>216</v>
      </c>
      <c r="B243" s="112"/>
      <c r="C243" s="458" t="s">
        <v>3562</v>
      </c>
      <c r="D243" s="593" t="str">
        <f>ANL!D4355</f>
        <v>Pemasangan 1 m2 Lantai Homogenous Tile 40x40 cm Polished (1Sp : 2PP)</v>
      </c>
      <c r="E243" s="594"/>
      <c r="F243" s="595">
        <f>ANL!J4373</f>
        <v>0</v>
      </c>
      <c r="G243" s="603"/>
      <c r="H243" s="604"/>
    </row>
    <row r="244" spans="1:8">
      <c r="A244" s="526">
        <f t="shared" si="3"/>
        <v>217</v>
      </c>
      <c r="B244" s="112"/>
      <c r="C244" s="458" t="s">
        <v>945</v>
      </c>
      <c r="D244" s="593" t="s">
        <v>1885</v>
      </c>
      <c r="E244" s="594"/>
      <c r="F244" s="595">
        <f>ANL!J4393</f>
        <v>0</v>
      </c>
      <c r="G244" s="603"/>
      <c r="H244" s="604"/>
    </row>
    <row r="245" spans="1:8">
      <c r="A245" s="526">
        <f t="shared" si="3"/>
        <v>218</v>
      </c>
      <c r="B245" s="112"/>
      <c r="C245" s="458" t="s">
        <v>948</v>
      </c>
      <c r="D245" s="593" t="s">
        <v>1886</v>
      </c>
      <c r="E245" s="594"/>
      <c r="F245" s="595">
        <f>ANL!J4413</f>
        <v>0</v>
      </c>
      <c r="G245" s="603"/>
      <c r="H245" s="604"/>
    </row>
    <row r="246" spans="1:8">
      <c r="A246" s="526">
        <f t="shared" si="3"/>
        <v>219</v>
      </c>
      <c r="B246" s="112"/>
      <c r="C246" s="458" t="s">
        <v>3859</v>
      </c>
      <c r="D246" s="593" t="str">
        <f>ANL!D4415</f>
        <v>Pemasangan 1m2 lantai keramik ukuran 30cm x 60cm rectifed</v>
      </c>
      <c r="E246" s="594"/>
      <c r="F246" s="595">
        <f>ANL!J4433</f>
        <v>0</v>
      </c>
      <c r="G246" s="603"/>
      <c r="H246" s="604"/>
    </row>
    <row r="247" spans="1:8">
      <c r="A247" s="526">
        <f t="shared" si="3"/>
        <v>220</v>
      </c>
      <c r="B247" s="112"/>
      <c r="C247" s="458" t="s">
        <v>950</v>
      </c>
      <c r="D247" s="593" t="s">
        <v>1887</v>
      </c>
      <c r="E247" s="594"/>
      <c r="F247" s="595">
        <f>ANL!J4453</f>
        <v>0</v>
      </c>
      <c r="G247" s="603"/>
      <c r="H247" s="604"/>
    </row>
    <row r="248" spans="1:8">
      <c r="A248" s="526">
        <f t="shared" si="3"/>
        <v>221</v>
      </c>
      <c r="B248" s="112"/>
      <c r="C248" s="458" t="s">
        <v>953</v>
      </c>
      <c r="D248" s="593" t="s">
        <v>954</v>
      </c>
      <c r="E248" s="594"/>
      <c r="F248" s="595">
        <f>ANL!J4473</f>
        <v>0</v>
      </c>
      <c r="G248" s="603"/>
      <c r="H248" s="604"/>
    </row>
    <row r="249" spans="1:8">
      <c r="A249" s="526">
        <f t="shared" si="3"/>
        <v>222</v>
      </c>
      <c r="B249" s="112"/>
      <c r="C249" s="458" t="s">
        <v>955</v>
      </c>
      <c r="D249" s="593" t="s">
        <v>1888</v>
      </c>
      <c r="E249" s="594"/>
      <c r="F249" s="595">
        <f>ANL!J4493</f>
        <v>0</v>
      </c>
      <c r="G249" s="603"/>
      <c r="H249" s="604"/>
    </row>
    <row r="250" spans="1:8">
      <c r="A250" s="526">
        <f t="shared" si="3"/>
        <v>223</v>
      </c>
      <c r="B250" s="112"/>
      <c r="C250" s="458" t="s">
        <v>958</v>
      </c>
      <c r="D250" s="593" t="s">
        <v>959</v>
      </c>
      <c r="E250" s="594"/>
      <c r="F250" s="595">
        <f>ANL!J4513</f>
        <v>0</v>
      </c>
      <c r="G250" s="603"/>
      <c r="H250" s="604"/>
    </row>
    <row r="251" spans="1:8">
      <c r="A251" s="526">
        <f t="shared" si="3"/>
        <v>224</v>
      </c>
      <c r="B251" s="112"/>
      <c r="C251" s="458" t="s">
        <v>961</v>
      </c>
      <c r="D251" s="593" t="s">
        <v>962</v>
      </c>
      <c r="E251" s="594"/>
      <c r="F251" s="595">
        <f>ANL!J4533</f>
        <v>0</v>
      </c>
      <c r="G251" s="603"/>
      <c r="H251" s="604"/>
    </row>
    <row r="252" spans="1:8">
      <c r="A252" s="526">
        <f t="shared" si="3"/>
        <v>225</v>
      </c>
      <c r="B252" s="112"/>
      <c r="C252" s="458" t="s">
        <v>964</v>
      </c>
      <c r="D252" s="593" t="s">
        <v>965</v>
      </c>
      <c r="E252" s="594"/>
      <c r="F252" s="595">
        <f>ANL!J4553</f>
        <v>0</v>
      </c>
      <c r="G252" s="603"/>
      <c r="H252" s="604"/>
    </row>
    <row r="253" spans="1:8">
      <c r="A253" s="526">
        <f t="shared" si="3"/>
        <v>226</v>
      </c>
      <c r="B253" s="112"/>
      <c r="C253" s="458" t="s">
        <v>967</v>
      </c>
      <c r="D253" s="593" t="s">
        <v>968</v>
      </c>
      <c r="E253" s="594"/>
      <c r="F253" s="595">
        <f>ANL!J4573</f>
        <v>0</v>
      </c>
      <c r="G253" s="603"/>
      <c r="H253" s="604"/>
    </row>
    <row r="254" spans="1:8">
      <c r="A254" s="526">
        <f t="shared" si="3"/>
        <v>227</v>
      </c>
      <c r="B254" s="112"/>
      <c r="C254" s="458" t="s">
        <v>970</v>
      </c>
      <c r="D254" s="593" t="s">
        <v>4085</v>
      </c>
      <c r="E254" s="594"/>
      <c r="F254" s="595">
        <f>ANL!J4593</f>
        <v>0</v>
      </c>
      <c r="G254" s="603"/>
      <c r="H254" s="604"/>
    </row>
    <row r="255" spans="1:8">
      <c r="A255" s="526">
        <f t="shared" si="3"/>
        <v>228</v>
      </c>
      <c r="B255" s="112"/>
      <c r="C255" s="458" t="s">
        <v>971</v>
      </c>
      <c r="D255" s="593" t="s">
        <v>972</v>
      </c>
      <c r="E255" s="594"/>
      <c r="F255" s="595">
        <f>ANL!J4611</f>
        <v>0</v>
      </c>
      <c r="G255" s="603"/>
      <c r="H255" s="604"/>
    </row>
    <row r="256" spans="1:8">
      <c r="A256" s="526">
        <f t="shared" si="3"/>
        <v>229</v>
      </c>
      <c r="B256" s="112"/>
      <c r="C256" s="458" t="s">
        <v>974</v>
      </c>
      <c r="D256" s="593" t="s">
        <v>975</v>
      </c>
      <c r="E256" s="594"/>
      <c r="F256" s="595">
        <f>ANL!J4629</f>
        <v>0</v>
      </c>
      <c r="G256" s="603"/>
      <c r="H256" s="604"/>
    </row>
    <row r="257" spans="1:8">
      <c r="A257" s="526">
        <f t="shared" si="3"/>
        <v>230</v>
      </c>
      <c r="B257" s="112"/>
      <c r="C257" s="458" t="s">
        <v>977</v>
      </c>
      <c r="D257" s="593" t="s">
        <v>978</v>
      </c>
      <c r="E257" s="594"/>
      <c r="F257" s="595">
        <f>ANL!J4647</f>
        <v>0</v>
      </c>
      <c r="G257" s="603"/>
      <c r="H257" s="604"/>
    </row>
    <row r="258" spans="1:8">
      <c r="A258" s="526">
        <f t="shared" si="3"/>
        <v>231</v>
      </c>
      <c r="B258" s="112"/>
      <c r="C258" s="458" t="s">
        <v>980</v>
      </c>
      <c r="D258" s="593" t="s">
        <v>981</v>
      </c>
      <c r="E258" s="594"/>
      <c r="F258" s="595">
        <f>ANL!J4665</f>
        <v>0</v>
      </c>
      <c r="G258" s="603"/>
      <c r="H258" s="604"/>
    </row>
    <row r="259" spans="1:8">
      <c r="A259" s="526">
        <f t="shared" si="3"/>
        <v>232</v>
      </c>
      <c r="B259" s="112"/>
      <c r="C259" s="458" t="s">
        <v>983</v>
      </c>
      <c r="D259" s="593" t="s">
        <v>984</v>
      </c>
      <c r="E259" s="594"/>
      <c r="F259" s="595">
        <f>ANL!J4685</f>
        <v>0</v>
      </c>
      <c r="G259" s="603"/>
      <c r="H259" s="604"/>
    </row>
    <row r="260" spans="1:8">
      <c r="A260" s="526">
        <f t="shared" si="3"/>
        <v>233</v>
      </c>
      <c r="B260" s="112"/>
      <c r="C260" s="458" t="s">
        <v>986</v>
      </c>
      <c r="D260" s="593" t="s">
        <v>987</v>
      </c>
      <c r="E260" s="594"/>
      <c r="F260" s="595">
        <f>ANL!J4705</f>
        <v>0</v>
      </c>
      <c r="G260" s="603"/>
      <c r="H260" s="604"/>
    </row>
    <row r="261" spans="1:8">
      <c r="A261" s="526">
        <f t="shared" si="3"/>
        <v>234</v>
      </c>
      <c r="B261" s="112"/>
      <c r="C261" s="458" t="s">
        <v>989</v>
      </c>
      <c r="D261" s="593" t="s">
        <v>990</v>
      </c>
      <c r="E261" s="594"/>
      <c r="F261" s="595">
        <f>ANL!J4725</f>
        <v>0</v>
      </c>
      <c r="G261" s="603"/>
      <c r="H261" s="604"/>
    </row>
    <row r="262" spans="1:8">
      <c r="A262" s="526">
        <f t="shared" si="3"/>
        <v>235</v>
      </c>
      <c r="B262" s="112"/>
      <c r="C262" s="458" t="s">
        <v>992</v>
      </c>
      <c r="D262" s="593" t="s">
        <v>993</v>
      </c>
      <c r="E262" s="594"/>
      <c r="F262" s="595">
        <f>ANL!J4745</f>
        <v>0</v>
      </c>
      <c r="G262" s="603"/>
      <c r="H262" s="604"/>
    </row>
    <row r="263" spans="1:8">
      <c r="A263" s="526">
        <f t="shared" si="3"/>
        <v>236</v>
      </c>
      <c r="B263" s="112"/>
      <c r="C263" s="458" t="s">
        <v>995</v>
      </c>
      <c r="D263" s="593" t="s">
        <v>996</v>
      </c>
      <c r="E263" s="594"/>
      <c r="F263" s="595">
        <f>ANL!J4765</f>
        <v>0</v>
      </c>
      <c r="G263" s="603"/>
      <c r="H263" s="604"/>
    </row>
    <row r="264" spans="1:8">
      <c r="A264" s="526">
        <f t="shared" si="3"/>
        <v>237</v>
      </c>
      <c r="B264" s="112"/>
      <c r="C264" s="458" t="s">
        <v>998</v>
      </c>
      <c r="D264" s="593" t="s">
        <v>999</v>
      </c>
      <c r="E264" s="594"/>
      <c r="F264" s="595">
        <f>ANL!J4785</f>
        <v>0</v>
      </c>
      <c r="G264" s="603"/>
      <c r="H264" s="604"/>
    </row>
    <row r="265" spans="1:8">
      <c r="A265" s="526">
        <f t="shared" si="3"/>
        <v>238</v>
      </c>
      <c r="B265" s="112"/>
      <c r="C265" s="458" t="s">
        <v>1001</v>
      </c>
      <c r="D265" s="593" t="s">
        <v>1002</v>
      </c>
      <c r="E265" s="594"/>
      <c r="F265" s="595">
        <f>ANL!J4805</f>
        <v>0</v>
      </c>
      <c r="G265" s="603"/>
      <c r="H265" s="604"/>
    </row>
    <row r="266" spans="1:8">
      <c r="A266" s="526">
        <f t="shared" si="3"/>
        <v>239</v>
      </c>
      <c r="B266" s="112"/>
      <c r="C266" s="458" t="s">
        <v>1004</v>
      </c>
      <c r="D266" s="593" t="s">
        <v>1005</v>
      </c>
      <c r="E266" s="594"/>
      <c r="F266" s="595">
        <f>ANL!J4826</f>
        <v>0</v>
      </c>
      <c r="G266" s="603"/>
      <c r="H266" s="604"/>
    </row>
    <row r="267" spans="1:8">
      <c r="A267" s="526">
        <f t="shared" si="3"/>
        <v>240</v>
      </c>
      <c r="B267" s="112"/>
      <c r="C267" s="458" t="s">
        <v>1007</v>
      </c>
      <c r="D267" s="593" t="s">
        <v>1008</v>
      </c>
      <c r="E267" s="594"/>
      <c r="F267" s="595">
        <f>ANL!J4846</f>
        <v>0</v>
      </c>
      <c r="G267" s="603"/>
      <c r="H267" s="604"/>
    </row>
    <row r="268" spans="1:8">
      <c r="A268" s="526">
        <f t="shared" si="3"/>
        <v>241</v>
      </c>
      <c r="B268" s="112"/>
      <c r="C268" s="458" t="s">
        <v>1010</v>
      </c>
      <c r="D268" s="593" t="s">
        <v>1011</v>
      </c>
      <c r="E268" s="594"/>
      <c r="F268" s="595">
        <f>ANL!J4865</f>
        <v>0</v>
      </c>
      <c r="G268" s="603"/>
      <c r="H268" s="604"/>
    </row>
    <row r="269" spans="1:8">
      <c r="A269" s="526">
        <f t="shared" si="3"/>
        <v>242</v>
      </c>
      <c r="B269" s="112"/>
      <c r="C269" s="458" t="s">
        <v>1013</v>
      </c>
      <c r="D269" s="593" t="s">
        <v>4136</v>
      </c>
      <c r="E269" s="594"/>
      <c r="F269" s="595">
        <f>ANL!J4884</f>
        <v>0</v>
      </c>
      <c r="G269" s="603"/>
      <c r="H269" s="604"/>
    </row>
    <row r="270" spans="1:8">
      <c r="A270" s="526">
        <f t="shared" si="3"/>
        <v>243</v>
      </c>
      <c r="B270" s="112"/>
      <c r="C270" s="458" t="s">
        <v>1014</v>
      </c>
      <c r="D270" s="593" t="s">
        <v>1015</v>
      </c>
      <c r="E270" s="594"/>
      <c r="F270" s="595">
        <f>ANL!J4902</f>
        <v>0</v>
      </c>
      <c r="G270" s="603"/>
      <c r="H270" s="604"/>
    </row>
    <row r="271" spans="1:8">
      <c r="A271" s="526">
        <f t="shared" si="3"/>
        <v>244</v>
      </c>
      <c r="B271" s="112"/>
      <c r="C271" s="458" t="s">
        <v>1016</v>
      </c>
      <c r="D271" s="593" t="s">
        <v>1017</v>
      </c>
      <c r="E271" s="594"/>
      <c r="F271" s="595">
        <f>ANL!J4920</f>
        <v>0</v>
      </c>
      <c r="G271" s="603"/>
      <c r="H271" s="604"/>
    </row>
    <row r="272" spans="1:8">
      <c r="A272" s="526">
        <f t="shared" si="3"/>
        <v>245</v>
      </c>
      <c r="B272" s="112"/>
      <c r="C272" s="458" t="s">
        <v>1019</v>
      </c>
      <c r="D272" s="593" t="s">
        <v>1889</v>
      </c>
      <c r="E272" s="594"/>
      <c r="F272" s="595">
        <f>ANL!J4937</f>
        <v>0</v>
      </c>
      <c r="G272" s="603"/>
      <c r="H272" s="604"/>
    </row>
    <row r="273" spans="1:8">
      <c r="A273" s="526">
        <f t="shared" si="3"/>
        <v>246</v>
      </c>
      <c r="B273" s="112"/>
      <c r="C273" s="458" t="s">
        <v>1022</v>
      </c>
      <c r="D273" s="593" t="s">
        <v>1023</v>
      </c>
      <c r="E273" s="594"/>
      <c r="F273" s="595">
        <f>ANL!J4955</f>
        <v>0</v>
      </c>
      <c r="G273" s="603"/>
      <c r="H273" s="604"/>
    </row>
    <row r="274" spans="1:8">
      <c r="A274" s="526">
        <f t="shared" si="3"/>
        <v>247</v>
      </c>
      <c r="B274" s="112"/>
      <c r="C274" s="458" t="s">
        <v>1025</v>
      </c>
      <c r="D274" s="593" t="s">
        <v>1026</v>
      </c>
      <c r="E274" s="594"/>
      <c r="F274" s="595">
        <f>ANL!J4973</f>
        <v>0</v>
      </c>
      <c r="G274" s="603"/>
      <c r="H274" s="604"/>
    </row>
    <row r="275" spans="1:8">
      <c r="A275" s="526">
        <f t="shared" si="3"/>
        <v>248</v>
      </c>
      <c r="B275" s="112"/>
      <c r="C275" s="496" t="s">
        <v>1029</v>
      </c>
      <c r="D275" s="593" t="s">
        <v>1030</v>
      </c>
      <c r="E275" s="594"/>
      <c r="F275" s="595">
        <f>ANL!J4992</f>
        <v>0</v>
      </c>
      <c r="G275" s="603"/>
      <c r="H275" s="604"/>
    </row>
    <row r="276" spans="1:8">
      <c r="A276" s="526">
        <f t="shared" ref="A276:A344" si="4">A275+1</f>
        <v>249</v>
      </c>
      <c r="B276" s="112"/>
      <c r="C276" s="611" t="s">
        <v>1032</v>
      </c>
      <c r="D276" s="593" t="s">
        <v>1033</v>
      </c>
      <c r="E276" s="594"/>
      <c r="F276" s="595">
        <f>ANL!J5011</f>
        <v>0</v>
      </c>
      <c r="G276" s="603"/>
      <c r="H276" s="604"/>
    </row>
    <row r="277" spans="1:8">
      <c r="A277" s="526">
        <f t="shared" si="4"/>
        <v>250</v>
      </c>
      <c r="B277" s="112"/>
      <c r="C277" s="611" t="s">
        <v>1034</v>
      </c>
      <c r="D277" s="593" t="s">
        <v>1035</v>
      </c>
      <c r="E277" s="594"/>
      <c r="F277" s="595">
        <f>ANL!J5030</f>
        <v>0</v>
      </c>
      <c r="G277" s="603"/>
      <c r="H277" s="604"/>
    </row>
    <row r="278" spans="1:8">
      <c r="A278" s="526">
        <f t="shared" si="4"/>
        <v>251</v>
      </c>
      <c r="B278" s="112"/>
      <c r="C278" s="611" t="s">
        <v>1036</v>
      </c>
      <c r="D278" s="593" t="s">
        <v>1037</v>
      </c>
      <c r="E278" s="594"/>
      <c r="F278" s="595">
        <f>ANL!J5049</f>
        <v>0</v>
      </c>
      <c r="G278" s="603"/>
      <c r="H278" s="604"/>
    </row>
    <row r="279" spans="1:8">
      <c r="A279" s="526">
        <f t="shared" si="4"/>
        <v>252</v>
      </c>
      <c r="B279" s="112"/>
      <c r="C279" s="611" t="s">
        <v>1786</v>
      </c>
      <c r="D279" s="593" t="s">
        <v>1788</v>
      </c>
      <c r="E279" s="594"/>
      <c r="F279" s="595">
        <f>ANL!J5067</f>
        <v>0</v>
      </c>
      <c r="G279" s="603"/>
      <c r="H279" s="604"/>
    </row>
    <row r="280" spans="1:8">
      <c r="A280" s="526"/>
      <c r="B280" s="112"/>
      <c r="C280" s="496"/>
      <c r="D280" s="593"/>
      <c r="E280" s="594"/>
      <c r="F280" s="595"/>
      <c r="G280" s="603"/>
      <c r="H280" s="604"/>
    </row>
    <row r="281" spans="1:8" s="600" customFormat="1" ht="13">
      <c r="A281" s="605"/>
      <c r="B281" s="606" t="s">
        <v>504</v>
      </c>
      <c r="C281" s="607" t="s">
        <v>1838</v>
      </c>
      <c r="D281" s="598"/>
      <c r="E281" s="599"/>
      <c r="F281" s="597"/>
      <c r="G281" s="603"/>
      <c r="H281" s="604"/>
    </row>
    <row r="282" spans="1:8">
      <c r="A282" s="526">
        <v>252</v>
      </c>
      <c r="B282" s="112"/>
      <c r="C282" s="496" t="s">
        <v>1028</v>
      </c>
      <c r="D282" s="601" t="s">
        <v>1027</v>
      </c>
      <c r="E282" s="602"/>
      <c r="F282" s="595">
        <f>ANL!J5086</f>
        <v>0</v>
      </c>
      <c r="G282" s="603"/>
      <c r="H282" s="604"/>
    </row>
    <row r="283" spans="1:8">
      <c r="A283" s="526">
        <f t="shared" si="4"/>
        <v>253</v>
      </c>
      <c r="B283" s="112"/>
      <c r="C283" s="458" t="s">
        <v>1760</v>
      </c>
      <c r="D283" s="593" t="s">
        <v>1761</v>
      </c>
      <c r="E283" s="594"/>
      <c r="F283" s="595">
        <f>ANL!J5104</f>
        <v>0</v>
      </c>
      <c r="G283" s="603"/>
      <c r="H283" s="604"/>
    </row>
    <row r="284" spans="1:8">
      <c r="A284" s="526">
        <f t="shared" si="4"/>
        <v>254</v>
      </c>
      <c r="B284" s="112"/>
      <c r="C284" s="458" t="s">
        <v>1762</v>
      </c>
      <c r="D284" s="593" t="s">
        <v>1763</v>
      </c>
      <c r="E284" s="594"/>
      <c r="F284" s="595">
        <f>ANL!J5122</f>
        <v>0</v>
      </c>
      <c r="G284" s="603"/>
      <c r="H284" s="604"/>
    </row>
    <row r="285" spans="1:8">
      <c r="A285" s="526">
        <f t="shared" si="4"/>
        <v>255</v>
      </c>
      <c r="B285" s="112"/>
      <c r="C285" s="458" t="s">
        <v>1764</v>
      </c>
      <c r="D285" s="593" t="s">
        <v>1765</v>
      </c>
      <c r="E285" s="594"/>
      <c r="F285" s="595">
        <f>ANL!J5140</f>
        <v>0</v>
      </c>
      <c r="G285" s="603"/>
      <c r="H285" s="604"/>
    </row>
    <row r="286" spans="1:8">
      <c r="A286" s="526">
        <f t="shared" si="4"/>
        <v>256</v>
      </c>
      <c r="B286" s="112"/>
      <c r="C286" s="458" t="s">
        <v>1766</v>
      </c>
      <c r="D286" s="593" t="s">
        <v>1767</v>
      </c>
      <c r="E286" s="594"/>
      <c r="F286" s="595">
        <f>ANL!J5158</f>
        <v>0</v>
      </c>
      <c r="G286" s="603"/>
      <c r="H286" s="604"/>
    </row>
    <row r="287" spans="1:8">
      <c r="A287" s="526">
        <f t="shared" si="4"/>
        <v>257</v>
      </c>
      <c r="B287" s="112"/>
      <c r="C287" s="458" t="s">
        <v>1768</v>
      </c>
      <c r="D287" s="593" t="s">
        <v>1769</v>
      </c>
      <c r="E287" s="594"/>
      <c r="F287" s="595">
        <f>ANL!J5176</f>
        <v>0</v>
      </c>
      <c r="G287" s="603"/>
      <c r="H287" s="604"/>
    </row>
    <row r="288" spans="1:8">
      <c r="A288" s="526">
        <f t="shared" si="4"/>
        <v>258</v>
      </c>
      <c r="B288" s="112"/>
      <c r="C288" s="458" t="s">
        <v>1770</v>
      </c>
      <c r="D288" s="593" t="s">
        <v>1771</v>
      </c>
      <c r="E288" s="594"/>
      <c r="F288" s="595">
        <f>ANL!J5194</f>
        <v>0</v>
      </c>
      <c r="G288" s="603"/>
      <c r="H288" s="604"/>
    </row>
    <row r="289" spans="1:8">
      <c r="A289" s="526">
        <f t="shared" si="4"/>
        <v>259</v>
      </c>
      <c r="B289" s="112"/>
      <c r="C289" s="458" t="s">
        <v>3565</v>
      </c>
      <c r="D289" s="593" t="str">
        <f>ANL!D5196</f>
        <v>Pemasangan 1 m2 langit-langit Kalsium Silica Board (120x240x9) mm, tebal 9 mm</v>
      </c>
      <c r="E289" s="594"/>
      <c r="F289" s="595">
        <f>ANL!J5212</f>
        <v>0</v>
      </c>
      <c r="G289" s="603"/>
      <c r="H289" s="604"/>
    </row>
    <row r="290" spans="1:8">
      <c r="A290" s="526">
        <f t="shared" si="4"/>
        <v>260</v>
      </c>
      <c r="B290" s="112"/>
      <c r="C290" s="458" t="s">
        <v>3640</v>
      </c>
      <c r="D290" s="593" t="str">
        <f>ANL!D5214</f>
        <v>Pemasangan 1 m2 langit-langit Polywood Board 12 mm</v>
      </c>
      <c r="E290" s="594"/>
      <c r="F290" s="595">
        <f>ANL!J5230</f>
        <v>0</v>
      </c>
      <c r="G290" s="603"/>
      <c r="H290" s="604"/>
    </row>
    <row r="291" spans="1:8">
      <c r="A291" s="526">
        <f t="shared" si="4"/>
        <v>261</v>
      </c>
      <c r="B291" s="112"/>
      <c r="C291" s="458" t="s">
        <v>3643</v>
      </c>
      <c r="D291" s="593" t="str">
        <f>ANL!D5232</f>
        <v>Pemasangan 1 m2 langit-langit WPC</v>
      </c>
      <c r="E291" s="594"/>
      <c r="F291" s="595">
        <f>ANL!J5249</f>
        <v>0</v>
      </c>
      <c r="G291" s="603"/>
      <c r="H291" s="604"/>
    </row>
    <row r="292" spans="1:8">
      <c r="A292" s="526">
        <f t="shared" si="4"/>
        <v>262</v>
      </c>
      <c r="B292" s="112"/>
      <c r="C292" s="458" t="s">
        <v>1772</v>
      </c>
      <c r="D292" s="593" t="s">
        <v>1773</v>
      </c>
      <c r="E292" s="594"/>
      <c r="F292" s="595">
        <f>ANL!J5269</f>
        <v>0</v>
      </c>
      <c r="G292" s="603"/>
      <c r="H292" s="604"/>
    </row>
    <row r="293" spans="1:8">
      <c r="A293" s="526">
        <f t="shared" si="4"/>
        <v>263</v>
      </c>
      <c r="B293" s="112"/>
      <c r="C293" s="458" t="s">
        <v>1774</v>
      </c>
      <c r="D293" s="593" t="s">
        <v>1775</v>
      </c>
      <c r="E293" s="594"/>
      <c r="F293" s="595">
        <f>ANL!J5287</f>
        <v>0</v>
      </c>
      <c r="G293" s="603"/>
      <c r="H293" s="604"/>
    </row>
    <row r="294" spans="1:8">
      <c r="A294" s="526">
        <f t="shared" si="4"/>
        <v>264</v>
      </c>
      <c r="B294" s="112"/>
      <c r="C294" s="458" t="s">
        <v>1778</v>
      </c>
      <c r="D294" s="593" t="s">
        <v>1776</v>
      </c>
      <c r="E294" s="594"/>
      <c r="F294" s="595">
        <f>ANL!J5307</f>
        <v>0</v>
      </c>
      <c r="G294" s="603"/>
      <c r="H294" s="604"/>
    </row>
    <row r="295" spans="1:8">
      <c r="A295" s="526">
        <f t="shared" si="4"/>
        <v>265</v>
      </c>
      <c r="B295" s="112"/>
      <c r="C295" s="458" t="s">
        <v>1778</v>
      </c>
      <c r="D295" s="593" t="s">
        <v>3220</v>
      </c>
      <c r="E295" s="594"/>
      <c r="F295" s="595">
        <f>ANL!J5325</f>
        <v>0</v>
      </c>
      <c r="G295" s="603"/>
      <c r="H295" s="604"/>
    </row>
    <row r="296" spans="1:8">
      <c r="A296" s="526">
        <f t="shared" si="4"/>
        <v>266</v>
      </c>
      <c r="B296" s="112"/>
      <c r="C296" s="458" t="s">
        <v>3568</v>
      </c>
      <c r="D296" s="593" t="str">
        <f>ANL!D5327</f>
        <v>Pemasangan 1 m List Shadow Line</v>
      </c>
      <c r="E296" s="594"/>
      <c r="F296" s="595">
        <f>ANL!J5343</f>
        <v>0</v>
      </c>
      <c r="G296" s="603"/>
      <c r="H296" s="604"/>
    </row>
    <row r="297" spans="1:8">
      <c r="A297" s="526"/>
      <c r="B297" s="112"/>
      <c r="C297" s="496"/>
      <c r="D297" s="593"/>
      <c r="E297" s="594"/>
      <c r="F297" s="595"/>
      <c r="G297" s="603"/>
      <c r="H297" s="604"/>
    </row>
    <row r="298" spans="1:8" s="600" customFormat="1" ht="13">
      <c r="A298" s="605"/>
      <c r="B298" s="606" t="s">
        <v>507</v>
      </c>
      <c r="C298" s="607" t="s">
        <v>508</v>
      </c>
      <c r="D298" s="598"/>
      <c r="E298" s="599"/>
      <c r="F298" s="597"/>
      <c r="G298" s="603"/>
      <c r="H298" s="604"/>
    </row>
    <row r="299" spans="1:8">
      <c r="A299" s="526">
        <v>267</v>
      </c>
      <c r="B299" s="112"/>
      <c r="C299" s="458" t="s">
        <v>1038</v>
      </c>
      <c r="D299" s="593" t="s">
        <v>1039</v>
      </c>
      <c r="E299" s="594"/>
      <c r="F299" s="595">
        <f>ANL!J5361</f>
        <v>0</v>
      </c>
      <c r="G299" s="603"/>
      <c r="H299" s="604"/>
    </row>
    <row r="300" spans="1:8">
      <c r="A300" s="526">
        <f t="shared" si="4"/>
        <v>268</v>
      </c>
      <c r="B300" s="112"/>
      <c r="C300" s="458" t="s">
        <v>1040</v>
      </c>
      <c r="D300" s="593" t="s">
        <v>1041</v>
      </c>
      <c r="E300" s="594"/>
      <c r="F300" s="595">
        <f>ANL!J5378</f>
        <v>0</v>
      </c>
      <c r="G300" s="603"/>
      <c r="H300" s="604"/>
    </row>
    <row r="301" spans="1:8">
      <c r="A301" s="526">
        <f t="shared" si="4"/>
        <v>269</v>
      </c>
      <c r="B301" s="112"/>
      <c r="C301" s="458" t="s">
        <v>1042</v>
      </c>
      <c r="D301" s="593" t="s">
        <v>1043</v>
      </c>
      <c r="E301" s="594"/>
      <c r="F301" s="595">
        <f>ANL!J5395</f>
        <v>0</v>
      </c>
      <c r="G301" s="603"/>
      <c r="H301" s="604"/>
    </row>
    <row r="302" spans="1:8">
      <c r="A302" s="526">
        <f t="shared" si="4"/>
        <v>270</v>
      </c>
      <c r="B302" s="112"/>
      <c r="C302" s="458" t="s">
        <v>1044</v>
      </c>
      <c r="D302" s="593" t="s">
        <v>1045</v>
      </c>
      <c r="E302" s="594"/>
      <c r="F302" s="595">
        <f>ANL!J5414</f>
        <v>0</v>
      </c>
      <c r="G302" s="603"/>
      <c r="H302" s="604"/>
    </row>
    <row r="303" spans="1:8">
      <c r="A303" s="526">
        <f t="shared" si="4"/>
        <v>271</v>
      </c>
      <c r="B303" s="112"/>
      <c r="C303" s="458" t="s">
        <v>1046</v>
      </c>
      <c r="D303" s="593" t="s">
        <v>1047</v>
      </c>
      <c r="E303" s="594"/>
      <c r="F303" s="595">
        <f>ANL!J5433</f>
        <v>0</v>
      </c>
      <c r="G303" s="603"/>
      <c r="H303" s="604"/>
    </row>
    <row r="304" spans="1:8">
      <c r="A304" s="526">
        <f t="shared" si="4"/>
        <v>272</v>
      </c>
      <c r="B304" s="112"/>
      <c r="C304" s="458" t="s">
        <v>1048</v>
      </c>
      <c r="D304" s="593" t="s">
        <v>1049</v>
      </c>
      <c r="E304" s="594"/>
      <c r="F304" s="595">
        <f>ANL!J5452</f>
        <v>0</v>
      </c>
      <c r="G304" s="603"/>
      <c r="H304" s="604"/>
    </row>
    <row r="305" spans="1:8">
      <c r="A305" s="526">
        <f t="shared" si="4"/>
        <v>273</v>
      </c>
      <c r="B305" s="112"/>
      <c r="C305" s="458" t="s">
        <v>1050</v>
      </c>
      <c r="D305" s="593" t="s">
        <v>1051</v>
      </c>
      <c r="E305" s="594"/>
      <c r="F305" s="595">
        <f>ANL!J5470</f>
        <v>0</v>
      </c>
      <c r="G305" s="603"/>
      <c r="H305" s="604"/>
    </row>
    <row r="306" spans="1:8">
      <c r="A306" s="526">
        <f t="shared" si="4"/>
        <v>274</v>
      </c>
      <c r="B306" s="112"/>
      <c r="C306" s="458" t="s">
        <v>3649</v>
      </c>
      <c r="D306" s="593" t="str">
        <f>+ANL!D5472</f>
        <v>Pemasangan 1 m2  solar tuff</v>
      </c>
      <c r="E306" s="594"/>
      <c r="F306" s="595">
        <f>ANL!J5488</f>
        <v>0</v>
      </c>
      <c r="G306" s="603"/>
      <c r="H306" s="604"/>
    </row>
    <row r="307" spans="1:8">
      <c r="A307" s="526">
        <f t="shared" si="4"/>
        <v>275</v>
      </c>
      <c r="B307" s="112"/>
      <c r="C307" s="458" t="s">
        <v>1052</v>
      </c>
      <c r="D307" s="593" t="s">
        <v>1053</v>
      </c>
      <c r="E307" s="594"/>
      <c r="F307" s="595">
        <f>ANL!J5506</f>
        <v>0</v>
      </c>
      <c r="G307" s="603"/>
      <c r="H307" s="604"/>
    </row>
    <row r="308" spans="1:8">
      <c r="A308" s="526">
        <f t="shared" si="4"/>
        <v>276</v>
      </c>
      <c r="B308" s="112"/>
      <c r="C308" s="458" t="s">
        <v>1054</v>
      </c>
      <c r="D308" s="593" t="s">
        <v>1055</v>
      </c>
      <c r="E308" s="594"/>
      <c r="F308" s="595">
        <f>ANL!J5524</f>
        <v>0</v>
      </c>
      <c r="G308" s="603"/>
      <c r="H308" s="604"/>
    </row>
    <row r="309" spans="1:8">
      <c r="A309" s="526">
        <f t="shared" si="4"/>
        <v>277</v>
      </c>
      <c r="B309" s="112"/>
      <c r="C309" s="458" t="s">
        <v>1056</v>
      </c>
      <c r="D309" s="593" t="s">
        <v>1057</v>
      </c>
      <c r="E309" s="594"/>
      <c r="F309" s="595">
        <f>ANL!J5542</f>
        <v>0</v>
      </c>
      <c r="G309" s="603"/>
      <c r="H309" s="604"/>
    </row>
    <row r="310" spans="1:8">
      <c r="A310" s="526">
        <f t="shared" si="4"/>
        <v>278</v>
      </c>
      <c r="B310" s="112"/>
      <c r="C310" s="458" t="s">
        <v>1058</v>
      </c>
      <c r="D310" s="593" t="s">
        <v>1059</v>
      </c>
      <c r="E310" s="594"/>
      <c r="F310" s="595">
        <f>ANL!J5560</f>
        <v>0</v>
      </c>
      <c r="G310" s="603"/>
      <c r="H310" s="604"/>
    </row>
    <row r="311" spans="1:8">
      <c r="A311" s="526">
        <f t="shared" si="4"/>
        <v>279</v>
      </c>
      <c r="B311" s="112"/>
      <c r="C311" s="458" t="s">
        <v>1060</v>
      </c>
      <c r="D311" s="593" t="s">
        <v>1061</v>
      </c>
      <c r="E311" s="594"/>
      <c r="F311" s="595">
        <f>ANL!J5578</f>
        <v>0</v>
      </c>
      <c r="G311" s="603"/>
      <c r="H311" s="604"/>
    </row>
    <row r="312" spans="1:8">
      <c r="A312" s="526">
        <f t="shared" si="4"/>
        <v>280</v>
      </c>
      <c r="B312" s="112"/>
      <c r="C312" s="458" t="s">
        <v>1062</v>
      </c>
      <c r="D312" s="593" t="s">
        <v>1063</v>
      </c>
      <c r="E312" s="594"/>
      <c r="F312" s="595">
        <f>ANL!J5596</f>
        <v>0</v>
      </c>
      <c r="G312" s="603"/>
      <c r="H312" s="604"/>
    </row>
    <row r="313" spans="1:8">
      <c r="A313" s="526">
        <f t="shared" si="4"/>
        <v>281</v>
      </c>
      <c r="B313" s="112"/>
      <c r="C313" s="458" t="s">
        <v>1064</v>
      </c>
      <c r="D313" s="593" t="s">
        <v>1065</v>
      </c>
      <c r="E313" s="594"/>
      <c r="F313" s="595">
        <f>ANL!J5614</f>
        <v>0</v>
      </c>
      <c r="G313" s="603"/>
      <c r="H313" s="604"/>
    </row>
    <row r="314" spans="1:8">
      <c r="A314" s="526">
        <f t="shared" si="4"/>
        <v>282</v>
      </c>
      <c r="B314" s="112"/>
      <c r="C314" s="458" t="s">
        <v>1108</v>
      </c>
      <c r="D314" s="593" t="s">
        <v>1109</v>
      </c>
      <c r="E314" s="594"/>
      <c r="F314" s="595">
        <f>ANL!J5632</f>
        <v>0</v>
      </c>
      <c r="G314" s="603"/>
      <c r="H314" s="604"/>
    </row>
    <row r="315" spans="1:8">
      <c r="A315" s="526">
        <f t="shared" si="4"/>
        <v>283</v>
      </c>
      <c r="B315" s="112"/>
      <c r="C315" s="458" t="s">
        <v>1110</v>
      </c>
      <c r="D315" s="593" t="s">
        <v>1111</v>
      </c>
      <c r="E315" s="594"/>
      <c r="F315" s="595">
        <f>ANL!J5650</f>
        <v>0</v>
      </c>
      <c r="G315" s="603"/>
      <c r="H315" s="604"/>
    </row>
    <row r="316" spans="1:8">
      <c r="A316" s="526">
        <f t="shared" si="4"/>
        <v>284</v>
      </c>
      <c r="B316" s="112"/>
      <c r="C316" s="458" t="s">
        <v>1112</v>
      </c>
      <c r="D316" s="593" t="s">
        <v>1113</v>
      </c>
      <c r="E316" s="594"/>
      <c r="F316" s="595">
        <f>ANL!J5668</f>
        <v>0</v>
      </c>
      <c r="G316" s="603"/>
      <c r="H316" s="604"/>
    </row>
    <row r="317" spans="1:8">
      <c r="A317" s="526">
        <f t="shared" si="4"/>
        <v>285</v>
      </c>
      <c r="B317" s="112"/>
      <c r="C317" s="458" t="s">
        <v>1114</v>
      </c>
      <c r="D317" s="593" t="s">
        <v>1115</v>
      </c>
      <c r="E317" s="594"/>
      <c r="F317" s="595">
        <f>ANL!J5686</f>
        <v>0</v>
      </c>
      <c r="G317" s="603"/>
      <c r="H317" s="604"/>
    </row>
    <row r="318" spans="1:8">
      <c r="A318" s="526">
        <f t="shared" si="4"/>
        <v>286</v>
      </c>
      <c r="B318" s="112"/>
      <c r="C318" s="458" t="s">
        <v>1832</v>
      </c>
      <c r="D318" s="593" t="s">
        <v>1833</v>
      </c>
      <c r="E318" s="594"/>
      <c r="F318" s="595">
        <f>ANL!J5704</f>
        <v>0</v>
      </c>
      <c r="G318" s="603"/>
      <c r="H318" s="604"/>
    </row>
    <row r="319" spans="1:8">
      <c r="A319" s="526">
        <f t="shared" si="4"/>
        <v>287</v>
      </c>
      <c r="B319" s="112"/>
      <c r="C319" s="458" t="s">
        <v>1116</v>
      </c>
      <c r="D319" s="593" t="s">
        <v>1117</v>
      </c>
      <c r="E319" s="594"/>
      <c r="F319" s="595">
        <f>ANL!J5722</f>
        <v>0</v>
      </c>
      <c r="G319" s="603"/>
      <c r="H319" s="604"/>
    </row>
    <row r="320" spans="1:8">
      <c r="A320" s="526">
        <f t="shared" si="4"/>
        <v>288</v>
      </c>
      <c r="B320" s="112"/>
      <c r="C320" s="458" t="s">
        <v>1118</v>
      </c>
      <c r="D320" s="593" t="s">
        <v>1119</v>
      </c>
      <c r="E320" s="594"/>
      <c r="F320" s="595">
        <f>ANL!J5740</f>
        <v>0</v>
      </c>
      <c r="G320" s="603"/>
      <c r="H320" s="604"/>
    </row>
    <row r="321" spans="1:8">
      <c r="A321" s="526">
        <f t="shared" si="4"/>
        <v>289</v>
      </c>
      <c r="B321" s="112"/>
      <c r="C321" s="458" t="s">
        <v>1120</v>
      </c>
      <c r="D321" s="593" t="s">
        <v>1121</v>
      </c>
      <c r="E321" s="594"/>
      <c r="F321" s="595">
        <f>ANL!J5758</f>
        <v>0</v>
      </c>
      <c r="G321" s="603"/>
      <c r="H321" s="604"/>
    </row>
    <row r="322" spans="1:8">
      <c r="A322" s="526">
        <f t="shared" si="4"/>
        <v>290</v>
      </c>
      <c r="B322" s="112"/>
      <c r="C322" s="458" t="s">
        <v>1122</v>
      </c>
      <c r="D322" s="593" t="s">
        <v>1123</v>
      </c>
      <c r="E322" s="594"/>
      <c r="F322" s="595">
        <f>ANL!J5776</f>
        <v>0</v>
      </c>
      <c r="G322" s="603"/>
      <c r="H322" s="604"/>
    </row>
    <row r="323" spans="1:8">
      <c r="A323" s="526">
        <f t="shared" si="4"/>
        <v>291</v>
      </c>
      <c r="B323" s="112"/>
      <c r="C323" s="458" t="s">
        <v>1124</v>
      </c>
      <c r="D323" s="593" t="s">
        <v>1125</v>
      </c>
      <c r="E323" s="594"/>
      <c r="F323" s="595">
        <f>ANL!J5794</f>
        <v>0</v>
      </c>
      <c r="G323" s="603"/>
      <c r="H323" s="604"/>
    </row>
    <row r="324" spans="1:8">
      <c r="A324" s="526">
        <f t="shared" si="4"/>
        <v>292</v>
      </c>
      <c r="B324" s="112"/>
      <c r="C324" s="458" t="s">
        <v>1126</v>
      </c>
      <c r="D324" s="593" t="s">
        <v>1127</v>
      </c>
      <c r="E324" s="594"/>
      <c r="F324" s="595">
        <f>ANL!J5812</f>
        <v>0</v>
      </c>
      <c r="G324" s="603"/>
      <c r="H324" s="604"/>
    </row>
    <row r="325" spans="1:8">
      <c r="A325" s="526">
        <f t="shared" si="4"/>
        <v>293</v>
      </c>
      <c r="B325" s="112"/>
      <c r="C325" s="458" t="s">
        <v>1128</v>
      </c>
      <c r="D325" s="593" t="s">
        <v>1129</v>
      </c>
      <c r="E325" s="594"/>
      <c r="F325" s="595">
        <f>ANL!J5830</f>
        <v>0</v>
      </c>
      <c r="G325" s="603"/>
      <c r="H325" s="604"/>
    </row>
    <row r="326" spans="1:8">
      <c r="A326" s="526">
        <f t="shared" si="4"/>
        <v>294</v>
      </c>
      <c r="B326" s="112"/>
      <c r="C326" s="458" t="s">
        <v>1130</v>
      </c>
      <c r="D326" s="593" t="s">
        <v>1131</v>
      </c>
      <c r="E326" s="594"/>
      <c r="F326" s="595">
        <f>ANL!J5848</f>
        <v>0</v>
      </c>
      <c r="G326" s="603"/>
      <c r="H326" s="604"/>
    </row>
    <row r="327" spans="1:8">
      <c r="A327" s="526">
        <f t="shared" si="4"/>
        <v>295</v>
      </c>
      <c r="B327" s="112"/>
      <c r="C327" s="458" t="s">
        <v>1132</v>
      </c>
      <c r="D327" s="593" t="s">
        <v>1133</v>
      </c>
      <c r="E327" s="594"/>
      <c r="F327" s="595">
        <f>ANL!J5866</f>
        <v>0</v>
      </c>
      <c r="G327" s="603"/>
      <c r="H327" s="604"/>
    </row>
    <row r="328" spans="1:8">
      <c r="A328" s="526">
        <f t="shared" si="4"/>
        <v>296</v>
      </c>
      <c r="B328" s="112"/>
      <c r="C328" s="458" t="s">
        <v>1134</v>
      </c>
      <c r="D328" s="593" t="s">
        <v>1135</v>
      </c>
      <c r="E328" s="594"/>
      <c r="F328" s="595">
        <f>ANL!J5884</f>
        <v>0</v>
      </c>
      <c r="G328" s="603"/>
      <c r="H328" s="604"/>
    </row>
    <row r="329" spans="1:8">
      <c r="A329" s="526">
        <f t="shared" si="4"/>
        <v>297</v>
      </c>
      <c r="B329" s="112"/>
      <c r="C329" s="458" t="s">
        <v>1136</v>
      </c>
      <c r="D329" s="593" t="s">
        <v>1137</v>
      </c>
      <c r="E329" s="594"/>
      <c r="F329" s="595">
        <f>ANL!J5902</f>
        <v>0</v>
      </c>
      <c r="G329" s="603"/>
      <c r="H329" s="604"/>
    </row>
    <row r="330" spans="1:8">
      <c r="A330" s="526">
        <f t="shared" si="4"/>
        <v>298</v>
      </c>
      <c r="B330" s="112"/>
      <c r="C330" s="458" t="s">
        <v>1138</v>
      </c>
      <c r="D330" s="593" t="s">
        <v>1139</v>
      </c>
      <c r="E330" s="594"/>
      <c r="F330" s="595">
        <f>ANL!J5922</f>
        <v>0</v>
      </c>
      <c r="G330" s="603"/>
      <c r="H330" s="604"/>
    </row>
    <row r="331" spans="1:8">
      <c r="A331" s="526">
        <f t="shared" si="4"/>
        <v>299</v>
      </c>
      <c r="B331" s="112"/>
      <c r="C331" s="611" t="s">
        <v>1140</v>
      </c>
      <c r="D331" s="593" t="s">
        <v>1141</v>
      </c>
      <c r="E331" s="594"/>
      <c r="F331" s="595">
        <f>ANL!J5940</f>
        <v>0</v>
      </c>
      <c r="G331" s="603"/>
      <c r="H331" s="604"/>
    </row>
    <row r="332" spans="1:8">
      <c r="A332" s="526">
        <f t="shared" si="4"/>
        <v>300</v>
      </c>
      <c r="B332" s="112"/>
      <c r="C332" s="611" t="s">
        <v>1142</v>
      </c>
      <c r="D332" s="593" t="s">
        <v>1143</v>
      </c>
      <c r="E332" s="594"/>
      <c r="F332" s="595">
        <f>ANL!J5958</f>
        <v>0</v>
      </c>
      <c r="G332" s="603"/>
      <c r="H332" s="604"/>
    </row>
    <row r="333" spans="1:8">
      <c r="A333" s="526">
        <f t="shared" si="4"/>
        <v>301</v>
      </c>
      <c r="B333" s="112"/>
      <c r="C333" s="458" t="s">
        <v>1145</v>
      </c>
      <c r="D333" s="593" t="s">
        <v>1144</v>
      </c>
      <c r="E333" s="594"/>
      <c r="F333" s="595">
        <f>ANL!J5978</f>
        <v>0</v>
      </c>
      <c r="G333" s="603"/>
      <c r="H333" s="604"/>
    </row>
    <row r="334" spans="1:8">
      <c r="A334" s="526">
        <f t="shared" si="4"/>
        <v>302</v>
      </c>
      <c r="B334" s="112"/>
      <c r="C334" s="458" t="s">
        <v>1147</v>
      </c>
      <c r="D334" s="593" t="s">
        <v>1146</v>
      </c>
      <c r="E334" s="594"/>
      <c r="F334" s="595">
        <f>ANL!J5999</f>
        <v>0</v>
      </c>
      <c r="G334" s="603"/>
      <c r="H334" s="604"/>
    </row>
    <row r="335" spans="1:8">
      <c r="A335" s="526">
        <f t="shared" si="4"/>
        <v>303</v>
      </c>
      <c r="B335" s="112"/>
      <c r="C335" s="458" t="s">
        <v>1149</v>
      </c>
      <c r="D335" s="593" t="s">
        <v>1148</v>
      </c>
      <c r="E335" s="594"/>
      <c r="F335" s="595">
        <f>ANL!J6018</f>
        <v>0</v>
      </c>
      <c r="G335" s="603"/>
      <c r="H335" s="604"/>
    </row>
    <row r="336" spans="1:8">
      <c r="A336" s="526">
        <f t="shared" si="4"/>
        <v>304</v>
      </c>
      <c r="B336" s="112"/>
      <c r="C336" s="458" t="s">
        <v>1151</v>
      </c>
      <c r="D336" s="593" t="s">
        <v>1150</v>
      </c>
      <c r="E336" s="594"/>
      <c r="F336" s="595">
        <f>ANL!J6036</f>
        <v>0</v>
      </c>
      <c r="G336" s="603"/>
      <c r="H336" s="604"/>
    </row>
    <row r="337" spans="1:8">
      <c r="A337" s="526">
        <f t="shared" si="4"/>
        <v>305</v>
      </c>
      <c r="B337" s="112"/>
      <c r="C337" s="458" t="s">
        <v>1153</v>
      </c>
      <c r="D337" s="593" t="s">
        <v>1152</v>
      </c>
      <c r="E337" s="594"/>
      <c r="F337" s="595">
        <f>ANL!J6055</f>
        <v>0</v>
      </c>
      <c r="G337" s="603"/>
      <c r="H337" s="604"/>
    </row>
    <row r="338" spans="1:8">
      <c r="A338" s="526">
        <f t="shared" si="4"/>
        <v>306</v>
      </c>
      <c r="B338" s="112"/>
      <c r="C338" s="458" t="s">
        <v>1158</v>
      </c>
      <c r="D338" s="593" t="s">
        <v>1159</v>
      </c>
      <c r="E338" s="594"/>
      <c r="F338" s="595">
        <f>ANL!J6074</f>
        <v>0</v>
      </c>
      <c r="G338" s="603"/>
      <c r="H338" s="604"/>
    </row>
    <row r="339" spans="1:8">
      <c r="A339" s="526">
        <f t="shared" si="4"/>
        <v>307</v>
      </c>
      <c r="B339" s="112"/>
      <c r="C339" s="458" t="s">
        <v>1156</v>
      </c>
      <c r="D339" s="593" t="s">
        <v>1157</v>
      </c>
      <c r="E339" s="594"/>
      <c r="F339" s="595">
        <f>ANL!J6092</f>
        <v>0</v>
      </c>
      <c r="G339" s="603"/>
      <c r="H339" s="604"/>
    </row>
    <row r="340" spans="1:8">
      <c r="A340" s="526">
        <f t="shared" si="4"/>
        <v>308</v>
      </c>
      <c r="B340" s="112"/>
      <c r="C340" s="458" t="s">
        <v>1154</v>
      </c>
      <c r="D340" s="593" t="s">
        <v>1155</v>
      </c>
      <c r="E340" s="594"/>
      <c r="F340" s="595">
        <f>ANL!J6110</f>
        <v>0</v>
      </c>
      <c r="G340" s="603"/>
      <c r="H340" s="604"/>
    </row>
    <row r="341" spans="1:8">
      <c r="A341" s="526">
        <f t="shared" si="4"/>
        <v>309</v>
      </c>
      <c r="B341" s="112"/>
      <c r="C341" s="458" t="s">
        <v>1160</v>
      </c>
      <c r="D341" s="593" t="s">
        <v>1161</v>
      </c>
      <c r="E341" s="594"/>
      <c r="F341" s="595">
        <f>ANL!J6128</f>
        <v>0</v>
      </c>
      <c r="G341" s="603"/>
      <c r="H341" s="604"/>
    </row>
    <row r="342" spans="1:8">
      <c r="A342" s="526">
        <f t="shared" si="4"/>
        <v>310</v>
      </c>
      <c r="B342" s="112"/>
      <c r="C342" s="458" t="s">
        <v>1162</v>
      </c>
      <c r="D342" s="593" t="s">
        <v>1163</v>
      </c>
      <c r="E342" s="594"/>
      <c r="F342" s="595">
        <f>ANL!J6145</f>
        <v>0</v>
      </c>
      <c r="G342" s="603"/>
      <c r="H342" s="604"/>
    </row>
    <row r="343" spans="1:8">
      <c r="A343" s="526">
        <f t="shared" si="4"/>
        <v>311</v>
      </c>
      <c r="B343" s="112"/>
      <c r="C343" s="458" t="s">
        <v>3652</v>
      </c>
      <c r="D343" s="593" t="str">
        <f>ANL!D6147</f>
        <v>Pemasangan lisplank GRC 30 cm</v>
      </c>
      <c r="E343" s="594"/>
      <c r="F343" s="595">
        <f>ANL!J6163</f>
        <v>0</v>
      </c>
      <c r="G343" s="603"/>
      <c r="H343" s="604"/>
    </row>
    <row r="344" spans="1:8">
      <c r="A344" s="526">
        <f t="shared" si="4"/>
        <v>312</v>
      </c>
      <c r="B344" s="112"/>
      <c r="C344" s="458" t="s">
        <v>3655</v>
      </c>
      <c r="D344" s="593" t="str">
        <f>ANL!D6165</f>
        <v>Pemasangan 1 m talang besi</v>
      </c>
      <c r="E344" s="594"/>
      <c r="F344" s="595">
        <f>ANL!J6181</f>
        <v>0</v>
      </c>
      <c r="G344" s="603"/>
      <c r="H344" s="604"/>
    </row>
    <row r="345" spans="1:8">
      <c r="A345" s="526"/>
      <c r="B345" s="112"/>
      <c r="C345" s="458"/>
      <c r="D345" s="593"/>
      <c r="E345" s="594"/>
      <c r="F345" s="595"/>
      <c r="G345" s="603"/>
      <c r="H345" s="604"/>
    </row>
    <row r="346" spans="1:8">
      <c r="A346" s="526"/>
      <c r="B346" s="112"/>
      <c r="C346" s="496"/>
      <c r="D346" s="601"/>
      <c r="E346" s="602"/>
      <c r="F346" s="595"/>
      <c r="G346" s="603"/>
      <c r="H346" s="604"/>
    </row>
    <row r="347" spans="1:8" s="600" customFormat="1" ht="13">
      <c r="A347" s="605"/>
      <c r="B347" s="606" t="s">
        <v>510</v>
      </c>
      <c r="C347" s="607" t="s">
        <v>511</v>
      </c>
      <c r="D347" s="598"/>
      <c r="E347" s="599"/>
      <c r="F347" s="597"/>
      <c r="G347" s="603"/>
      <c r="H347" s="604"/>
    </row>
    <row r="348" spans="1:8">
      <c r="A348" s="526">
        <v>303</v>
      </c>
      <c r="B348" s="112"/>
      <c r="C348" s="458" t="s">
        <v>1164</v>
      </c>
      <c r="D348" s="593" t="s">
        <v>1165</v>
      </c>
      <c r="E348" s="594"/>
      <c r="F348" s="595">
        <f>ANL!J6201</f>
        <v>0</v>
      </c>
      <c r="G348" s="603"/>
      <c r="H348" s="604"/>
    </row>
    <row r="349" spans="1:8">
      <c r="A349" s="526">
        <f t="shared" ref="A349:A418" si="5">A348+1</f>
        <v>304</v>
      </c>
      <c r="B349" s="112"/>
      <c r="C349" s="458" t="s">
        <v>1166</v>
      </c>
      <c r="D349" s="593" t="s">
        <v>1167</v>
      </c>
      <c r="E349" s="594"/>
      <c r="F349" s="595">
        <f>ANL!J6220</f>
        <v>0</v>
      </c>
      <c r="G349" s="603"/>
      <c r="H349" s="604"/>
    </row>
    <row r="350" spans="1:8">
      <c r="A350" s="526">
        <f t="shared" si="5"/>
        <v>305</v>
      </c>
      <c r="B350" s="112"/>
      <c r="C350" s="458" t="s">
        <v>1168</v>
      </c>
      <c r="D350" s="593" t="s">
        <v>1169</v>
      </c>
      <c r="E350" s="594"/>
      <c r="F350" s="595">
        <f>ANL!J6238</f>
        <v>0</v>
      </c>
      <c r="G350" s="603"/>
      <c r="H350" s="604"/>
    </row>
    <row r="351" spans="1:8">
      <c r="A351" s="526">
        <f t="shared" si="5"/>
        <v>306</v>
      </c>
      <c r="B351" s="112"/>
      <c r="C351" s="458" t="s">
        <v>1170</v>
      </c>
      <c r="D351" s="593" t="s">
        <v>1171</v>
      </c>
      <c r="E351" s="594"/>
      <c r="F351" s="595">
        <f>ANL!J6256</f>
        <v>0</v>
      </c>
      <c r="G351" s="603"/>
      <c r="H351" s="604"/>
    </row>
    <row r="352" spans="1:8">
      <c r="A352" s="526">
        <f t="shared" si="5"/>
        <v>307</v>
      </c>
      <c r="B352" s="112"/>
      <c r="C352" s="458" t="s">
        <v>1836</v>
      </c>
      <c r="D352" s="593" t="s">
        <v>1837</v>
      </c>
      <c r="E352" s="594"/>
      <c r="F352" s="595">
        <f>ANL!J6274</f>
        <v>0</v>
      </c>
      <c r="G352" s="603"/>
      <c r="H352" s="604"/>
    </row>
    <row r="353" spans="1:8">
      <c r="A353" s="526">
        <f t="shared" si="5"/>
        <v>308</v>
      </c>
      <c r="B353" s="112"/>
      <c r="C353" s="458" t="s">
        <v>1172</v>
      </c>
      <c r="D353" s="593" t="s">
        <v>1173</v>
      </c>
      <c r="E353" s="594"/>
      <c r="F353" s="595">
        <f>ANL!J6292</f>
        <v>0</v>
      </c>
      <c r="G353" s="603"/>
      <c r="H353" s="604"/>
    </row>
    <row r="354" spans="1:8">
      <c r="A354" s="526">
        <f t="shared" si="5"/>
        <v>309</v>
      </c>
      <c r="B354" s="112"/>
      <c r="C354" s="458" t="s">
        <v>1174</v>
      </c>
      <c r="D354" s="593" t="s">
        <v>1175</v>
      </c>
      <c r="E354" s="594"/>
      <c r="F354" s="595">
        <f>ANL!J6310</f>
        <v>0</v>
      </c>
      <c r="G354" s="603"/>
      <c r="H354" s="604"/>
    </row>
    <row r="355" spans="1:8">
      <c r="A355" s="526">
        <f t="shared" si="5"/>
        <v>310</v>
      </c>
      <c r="B355" s="112"/>
      <c r="C355" s="458" t="s">
        <v>1176</v>
      </c>
      <c r="D355" s="593" t="s">
        <v>1177</v>
      </c>
      <c r="E355" s="594"/>
      <c r="F355" s="595">
        <f>ANL!J6330</f>
        <v>0</v>
      </c>
      <c r="G355" s="603"/>
      <c r="H355" s="604"/>
    </row>
    <row r="356" spans="1:8">
      <c r="A356" s="526">
        <f t="shared" si="5"/>
        <v>311</v>
      </c>
      <c r="B356" s="112"/>
      <c r="C356" s="458" t="s">
        <v>1180</v>
      </c>
      <c r="D356" s="593" t="s">
        <v>1181</v>
      </c>
      <c r="E356" s="594"/>
      <c r="F356" s="595">
        <f>ANL!J6350</f>
        <v>0</v>
      </c>
      <c r="G356" s="603"/>
      <c r="H356" s="604"/>
    </row>
    <row r="357" spans="1:8">
      <c r="A357" s="526">
        <f t="shared" si="5"/>
        <v>312</v>
      </c>
      <c r="B357" s="112"/>
      <c r="C357" s="458" t="s">
        <v>1178</v>
      </c>
      <c r="D357" s="593" t="s">
        <v>1179</v>
      </c>
      <c r="E357" s="594"/>
      <c r="F357" s="595">
        <f>ANL!J6368</f>
        <v>0</v>
      </c>
      <c r="G357" s="603"/>
      <c r="H357" s="604"/>
    </row>
    <row r="358" spans="1:8">
      <c r="A358" s="526">
        <f t="shared" si="5"/>
        <v>313</v>
      </c>
      <c r="B358" s="112"/>
      <c r="C358" s="458" t="s">
        <v>1184</v>
      </c>
      <c r="D358" s="593" t="s">
        <v>1185</v>
      </c>
      <c r="E358" s="594"/>
      <c r="F358" s="595">
        <f>ANL!J6388</f>
        <v>0</v>
      </c>
      <c r="G358" s="603"/>
      <c r="H358" s="604"/>
    </row>
    <row r="359" spans="1:8">
      <c r="A359" s="526">
        <f t="shared" si="5"/>
        <v>314</v>
      </c>
      <c r="B359" s="112"/>
      <c r="C359" s="458" t="s">
        <v>1182</v>
      </c>
      <c r="D359" s="593" t="s">
        <v>1183</v>
      </c>
      <c r="E359" s="594"/>
      <c r="F359" s="595">
        <f>ANL!J6409</f>
        <v>0</v>
      </c>
      <c r="G359" s="603"/>
      <c r="H359" s="604"/>
    </row>
    <row r="360" spans="1:8">
      <c r="A360" s="526">
        <f t="shared" si="5"/>
        <v>315</v>
      </c>
      <c r="B360" s="112"/>
      <c r="C360" s="458" t="s">
        <v>1186</v>
      </c>
      <c r="D360" s="593" t="s">
        <v>1187</v>
      </c>
      <c r="E360" s="594"/>
      <c r="F360" s="595">
        <f>ANL!J6428</f>
        <v>0</v>
      </c>
      <c r="G360" s="603"/>
      <c r="H360" s="604"/>
    </row>
    <row r="361" spans="1:8">
      <c r="A361" s="526">
        <f t="shared" si="5"/>
        <v>316</v>
      </c>
      <c r="B361" s="112"/>
      <c r="C361" s="458" t="s">
        <v>1188</v>
      </c>
      <c r="D361" s="593" t="s">
        <v>1189</v>
      </c>
      <c r="E361" s="594"/>
      <c r="F361" s="595">
        <f>ANL!J6447</f>
        <v>0</v>
      </c>
      <c r="G361" s="603"/>
      <c r="H361" s="604"/>
    </row>
    <row r="362" spans="1:8">
      <c r="A362" s="526">
        <f t="shared" si="5"/>
        <v>317</v>
      </c>
      <c r="B362" s="112"/>
      <c r="C362" s="458" t="s">
        <v>1190</v>
      </c>
      <c r="D362" s="593" t="s">
        <v>1191</v>
      </c>
      <c r="E362" s="594"/>
      <c r="F362" s="595">
        <f>ANL!J6466</f>
        <v>0</v>
      </c>
      <c r="G362" s="603"/>
      <c r="H362" s="604"/>
    </row>
    <row r="363" spans="1:8">
      <c r="A363" s="526">
        <f t="shared" si="5"/>
        <v>318</v>
      </c>
      <c r="B363" s="112"/>
      <c r="C363" s="458" t="s">
        <v>1192</v>
      </c>
      <c r="D363" s="593" t="s">
        <v>1193</v>
      </c>
      <c r="E363" s="594"/>
      <c r="F363" s="595">
        <f>ANL!J6485</f>
        <v>0</v>
      </c>
      <c r="G363" s="603"/>
      <c r="H363" s="604"/>
    </row>
    <row r="364" spans="1:8">
      <c r="A364" s="526">
        <f t="shared" si="5"/>
        <v>319</v>
      </c>
      <c r="B364" s="112"/>
      <c r="C364" s="458" t="s">
        <v>1194</v>
      </c>
      <c r="D364" s="593" t="s">
        <v>1195</v>
      </c>
      <c r="E364" s="594"/>
      <c r="F364" s="595">
        <f>ANL!J6504</f>
        <v>0</v>
      </c>
      <c r="G364" s="603"/>
      <c r="H364" s="604"/>
    </row>
    <row r="365" spans="1:8">
      <c r="A365" s="526">
        <f t="shared" si="5"/>
        <v>320</v>
      </c>
      <c r="B365" s="112"/>
      <c r="C365" s="458" t="s">
        <v>1196</v>
      </c>
      <c r="D365" s="593" t="s">
        <v>1197</v>
      </c>
      <c r="E365" s="594"/>
      <c r="F365" s="595">
        <f>ANL!J6522</f>
        <v>0</v>
      </c>
      <c r="G365" s="603"/>
      <c r="H365" s="604"/>
    </row>
    <row r="366" spans="1:8">
      <c r="A366" s="526">
        <f t="shared" si="5"/>
        <v>321</v>
      </c>
      <c r="B366" s="112"/>
      <c r="C366" s="458" t="s">
        <v>1198</v>
      </c>
      <c r="D366" s="593" t="s">
        <v>1199</v>
      </c>
      <c r="E366" s="594"/>
      <c r="F366" s="595">
        <f>ANL!J6540</f>
        <v>0</v>
      </c>
      <c r="G366" s="603"/>
      <c r="H366" s="604"/>
    </row>
    <row r="367" spans="1:8">
      <c r="A367" s="526">
        <f t="shared" si="5"/>
        <v>322</v>
      </c>
      <c r="B367" s="112"/>
      <c r="C367" s="458" t="s">
        <v>1200</v>
      </c>
      <c r="D367" s="593" t="s">
        <v>1201</v>
      </c>
      <c r="E367" s="594"/>
      <c r="F367" s="595">
        <f>ANL!J6558</f>
        <v>0</v>
      </c>
      <c r="G367" s="603"/>
      <c r="H367" s="604"/>
    </row>
    <row r="368" spans="1:8">
      <c r="A368" s="526">
        <f t="shared" si="5"/>
        <v>323</v>
      </c>
      <c r="B368" s="112"/>
      <c r="C368" s="458" t="s">
        <v>1834</v>
      </c>
      <c r="D368" s="593" t="s">
        <v>1835</v>
      </c>
      <c r="E368" s="594"/>
      <c r="F368" s="595">
        <f>ANL!J6576</f>
        <v>0</v>
      </c>
      <c r="G368" s="603"/>
      <c r="H368" s="604"/>
    </row>
    <row r="369" spans="1:8">
      <c r="A369" s="526">
        <f t="shared" si="5"/>
        <v>324</v>
      </c>
      <c r="B369" s="112"/>
      <c r="C369" s="458" t="s">
        <v>1202</v>
      </c>
      <c r="D369" s="593" t="s">
        <v>1203</v>
      </c>
      <c r="E369" s="594"/>
      <c r="F369" s="595">
        <f>ANL!J6594</f>
        <v>0</v>
      </c>
      <c r="G369" s="603"/>
      <c r="H369" s="604"/>
    </row>
    <row r="370" spans="1:8">
      <c r="A370" s="526">
        <f t="shared" si="5"/>
        <v>325</v>
      </c>
      <c r="B370" s="112"/>
      <c r="C370" s="458" t="s">
        <v>1204</v>
      </c>
      <c r="D370" s="593" t="s">
        <v>1205</v>
      </c>
      <c r="E370" s="594"/>
      <c r="F370" s="595">
        <f>ANL!J6612</f>
        <v>0</v>
      </c>
      <c r="G370" s="603"/>
      <c r="H370" s="604"/>
    </row>
    <row r="371" spans="1:8">
      <c r="A371" s="526">
        <f t="shared" si="5"/>
        <v>326</v>
      </c>
      <c r="B371" s="112"/>
      <c r="C371" s="458" t="s">
        <v>1206</v>
      </c>
      <c r="D371" s="593" t="s">
        <v>1207</v>
      </c>
      <c r="E371" s="594"/>
      <c r="F371" s="595">
        <f>ANL!J6632</f>
        <v>0</v>
      </c>
      <c r="G371" s="603"/>
      <c r="H371" s="604"/>
    </row>
    <row r="372" spans="1:8">
      <c r="A372" s="526">
        <f t="shared" si="5"/>
        <v>327</v>
      </c>
      <c r="B372" s="112"/>
      <c r="C372" s="458" t="s">
        <v>1208</v>
      </c>
      <c r="D372" s="593" t="s">
        <v>1209</v>
      </c>
      <c r="E372" s="594"/>
      <c r="F372" s="595">
        <f>ANL!J6652</f>
        <v>0</v>
      </c>
      <c r="G372" s="603"/>
      <c r="H372" s="604"/>
    </row>
    <row r="373" spans="1:8">
      <c r="A373" s="526">
        <f t="shared" si="5"/>
        <v>328</v>
      </c>
      <c r="B373" s="112"/>
      <c r="C373" s="458" t="s">
        <v>1210</v>
      </c>
      <c r="D373" s="593" t="s">
        <v>1211</v>
      </c>
      <c r="E373" s="594"/>
      <c r="F373" s="595">
        <f>ANL!J6671</f>
        <v>0</v>
      </c>
      <c r="G373" s="603"/>
      <c r="H373" s="604"/>
    </row>
    <row r="374" spans="1:8">
      <c r="A374" s="526">
        <f t="shared" si="5"/>
        <v>329</v>
      </c>
      <c r="B374" s="112"/>
      <c r="C374" s="458" t="s">
        <v>1212</v>
      </c>
      <c r="D374" s="593" t="s">
        <v>1213</v>
      </c>
      <c r="E374" s="594"/>
      <c r="F374" s="595">
        <f>ANL!J6689</f>
        <v>0</v>
      </c>
      <c r="G374" s="603"/>
      <c r="H374" s="604"/>
    </row>
    <row r="375" spans="1:8">
      <c r="A375" s="526">
        <f t="shared" si="5"/>
        <v>330</v>
      </c>
      <c r="B375" s="112"/>
      <c r="C375" s="458" t="s">
        <v>1214</v>
      </c>
      <c r="D375" s="593" t="s">
        <v>1215</v>
      </c>
      <c r="E375" s="594"/>
      <c r="F375" s="595">
        <f>ANL!J6709</f>
        <v>0</v>
      </c>
      <c r="G375" s="603"/>
      <c r="H375" s="604"/>
    </row>
    <row r="376" spans="1:8">
      <c r="A376" s="526"/>
      <c r="B376" s="112"/>
      <c r="C376" s="496"/>
      <c r="D376" s="601"/>
      <c r="E376" s="602"/>
      <c r="F376" s="595"/>
      <c r="G376" s="603"/>
      <c r="H376" s="604"/>
    </row>
    <row r="377" spans="1:8" s="600" customFormat="1" ht="13">
      <c r="A377" s="605"/>
      <c r="B377" s="606" t="s">
        <v>514</v>
      </c>
      <c r="C377" s="607" t="s">
        <v>515</v>
      </c>
      <c r="D377" s="598"/>
      <c r="E377" s="599"/>
      <c r="F377" s="597"/>
      <c r="G377" s="603"/>
      <c r="H377" s="604"/>
    </row>
    <row r="378" spans="1:8">
      <c r="A378" s="526">
        <v>331</v>
      </c>
      <c r="B378" s="112"/>
      <c r="C378" s="458" t="s">
        <v>1216</v>
      </c>
      <c r="D378" s="593" t="s">
        <v>1</v>
      </c>
      <c r="E378" s="594"/>
      <c r="F378" s="595">
        <f>ANL!J6727</f>
        <v>0</v>
      </c>
      <c r="G378" s="603"/>
      <c r="H378" s="604"/>
    </row>
    <row r="379" spans="1:8">
      <c r="A379" s="526">
        <f t="shared" si="5"/>
        <v>332</v>
      </c>
      <c r="B379" s="112"/>
      <c r="C379" s="458" t="s">
        <v>1217</v>
      </c>
      <c r="D379" s="593" t="s">
        <v>1218</v>
      </c>
      <c r="E379" s="594"/>
      <c r="F379" s="595">
        <f>ANL!J6744</f>
        <v>0</v>
      </c>
      <c r="G379" s="603"/>
      <c r="H379" s="604"/>
    </row>
    <row r="380" spans="1:8">
      <c r="A380" s="526">
        <f t="shared" si="5"/>
        <v>333</v>
      </c>
      <c r="B380" s="112"/>
      <c r="C380" s="458" t="s">
        <v>1219</v>
      </c>
      <c r="D380" s="593" t="s">
        <v>1220</v>
      </c>
      <c r="E380" s="594"/>
      <c r="F380" s="595">
        <f>ANL!J6761</f>
        <v>0</v>
      </c>
      <c r="G380" s="603"/>
      <c r="H380" s="604"/>
    </row>
    <row r="381" spans="1:8">
      <c r="A381" s="526">
        <f t="shared" si="5"/>
        <v>334</v>
      </c>
      <c r="B381" s="112"/>
      <c r="C381" s="458" t="s">
        <v>1221</v>
      </c>
      <c r="D381" s="593" t="s">
        <v>1222</v>
      </c>
      <c r="E381" s="594"/>
      <c r="F381" s="595">
        <f>ANL!J6778</f>
        <v>0</v>
      </c>
      <c r="G381" s="603"/>
      <c r="H381" s="604"/>
    </row>
    <row r="382" spans="1:8">
      <c r="A382" s="526">
        <f t="shared" si="5"/>
        <v>335</v>
      </c>
      <c r="B382" s="112"/>
      <c r="C382" s="458" t="s">
        <v>1223</v>
      </c>
      <c r="D382" s="593" t="s">
        <v>1224</v>
      </c>
      <c r="E382" s="594"/>
      <c r="F382" s="595">
        <f>ANL!J6795</f>
        <v>0</v>
      </c>
      <c r="G382" s="603"/>
      <c r="H382" s="604"/>
    </row>
    <row r="383" spans="1:8">
      <c r="A383" s="526">
        <f t="shared" si="5"/>
        <v>336</v>
      </c>
      <c r="B383" s="112"/>
      <c r="C383" s="458" t="s">
        <v>1225</v>
      </c>
      <c r="D383" s="593" t="s">
        <v>1226</v>
      </c>
      <c r="E383" s="594"/>
      <c r="F383" s="595">
        <f>ANL!J6812</f>
        <v>0</v>
      </c>
      <c r="G383" s="603"/>
      <c r="H383" s="604"/>
    </row>
    <row r="384" spans="1:8">
      <c r="A384" s="526">
        <f t="shared" si="5"/>
        <v>337</v>
      </c>
      <c r="B384" s="112"/>
      <c r="C384" s="458" t="s">
        <v>1227</v>
      </c>
      <c r="D384" s="593" t="s">
        <v>1228</v>
      </c>
      <c r="E384" s="594"/>
      <c r="F384" s="595">
        <f>ANL!J6830</f>
        <v>0</v>
      </c>
      <c r="G384" s="603"/>
      <c r="H384" s="604"/>
    </row>
    <row r="385" spans="1:8">
      <c r="A385" s="526">
        <f t="shared" si="5"/>
        <v>338</v>
      </c>
      <c r="B385" s="112"/>
      <c r="C385" s="458" t="s">
        <v>1229</v>
      </c>
      <c r="D385" s="593" t="s">
        <v>1230</v>
      </c>
      <c r="E385" s="594"/>
      <c r="F385" s="595">
        <f>ANL!J6848</f>
        <v>0</v>
      </c>
      <c r="G385" s="603"/>
      <c r="H385" s="604"/>
    </row>
    <row r="386" spans="1:8">
      <c r="A386" s="526">
        <f t="shared" si="5"/>
        <v>339</v>
      </c>
      <c r="B386" s="112"/>
      <c r="C386" s="458" t="s">
        <v>1231</v>
      </c>
      <c r="D386" s="593" t="s">
        <v>1232</v>
      </c>
      <c r="E386" s="594"/>
      <c r="F386" s="595">
        <f>ANL!J6865</f>
        <v>0</v>
      </c>
      <c r="G386" s="603"/>
      <c r="H386" s="604"/>
    </row>
    <row r="387" spans="1:8">
      <c r="A387" s="526">
        <f t="shared" si="5"/>
        <v>340</v>
      </c>
      <c r="B387" s="112"/>
      <c r="C387" s="458" t="s">
        <v>1233</v>
      </c>
      <c r="D387" s="593" t="s">
        <v>1234</v>
      </c>
      <c r="E387" s="594"/>
      <c r="F387" s="595">
        <f>ANL!J6882</f>
        <v>0</v>
      </c>
      <c r="G387" s="603"/>
      <c r="H387" s="604"/>
    </row>
    <row r="388" spans="1:8">
      <c r="A388" s="526">
        <f t="shared" si="5"/>
        <v>341</v>
      </c>
      <c r="B388" s="112"/>
      <c r="C388" s="458" t="s">
        <v>1235</v>
      </c>
      <c r="D388" s="593" t="s">
        <v>1236</v>
      </c>
      <c r="E388" s="594"/>
      <c r="F388" s="595">
        <f>ANL!J6899</f>
        <v>0</v>
      </c>
      <c r="G388" s="603"/>
      <c r="H388" s="604"/>
    </row>
    <row r="389" spans="1:8">
      <c r="A389" s="526">
        <f t="shared" si="5"/>
        <v>342</v>
      </c>
      <c r="B389" s="112"/>
      <c r="C389" s="458" t="s">
        <v>1237</v>
      </c>
      <c r="D389" s="593" t="s">
        <v>1238</v>
      </c>
      <c r="E389" s="594"/>
      <c r="F389" s="595">
        <f>ANL!J6916</f>
        <v>0</v>
      </c>
      <c r="G389" s="603"/>
      <c r="H389" s="604"/>
    </row>
    <row r="390" spans="1:8">
      <c r="A390" s="526">
        <f t="shared" si="5"/>
        <v>343</v>
      </c>
      <c r="B390" s="112"/>
      <c r="C390" s="458" t="s">
        <v>1239</v>
      </c>
      <c r="D390" s="593" t="s">
        <v>1240</v>
      </c>
      <c r="E390" s="594"/>
      <c r="F390" s="595">
        <f>ANL!J6933</f>
        <v>0</v>
      </c>
      <c r="G390" s="603"/>
      <c r="H390" s="604"/>
    </row>
    <row r="391" spans="1:8">
      <c r="A391" s="526">
        <f t="shared" si="5"/>
        <v>344</v>
      </c>
      <c r="B391" s="112"/>
      <c r="C391" s="458" t="s">
        <v>1243</v>
      </c>
      <c r="D391" s="593" t="s">
        <v>1244</v>
      </c>
      <c r="E391" s="594"/>
      <c r="F391" s="595">
        <f>ANL!J6950</f>
        <v>0</v>
      </c>
      <c r="G391" s="603"/>
      <c r="H391" s="604"/>
    </row>
    <row r="392" spans="1:8">
      <c r="A392" s="526">
        <f t="shared" si="5"/>
        <v>345</v>
      </c>
      <c r="B392" s="112"/>
      <c r="C392" s="458" t="s">
        <v>1245</v>
      </c>
      <c r="D392" s="593" t="s">
        <v>1246</v>
      </c>
      <c r="E392" s="594"/>
      <c r="F392" s="595">
        <f>ANL!J6967</f>
        <v>0</v>
      </c>
      <c r="G392" s="603"/>
      <c r="H392" s="604"/>
    </row>
    <row r="393" spans="1:8">
      <c r="A393" s="526">
        <f t="shared" si="5"/>
        <v>346</v>
      </c>
      <c r="B393" s="112"/>
      <c r="C393" s="458" t="s">
        <v>1241</v>
      </c>
      <c r="D393" s="593" t="s">
        <v>1242</v>
      </c>
      <c r="E393" s="594"/>
      <c r="F393" s="595">
        <f>ANL!J6985</f>
        <v>0</v>
      </c>
      <c r="G393" s="603"/>
      <c r="H393" s="604"/>
    </row>
    <row r="394" spans="1:8">
      <c r="A394" s="526">
        <f t="shared" si="5"/>
        <v>347</v>
      </c>
      <c r="B394" s="112"/>
      <c r="C394" s="458" t="s">
        <v>1247</v>
      </c>
      <c r="D394" s="593" t="s">
        <v>1248</v>
      </c>
      <c r="E394" s="594"/>
      <c r="F394" s="595">
        <f>ANL!J7003</f>
        <v>0</v>
      </c>
      <c r="G394" s="603"/>
      <c r="H394" s="604"/>
    </row>
    <row r="395" spans="1:8">
      <c r="A395" s="526">
        <f t="shared" si="5"/>
        <v>348</v>
      </c>
      <c r="B395" s="112"/>
      <c r="C395" s="458" t="s">
        <v>1249</v>
      </c>
      <c r="D395" s="593" t="s">
        <v>1250</v>
      </c>
      <c r="E395" s="594"/>
      <c r="F395" s="595">
        <f>ANL!J7021</f>
        <v>0</v>
      </c>
      <c r="G395" s="603"/>
      <c r="H395" s="604"/>
    </row>
    <row r="396" spans="1:8">
      <c r="A396" s="526">
        <f t="shared" si="5"/>
        <v>349</v>
      </c>
      <c r="B396" s="112"/>
      <c r="C396" s="458" t="s">
        <v>1251</v>
      </c>
      <c r="D396" s="593" t="s">
        <v>1252</v>
      </c>
      <c r="E396" s="594"/>
      <c r="F396" s="595">
        <f>ANL!J7039</f>
        <v>0</v>
      </c>
      <c r="G396" s="603"/>
      <c r="H396" s="604"/>
    </row>
    <row r="397" spans="1:8">
      <c r="A397" s="526">
        <f t="shared" si="5"/>
        <v>350</v>
      </c>
      <c r="B397" s="112"/>
      <c r="C397" s="458" t="s">
        <v>1253</v>
      </c>
      <c r="D397" s="593" t="s">
        <v>1254</v>
      </c>
      <c r="E397" s="594"/>
      <c r="F397" s="595">
        <f>ANL!J7056</f>
        <v>0</v>
      </c>
      <c r="G397" s="603"/>
      <c r="H397" s="604"/>
    </row>
    <row r="398" spans="1:8">
      <c r="A398" s="526">
        <f t="shared" si="5"/>
        <v>351</v>
      </c>
      <c r="B398" s="112"/>
      <c r="C398" s="458" t="s">
        <v>1255</v>
      </c>
      <c r="D398" s="593" t="s">
        <v>1256</v>
      </c>
      <c r="E398" s="594"/>
      <c r="F398" s="595">
        <f>ANL!J7073</f>
        <v>0</v>
      </c>
      <c r="G398" s="603"/>
      <c r="H398" s="604"/>
    </row>
    <row r="399" spans="1:8">
      <c r="A399" s="526">
        <f t="shared" si="5"/>
        <v>352</v>
      </c>
      <c r="B399" s="112"/>
      <c r="C399" s="458" t="s">
        <v>1257</v>
      </c>
      <c r="D399" s="593" t="s">
        <v>1258</v>
      </c>
      <c r="E399" s="594"/>
      <c r="F399" s="595">
        <f>ANL!J7090</f>
        <v>0</v>
      </c>
      <c r="G399" s="603"/>
      <c r="H399" s="604"/>
    </row>
    <row r="400" spans="1:8">
      <c r="A400" s="526">
        <f t="shared" si="5"/>
        <v>353</v>
      </c>
      <c r="B400" s="112"/>
      <c r="C400" s="458" t="s">
        <v>1259</v>
      </c>
      <c r="D400" s="593" t="s">
        <v>1260</v>
      </c>
      <c r="E400" s="594"/>
      <c r="F400" s="595">
        <f>ANL!J7108</f>
        <v>0</v>
      </c>
      <c r="G400" s="603"/>
      <c r="H400" s="604"/>
    </row>
    <row r="401" spans="1:8">
      <c r="A401" s="526">
        <f t="shared" si="5"/>
        <v>354</v>
      </c>
      <c r="B401" s="112"/>
      <c r="C401" s="458" t="s">
        <v>3606</v>
      </c>
      <c r="D401" s="593" t="s">
        <v>3610</v>
      </c>
      <c r="E401" s="594"/>
      <c r="F401" s="595">
        <f>+'AHS KUSEN'!F13</f>
        <v>0</v>
      </c>
      <c r="G401" s="603"/>
      <c r="H401" s="604"/>
    </row>
    <row r="402" spans="1:8">
      <c r="A402" s="526">
        <f t="shared" si="5"/>
        <v>355</v>
      </c>
      <c r="B402" s="112"/>
      <c r="C402" s="458" t="s">
        <v>3607</v>
      </c>
      <c r="D402" s="593" t="s">
        <v>3611</v>
      </c>
      <c r="E402" s="594"/>
      <c r="F402" s="595">
        <f>'AHS KUSEN'!F25</f>
        <v>0</v>
      </c>
      <c r="G402" s="603"/>
      <c r="H402" s="604"/>
    </row>
    <row r="403" spans="1:8">
      <c r="A403" s="526"/>
      <c r="B403" s="112"/>
      <c r="C403" s="458" t="s">
        <v>3608</v>
      </c>
      <c r="D403" s="593" t="s">
        <v>4063</v>
      </c>
      <c r="E403" s="594"/>
      <c r="F403" s="595">
        <f>+'AHS KUSEN'!F34</f>
        <v>0</v>
      </c>
      <c r="G403" s="603"/>
      <c r="H403" s="604"/>
    </row>
    <row r="404" spans="1:8">
      <c r="A404" s="526">
        <f>A402+1</f>
        <v>356</v>
      </c>
      <c r="B404" s="112"/>
      <c r="C404" s="458" t="s">
        <v>3609</v>
      </c>
      <c r="D404" s="593" t="s">
        <v>3737</v>
      </c>
      <c r="E404" s="594"/>
      <c r="F404" s="595">
        <f>'AHS KUSEN'!F44</f>
        <v>0</v>
      </c>
      <c r="G404" s="603"/>
      <c r="H404" s="604"/>
    </row>
    <row r="405" spans="1:8">
      <c r="A405" s="526">
        <f t="shared" si="5"/>
        <v>357</v>
      </c>
      <c r="B405" s="112"/>
      <c r="C405" s="458" t="s">
        <v>3852</v>
      </c>
      <c r="D405" s="593" t="s">
        <v>3738</v>
      </c>
      <c r="E405" s="594"/>
      <c r="F405" s="595">
        <f>'AHS KUSEN'!F52</f>
        <v>0</v>
      </c>
      <c r="G405" s="603"/>
      <c r="H405" s="604"/>
    </row>
    <row r="406" spans="1:8">
      <c r="A406" s="526">
        <f t="shared" si="5"/>
        <v>358</v>
      </c>
      <c r="B406" s="112"/>
      <c r="C406" s="458" t="s">
        <v>3853</v>
      </c>
      <c r="D406" s="593" t="s">
        <v>3615</v>
      </c>
      <c r="E406" s="594"/>
      <c r="F406" s="595">
        <f>'AHS KUSEN'!F102</f>
        <v>0</v>
      </c>
      <c r="G406" s="603"/>
      <c r="H406" s="604"/>
    </row>
    <row r="407" spans="1:8">
      <c r="A407" s="526">
        <f t="shared" si="5"/>
        <v>359</v>
      </c>
      <c r="B407" s="112"/>
      <c r="C407" s="458" t="s">
        <v>4066</v>
      </c>
      <c r="D407" s="593" t="s">
        <v>3621</v>
      </c>
      <c r="E407" s="594"/>
      <c r="F407" s="595">
        <f>+'AHS KUSEN'!F107</f>
        <v>0</v>
      </c>
      <c r="G407" s="603"/>
      <c r="H407" s="604"/>
    </row>
    <row r="408" spans="1:8">
      <c r="A408" s="526"/>
      <c r="B408" s="112"/>
      <c r="C408" s="458"/>
      <c r="D408" s="593"/>
      <c r="E408" s="594"/>
      <c r="F408" s="595"/>
      <c r="G408" s="603"/>
      <c r="H408" s="604"/>
    </row>
    <row r="409" spans="1:8" s="600" customFormat="1" ht="13">
      <c r="A409" s="605"/>
      <c r="B409" s="606" t="s">
        <v>517</v>
      </c>
      <c r="C409" s="607" t="s">
        <v>518</v>
      </c>
      <c r="D409" s="598"/>
      <c r="E409" s="599"/>
      <c r="F409" s="597"/>
      <c r="G409" s="603"/>
      <c r="H409" s="604"/>
    </row>
    <row r="410" spans="1:8">
      <c r="A410" s="526">
        <v>371</v>
      </c>
      <c r="B410" s="112"/>
      <c r="C410" s="458" t="s">
        <v>1261</v>
      </c>
      <c r="D410" s="593" t="s">
        <v>1901</v>
      </c>
      <c r="E410" s="594"/>
      <c r="F410" s="595">
        <f>ANL!J7124</f>
        <v>0</v>
      </c>
      <c r="G410" s="603"/>
      <c r="H410" s="604"/>
    </row>
    <row r="411" spans="1:8">
      <c r="A411" s="526">
        <f t="shared" si="5"/>
        <v>372</v>
      </c>
      <c r="B411" s="112"/>
      <c r="C411" s="458" t="s">
        <v>1263</v>
      </c>
      <c r="D411" s="593" t="s">
        <v>1900</v>
      </c>
      <c r="E411" s="594"/>
      <c r="F411" s="595">
        <f>ANL!J7139</f>
        <v>0</v>
      </c>
      <c r="G411" s="603"/>
      <c r="H411" s="604"/>
    </row>
    <row r="412" spans="1:8">
      <c r="A412" s="526">
        <f t="shared" si="5"/>
        <v>373</v>
      </c>
      <c r="B412" s="112"/>
      <c r="C412" s="458" t="s">
        <v>1265</v>
      </c>
      <c r="D412" s="593" t="s">
        <v>1899</v>
      </c>
      <c r="E412" s="594"/>
      <c r="F412" s="595">
        <f>ANL!J7154</f>
        <v>0</v>
      </c>
      <c r="G412" s="603"/>
      <c r="H412" s="604"/>
    </row>
    <row r="413" spans="1:8">
      <c r="A413" s="526">
        <f t="shared" si="5"/>
        <v>374</v>
      </c>
      <c r="B413" s="112"/>
      <c r="C413" s="458" t="s">
        <v>1267</v>
      </c>
      <c r="D413" s="593" t="s">
        <v>1898</v>
      </c>
      <c r="E413" s="594"/>
      <c r="F413" s="595">
        <f>ANL!J7177</f>
        <v>0</v>
      </c>
      <c r="G413" s="603"/>
      <c r="H413" s="604"/>
    </row>
    <row r="414" spans="1:8">
      <c r="A414" s="526">
        <f t="shared" si="5"/>
        <v>375</v>
      </c>
      <c r="B414" s="112"/>
      <c r="C414" s="458" t="s">
        <v>1269</v>
      </c>
      <c r="D414" s="593" t="s">
        <v>1270</v>
      </c>
      <c r="E414" s="594"/>
      <c r="F414" s="595">
        <f>ANL!J7200</f>
        <v>0</v>
      </c>
      <c r="G414" s="603"/>
      <c r="H414" s="604"/>
    </row>
    <row r="415" spans="1:8">
      <c r="A415" s="526">
        <f t="shared" si="5"/>
        <v>376</v>
      </c>
      <c r="B415" s="112"/>
      <c r="C415" s="458" t="s">
        <v>1271</v>
      </c>
      <c r="D415" s="593" t="s">
        <v>1272</v>
      </c>
      <c r="E415" s="594"/>
      <c r="F415" s="595">
        <f>ANL!J7217</f>
        <v>0</v>
      </c>
      <c r="G415" s="603"/>
      <c r="H415" s="604"/>
    </row>
    <row r="416" spans="1:8">
      <c r="A416" s="526">
        <f t="shared" si="5"/>
        <v>377</v>
      </c>
      <c r="B416" s="112"/>
      <c r="C416" s="458" t="s">
        <v>1273</v>
      </c>
      <c r="D416" s="593" t="s">
        <v>1274</v>
      </c>
      <c r="E416" s="594"/>
      <c r="F416" s="595">
        <f>ANL!J7236</f>
        <v>0</v>
      </c>
      <c r="G416" s="603"/>
      <c r="H416" s="604"/>
    </row>
    <row r="417" spans="1:8">
      <c r="A417" s="526">
        <f t="shared" si="5"/>
        <v>378</v>
      </c>
      <c r="B417" s="112"/>
      <c r="C417" s="458" t="s">
        <v>1275</v>
      </c>
      <c r="D417" s="593" t="s">
        <v>1276</v>
      </c>
      <c r="E417" s="594"/>
      <c r="F417" s="595">
        <f>ANL!J7251</f>
        <v>0</v>
      </c>
      <c r="G417" s="603"/>
      <c r="H417" s="604"/>
    </row>
    <row r="418" spans="1:8">
      <c r="A418" s="526">
        <f t="shared" si="5"/>
        <v>379</v>
      </c>
      <c r="B418" s="112"/>
      <c r="C418" s="458" t="s">
        <v>1277</v>
      </c>
      <c r="D418" s="593" t="s">
        <v>1278</v>
      </c>
      <c r="E418" s="594"/>
      <c r="F418" s="595">
        <f>ANL!J7270</f>
        <v>0</v>
      </c>
      <c r="G418" s="603"/>
      <c r="H418" s="604"/>
    </row>
    <row r="419" spans="1:8">
      <c r="A419" s="526">
        <f t="shared" ref="A419:A491" si="6">A418+1</f>
        <v>380</v>
      </c>
      <c r="B419" s="112"/>
      <c r="C419" s="458" t="s">
        <v>1279</v>
      </c>
      <c r="D419" s="593" t="s">
        <v>1280</v>
      </c>
      <c r="E419" s="594"/>
      <c r="F419" s="595">
        <f>ANL!J7289</f>
        <v>0</v>
      </c>
      <c r="G419" s="603"/>
      <c r="H419" s="604"/>
    </row>
    <row r="420" spans="1:8">
      <c r="A420" s="526">
        <f t="shared" si="6"/>
        <v>381</v>
      </c>
      <c r="B420" s="112"/>
      <c r="C420" s="458" t="s">
        <v>3576</v>
      </c>
      <c r="D420" s="593" t="str">
        <f>ANL!D7291</f>
        <v>Pengecatan 1 m2 tembok baru Interior (  1 lapis cat dasar, 2 lapis cat penutup)</v>
      </c>
      <c r="E420" s="594"/>
      <c r="F420" s="595">
        <f>ANL!J7307</f>
        <v>0</v>
      </c>
      <c r="G420" s="603"/>
      <c r="H420" s="604"/>
    </row>
    <row r="421" spans="1:8">
      <c r="A421" s="526">
        <f t="shared" si="6"/>
        <v>382</v>
      </c>
      <c r="B421" s="112"/>
      <c r="C421" s="458" t="s">
        <v>3577</v>
      </c>
      <c r="D421" s="593" t="str">
        <f>ANL!D7309</f>
        <v>Pengecatan 1 m2 tembok baru eksterior(  1 lapis cat dasar, 2 lapis cat penutup)</v>
      </c>
      <c r="E421" s="594"/>
      <c r="F421" s="595">
        <f>ANL!J7325</f>
        <v>0</v>
      </c>
      <c r="G421" s="603"/>
      <c r="H421" s="604"/>
    </row>
    <row r="422" spans="1:8">
      <c r="A422" s="526">
        <f t="shared" si="6"/>
        <v>383</v>
      </c>
      <c r="B422" s="112"/>
      <c r="C422" s="458" t="s">
        <v>3582</v>
      </c>
      <c r="D422" s="593" t="str">
        <f>ANL!D7327</f>
        <v>Pengecatan 1 m2 plafond interior (  1 lapis cat dasar, 2 lapis cat penutup)</v>
      </c>
      <c r="E422" s="594"/>
      <c r="F422" s="595">
        <f>ANL!J7343</f>
        <v>0</v>
      </c>
      <c r="G422" s="603"/>
      <c r="H422" s="604"/>
    </row>
    <row r="423" spans="1:8">
      <c r="A423" s="526">
        <f t="shared" si="6"/>
        <v>384</v>
      </c>
      <c r="B423" s="112"/>
      <c r="C423" s="458" t="s">
        <v>1281</v>
      </c>
      <c r="D423" s="593" t="s">
        <v>1282</v>
      </c>
      <c r="E423" s="594"/>
      <c r="F423" s="595">
        <f>ANL!J7361</f>
        <v>0</v>
      </c>
      <c r="G423" s="603"/>
      <c r="H423" s="604"/>
    </row>
    <row r="424" spans="1:8">
      <c r="A424" s="526">
        <f t="shared" si="6"/>
        <v>385</v>
      </c>
      <c r="B424" s="112"/>
      <c r="C424" s="458" t="s">
        <v>1283</v>
      </c>
      <c r="D424" s="593" t="s">
        <v>1284</v>
      </c>
      <c r="E424" s="594"/>
      <c r="F424" s="595">
        <f>ANL!J7378</f>
        <v>0</v>
      </c>
      <c r="G424" s="603"/>
      <c r="H424" s="604"/>
    </row>
    <row r="425" spans="1:8">
      <c r="A425" s="526">
        <f t="shared" si="6"/>
        <v>386</v>
      </c>
      <c r="B425" s="112"/>
      <c r="C425" s="458" t="s">
        <v>1285</v>
      </c>
      <c r="D425" s="593" t="s">
        <v>1286</v>
      </c>
      <c r="E425" s="594"/>
      <c r="F425" s="595">
        <f>ANL!J7397</f>
        <v>0</v>
      </c>
      <c r="G425" s="603"/>
      <c r="H425" s="604"/>
    </row>
    <row r="426" spans="1:8">
      <c r="A426" s="526">
        <f t="shared" si="6"/>
        <v>387</v>
      </c>
      <c r="B426" s="112"/>
      <c r="C426" s="458" t="s">
        <v>1287</v>
      </c>
      <c r="D426" s="593" t="s">
        <v>1288</v>
      </c>
      <c r="E426" s="594"/>
      <c r="F426" s="595">
        <f>ANL!J7416</f>
        <v>0</v>
      </c>
      <c r="G426" s="603"/>
      <c r="H426" s="604"/>
    </row>
    <row r="427" spans="1:8">
      <c r="A427" s="526">
        <f t="shared" si="6"/>
        <v>388</v>
      </c>
      <c r="B427" s="112"/>
      <c r="C427" s="458" t="s">
        <v>1289</v>
      </c>
      <c r="D427" s="593" t="s">
        <v>1290</v>
      </c>
      <c r="E427" s="594"/>
      <c r="F427" s="595">
        <f>ANL!J7434</f>
        <v>0</v>
      </c>
      <c r="G427" s="603"/>
      <c r="H427" s="604"/>
    </row>
    <row r="428" spans="1:8">
      <c r="A428" s="526">
        <f t="shared" si="6"/>
        <v>389</v>
      </c>
      <c r="B428" s="112"/>
      <c r="C428" s="458" t="s">
        <v>1291</v>
      </c>
      <c r="D428" s="593" t="s">
        <v>1292</v>
      </c>
      <c r="E428" s="594"/>
      <c r="F428" s="595">
        <f>ANL!J7452</f>
        <v>0</v>
      </c>
      <c r="G428" s="603"/>
      <c r="H428" s="604"/>
    </row>
    <row r="429" spans="1:8">
      <c r="A429" s="526">
        <f t="shared" si="6"/>
        <v>390</v>
      </c>
      <c r="B429" s="112"/>
      <c r="C429" s="458" t="s">
        <v>1293</v>
      </c>
      <c r="D429" s="593" t="s">
        <v>1294</v>
      </c>
      <c r="E429" s="594"/>
      <c r="F429" s="595">
        <f>ANL!J7472</f>
        <v>0</v>
      </c>
      <c r="G429" s="603"/>
      <c r="H429" s="604"/>
    </row>
    <row r="430" spans="1:8">
      <c r="A430" s="526">
        <f t="shared" si="6"/>
        <v>391</v>
      </c>
      <c r="B430" s="112"/>
      <c r="C430" s="458" t="s">
        <v>1295</v>
      </c>
      <c r="D430" s="593" t="s">
        <v>1296</v>
      </c>
      <c r="E430" s="594"/>
      <c r="F430" s="595">
        <f>ANL!J7493</f>
        <v>0</v>
      </c>
      <c r="G430" s="603"/>
      <c r="H430" s="604"/>
    </row>
    <row r="431" spans="1:8">
      <c r="A431" s="526">
        <f t="shared" si="6"/>
        <v>392</v>
      </c>
      <c r="B431" s="112"/>
      <c r="C431" s="458" t="s">
        <v>1297</v>
      </c>
      <c r="D431" s="593" t="s">
        <v>1298</v>
      </c>
      <c r="E431" s="594"/>
      <c r="F431" s="595">
        <f>ANL!J7512</f>
        <v>0</v>
      </c>
      <c r="G431" s="603"/>
      <c r="H431" s="604"/>
    </row>
    <row r="432" spans="1:8">
      <c r="A432" s="526">
        <f t="shared" si="6"/>
        <v>393</v>
      </c>
      <c r="B432" s="112"/>
      <c r="C432" s="458" t="s">
        <v>1299</v>
      </c>
      <c r="D432" s="593" t="s">
        <v>1300</v>
      </c>
      <c r="E432" s="594"/>
      <c r="F432" s="595">
        <f>ANL!J7533</f>
        <v>0</v>
      </c>
      <c r="G432" s="603"/>
      <c r="H432" s="604"/>
    </row>
    <row r="433" spans="1:9">
      <c r="A433" s="526">
        <f t="shared" si="6"/>
        <v>394</v>
      </c>
      <c r="B433" s="112"/>
      <c r="C433" s="458" t="s">
        <v>1301</v>
      </c>
      <c r="D433" s="593" t="s">
        <v>1302</v>
      </c>
      <c r="E433" s="594"/>
      <c r="F433" s="595">
        <f>ANL!J7551</f>
        <v>0</v>
      </c>
      <c r="G433" s="603"/>
      <c r="H433" s="604"/>
    </row>
    <row r="434" spans="1:9" ht="14">
      <c r="A434" s="526">
        <f t="shared" si="6"/>
        <v>395</v>
      </c>
      <c r="B434" s="112"/>
      <c r="C434" s="612" t="s">
        <v>1303</v>
      </c>
      <c r="D434" s="601" t="s">
        <v>1304</v>
      </c>
      <c r="E434" s="602"/>
      <c r="F434" s="595">
        <f>ANL!J7569</f>
        <v>0</v>
      </c>
      <c r="G434" s="603"/>
      <c r="H434" s="604"/>
      <c r="I434" s="610"/>
    </row>
    <row r="435" spans="1:9" ht="14">
      <c r="A435" s="526">
        <f t="shared" si="6"/>
        <v>396</v>
      </c>
      <c r="B435" s="112"/>
      <c r="C435" s="612" t="s">
        <v>3605</v>
      </c>
      <c r="D435" s="601" t="s">
        <v>3603</v>
      </c>
      <c r="E435" s="602"/>
      <c r="F435" s="595">
        <f>+ANL!J7586</f>
        <v>0</v>
      </c>
      <c r="G435" s="603"/>
      <c r="H435" s="604"/>
      <c r="I435" s="610"/>
    </row>
    <row r="436" spans="1:9">
      <c r="A436" s="526"/>
      <c r="B436" s="112"/>
      <c r="C436" s="496"/>
      <c r="D436" s="601"/>
      <c r="E436" s="602"/>
      <c r="F436" s="595"/>
      <c r="G436" s="603"/>
      <c r="H436" s="604"/>
      <c r="I436" s="610"/>
    </row>
    <row r="437" spans="1:9" s="600" customFormat="1" ht="13">
      <c r="A437" s="605"/>
      <c r="B437" s="606" t="s">
        <v>519</v>
      </c>
      <c r="C437" s="607" t="s">
        <v>520</v>
      </c>
      <c r="D437" s="598"/>
      <c r="E437" s="599"/>
      <c r="F437" s="597"/>
      <c r="G437" s="603"/>
      <c r="H437" s="604"/>
    </row>
    <row r="438" spans="1:9">
      <c r="A438" s="526">
        <v>380</v>
      </c>
      <c r="B438" s="112"/>
      <c r="C438" s="458" t="s">
        <v>1305</v>
      </c>
      <c r="D438" s="593" t="s">
        <v>1306</v>
      </c>
      <c r="E438" s="594"/>
      <c r="F438" s="595">
        <f>ANL!J7605</f>
        <v>0</v>
      </c>
      <c r="G438" s="603"/>
      <c r="H438" s="604"/>
    </row>
    <row r="439" spans="1:9">
      <c r="A439" s="526">
        <f>+A438+1</f>
        <v>381</v>
      </c>
      <c r="B439" s="112"/>
      <c r="C439" s="458" t="s">
        <v>3588</v>
      </c>
      <c r="D439" s="593" t="str">
        <f>ANL!D7607</f>
        <v xml:space="preserve">Pemasangan 1 buah Jet Washer </v>
      </c>
      <c r="E439" s="594"/>
      <c r="F439" s="595">
        <f>ANL!J7624</f>
        <v>0</v>
      </c>
      <c r="G439" s="603"/>
      <c r="H439" s="604"/>
    </row>
    <row r="440" spans="1:9">
      <c r="A440" s="526">
        <f t="shared" ref="A440:A451" si="7">+A439+1</f>
        <v>382</v>
      </c>
      <c r="B440" s="112"/>
      <c r="C440" s="458" t="s">
        <v>3592</v>
      </c>
      <c r="D440" s="593" t="str">
        <f>ANL!D7626</f>
        <v>Pemasangan 1 buah Paper Holder</v>
      </c>
      <c r="E440" s="594"/>
      <c r="F440" s="595">
        <f>ANL!J7641</f>
        <v>0</v>
      </c>
      <c r="G440" s="603"/>
      <c r="H440" s="604"/>
    </row>
    <row r="441" spans="1:9">
      <c r="A441" s="526">
        <f t="shared" si="7"/>
        <v>383</v>
      </c>
      <c r="B441" s="112"/>
      <c r="C441" s="458" t="s">
        <v>3593</v>
      </c>
      <c r="D441" s="593" t="str">
        <f>ANL!D7643</f>
        <v>Pemasangan 1 bh Shower</v>
      </c>
      <c r="E441" s="594"/>
      <c r="F441" s="595">
        <f>ANL!J7661</f>
        <v>0</v>
      </c>
      <c r="G441" s="603"/>
      <c r="H441" s="604"/>
    </row>
    <row r="442" spans="1:9">
      <c r="A442" s="526">
        <f t="shared" si="7"/>
        <v>384</v>
      </c>
      <c r="B442" s="112"/>
      <c r="C442" s="458" t="s">
        <v>3597</v>
      </c>
      <c r="D442" s="593" t="str">
        <f>ANL!D7663</f>
        <v>Pemasangan 1 buah Roob Hook</v>
      </c>
      <c r="E442" s="594"/>
      <c r="F442" s="595">
        <f>ANL!J7678</f>
        <v>0</v>
      </c>
      <c r="G442" s="603"/>
      <c r="H442" s="604"/>
    </row>
    <row r="443" spans="1:9">
      <c r="A443" s="526">
        <f t="shared" si="7"/>
        <v>385</v>
      </c>
      <c r="B443" s="112"/>
      <c r="C443" s="458" t="s">
        <v>3599</v>
      </c>
      <c r="D443" s="593" t="str">
        <f>ANL!D7680</f>
        <v>1 m2 Cubical toilet phenolic board &amp; assesories</v>
      </c>
      <c r="E443" s="594"/>
      <c r="F443" s="595">
        <f>ANL!J7695</f>
        <v>0</v>
      </c>
      <c r="G443" s="603"/>
      <c r="H443" s="604"/>
    </row>
    <row r="444" spans="1:9">
      <c r="A444" s="526">
        <f t="shared" si="7"/>
        <v>386</v>
      </c>
      <c r="B444" s="112"/>
      <c r="C444" s="458" t="s">
        <v>1307</v>
      </c>
      <c r="D444" s="593" t="s">
        <v>1308</v>
      </c>
      <c r="E444" s="594"/>
      <c r="F444" s="595">
        <f>ANL!J7714</f>
        <v>0</v>
      </c>
      <c r="G444" s="603"/>
      <c r="H444" s="604"/>
    </row>
    <row r="445" spans="1:9">
      <c r="A445" s="526">
        <f t="shared" si="7"/>
        <v>387</v>
      </c>
      <c r="B445" s="112"/>
      <c r="C445" s="458" t="s">
        <v>1309</v>
      </c>
      <c r="D445" s="593" t="s">
        <v>1310</v>
      </c>
      <c r="E445" s="594"/>
      <c r="F445" s="595">
        <f>ANL!J7734</f>
        <v>0</v>
      </c>
      <c r="G445" s="603"/>
      <c r="H445" s="604"/>
    </row>
    <row r="446" spans="1:9">
      <c r="A446" s="526">
        <f t="shared" si="7"/>
        <v>388</v>
      </c>
      <c r="B446" s="112"/>
      <c r="C446" s="458" t="s">
        <v>1311</v>
      </c>
      <c r="D446" s="593" t="s">
        <v>1312</v>
      </c>
      <c r="E446" s="594"/>
      <c r="F446" s="595">
        <f>ANL!J7754</f>
        <v>0</v>
      </c>
      <c r="G446" s="603"/>
      <c r="H446" s="604"/>
    </row>
    <row r="447" spans="1:9">
      <c r="A447" s="526">
        <f t="shared" si="7"/>
        <v>389</v>
      </c>
      <c r="B447" s="112"/>
      <c r="C447" s="458" t="s">
        <v>1313</v>
      </c>
      <c r="D447" s="593" t="s">
        <v>1314</v>
      </c>
      <c r="E447" s="594"/>
      <c r="F447" s="595">
        <f>ANL!J7774</f>
        <v>0</v>
      </c>
      <c r="G447" s="603"/>
      <c r="H447" s="604"/>
    </row>
    <row r="448" spans="1:9">
      <c r="A448" s="526">
        <f t="shared" si="7"/>
        <v>390</v>
      </c>
      <c r="B448" s="112"/>
      <c r="C448" s="458" t="s">
        <v>1315</v>
      </c>
      <c r="D448" s="593" t="s">
        <v>1316</v>
      </c>
      <c r="E448" s="594"/>
      <c r="F448" s="595">
        <f>ANL!J7792</f>
        <v>0</v>
      </c>
      <c r="G448" s="603"/>
      <c r="H448" s="604"/>
    </row>
    <row r="449" spans="1:8">
      <c r="A449" s="526">
        <f t="shared" si="7"/>
        <v>391</v>
      </c>
      <c r="B449" s="112"/>
      <c r="C449" s="458" t="s">
        <v>1317</v>
      </c>
      <c r="D449" s="593" t="s">
        <v>1318</v>
      </c>
      <c r="E449" s="594"/>
      <c r="F449" s="595">
        <f>ANL!J7810</f>
        <v>0</v>
      </c>
      <c r="G449" s="603"/>
      <c r="H449" s="604"/>
    </row>
    <row r="450" spans="1:8">
      <c r="A450" s="526">
        <f t="shared" si="7"/>
        <v>392</v>
      </c>
      <c r="B450" s="112"/>
      <c r="C450" s="458" t="s">
        <v>1319</v>
      </c>
      <c r="D450" s="593" t="s">
        <v>1320</v>
      </c>
      <c r="E450" s="594"/>
      <c r="F450" s="595">
        <f>ANL!J7831</f>
        <v>0</v>
      </c>
      <c r="G450" s="603"/>
      <c r="H450" s="604"/>
    </row>
    <row r="451" spans="1:8">
      <c r="A451" s="526">
        <f t="shared" si="7"/>
        <v>393</v>
      </c>
      <c r="B451" s="112"/>
      <c r="C451" s="458" t="s">
        <v>1321</v>
      </c>
      <c r="D451" s="593" t="s">
        <v>1322</v>
      </c>
      <c r="E451" s="594"/>
      <c r="F451" s="595">
        <f>ANL!J7849</f>
        <v>0</v>
      </c>
      <c r="G451" s="603"/>
      <c r="H451" s="604"/>
    </row>
    <row r="452" spans="1:8">
      <c r="A452" s="526">
        <f t="shared" si="6"/>
        <v>394</v>
      </c>
      <c r="B452" s="112"/>
      <c r="C452" s="458" t="s">
        <v>1323</v>
      </c>
      <c r="D452" s="593" t="s">
        <v>1324</v>
      </c>
      <c r="E452" s="594"/>
      <c r="F452" s="595">
        <f>ANL!J7867</f>
        <v>0</v>
      </c>
      <c r="G452" s="603"/>
      <c r="H452" s="604"/>
    </row>
    <row r="453" spans="1:8">
      <c r="A453" s="526">
        <f t="shared" si="6"/>
        <v>395</v>
      </c>
      <c r="B453" s="112"/>
      <c r="C453" s="458" t="s">
        <v>1325</v>
      </c>
      <c r="D453" s="593" t="s">
        <v>1326</v>
      </c>
      <c r="E453" s="594"/>
      <c r="F453" s="595">
        <f>ANL!J7888</f>
        <v>0</v>
      </c>
      <c r="G453" s="603"/>
      <c r="H453" s="604"/>
    </row>
    <row r="454" spans="1:8">
      <c r="A454" s="526">
        <f t="shared" si="6"/>
        <v>396</v>
      </c>
      <c r="B454" s="112"/>
      <c r="C454" s="458" t="s">
        <v>1327</v>
      </c>
      <c r="D454" s="593" t="s">
        <v>1328</v>
      </c>
      <c r="E454" s="594"/>
      <c r="F454" s="595">
        <f>ANL!J7906</f>
        <v>0</v>
      </c>
      <c r="G454" s="603"/>
      <c r="H454" s="604"/>
    </row>
    <row r="455" spans="1:8">
      <c r="A455" s="526">
        <f t="shared" si="6"/>
        <v>397</v>
      </c>
      <c r="B455" s="112"/>
      <c r="C455" s="458" t="s">
        <v>1329</v>
      </c>
      <c r="D455" s="593" t="s">
        <v>2</v>
      </c>
      <c r="E455" s="594"/>
      <c r="F455" s="595">
        <f>ANL!J7926</f>
        <v>0</v>
      </c>
      <c r="G455" s="603"/>
      <c r="H455" s="604"/>
    </row>
    <row r="456" spans="1:8">
      <c r="A456" s="526">
        <f t="shared" si="6"/>
        <v>398</v>
      </c>
      <c r="B456" s="112"/>
      <c r="C456" s="458" t="s">
        <v>1330</v>
      </c>
      <c r="D456" s="593" t="s">
        <v>1331</v>
      </c>
      <c r="E456" s="594"/>
      <c r="F456" s="595">
        <f>ANL!J7943</f>
        <v>0</v>
      </c>
      <c r="G456" s="603"/>
      <c r="H456" s="604"/>
    </row>
    <row r="457" spans="1:8">
      <c r="A457" s="526">
        <f t="shared" si="6"/>
        <v>399</v>
      </c>
      <c r="B457" s="112"/>
      <c r="C457" s="458" t="s">
        <v>1332</v>
      </c>
      <c r="D457" s="593" t="s">
        <v>1333</v>
      </c>
      <c r="E457" s="594"/>
      <c r="F457" s="595">
        <f>ANL!J7965</f>
        <v>0</v>
      </c>
      <c r="G457" s="603"/>
      <c r="H457" s="604"/>
    </row>
    <row r="458" spans="1:8">
      <c r="A458" s="526">
        <f t="shared" si="6"/>
        <v>400</v>
      </c>
      <c r="B458" s="112"/>
      <c r="C458" s="458" t="s">
        <v>1334</v>
      </c>
      <c r="D458" s="593" t="s">
        <v>1335</v>
      </c>
      <c r="E458" s="594"/>
      <c r="F458" s="595">
        <f>ANL!J7987</f>
        <v>0</v>
      </c>
      <c r="G458" s="603"/>
      <c r="H458" s="604"/>
    </row>
    <row r="459" spans="1:8">
      <c r="A459" s="526">
        <f t="shared" si="6"/>
        <v>401</v>
      </c>
      <c r="B459" s="112"/>
      <c r="C459" s="458" t="s">
        <v>1336</v>
      </c>
      <c r="D459" s="593" t="s">
        <v>1337</v>
      </c>
      <c r="E459" s="594"/>
      <c r="F459" s="595">
        <f>ANL!J8009</f>
        <v>0</v>
      </c>
      <c r="G459" s="603"/>
      <c r="H459" s="604"/>
    </row>
    <row r="460" spans="1:8">
      <c r="A460" s="526">
        <f t="shared" si="6"/>
        <v>402</v>
      </c>
      <c r="B460" s="112"/>
      <c r="C460" s="458" t="s">
        <v>1338</v>
      </c>
      <c r="D460" s="593" t="s">
        <v>1339</v>
      </c>
      <c r="E460" s="594"/>
      <c r="F460" s="595">
        <f>ANL!J8027</f>
        <v>0</v>
      </c>
      <c r="G460" s="603"/>
      <c r="H460" s="604"/>
    </row>
    <row r="461" spans="1:8">
      <c r="A461" s="526">
        <f t="shared" si="6"/>
        <v>403</v>
      </c>
      <c r="B461" s="112"/>
      <c r="C461" s="458" t="s">
        <v>1340</v>
      </c>
      <c r="D461" s="593" t="s">
        <v>1341</v>
      </c>
      <c r="E461" s="594"/>
      <c r="F461" s="595">
        <f>ANL!J8045</f>
        <v>0</v>
      </c>
      <c r="G461" s="603"/>
      <c r="H461" s="604"/>
    </row>
    <row r="462" spans="1:8">
      <c r="A462" s="526">
        <f t="shared" si="6"/>
        <v>404</v>
      </c>
      <c r="B462" s="112"/>
      <c r="C462" s="458" t="s">
        <v>1342</v>
      </c>
      <c r="D462" s="593" t="s">
        <v>1343</v>
      </c>
      <c r="E462" s="594"/>
      <c r="F462" s="595">
        <f>ANL!J8063</f>
        <v>0</v>
      </c>
      <c r="G462" s="603"/>
      <c r="H462" s="604"/>
    </row>
    <row r="463" spans="1:8">
      <c r="A463" s="526">
        <f t="shared" si="6"/>
        <v>405</v>
      </c>
      <c r="B463" s="112"/>
      <c r="C463" s="458" t="s">
        <v>1344</v>
      </c>
      <c r="D463" s="593" t="s">
        <v>1345</v>
      </c>
      <c r="E463" s="594"/>
      <c r="F463" s="595">
        <f>ANL!J8081</f>
        <v>0</v>
      </c>
      <c r="G463" s="603"/>
      <c r="H463" s="604"/>
    </row>
    <row r="464" spans="1:8">
      <c r="A464" s="526">
        <f t="shared" si="6"/>
        <v>406</v>
      </c>
      <c r="B464" s="112"/>
      <c r="C464" s="458" t="s">
        <v>1346</v>
      </c>
      <c r="D464" s="593" t="s">
        <v>1347</v>
      </c>
      <c r="E464" s="594"/>
      <c r="F464" s="595">
        <f>ANL!J8099</f>
        <v>0</v>
      </c>
      <c r="G464" s="603"/>
      <c r="H464" s="604"/>
    </row>
    <row r="465" spans="1:8">
      <c r="A465" s="526">
        <f t="shared" si="6"/>
        <v>407</v>
      </c>
      <c r="B465" s="112"/>
      <c r="C465" s="458" t="s">
        <v>1348</v>
      </c>
      <c r="D465" s="593" t="s">
        <v>1349</v>
      </c>
      <c r="E465" s="594"/>
      <c r="F465" s="595">
        <f>ANL!J8117</f>
        <v>0</v>
      </c>
      <c r="G465" s="603"/>
      <c r="H465" s="604"/>
    </row>
    <row r="466" spans="1:8">
      <c r="A466" s="526">
        <f t="shared" si="6"/>
        <v>408</v>
      </c>
      <c r="B466" s="112"/>
      <c r="C466" s="458" t="s">
        <v>1350</v>
      </c>
      <c r="D466" s="593" t="s">
        <v>1351</v>
      </c>
      <c r="E466" s="594"/>
      <c r="F466" s="595">
        <f>ANL!J8135</f>
        <v>0</v>
      </c>
      <c r="G466" s="603"/>
      <c r="H466" s="604"/>
    </row>
    <row r="467" spans="1:8">
      <c r="A467" s="526">
        <f t="shared" si="6"/>
        <v>409</v>
      </c>
      <c r="B467" s="112"/>
      <c r="C467" s="458" t="s">
        <v>1352</v>
      </c>
      <c r="D467" s="593" t="s">
        <v>1353</v>
      </c>
      <c r="E467" s="594"/>
      <c r="F467" s="595">
        <f>ANL!J8153</f>
        <v>0</v>
      </c>
      <c r="G467" s="603"/>
      <c r="H467" s="604"/>
    </row>
    <row r="468" spans="1:8">
      <c r="A468" s="526">
        <f t="shared" si="6"/>
        <v>410</v>
      </c>
      <c r="B468" s="112"/>
      <c r="C468" s="458" t="s">
        <v>1354</v>
      </c>
      <c r="D468" s="593" t="s">
        <v>1355</v>
      </c>
      <c r="E468" s="594"/>
      <c r="F468" s="595">
        <f>ANL!J8171</f>
        <v>0</v>
      </c>
      <c r="G468" s="603"/>
      <c r="H468" s="604"/>
    </row>
    <row r="469" spans="1:8">
      <c r="A469" s="526">
        <f t="shared" si="6"/>
        <v>411</v>
      </c>
      <c r="B469" s="112"/>
      <c r="C469" s="458" t="s">
        <v>1356</v>
      </c>
      <c r="D469" s="593" t="s">
        <v>1357</v>
      </c>
      <c r="E469" s="594"/>
      <c r="F469" s="595">
        <f>ANL!J8189</f>
        <v>0</v>
      </c>
      <c r="G469" s="603"/>
      <c r="H469" s="604"/>
    </row>
    <row r="470" spans="1:8">
      <c r="A470" s="526">
        <f t="shared" si="6"/>
        <v>412</v>
      </c>
      <c r="B470" s="112"/>
      <c r="C470" s="458" t="s">
        <v>1358</v>
      </c>
      <c r="D470" s="593" t="s">
        <v>1359</v>
      </c>
      <c r="E470" s="594"/>
      <c r="F470" s="595">
        <f>ANL!J8207</f>
        <v>0</v>
      </c>
      <c r="G470" s="603"/>
      <c r="H470" s="604"/>
    </row>
    <row r="471" spans="1:8">
      <c r="A471" s="526">
        <f t="shared" si="6"/>
        <v>413</v>
      </c>
      <c r="B471" s="112"/>
      <c r="C471" s="458" t="s">
        <v>1360</v>
      </c>
      <c r="D471" s="593" t="s">
        <v>1361</v>
      </c>
      <c r="E471" s="594"/>
      <c r="F471" s="595">
        <f>ANL!J8225</f>
        <v>0</v>
      </c>
      <c r="G471" s="603"/>
      <c r="H471" s="604"/>
    </row>
    <row r="472" spans="1:8">
      <c r="A472" s="526">
        <f t="shared" si="6"/>
        <v>414</v>
      </c>
      <c r="B472" s="112"/>
      <c r="C472" s="458" t="s">
        <v>1362</v>
      </c>
      <c r="D472" s="593" t="s">
        <v>1363</v>
      </c>
      <c r="E472" s="594"/>
      <c r="F472" s="595">
        <f>ANL!J8243</f>
        <v>0</v>
      </c>
      <c r="G472" s="603"/>
      <c r="H472" s="604"/>
    </row>
    <row r="473" spans="1:8">
      <c r="A473" s="526">
        <f t="shared" si="6"/>
        <v>415</v>
      </c>
      <c r="B473" s="112"/>
      <c r="C473" s="458" t="s">
        <v>1364</v>
      </c>
      <c r="D473" s="593" t="s">
        <v>1365</v>
      </c>
      <c r="E473" s="594"/>
      <c r="F473" s="595">
        <f>ANL!J8261</f>
        <v>0</v>
      </c>
      <c r="G473" s="603"/>
      <c r="H473" s="604"/>
    </row>
    <row r="474" spans="1:8">
      <c r="A474" s="526">
        <f t="shared" si="6"/>
        <v>416</v>
      </c>
      <c r="B474" s="112"/>
      <c r="C474" s="458" t="s">
        <v>1366</v>
      </c>
      <c r="D474" s="593" t="s">
        <v>1367</v>
      </c>
      <c r="E474" s="594"/>
      <c r="F474" s="595">
        <f>ANL!J8279</f>
        <v>0</v>
      </c>
      <c r="G474" s="603"/>
      <c r="H474" s="604"/>
    </row>
    <row r="475" spans="1:8">
      <c r="A475" s="526">
        <f t="shared" si="6"/>
        <v>417</v>
      </c>
      <c r="B475" s="112"/>
      <c r="C475" s="458" t="s">
        <v>1368</v>
      </c>
      <c r="D475" s="593" t="s">
        <v>1369</v>
      </c>
      <c r="E475" s="594"/>
      <c r="F475" s="595">
        <f>ANL!J8299</f>
        <v>0</v>
      </c>
      <c r="G475" s="603"/>
      <c r="H475" s="604"/>
    </row>
    <row r="476" spans="1:8">
      <c r="A476" s="526">
        <f t="shared" si="6"/>
        <v>418</v>
      </c>
      <c r="B476" s="112"/>
      <c r="C476" s="458" t="s">
        <v>1370</v>
      </c>
      <c r="D476" s="593" t="s">
        <v>1371</v>
      </c>
      <c r="E476" s="594"/>
      <c r="F476" s="595">
        <f>ANL!J8319</f>
        <v>0</v>
      </c>
      <c r="G476" s="603"/>
      <c r="H476" s="604"/>
    </row>
    <row r="477" spans="1:8">
      <c r="A477" s="526">
        <f t="shared" si="6"/>
        <v>419</v>
      </c>
      <c r="B477" s="112"/>
      <c r="C477" s="458" t="s">
        <v>1372</v>
      </c>
      <c r="D477" s="593" t="s">
        <v>1373</v>
      </c>
      <c r="E477" s="594"/>
      <c r="F477" s="595">
        <f>ANL!J8340</f>
        <v>0</v>
      </c>
      <c r="G477" s="603"/>
      <c r="H477" s="604"/>
    </row>
    <row r="478" spans="1:8">
      <c r="A478" s="526">
        <f t="shared" si="6"/>
        <v>420</v>
      </c>
      <c r="B478" s="112"/>
      <c r="C478" s="458" t="s">
        <v>1374</v>
      </c>
      <c r="D478" s="593" t="s">
        <v>1375</v>
      </c>
      <c r="E478" s="594"/>
      <c r="F478" s="595">
        <f>ANL!J8361</f>
        <v>0</v>
      </c>
      <c r="G478" s="603"/>
      <c r="H478" s="604"/>
    </row>
    <row r="479" spans="1:8">
      <c r="A479" s="526"/>
      <c r="B479" s="112"/>
      <c r="C479" s="496"/>
      <c r="D479" s="601"/>
      <c r="E479" s="602"/>
      <c r="F479" s="595"/>
      <c r="G479" s="603"/>
      <c r="H479" s="604"/>
    </row>
    <row r="480" spans="1:8" s="600" customFormat="1" ht="13" hidden="1">
      <c r="A480" s="605"/>
      <c r="B480" s="606" t="s">
        <v>521</v>
      </c>
      <c r="C480" s="607" t="s">
        <v>522</v>
      </c>
      <c r="D480" s="598"/>
      <c r="E480" s="599"/>
      <c r="F480" s="597"/>
      <c r="G480" s="603"/>
      <c r="H480" s="604"/>
    </row>
    <row r="481" spans="1:9" hidden="1">
      <c r="A481" s="526">
        <v>420</v>
      </c>
      <c r="B481" s="112"/>
      <c r="C481" s="458" t="s">
        <v>1376</v>
      </c>
      <c r="D481" s="593" t="s">
        <v>1382</v>
      </c>
      <c r="E481" s="594"/>
      <c r="F481" s="595">
        <f>ANL!J8379</f>
        <v>0</v>
      </c>
      <c r="G481" s="603"/>
      <c r="H481" s="604"/>
    </row>
    <row r="482" spans="1:9" hidden="1">
      <c r="A482" s="526">
        <f t="shared" si="6"/>
        <v>421</v>
      </c>
      <c r="B482" s="112"/>
      <c r="C482" s="458" t="s">
        <v>1377</v>
      </c>
      <c r="D482" s="593" t="s">
        <v>1383</v>
      </c>
      <c r="E482" s="594"/>
      <c r="F482" s="595">
        <f>ANL!J8400</f>
        <v>0</v>
      </c>
      <c r="G482" s="603"/>
      <c r="H482" s="604"/>
    </row>
    <row r="483" spans="1:9" hidden="1">
      <c r="A483" s="526">
        <f t="shared" si="6"/>
        <v>422</v>
      </c>
      <c r="B483" s="112"/>
      <c r="C483" s="458" t="s">
        <v>1378</v>
      </c>
      <c r="D483" s="593" t="s">
        <v>1384</v>
      </c>
      <c r="E483" s="594"/>
      <c r="F483" s="595">
        <f>ANL!J8417</f>
        <v>0</v>
      </c>
      <c r="G483" s="603"/>
      <c r="H483" s="604"/>
    </row>
    <row r="484" spans="1:9" hidden="1">
      <c r="A484" s="526">
        <f t="shared" si="6"/>
        <v>423</v>
      </c>
      <c r="B484" s="112"/>
      <c r="C484" s="458" t="s">
        <v>1379</v>
      </c>
      <c r="D484" s="593" t="s">
        <v>1385</v>
      </c>
      <c r="E484" s="594"/>
      <c r="F484" s="595">
        <f>ANL!J8434</f>
        <v>0</v>
      </c>
      <c r="G484" s="603"/>
      <c r="H484" s="604"/>
    </row>
    <row r="485" spans="1:9" hidden="1">
      <c r="A485" s="526">
        <f t="shared" si="6"/>
        <v>424</v>
      </c>
      <c r="B485" s="112"/>
      <c r="C485" s="458" t="s">
        <v>1380</v>
      </c>
      <c r="D485" s="593" t="s">
        <v>1386</v>
      </c>
      <c r="E485" s="594"/>
      <c r="F485" s="595">
        <f>ANL!J8451</f>
        <v>0</v>
      </c>
      <c r="G485" s="603"/>
      <c r="H485" s="604"/>
    </row>
    <row r="486" spans="1:9" hidden="1">
      <c r="A486" s="526">
        <f t="shared" si="6"/>
        <v>425</v>
      </c>
      <c r="B486" s="112"/>
      <c r="C486" s="458" t="s">
        <v>1381</v>
      </c>
      <c r="D486" s="593" t="s">
        <v>1387</v>
      </c>
      <c r="E486" s="594"/>
      <c r="F486" s="595">
        <f>ANL!J8468</f>
        <v>0</v>
      </c>
      <c r="G486" s="603"/>
      <c r="H486" s="604"/>
    </row>
    <row r="487" spans="1:9" hidden="1">
      <c r="A487" s="526">
        <f t="shared" si="6"/>
        <v>426</v>
      </c>
      <c r="B487" s="112"/>
      <c r="C487" s="458" t="s">
        <v>1388</v>
      </c>
      <c r="D487" s="593" t="s">
        <v>1389</v>
      </c>
      <c r="E487" s="594"/>
      <c r="F487" s="595">
        <f>ANL!J8485</f>
        <v>0</v>
      </c>
      <c r="G487" s="603"/>
      <c r="H487" s="604"/>
    </row>
    <row r="488" spans="1:9" hidden="1">
      <c r="A488" s="526">
        <f t="shared" si="6"/>
        <v>427</v>
      </c>
      <c r="B488" s="112"/>
      <c r="C488" s="458" t="s">
        <v>1393</v>
      </c>
      <c r="D488" s="593" t="s">
        <v>1394</v>
      </c>
      <c r="E488" s="594"/>
      <c r="F488" s="595">
        <f>ANL!J8502</f>
        <v>0</v>
      </c>
      <c r="G488" s="603"/>
      <c r="H488" s="604"/>
    </row>
    <row r="489" spans="1:9" hidden="1">
      <c r="A489" s="526">
        <f t="shared" si="6"/>
        <v>428</v>
      </c>
      <c r="B489" s="112"/>
      <c r="C489" s="458" t="s">
        <v>1392</v>
      </c>
      <c r="D489" s="593" t="s">
        <v>1395</v>
      </c>
      <c r="E489" s="594"/>
      <c r="F489" s="595">
        <f>ANL!J8519</f>
        <v>0</v>
      </c>
      <c r="G489" s="603"/>
      <c r="H489" s="604"/>
    </row>
    <row r="490" spans="1:9" hidden="1">
      <c r="A490" s="526">
        <f t="shared" si="6"/>
        <v>429</v>
      </c>
      <c r="B490" s="112"/>
      <c r="C490" s="458" t="s">
        <v>1390</v>
      </c>
      <c r="D490" s="593" t="s">
        <v>1391</v>
      </c>
      <c r="E490" s="594"/>
      <c r="F490" s="595">
        <f>ANL!J8536</f>
        <v>0</v>
      </c>
      <c r="G490" s="603"/>
      <c r="H490" s="604"/>
    </row>
    <row r="491" spans="1:9" hidden="1">
      <c r="A491" s="526">
        <f t="shared" si="6"/>
        <v>430</v>
      </c>
      <c r="B491" s="112"/>
      <c r="C491" s="458" t="s">
        <v>1396</v>
      </c>
      <c r="D491" s="593" t="s">
        <v>1398</v>
      </c>
      <c r="E491" s="594"/>
      <c r="F491" s="595">
        <f>ANL!J8553</f>
        <v>0</v>
      </c>
      <c r="G491" s="603"/>
      <c r="H491" s="604"/>
    </row>
    <row r="492" spans="1:9" hidden="1">
      <c r="A492" s="526">
        <f t="shared" ref="A492:A555" si="8">A491+1</f>
        <v>431</v>
      </c>
      <c r="B492" s="112"/>
      <c r="C492" s="458" t="s">
        <v>1397</v>
      </c>
      <c r="D492" s="593" t="s">
        <v>1399</v>
      </c>
      <c r="E492" s="594"/>
      <c r="F492" s="595">
        <f>ANL!J8570</f>
        <v>0</v>
      </c>
      <c r="G492" s="603"/>
      <c r="H492" s="604"/>
    </row>
    <row r="493" spans="1:9" hidden="1">
      <c r="A493" s="526">
        <f t="shared" si="8"/>
        <v>432</v>
      </c>
      <c r="B493" s="112"/>
      <c r="C493" s="458" t="s">
        <v>1402</v>
      </c>
      <c r="D493" s="593" t="s">
        <v>1403</v>
      </c>
      <c r="E493" s="594"/>
      <c r="F493" s="595">
        <f>ANL!J8587</f>
        <v>0</v>
      </c>
      <c r="G493" s="603"/>
      <c r="H493" s="604"/>
    </row>
    <row r="494" spans="1:9" hidden="1">
      <c r="A494" s="526">
        <f t="shared" si="8"/>
        <v>433</v>
      </c>
      <c r="B494" s="112"/>
      <c r="C494" s="458" t="s">
        <v>1401</v>
      </c>
      <c r="D494" s="593" t="s">
        <v>1404</v>
      </c>
      <c r="E494" s="594"/>
      <c r="F494" s="595">
        <f>ANL!J8605</f>
        <v>0</v>
      </c>
      <c r="G494" s="603"/>
      <c r="H494" s="604"/>
    </row>
    <row r="495" spans="1:9" hidden="1">
      <c r="A495" s="526">
        <f t="shared" si="8"/>
        <v>434</v>
      </c>
      <c r="B495" s="112"/>
      <c r="C495" s="458" t="s">
        <v>1400</v>
      </c>
      <c r="D495" s="593" t="s">
        <v>1405</v>
      </c>
      <c r="E495" s="594"/>
      <c r="F495" s="595">
        <f>ANL!J8622</f>
        <v>0</v>
      </c>
      <c r="G495" s="603"/>
      <c r="H495" s="604"/>
      <c r="I495" s="613">
        <f>G495*H495</f>
        <v>0</v>
      </c>
    </row>
    <row r="496" spans="1:9" hidden="1">
      <c r="A496" s="526">
        <f t="shared" si="8"/>
        <v>435</v>
      </c>
      <c r="B496" s="112"/>
      <c r="C496" s="458" t="s">
        <v>1470</v>
      </c>
      <c r="D496" s="593" t="s">
        <v>1471</v>
      </c>
      <c r="E496" s="594"/>
      <c r="F496" s="595">
        <f>ANL!J8639</f>
        <v>0</v>
      </c>
      <c r="G496" s="603"/>
      <c r="H496" s="604"/>
    </row>
    <row r="497" spans="1:8" hidden="1">
      <c r="A497" s="526">
        <f t="shared" si="8"/>
        <v>436</v>
      </c>
      <c r="B497" s="112"/>
      <c r="C497" s="458" t="s">
        <v>1469</v>
      </c>
      <c r="D497" s="593" t="s">
        <v>1472</v>
      </c>
      <c r="E497" s="594"/>
      <c r="F497" s="595">
        <f>ANL!J8656</f>
        <v>0</v>
      </c>
      <c r="G497" s="603"/>
      <c r="H497" s="604"/>
    </row>
    <row r="498" spans="1:8" hidden="1">
      <c r="A498" s="526">
        <f t="shared" si="8"/>
        <v>437</v>
      </c>
      <c r="B498" s="112"/>
      <c r="C498" s="458" t="s">
        <v>1468</v>
      </c>
      <c r="D498" s="593" t="s">
        <v>1473</v>
      </c>
      <c r="E498" s="594"/>
      <c r="F498" s="595">
        <f>ANL!J8673</f>
        <v>0</v>
      </c>
      <c r="G498" s="603"/>
      <c r="H498" s="604"/>
    </row>
    <row r="499" spans="1:8" hidden="1">
      <c r="A499" s="526">
        <f t="shared" si="8"/>
        <v>438</v>
      </c>
      <c r="B499" s="112"/>
      <c r="C499" s="458" t="s">
        <v>1467</v>
      </c>
      <c r="D499" s="593" t="s">
        <v>1474</v>
      </c>
      <c r="E499" s="594"/>
      <c r="F499" s="595">
        <f>ANL!J8690</f>
        <v>0</v>
      </c>
      <c r="G499" s="603"/>
      <c r="H499" s="604"/>
    </row>
    <row r="500" spans="1:8" hidden="1">
      <c r="A500" s="526">
        <f t="shared" si="8"/>
        <v>439</v>
      </c>
      <c r="B500" s="112"/>
      <c r="C500" s="458" t="s">
        <v>1466</v>
      </c>
      <c r="D500" s="593" t="s">
        <v>1475</v>
      </c>
      <c r="E500" s="594"/>
      <c r="F500" s="595">
        <f>ANL!J8707</f>
        <v>0</v>
      </c>
      <c r="G500" s="603"/>
      <c r="H500" s="604"/>
    </row>
    <row r="501" spans="1:8" hidden="1">
      <c r="A501" s="526">
        <f t="shared" si="8"/>
        <v>440</v>
      </c>
      <c r="B501" s="112"/>
      <c r="C501" s="458" t="s">
        <v>1465</v>
      </c>
      <c r="D501" s="593" t="s">
        <v>1476</v>
      </c>
      <c r="E501" s="594"/>
      <c r="F501" s="595">
        <f>ANL!J8724</f>
        <v>0</v>
      </c>
      <c r="G501" s="603"/>
      <c r="H501" s="604"/>
    </row>
    <row r="502" spans="1:8" hidden="1">
      <c r="A502" s="526">
        <f t="shared" si="8"/>
        <v>441</v>
      </c>
      <c r="B502" s="112"/>
      <c r="C502" s="458" t="s">
        <v>1464</v>
      </c>
      <c r="D502" s="593" t="s">
        <v>1477</v>
      </c>
      <c r="E502" s="594"/>
      <c r="F502" s="595">
        <f>ANL!J8741</f>
        <v>0</v>
      </c>
      <c r="G502" s="603"/>
      <c r="H502" s="604"/>
    </row>
    <row r="503" spans="1:8" hidden="1">
      <c r="A503" s="526">
        <f t="shared" si="8"/>
        <v>442</v>
      </c>
      <c r="B503" s="112"/>
      <c r="C503" s="458" t="s">
        <v>1463</v>
      </c>
      <c r="D503" s="593" t="s">
        <v>1478</v>
      </c>
      <c r="E503" s="594"/>
      <c r="F503" s="595">
        <f>ANL!J8758</f>
        <v>0</v>
      </c>
      <c r="G503" s="603"/>
      <c r="H503" s="604"/>
    </row>
    <row r="504" spans="1:8" hidden="1">
      <c r="A504" s="526">
        <f t="shared" si="8"/>
        <v>443</v>
      </c>
      <c r="B504" s="112"/>
      <c r="C504" s="458" t="s">
        <v>1462</v>
      </c>
      <c r="D504" s="593" t="s">
        <v>1479</v>
      </c>
      <c r="E504" s="594"/>
      <c r="F504" s="595">
        <f>ANL!J8775</f>
        <v>0</v>
      </c>
      <c r="G504" s="603"/>
      <c r="H504" s="604"/>
    </row>
    <row r="505" spans="1:8" hidden="1">
      <c r="A505" s="526">
        <f t="shared" si="8"/>
        <v>444</v>
      </c>
      <c r="B505" s="112"/>
      <c r="C505" s="458" t="s">
        <v>1461</v>
      </c>
      <c r="D505" s="593" t="s">
        <v>1480</v>
      </c>
      <c r="E505" s="594"/>
      <c r="F505" s="595">
        <f>ANL!J8792</f>
        <v>0</v>
      </c>
      <c r="G505" s="603"/>
      <c r="H505" s="604"/>
    </row>
    <row r="506" spans="1:8" hidden="1">
      <c r="A506" s="526">
        <f t="shared" si="8"/>
        <v>445</v>
      </c>
      <c r="B506" s="112"/>
      <c r="C506" s="458" t="s">
        <v>1460</v>
      </c>
      <c r="D506" s="593" t="s">
        <v>1481</v>
      </c>
      <c r="E506" s="594"/>
      <c r="F506" s="595">
        <f>ANL!J8809</f>
        <v>0</v>
      </c>
      <c r="G506" s="603"/>
      <c r="H506" s="604"/>
    </row>
    <row r="507" spans="1:8" hidden="1">
      <c r="A507" s="526">
        <f t="shared" si="8"/>
        <v>446</v>
      </c>
      <c r="B507" s="112"/>
      <c r="C507" s="458" t="s">
        <v>1459</v>
      </c>
      <c r="D507" s="593" t="s">
        <v>1482</v>
      </c>
      <c r="E507" s="594"/>
      <c r="F507" s="595">
        <f>ANL!J8826</f>
        <v>0</v>
      </c>
      <c r="G507" s="603"/>
      <c r="H507" s="604"/>
    </row>
    <row r="508" spans="1:8" ht="12" hidden="1" customHeight="1">
      <c r="A508" s="526">
        <f t="shared" si="8"/>
        <v>447</v>
      </c>
      <c r="B508" s="112"/>
      <c r="C508" s="458" t="s">
        <v>1458</v>
      </c>
      <c r="D508" s="593" t="s">
        <v>1483</v>
      </c>
      <c r="E508" s="594"/>
      <c r="F508" s="595">
        <f>ANL!J8843</f>
        <v>0</v>
      </c>
      <c r="G508" s="603"/>
      <c r="H508" s="604"/>
    </row>
    <row r="509" spans="1:8" hidden="1">
      <c r="A509" s="526">
        <f t="shared" si="8"/>
        <v>448</v>
      </c>
      <c r="B509" s="112"/>
      <c r="C509" s="458" t="s">
        <v>1457</v>
      </c>
      <c r="D509" s="593" t="s">
        <v>1484</v>
      </c>
      <c r="E509" s="594"/>
      <c r="F509" s="595" t="e">
        <f>ANL!J8860</f>
        <v>#VALUE!</v>
      </c>
      <c r="G509" s="603"/>
      <c r="H509" s="604"/>
    </row>
    <row r="510" spans="1:8" hidden="1">
      <c r="A510" s="526">
        <f t="shared" si="8"/>
        <v>449</v>
      </c>
      <c r="B510" s="112"/>
      <c r="C510" s="458" t="s">
        <v>1456</v>
      </c>
      <c r="D510" s="593" t="s">
        <v>1485</v>
      </c>
      <c r="E510" s="594"/>
      <c r="F510" s="595" t="e">
        <f>ANL!J8877</f>
        <v>#VALUE!</v>
      </c>
      <c r="G510" s="603"/>
      <c r="H510" s="604"/>
    </row>
    <row r="511" spans="1:8" hidden="1">
      <c r="A511" s="526">
        <f t="shared" si="8"/>
        <v>450</v>
      </c>
      <c r="B511" s="112"/>
      <c r="C511" s="458" t="s">
        <v>1455</v>
      </c>
      <c r="D511" s="593" t="s">
        <v>1486</v>
      </c>
      <c r="E511" s="594"/>
      <c r="F511" s="595" t="e">
        <f>ANL!J8894</f>
        <v>#VALUE!</v>
      </c>
      <c r="G511" s="603"/>
      <c r="H511" s="604"/>
    </row>
    <row r="512" spans="1:8" hidden="1">
      <c r="A512" s="526">
        <f t="shared" si="8"/>
        <v>451</v>
      </c>
      <c r="B512" s="112"/>
      <c r="C512" s="458" t="s">
        <v>1454</v>
      </c>
      <c r="D512" s="593" t="s">
        <v>1487</v>
      </c>
      <c r="E512" s="594"/>
      <c r="F512" s="595" t="e">
        <f>ANL!J8911</f>
        <v>#VALUE!</v>
      </c>
      <c r="G512" s="603"/>
      <c r="H512" s="604"/>
    </row>
    <row r="513" spans="1:8" hidden="1">
      <c r="A513" s="526">
        <f t="shared" si="8"/>
        <v>452</v>
      </c>
      <c r="B513" s="112"/>
      <c r="C513" s="458" t="s">
        <v>1453</v>
      </c>
      <c r="D513" s="593" t="s">
        <v>1488</v>
      </c>
      <c r="E513" s="594"/>
      <c r="F513" s="595">
        <f>ANL!J8928</f>
        <v>0</v>
      </c>
      <c r="G513" s="603"/>
      <c r="H513" s="604"/>
    </row>
    <row r="514" spans="1:8" hidden="1">
      <c r="A514" s="526">
        <f t="shared" si="8"/>
        <v>453</v>
      </c>
      <c r="B514" s="112"/>
      <c r="C514" s="458" t="s">
        <v>1452</v>
      </c>
      <c r="D514" s="593" t="s">
        <v>1489</v>
      </c>
      <c r="E514" s="594"/>
      <c r="F514" s="595">
        <f>ANL!J8945</f>
        <v>0</v>
      </c>
      <c r="G514" s="603"/>
      <c r="H514" s="604"/>
    </row>
    <row r="515" spans="1:8" hidden="1">
      <c r="A515" s="526">
        <f t="shared" si="8"/>
        <v>454</v>
      </c>
      <c r="B515" s="112"/>
      <c r="C515" s="458" t="s">
        <v>1451</v>
      </c>
      <c r="D515" s="593" t="s">
        <v>1490</v>
      </c>
      <c r="E515" s="594"/>
      <c r="F515" s="595">
        <f>ANL!J8962</f>
        <v>0</v>
      </c>
      <c r="G515" s="603"/>
      <c r="H515" s="604"/>
    </row>
    <row r="516" spans="1:8" hidden="1">
      <c r="A516" s="526">
        <f t="shared" si="8"/>
        <v>455</v>
      </c>
      <c r="B516" s="112"/>
      <c r="C516" s="458" t="s">
        <v>1450</v>
      </c>
      <c r="D516" s="593" t="s">
        <v>1491</v>
      </c>
      <c r="E516" s="594"/>
      <c r="F516" s="595">
        <f>ANL!J8979</f>
        <v>0</v>
      </c>
      <c r="G516" s="603"/>
      <c r="H516" s="604"/>
    </row>
    <row r="517" spans="1:8" hidden="1">
      <c r="A517" s="526">
        <f t="shared" si="8"/>
        <v>456</v>
      </c>
      <c r="B517" s="112"/>
      <c r="C517" s="458" t="s">
        <v>1449</v>
      </c>
      <c r="D517" s="593" t="s">
        <v>1492</v>
      </c>
      <c r="E517" s="594"/>
      <c r="F517" s="595">
        <f>ANL!J8996</f>
        <v>0</v>
      </c>
      <c r="G517" s="603"/>
      <c r="H517" s="604"/>
    </row>
    <row r="518" spans="1:8" hidden="1">
      <c r="A518" s="526">
        <f t="shared" si="8"/>
        <v>457</v>
      </c>
      <c r="B518" s="112"/>
      <c r="C518" s="458" t="s">
        <v>1448</v>
      </c>
      <c r="D518" s="593" t="s">
        <v>1493</v>
      </c>
      <c r="E518" s="594"/>
      <c r="F518" s="595">
        <f>ANL!J9013</f>
        <v>0</v>
      </c>
      <c r="G518" s="603"/>
      <c r="H518" s="604"/>
    </row>
    <row r="519" spans="1:8" hidden="1">
      <c r="A519" s="526">
        <f t="shared" si="8"/>
        <v>458</v>
      </c>
      <c r="B519" s="112"/>
      <c r="C519" s="458" t="s">
        <v>1447</v>
      </c>
      <c r="D519" s="593" t="s">
        <v>1494</v>
      </c>
      <c r="E519" s="594"/>
      <c r="F519" s="595">
        <f>ANL!J9030</f>
        <v>0</v>
      </c>
      <c r="G519" s="603"/>
      <c r="H519" s="604"/>
    </row>
    <row r="520" spans="1:8" hidden="1">
      <c r="A520" s="526">
        <f t="shared" si="8"/>
        <v>459</v>
      </c>
      <c r="B520" s="112"/>
      <c r="C520" s="458" t="s">
        <v>1446</v>
      </c>
      <c r="D520" s="593" t="s">
        <v>1495</v>
      </c>
      <c r="E520" s="594"/>
      <c r="F520" s="595" t="e">
        <f>ANL!J9047</f>
        <v>#VALUE!</v>
      </c>
      <c r="G520" s="603"/>
      <c r="H520" s="604"/>
    </row>
    <row r="521" spans="1:8" hidden="1">
      <c r="A521" s="526">
        <f t="shared" si="8"/>
        <v>460</v>
      </c>
      <c r="B521" s="112"/>
      <c r="C521" s="458" t="s">
        <v>1445</v>
      </c>
      <c r="D521" s="593" t="s">
        <v>1496</v>
      </c>
      <c r="E521" s="594"/>
      <c r="F521" s="595" t="e">
        <f>ANL!J9064</f>
        <v>#VALUE!</v>
      </c>
      <c r="G521" s="603"/>
      <c r="H521" s="604"/>
    </row>
    <row r="522" spans="1:8" hidden="1">
      <c r="A522" s="526">
        <f t="shared" si="8"/>
        <v>461</v>
      </c>
      <c r="B522" s="112"/>
      <c r="C522" s="458" t="s">
        <v>1444</v>
      </c>
      <c r="D522" s="593" t="s">
        <v>1497</v>
      </c>
      <c r="E522" s="594"/>
      <c r="F522" s="595" t="e">
        <f>ANL!J9081</f>
        <v>#VALUE!</v>
      </c>
      <c r="G522" s="603"/>
      <c r="H522" s="604"/>
    </row>
    <row r="523" spans="1:8" hidden="1">
      <c r="A523" s="526">
        <f t="shared" si="8"/>
        <v>462</v>
      </c>
      <c r="B523" s="112"/>
      <c r="C523" s="458" t="s">
        <v>1443</v>
      </c>
      <c r="D523" s="593" t="s">
        <v>3</v>
      </c>
      <c r="E523" s="594"/>
      <c r="F523" s="595" t="e">
        <f>ANL!J9098</f>
        <v>#VALUE!</v>
      </c>
      <c r="G523" s="603"/>
      <c r="H523" s="604"/>
    </row>
    <row r="524" spans="1:8" hidden="1">
      <c r="A524" s="526">
        <f t="shared" si="8"/>
        <v>463</v>
      </c>
      <c r="B524" s="112"/>
      <c r="C524" s="458" t="s">
        <v>1442</v>
      </c>
      <c r="D524" s="593" t="s">
        <v>1498</v>
      </c>
      <c r="E524" s="594"/>
      <c r="F524" s="595" t="e">
        <f>ANL!J9115</f>
        <v>#VALUE!</v>
      </c>
      <c r="G524" s="603"/>
      <c r="H524" s="604"/>
    </row>
    <row r="525" spans="1:8" hidden="1">
      <c r="A525" s="526">
        <f t="shared" si="8"/>
        <v>464</v>
      </c>
      <c r="B525" s="112"/>
      <c r="C525" s="458" t="s">
        <v>1441</v>
      </c>
      <c r="D525" s="593" t="s">
        <v>1499</v>
      </c>
      <c r="E525" s="594"/>
      <c r="F525" s="595" t="e">
        <f>ANL!J9132</f>
        <v>#VALUE!</v>
      </c>
      <c r="G525" s="603"/>
      <c r="H525" s="604"/>
    </row>
    <row r="526" spans="1:8" hidden="1">
      <c r="A526" s="526">
        <f t="shared" si="8"/>
        <v>465</v>
      </c>
      <c r="B526" s="112"/>
      <c r="C526" s="458" t="s">
        <v>1440</v>
      </c>
      <c r="D526" s="593" t="s">
        <v>1500</v>
      </c>
      <c r="E526" s="594"/>
      <c r="F526" s="595" t="e">
        <f>ANL!J9149</f>
        <v>#VALUE!</v>
      </c>
      <c r="G526" s="603"/>
      <c r="H526" s="604"/>
    </row>
    <row r="527" spans="1:8" hidden="1">
      <c r="A527" s="526">
        <f t="shared" si="8"/>
        <v>466</v>
      </c>
      <c r="B527" s="112"/>
      <c r="C527" s="458" t="s">
        <v>1439</v>
      </c>
      <c r="D527" s="593" t="s">
        <v>1501</v>
      </c>
      <c r="E527" s="594"/>
      <c r="F527" s="595" t="e">
        <f>ANL!J9166</f>
        <v>#VALUE!</v>
      </c>
      <c r="G527" s="603"/>
      <c r="H527" s="604"/>
    </row>
    <row r="528" spans="1:8" hidden="1">
      <c r="A528" s="526">
        <f t="shared" si="8"/>
        <v>467</v>
      </c>
      <c r="B528" s="112"/>
      <c r="C528" s="458" t="s">
        <v>1438</v>
      </c>
      <c r="D528" s="593" t="s">
        <v>1502</v>
      </c>
      <c r="E528" s="594"/>
      <c r="F528" s="595" t="e">
        <f>ANL!J9183</f>
        <v>#VALUE!</v>
      </c>
      <c r="G528" s="603"/>
      <c r="H528" s="604"/>
    </row>
    <row r="529" spans="1:8" hidden="1">
      <c r="A529" s="526">
        <f t="shared" si="8"/>
        <v>468</v>
      </c>
      <c r="B529" s="112"/>
      <c r="C529" s="458" t="s">
        <v>1437</v>
      </c>
      <c r="D529" s="593" t="s">
        <v>1503</v>
      </c>
      <c r="E529" s="594"/>
      <c r="F529" s="595">
        <f>ANL!J9200</f>
        <v>0</v>
      </c>
      <c r="G529" s="603"/>
      <c r="H529" s="604"/>
    </row>
    <row r="530" spans="1:8" hidden="1">
      <c r="A530" s="526">
        <f t="shared" si="8"/>
        <v>469</v>
      </c>
      <c r="B530" s="112"/>
      <c r="C530" s="458" t="s">
        <v>1436</v>
      </c>
      <c r="D530" s="593" t="s">
        <v>1504</v>
      </c>
      <c r="E530" s="594"/>
      <c r="F530" s="595">
        <f>ANL!J9217</f>
        <v>0</v>
      </c>
      <c r="G530" s="603"/>
      <c r="H530" s="604"/>
    </row>
    <row r="531" spans="1:8" hidden="1">
      <c r="A531" s="526">
        <f t="shared" si="8"/>
        <v>470</v>
      </c>
      <c r="B531" s="112"/>
      <c r="C531" s="458" t="s">
        <v>1435</v>
      </c>
      <c r="D531" s="593" t="s">
        <v>1505</v>
      </c>
      <c r="E531" s="594"/>
      <c r="F531" s="595">
        <f>ANL!J9234</f>
        <v>0</v>
      </c>
      <c r="G531" s="603"/>
      <c r="H531" s="604"/>
    </row>
    <row r="532" spans="1:8" hidden="1">
      <c r="A532" s="526">
        <f t="shared" si="8"/>
        <v>471</v>
      </c>
      <c r="B532" s="112"/>
      <c r="C532" s="458" t="s">
        <v>1434</v>
      </c>
      <c r="D532" s="593" t="s">
        <v>1506</v>
      </c>
      <c r="E532" s="594"/>
      <c r="F532" s="595">
        <f>ANL!J9251</f>
        <v>0</v>
      </c>
      <c r="G532" s="603"/>
      <c r="H532" s="604"/>
    </row>
    <row r="533" spans="1:8" hidden="1">
      <c r="A533" s="526">
        <f t="shared" si="8"/>
        <v>472</v>
      </c>
      <c r="B533" s="112"/>
      <c r="C533" s="458" t="s">
        <v>1433</v>
      </c>
      <c r="D533" s="593" t="s">
        <v>1507</v>
      </c>
      <c r="E533" s="594"/>
      <c r="F533" s="595">
        <f>ANL!J9268</f>
        <v>0</v>
      </c>
      <c r="G533" s="603"/>
      <c r="H533" s="604"/>
    </row>
    <row r="534" spans="1:8" hidden="1">
      <c r="A534" s="526">
        <f t="shared" si="8"/>
        <v>473</v>
      </c>
      <c r="B534" s="112"/>
      <c r="C534" s="458" t="s">
        <v>1432</v>
      </c>
      <c r="D534" s="593" t="s">
        <v>1508</v>
      </c>
      <c r="E534" s="594"/>
      <c r="F534" s="595">
        <f>ANL!J9285</f>
        <v>0</v>
      </c>
      <c r="G534" s="603"/>
      <c r="H534" s="604"/>
    </row>
    <row r="535" spans="1:8" hidden="1">
      <c r="A535" s="526">
        <f t="shared" si="8"/>
        <v>474</v>
      </c>
      <c r="B535" s="112"/>
      <c r="C535" s="458" t="s">
        <v>1431</v>
      </c>
      <c r="D535" s="593" t="s">
        <v>1509</v>
      </c>
      <c r="E535" s="594"/>
      <c r="F535" s="595">
        <f>ANL!J9304</f>
        <v>0</v>
      </c>
      <c r="G535" s="603"/>
      <c r="H535" s="604"/>
    </row>
    <row r="536" spans="1:8" hidden="1">
      <c r="A536" s="526">
        <f t="shared" si="8"/>
        <v>475</v>
      </c>
      <c r="B536" s="112"/>
      <c r="C536" s="458" t="s">
        <v>1430</v>
      </c>
      <c r="D536" s="593" t="s">
        <v>1510</v>
      </c>
      <c r="E536" s="594"/>
      <c r="F536" s="595">
        <f>ANL!J9323</f>
        <v>0</v>
      </c>
      <c r="G536" s="603"/>
      <c r="H536" s="604"/>
    </row>
    <row r="537" spans="1:8" hidden="1">
      <c r="A537" s="526">
        <f t="shared" si="8"/>
        <v>476</v>
      </c>
      <c r="B537" s="112"/>
      <c r="C537" s="458" t="s">
        <v>1429</v>
      </c>
      <c r="D537" s="593" t="s">
        <v>1511</v>
      </c>
      <c r="E537" s="594"/>
      <c r="F537" s="595">
        <f>ANL!J9342</f>
        <v>0</v>
      </c>
      <c r="G537" s="603"/>
      <c r="H537" s="604"/>
    </row>
    <row r="538" spans="1:8" hidden="1">
      <c r="A538" s="526">
        <f t="shared" si="8"/>
        <v>477</v>
      </c>
      <c r="B538" s="112"/>
      <c r="C538" s="458" t="s">
        <v>1428</v>
      </c>
      <c r="D538" s="593" t="s">
        <v>1947</v>
      </c>
      <c r="E538" s="594"/>
      <c r="F538" s="595">
        <f>ANL!J9361</f>
        <v>0</v>
      </c>
      <c r="G538" s="603"/>
      <c r="H538" s="604"/>
    </row>
    <row r="539" spans="1:8" hidden="1">
      <c r="A539" s="526">
        <f t="shared" si="8"/>
        <v>478</v>
      </c>
      <c r="B539" s="112"/>
      <c r="C539" s="458" t="s">
        <v>1427</v>
      </c>
      <c r="D539" s="593" t="s">
        <v>1513</v>
      </c>
      <c r="E539" s="594"/>
      <c r="F539" s="595">
        <f>ANL!J9380</f>
        <v>0</v>
      </c>
      <c r="G539" s="603"/>
      <c r="H539" s="604"/>
    </row>
    <row r="540" spans="1:8" hidden="1">
      <c r="A540" s="526">
        <f t="shared" si="8"/>
        <v>479</v>
      </c>
      <c r="B540" s="112"/>
      <c r="C540" s="458" t="s">
        <v>1426</v>
      </c>
      <c r="D540" s="593" t="s">
        <v>1514</v>
      </c>
      <c r="E540" s="594"/>
      <c r="F540" s="595">
        <f>ANL!J9399</f>
        <v>0</v>
      </c>
      <c r="G540" s="603"/>
      <c r="H540" s="604"/>
    </row>
    <row r="541" spans="1:8" hidden="1">
      <c r="A541" s="526">
        <f t="shared" si="8"/>
        <v>480</v>
      </c>
      <c r="B541" s="112"/>
      <c r="C541" s="458" t="s">
        <v>1425</v>
      </c>
      <c r="D541" s="593" t="s">
        <v>1515</v>
      </c>
      <c r="E541" s="594"/>
      <c r="F541" s="595">
        <f>ANL!J9418</f>
        <v>0</v>
      </c>
      <c r="G541" s="603"/>
      <c r="H541" s="604"/>
    </row>
    <row r="542" spans="1:8" hidden="1">
      <c r="A542" s="526">
        <f t="shared" si="8"/>
        <v>481</v>
      </c>
      <c r="B542" s="112"/>
      <c r="C542" s="458" t="s">
        <v>1424</v>
      </c>
      <c r="D542" s="593" t="s">
        <v>1516</v>
      </c>
      <c r="E542" s="594"/>
      <c r="F542" s="595">
        <f>ANL!J9437</f>
        <v>0</v>
      </c>
      <c r="G542" s="603"/>
      <c r="H542" s="604"/>
    </row>
    <row r="543" spans="1:8" hidden="1">
      <c r="A543" s="526">
        <f t="shared" si="8"/>
        <v>482</v>
      </c>
      <c r="B543" s="112"/>
      <c r="C543" s="458" t="s">
        <v>1423</v>
      </c>
      <c r="D543" s="593" t="s">
        <v>1517</v>
      </c>
      <c r="E543" s="594"/>
      <c r="F543" s="595">
        <f>ANL!J9456</f>
        <v>0</v>
      </c>
      <c r="G543" s="603"/>
      <c r="H543" s="604"/>
    </row>
    <row r="544" spans="1:8" hidden="1">
      <c r="A544" s="526">
        <f t="shared" si="8"/>
        <v>483</v>
      </c>
      <c r="B544" s="112"/>
      <c r="C544" s="458" t="s">
        <v>1422</v>
      </c>
      <c r="D544" s="593" t="s">
        <v>1518</v>
      </c>
      <c r="E544" s="594"/>
      <c r="F544" s="595">
        <f>ANL!J9473</f>
        <v>0</v>
      </c>
      <c r="G544" s="603"/>
      <c r="H544" s="604"/>
    </row>
    <row r="545" spans="1:8" hidden="1">
      <c r="A545" s="526">
        <f t="shared" si="8"/>
        <v>484</v>
      </c>
      <c r="B545" s="112"/>
      <c r="C545" s="458" t="s">
        <v>1421</v>
      </c>
      <c r="D545" s="593" t="s">
        <v>1519</v>
      </c>
      <c r="E545" s="594"/>
      <c r="F545" s="595">
        <f>ANL!J9490</f>
        <v>0</v>
      </c>
      <c r="G545" s="603"/>
      <c r="H545" s="604"/>
    </row>
    <row r="546" spans="1:8" hidden="1">
      <c r="A546" s="526">
        <f t="shared" si="8"/>
        <v>485</v>
      </c>
      <c r="B546" s="112"/>
      <c r="C546" s="458" t="s">
        <v>1420</v>
      </c>
      <c r="D546" s="593" t="s">
        <v>1520</v>
      </c>
      <c r="E546" s="594"/>
      <c r="F546" s="595">
        <f>ANL!J9507</f>
        <v>0</v>
      </c>
      <c r="G546" s="603"/>
      <c r="H546" s="604"/>
    </row>
    <row r="547" spans="1:8" hidden="1">
      <c r="A547" s="526">
        <f t="shared" si="8"/>
        <v>486</v>
      </c>
      <c r="B547" s="112"/>
      <c r="C547" s="458" t="s">
        <v>1419</v>
      </c>
      <c r="D547" s="593" t="s">
        <v>1521</v>
      </c>
      <c r="E547" s="594"/>
      <c r="F547" s="595">
        <f>ANL!J9524</f>
        <v>0</v>
      </c>
      <c r="G547" s="603"/>
      <c r="H547" s="604"/>
    </row>
    <row r="548" spans="1:8" hidden="1">
      <c r="A548" s="526">
        <f t="shared" si="8"/>
        <v>487</v>
      </c>
      <c r="B548" s="112"/>
      <c r="C548" s="458" t="s">
        <v>1418</v>
      </c>
      <c r="D548" s="593" t="s">
        <v>1522</v>
      </c>
      <c r="E548" s="594"/>
      <c r="F548" s="595">
        <f>ANL!J9541</f>
        <v>0</v>
      </c>
      <c r="G548" s="603"/>
      <c r="H548" s="604"/>
    </row>
    <row r="549" spans="1:8" hidden="1">
      <c r="A549" s="526">
        <f t="shared" si="8"/>
        <v>488</v>
      </c>
      <c r="B549" s="112"/>
      <c r="C549" s="458" t="s">
        <v>1417</v>
      </c>
      <c r="D549" s="593" t="s">
        <v>1948</v>
      </c>
      <c r="E549" s="594"/>
      <c r="F549" s="595">
        <f>ANL!J9558</f>
        <v>0</v>
      </c>
      <c r="G549" s="603"/>
      <c r="H549" s="604"/>
    </row>
    <row r="550" spans="1:8" hidden="1">
      <c r="A550" s="526">
        <f t="shared" si="8"/>
        <v>489</v>
      </c>
      <c r="B550" s="112"/>
      <c r="C550" s="458" t="s">
        <v>1416</v>
      </c>
      <c r="D550" s="593" t="s">
        <v>1524</v>
      </c>
      <c r="E550" s="594"/>
      <c r="F550" s="595">
        <f>ANL!J9575</f>
        <v>0</v>
      </c>
      <c r="G550" s="603"/>
      <c r="H550" s="604"/>
    </row>
    <row r="551" spans="1:8" hidden="1">
      <c r="A551" s="526">
        <f t="shared" si="8"/>
        <v>490</v>
      </c>
      <c r="B551" s="112"/>
      <c r="C551" s="458" t="s">
        <v>1415</v>
      </c>
      <c r="D551" s="593" t="s">
        <v>1525</v>
      </c>
      <c r="E551" s="594"/>
      <c r="F551" s="595" t="e">
        <f>ANL!J9593</f>
        <v>#VALUE!</v>
      </c>
      <c r="G551" s="603"/>
      <c r="H551" s="604"/>
    </row>
    <row r="552" spans="1:8" hidden="1">
      <c r="A552" s="526">
        <f t="shared" si="8"/>
        <v>491</v>
      </c>
      <c r="B552" s="112"/>
      <c r="C552" s="458" t="s">
        <v>1414</v>
      </c>
      <c r="D552" s="593" t="s">
        <v>1526</v>
      </c>
      <c r="E552" s="594"/>
      <c r="F552" s="595" t="e">
        <f>ANL!J9611</f>
        <v>#VALUE!</v>
      </c>
      <c r="G552" s="603"/>
      <c r="H552" s="604"/>
    </row>
    <row r="553" spans="1:8" hidden="1">
      <c r="A553" s="526">
        <f t="shared" si="8"/>
        <v>492</v>
      </c>
      <c r="B553" s="112"/>
      <c r="C553" s="458" t="s">
        <v>1413</v>
      </c>
      <c r="D553" s="593" t="s">
        <v>1527</v>
      </c>
      <c r="E553" s="594"/>
      <c r="F553" s="595" t="e">
        <f>ANL!J9629</f>
        <v>#VALUE!</v>
      </c>
      <c r="G553" s="603"/>
      <c r="H553" s="604"/>
    </row>
    <row r="554" spans="1:8" hidden="1">
      <c r="A554" s="526">
        <f t="shared" si="8"/>
        <v>493</v>
      </c>
      <c r="B554" s="112"/>
      <c r="C554" s="458" t="s">
        <v>1412</v>
      </c>
      <c r="D554" s="593" t="s">
        <v>1528</v>
      </c>
      <c r="E554" s="594"/>
      <c r="F554" s="595" t="e">
        <f>ANL!J9647</f>
        <v>#VALUE!</v>
      </c>
      <c r="G554" s="603"/>
      <c r="H554" s="604"/>
    </row>
    <row r="555" spans="1:8" hidden="1">
      <c r="A555" s="526">
        <f t="shared" si="8"/>
        <v>494</v>
      </c>
      <c r="B555" s="112"/>
      <c r="C555" s="458" t="s">
        <v>1411</v>
      </c>
      <c r="D555" s="593" t="s">
        <v>1529</v>
      </c>
      <c r="E555" s="594"/>
      <c r="F555" s="595" t="e">
        <f>ANL!J9665</f>
        <v>#VALUE!</v>
      </c>
      <c r="G555" s="603"/>
      <c r="H555" s="604"/>
    </row>
    <row r="556" spans="1:8" hidden="1">
      <c r="A556" s="526">
        <f t="shared" ref="A556:A619" si="9">A555+1</f>
        <v>495</v>
      </c>
      <c r="B556" s="112"/>
      <c r="C556" s="458" t="s">
        <v>1410</v>
      </c>
      <c r="D556" s="593" t="s">
        <v>1530</v>
      </c>
      <c r="E556" s="594"/>
      <c r="F556" s="595" t="e">
        <f>ANL!J9683</f>
        <v>#VALUE!</v>
      </c>
      <c r="G556" s="603"/>
      <c r="H556" s="604"/>
    </row>
    <row r="557" spans="1:8" hidden="1">
      <c r="A557" s="526">
        <f t="shared" si="9"/>
        <v>496</v>
      </c>
      <c r="B557" s="112"/>
      <c r="C557" s="458" t="s">
        <v>1409</v>
      </c>
      <c r="D557" s="593" t="s">
        <v>1531</v>
      </c>
      <c r="E557" s="594"/>
      <c r="F557" s="595" t="e">
        <f>ANL!J9701</f>
        <v>#VALUE!</v>
      </c>
      <c r="G557" s="603"/>
      <c r="H557" s="604"/>
    </row>
    <row r="558" spans="1:8" hidden="1">
      <c r="A558" s="526">
        <f t="shared" si="9"/>
        <v>497</v>
      </c>
      <c r="B558" s="112"/>
      <c r="C558" s="458" t="s">
        <v>1408</v>
      </c>
      <c r="D558" s="593" t="s">
        <v>1532</v>
      </c>
      <c r="E558" s="594"/>
      <c r="F558" s="595" t="e">
        <f>ANL!J9719</f>
        <v>#VALUE!</v>
      </c>
      <c r="G558" s="603"/>
      <c r="H558" s="604"/>
    </row>
    <row r="559" spans="1:8" hidden="1">
      <c r="A559" s="526">
        <f t="shared" si="9"/>
        <v>498</v>
      </c>
      <c r="B559" s="112"/>
      <c r="C559" s="458" t="s">
        <v>1407</v>
      </c>
      <c r="D559" s="593" t="s">
        <v>1533</v>
      </c>
      <c r="E559" s="594"/>
      <c r="F559" s="595" t="e">
        <f>ANL!J9737</f>
        <v>#VALUE!</v>
      </c>
      <c r="G559" s="603"/>
      <c r="H559" s="604"/>
    </row>
    <row r="560" spans="1:8" hidden="1">
      <c r="A560" s="526"/>
      <c r="B560" s="112"/>
      <c r="C560" s="496"/>
      <c r="D560" s="601"/>
      <c r="E560" s="602"/>
      <c r="F560" s="595"/>
      <c r="G560" s="603"/>
      <c r="H560" s="604"/>
    </row>
    <row r="561" spans="1:8" s="600" customFormat="1" ht="13" hidden="1">
      <c r="A561" s="605"/>
      <c r="B561" s="606" t="s">
        <v>527</v>
      </c>
      <c r="C561" s="607" t="s">
        <v>528</v>
      </c>
      <c r="D561" s="598"/>
      <c r="E561" s="599"/>
      <c r="F561" s="597"/>
      <c r="G561" s="603"/>
      <c r="H561" s="604"/>
    </row>
    <row r="562" spans="1:8" hidden="1">
      <c r="A562" s="526">
        <v>491</v>
      </c>
      <c r="B562" s="112"/>
      <c r="C562" s="458" t="s">
        <v>1406</v>
      </c>
      <c r="D562" s="593" t="s">
        <v>1534</v>
      </c>
      <c r="E562" s="594"/>
      <c r="F562" s="595">
        <f>ANL!J9755</f>
        <v>0</v>
      </c>
      <c r="G562" s="603"/>
      <c r="H562" s="604"/>
    </row>
    <row r="563" spans="1:8" hidden="1">
      <c r="A563" s="526">
        <f t="shared" si="9"/>
        <v>492</v>
      </c>
      <c r="B563" s="112"/>
      <c r="C563" s="458" t="s">
        <v>1535</v>
      </c>
      <c r="D563" s="593" t="s">
        <v>1902</v>
      </c>
      <c r="E563" s="594"/>
      <c r="F563" s="595">
        <f>ANL!J9772</f>
        <v>0</v>
      </c>
      <c r="G563" s="603"/>
      <c r="H563" s="604"/>
    </row>
    <row r="564" spans="1:8" hidden="1">
      <c r="A564" s="526">
        <f t="shared" si="9"/>
        <v>493</v>
      </c>
      <c r="B564" s="112"/>
      <c r="C564" s="458" t="s">
        <v>1536</v>
      </c>
      <c r="D564" s="593" t="s">
        <v>1551</v>
      </c>
      <c r="E564" s="594"/>
      <c r="F564" s="595">
        <f>ANL!J9789</f>
        <v>0</v>
      </c>
      <c r="G564" s="603"/>
      <c r="H564" s="604"/>
    </row>
    <row r="565" spans="1:8" hidden="1">
      <c r="A565" s="526">
        <f t="shared" si="9"/>
        <v>494</v>
      </c>
      <c r="B565" s="112"/>
      <c r="C565" s="458" t="s">
        <v>1537</v>
      </c>
      <c r="D565" s="593" t="s">
        <v>1550</v>
      </c>
      <c r="E565" s="594"/>
      <c r="F565" s="595">
        <f>ANL!J9806</f>
        <v>0</v>
      </c>
      <c r="G565" s="603"/>
      <c r="H565" s="604"/>
    </row>
    <row r="566" spans="1:8" hidden="1">
      <c r="A566" s="526">
        <f t="shared" si="9"/>
        <v>495</v>
      </c>
      <c r="B566" s="112"/>
      <c r="C566" s="458" t="s">
        <v>1538</v>
      </c>
      <c r="D566" s="593" t="s">
        <v>1549</v>
      </c>
      <c r="E566" s="594"/>
      <c r="F566" s="595">
        <f>ANL!J9823</f>
        <v>0</v>
      </c>
      <c r="G566" s="603"/>
      <c r="H566" s="604"/>
    </row>
    <row r="567" spans="1:8" hidden="1">
      <c r="A567" s="526">
        <f t="shared" si="9"/>
        <v>496</v>
      </c>
      <c r="B567" s="112"/>
      <c r="C567" s="458" t="s">
        <v>1539</v>
      </c>
      <c r="D567" s="593" t="s">
        <v>1548</v>
      </c>
      <c r="E567" s="594"/>
      <c r="F567" s="595">
        <f>ANL!J9840</f>
        <v>0</v>
      </c>
      <c r="G567" s="603"/>
      <c r="H567" s="604"/>
    </row>
    <row r="568" spans="1:8" hidden="1">
      <c r="A568" s="526">
        <f t="shared" si="9"/>
        <v>497</v>
      </c>
      <c r="B568" s="112"/>
      <c r="C568" s="458" t="s">
        <v>1540</v>
      </c>
      <c r="D568" s="593" t="s">
        <v>1547</v>
      </c>
      <c r="E568" s="594"/>
      <c r="F568" s="595">
        <f>ANL!J9857</f>
        <v>0</v>
      </c>
      <c r="G568" s="603"/>
      <c r="H568" s="604"/>
    </row>
    <row r="569" spans="1:8" hidden="1">
      <c r="A569" s="526">
        <f t="shared" si="9"/>
        <v>498</v>
      </c>
      <c r="B569" s="112"/>
      <c r="C569" s="458" t="s">
        <v>1541</v>
      </c>
      <c r="D569" s="593" t="s">
        <v>1546</v>
      </c>
      <c r="E569" s="594"/>
      <c r="F569" s="595" t="e">
        <f>ANL!J9874</f>
        <v>#VALUE!</v>
      </c>
      <c r="G569" s="603"/>
      <c r="H569" s="604"/>
    </row>
    <row r="570" spans="1:8" hidden="1">
      <c r="A570" s="526">
        <f t="shared" si="9"/>
        <v>499</v>
      </c>
      <c r="B570" s="112"/>
      <c r="C570" s="458" t="s">
        <v>1542</v>
      </c>
      <c r="D570" s="593" t="s">
        <v>1545</v>
      </c>
      <c r="E570" s="594"/>
      <c r="F570" s="595" t="e">
        <f>ANL!J9891</f>
        <v>#VALUE!</v>
      </c>
      <c r="G570" s="603"/>
      <c r="H570" s="604"/>
    </row>
    <row r="571" spans="1:8" hidden="1">
      <c r="A571" s="526">
        <f t="shared" si="9"/>
        <v>500</v>
      </c>
      <c r="B571" s="112"/>
      <c r="C571" s="458" t="s">
        <v>1543</v>
      </c>
      <c r="D571" s="593" t="s">
        <v>1544</v>
      </c>
      <c r="E571" s="594"/>
      <c r="F571" s="595" t="e">
        <f>ANL!J9908</f>
        <v>#VALUE!</v>
      </c>
      <c r="G571" s="603"/>
      <c r="H571" s="604"/>
    </row>
    <row r="572" spans="1:8" hidden="1">
      <c r="A572" s="526">
        <f t="shared" si="9"/>
        <v>501</v>
      </c>
      <c r="B572" s="112"/>
      <c r="C572" s="458" t="s">
        <v>1572</v>
      </c>
      <c r="D572" s="593" t="s">
        <v>1573</v>
      </c>
      <c r="E572" s="594"/>
      <c r="F572" s="595" t="e">
        <f>ANL!J9925</f>
        <v>#VALUE!</v>
      </c>
      <c r="G572" s="603"/>
      <c r="H572" s="604"/>
    </row>
    <row r="573" spans="1:8" hidden="1">
      <c r="A573" s="526">
        <f t="shared" si="9"/>
        <v>502</v>
      </c>
      <c r="B573" s="112"/>
      <c r="C573" s="458" t="s">
        <v>1571</v>
      </c>
      <c r="D573" s="593" t="s">
        <v>1574</v>
      </c>
      <c r="E573" s="594"/>
      <c r="F573" s="595" t="e">
        <f>ANL!J9942</f>
        <v>#VALUE!</v>
      </c>
      <c r="G573" s="603"/>
      <c r="H573" s="604"/>
    </row>
    <row r="574" spans="1:8" hidden="1">
      <c r="A574" s="526">
        <f t="shared" si="9"/>
        <v>503</v>
      </c>
      <c r="B574" s="112"/>
      <c r="C574" s="458" t="s">
        <v>1570</v>
      </c>
      <c r="D574" s="593" t="s">
        <v>1575</v>
      </c>
      <c r="E574" s="594"/>
      <c r="F574" s="595" t="e">
        <f>ANL!J9959</f>
        <v>#VALUE!</v>
      </c>
      <c r="G574" s="603"/>
      <c r="H574" s="604"/>
    </row>
    <row r="575" spans="1:8" hidden="1">
      <c r="A575" s="526">
        <f t="shared" si="9"/>
        <v>504</v>
      </c>
      <c r="B575" s="112"/>
      <c r="C575" s="458" t="s">
        <v>1569</v>
      </c>
      <c r="D575" s="593" t="s">
        <v>1576</v>
      </c>
      <c r="E575" s="594"/>
      <c r="F575" s="595" t="e">
        <f>ANL!J9976</f>
        <v>#VALUE!</v>
      </c>
      <c r="G575" s="603"/>
      <c r="H575" s="604"/>
    </row>
    <row r="576" spans="1:8" hidden="1">
      <c r="A576" s="526">
        <f t="shared" si="9"/>
        <v>505</v>
      </c>
      <c r="B576" s="112"/>
      <c r="C576" s="458" t="s">
        <v>1568</v>
      </c>
      <c r="D576" s="593" t="s">
        <v>1577</v>
      </c>
      <c r="E576" s="594"/>
      <c r="F576" s="595" t="e">
        <f>ANL!J9993</f>
        <v>#VALUE!</v>
      </c>
      <c r="G576" s="603"/>
      <c r="H576" s="604"/>
    </row>
    <row r="577" spans="1:8" hidden="1">
      <c r="A577" s="526">
        <f t="shared" si="9"/>
        <v>506</v>
      </c>
      <c r="B577" s="112"/>
      <c r="C577" s="458" t="s">
        <v>1567</v>
      </c>
      <c r="D577" s="593" t="s">
        <v>1578</v>
      </c>
      <c r="E577" s="594"/>
      <c r="F577" s="595" t="e">
        <f>ANL!J10010</f>
        <v>#VALUE!</v>
      </c>
      <c r="G577" s="603"/>
      <c r="H577" s="604"/>
    </row>
    <row r="578" spans="1:8" hidden="1">
      <c r="A578" s="526">
        <f t="shared" si="9"/>
        <v>507</v>
      </c>
      <c r="B578" s="112"/>
      <c r="C578" s="458" t="s">
        <v>1566</v>
      </c>
      <c r="D578" s="593" t="s">
        <v>1579</v>
      </c>
      <c r="E578" s="594"/>
      <c r="F578" s="595">
        <f>ANL!J10028</f>
        <v>0</v>
      </c>
      <c r="G578" s="603"/>
      <c r="H578" s="604"/>
    </row>
    <row r="579" spans="1:8" hidden="1">
      <c r="A579" s="526">
        <f t="shared" si="9"/>
        <v>508</v>
      </c>
      <c r="B579" s="112"/>
      <c r="C579" s="458" t="s">
        <v>1565</v>
      </c>
      <c r="D579" s="593" t="s">
        <v>1580</v>
      </c>
      <c r="E579" s="594"/>
      <c r="F579" s="595">
        <f>ANL!J10046</f>
        <v>0</v>
      </c>
      <c r="G579" s="603"/>
      <c r="H579" s="604"/>
    </row>
    <row r="580" spans="1:8" hidden="1">
      <c r="A580" s="526">
        <f t="shared" si="9"/>
        <v>509</v>
      </c>
      <c r="B580" s="112"/>
      <c r="C580" s="458" t="s">
        <v>1564</v>
      </c>
      <c r="D580" s="593" t="s">
        <v>1903</v>
      </c>
      <c r="E580" s="594"/>
      <c r="F580" s="595">
        <f>ANL!J10064</f>
        <v>0</v>
      </c>
      <c r="G580" s="603"/>
      <c r="H580" s="604"/>
    </row>
    <row r="581" spans="1:8" hidden="1">
      <c r="A581" s="526">
        <f t="shared" si="9"/>
        <v>510</v>
      </c>
      <c r="B581" s="112"/>
      <c r="C581" s="458" t="s">
        <v>1563</v>
      </c>
      <c r="D581" s="593" t="s">
        <v>1582</v>
      </c>
      <c r="E581" s="594"/>
      <c r="F581" s="595">
        <f>ANL!J10082</f>
        <v>0</v>
      </c>
      <c r="G581" s="603"/>
      <c r="H581" s="604"/>
    </row>
    <row r="582" spans="1:8" hidden="1">
      <c r="A582" s="526">
        <f t="shared" si="9"/>
        <v>511</v>
      </c>
      <c r="B582" s="112"/>
      <c r="C582" s="458" t="s">
        <v>1562</v>
      </c>
      <c r="D582" s="593" t="s">
        <v>1583</v>
      </c>
      <c r="E582" s="594"/>
      <c r="F582" s="595">
        <f>ANL!J10100</f>
        <v>0</v>
      </c>
      <c r="G582" s="603"/>
      <c r="H582" s="604"/>
    </row>
    <row r="583" spans="1:8" hidden="1">
      <c r="A583" s="526">
        <f t="shared" si="9"/>
        <v>512</v>
      </c>
      <c r="B583" s="112"/>
      <c r="C583" s="458" t="s">
        <v>1561</v>
      </c>
      <c r="D583" s="593" t="s">
        <v>1904</v>
      </c>
      <c r="E583" s="594"/>
      <c r="F583" s="595">
        <f>ANL!J10118</f>
        <v>0</v>
      </c>
      <c r="G583" s="603"/>
      <c r="H583" s="604"/>
    </row>
    <row r="584" spans="1:8" hidden="1">
      <c r="A584" s="526">
        <f t="shared" si="9"/>
        <v>513</v>
      </c>
      <c r="B584" s="112"/>
      <c r="C584" s="458" t="s">
        <v>1560</v>
      </c>
      <c r="D584" s="593" t="s">
        <v>1585</v>
      </c>
      <c r="E584" s="594"/>
      <c r="F584" s="595">
        <f>ANL!J10136</f>
        <v>0</v>
      </c>
      <c r="G584" s="603"/>
      <c r="H584" s="604"/>
    </row>
    <row r="585" spans="1:8" hidden="1">
      <c r="A585" s="526">
        <f t="shared" si="9"/>
        <v>514</v>
      </c>
      <c r="B585" s="112"/>
      <c r="C585" s="458" t="s">
        <v>1559</v>
      </c>
      <c r="D585" s="593" t="s">
        <v>1586</v>
      </c>
      <c r="E585" s="594"/>
      <c r="F585" s="595">
        <f>ANL!J10154</f>
        <v>0</v>
      </c>
      <c r="G585" s="603"/>
      <c r="H585" s="604"/>
    </row>
    <row r="586" spans="1:8" hidden="1">
      <c r="A586" s="526">
        <f t="shared" si="9"/>
        <v>515</v>
      </c>
      <c r="B586" s="112"/>
      <c r="C586" s="458" t="s">
        <v>1558</v>
      </c>
      <c r="D586" s="593" t="s">
        <v>1587</v>
      </c>
      <c r="E586" s="594"/>
      <c r="F586" s="595">
        <f>ANL!J10172</f>
        <v>0</v>
      </c>
      <c r="G586" s="603"/>
      <c r="H586" s="604"/>
    </row>
    <row r="587" spans="1:8" hidden="1">
      <c r="A587" s="526">
        <f t="shared" si="9"/>
        <v>516</v>
      </c>
      <c r="B587" s="112"/>
      <c r="C587" s="458" t="s">
        <v>1557</v>
      </c>
      <c r="D587" s="593" t="s">
        <v>1588</v>
      </c>
      <c r="E587" s="594"/>
      <c r="F587" s="595">
        <f>ANL!J10190</f>
        <v>0</v>
      </c>
      <c r="G587" s="603"/>
      <c r="H587" s="604"/>
    </row>
    <row r="588" spans="1:8" hidden="1">
      <c r="A588" s="526">
        <f t="shared" si="9"/>
        <v>517</v>
      </c>
      <c r="B588" s="112"/>
      <c r="C588" s="458" t="s">
        <v>1556</v>
      </c>
      <c r="D588" s="593" t="s">
        <v>1589</v>
      </c>
      <c r="E588" s="594"/>
      <c r="F588" s="595">
        <f>ANL!J10208</f>
        <v>0</v>
      </c>
      <c r="G588" s="603"/>
      <c r="H588" s="604"/>
    </row>
    <row r="589" spans="1:8" hidden="1">
      <c r="A589" s="526">
        <f t="shared" si="9"/>
        <v>518</v>
      </c>
      <c r="B589" s="112"/>
      <c r="C589" s="458" t="s">
        <v>1555</v>
      </c>
      <c r="D589" s="593" t="s">
        <v>1590</v>
      </c>
      <c r="E589" s="594"/>
      <c r="F589" s="595">
        <f>ANL!J10226</f>
        <v>0</v>
      </c>
      <c r="G589" s="603"/>
      <c r="H589" s="604"/>
    </row>
    <row r="590" spans="1:8" hidden="1">
      <c r="A590" s="526">
        <f t="shared" si="9"/>
        <v>519</v>
      </c>
      <c r="B590" s="112"/>
      <c r="C590" s="458" t="s">
        <v>1554</v>
      </c>
      <c r="D590" s="593" t="s">
        <v>1905</v>
      </c>
      <c r="E590" s="594"/>
      <c r="F590" s="595" t="e">
        <f>ANL!J10244</f>
        <v>#VALUE!</v>
      </c>
      <c r="G590" s="603"/>
      <c r="H590" s="604"/>
    </row>
    <row r="591" spans="1:8" hidden="1">
      <c r="A591" s="526">
        <f t="shared" si="9"/>
        <v>520</v>
      </c>
      <c r="B591" s="112"/>
      <c r="C591" s="458" t="s">
        <v>1553</v>
      </c>
      <c r="D591" s="593" t="s">
        <v>1592</v>
      </c>
      <c r="E591" s="594"/>
      <c r="F591" s="595" t="e">
        <f>ANL!J10262</f>
        <v>#VALUE!</v>
      </c>
      <c r="G591" s="603"/>
      <c r="H591" s="604"/>
    </row>
    <row r="592" spans="1:8" hidden="1">
      <c r="A592" s="526">
        <f t="shared" si="9"/>
        <v>521</v>
      </c>
      <c r="B592" s="112"/>
      <c r="C592" s="458" t="s">
        <v>1593</v>
      </c>
      <c r="D592" s="593" t="s">
        <v>1594</v>
      </c>
      <c r="E592" s="594"/>
      <c r="F592" s="595" t="e">
        <f>ANL!J10280</f>
        <v>#VALUE!</v>
      </c>
      <c r="G592" s="603"/>
      <c r="H592" s="604"/>
    </row>
    <row r="593" spans="1:8" hidden="1">
      <c r="A593" s="526">
        <f t="shared" si="9"/>
        <v>522</v>
      </c>
      <c r="B593" s="112"/>
      <c r="C593" s="458" t="s">
        <v>1595</v>
      </c>
      <c r="D593" s="593" t="s">
        <v>1596</v>
      </c>
      <c r="E593" s="594"/>
      <c r="F593" s="595" t="e">
        <f>ANL!J10298</f>
        <v>#VALUE!</v>
      </c>
      <c r="G593" s="603"/>
      <c r="H593" s="604"/>
    </row>
    <row r="594" spans="1:8" hidden="1">
      <c r="A594" s="526">
        <f t="shared" si="9"/>
        <v>523</v>
      </c>
      <c r="B594" s="112"/>
      <c r="C594" s="458" t="s">
        <v>1646</v>
      </c>
      <c r="D594" s="593" t="s">
        <v>1647</v>
      </c>
      <c r="E594" s="594"/>
      <c r="F594" s="595">
        <f>ANL!J10315</f>
        <v>0</v>
      </c>
      <c r="G594" s="603"/>
      <c r="H594" s="604"/>
    </row>
    <row r="595" spans="1:8" hidden="1">
      <c r="A595" s="526">
        <f t="shared" si="9"/>
        <v>524</v>
      </c>
      <c r="B595" s="112"/>
      <c r="C595" s="458" t="s">
        <v>1645</v>
      </c>
      <c r="D595" s="593" t="s">
        <v>1648</v>
      </c>
      <c r="E595" s="594"/>
      <c r="F595" s="595">
        <f>ANL!J10332</f>
        <v>0</v>
      </c>
      <c r="G595" s="603"/>
      <c r="H595" s="604"/>
    </row>
    <row r="596" spans="1:8" hidden="1">
      <c r="A596" s="526">
        <f t="shared" si="9"/>
        <v>525</v>
      </c>
      <c r="B596" s="112"/>
      <c r="C596" s="458" t="s">
        <v>1644</v>
      </c>
      <c r="D596" s="593" t="s">
        <v>1649</v>
      </c>
      <c r="E596" s="594"/>
      <c r="F596" s="595">
        <f>ANL!J10349</f>
        <v>0</v>
      </c>
      <c r="G596" s="603"/>
      <c r="H596" s="604"/>
    </row>
    <row r="597" spans="1:8" hidden="1">
      <c r="A597" s="526">
        <f t="shared" si="9"/>
        <v>526</v>
      </c>
      <c r="B597" s="112"/>
      <c r="C597" s="458" t="s">
        <v>1643</v>
      </c>
      <c r="D597" s="593" t="s">
        <v>1650</v>
      </c>
      <c r="E597" s="594"/>
      <c r="F597" s="595">
        <f>ANL!J10366</f>
        <v>0</v>
      </c>
      <c r="G597" s="603"/>
      <c r="H597" s="604"/>
    </row>
    <row r="598" spans="1:8" hidden="1">
      <c r="A598" s="526">
        <f t="shared" si="9"/>
        <v>527</v>
      </c>
      <c r="B598" s="112"/>
      <c r="C598" s="458" t="s">
        <v>1642</v>
      </c>
      <c r="D598" s="593" t="s">
        <v>1651</v>
      </c>
      <c r="E598" s="594"/>
      <c r="F598" s="595">
        <f>ANL!J10383</f>
        <v>0</v>
      </c>
      <c r="G598" s="603"/>
      <c r="H598" s="604"/>
    </row>
    <row r="599" spans="1:8" hidden="1">
      <c r="A599" s="526">
        <f t="shared" si="9"/>
        <v>528</v>
      </c>
      <c r="B599" s="112"/>
      <c r="C599" s="458" t="s">
        <v>1641</v>
      </c>
      <c r="D599" s="593" t="s">
        <v>1652</v>
      </c>
      <c r="E599" s="594"/>
      <c r="F599" s="595">
        <f>ANL!J10400</f>
        <v>0</v>
      </c>
      <c r="G599" s="603"/>
      <c r="H599" s="604"/>
    </row>
    <row r="600" spans="1:8" hidden="1">
      <c r="A600" s="526">
        <f t="shared" si="9"/>
        <v>529</v>
      </c>
      <c r="B600" s="112"/>
      <c r="C600" s="458" t="s">
        <v>1640</v>
      </c>
      <c r="D600" s="593" t="s">
        <v>1653</v>
      </c>
      <c r="E600" s="594"/>
      <c r="F600" s="595">
        <f>ANL!J10417</f>
        <v>0</v>
      </c>
      <c r="G600" s="603"/>
      <c r="H600" s="604"/>
    </row>
    <row r="601" spans="1:8" hidden="1">
      <c r="A601" s="526">
        <f t="shared" si="9"/>
        <v>530</v>
      </c>
      <c r="B601" s="112"/>
      <c r="C601" s="458" t="s">
        <v>1639</v>
      </c>
      <c r="D601" s="593" t="s">
        <v>1654</v>
      </c>
      <c r="E601" s="594"/>
      <c r="F601" s="595" t="e">
        <f>ANL!J10434</f>
        <v>#VALUE!</v>
      </c>
      <c r="G601" s="603"/>
      <c r="H601" s="604"/>
    </row>
    <row r="602" spans="1:8" hidden="1">
      <c r="A602" s="526">
        <f t="shared" si="9"/>
        <v>531</v>
      </c>
      <c r="B602" s="112"/>
      <c r="C602" s="458" t="s">
        <v>1638</v>
      </c>
      <c r="D602" s="593" t="s">
        <v>1655</v>
      </c>
      <c r="E602" s="594"/>
      <c r="F602" s="595" t="e">
        <f>ANL!J10451</f>
        <v>#VALUE!</v>
      </c>
      <c r="G602" s="603"/>
      <c r="H602" s="604"/>
    </row>
    <row r="603" spans="1:8" hidden="1">
      <c r="A603" s="526">
        <f t="shared" si="9"/>
        <v>532</v>
      </c>
      <c r="B603" s="112"/>
      <c r="C603" s="458" t="s">
        <v>1637</v>
      </c>
      <c r="D603" s="593" t="s">
        <v>1656</v>
      </c>
      <c r="E603" s="594"/>
      <c r="F603" s="595" t="e">
        <f>ANL!J10468</f>
        <v>#VALUE!</v>
      </c>
      <c r="G603" s="603"/>
      <c r="H603" s="604"/>
    </row>
    <row r="604" spans="1:8" hidden="1">
      <c r="A604" s="526">
        <f t="shared" si="9"/>
        <v>533</v>
      </c>
      <c r="B604" s="112"/>
      <c r="C604" s="458" t="s">
        <v>1636</v>
      </c>
      <c r="D604" s="593" t="s">
        <v>1949</v>
      </c>
      <c r="E604" s="594"/>
      <c r="F604" s="595" t="e">
        <f>ANL!J10485</f>
        <v>#VALUE!</v>
      </c>
      <c r="G604" s="603"/>
      <c r="H604" s="604"/>
    </row>
    <row r="605" spans="1:8" hidden="1">
      <c r="A605" s="526">
        <f t="shared" si="9"/>
        <v>534</v>
      </c>
      <c r="B605" s="112"/>
      <c r="C605" s="458" t="s">
        <v>1635</v>
      </c>
      <c r="D605" s="593" t="s">
        <v>1658</v>
      </c>
      <c r="E605" s="594"/>
      <c r="F605" s="595" t="e">
        <f>ANL!J10502</f>
        <v>#VALUE!</v>
      </c>
      <c r="G605" s="603"/>
      <c r="H605" s="604"/>
    </row>
    <row r="606" spans="1:8" hidden="1">
      <c r="A606" s="526">
        <f t="shared" si="9"/>
        <v>535</v>
      </c>
      <c r="B606" s="112"/>
      <c r="C606" s="458" t="s">
        <v>1634</v>
      </c>
      <c r="D606" s="593" t="s">
        <v>1659</v>
      </c>
      <c r="E606" s="594"/>
      <c r="F606" s="595" t="e">
        <f>ANL!J10519</f>
        <v>#VALUE!</v>
      </c>
      <c r="G606" s="603"/>
      <c r="H606" s="604"/>
    </row>
    <row r="607" spans="1:8" hidden="1">
      <c r="A607" s="526">
        <f t="shared" si="9"/>
        <v>536</v>
      </c>
      <c r="B607" s="112"/>
      <c r="C607" s="458" t="s">
        <v>1633</v>
      </c>
      <c r="D607" s="593" t="s">
        <v>1660</v>
      </c>
      <c r="E607" s="594"/>
      <c r="F607" s="595" t="e">
        <f>ANL!J10536</f>
        <v>#VALUE!</v>
      </c>
      <c r="G607" s="603"/>
      <c r="H607" s="604"/>
    </row>
    <row r="608" spans="1:8" hidden="1">
      <c r="A608" s="526">
        <f t="shared" si="9"/>
        <v>537</v>
      </c>
      <c r="B608" s="112"/>
      <c r="C608" s="458" t="s">
        <v>1632</v>
      </c>
      <c r="D608" s="593" t="s">
        <v>1661</v>
      </c>
      <c r="E608" s="594"/>
      <c r="F608" s="595" t="e">
        <f>ANL!J10553</f>
        <v>#VALUE!</v>
      </c>
      <c r="G608" s="603"/>
      <c r="H608" s="604"/>
    </row>
    <row r="609" spans="1:8" hidden="1">
      <c r="A609" s="526">
        <f t="shared" si="9"/>
        <v>538</v>
      </c>
      <c r="B609" s="112"/>
      <c r="C609" s="458" t="s">
        <v>1631</v>
      </c>
      <c r="D609" s="593" t="s">
        <v>1662</v>
      </c>
      <c r="E609" s="594"/>
      <c r="F609" s="595" t="e">
        <f>ANL!J10570</f>
        <v>#VALUE!</v>
      </c>
      <c r="G609" s="603"/>
      <c r="H609" s="604"/>
    </row>
    <row r="610" spans="1:8" hidden="1">
      <c r="A610" s="526">
        <f t="shared" si="9"/>
        <v>539</v>
      </c>
      <c r="B610" s="112"/>
      <c r="C610" s="458" t="s">
        <v>1630</v>
      </c>
      <c r="D610" s="593" t="s">
        <v>1663</v>
      </c>
      <c r="E610" s="594"/>
      <c r="F610" s="595">
        <f>ANL!J10587</f>
        <v>0</v>
      </c>
      <c r="G610" s="603"/>
      <c r="H610" s="604"/>
    </row>
    <row r="611" spans="1:8" hidden="1">
      <c r="A611" s="526">
        <f t="shared" si="9"/>
        <v>540</v>
      </c>
      <c r="B611" s="112"/>
      <c r="C611" s="458" t="s">
        <v>1629</v>
      </c>
      <c r="D611" s="593" t="s">
        <v>1664</v>
      </c>
      <c r="E611" s="594"/>
      <c r="F611" s="595">
        <f>ANL!J10604</f>
        <v>0</v>
      </c>
      <c r="G611" s="603"/>
      <c r="H611" s="604"/>
    </row>
    <row r="612" spans="1:8" hidden="1">
      <c r="A612" s="526">
        <f t="shared" si="9"/>
        <v>541</v>
      </c>
      <c r="B612" s="112"/>
      <c r="C612" s="458" t="s">
        <v>1628</v>
      </c>
      <c r="D612" s="593" t="s">
        <v>1665</v>
      </c>
      <c r="E612" s="594"/>
      <c r="F612" s="595">
        <f>ANL!J10621</f>
        <v>0</v>
      </c>
      <c r="G612" s="603"/>
      <c r="H612" s="604"/>
    </row>
    <row r="613" spans="1:8" hidden="1">
      <c r="A613" s="526">
        <f t="shared" si="9"/>
        <v>542</v>
      </c>
      <c r="B613" s="112"/>
      <c r="C613" s="458" t="s">
        <v>1627</v>
      </c>
      <c r="D613" s="593" t="s">
        <v>1666</v>
      </c>
      <c r="E613" s="594"/>
      <c r="F613" s="595">
        <f>ANL!J10638</f>
        <v>0</v>
      </c>
      <c r="G613" s="603"/>
      <c r="H613" s="604"/>
    </row>
    <row r="614" spans="1:8" hidden="1">
      <c r="A614" s="526">
        <f t="shared" si="9"/>
        <v>543</v>
      </c>
      <c r="B614" s="112"/>
      <c r="C614" s="458" t="s">
        <v>1626</v>
      </c>
      <c r="D614" s="593" t="s">
        <v>1667</v>
      </c>
      <c r="E614" s="594"/>
      <c r="F614" s="595">
        <f>ANL!J10655</f>
        <v>0</v>
      </c>
      <c r="G614" s="603"/>
      <c r="H614" s="604"/>
    </row>
    <row r="615" spans="1:8" hidden="1">
      <c r="A615" s="526">
        <f t="shared" si="9"/>
        <v>544</v>
      </c>
      <c r="B615" s="112"/>
      <c r="C615" s="458" t="s">
        <v>1625</v>
      </c>
      <c r="D615" s="593" t="s">
        <v>1671</v>
      </c>
      <c r="E615" s="594"/>
      <c r="F615" s="595">
        <f>ANL!J10672</f>
        <v>0</v>
      </c>
      <c r="G615" s="603"/>
      <c r="H615" s="604"/>
    </row>
    <row r="616" spans="1:8" hidden="1">
      <c r="A616" s="526">
        <f t="shared" si="9"/>
        <v>545</v>
      </c>
      <c r="B616" s="112"/>
      <c r="C616" s="458" t="s">
        <v>1624</v>
      </c>
      <c r="D616" s="593" t="s">
        <v>1670</v>
      </c>
      <c r="E616" s="594"/>
      <c r="F616" s="595">
        <f>ANL!J10689</f>
        <v>0</v>
      </c>
      <c r="G616" s="603"/>
      <c r="H616" s="604"/>
    </row>
    <row r="617" spans="1:8" hidden="1">
      <c r="A617" s="526">
        <f t="shared" si="9"/>
        <v>546</v>
      </c>
      <c r="B617" s="112"/>
      <c r="C617" s="458" t="s">
        <v>1623</v>
      </c>
      <c r="D617" s="593" t="s">
        <v>1669</v>
      </c>
      <c r="E617" s="594"/>
      <c r="F617" s="595">
        <f>ANL!J10706</f>
        <v>0</v>
      </c>
      <c r="G617" s="603"/>
      <c r="H617" s="604"/>
    </row>
    <row r="618" spans="1:8" hidden="1">
      <c r="A618" s="526">
        <f t="shared" si="9"/>
        <v>547</v>
      </c>
      <c r="B618" s="112"/>
      <c r="C618" s="458" t="s">
        <v>1622</v>
      </c>
      <c r="D618" s="593" t="s">
        <v>1668</v>
      </c>
      <c r="E618" s="594"/>
      <c r="F618" s="595">
        <f>ANL!J10723</f>
        <v>0</v>
      </c>
      <c r="G618" s="603"/>
      <c r="H618" s="604"/>
    </row>
    <row r="619" spans="1:8" hidden="1">
      <c r="A619" s="526">
        <f t="shared" si="9"/>
        <v>548</v>
      </c>
      <c r="B619" s="112"/>
      <c r="C619" s="458" t="s">
        <v>1621</v>
      </c>
      <c r="D619" s="593" t="s">
        <v>1672</v>
      </c>
      <c r="E619" s="594"/>
      <c r="F619" s="595">
        <f>ANL!J10740</f>
        <v>0</v>
      </c>
      <c r="G619" s="603"/>
      <c r="H619" s="604"/>
    </row>
    <row r="620" spans="1:8" hidden="1">
      <c r="A620" s="526">
        <f t="shared" ref="A620:A683" si="10">A619+1</f>
        <v>549</v>
      </c>
      <c r="B620" s="112"/>
      <c r="C620" s="458" t="s">
        <v>1620</v>
      </c>
      <c r="D620" s="593" t="s">
        <v>1673</v>
      </c>
      <c r="E620" s="594"/>
      <c r="F620" s="595">
        <f>ANL!J10757</f>
        <v>0</v>
      </c>
      <c r="G620" s="603"/>
      <c r="H620" s="604"/>
    </row>
    <row r="621" spans="1:8" hidden="1">
      <c r="A621" s="526">
        <f t="shared" si="10"/>
        <v>550</v>
      </c>
      <c r="B621" s="112"/>
      <c r="C621" s="458" t="s">
        <v>1619</v>
      </c>
      <c r="D621" s="593" t="s">
        <v>1674</v>
      </c>
      <c r="E621" s="594"/>
      <c r="F621" s="595">
        <f>ANL!J10774</f>
        <v>0</v>
      </c>
      <c r="G621" s="603"/>
      <c r="H621" s="604"/>
    </row>
    <row r="622" spans="1:8" hidden="1">
      <c r="A622" s="526">
        <f t="shared" si="10"/>
        <v>551</v>
      </c>
      <c r="B622" s="112"/>
      <c r="C622" s="458" t="s">
        <v>1618</v>
      </c>
      <c r="D622" s="593" t="s">
        <v>1675</v>
      </c>
      <c r="E622" s="594"/>
      <c r="F622" s="595">
        <f>ANL!J10791</f>
        <v>0</v>
      </c>
      <c r="G622" s="603"/>
      <c r="H622" s="604"/>
    </row>
    <row r="623" spans="1:8" hidden="1">
      <c r="A623" s="526">
        <f t="shared" si="10"/>
        <v>552</v>
      </c>
      <c r="B623" s="112"/>
      <c r="C623" s="458" t="s">
        <v>1617</v>
      </c>
      <c r="D623" s="593" t="s">
        <v>1676</v>
      </c>
      <c r="E623" s="594"/>
      <c r="F623" s="595">
        <f>ANL!J10808</f>
        <v>0</v>
      </c>
      <c r="G623" s="603"/>
      <c r="H623" s="604"/>
    </row>
    <row r="624" spans="1:8" hidden="1">
      <c r="A624" s="526">
        <f t="shared" si="10"/>
        <v>553</v>
      </c>
      <c r="B624" s="112"/>
      <c r="C624" s="458" t="s">
        <v>1616</v>
      </c>
      <c r="D624" s="593" t="s">
        <v>1677</v>
      </c>
      <c r="E624" s="594"/>
      <c r="F624" s="595">
        <f>ANL!J10825</f>
        <v>0</v>
      </c>
      <c r="G624" s="603"/>
      <c r="H624" s="604"/>
    </row>
    <row r="625" spans="1:8" hidden="1">
      <c r="A625" s="526">
        <f t="shared" si="10"/>
        <v>554</v>
      </c>
      <c r="B625" s="112"/>
      <c r="C625" s="458" t="s">
        <v>1615</v>
      </c>
      <c r="D625" s="593" t="s">
        <v>1678</v>
      </c>
      <c r="E625" s="594"/>
      <c r="F625" s="595">
        <f>ANL!J10842</f>
        <v>0</v>
      </c>
      <c r="G625" s="603"/>
      <c r="H625" s="604"/>
    </row>
    <row r="626" spans="1:8" hidden="1">
      <c r="A626" s="526">
        <f t="shared" si="10"/>
        <v>555</v>
      </c>
      <c r="B626" s="112"/>
      <c r="C626" s="458" t="s">
        <v>1614</v>
      </c>
      <c r="D626" s="593" t="s">
        <v>1679</v>
      </c>
      <c r="E626" s="594"/>
      <c r="F626" s="595">
        <f>ANL!J10859</f>
        <v>0</v>
      </c>
      <c r="G626" s="603"/>
      <c r="H626" s="604"/>
    </row>
    <row r="627" spans="1:8" hidden="1">
      <c r="A627" s="526">
        <f t="shared" si="10"/>
        <v>556</v>
      </c>
      <c r="B627" s="112"/>
      <c r="C627" s="458" t="s">
        <v>1613</v>
      </c>
      <c r="D627" s="593" t="s">
        <v>1680</v>
      </c>
      <c r="E627" s="594"/>
      <c r="F627" s="595">
        <f>ANL!J10876</f>
        <v>0</v>
      </c>
      <c r="G627" s="603"/>
      <c r="H627" s="604"/>
    </row>
    <row r="628" spans="1:8" hidden="1">
      <c r="A628" s="526">
        <f t="shared" si="10"/>
        <v>557</v>
      </c>
      <c r="B628" s="112"/>
      <c r="C628" s="458" t="s">
        <v>1612</v>
      </c>
      <c r="D628" s="593" t="s">
        <v>1681</v>
      </c>
      <c r="E628" s="594"/>
      <c r="F628" s="595">
        <f>ANL!J10893</f>
        <v>0</v>
      </c>
      <c r="G628" s="603"/>
      <c r="H628" s="604"/>
    </row>
    <row r="629" spans="1:8" hidden="1">
      <c r="A629" s="526">
        <f t="shared" si="10"/>
        <v>558</v>
      </c>
      <c r="B629" s="112"/>
      <c r="C629" s="458" t="s">
        <v>1611</v>
      </c>
      <c r="D629" s="593" t="s">
        <v>1682</v>
      </c>
      <c r="E629" s="594"/>
      <c r="F629" s="595">
        <f>ANL!J10910</f>
        <v>0</v>
      </c>
      <c r="G629" s="603"/>
      <c r="H629" s="604"/>
    </row>
    <row r="630" spans="1:8" hidden="1">
      <c r="A630" s="526">
        <f t="shared" si="10"/>
        <v>559</v>
      </c>
      <c r="B630" s="112"/>
      <c r="C630" s="458" t="s">
        <v>1610</v>
      </c>
      <c r="D630" s="593" t="s">
        <v>1683</v>
      </c>
      <c r="E630" s="594"/>
      <c r="F630" s="595">
        <f>ANL!J10927</f>
        <v>0</v>
      </c>
      <c r="G630" s="603"/>
      <c r="H630" s="604"/>
    </row>
    <row r="631" spans="1:8" hidden="1">
      <c r="A631" s="526">
        <f t="shared" si="10"/>
        <v>560</v>
      </c>
      <c r="B631" s="112"/>
      <c r="C631" s="458" t="s">
        <v>1609</v>
      </c>
      <c r="D631" s="593" t="s">
        <v>1684</v>
      </c>
      <c r="E631" s="594"/>
      <c r="F631" s="595">
        <f>ANL!J10944</f>
        <v>0</v>
      </c>
      <c r="G631" s="603"/>
      <c r="H631" s="604"/>
    </row>
    <row r="632" spans="1:8" hidden="1">
      <c r="A632" s="526">
        <f t="shared" si="10"/>
        <v>561</v>
      </c>
      <c r="B632" s="112"/>
      <c r="C632" s="458" t="s">
        <v>1608</v>
      </c>
      <c r="D632" s="593" t="s">
        <v>1685</v>
      </c>
      <c r="E632" s="594"/>
      <c r="F632" s="595" t="e">
        <f>ANL!J10961</f>
        <v>#VALUE!</v>
      </c>
      <c r="G632" s="603"/>
      <c r="H632" s="604"/>
    </row>
    <row r="633" spans="1:8" hidden="1">
      <c r="A633" s="526">
        <f t="shared" si="10"/>
        <v>562</v>
      </c>
      <c r="B633" s="112"/>
      <c r="C633" s="458" t="s">
        <v>1607</v>
      </c>
      <c r="D633" s="593" t="s">
        <v>1686</v>
      </c>
      <c r="E633" s="594"/>
      <c r="F633" s="595" t="e">
        <f>ANL!J10978</f>
        <v>#VALUE!</v>
      </c>
      <c r="G633" s="603"/>
      <c r="H633" s="604"/>
    </row>
    <row r="634" spans="1:8" hidden="1">
      <c r="A634" s="526">
        <f t="shared" si="10"/>
        <v>563</v>
      </c>
      <c r="B634" s="112"/>
      <c r="C634" s="458" t="s">
        <v>1606</v>
      </c>
      <c r="D634" s="593" t="s">
        <v>1687</v>
      </c>
      <c r="E634" s="594"/>
      <c r="F634" s="595" t="e">
        <f>ANL!J10995</f>
        <v>#VALUE!</v>
      </c>
      <c r="G634" s="603"/>
      <c r="H634" s="604"/>
    </row>
    <row r="635" spans="1:8" hidden="1">
      <c r="A635" s="526">
        <f t="shared" si="10"/>
        <v>564</v>
      </c>
      <c r="B635" s="112"/>
      <c r="C635" s="458" t="s">
        <v>1605</v>
      </c>
      <c r="D635" s="593" t="s">
        <v>1688</v>
      </c>
      <c r="E635" s="594"/>
      <c r="F635" s="595" t="e">
        <f>ANL!J11012</f>
        <v>#VALUE!</v>
      </c>
      <c r="G635" s="603"/>
      <c r="H635" s="604"/>
    </row>
    <row r="636" spans="1:8" hidden="1">
      <c r="A636" s="526">
        <f t="shared" si="10"/>
        <v>565</v>
      </c>
      <c r="B636" s="112"/>
      <c r="C636" s="458" t="s">
        <v>1604</v>
      </c>
      <c r="D636" s="593" t="s">
        <v>1689</v>
      </c>
      <c r="E636" s="594"/>
      <c r="F636" s="595" t="e">
        <f>ANL!J11029</f>
        <v>#VALUE!</v>
      </c>
      <c r="G636" s="603"/>
      <c r="H636" s="604"/>
    </row>
    <row r="637" spans="1:8" hidden="1">
      <c r="A637" s="526">
        <f t="shared" si="10"/>
        <v>566</v>
      </c>
      <c r="B637" s="112"/>
      <c r="C637" s="458" t="s">
        <v>1603</v>
      </c>
      <c r="D637" s="593" t="s">
        <v>1690</v>
      </c>
      <c r="E637" s="594"/>
      <c r="F637" s="595" t="e">
        <f>ANL!J11046</f>
        <v>#VALUE!</v>
      </c>
      <c r="G637" s="603"/>
      <c r="H637" s="604"/>
    </row>
    <row r="638" spans="1:8" hidden="1">
      <c r="A638" s="526">
        <f t="shared" si="10"/>
        <v>567</v>
      </c>
      <c r="B638" s="112"/>
      <c r="C638" s="458" t="s">
        <v>1602</v>
      </c>
      <c r="D638" s="593" t="s">
        <v>1691</v>
      </c>
      <c r="E638" s="594"/>
      <c r="F638" s="595" t="e">
        <f>ANL!J11063</f>
        <v>#VALUE!</v>
      </c>
      <c r="G638" s="603"/>
      <c r="H638" s="604"/>
    </row>
    <row r="639" spans="1:8" hidden="1">
      <c r="A639" s="526">
        <f t="shared" si="10"/>
        <v>568</v>
      </c>
      <c r="B639" s="112"/>
      <c r="C639" s="458" t="s">
        <v>1601</v>
      </c>
      <c r="D639" s="593" t="s">
        <v>1692</v>
      </c>
      <c r="E639" s="594"/>
      <c r="F639" s="595" t="e">
        <f>ANL!J11080</f>
        <v>#VALUE!</v>
      </c>
      <c r="G639" s="603"/>
      <c r="H639" s="604"/>
    </row>
    <row r="640" spans="1:8" hidden="1">
      <c r="A640" s="526">
        <f t="shared" si="10"/>
        <v>569</v>
      </c>
      <c r="B640" s="112"/>
      <c r="C640" s="458" t="s">
        <v>1600</v>
      </c>
      <c r="D640" s="593" t="s">
        <v>1693</v>
      </c>
      <c r="E640" s="594"/>
      <c r="F640" s="595" t="e">
        <f>ANL!J11097</f>
        <v>#VALUE!</v>
      </c>
      <c r="G640" s="603"/>
      <c r="H640" s="604"/>
    </row>
    <row r="641" spans="1:8" hidden="1">
      <c r="A641" s="526"/>
      <c r="B641" s="112"/>
      <c r="C641" s="496"/>
      <c r="D641" s="601"/>
      <c r="E641" s="602"/>
      <c r="F641" s="595"/>
      <c r="G641" s="603"/>
      <c r="H641" s="604"/>
    </row>
    <row r="642" spans="1:8" s="600" customFormat="1" ht="13" hidden="1">
      <c r="A642" s="605"/>
      <c r="B642" s="606" t="s">
        <v>529</v>
      </c>
      <c r="C642" s="607" t="s">
        <v>530</v>
      </c>
      <c r="D642" s="598"/>
      <c r="E642" s="599"/>
      <c r="F642" s="597"/>
      <c r="G642" s="603"/>
      <c r="H642" s="604"/>
    </row>
    <row r="643" spans="1:8" hidden="1">
      <c r="A643" s="526">
        <v>570</v>
      </c>
      <c r="B643" s="112"/>
      <c r="C643" s="458" t="s">
        <v>1599</v>
      </c>
      <c r="D643" s="593" t="s">
        <v>1694</v>
      </c>
      <c r="E643" s="594"/>
      <c r="F643" s="595">
        <f>ANL!J11115</f>
        <v>0</v>
      </c>
      <c r="G643" s="603"/>
      <c r="H643" s="604"/>
    </row>
    <row r="644" spans="1:8" hidden="1">
      <c r="A644" s="526">
        <f t="shared" si="10"/>
        <v>571</v>
      </c>
      <c r="B644" s="112"/>
      <c r="C644" s="458" t="s">
        <v>1598</v>
      </c>
      <c r="D644" s="593" t="s">
        <v>1695</v>
      </c>
      <c r="E644" s="594"/>
      <c r="F644" s="595">
        <f>ANL!J11132</f>
        <v>0</v>
      </c>
      <c r="G644" s="603"/>
      <c r="H644" s="604"/>
    </row>
    <row r="645" spans="1:8" hidden="1">
      <c r="A645" s="526">
        <f t="shared" si="10"/>
        <v>572</v>
      </c>
      <c r="B645" s="112"/>
      <c r="C645" s="458" t="s">
        <v>1597</v>
      </c>
      <c r="D645" s="593" t="s">
        <v>1696</v>
      </c>
      <c r="E645" s="594"/>
      <c r="F645" s="595">
        <f>ANL!J11149</f>
        <v>0</v>
      </c>
      <c r="G645" s="603"/>
      <c r="H645" s="604"/>
    </row>
    <row r="646" spans="1:8" hidden="1">
      <c r="A646" s="526">
        <f t="shared" si="10"/>
        <v>573</v>
      </c>
      <c r="B646" s="112"/>
      <c r="C646" s="458" t="s">
        <v>1730</v>
      </c>
      <c r="D646" s="593" t="s">
        <v>1731</v>
      </c>
      <c r="E646" s="594"/>
      <c r="F646" s="595">
        <f>ANL!J11166</f>
        <v>0</v>
      </c>
      <c r="G646" s="603"/>
      <c r="H646" s="604"/>
    </row>
    <row r="647" spans="1:8" hidden="1">
      <c r="A647" s="526">
        <f t="shared" si="10"/>
        <v>574</v>
      </c>
      <c r="B647" s="112"/>
      <c r="C647" s="458" t="s">
        <v>1728</v>
      </c>
      <c r="D647" s="593" t="s">
        <v>1729</v>
      </c>
      <c r="E647" s="594"/>
      <c r="F647" s="595" t="e">
        <f>ANL!J11183</f>
        <v>#VALUE!</v>
      </c>
      <c r="G647" s="603"/>
      <c r="H647" s="604"/>
    </row>
    <row r="648" spans="1:8" hidden="1">
      <c r="A648" s="526">
        <f t="shared" si="10"/>
        <v>575</v>
      </c>
      <c r="B648" s="112"/>
      <c r="C648" s="458" t="s">
        <v>1726</v>
      </c>
      <c r="D648" s="593" t="s">
        <v>1727</v>
      </c>
      <c r="E648" s="594"/>
      <c r="F648" s="595" t="e">
        <f>ANL!J11200</f>
        <v>#VALUE!</v>
      </c>
      <c r="G648" s="603"/>
      <c r="H648" s="604"/>
    </row>
    <row r="649" spans="1:8" hidden="1">
      <c r="A649" s="526">
        <f t="shared" si="10"/>
        <v>576</v>
      </c>
      <c r="B649" s="112"/>
      <c r="C649" s="458" t="s">
        <v>1724</v>
      </c>
      <c r="D649" s="593" t="s">
        <v>1725</v>
      </c>
      <c r="E649" s="594"/>
      <c r="F649" s="595" t="e">
        <f>ANL!J11217</f>
        <v>#VALUE!</v>
      </c>
      <c r="G649" s="603"/>
      <c r="H649" s="604"/>
    </row>
    <row r="650" spans="1:8" hidden="1">
      <c r="A650" s="526">
        <f t="shared" si="10"/>
        <v>577</v>
      </c>
      <c r="B650" s="112"/>
      <c r="C650" s="458" t="s">
        <v>1722</v>
      </c>
      <c r="D650" s="593" t="s">
        <v>1723</v>
      </c>
      <c r="E650" s="594"/>
      <c r="F650" s="595" t="e">
        <f>ANL!J11235</f>
        <v>#VALUE!</v>
      </c>
      <c r="G650" s="603"/>
      <c r="H650" s="604"/>
    </row>
    <row r="651" spans="1:8" hidden="1">
      <c r="A651" s="526">
        <f t="shared" si="10"/>
        <v>578</v>
      </c>
      <c r="B651" s="112"/>
      <c r="C651" s="458" t="s">
        <v>1721</v>
      </c>
      <c r="D651" s="593" t="s">
        <v>1732</v>
      </c>
      <c r="E651" s="594"/>
      <c r="F651" s="595" t="e">
        <f>ANL!J11253</f>
        <v>#VALUE!</v>
      </c>
      <c r="G651" s="603"/>
      <c r="H651" s="604"/>
    </row>
    <row r="652" spans="1:8" hidden="1">
      <c r="A652" s="526">
        <f t="shared" si="10"/>
        <v>579</v>
      </c>
      <c r="B652" s="112"/>
      <c r="C652" s="458" t="s">
        <v>1720</v>
      </c>
      <c r="D652" s="593" t="s">
        <v>4</v>
      </c>
      <c r="E652" s="594"/>
      <c r="F652" s="595" t="e">
        <f>ANL!J11271</f>
        <v>#VALUE!</v>
      </c>
      <c r="G652" s="603"/>
      <c r="H652" s="604"/>
    </row>
    <row r="653" spans="1:8" hidden="1">
      <c r="A653" s="526">
        <f t="shared" si="10"/>
        <v>580</v>
      </c>
      <c r="B653" s="112"/>
      <c r="C653" s="458" t="s">
        <v>1719</v>
      </c>
      <c r="D653" s="593" t="s">
        <v>5</v>
      </c>
      <c r="E653" s="594"/>
      <c r="F653" s="595" t="e">
        <f>ANL!J11289</f>
        <v>#VALUE!</v>
      </c>
      <c r="G653" s="603"/>
      <c r="H653" s="604"/>
    </row>
    <row r="654" spans="1:8" hidden="1">
      <c r="A654" s="526">
        <f t="shared" si="10"/>
        <v>581</v>
      </c>
      <c r="B654" s="112"/>
      <c r="C654" s="458" t="s">
        <v>1718</v>
      </c>
      <c r="D654" s="593" t="s">
        <v>6</v>
      </c>
      <c r="E654" s="594"/>
      <c r="F654" s="595" t="e">
        <f>ANL!J11307</f>
        <v>#VALUE!</v>
      </c>
      <c r="G654" s="603"/>
      <c r="H654" s="604"/>
    </row>
    <row r="655" spans="1:8" hidden="1">
      <c r="A655" s="526">
        <f t="shared" si="10"/>
        <v>582</v>
      </c>
      <c r="B655" s="112"/>
      <c r="C655" s="458" t="s">
        <v>1717</v>
      </c>
      <c r="D655" s="593" t="s">
        <v>7</v>
      </c>
      <c r="E655" s="594"/>
      <c r="F655" s="595" t="e">
        <f>ANL!J11325</f>
        <v>#VALUE!</v>
      </c>
      <c r="G655" s="603"/>
      <c r="H655" s="604"/>
    </row>
    <row r="656" spans="1:8" hidden="1">
      <c r="A656" s="526">
        <f t="shared" si="10"/>
        <v>583</v>
      </c>
      <c r="B656" s="112"/>
      <c r="C656" s="458" t="s">
        <v>1716</v>
      </c>
      <c r="D656" s="593" t="s">
        <v>8</v>
      </c>
      <c r="E656" s="594"/>
      <c r="F656" s="595" t="e">
        <f>ANL!J11343</f>
        <v>#VALUE!</v>
      </c>
      <c r="G656" s="603"/>
      <c r="H656" s="604"/>
    </row>
    <row r="657" spans="1:8" hidden="1">
      <c r="A657" s="526">
        <f t="shared" si="10"/>
        <v>584</v>
      </c>
      <c r="B657" s="112"/>
      <c r="C657" s="458" t="s">
        <v>1715</v>
      </c>
      <c r="D657" s="593" t="s">
        <v>9</v>
      </c>
      <c r="E657" s="594"/>
      <c r="F657" s="595">
        <f>ANL!J11360</f>
        <v>0</v>
      </c>
      <c r="G657" s="603"/>
      <c r="H657" s="604"/>
    </row>
    <row r="658" spans="1:8" hidden="1">
      <c r="A658" s="526">
        <f t="shared" si="10"/>
        <v>585</v>
      </c>
      <c r="B658" s="112"/>
      <c r="C658" s="458" t="s">
        <v>1714</v>
      </c>
      <c r="D658" s="593" t="s">
        <v>10</v>
      </c>
      <c r="E658" s="594"/>
      <c r="F658" s="595">
        <f>ANL!J11377</f>
        <v>0</v>
      </c>
      <c r="G658" s="603"/>
      <c r="H658" s="604"/>
    </row>
    <row r="659" spans="1:8" hidden="1">
      <c r="A659" s="526">
        <f t="shared" si="10"/>
        <v>586</v>
      </c>
      <c r="B659" s="112"/>
      <c r="C659" s="458" t="s">
        <v>1713</v>
      </c>
      <c r="D659" s="593" t="s">
        <v>11</v>
      </c>
      <c r="E659" s="594"/>
      <c r="F659" s="595">
        <f>ANL!J11394</f>
        <v>0</v>
      </c>
      <c r="G659" s="603"/>
      <c r="H659" s="604"/>
    </row>
    <row r="660" spans="1:8" hidden="1">
      <c r="A660" s="526">
        <f t="shared" si="10"/>
        <v>587</v>
      </c>
      <c r="B660" s="112"/>
      <c r="C660" s="458" t="s">
        <v>1712</v>
      </c>
      <c r="D660" s="593" t="s">
        <v>12</v>
      </c>
      <c r="E660" s="594"/>
      <c r="F660" s="595" t="e">
        <f>ANL!J11411</f>
        <v>#VALUE!</v>
      </c>
      <c r="G660" s="603"/>
      <c r="H660" s="604"/>
    </row>
    <row r="661" spans="1:8" hidden="1">
      <c r="A661" s="526">
        <f t="shared" si="10"/>
        <v>588</v>
      </c>
      <c r="B661" s="112"/>
      <c r="C661" s="458" t="s">
        <v>1711</v>
      </c>
      <c r="D661" s="593" t="s">
        <v>13</v>
      </c>
      <c r="E661" s="594"/>
      <c r="F661" s="595" t="e">
        <f>ANL!J11428</f>
        <v>#VALUE!</v>
      </c>
      <c r="G661" s="603"/>
      <c r="H661" s="604"/>
    </row>
    <row r="662" spans="1:8" hidden="1">
      <c r="A662" s="526">
        <f t="shared" si="10"/>
        <v>589</v>
      </c>
      <c r="B662" s="112"/>
      <c r="C662" s="458" t="s">
        <v>1710</v>
      </c>
      <c r="D662" s="593" t="s">
        <v>14</v>
      </c>
      <c r="E662" s="594"/>
      <c r="F662" s="595" t="e">
        <f>ANL!J11445</f>
        <v>#VALUE!</v>
      </c>
      <c r="G662" s="603"/>
      <c r="H662" s="604"/>
    </row>
    <row r="663" spans="1:8" hidden="1">
      <c r="A663" s="526">
        <f t="shared" si="10"/>
        <v>590</v>
      </c>
      <c r="B663" s="112"/>
      <c r="C663" s="458" t="s">
        <v>1709</v>
      </c>
      <c r="D663" s="593" t="s">
        <v>15</v>
      </c>
      <c r="E663" s="594"/>
      <c r="F663" s="595" t="e">
        <f>ANL!J11462</f>
        <v>#VALUE!</v>
      </c>
      <c r="G663" s="603"/>
      <c r="H663" s="604"/>
    </row>
    <row r="664" spans="1:8" hidden="1">
      <c r="A664" s="526">
        <f t="shared" si="10"/>
        <v>591</v>
      </c>
      <c r="B664" s="112"/>
      <c r="C664" s="458" t="s">
        <v>1708</v>
      </c>
      <c r="D664" s="593" t="s">
        <v>16</v>
      </c>
      <c r="E664" s="594"/>
      <c r="F664" s="595" t="e">
        <f>ANL!J11480</f>
        <v>#VALUE!</v>
      </c>
      <c r="G664" s="603"/>
      <c r="H664" s="604"/>
    </row>
    <row r="665" spans="1:8" hidden="1">
      <c r="A665" s="526">
        <f t="shared" si="10"/>
        <v>592</v>
      </c>
      <c r="B665" s="112"/>
      <c r="C665" s="458" t="s">
        <v>1707</v>
      </c>
      <c r="D665" s="593" t="s">
        <v>17</v>
      </c>
      <c r="E665" s="594"/>
      <c r="F665" s="595" t="e">
        <f>ANL!J11498</f>
        <v>#VALUE!</v>
      </c>
      <c r="G665" s="603"/>
      <c r="H665" s="604"/>
    </row>
    <row r="666" spans="1:8" hidden="1">
      <c r="A666" s="526">
        <f t="shared" si="10"/>
        <v>593</v>
      </c>
      <c r="B666" s="112"/>
      <c r="C666" s="458" t="s">
        <v>1706</v>
      </c>
      <c r="D666" s="593" t="s">
        <v>18</v>
      </c>
      <c r="E666" s="594"/>
      <c r="F666" s="595" t="e">
        <f>ANL!J11516</f>
        <v>#VALUE!</v>
      </c>
      <c r="G666" s="603"/>
      <c r="H666" s="604"/>
    </row>
    <row r="667" spans="1:8" hidden="1">
      <c r="A667" s="526">
        <f t="shared" si="10"/>
        <v>594</v>
      </c>
      <c r="B667" s="112"/>
      <c r="C667" s="458" t="s">
        <v>1705</v>
      </c>
      <c r="D667" s="593" t="s">
        <v>19</v>
      </c>
      <c r="E667" s="594"/>
      <c r="F667" s="595" t="e">
        <f>ANL!J11534</f>
        <v>#VALUE!</v>
      </c>
      <c r="G667" s="603"/>
      <c r="H667" s="604"/>
    </row>
    <row r="668" spans="1:8" hidden="1">
      <c r="A668" s="526">
        <f t="shared" si="10"/>
        <v>595</v>
      </c>
      <c r="B668" s="112"/>
      <c r="C668" s="458" t="s">
        <v>1704</v>
      </c>
      <c r="D668" s="593" t="s">
        <v>20</v>
      </c>
      <c r="E668" s="594"/>
      <c r="F668" s="595" t="e">
        <f>ANL!J11552</f>
        <v>#VALUE!</v>
      </c>
      <c r="G668" s="603"/>
      <c r="H668" s="604"/>
    </row>
    <row r="669" spans="1:8" hidden="1">
      <c r="A669" s="526">
        <f t="shared" si="10"/>
        <v>596</v>
      </c>
      <c r="B669" s="112"/>
      <c r="C669" s="458" t="s">
        <v>1703</v>
      </c>
      <c r="D669" s="593" t="s">
        <v>21</v>
      </c>
      <c r="E669" s="594"/>
      <c r="F669" s="595" t="e">
        <f>ANL!J11570</f>
        <v>#VALUE!</v>
      </c>
      <c r="G669" s="603"/>
      <c r="H669" s="604"/>
    </row>
    <row r="670" spans="1:8" hidden="1">
      <c r="A670" s="526">
        <f t="shared" si="10"/>
        <v>597</v>
      </c>
      <c r="B670" s="112"/>
      <c r="C670" s="458" t="s">
        <v>1702</v>
      </c>
      <c r="D670" s="593" t="s">
        <v>22</v>
      </c>
      <c r="E670" s="594"/>
      <c r="F670" s="595" t="e">
        <f>ANL!J11588</f>
        <v>#VALUE!</v>
      </c>
      <c r="G670" s="603"/>
      <c r="H670" s="604"/>
    </row>
    <row r="671" spans="1:8" hidden="1">
      <c r="A671" s="526"/>
      <c r="B671" s="112"/>
      <c r="C671" s="496"/>
      <c r="D671" s="601"/>
      <c r="E671" s="602"/>
      <c r="F671" s="595"/>
      <c r="G671" s="603"/>
      <c r="H671" s="604"/>
    </row>
    <row r="672" spans="1:8" s="600" customFormat="1" ht="13" hidden="1">
      <c r="A672" s="605"/>
      <c r="B672" s="606" t="s">
        <v>531</v>
      </c>
      <c r="C672" s="607" t="s">
        <v>532</v>
      </c>
      <c r="D672" s="598"/>
      <c r="E672" s="599"/>
      <c r="F672" s="597"/>
      <c r="G672" s="603"/>
      <c r="H672" s="604"/>
    </row>
    <row r="673" spans="1:8" hidden="1">
      <c r="A673" s="526">
        <v>598</v>
      </c>
      <c r="B673" s="112"/>
      <c r="C673" s="458" t="s">
        <v>1701</v>
      </c>
      <c r="D673" s="593" t="s">
        <v>23</v>
      </c>
      <c r="E673" s="594"/>
      <c r="F673" s="595">
        <f>ANL!J11609</f>
        <v>0</v>
      </c>
      <c r="G673" s="603"/>
      <c r="H673" s="604"/>
    </row>
    <row r="674" spans="1:8" hidden="1">
      <c r="A674" s="526">
        <f t="shared" si="10"/>
        <v>599</v>
      </c>
      <c r="B674" s="112"/>
      <c r="C674" s="458" t="s">
        <v>1700</v>
      </c>
      <c r="D674" s="593" t="s">
        <v>24</v>
      </c>
      <c r="E674" s="594"/>
      <c r="F674" s="595">
        <f>ANL!J11629</f>
        <v>0</v>
      </c>
      <c r="G674" s="603"/>
      <c r="H674" s="604"/>
    </row>
    <row r="675" spans="1:8" hidden="1">
      <c r="A675" s="526">
        <f t="shared" si="10"/>
        <v>600</v>
      </c>
      <c r="B675" s="112"/>
      <c r="C675" s="458" t="s">
        <v>1699</v>
      </c>
      <c r="D675" s="593" t="s">
        <v>25</v>
      </c>
      <c r="E675" s="594"/>
      <c r="F675" s="595">
        <f>ANL!J11649</f>
        <v>0</v>
      </c>
      <c r="G675" s="603"/>
      <c r="H675" s="604"/>
    </row>
    <row r="676" spans="1:8" hidden="1">
      <c r="A676" s="526">
        <f t="shared" si="10"/>
        <v>601</v>
      </c>
      <c r="B676" s="112"/>
      <c r="C676" s="458" t="s">
        <v>1698</v>
      </c>
      <c r="D676" s="593" t="s">
        <v>26</v>
      </c>
      <c r="E676" s="594"/>
      <c r="F676" s="595">
        <f>ANL!J11669</f>
        <v>0</v>
      </c>
      <c r="G676" s="603"/>
      <c r="H676" s="604"/>
    </row>
    <row r="677" spans="1:8" hidden="1">
      <c r="A677" s="526">
        <f t="shared" si="10"/>
        <v>602</v>
      </c>
      <c r="B677" s="112"/>
      <c r="C677" s="458" t="s">
        <v>1697</v>
      </c>
      <c r="D677" s="593" t="s">
        <v>27</v>
      </c>
      <c r="E677" s="594"/>
      <c r="F677" s="595">
        <f>ANL!J11689</f>
        <v>0</v>
      </c>
      <c r="G677" s="603"/>
      <c r="H677" s="604"/>
    </row>
    <row r="678" spans="1:8" hidden="1">
      <c r="A678" s="526">
        <f t="shared" si="10"/>
        <v>603</v>
      </c>
      <c r="B678" s="112"/>
      <c r="C678" s="458" t="s">
        <v>1754</v>
      </c>
      <c r="D678" s="593" t="s">
        <v>28</v>
      </c>
      <c r="E678" s="594"/>
      <c r="F678" s="595">
        <f>ANL!J11709</f>
        <v>0</v>
      </c>
      <c r="G678" s="603"/>
      <c r="H678" s="604"/>
    </row>
    <row r="679" spans="1:8" hidden="1">
      <c r="A679" s="526">
        <f t="shared" si="10"/>
        <v>604</v>
      </c>
      <c r="B679" s="112"/>
      <c r="C679" s="458" t="s">
        <v>1753</v>
      </c>
      <c r="D679" s="593" t="s">
        <v>29</v>
      </c>
      <c r="E679" s="594"/>
      <c r="F679" s="595">
        <f>ANL!J11729</f>
        <v>0</v>
      </c>
      <c r="G679" s="603"/>
      <c r="H679" s="604"/>
    </row>
    <row r="680" spans="1:8" hidden="1">
      <c r="A680" s="526">
        <f t="shared" si="10"/>
        <v>605</v>
      </c>
      <c r="B680" s="112"/>
      <c r="C680" s="458" t="s">
        <v>1752</v>
      </c>
      <c r="D680" s="593" t="s">
        <v>30</v>
      </c>
      <c r="E680" s="594"/>
      <c r="F680" s="595">
        <f>ANL!J11749</f>
        <v>0</v>
      </c>
      <c r="G680" s="603"/>
      <c r="H680" s="604"/>
    </row>
    <row r="681" spans="1:8" hidden="1">
      <c r="A681" s="526">
        <f t="shared" si="10"/>
        <v>606</v>
      </c>
      <c r="B681" s="112"/>
      <c r="C681" s="458" t="s">
        <v>1751</v>
      </c>
      <c r="D681" s="593" t="s">
        <v>31</v>
      </c>
      <c r="E681" s="594"/>
      <c r="F681" s="595">
        <f>ANL!J11769</f>
        <v>0</v>
      </c>
      <c r="G681" s="603"/>
      <c r="H681" s="604"/>
    </row>
    <row r="682" spans="1:8" hidden="1">
      <c r="A682" s="526">
        <f t="shared" si="10"/>
        <v>607</v>
      </c>
      <c r="B682" s="112"/>
      <c r="C682" s="458" t="s">
        <v>1750</v>
      </c>
      <c r="D682" s="593" t="s">
        <v>1755</v>
      </c>
      <c r="E682" s="594"/>
      <c r="F682" s="595">
        <f>ANL!J11789</f>
        <v>0</v>
      </c>
      <c r="G682" s="603"/>
      <c r="H682" s="604"/>
    </row>
    <row r="683" spans="1:8" hidden="1">
      <c r="A683" s="526">
        <f t="shared" si="10"/>
        <v>608</v>
      </c>
      <c r="B683" s="112"/>
      <c r="C683" s="458" t="s">
        <v>1749</v>
      </c>
      <c r="D683" s="593" t="s">
        <v>1756</v>
      </c>
      <c r="E683" s="594"/>
      <c r="F683" s="595">
        <f>ANL!J11809</f>
        <v>0</v>
      </c>
      <c r="G683" s="603"/>
      <c r="H683" s="604"/>
    </row>
    <row r="684" spans="1:8" hidden="1">
      <c r="A684" s="526">
        <f t="shared" ref="A684:A700" si="11">A683+1</f>
        <v>609</v>
      </c>
      <c r="B684" s="112"/>
      <c r="C684" s="458" t="s">
        <v>1748</v>
      </c>
      <c r="D684" s="593" t="s">
        <v>1757</v>
      </c>
      <c r="E684" s="594"/>
      <c r="F684" s="595">
        <f>ANL!J11829</f>
        <v>0</v>
      </c>
      <c r="G684" s="603"/>
      <c r="H684" s="604"/>
    </row>
    <row r="685" spans="1:8" hidden="1">
      <c r="A685" s="526"/>
      <c r="B685" s="112"/>
      <c r="C685" s="496"/>
      <c r="D685" s="601"/>
      <c r="E685" s="602"/>
      <c r="F685" s="595"/>
      <c r="G685" s="603"/>
      <c r="H685" s="604"/>
    </row>
    <row r="686" spans="1:8" s="600" customFormat="1" ht="13" hidden="1">
      <c r="A686" s="605"/>
      <c r="B686" s="606" t="s">
        <v>533</v>
      </c>
      <c r="C686" s="607" t="s">
        <v>534</v>
      </c>
      <c r="D686" s="598"/>
      <c r="E686" s="599"/>
      <c r="F686" s="597"/>
      <c r="G686" s="603"/>
      <c r="H686" s="604"/>
    </row>
    <row r="687" spans="1:8" hidden="1">
      <c r="A687" s="526">
        <v>610</v>
      </c>
      <c r="B687" s="112"/>
      <c r="C687" s="458" t="s">
        <v>1747</v>
      </c>
      <c r="D687" s="593" t="s">
        <v>32</v>
      </c>
      <c r="E687" s="594"/>
      <c r="F687" s="595">
        <f>ANL!J11847</f>
        <v>0</v>
      </c>
      <c r="G687" s="603"/>
      <c r="H687" s="604"/>
    </row>
    <row r="688" spans="1:8" hidden="1">
      <c r="A688" s="526">
        <f t="shared" si="11"/>
        <v>611</v>
      </c>
      <c r="B688" s="112"/>
      <c r="C688" s="458" t="s">
        <v>1746</v>
      </c>
      <c r="D688" s="593" t="s">
        <v>33</v>
      </c>
      <c r="E688" s="594"/>
      <c r="F688" s="595">
        <f>ANL!J11864</f>
        <v>0</v>
      </c>
      <c r="G688" s="603"/>
      <c r="H688" s="604"/>
    </row>
    <row r="689" spans="1:20" hidden="1">
      <c r="A689" s="526">
        <f t="shared" si="11"/>
        <v>612</v>
      </c>
      <c r="B689" s="112"/>
      <c r="C689" s="458" t="s">
        <v>1745</v>
      </c>
      <c r="D689" s="593" t="s">
        <v>34</v>
      </c>
      <c r="E689" s="594"/>
      <c r="F689" s="595">
        <f>ANL!J11881</f>
        <v>0</v>
      </c>
      <c r="G689" s="603"/>
      <c r="H689" s="604"/>
    </row>
    <row r="690" spans="1:20" hidden="1">
      <c r="A690" s="526">
        <f t="shared" si="11"/>
        <v>613</v>
      </c>
      <c r="B690" s="112"/>
      <c r="C690" s="458" t="s">
        <v>1744</v>
      </c>
      <c r="D690" s="593" t="s">
        <v>35</v>
      </c>
      <c r="E690" s="594"/>
      <c r="F690" s="595">
        <f>ANL!J11898</f>
        <v>0</v>
      </c>
      <c r="G690" s="603"/>
      <c r="H690" s="604"/>
    </row>
    <row r="691" spans="1:20" hidden="1">
      <c r="A691" s="526">
        <f t="shared" si="11"/>
        <v>614</v>
      </c>
      <c r="B691" s="112"/>
      <c r="C691" s="458" t="s">
        <v>1743</v>
      </c>
      <c r="D691" s="593" t="s">
        <v>36</v>
      </c>
      <c r="E691" s="594"/>
      <c r="F691" s="595">
        <f>ANL!J11915</f>
        <v>0</v>
      </c>
      <c r="G691" s="603"/>
      <c r="H691" s="604"/>
    </row>
    <row r="692" spans="1:20" hidden="1">
      <c r="A692" s="526">
        <f t="shared" si="11"/>
        <v>615</v>
      </c>
      <c r="B692" s="112"/>
      <c r="C692" s="458" t="s">
        <v>1742</v>
      </c>
      <c r="D692" s="593" t="s">
        <v>1758</v>
      </c>
      <c r="E692" s="594"/>
      <c r="F692" s="595">
        <f>ANL!J11932</f>
        <v>0</v>
      </c>
      <c r="G692" s="603"/>
      <c r="H692" s="604"/>
    </row>
    <row r="693" spans="1:20" hidden="1">
      <c r="A693" s="526">
        <f t="shared" si="11"/>
        <v>616</v>
      </c>
      <c r="B693" s="112"/>
      <c r="C693" s="458" t="s">
        <v>1741</v>
      </c>
      <c r="D693" s="593" t="s">
        <v>37</v>
      </c>
      <c r="E693" s="594"/>
      <c r="F693" s="595">
        <f>ANL!J11949</f>
        <v>0</v>
      </c>
      <c r="G693" s="603"/>
      <c r="H693" s="604"/>
    </row>
    <row r="694" spans="1:20" hidden="1">
      <c r="A694" s="526">
        <f t="shared" si="11"/>
        <v>617</v>
      </c>
      <c r="B694" s="112"/>
      <c r="C694" s="458" t="s">
        <v>1740</v>
      </c>
      <c r="D694" s="593" t="s">
        <v>38</v>
      </c>
      <c r="E694" s="594"/>
      <c r="F694" s="595">
        <f>ANL!J11966</f>
        <v>0</v>
      </c>
      <c r="G694" s="603"/>
      <c r="H694" s="604"/>
    </row>
    <row r="695" spans="1:20" ht="14.5" hidden="1">
      <c r="A695" s="526">
        <f t="shared" si="11"/>
        <v>618</v>
      </c>
      <c r="B695" s="112"/>
      <c r="C695" s="458" t="s">
        <v>1739</v>
      </c>
      <c r="D695" s="593" t="s">
        <v>39</v>
      </c>
      <c r="E695" s="594"/>
      <c r="F695" s="595">
        <f>ANL!J11983</f>
        <v>0</v>
      </c>
      <c r="G695" s="603"/>
      <c r="H695" s="604"/>
      <c r="N695" s="614" t="s">
        <v>1733</v>
      </c>
      <c r="O695" s="615"/>
      <c r="P695" s="615"/>
      <c r="Q695" s="615"/>
      <c r="R695" s="615"/>
      <c r="S695" s="616">
        <v>0</v>
      </c>
      <c r="T695" s="617">
        <f>R695*S695</f>
        <v>0</v>
      </c>
    </row>
    <row r="696" spans="1:20" ht="15" hidden="1" thickBot="1">
      <c r="A696" s="526">
        <f t="shared" si="11"/>
        <v>619</v>
      </c>
      <c r="B696" s="112"/>
      <c r="C696" s="458" t="s">
        <v>1738</v>
      </c>
      <c r="D696" s="593" t="s">
        <v>1759</v>
      </c>
      <c r="E696" s="594"/>
      <c r="F696" s="595">
        <f>ANL!J12000</f>
        <v>0</v>
      </c>
      <c r="G696" s="603"/>
      <c r="H696" s="604"/>
      <c r="N696" s="618" t="s">
        <v>65</v>
      </c>
      <c r="O696" s="619" t="s">
        <v>66</v>
      </c>
      <c r="P696" s="619"/>
      <c r="Q696" s="619"/>
      <c r="R696" s="619"/>
      <c r="S696" s="616">
        <v>0</v>
      </c>
      <c r="T696" s="617">
        <f>R696*S696</f>
        <v>0</v>
      </c>
    </row>
    <row r="697" spans="1:20" ht="15" hidden="1" thickBot="1">
      <c r="A697" s="526"/>
      <c r="B697" s="112"/>
      <c r="C697" s="496"/>
      <c r="D697" s="601"/>
      <c r="E697" s="602"/>
      <c r="F697" s="595"/>
      <c r="G697" s="603"/>
      <c r="H697" s="604"/>
      <c r="I697" s="610"/>
      <c r="N697" s="618"/>
      <c r="O697" s="619" t="s">
        <v>367</v>
      </c>
      <c r="P697" s="619"/>
      <c r="Q697" s="620" t="s">
        <v>368</v>
      </c>
      <c r="R697" s="620">
        <v>3</v>
      </c>
      <c r="S697" s="616" t="e">
        <v>#N/A</v>
      </c>
      <c r="T697" s="617" t="e">
        <f>R697*S697</f>
        <v>#N/A</v>
      </c>
    </row>
    <row r="698" spans="1:20" s="600" customFormat="1" ht="15" hidden="1" thickBot="1">
      <c r="A698" s="605"/>
      <c r="B698" s="621" t="s">
        <v>1734</v>
      </c>
      <c r="C698" s="596" t="s">
        <v>1735</v>
      </c>
      <c r="D698" s="622"/>
      <c r="E698" s="623"/>
      <c r="F698" s="597"/>
      <c r="G698" s="603"/>
      <c r="H698" s="604"/>
      <c r="I698" s="624"/>
      <c r="N698" s="625"/>
      <c r="O698" s="626" t="s">
        <v>369</v>
      </c>
      <c r="P698" s="626"/>
      <c r="Q698" s="627" t="s">
        <v>128</v>
      </c>
      <c r="R698" s="627">
        <v>1</v>
      </c>
      <c r="S698" s="628" t="e">
        <v>#N/A</v>
      </c>
      <c r="T698" s="629" t="e">
        <f>R698*S698</f>
        <v>#N/A</v>
      </c>
    </row>
    <row r="699" spans="1:20" ht="15" hidden="1" thickBot="1">
      <c r="A699" s="526">
        <v>620</v>
      </c>
      <c r="B699" s="112"/>
      <c r="C699" s="458" t="s">
        <v>1737</v>
      </c>
      <c r="D699" s="593" t="s">
        <v>1736</v>
      </c>
      <c r="E699" s="594"/>
      <c r="F699" s="595">
        <f>ANL!J12023</f>
        <v>0</v>
      </c>
      <c r="G699" s="603"/>
      <c r="H699" s="604"/>
      <c r="N699" s="618"/>
      <c r="O699" s="619" t="s">
        <v>370</v>
      </c>
      <c r="P699" s="619"/>
      <c r="Q699" s="620" t="s">
        <v>128</v>
      </c>
      <c r="R699" s="620">
        <v>2</v>
      </c>
      <c r="S699" s="616" t="e">
        <v>#N/A</v>
      </c>
      <c r="T699" s="617" t="e">
        <f>R699*S699</f>
        <v>#N/A</v>
      </c>
    </row>
    <row r="700" spans="1:20" hidden="1">
      <c r="A700" s="526">
        <f t="shared" si="11"/>
        <v>621</v>
      </c>
      <c r="B700" s="112"/>
      <c r="C700" s="458" t="s">
        <v>1785</v>
      </c>
      <c r="D700" s="114" t="s">
        <v>535</v>
      </c>
      <c r="E700" s="115"/>
      <c r="F700" s="112">
        <f>ANL!J12043</f>
        <v>0</v>
      </c>
      <c r="G700" s="603"/>
      <c r="H700" s="604"/>
    </row>
    <row r="701" spans="1:20">
      <c r="A701" s="630"/>
      <c r="B701" s="105"/>
      <c r="C701" s="537"/>
      <c r="D701" s="116"/>
      <c r="E701" s="116"/>
      <c r="F701" s="113"/>
      <c r="G701" s="603"/>
      <c r="H701" s="604"/>
    </row>
    <row r="702" spans="1:20" ht="14">
      <c r="A702" s="605"/>
      <c r="B702" s="621"/>
      <c r="C702" s="596" t="s">
        <v>3206</v>
      </c>
      <c r="D702" s="622"/>
      <c r="E702" s="623"/>
      <c r="F702" s="597"/>
      <c r="G702" s="603"/>
      <c r="H702" s="604"/>
    </row>
    <row r="703" spans="1:20">
      <c r="A703" s="526">
        <v>622</v>
      </c>
      <c r="B703" s="112"/>
      <c r="C703" s="631"/>
      <c r="D703" s="593" t="s">
        <v>3204</v>
      </c>
      <c r="E703" s="594"/>
      <c r="F703" s="595">
        <f>ANL!J12062</f>
        <v>0</v>
      </c>
      <c r="G703" s="603"/>
      <c r="H703" s="604"/>
    </row>
    <row r="704" spans="1:20">
      <c r="A704" s="526">
        <f t="shared" ref="A704:A709" si="12">A703+1</f>
        <v>623</v>
      </c>
      <c r="B704" s="112"/>
      <c r="C704" s="631"/>
      <c r="D704" s="114" t="s">
        <v>3854</v>
      </c>
      <c r="E704" s="115"/>
      <c r="F704" s="112">
        <f>ANL!J12085</f>
        <v>0</v>
      </c>
      <c r="G704" s="603"/>
      <c r="H704" s="604"/>
    </row>
    <row r="705" spans="1:8">
      <c r="A705" s="526">
        <f t="shared" si="12"/>
        <v>624</v>
      </c>
      <c r="B705" s="112"/>
      <c r="C705" s="631"/>
      <c r="D705" s="593" t="str">
        <f>ANL!D12087</f>
        <v>Pasang 1 m2 paving block t = 8 cm, K300</v>
      </c>
      <c r="E705" s="594"/>
      <c r="F705" s="595">
        <f>ANL!J12107</f>
        <v>0</v>
      </c>
      <c r="G705" s="603"/>
      <c r="H705" s="604"/>
    </row>
    <row r="706" spans="1:8">
      <c r="A706" s="526">
        <f t="shared" si="12"/>
        <v>625</v>
      </c>
      <c r="B706" s="112"/>
      <c r="C706" s="631"/>
      <c r="D706" s="593" t="str">
        <f>ANL!D12128</f>
        <v>Pasang 1 m' Buis betin 1/2 D 20-100</v>
      </c>
      <c r="E706" s="594"/>
      <c r="F706" s="595">
        <f>ANL!J12147</f>
        <v>0</v>
      </c>
      <c r="G706" s="603"/>
      <c r="H706" s="604"/>
    </row>
    <row r="707" spans="1:8">
      <c r="A707" s="526">
        <f t="shared" si="12"/>
        <v>626</v>
      </c>
      <c r="B707" s="112"/>
      <c r="C707" s="631"/>
      <c r="D707" s="593" t="str">
        <f>ANL!D12149</f>
        <v>Pasang 1 m' Buis betin 1/2 D 40-100</v>
      </c>
      <c r="E707" s="594"/>
      <c r="F707" s="595">
        <f>ANL!J12168</f>
        <v>0</v>
      </c>
      <c r="G707" s="603"/>
      <c r="H707" s="604"/>
    </row>
    <row r="708" spans="1:8">
      <c r="A708" s="526">
        <f t="shared" si="12"/>
        <v>627</v>
      </c>
      <c r="B708" s="112"/>
      <c r="C708" s="458"/>
      <c r="D708" s="11" t="s">
        <v>4117</v>
      </c>
      <c r="E708" s="602"/>
      <c r="F708" s="595">
        <f>ANL!J12190</f>
        <v>0</v>
      </c>
      <c r="G708" s="603"/>
      <c r="H708" s="604"/>
    </row>
    <row r="709" spans="1:8">
      <c r="A709" s="526">
        <f t="shared" si="12"/>
        <v>628</v>
      </c>
      <c r="B709" s="112"/>
      <c r="C709" s="631"/>
      <c r="D709" s="593" t="str">
        <f>ANL!D12192</f>
        <v>Pasang 1 bh Bak kontol Pasangan Batu Bata uk.60x60 tinggi 65 cm denga tutup gril besi</v>
      </c>
      <c r="E709" s="594"/>
      <c r="F709" s="595">
        <f>ANL!J12212</f>
        <v>0</v>
      </c>
      <c r="G709" s="603"/>
      <c r="H709" s="604"/>
    </row>
    <row r="710" spans="1:8">
      <c r="A710" s="526"/>
      <c r="B710" s="112"/>
      <c r="C710" s="631"/>
      <c r="D710" s="593" t="str">
        <f>ANL!D12214</f>
        <v>1m3 Lapis Tipis Beton Aspal B Halus (LTBA B Kasar )</v>
      </c>
      <c r="E710" s="594"/>
      <c r="F710" s="595">
        <f>ANL!J12237</f>
        <v>0</v>
      </c>
      <c r="G710" s="603"/>
      <c r="H710" s="604"/>
    </row>
    <row r="711" spans="1:8" s="23" customFormat="1" ht="15.5">
      <c r="C711" s="29"/>
      <c r="D711" s="29"/>
      <c r="E711" s="60"/>
      <c r="F711" s="29"/>
      <c r="G711" s="60"/>
    </row>
    <row r="712" spans="1:8" s="23" customFormat="1" ht="15.5">
      <c r="C712" s="29"/>
      <c r="D712" s="29"/>
      <c r="E712" s="60"/>
      <c r="F712" s="29"/>
      <c r="G712" s="60"/>
    </row>
    <row r="713" spans="1:8" s="23" customFormat="1" ht="15.5">
      <c r="C713" s="29"/>
      <c r="D713" s="29"/>
      <c r="E713" s="60"/>
      <c r="F713" s="29"/>
      <c r="G713" s="60"/>
    </row>
    <row r="714" spans="1:8" s="23" customFormat="1" ht="15.5">
      <c r="C714" s="29"/>
      <c r="D714" s="29"/>
      <c r="E714" s="60"/>
      <c r="F714" s="29"/>
      <c r="G714" s="60"/>
    </row>
    <row r="715" spans="1:8" s="23" customFormat="1" ht="15.5">
      <c r="A715" s="119"/>
      <c r="B715" s="119"/>
      <c r="C715" s="119"/>
      <c r="D715" s="119"/>
      <c r="E715" s="118"/>
      <c r="F715" s="118"/>
      <c r="G715" s="60"/>
    </row>
    <row r="716" spans="1:8" s="23" customFormat="1" ht="15.5">
      <c r="E716" s="117"/>
      <c r="F716" s="117"/>
      <c r="G716" s="60"/>
    </row>
    <row r="717" spans="1:8" s="23" customFormat="1" ht="15.5">
      <c r="G717" s="60"/>
      <c r="H717" s="61"/>
    </row>
    <row r="718" spans="1:8" s="23" customFormat="1" ht="15.5">
      <c r="G718" s="60"/>
      <c r="H718" s="61"/>
    </row>
    <row r="719" spans="1:8" s="23" customFormat="1" ht="15.5">
      <c r="A719" s="29"/>
      <c r="B719" s="29"/>
      <c r="C719" s="29"/>
      <c r="D719" s="29"/>
      <c r="E719" s="29"/>
      <c r="F719" s="29"/>
      <c r="G719" s="60"/>
      <c r="H719" s="61"/>
    </row>
    <row r="720" spans="1:8" s="23" customFormat="1" ht="15.5">
      <c r="A720" s="29"/>
      <c r="B720" s="29"/>
      <c r="C720" s="29"/>
      <c r="D720" s="29"/>
      <c r="E720" s="29"/>
      <c r="F720" s="29"/>
      <c r="G720" s="60"/>
      <c r="H720" s="61"/>
    </row>
    <row r="721" spans="1:10" s="23" customFormat="1" ht="15.5">
      <c r="C721" s="29"/>
      <c r="D721" s="29"/>
      <c r="E721" s="29"/>
      <c r="F721" s="29"/>
      <c r="G721" s="60"/>
      <c r="H721" s="61"/>
    </row>
    <row r="722" spans="1:10" s="23" customFormat="1" ht="15.5">
      <c r="C722" s="29"/>
      <c r="D722" s="29"/>
      <c r="E722" s="29"/>
      <c r="F722" s="29"/>
      <c r="G722" s="60"/>
      <c r="H722" s="61"/>
    </row>
    <row r="723" spans="1:10" s="23" customFormat="1" ht="15.5">
      <c r="C723" s="29"/>
      <c r="D723" s="29"/>
      <c r="E723" s="29"/>
      <c r="F723" s="29"/>
      <c r="G723" s="60"/>
      <c r="H723" s="61"/>
    </row>
    <row r="724" spans="1:10" s="23" customFormat="1" ht="15.5">
      <c r="C724" s="29"/>
      <c r="D724" s="29"/>
      <c r="E724" s="29"/>
      <c r="F724" s="29"/>
      <c r="G724" s="60"/>
      <c r="H724" s="61"/>
    </row>
    <row r="725" spans="1:10" s="23" customFormat="1" ht="15.5">
      <c r="A725" s="119"/>
      <c r="B725" s="119"/>
      <c r="C725" s="119"/>
      <c r="D725" s="119"/>
      <c r="E725" s="119"/>
      <c r="F725" s="119"/>
      <c r="G725" s="60"/>
      <c r="H725" s="61"/>
    </row>
    <row r="726" spans="1:10" s="23" customFormat="1" ht="15.5">
      <c r="G726" s="60"/>
      <c r="H726" s="61"/>
    </row>
    <row r="727" spans="1:10" ht="14.5">
      <c r="B727" s="587"/>
      <c r="D727" s="632"/>
      <c r="E727" s="632"/>
      <c r="F727" s="633"/>
      <c r="G727" s="632"/>
      <c r="H727" s="632"/>
      <c r="I727" s="632"/>
      <c r="J727" s="632"/>
    </row>
    <row r="728" spans="1:10" ht="14.5">
      <c r="B728" s="587"/>
      <c r="D728" s="632"/>
      <c r="E728" s="632"/>
      <c r="F728" s="633"/>
      <c r="G728" s="632"/>
      <c r="H728" s="632"/>
      <c r="I728" s="632"/>
      <c r="J728" s="632"/>
    </row>
    <row r="729" spans="1:10" ht="14.5">
      <c r="B729" s="587"/>
      <c r="D729" s="632"/>
      <c r="E729" s="632"/>
      <c r="F729" s="633"/>
      <c r="G729" s="632"/>
      <c r="H729" s="632"/>
      <c r="I729" s="632"/>
      <c r="J729" s="632"/>
    </row>
    <row r="730" spans="1:10" ht="14.5">
      <c r="B730" s="587"/>
      <c r="D730" s="632"/>
      <c r="E730" s="632"/>
      <c r="F730" s="633"/>
      <c r="G730" s="632"/>
      <c r="H730" s="632"/>
      <c r="I730" s="632"/>
      <c r="J730" s="632"/>
    </row>
    <row r="731" spans="1:10" ht="14.5">
      <c r="B731" s="587"/>
      <c r="D731" s="632"/>
      <c r="E731" s="632"/>
      <c r="F731" s="633"/>
      <c r="G731" s="632"/>
      <c r="H731" s="632"/>
      <c r="I731" s="632"/>
      <c r="J731" s="632"/>
    </row>
    <row r="732" spans="1:10" ht="14.5">
      <c r="B732" s="587"/>
      <c r="D732" s="632"/>
      <c r="E732" s="632"/>
      <c r="F732" s="633"/>
      <c r="G732" s="632"/>
      <c r="H732" s="632"/>
      <c r="I732" s="632"/>
      <c r="J732" s="632"/>
    </row>
    <row r="733" spans="1:10" ht="14.5">
      <c r="B733" s="587"/>
      <c r="D733" s="632"/>
      <c r="E733" s="632"/>
      <c r="F733" s="633"/>
      <c r="G733" s="632"/>
      <c r="H733" s="632"/>
      <c r="I733" s="632"/>
      <c r="J733" s="632"/>
    </row>
    <row r="734" spans="1:10" ht="14.5">
      <c r="B734" s="587"/>
      <c r="D734" s="632"/>
      <c r="E734" s="632"/>
      <c r="F734" s="633"/>
      <c r="G734" s="632"/>
      <c r="H734" s="632"/>
      <c r="I734" s="632"/>
      <c r="J734" s="632"/>
    </row>
    <row r="735" spans="1:10" ht="14.5">
      <c r="B735" s="587"/>
      <c r="D735" s="632"/>
      <c r="E735" s="632"/>
      <c r="F735" s="633"/>
      <c r="G735" s="632"/>
      <c r="H735" s="632"/>
      <c r="I735" s="632"/>
      <c r="J735" s="632"/>
    </row>
    <row r="736" spans="1:10" ht="14.5">
      <c r="B736" s="587"/>
      <c r="D736" s="632"/>
      <c r="E736" s="632"/>
      <c r="F736" s="633"/>
      <c r="G736" s="632"/>
      <c r="H736" s="632"/>
      <c r="I736" s="632"/>
      <c r="J736" s="632"/>
    </row>
    <row r="737" spans="2:10" ht="14.5">
      <c r="B737" s="587"/>
      <c r="D737" s="632"/>
      <c r="E737" s="632"/>
      <c r="F737" s="633"/>
      <c r="G737" s="632"/>
      <c r="H737" s="632"/>
      <c r="I737" s="632"/>
      <c r="J737" s="632"/>
    </row>
    <row r="738" spans="2:10" ht="14.5">
      <c r="B738" s="587"/>
      <c r="D738" s="632"/>
      <c r="E738" s="632"/>
      <c r="F738" s="633"/>
      <c r="G738" s="632"/>
      <c r="H738" s="632"/>
      <c r="I738" s="632"/>
      <c r="J738" s="632"/>
    </row>
    <row r="739" spans="2:10" ht="14.5">
      <c r="B739" s="587"/>
      <c r="D739" s="632"/>
      <c r="E739" s="632"/>
      <c r="F739" s="633"/>
      <c r="G739" s="632"/>
      <c r="H739" s="632"/>
      <c r="I739" s="632"/>
      <c r="J739" s="632"/>
    </row>
    <row r="740" spans="2:10" ht="14.5">
      <c r="B740" s="587"/>
      <c r="D740" s="632"/>
      <c r="E740" s="632"/>
      <c r="F740" s="633"/>
      <c r="G740" s="632"/>
      <c r="H740" s="632"/>
      <c r="I740" s="632"/>
      <c r="J740" s="632"/>
    </row>
    <row r="741" spans="2:10">
      <c r="B741" s="587"/>
    </row>
    <row r="742" spans="2:10">
      <c r="B742" s="587"/>
    </row>
    <row r="743" spans="2:10">
      <c r="B743" s="587"/>
    </row>
    <row r="744" spans="2:10">
      <c r="B744" s="587"/>
    </row>
    <row r="745" spans="2:10">
      <c r="B745" s="587"/>
    </row>
    <row r="746" spans="2:10">
      <c r="B746" s="587"/>
    </row>
  </sheetData>
  <protectedRanges>
    <protectedRange password="CF35" sqref="D700:E701 D704:E705" name="Range1_1"/>
  </protectedRanges>
  <sortState xmlns:xlrd2="http://schemas.microsoft.com/office/spreadsheetml/2017/richdata2" ref="C1:E671">
    <sortCondition ref="D1:D11723"/>
  </sortState>
  <mergeCells count="1">
    <mergeCell ref="A2:F2"/>
  </mergeCells>
  <phoneticPr fontId="79" type="noConversion"/>
  <pageMargins left="0.511811023622047" right="0.31496062992126" top="0.47244094488188998" bottom="2.36220472440945" header="0.31496062992126" footer="0.31496062992126"/>
  <pageSetup paperSize="9" scale="81" fitToHeight="155" orientation="portrait" r:id="rId1"/>
  <rowBreaks count="7" manualBreakCount="7">
    <brk id="69" max="5" man="1"/>
    <brk id="141" max="5" man="1"/>
    <brk id="217" max="5" man="1"/>
    <brk id="301" max="5" man="1"/>
    <brk id="381" max="5" man="1"/>
    <brk id="474" max="5" man="1"/>
    <brk id="581" max="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92C2B-A73F-413A-8C87-2143166A786B}">
  <sheetPr>
    <tabColor rgb="FFFF0000"/>
  </sheetPr>
  <dimension ref="B1:I144"/>
  <sheetViews>
    <sheetView view="pageBreakPreview" topLeftCell="B45" zoomScale="85" zoomScaleNormal="100" zoomScaleSheetLayoutView="85" workbookViewId="0">
      <selection activeCell="M32" sqref="M32"/>
    </sheetView>
  </sheetViews>
  <sheetFormatPr defaultColWidth="9.08984375" defaultRowHeight="14.5" outlineLevelRow="1"/>
  <cols>
    <col min="1" max="1" width="9.08984375" style="361"/>
    <col min="2" max="2" width="58.453125" style="361" customWidth="1"/>
    <col min="3" max="3" width="12.453125" style="635" customWidth="1"/>
    <col min="4" max="4" width="9.90625" style="636" customWidth="1"/>
    <col min="5" max="6" width="12.453125" style="636" customWidth="1"/>
    <col min="7" max="16384" width="9.08984375" style="361"/>
  </cols>
  <sheetData>
    <row r="1" spans="2:6" ht="18.5">
      <c r="B1" s="1752" t="s">
        <v>4143</v>
      </c>
      <c r="C1" s="1752"/>
      <c r="D1" s="1752"/>
      <c r="E1" s="1752"/>
      <c r="F1" s="1752"/>
    </row>
    <row r="2" spans="2:6">
      <c r="D2" s="635"/>
    </row>
    <row r="3" spans="2:6">
      <c r="B3" s="664"/>
      <c r="C3" s="665" t="s">
        <v>3490</v>
      </c>
      <c r="D3" s="666" t="s">
        <v>3496</v>
      </c>
      <c r="E3" s="666" t="s">
        <v>3497</v>
      </c>
      <c r="F3" s="666" t="s">
        <v>3498</v>
      </c>
    </row>
    <row r="4" spans="2:6">
      <c r="B4" s="661" t="s">
        <v>3610</v>
      </c>
      <c r="C4" s="662"/>
      <c r="D4" s="663"/>
      <c r="E4" s="663"/>
      <c r="F4" s="663"/>
    </row>
    <row r="5" spans="2:6">
      <c r="B5" s="941" t="s">
        <v>4072</v>
      </c>
      <c r="C5" s="662">
        <f>1.8+1.8+2.6+2.6</f>
        <v>8.8000000000000007</v>
      </c>
      <c r="D5" s="434" t="s">
        <v>2911</v>
      </c>
      <c r="E5" s="942">
        <v>0</v>
      </c>
      <c r="F5" s="943">
        <f>+C5*E5</f>
        <v>0</v>
      </c>
    </row>
    <row r="6" spans="2:6">
      <c r="B6" s="941" t="s">
        <v>4073</v>
      </c>
      <c r="C6" s="662">
        <f>1.8*2.6</f>
        <v>4.6800000000000006</v>
      </c>
      <c r="D6" s="434" t="s">
        <v>376</v>
      </c>
      <c r="E6" s="942">
        <v>0</v>
      </c>
      <c r="F6" s="943">
        <f t="shared" ref="F6:F12" si="0">+C6*E6</f>
        <v>0</v>
      </c>
    </row>
    <row r="7" spans="2:6">
      <c r="B7" s="941" t="s">
        <v>4074</v>
      </c>
      <c r="C7" s="662">
        <v>1</v>
      </c>
      <c r="D7" s="434" t="s">
        <v>215</v>
      </c>
      <c r="E7" s="942">
        <v>0</v>
      </c>
      <c r="F7" s="943">
        <f t="shared" si="0"/>
        <v>0</v>
      </c>
    </row>
    <row r="8" spans="2:6">
      <c r="B8" s="941" t="s">
        <v>4075</v>
      </c>
      <c r="C8" s="662">
        <v>1</v>
      </c>
      <c r="D8" s="434" t="s">
        <v>2333</v>
      </c>
      <c r="E8" s="942">
        <v>0</v>
      </c>
      <c r="F8" s="943">
        <f t="shared" si="0"/>
        <v>0</v>
      </c>
    </row>
    <row r="9" spans="2:6">
      <c r="B9" s="941" t="s">
        <v>4076</v>
      </c>
      <c r="C9" s="662">
        <v>1</v>
      </c>
      <c r="D9" s="434" t="s">
        <v>220</v>
      </c>
      <c r="E9" s="942">
        <v>0</v>
      </c>
      <c r="F9" s="943">
        <f t="shared" si="0"/>
        <v>0</v>
      </c>
    </row>
    <row r="10" spans="2:6">
      <c r="B10" s="941" t="s">
        <v>4077</v>
      </c>
      <c r="C10" s="662">
        <v>2</v>
      </c>
      <c r="D10" s="434" t="s">
        <v>215</v>
      </c>
      <c r="E10" s="942">
        <v>0</v>
      </c>
      <c r="F10" s="943">
        <f t="shared" si="0"/>
        <v>0</v>
      </c>
    </row>
    <row r="11" spans="2:6">
      <c r="B11" s="941" t="s">
        <v>4078</v>
      </c>
      <c r="C11" s="662">
        <v>1</v>
      </c>
      <c r="D11" s="434" t="s">
        <v>220</v>
      </c>
      <c r="E11" s="942">
        <v>0</v>
      </c>
      <c r="F11" s="943">
        <f t="shared" si="0"/>
        <v>0</v>
      </c>
    </row>
    <row r="12" spans="2:6">
      <c r="B12" s="941" t="s">
        <v>4079</v>
      </c>
      <c r="C12" s="662">
        <f>1.18*1.8</f>
        <v>2.1240000000000001</v>
      </c>
      <c r="D12" s="434" t="s">
        <v>376</v>
      </c>
      <c r="E12" s="942">
        <v>0</v>
      </c>
      <c r="F12" s="943">
        <f t="shared" si="0"/>
        <v>0</v>
      </c>
    </row>
    <row r="13" spans="2:6">
      <c r="B13" s="648"/>
      <c r="C13" s="646"/>
      <c r="D13" s="647"/>
      <c r="E13" s="654" t="s">
        <v>3506</v>
      </c>
      <c r="F13" s="655">
        <f>SUM(F5:F12)</f>
        <v>0</v>
      </c>
    </row>
    <row r="14" spans="2:6">
      <c r="B14" s="648"/>
      <c r="C14" s="646"/>
      <c r="D14" s="647"/>
      <c r="E14" s="647"/>
      <c r="F14" s="647"/>
    </row>
    <row r="15" spans="2:6">
      <c r="B15" s="661" t="s">
        <v>3611</v>
      </c>
      <c r="C15" s="646"/>
      <c r="D15" s="647"/>
      <c r="E15" s="647"/>
      <c r="F15" s="647"/>
    </row>
    <row r="16" spans="2:6">
      <c r="B16" s="648" t="s">
        <v>3499</v>
      </c>
      <c r="C16" s="646">
        <f>(2.6*2)+0.9+0.9</f>
        <v>7.0000000000000009</v>
      </c>
      <c r="D16" s="647" t="s">
        <v>2911</v>
      </c>
      <c r="E16" s="649">
        <f>+HSP!F133</f>
        <v>0</v>
      </c>
      <c r="F16" s="649">
        <f t="shared" ref="F16:F23" si="1">+E16*C16</f>
        <v>0</v>
      </c>
    </row>
    <row r="17" spans="2:8">
      <c r="B17" s="650" t="s">
        <v>3730</v>
      </c>
      <c r="C17" s="651">
        <f>2.06*0.8</f>
        <v>1.6480000000000001</v>
      </c>
      <c r="D17" s="652" t="s">
        <v>376</v>
      </c>
      <c r="E17" s="649">
        <v>0</v>
      </c>
      <c r="F17" s="649">
        <f t="shared" si="1"/>
        <v>0</v>
      </c>
    </row>
    <row r="18" spans="2:8">
      <c r="B18" s="650" t="s">
        <v>4080</v>
      </c>
      <c r="C18" s="651">
        <f>0.32*0.68</f>
        <v>0.21760000000000002</v>
      </c>
      <c r="D18" s="652" t="s">
        <v>376</v>
      </c>
      <c r="E18" s="649">
        <f>+HSP!F394</f>
        <v>0</v>
      </c>
      <c r="F18" s="649">
        <f t="shared" si="1"/>
        <v>0</v>
      </c>
    </row>
    <row r="19" spans="2:8">
      <c r="B19" s="648" t="s">
        <v>3501</v>
      </c>
      <c r="C19" s="646">
        <v>5</v>
      </c>
      <c r="D19" s="647" t="s">
        <v>128</v>
      </c>
      <c r="E19" s="649">
        <f>+HSP!F382</f>
        <v>0</v>
      </c>
      <c r="F19" s="649">
        <f t="shared" si="1"/>
        <v>0</v>
      </c>
    </row>
    <row r="20" spans="2:8">
      <c r="B20" s="648" t="s">
        <v>3689</v>
      </c>
      <c r="C20" s="646">
        <v>1</v>
      </c>
      <c r="D20" s="647" t="s">
        <v>128</v>
      </c>
      <c r="E20" s="649">
        <v>0</v>
      </c>
      <c r="F20" s="649">
        <f t="shared" si="1"/>
        <v>0</v>
      </c>
    </row>
    <row r="21" spans="2:8">
      <c r="B21" s="648" t="s">
        <v>3503</v>
      </c>
      <c r="C21" s="646">
        <v>1</v>
      </c>
      <c r="D21" s="647" t="s">
        <v>128</v>
      </c>
      <c r="E21" s="649">
        <v>0</v>
      </c>
      <c r="F21" s="649">
        <f t="shared" si="1"/>
        <v>0</v>
      </c>
    </row>
    <row r="22" spans="2:8">
      <c r="B22" s="648" t="s">
        <v>3504</v>
      </c>
      <c r="C22" s="646">
        <v>1</v>
      </c>
      <c r="D22" s="647" t="s">
        <v>128</v>
      </c>
      <c r="E22" s="649">
        <v>0</v>
      </c>
      <c r="F22" s="649">
        <f t="shared" si="1"/>
        <v>0</v>
      </c>
    </row>
    <row r="23" spans="2:8">
      <c r="B23" s="648" t="s">
        <v>3505</v>
      </c>
      <c r="C23" s="646">
        <v>2</v>
      </c>
      <c r="D23" s="647" t="s">
        <v>128</v>
      </c>
      <c r="E23" s="649">
        <f>+HSP!F387</f>
        <v>0</v>
      </c>
      <c r="F23" s="649">
        <f t="shared" si="1"/>
        <v>0</v>
      </c>
    </row>
    <row r="24" spans="2:8">
      <c r="B24" s="648" t="s">
        <v>3731</v>
      </c>
      <c r="C24" s="646">
        <v>1</v>
      </c>
      <c r="D24" s="647" t="s">
        <v>128</v>
      </c>
      <c r="E24" s="649"/>
      <c r="F24" s="649"/>
    </row>
    <row r="25" spans="2:8">
      <c r="B25" s="648"/>
      <c r="C25" s="646"/>
      <c r="D25" s="647"/>
      <c r="E25" s="654" t="s">
        <v>3506</v>
      </c>
      <c r="F25" s="655">
        <f>SUM(F16:F24)</f>
        <v>0</v>
      </c>
    </row>
    <row r="26" spans="2:8">
      <c r="B26" s="661" t="s">
        <v>4063</v>
      </c>
      <c r="C26" s="662"/>
      <c r="D26" s="663"/>
      <c r="E26" s="663"/>
      <c r="F26" s="663"/>
    </row>
    <row r="27" spans="2:8">
      <c r="B27" s="648" t="s">
        <v>4064</v>
      </c>
      <c r="C27" s="646">
        <f>(2.1*2)+1.29</f>
        <v>5.49</v>
      </c>
      <c r="D27" s="647" t="s">
        <v>2911</v>
      </c>
      <c r="E27" s="649">
        <v>0</v>
      </c>
      <c r="F27" s="649">
        <f>+E27*C27</f>
        <v>0</v>
      </c>
    </row>
    <row r="28" spans="2:8">
      <c r="B28" s="650" t="s">
        <v>4065</v>
      </c>
      <c r="C28" s="651">
        <f>2.05*1.2</f>
        <v>2.4599999999999995</v>
      </c>
      <c r="D28" s="652" t="s">
        <v>376</v>
      </c>
      <c r="E28" s="653">
        <v>0</v>
      </c>
      <c r="F28" s="653">
        <f t="shared" ref="F28:F33" si="2">+E28*C28</f>
        <v>0</v>
      </c>
      <c r="G28" s="642"/>
      <c r="H28" s="640"/>
    </row>
    <row r="29" spans="2:8">
      <c r="B29" s="648" t="s">
        <v>3501</v>
      </c>
      <c r="C29" s="646">
        <v>6</v>
      </c>
      <c r="D29" s="647" t="s">
        <v>128</v>
      </c>
      <c r="E29" s="649">
        <f>+E19</f>
        <v>0</v>
      </c>
      <c r="F29" s="649">
        <f t="shared" si="2"/>
        <v>0</v>
      </c>
    </row>
    <row r="30" spans="2:8">
      <c r="B30" s="648" t="s">
        <v>3502</v>
      </c>
      <c r="C30" s="646">
        <v>1</v>
      </c>
      <c r="D30" s="647" t="s">
        <v>128</v>
      </c>
      <c r="E30" s="649">
        <v>0</v>
      </c>
      <c r="F30" s="649">
        <f t="shared" si="2"/>
        <v>0</v>
      </c>
    </row>
    <row r="31" spans="2:8">
      <c r="B31" s="648" t="s">
        <v>3503</v>
      </c>
      <c r="C31" s="646">
        <v>1</v>
      </c>
      <c r="D31" s="647" t="s">
        <v>128</v>
      </c>
      <c r="E31" s="649">
        <v>0</v>
      </c>
      <c r="F31" s="649">
        <f t="shared" si="2"/>
        <v>0</v>
      </c>
    </row>
    <row r="32" spans="2:8">
      <c r="B32" s="648" t="s">
        <v>3504</v>
      </c>
      <c r="C32" s="646">
        <v>1</v>
      </c>
      <c r="D32" s="647" t="s">
        <v>128</v>
      </c>
      <c r="E32" s="649">
        <v>0</v>
      </c>
      <c r="F32" s="649">
        <f t="shared" si="2"/>
        <v>0</v>
      </c>
    </row>
    <row r="33" spans="2:9">
      <c r="B33" s="648" t="s">
        <v>3505</v>
      </c>
      <c r="C33" s="646">
        <v>0</v>
      </c>
      <c r="D33" s="647" t="s">
        <v>128</v>
      </c>
      <c r="E33" s="649">
        <v>0</v>
      </c>
      <c r="F33" s="649">
        <f t="shared" si="2"/>
        <v>0</v>
      </c>
    </row>
    <row r="34" spans="2:9">
      <c r="B34" s="648"/>
      <c r="C34" s="646"/>
      <c r="D34" s="647"/>
      <c r="E34" s="654" t="s">
        <v>3506</v>
      </c>
      <c r="F34" s="655">
        <f>SUM(F27:F33)</f>
        <v>0</v>
      </c>
    </row>
    <row r="35" spans="2:9">
      <c r="B35" s="648"/>
      <c r="C35" s="646"/>
      <c r="D35" s="647"/>
      <c r="E35" s="647"/>
      <c r="F35" s="647"/>
    </row>
    <row r="36" spans="2:9">
      <c r="B36" s="645" t="s">
        <v>3737</v>
      </c>
      <c r="C36" s="646"/>
      <c r="D36" s="647"/>
      <c r="E36" s="647"/>
      <c r="F36" s="647"/>
    </row>
    <row r="37" spans="2:9">
      <c r="B37" s="648" t="s">
        <v>3499</v>
      </c>
      <c r="C37" s="646">
        <f>(2.6*2)+0.9+0.9</f>
        <v>7.0000000000000009</v>
      </c>
      <c r="D37" s="647" t="s">
        <v>2911</v>
      </c>
      <c r="E37" s="649">
        <f>E16</f>
        <v>0</v>
      </c>
      <c r="F37" s="649">
        <f t="shared" ref="F37:F43" si="3">+E37*C37</f>
        <v>0</v>
      </c>
    </row>
    <row r="38" spans="2:9" ht="29">
      <c r="B38" s="650" t="s">
        <v>3732</v>
      </c>
      <c r="C38" s="651">
        <f>2.1*0.8</f>
        <v>1.6800000000000002</v>
      </c>
      <c r="D38" s="652" t="s">
        <v>376</v>
      </c>
      <c r="E38" s="649">
        <v>0</v>
      </c>
      <c r="F38" s="649">
        <f t="shared" si="3"/>
        <v>0</v>
      </c>
    </row>
    <row r="39" spans="2:9">
      <c r="B39" s="650" t="s">
        <v>4080</v>
      </c>
      <c r="C39" s="651">
        <f>0.32*0.68</f>
        <v>0.21760000000000002</v>
      </c>
      <c r="D39" s="652" t="s">
        <v>376</v>
      </c>
      <c r="E39" s="649">
        <f>+E18</f>
        <v>0</v>
      </c>
      <c r="F39" s="649">
        <f t="shared" si="3"/>
        <v>0</v>
      </c>
    </row>
    <row r="40" spans="2:9">
      <c r="B40" s="648" t="s">
        <v>3501</v>
      </c>
      <c r="C40" s="646">
        <v>5</v>
      </c>
      <c r="D40" s="647" t="s">
        <v>128</v>
      </c>
      <c r="E40" s="649">
        <f>E19</f>
        <v>0</v>
      </c>
      <c r="F40" s="649">
        <f t="shared" si="3"/>
        <v>0</v>
      </c>
    </row>
    <row r="41" spans="2:9">
      <c r="B41" s="648" t="s">
        <v>3689</v>
      </c>
      <c r="C41" s="646">
        <v>1</v>
      </c>
      <c r="D41" s="647" t="s">
        <v>128</v>
      </c>
      <c r="E41" s="649">
        <f>+E20</f>
        <v>0</v>
      </c>
      <c r="F41" s="649">
        <f t="shared" si="3"/>
        <v>0</v>
      </c>
    </row>
    <row r="42" spans="2:9">
      <c r="B42" s="648" t="s">
        <v>3503</v>
      </c>
      <c r="C42" s="646">
        <v>1</v>
      </c>
      <c r="D42" s="647" t="s">
        <v>128</v>
      </c>
      <c r="E42" s="649">
        <f>E21</f>
        <v>0</v>
      </c>
      <c r="F42" s="649">
        <f t="shared" si="3"/>
        <v>0</v>
      </c>
    </row>
    <row r="43" spans="2:9">
      <c r="B43" s="648" t="s">
        <v>3504</v>
      </c>
      <c r="C43" s="646">
        <v>1</v>
      </c>
      <c r="D43" s="647" t="s">
        <v>128</v>
      </c>
      <c r="E43" s="649">
        <f>E22</f>
        <v>0</v>
      </c>
      <c r="F43" s="649">
        <f t="shared" si="3"/>
        <v>0</v>
      </c>
    </row>
    <row r="44" spans="2:9">
      <c r="B44" s="648"/>
      <c r="C44" s="646"/>
      <c r="D44" s="647"/>
      <c r="E44" s="654" t="s">
        <v>3506</v>
      </c>
      <c r="F44" s="655">
        <f>SUM(F37:F43)</f>
        <v>0</v>
      </c>
    </row>
    <row r="45" spans="2:9">
      <c r="B45" s="648"/>
      <c r="C45" s="646"/>
      <c r="D45" s="647"/>
      <c r="E45" s="647"/>
      <c r="F45" s="647"/>
    </row>
    <row r="46" spans="2:9">
      <c r="B46" s="645" t="s">
        <v>3738</v>
      </c>
      <c r="C46" s="646"/>
      <c r="D46" s="647"/>
      <c r="E46" s="647"/>
      <c r="F46" s="647"/>
    </row>
    <row r="47" spans="2:9">
      <c r="B47" s="648" t="s">
        <v>3733</v>
      </c>
      <c r="C47" s="651">
        <v>1</v>
      </c>
      <c r="D47" s="647" t="s">
        <v>3873</v>
      </c>
      <c r="E47" s="649">
        <v>0</v>
      </c>
      <c r="F47" s="649">
        <f>+E47*C47</f>
        <v>0</v>
      </c>
    </row>
    <row r="48" spans="2:9" ht="29">
      <c r="B48" s="650" t="s">
        <v>3734</v>
      </c>
      <c r="C48" s="651">
        <f>2.16*2.13</f>
        <v>4.6008000000000004</v>
      </c>
      <c r="D48" s="652" t="s">
        <v>376</v>
      </c>
      <c r="E48" s="649"/>
      <c r="F48" s="653"/>
      <c r="G48" s="642"/>
      <c r="H48" s="640"/>
      <c r="I48" s="642"/>
    </row>
    <row r="49" spans="2:6">
      <c r="B49" s="648" t="s">
        <v>3501</v>
      </c>
      <c r="C49" s="646">
        <v>6</v>
      </c>
      <c r="D49" s="647" t="s">
        <v>128</v>
      </c>
      <c r="E49" s="649">
        <v>0</v>
      </c>
      <c r="F49" s="649"/>
    </row>
    <row r="50" spans="2:6">
      <c r="B50" s="648" t="s">
        <v>3735</v>
      </c>
      <c r="C50" s="646">
        <v>2</v>
      </c>
      <c r="D50" s="647" t="s">
        <v>128</v>
      </c>
      <c r="E50" s="649"/>
      <c r="F50" s="649"/>
    </row>
    <row r="51" spans="2:6">
      <c r="B51" s="648" t="s">
        <v>3505</v>
      </c>
      <c r="C51" s="646">
        <v>1</v>
      </c>
      <c r="D51" s="647" t="s">
        <v>128</v>
      </c>
      <c r="E51" s="649">
        <v>0</v>
      </c>
      <c r="F51" s="649"/>
    </row>
    <row r="52" spans="2:6">
      <c r="B52" s="648"/>
      <c r="C52" s="646"/>
      <c r="D52" s="647"/>
      <c r="E52" s="654" t="s">
        <v>3506</v>
      </c>
      <c r="F52" s="655">
        <f>SUM(F47:F51)</f>
        <v>0</v>
      </c>
    </row>
    <row r="53" spans="2:6">
      <c r="B53" s="648"/>
      <c r="C53" s="646"/>
      <c r="D53" s="647"/>
      <c r="E53" s="647"/>
      <c r="F53" s="647"/>
    </row>
    <row r="54" spans="2:6" hidden="1" outlineLevel="1">
      <c r="B54" s="645" t="s">
        <v>3612</v>
      </c>
      <c r="C54" s="646"/>
      <c r="D54" s="647"/>
      <c r="E54" s="647"/>
      <c r="F54" s="647"/>
    </row>
    <row r="55" spans="2:6" hidden="1" outlineLevel="1">
      <c r="B55" s="648" t="s">
        <v>3499</v>
      </c>
      <c r="C55" s="646">
        <f>(2.8*3)+2.65+1.17</f>
        <v>12.219999999999999</v>
      </c>
      <c r="D55" s="647" t="s">
        <v>2911</v>
      </c>
      <c r="E55" s="649" t="e">
        <f>#REF!</f>
        <v>#REF!</v>
      </c>
      <c r="F55" s="649" t="e">
        <f t="shared" ref="F55:F62" si="4">+E55*C55</f>
        <v>#REF!</v>
      </c>
    </row>
    <row r="56" spans="2:6" hidden="1" outlineLevel="1">
      <c r="B56" s="650" t="s">
        <v>3508</v>
      </c>
      <c r="C56" s="651">
        <f>1.44*2.76</f>
        <v>3.9743999999999997</v>
      </c>
      <c r="D56" s="652" t="s">
        <v>376</v>
      </c>
      <c r="E56" s="653">
        <f>HSP!F355</f>
        <v>0</v>
      </c>
      <c r="F56" s="649">
        <f t="shared" si="4"/>
        <v>0</v>
      </c>
    </row>
    <row r="57" spans="2:6" hidden="1" outlineLevel="1">
      <c r="B57" s="650" t="s">
        <v>3507</v>
      </c>
      <c r="C57" s="651">
        <f>1.09*2.76</f>
        <v>3.0084</v>
      </c>
      <c r="D57" s="652" t="s">
        <v>376</v>
      </c>
      <c r="E57" s="653" t="e">
        <f>#REF!</f>
        <v>#REF!</v>
      </c>
      <c r="F57" s="649" t="e">
        <f t="shared" si="4"/>
        <v>#REF!</v>
      </c>
    </row>
    <row r="58" spans="2:6" hidden="1" outlineLevel="1">
      <c r="B58" s="648" t="s">
        <v>3501</v>
      </c>
      <c r="C58" s="646">
        <v>3</v>
      </c>
      <c r="D58" s="647" t="s">
        <v>128</v>
      </c>
      <c r="E58" s="649" t="e">
        <f>#REF!</f>
        <v>#REF!</v>
      </c>
      <c r="F58" s="649" t="e">
        <f t="shared" si="4"/>
        <v>#REF!</v>
      </c>
    </row>
    <row r="59" spans="2:6" hidden="1" outlineLevel="1">
      <c r="B59" s="648" t="s">
        <v>3502</v>
      </c>
      <c r="C59" s="646">
        <v>1</v>
      </c>
      <c r="D59" s="647" t="s">
        <v>128</v>
      </c>
      <c r="E59" s="649" t="e">
        <f>#REF!</f>
        <v>#REF!</v>
      </c>
      <c r="F59" s="649" t="e">
        <f t="shared" si="4"/>
        <v>#REF!</v>
      </c>
    </row>
    <row r="60" spans="2:6" hidden="1" outlineLevel="1">
      <c r="B60" s="648" t="s">
        <v>3503</v>
      </c>
      <c r="C60" s="646">
        <v>1</v>
      </c>
      <c r="D60" s="647" t="s">
        <v>128</v>
      </c>
      <c r="E60" s="649" t="e">
        <f>#REF!</f>
        <v>#REF!</v>
      </c>
      <c r="F60" s="649" t="e">
        <f t="shared" si="4"/>
        <v>#REF!</v>
      </c>
    </row>
    <row r="61" spans="2:6" hidden="1" outlineLevel="1">
      <c r="B61" s="648" t="s">
        <v>3504</v>
      </c>
      <c r="C61" s="646">
        <v>1</v>
      </c>
      <c r="D61" s="647" t="s">
        <v>128</v>
      </c>
      <c r="E61" s="649" t="e">
        <f>#REF!</f>
        <v>#REF!</v>
      </c>
      <c r="F61" s="649" t="e">
        <f t="shared" si="4"/>
        <v>#REF!</v>
      </c>
    </row>
    <row r="62" spans="2:6" hidden="1" outlineLevel="1">
      <c r="B62" s="648" t="s">
        <v>3505</v>
      </c>
      <c r="C62" s="646">
        <v>1</v>
      </c>
      <c r="D62" s="647" t="s">
        <v>128</v>
      </c>
      <c r="E62" s="649" t="e">
        <f>#REF!</f>
        <v>#REF!</v>
      </c>
      <c r="F62" s="649" t="e">
        <f t="shared" si="4"/>
        <v>#REF!</v>
      </c>
    </row>
    <row r="63" spans="2:6" hidden="1" outlineLevel="1">
      <c r="B63" s="648"/>
      <c r="C63" s="646"/>
      <c r="D63" s="647"/>
      <c r="E63" s="654" t="s">
        <v>3506</v>
      </c>
      <c r="F63" s="655" t="e">
        <f>SUM(F55:F62)</f>
        <v>#REF!</v>
      </c>
    </row>
    <row r="64" spans="2:6" hidden="1" outlineLevel="1">
      <c r="B64" s="648"/>
      <c r="C64" s="646"/>
      <c r="D64" s="647"/>
      <c r="E64" s="647"/>
      <c r="F64" s="647"/>
    </row>
    <row r="65" spans="2:6" hidden="1" outlineLevel="1">
      <c r="B65" s="645" t="s">
        <v>3613</v>
      </c>
      <c r="C65" s="646"/>
      <c r="D65" s="647"/>
      <c r="E65" s="647"/>
      <c r="F65" s="647"/>
    </row>
    <row r="66" spans="2:6" hidden="1" outlineLevel="1">
      <c r="B66" s="648" t="s">
        <v>3499</v>
      </c>
      <c r="C66" s="646">
        <f>(2.4*9)+6.4+7.37</f>
        <v>35.369999999999997</v>
      </c>
      <c r="D66" s="647" t="s">
        <v>2911</v>
      </c>
      <c r="E66" s="649" t="e">
        <f>E55</f>
        <v>#REF!</v>
      </c>
      <c r="F66" s="649" t="e">
        <f t="shared" ref="F66:F73" si="5">+E66*C66</f>
        <v>#REF!</v>
      </c>
    </row>
    <row r="67" spans="2:6" ht="29" hidden="1" outlineLevel="1">
      <c r="B67" s="650" t="s">
        <v>3500</v>
      </c>
      <c r="C67" s="651">
        <f>0.9*2.35</f>
        <v>2.1150000000000002</v>
      </c>
      <c r="D67" s="652" t="s">
        <v>376</v>
      </c>
      <c r="E67" s="653" t="e">
        <f>#REF!</f>
        <v>#REF!</v>
      </c>
      <c r="F67" s="649" t="e">
        <f t="shared" si="5"/>
        <v>#REF!</v>
      </c>
    </row>
    <row r="68" spans="2:6" hidden="1" outlineLevel="1">
      <c r="B68" s="650" t="s">
        <v>3507</v>
      </c>
      <c r="C68" s="651">
        <f>2.3*0.86*7</f>
        <v>13.845999999999998</v>
      </c>
      <c r="D68" s="652" t="s">
        <v>376</v>
      </c>
      <c r="E68" s="653" t="e">
        <f t="shared" ref="E68:E73" si="6">E57</f>
        <v>#REF!</v>
      </c>
      <c r="F68" s="649" t="e">
        <f t="shared" si="5"/>
        <v>#REF!</v>
      </c>
    </row>
    <row r="69" spans="2:6" hidden="1" outlineLevel="1">
      <c r="B69" s="648" t="s">
        <v>3501</v>
      </c>
      <c r="C69" s="646">
        <v>3</v>
      </c>
      <c r="D69" s="647" t="s">
        <v>128</v>
      </c>
      <c r="E69" s="649" t="e">
        <f t="shared" si="6"/>
        <v>#REF!</v>
      </c>
      <c r="F69" s="649" t="e">
        <f t="shared" si="5"/>
        <v>#REF!</v>
      </c>
    </row>
    <row r="70" spans="2:6" hidden="1" outlineLevel="1">
      <c r="B70" s="648" t="s">
        <v>3502</v>
      </c>
      <c r="C70" s="646">
        <v>1</v>
      </c>
      <c r="D70" s="647" t="s">
        <v>128</v>
      </c>
      <c r="E70" s="649" t="e">
        <f t="shared" si="6"/>
        <v>#REF!</v>
      </c>
      <c r="F70" s="649" t="e">
        <f t="shared" si="5"/>
        <v>#REF!</v>
      </c>
    </row>
    <row r="71" spans="2:6" hidden="1" outlineLevel="1">
      <c r="B71" s="648" t="s">
        <v>3503</v>
      </c>
      <c r="C71" s="646">
        <v>1</v>
      </c>
      <c r="D71" s="647" t="s">
        <v>128</v>
      </c>
      <c r="E71" s="649" t="e">
        <f t="shared" si="6"/>
        <v>#REF!</v>
      </c>
      <c r="F71" s="649" t="e">
        <f t="shared" si="5"/>
        <v>#REF!</v>
      </c>
    </row>
    <row r="72" spans="2:6" hidden="1" outlineLevel="1">
      <c r="B72" s="648" t="s">
        <v>3504</v>
      </c>
      <c r="C72" s="646">
        <v>1</v>
      </c>
      <c r="D72" s="647" t="s">
        <v>128</v>
      </c>
      <c r="E72" s="649" t="e">
        <f t="shared" si="6"/>
        <v>#REF!</v>
      </c>
      <c r="F72" s="649" t="e">
        <f t="shared" si="5"/>
        <v>#REF!</v>
      </c>
    </row>
    <row r="73" spans="2:6" hidden="1" outlineLevel="1">
      <c r="B73" s="648" t="s">
        <v>3505</v>
      </c>
      <c r="C73" s="646">
        <v>1</v>
      </c>
      <c r="D73" s="647" t="s">
        <v>128</v>
      </c>
      <c r="E73" s="649" t="e">
        <f t="shared" si="6"/>
        <v>#REF!</v>
      </c>
      <c r="F73" s="649" t="e">
        <f t="shared" si="5"/>
        <v>#REF!</v>
      </c>
    </row>
    <row r="74" spans="2:6" hidden="1" outlineLevel="1">
      <c r="B74" s="648"/>
      <c r="C74" s="646"/>
      <c r="D74" s="647"/>
      <c r="E74" s="654" t="s">
        <v>3506</v>
      </c>
      <c r="F74" s="655" t="e">
        <f>SUM(F66:F73)</f>
        <v>#REF!</v>
      </c>
    </row>
    <row r="75" spans="2:6" hidden="1" outlineLevel="1">
      <c r="B75" s="648"/>
      <c r="C75" s="646"/>
      <c r="D75" s="647"/>
      <c r="E75" s="647"/>
      <c r="F75" s="647"/>
    </row>
    <row r="76" spans="2:6" hidden="1" outlineLevel="1">
      <c r="B76" s="645" t="s">
        <v>3614</v>
      </c>
      <c r="C76" s="646"/>
      <c r="D76" s="647"/>
      <c r="E76" s="647"/>
      <c r="F76" s="647"/>
    </row>
    <row r="77" spans="2:6" hidden="1" outlineLevel="1">
      <c r="B77" s="648" t="s">
        <v>3499</v>
      </c>
      <c r="C77" s="646">
        <f>(2.4*6)+(5.8*2)</f>
        <v>26</v>
      </c>
      <c r="D77" s="647" t="s">
        <v>2911</v>
      </c>
      <c r="E77" s="649" t="e">
        <f>E66</f>
        <v>#REF!</v>
      </c>
      <c r="F77" s="649" t="e">
        <f t="shared" ref="F77:F83" si="7">+E77*C77</f>
        <v>#REF!</v>
      </c>
    </row>
    <row r="78" spans="2:6" ht="29" hidden="1" outlineLevel="1">
      <c r="B78" s="650" t="s">
        <v>3500</v>
      </c>
      <c r="C78" s="651">
        <f>2.32*1.4*4</f>
        <v>12.991999999999999</v>
      </c>
      <c r="D78" s="652" t="s">
        <v>376</v>
      </c>
      <c r="E78" s="653" t="e">
        <f>E67</f>
        <v>#REF!</v>
      </c>
      <c r="F78" s="649" t="e">
        <f t="shared" si="7"/>
        <v>#REF!</v>
      </c>
    </row>
    <row r="79" spans="2:6" hidden="1" outlineLevel="1">
      <c r="B79" s="648" t="s">
        <v>3509</v>
      </c>
      <c r="C79" s="646">
        <f>1.385*2</f>
        <v>2.77</v>
      </c>
      <c r="D79" s="647" t="s">
        <v>2911</v>
      </c>
      <c r="E79" s="649" t="e">
        <f>E58</f>
        <v>#REF!</v>
      </c>
      <c r="F79" s="649" t="e">
        <f t="shared" si="7"/>
        <v>#REF!</v>
      </c>
    </row>
    <row r="80" spans="2:6" hidden="1" outlineLevel="1">
      <c r="B80" s="648" t="s">
        <v>3502</v>
      </c>
      <c r="C80" s="646"/>
      <c r="D80" s="647" t="s">
        <v>128</v>
      </c>
      <c r="E80" s="649" t="e">
        <f>E70</f>
        <v>#REF!</v>
      </c>
      <c r="F80" s="649" t="e">
        <f t="shared" si="7"/>
        <v>#REF!</v>
      </c>
    </row>
    <row r="81" spans="2:6" hidden="1" outlineLevel="1">
      <c r="B81" s="648" t="s">
        <v>3503</v>
      </c>
      <c r="C81" s="646"/>
      <c r="D81" s="647" t="s">
        <v>128</v>
      </c>
      <c r="E81" s="649" t="e">
        <f>E71</f>
        <v>#REF!</v>
      </c>
      <c r="F81" s="649" t="e">
        <f t="shared" si="7"/>
        <v>#REF!</v>
      </c>
    </row>
    <row r="82" spans="2:6" hidden="1" outlineLevel="1">
      <c r="B82" s="648" t="s">
        <v>3504</v>
      </c>
      <c r="C82" s="646"/>
      <c r="D82" s="647" t="s">
        <v>128</v>
      </c>
      <c r="E82" s="649" t="e">
        <f>E72</f>
        <v>#REF!</v>
      </c>
      <c r="F82" s="649" t="e">
        <f t="shared" si="7"/>
        <v>#REF!</v>
      </c>
    </row>
    <row r="83" spans="2:6" hidden="1" outlineLevel="1">
      <c r="B83" s="648" t="s">
        <v>3505</v>
      </c>
      <c r="C83" s="646"/>
      <c r="D83" s="647" t="s">
        <v>128</v>
      </c>
      <c r="E83" s="649" t="e">
        <f>E73</f>
        <v>#REF!</v>
      </c>
      <c r="F83" s="649" t="e">
        <f t="shared" si="7"/>
        <v>#REF!</v>
      </c>
    </row>
    <row r="84" spans="2:6" hidden="1" outlineLevel="1">
      <c r="B84" s="648"/>
      <c r="C84" s="646"/>
      <c r="D84" s="647"/>
      <c r="E84" s="654" t="s">
        <v>3506</v>
      </c>
      <c r="F84" s="655" t="e">
        <f>SUM(F77:F83)</f>
        <v>#REF!</v>
      </c>
    </row>
    <row r="85" spans="2:6" hidden="1" outlineLevel="1">
      <c r="B85" s="648"/>
      <c r="C85" s="646"/>
      <c r="D85" s="647"/>
      <c r="E85" s="647"/>
      <c r="F85" s="647"/>
    </row>
    <row r="86" spans="2:6" hidden="1" outlineLevel="1">
      <c r="B86" s="645" t="s">
        <v>3624</v>
      </c>
      <c r="C86" s="646"/>
      <c r="D86" s="647"/>
      <c r="E86" s="647"/>
      <c r="F86" s="647"/>
    </row>
    <row r="87" spans="2:6" hidden="1" outlineLevel="1">
      <c r="B87" s="648" t="s">
        <v>3499</v>
      </c>
      <c r="C87" s="646">
        <f>+(2.4*2)+(0.92*2)</f>
        <v>6.64</v>
      </c>
      <c r="D87" s="647" t="s">
        <v>2911</v>
      </c>
      <c r="E87" s="649" t="e">
        <f>E77</f>
        <v>#REF!</v>
      </c>
      <c r="F87" s="649" t="e">
        <f t="shared" ref="F87:F94" si="8">+E87*C87</f>
        <v>#REF!</v>
      </c>
    </row>
    <row r="88" spans="2:6" ht="29" hidden="1" outlineLevel="1">
      <c r="B88" s="650" t="s">
        <v>3500</v>
      </c>
      <c r="C88" s="651">
        <f>2.35*0.9</f>
        <v>2.1150000000000002</v>
      </c>
      <c r="D88" s="652" t="s">
        <v>376</v>
      </c>
      <c r="E88" s="653" t="e">
        <f>E78</f>
        <v>#REF!</v>
      </c>
      <c r="F88" s="649" t="e">
        <f t="shared" si="8"/>
        <v>#REF!</v>
      </c>
    </row>
    <row r="89" spans="2:6" hidden="1" outlineLevel="1">
      <c r="B89" s="650" t="s">
        <v>3507</v>
      </c>
      <c r="C89" s="651">
        <f>2.4*0.4</f>
        <v>0.96</v>
      </c>
      <c r="D89" s="652" t="s">
        <v>376</v>
      </c>
      <c r="E89" s="653" t="e">
        <f t="shared" ref="E89:E94" si="9">E68</f>
        <v>#REF!</v>
      </c>
      <c r="F89" s="649" t="e">
        <f t="shared" si="8"/>
        <v>#REF!</v>
      </c>
    </row>
    <row r="90" spans="2:6" hidden="1" outlineLevel="1">
      <c r="B90" s="648" t="s">
        <v>3625</v>
      </c>
      <c r="C90" s="646">
        <v>3</v>
      </c>
      <c r="D90" s="647" t="s">
        <v>2911</v>
      </c>
      <c r="E90" s="649" t="e">
        <f t="shared" si="9"/>
        <v>#REF!</v>
      </c>
      <c r="F90" s="649" t="e">
        <f t="shared" si="8"/>
        <v>#REF!</v>
      </c>
    </row>
    <row r="91" spans="2:6" hidden="1" outlineLevel="1">
      <c r="B91" s="648" t="s">
        <v>3502</v>
      </c>
      <c r="C91" s="646">
        <v>1</v>
      </c>
      <c r="D91" s="647" t="s">
        <v>128</v>
      </c>
      <c r="E91" s="649" t="e">
        <f t="shared" si="9"/>
        <v>#REF!</v>
      </c>
      <c r="F91" s="649" t="e">
        <f t="shared" si="8"/>
        <v>#REF!</v>
      </c>
    </row>
    <row r="92" spans="2:6" hidden="1" outlineLevel="1">
      <c r="B92" s="648" t="s">
        <v>3503</v>
      </c>
      <c r="C92" s="646">
        <v>1</v>
      </c>
      <c r="D92" s="647" t="s">
        <v>128</v>
      </c>
      <c r="E92" s="649" t="e">
        <f t="shared" si="9"/>
        <v>#REF!</v>
      </c>
      <c r="F92" s="649" t="e">
        <f t="shared" si="8"/>
        <v>#REF!</v>
      </c>
    </row>
    <row r="93" spans="2:6" hidden="1" outlineLevel="1">
      <c r="B93" s="648" t="s">
        <v>3504</v>
      </c>
      <c r="C93" s="646">
        <v>1</v>
      </c>
      <c r="D93" s="647" t="s">
        <v>128</v>
      </c>
      <c r="E93" s="649" t="e">
        <f t="shared" si="9"/>
        <v>#REF!</v>
      </c>
      <c r="F93" s="649" t="e">
        <f t="shared" si="8"/>
        <v>#REF!</v>
      </c>
    </row>
    <row r="94" spans="2:6" hidden="1" outlineLevel="1">
      <c r="B94" s="648" t="s">
        <v>3505</v>
      </c>
      <c r="C94" s="646">
        <v>1</v>
      </c>
      <c r="D94" s="647" t="s">
        <v>128</v>
      </c>
      <c r="E94" s="649" t="e">
        <f t="shared" si="9"/>
        <v>#REF!</v>
      </c>
      <c r="F94" s="649" t="e">
        <f t="shared" si="8"/>
        <v>#REF!</v>
      </c>
    </row>
    <row r="95" spans="2:6" hidden="1" outlineLevel="1">
      <c r="B95" s="648"/>
      <c r="C95" s="646"/>
      <c r="D95" s="647"/>
      <c r="E95" s="654" t="s">
        <v>3506</v>
      </c>
      <c r="F95" s="655" t="e">
        <f>SUM(F87:F94)</f>
        <v>#REF!</v>
      </c>
    </row>
    <row r="96" spans="2:6" hidden="1" outlineLevel="1">
      <c r="B96" s="648"/>
      <c r="C96" s="646"/>
      <c r="D96" s="647"/>
      <c r="E96" s="647"/>
      <c r="F96" s="647"/>
    </row>
    <row r="97" spans="2:6" collapsed="1">
      <c r="B97" s="645" t="s">
        <v>3615</v>
      </c>
      <c r="C97" s="646"/>
      <c r="D97" s="647"/>
      <c r="E97" s="647"/>
      <c r="F97" s="647"/>
    </row>
    <row r="98" spans="2:6">
      <c r="B98" s="648" t="s">
        <v>3499</v>
      </c>
      <c r="C98" s="646">
        <f>(1.85*2)+(0.8*2)</f>
        <v>5.3000000000000007</v>
      </c>
      <c r="D98" s="647" t="s">
        <v>2911</v>
      </c>
      <c r="E98" s="649">
        <f>+E37</f>
        <v>0</v>
      </c>
      <c r="F98" s="649">
        <f t="shared" ref="F98:F100" si="10">+E98*C98</f>
        <v>0</v>
      </c>
    </row>
    <row r="99" spans="2:6">
      <c r="B99" s="650" t="s">
        <v>4080</v>
      </c>
      <c r="C99" s="651">
        <f>1.6*0.585</f>
        <v>0.93599999999999994</v>
      </c>
      <c r="D99" s="652" t="s">
        <v>376</v>
      </c>
      <c r="E99" s="649">
        <f>+E39</f>
        <v>0</v>
      </c>
      <c r="F99" s="649">
        <f t="shared" si="10"/>
        <v>0</v>
      </c>
    </row>
    <row r="100" spans="2:6">
      <c r="B100" s="648" t="s">
        <v>3501</v>
      </c>
      <c r="C100" s="646">
        <v>2</v>
      </c>
      <c r="D100" s="647" t="s">
        <v>128</v>
      </c>
      <c r="E100" s="649">
        <f>E40</f>
        <v>0</v>
      </c>
      <c r="F100" s="649">
        <f t="shared" si="10"/>
        <v>0</v>
      </c>
    </row>
    <row r="101" spans="2:6">
      <c r="B101" s="648" t="s">
        <v>3736</v>
      </c>
      <c r="C101" s="646">
        <v>1</v>
      </c>
      <c r="D101" s="647" t="s">
        <v>128</v>
      </c>
      <c r="E101" s="649">
        <v>0</v>
      </c>
      <c r="F101" s="649">
        <f t="shared" ref="F101" si="11">+E101*C101</f>
        <v>0</v>
      </c>
    </row>
    <row r="102" spans="2:6">
      <c r="B102" s="648"/>
      <c r="C102" s="646"/>
      <c r="D102" s="647"/>
      <c r="E102" s="654" t="s">
        <v>3506</v>
      </c>
      <c r="F102" s="655">
        <f>SUM(F98:F101)</f>
        <v>0</v>
      </c>
    </row>
    <row r="103" spans="2:6">
      <c r="B103" s="648"/>
      <c r="C103" s="646"/>
      <c r="D103" s="647"/>
      <c r="E103" s="647"/>
      <c r="F103" s="647"/>
    </row>
    <row r="104" spans="2:6">
      <c r="B104" s="645" t="s">
        <v>3739</v>
      </c>
      <c r="C104" s="646"/>
      <c r="D104" s="647"/>
      <c r="E104" s="647"/>
      <c r="F104" s="647"/>
    </row>
    <row r="105" spans="2:6">
      <c r="B105" s="648" t="s">
        <v>3499</v>
      </c>
      <c r="C105" s="646">
        <f>(0.8*2)+(0.544*2)</f>
        <v>2.6880000000000002</v>
      </c>
      <c r="D105" s="647" t="s">
        <v>2911</v>
      </c>
      <c r="E105" s="649">
        <f>E98</f>
        <v>0</v>
      </c>
      <c r="F105" s="649">
        <f t="shared" ref="F105:F106" si="12">+E105*C105</f>
        <v>0</v>
      </c>
    </row>
    <row r="106" spans="2:6">
      <c r="B106" s="650" t="s">
        <v>4080</v>
      </c>
      <c r="C106" s="651">
        <f>0.591*0.335</f>
        <v>0.19798499999999999</v>
      </c>
      <c r="D106" s="652" t="s">
        <v>376</v>
      </c>
      <c r="E106" s="653">
        <f>E99</f>
        <v>0</v>
      </c>
      <c r="F106" s="649">
        <f t="shared" si="12"/>
        <v>0</v>
      </c>
    </row>
    <row r="107" spans="2:6">
      <c r="B107" s="656"/>
      <c r="C107" s="657"/>
      <c r="D107" s="658"/>
      <c r="E107" s="659" t="s">
        <v>3506</v>
      </c>
      <c r="F107" s="660">
        <f>SUM(F105:F106)</f>
        <v>0</v>
      </c>
    </row>
    <row r="109" spans="2:6" hidden="1" outlineLevel="1">
      <c r="B109" s="212" t="s">
        <v>3616</v>
      </c>
    </row>
    <row r="110" spans="2:6" hidden="1" outlineLevel="1">
      <c r="B110" s="361" t="s">
        <v>3499</v>
      </c>
      <c r="C110" s="635">
        <f>(2.4*4)+(4.54*2)</f>
        <v>18.68</v>
      </c>
      <c r="D110" s="636" t="s">
        <v>2911</v>
      </c>
      <c r="E110" s="637">
        <f>E105</f>
        <v>0</v>
      </c>
      <c r="F110" s="637">
        <f t="shared" ref="F110:F111" si="13">+E110*C110</f>
        <v>0</v>
      </c>
    </row>
    <row r="111" spans="2:6" ht="29" hidden="1" outlineLevel="1">
      <c r="B111" s="638" t="s">
        <v>3510</v>
      </c>
      <c r="C111" s="639">
        <f>2.34*1.48*3</f>
        <v>10.389599999999998</v>
      </c>
      <c r="D111" s="640" t="s">
        <v>376</v>
      </c>
      <c r="E111" s="641">
        <f>E106</f>
        <v>0</v>
      </c>
      <c r="F111" s="637">
        <f t="shared" si="13"/>
        <v>0</v>
      </c>
    </row>
    <row r="112" spans="2:6" hidden="1" outlineLevel="1">
      <c r="E112" s="643" t="s">
        <v>3506</v>
      </c>
      <c r="F112" s="644">
        <f>SUM(F110:F111)</f>
        <v>0</v>
      </c>
    </row>
    <row r="113" spans="2:6" hidden="1" outlineLevel="1"/>
    <row r="114" spans="2:6" hidden="1" outlineLevel="1">
      <c r="B114" s="212" t="s">
        <v>3617</v>
      </c>
    </row>
    <row r="115" spans="2:6" hidden="1" outlineLevel="1">
      <c r="B115" s="361" t="s">
        <v>3499</v>
      </c>
      <c r="C115" s="635">
        <f>(2.4*2)+(1.45*2)</f>
        <v>7.6999999999999993</v>
      </c>
      <c r="D115" s="636" t="s">
        <v>2911</v>
      </c>
      <c r="E115" s="637">
        <f>E110</f>
        <v>0</v>
      </c>
      <c r="F115" s="637">
        <f t="shared" ref="F115:F116" si="14">+E115*C115</f>
        <v>0</v>
      </c>
    </row>
    <row r="116" spans="2:6" ht="29" hidden="1" outlineLevel="1">
      <c r="B116" s="638" t="s">
        <v>3510</v>
      </c>
      <c r="C116" s="639">
        <f>2.34*1.39</f>
        <v>3.2525999999999997</v>
      </c>
      <c r="D116" s="640" t="s">
        <v>376</v>
      </c>
      <c r="E116" s="641">
        <f>E111</f>
        <v>0</v>
      </c>
      <c r="F116" s="637">
        <f t="shared" si="14"/>
        <v>0</v>
      </c>
    </row>
    <row r="117" spans="2:6" hidden="1" outlineLevel="1">
      <c r="E117" s="643" t="s">
        <v>3506</v>
      </c>
      <c r="F117" s="644">
        <f>SUM(F115:F116)</f>
        <v>0</v>
      </c>
    </row>
    <row r="118" spans="2:6" hidden="1" outlineLevel="1"/>
    <row r="119" spans="2:6" hidden="1" outlineLevel="1">
      <c r="B119" s="212" t="s">
        <v>3618</v>
      </c>
    </row>
    <row r="120" spans="2:6" hidden="1" outlineLevel="1">
      <c r="B120" s="361" t="s">
        <v>3499</v>
      </c>
      <c r="C120" s="635">
        <f>(2.4*6)+(7.54*2)</f>
        <v>29.479999999999997</v>
      </c>
      <c r="D120" s="636" t="s">
        <v>2911</v>
      </c>
      <c r="E120" s="637">
        <f>E115</f>
        <v>0</v>
      </c>
      <c r="F120" s="637">
        <f t="shared" ref="F120:F121" si="15">+E120*C120</f>
        <v>0</v>
      </c>
    </row>
    <row r="121" spans="2:6" ht="29" hidden="1" outlineLevel="1">
      <c r="B121" s="638" t="s">
        <v>3510</v>
      </c>
      <c r="C121" s="639">
        <f>2.34*1.48*5</f>
        <v>17.315999999999999</v>
      </c>
      <c r="D121" s="640" t="s">
        <v>376</v>
      </c>
      <c r="E121" s="641">
        <f>E116</f>
        <v>0</v>
      </c>
      <c r="F121" s="637">
        <f t="shared" si="15"/>
        <v>0</v>
      </c>
    </row>
    <row r="122" spans="2:6" hidden="1" outlineLevel="1">
      <c r="E122" s="643" t="s">
        <v>3506</v>
      </c>
      <c r="F122" s="644">
        <f>SUM(F120:F121)</f>
        <v>0</v>
      </c>
    </row>
    <row r="123" spans="2:6" hidden="1" outlineLevel="1"/>
    <row r="124" spans="2:6" hidden="1" outlineLevel="1">
      <c r="B124" s="212" t="s">
        <v>3619</v>
      </c>
    </row>
    <row r="125" spans="2:6" hidden="1" outlineLevel="1">
      <c r="B125" s="361" t="s">
        <v>3499</v>
      </c>
      <c r="C125" s="635">
        <f>(2.4*7)+(9.04*2)</f>
        <v>34.879999999999995</v>
      </c>
      <c r="D125" s="636" t="s">
        <v>2911</v>
      </c>
      <c r="E125" s="637">
        <f>E120</f>
        <v>0</v>
      </c>
      <c r="F125" s="637">
        <f t="shared" ref="F125:F126" si="16">+E125*C125</f>
        <v>0</v>
      </c>
    </row>
    <row r="126" spans="2:6" ht="29" hidden="1" outlineLevel="1">
      <c r="B126" s="638" t="s">
        <v>3510</v>
      </c>
      <c r="C126" s="639">
        <f>2.34*1.48*6</f>
        <v>20.779199999999996</v>
      </c>
      <c r="D126" s="640" t="s">
        <v>376</v>
      </c>
      <c r="E126" s="641">
        <f>E121</f>
        <v>0</v>
      </c>
      <c r="F126" s="637">
        <f t="shared" si="16"/>
        <v>0</v>
      </c>
    </row>
    <row r="127" spans="2:6" hidden="1" outlineLevel="1">
      <c r="E127" s="643" t="s">
        <v>3506</v>
      </c>
      <c r="F127" s="644">
        <f>SUM(F125:F126)</f>
        <v>0</v>
      </c>
    </row>
    <row r="128" spans="2:6" hidden="1" outlineLevel="1">
      <c r="B128" s="212" t="s">
        <v>3621</v>
      </c>
    </row>
    <row r="129" spans="2:6" hidden="1" outlineLevel="1">
      <c r="B129" s="361" t="s">
        <v>3499</v>
      </c>
      <c r="C129" s="635">
        <f>2.75+1+2.65+1.75</f>
        <v>8.15</v>
      </c>
      <c r="D129" s="636" t="s">
        <v>2911</v>
      </c>
      <c r="E129" s="637">
        <f>E120</f>
        <v>0</v>
      </c>
      <c r="F129" s="637">
        <f t="shared" ref="F129:F130" si="17">+E129*C129</f>
        <v>0</v>
      </c>
    </row>
    <row r="130" spans="2:6" hidden="1" outlineLevel="1">
      <c r="B130" s="638" t="s">
        <v>3507</v>
      </c>
      <c r="C130" s="639">
        <v>3.34</v>
      </c>
      <c r="D130" s="640" t="s">
        <v>376</v>
      </c>
      <c r="E130" s="641">
        <f>HSP!F398</f>
        <v>0</v>
      </c>
      <c r="F130" s="637">
        <f t="shared" si="17"/>
        <v>0</v>
      </c>
    </row>
    <row r="131" spans="2:6" hidden="1" outlineLevel="1">
      <c r="E131" s="643" t="s">
        <v>3506</v>
      </c>
      <c r="F131" s="644">
        <f>SUM(F129:F130)</f>
        <v>0</v>
      </c>
    </row>
    <row r="132" spans="2:6" hidden="1" outlineLevel="1"/>
    <row r="133" spans="2:6" hidden="1" outlineLevel="1">
      <c r="B133" s="212" t="s">
        <v>3620</v>
      </c>
    </row>
    <row r="134" spans="2:6" hidden="1" outlineLevel="1">
      <c r="B134" s="638" t="s">
        <v>3507</v>
      </c>
      <c r="C134" s="639">
        <f>5.8*0.4</f>
        <v>2.3199999999999998</v>
      </c>
      <c r="D134" s="640" t="s">
        <v>376</v>
      </c>
      <c r="E134" s="641">
        <f>E130</f>
        <v>0</v>
      </c>
      <c r="F134" s="637">
        <f t="shared" ref="F134" si="18">+E134*C134</f>
        <v>0</v>
      </c>
    </row>
    <row r="135" spans="2:6" hidden="1" outlineLevel="1">
      <c r="E135" s="643" t="s">
        <v>3506</v>
      </c>
      <c r="F135" s="644">
        <f>SUM(F134)</f>
        <v>0</v>
      </c>
    </row>
    <row r="136" spans="2:6" hidden="1" outlineLevel="1"/>
    <row r="137" spans="2:6" hidden="1" outlineLevel="1">
      <c r="B137" s="212" t="s">
        <v>3622</v>
      </c>
    </row>
    <row r="138" spans="2:6" hidden="1" outlineLevel="1">
      <c r="B138" s="638" t="s">
        <v>3507</v>
      </c>
      <c r="C138" s="639">
        <f>(1.05+3.96+2.85+2.85)*0.4</f>
        <v>4.2839999999999998</v>
      </c>
      <c r="D138" s="640" t="s">
        <v>376</v>
      </c>
      <c r="E138" s="641">
        <f>E134</f>
        <v>0</v>
      </c>
      <c r="F138" s="637">
        <f t="shared" ref="F138" si="19">+E138*C138</f>
        <v>0</v>
      </c>
    </row>
    <row r="139" spans="2:6" hidden="1" outlineLevel="1">
      <c r="E139" s="643" t="s">
        <v>3506</v>
      </c>
      <c r="F139" s="644">
        <f>SUM(F138)</f>
        <v>0</v>
      </c>
    </row>
    <row r="140" spans="2:6" hidden="1" outlineLevel="1"/>
    <row r="141" spans="2:6" hidden="1" outlineLevel="1">
      <c r="B141" s="212" t="s">
        <v>3623</v>
      </c>
    </row>
    <row r="142" spans="2:6" hidden="1" outlineLevel="1">
      <c r="B142" s="638" t="s">
        <v>3507</v>
      </c>
      <c r="C142" s="639">
        <f>(1.05+3.96+2.85+2.85)*0.2</f>
        <v>2.1419999999999999</v>
      </c>
      <c r="D142" s="640" t="s">
        <v>376</v>
      </c>
      <c r="E142" s="641">
        <f>E138</f>
        <v>0</v>
      </c>
      <c r="F142" s="637">
        <f t="shared" ref="F142" si="20">+E142*C142</f>
        <v>0</v>
      </c>
    </row>
    <row r="143" spans="2:6" hidden="1" outlineLevel="1">
      <c r="E143" s="643" t="s">
        <v>3506</v>
      </c>
      <c r="F143" s="644">
        <f>SUM(F142)</f>
        <v>0</v>
      </c>
    </row>
    <row r="144" spans="2:6" collapsed="1"/>
  </sheetData>
  <mergeCells count="1">
    <mergeCell ref="B1:F1"/>
  </mergeCells>
  <printOptions horizontalCentered="1"/>
  <pageMargins left="0.7" right="0.7" top="0.75" bottom="0.75" header="0.3" footer="0.3"/>
  <pageSetup paperSize="9" scale="76" orientation="portrait" r:id="rId1"/>
  <colBreaks count="1" manualBreakCount="1">
    <brk id="6"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Q12237"/>
  <sheetViews>
    <sheetView view="pageBreakPreview" topLeftCell="C12214" zoomScale="60" zoomScaleNormal="70" workbookViewId="0">
      <selection activeCell="H12238" sqref="H12238"/>
    </sheetView>
  </sheetViews>
  <sheetFormatPr defaultColWidth="9.08984375" defaultRowHeight="12.5"/>
  <cols>
    <col min="1" max="1" width="9.08984375" style="10"/>
    <col min="2" max="2" width="9.08984375" style="111" customWidth="1"/>
    <col min="3" max="3" width="11.36328125" style="10" customWidth="1"/>
    <col min="4" max="4" width="5.453125" style="10" customWidth="1"/>
    <col min="5" max="5" width="35" style="10" customWidth="1"/>
    <col min="6" max="6" width="16" style="10" bestFit="1" customWidth="1"/>
    <col min="7" max="7" width="9.08984375" style="12"/>
    <col min="8" max="8" width="11.6328125" style="397" bestFit="1" customWidth="1"/>
    <col min="9" max="9" width="17.6328125" style="10" customWidth="1"/>
    <col min="10" max="10" width="18" style="10" customWidth="1"/>
    <col min="11" max="11" width="2.453125" style="10" customWidth="1"/>
    <col min="12" max="12" width="15.90625" style="10" customWidth="1"/>
    <col min="13" max="16384" width="9.08984375" style="10"/>
  </cols>
  <sheetData>
    <row r="1" spans="1:10" ht="15.5">
      <c r="B1" s="110"/>
      <c r="C1" s="1753" t="s">
        <v>2876</v>
      </c>
      <c r="D1" s="1753"/>
      <c r="E1" s="1753"/>
      <c r="F1" s="1753"/>
      <c r="G1" s="1753"/>
      <c r="H1" s="1753"/>
      <c r="I1" s="1753"/>
      <c r="J1" s="1753"/>
    </row>
    <row r="2" spans="1:10" ht="15.5">
      <c r="B2" s="110"/>
      <c r="C2" s="1753" t="s">
        <v>2877</v>
      </c>
      <c r="D2" s="1753"/>
      <c r="E2" s="1753"/>
      <c r="F2" s="1753"/>
      <c r="G2" s="1753"/>
      <c r="H2" s="1753"/>
      <c r="I2" s="1753"/>
      <c r="J2" s="1753"/>
    </row>
    <row r="3" spans="1:10">
      <c r="B3" s="110"/>
    </row>
    <row r="4" spans="1:10">
      <c r="B4" s="110"/>
    </row>
    <row r="5" spans="1:10" s="27" customFormat="1" ht="13">
      <c r="B5" s="398"/>
      <c r="G5" s="399"/>
      <c r="H5" s="400"/>
    </row>
    <row r="6" spans="1:10" ht="13.5" thickBot="1">
      <c r="A6" s="27"/>
      <c r="B6" s="110"/>
      <c r="C6" s="10" t="s">
        <v>1794</v>
      </c>
      <c r="D6" s="11" t="s">
        <v>536</v>
      </c>
    </row>
    <row r="7" spans="1:10" ht="13.5" thickBot="1">
      <c r="A7" s="27"/>
      <c r="B7" s="110"/>
      <c r="D7" s="401" t="s">
        <v>40</v>
      </c>
      <c r="E7" s="402" t="s">
        <v>41</v>
      </c>
      <c r="F7" s="402" t="s">
        <v>42</v>
      </c>
      <c r="G7" s="403" t="s">
        <v>43</v>
      </c>
      <c r="H7" s="404" t="s">
        <v>44</v>
      </c>
      <c r="I7" s="402" t="s">
        <v>474</v>
      </c>
      <c r="J7" s="405" t="s">
        <v>475</v>
      </c>
    </row>
    <row r="8" spans="1:10" ht="13">
      <c r="A8" s="27"/>
      <c r="B8" s="110"/>
      <c r="D8" s="406" t="s">
        <v>45</v>
      </c>
      <c r="E8" s="13" t="s">
        <v>46</v>
      </c>
      <c r="F8" s="14"/>
      <c r="G8" s="15"/>
      <c r="H8" s="407"/>
      <c r="I8" s="14"/>
      <c r="J8" s="408"/>
    </row>
    <row r="9" spans="1:10" ht="13">
      <c r="A9" s="27"/>
      <c r="B9" s="110"/>
      <c r="D9" s="409"/>
      <c r="E9" s="13" t="s">
        <v>47</v>
      </c>
      <c r="F9" s="13" t="s">
        <v>1918</v>
      </c>
      <c r="G9" s="410" t="s">
        <v>48</v>
      </c>
      <c r="H9" s="411">
        <v>0.4</v>
      </c>
      <c r="I9" s="412">
        <f>IF(AND(E9&lt;&gt;"",G9&lt;&gt;""),IF(D9="",IF(G9="OH",VLOOKUP(F9,UPAH!$B$4:$H$101,7,0),0),0),0)</f>
        <v>0</v>
      </c>
      <c r="J9" s="16">
        <f>H9*I9</f>
        <v>0</v>
      </c>
    </row>
    <row r="10" spans="1:10" ht="13">
      <c r="A10" s="27"/>
      <c r="B10" s="110"/>
      <c r="D10" s="409"/>
      <c r="E10" s="13" t="s">
        <v>476</v>
      </c>
      <c r="F10" s="13" t="s">
        <v>1922</v>
      </c>
      <c r="G10" s="410" t="s">
        <v>48</v>
      </c>
      <c r="H10" s="411">
        <v>0.2</v>
      </c>
      <c r="I10" s="412">
        <f>IF(AND(E10&lt;&gt;"",G10&lt;&gt;""),IF(D10="",IF(G10="OH",VLOOKUP(F10,UPAH!$B$4:$H$101,7,0),VLOOKUP(E10,#REF!,4,0)),0),0)</f>
        <v>0</v>
      </c>
      <c r="J10" s="16">
        <f>H10*I10</f>
        <v>0</v>
      </c>
    </row>
    <row r="11" spans="1:10" ht="13">
      <c r="A11" s="27"/>
      <c r="B11" s="110"/>
      <c r="D11" s="409"/>
      <c r="E11" s="13" t="s">
        <v>97</v>
      </c>
      <c r="F11" s="13" t="s">
        <v>1928</v>
      </c>
      <c r="G11" s="410" t="s">
        <v>48</v>
      </c>
      <c r="H11" s="411">
        <v>0.02</v>
      </c>
      <c r="I11" s="412">
        <f>IF(AND(E11&lt;&gt;"",G11&lt;&gt;""),IF(D11="",IF(G11="OH",VLOOKUP(F11,UPAH!$B$4:$H$101,7,0),VLOOKUP(E11,#REF!,4,0)),0),0)</f>
        <v>0</v>
      </c>
      <c r="J11" s="16">
        <f>H11*I11</f>
        <v>0</v>
      </c>
    </row>
    <row r="12" spans="1:10" ht="13.5" thickBot="1">
      <c r="A12" s="27"/>
      <c r="B12" s="110"/>
      <c r="D12" s="413"/>
      <c r="E12" s="414" t="s">
        <v>51</v>
      </c>
      <c r="F12" s="414" t="s">
        <v>1929</v>
      </c>
      <c r="G12" s="415" t="s">
        <v>48</v>
      </c>
      <c r="H12" s="416">
        <v>0.02</v>
      </c>
      <c r="I12" s="412">
        <f>IF(AND(E12&lt;&gt;"",G12&lt;&gt;""),IF(D12="",IF(G12="OH",VLOOKUP(F12,UPAH!$B$4:$H$101,7,0),VLOOKUP(E12,#REF!,4,0)),0),0)</f>
        <v>0</v>
      </c>
      <c r="J12" s="16">
        <f>H12*I12</f>
        <v>0</v>
      </c>
    </row>
    <row r="13" spans="1:10" ht="13.5" thickBot="1">
      <c r="A13" s="27"/>
      <c r="B13" s="110" t="s">
        <v>543</v>
      </c>
      <c r="D13" s="417"/>
      <c r="E13" s="418"/>
      <c r="F13" s="418"/>
      <c r="G13" s="419"/>
      <c r="H13" s="420" t="s">
        <v>52</v>
      </c>
      <c r="I13" s="421"/>
      <c r="J13" s="396">
        <f>SUM(J9:J12)</f>
        <v>0</v>
      </c>
    </row>
    <row r="14" spans="1:10" ht="13">
      <c r="A14" s="27"/>
      <c r="B14" s="110" t="s">
        <v>3662</v>
      </c>
      <c r="D14" s="422" t="s">
        <v>53</v>
      </c>
      <c r="E14" s="423" t="s">
        <v>54</v>
      </c>
      <c r="F14" s="424"/>
      <c r="G14" s="425"/>
      <c r="H14" s="426"/>
      <c r="I14" s="427"/>
      <c r="J14" s="428"/>
    </row>
    <row r="15" spans="1:10" ht="13">
      <c r="A15" s="27"/>
      <c r="B15" s="110"/>
      <c r="D15" s="409"/>
      <c r="E15" s="13" t="s">
        <v>471</v>
      </c>
      <c r="F15" s="14"/>
      <c r="G15" s="410" t="s">
        <v>55</v>
      </c>
      <c r="H15" s="411">
        <v>1.25</v>
      </c>
      <c r="I15" s="412">
        <f>'BAHAN '!G794</f>
        <v>0</v>
      </c>
      <c r="J15" s="16">
        <f t="shared" ref="J15:J21" si="0">H15*I15</f>
        <v>0</v>
      </c>
    </row>
    <row r="16" spans="1:10" ht="13">
      <c r="A16" s="27"/>
      <c r="B16" s="110"/>
      <c r="D16" s="409"/>
      <c r="E16" s="13" t="s">
        <v>56</v>
      </c>
      <c r="F16" s="14"/>
      <c r="G16" s="410" t="s">
        <v>57</v>
      </c>
      <c r="H16" s="411">
        <v>5</v>
      </c>
      <c r="I16" s="412">
        <f>'BAHAN '!G72</f>
        <v>0</v>
      </c>
      <c r="J16" s="16">
        <f t="shared" si="0"/>
        <v>0</v>
      </c>
    </row>
    <row r="17" spans="1:10" ht="13">
      <c r="A17" s="27"/>
      <c r="B17" s="110"/>
      <c r="D17" s="409"/>
      <c r="E17" s="13" t="s">
        <v>58</v>
      </c>
      <c r="F17" s="14"/>
      <c r="G17" s="410" t="s">
        <v>375</v>
      </c>
      <c r="H17" s="411">
        <v>5.0000000000000001E-3</v>
      </c>
      <c r="I17" s="412">
        <f>'BAHAN '!G59</f>
        <v>0</v>
      </c>
      <c r="J17" s="16">
        <f t="shared" si="0"/>
        <v>0</v>
      </c>
    </row>
    <row r="18" spans="1:10" ht="13">
      <c r="A18" s="27"/>
      <c r="B18" s="110"/>
      <c r="D18" s="409"/>
      <c r="E18" s="13" t="s">
        <v>59</v>
      </c>
      <c r="F18" s="14"/>
      <c r="G18" s="410" t="s">
        <v>375</v>
      </c>
      <c r="H18" s="411">
        <v>8.9999999999999993E-3</v>
      </c>
      <c r="I18" s="412">
        <f>'BAHAN '!G49</f>
        <v>0</v>
      </c>
      <c r="J18" s="16">
        <f t="shared" si="0"/>
        <v>0</v>
      </c>
    </row>
    <row r="19" spans="1:10" ht="13">
      <c r="A19" s="27"/>
      <c r="B19" s="110"/>
      <c r="D19" s="409"/>
      <c r="E19" s="13" t="s">
        <v>2883</v>
      </c>
      <c r="F19" s="14"/>
      <c r="G19" s="410" t="s">
        <v>375</v>
      </c>
      <c r="H19" s="411">
        <v>7.1999999999999995E-2</v>
      </c>
      <c r="I19" s="412">
        <f>'BAHAN '!G200</f>
        <v>0</v>
      </c>
      <c r="J19" s="16">
        <f t="shared" si="0"/>
        <v>0</v>
      </c>
    </row>
    <row r="20" spans="1:10" ht="13">
      <c r="A20" s="27"/>
      <c r="B20" s="110"/>
      <c r="D20" s="409"/>
      <c r="E20" s="13" t="s">
        <v>83</v>
      </c>
      <c r="F20" s="14"/>
      <c r="G20" s="410" t="s">
        <v>57</v>
      </c>
      <c r="H20" s="411">
        <v>0.06</v>
      </c>
      <c r="I20" s="412">
        <f>'BAHAN '!G127</f>
        <v>0</v>
      </c>
      <c r="J20" s="16">
        <f t="shared" si="0"/>
        <v>0</v>
      </c>
    </row>
    <row r="21" spans="1:10" ht="13.5" thickBot="1">
      <c r="A21" s="27"/>
      <c r="B21" s="110"/>
      <c r="D21" s="413"/>
      <c r="E21" s="414" t="s">
        <v>62</v>
      </c>
      <c r="F21" s="429"/>
      <c r="G21" s="415" t="s">
        <v>63</v>
      </c>
      <c r="H21" s="416">
        <v>0.4</v>
      </c>
      <c r="I21" s="412">
        <f>'BAHAN '!G158</f>
        <v>0</v>
      </c>
      <c r="J21" s="430">
        <f t="shared" si="0"/>
        <v>0</v>
      </c>
    </row>
    <row r="22" spans="1:10" ht="13.5" thickBot="1">
      <c r="A22" s="27"/>
      <c r="B22" s="110"/>
      <c r="D22" s="417"/>
      <c r="E22" s="418"/>
      <c r="F22" s="418"/>
      <c r="G22" s="419"/>
      <c r="H22" s="420" t="s">
        <v>64</v>
      </c>
      <c r="I22" s="421"/>
      <c r="J22" s="396">
        <f>SUM(J14:J21)</f>
        <v>0</v>
      </c>
    </row>
    <row r="23" spans="1:10" ht="13.5" thickBot="1">
      <c r="A23" s="27"/>
      <c r="B23" s="110"/>
      <c r="D23" s="431" t="s">
        <v>65</v>
      </c>
      <c r="E23" s="432" t="s">
        <v>66</v>
      </c>
      <c r="F23" s="433"/>
      <c r="G23" s="434"/>
      <c r="H23" s="435"/>
      <c r="I23" s="436"/>
      <c r="J23" s="437"/>
    </row>
    <row r="24" spans="1:10" ht="13.5" thickBot="1">
      <c r="A24" s="27"/>
      <c r="B24" s="110"/>
      <c r="D24" s="417"/>
      <c r="E24" s="418"/>
      <c r="F24" s="418"/>
      <c r="G24" s="419"/>
      <c r="H24" s="420" t="s">
        <v>67</v>
      </c>
      <c r="I24" s="421"/>
      <c r="J24" s="396">
        <f>J23</f>
        <v>0</v>
      </c>
    </row>
    <row r="25" spans="1:10" ht="13">
      <c r="A25" s="27"/>
      <c r="B25" s="110"/>
      <c r="D25" s="422" t="s">
        <v>68</v>
      </c>
      <c r="E25" s="423" t="s">
        <v>69</v>
      </c>
      <c r="F25" s="424"/>
      <c r="G25" s="425"/>
      <c r="H25" s="426"/>
      <c r="I25" s="427"/>
      <c r="J25" s="428">
        <f>SUM(J9:J24)/2</f>
        <v>0</v>
      </c>
    </row>
    <row r="26" spans="1:10" ht="13.5" thickBot="1">
      <c r="A26" s="27"/>
      <c r="B26" s="110"/>
      <c r="D26" s="438" t="s">
        <v>70</v>
      </c>
      <c r="E26" s="414" t="s">
        <v>477</v>
      </c>
      <c r="F26" s="429"/>
      <c r="G26" s="439"/>
      <c r="H26" s="440">
        <v>0.1</v>
      </c>
      <c r="I26" s="441"/>
      <c r="J26" s="430">
        <f>H26*J25</f>
        <v>0</v>
      </c>
    </row>
    <row r="27" spans="1:10" ht="13.5" thickBot="1">
      <c r="A27" s="27"/>
      <c r="B27" s="110"/>
      <c r="D27" s="401" t="s">
        <v>71</v>
      </c>
      <c r="E27" s="402" t="s">
        <v>72</v>
      </c>
      <c r="F27" s="418"/>
      <c r="G27" s="419"/>
      <c r="H27" s="442"/>
      <c r="I27" s="421">
        <f>IF(AND(E27&lt;&gt;"",G27&lt;&gt;""),IF(D27="",IF(G27="OH",VLOOKUP(E27,UPAH!$C$4:$H$31,7,0),VLOOKUP(E27,#REF!,4,0)),0),0)</f>
        <v>0</v>
      </c>
      <c r="J27" s="396">
        <f>ROUNDDOWN(J25+J26,0)</f>
        <v>0</v>
      </c>
    </row>
    <row r="28" spans="1:10" ht="13">
      <c r="A28" s="27"/>
      <c r="B28" s="110"/>
      <c r="D28" s="11"/>
      <c r="E28" s="11"/>
      <c r="H28" s="443"/>
    </row>
    <row r="29" spans="1:10" ht="13.5" thickBot="1">
      <c r="A29" s="27"/>
      <c r="B29" s="110"/>
      <c r="C29" s="10" t="s">
        <v>1800</v>
      </c>
      <c r="D29" s="11" t="s">
        <v>537</v>
      </c>
      <c r="H29" s="443"/>
    </row>
    <row r="30" spans="1:10" ht="13.5" thickBot="1">
      <c r="A30" s="27"/>
      <c r="B30" s="110"/>
      <c r="D30" s="401" t="s">
        <v>40</v>
      </c>
      <c r="E30" s="402" t="s">
        <v>41</v>
      </c>
      <c r="F30" s="402" t="s">
        <v>42</v>
      </c>
      <c r="G30" s="403" t="s">
        <v>43</v>
      </c>
      <c r="H30" s="404" t="s">
        <v>44</v>
      </c>
      <c r="I30" s="402" t="s">
        <v>474</v>
      </c>
      <c r="J30" s="405" t="s">
        <v>475</v>
      </c>
    </row>
    <row r="31" spans="1:10" ht="13">
      <c r="A31" s="27"/>
      <c r="B31" s="110"/>
      <c r="D31" s="444" t="s">
        <v>45</v>
      </c>
      <c r="E31" s="445" t="s">
        <v>46</v>
      </c>
      <c r="F31" s="446"/>
      <c r="G31" s="447"/>
      <c r="H31" s="448"/>
      <c r="I31" s="412">
        <f>IF(AND(E31&lt;&gt;"",G31&lt;&gt;""),IF(D31="",IF(G31="OH",VLOOKUP(E31,UPAH!$C$4:$H$31,7,0),VLOOKUP(E31,#REF!,4,0)),0),0)</f>
        <v>0</v>
      </c>
      <c r="J31" s="16">
        <f>H31*I31</f>
        <v>0</v>
      </c>
    </row>
    <row r="32" spans="1:10" ht="13">
      <c r="A32" s="27"/>
      <c r="B32" s="110"/>
      <c r="D32" s="409"/>
      <c r="E32" s="13" t="s">
        <v>47</v>
      </c>
      <c r="F32" s="13" t="s">
        <v>1918</v>
      </c>
      <c r="G32" s="410" t="s">
        <v>48</v>
      </c>
      <c r="H32" s="411">
        <v>0.2</v>
      </c>
      <c r="I32" s="412">
        <f>IF(AND(E32&lt;&gt;"",G32&lt;&gt;""),IF(D32="",IF(G32="OH",VLOOKUP(F32,UPAH!$B$4:$H$101,7,0),VLOOKUP(E32,#REF!,4,0)),0),0)</f>
        <v>0</v>
      </c>
      <c r="J32" s="16">
        <f>H32*I32</f>
        <v>0</v>
      </c>
    </row>
    <row r="33" spans="1:10" ht="13">
      <c r="A33" s="27"/>
      <c r="B33" s="110"/>
      <c r="D33" s="409"/>
      <c r="E33" s="13" t="s">
        <v>476</v>
      </c>
      <c r="F33" s="13" t="s">
        <v>1922</v>
      </c>
      <c r="G33" s="410" t="s">
        <v>48</v>
      </c>
      <c r="H33" s="411">
        <v>0.4</v>
      </c>
      <c r="I33" s="412">
        <f>IF(AND(E33&lt;&gt;"",G33&lt;&gt;""),IF(D33="",IF(G33="OH",VLOOKUP(F33,UPAH!$B$4:$H$101,7,0),VLOOKUP(E33,#REF!,4,0)),0),0)</f>
        <v>0</v>
      </c>
      <c r="J33" s="16">
        <f>H33*I33</f>
        <v>0</v>
      </c>
    </row>
    <row r="34" spans="1:10" ht="13">
      <c r="A34" s="27"/>
      <c r="B34" s="110"/>
      <c r="D34" s="409"/>
      <c r="E34" s="13" t="s">
        <v>97</v>
      </c>
      <c r="F34" s="13" t="s">
        <v>1928</v>
      </c>
      <c r="G34" s="410" t="s">
        <v>48</v>
      </c>
      <c r="H34" s="411">
        <v>0.02</v>
      </c>
      <c r="I34" s="412">
        <f>IF(AND(E34&lt;&gt;"",G34&lt;&gt;""),IF(D34="",IF(G34="OH",VLOOKUP(F34,UPAH!$B$4:$H$101,7,0),VLOOKUP(E34,#REF!,4,0)),0),0)</f>
        <v>0</v>
      </c>
      <c r="J34" s="16">
        <f>H34*I34</f>
        <v>0</v>
      </c>
    </row>
    <row r="35" spans="1:10" ht="13.5" thickBot="1">
      <c r="A35" s="27"/>
      <c r="B35" s="110"/>
      <c r="D35" s="413"/>
      <c r="E35" s="414" t="s">
        <v>51</v>
      </c>
      <c r="F35" s="414" t="s">
        <v>1929</v>
      </c>
      <c r="G35" s="415" t="s">
        <v>48</v>
      </c>
      <c r="H35" s="416">
        <v>0.02</v>
      </c>
      <c r="I35" s="412">
        <f>IF(AND(E35&lt;&gt;"",G35&lt;&gt;""),IF(D35="",IF(G35="OH",VLOOKUP(F35,UPAH!$B$4:$H$101,7,0),VLOOKUP(E35,#REF!,4,0)),0),0)</f>
        <v>0</v>
      </c>
      <c r="J35" s="430">
        <f>H35*I35</f>
        <v>0</v>
      </c>
    </row>
    <row r="36" spans="1:10" ht="13.5" thickBot="1">
      <c r="A36" s="27"/>
      <c r="B36" s="110"/>
      <c r="D36" s="417"/>
      <c r="E36" s="418"/>
      <c r="F36" s="418"/>
      <c r="G36" s="419"/>
      <c r="H36" s="420" t="s">
        <v>52</v>
      </c>
      <c r="I36" s="421"/>
      <c r="J36" s="396">
        <f>SUM(J31:J35)</f>
        <v>0</v>
      </c>
    </row>
    <row r="37" spans="1:10" ht="13">
      <c r="A37" s="27"/>
      <c r="B37" s="110"/>
      <c r="D37" s="422" t="s">
        <v>53</v>
      </c>
      <c r="E37" s="423" t="s">
        <v>54</v>
      </c>
      <c r="F37" s="424"/>
      <c r="G37" s="425"/>
      <c r="H37" s="426"/>
      <c r="I37" s="427"/>
      <c r="J37" s="428"/>
    </row>
    <row r="38" spans="1:10" ht="13">
      <c r="A38" s="27"/>
      <c r="B38" s="110"/>
      <c r="D38" s="409"/>
      <c r="E38" s="13" t="s">
        <v>471</v>
      </c>
      <c r="F38" s="14"/>
      <c r="G38" s="410" t="s">
        <v>55</v>
      </c>
      <c r="H38" s="411">
        <v>1.25</v>
      </c>
      <c r="I38" s="412">
        <f>'BAHAN '!G794</f>
        <v>0</v>
      </c>
      <c r="J38" s="16">
        <f t="shared" ref="J38:J45" si="1">H38*I38</f>
        <v>0</v>
      </c>
    </row>
    <row r="39" spans="1:10" ht="13">
      <c r="A39" s="27"/>
      <c r="B39" s="110"/>
      <c r="D39" s="409"/>
      <c r="E39" s="13" t="s">
        <v>56</v>
      </c>
      <c r="F39" s="14"/>
      <c r="G39" s="410" t="s">
        <v>57</v>
      </c>
      <c r="H39" s="411">
        <v>2.5</v>
      </c>
      <c r="I39" s="412">
        <f>'BAHAN '!G72</f>
        <v>0</v>
      </c>
      <c r="J39" s="16">
        <f t="shared" si="1"/>
        <v>0</v>
      </c>
    </row>
    <row r="40" spans="1:10" ht="13">
      <c r="A40" s="27"/>
      <c r="B40" s="110"/>
      <c r="D40" s="409"/>
      <c r="E40" s="13" t="s">
        <v>73</v>
      </c>
      <c r="F40" s="14"/>
      <c r="G40" s="410" t="s">
        <v>74</v>
      </c>
      <c r="H40" s="411">
        <v>1.2</v>
      </c>
      <c r="I40" s="412">
        <f>'BAHAN '!G241</f>
        <v>0</v>
      </c>
      <c r="J40" s="16">
        <f t="shared" si="1"/>
        <v>0</v>
      </c>
    </row>
    <row r="41" spans="1:10" ht="13">
      <c r="A41" s="27"/>
      <c r="B41" s="110"/>
      <c r="D41" s="409"/>
      <c r="E41" s="13" t="s">
        <v>58</v>
      </c>
      <c r="F41" s="14"/>
      <c r="G41" s="410" t="s">
        <v>375</v>
      </c>
      <c r="H41" s="411">
        <v>5.0000000000000001E-3</v>
      </c>
      <c r="I41" s="412">
        <f>'BAHAN '!G59</f>
        <v>0</v>
      </c>
      <c r="J41" s="16">
        <f t="shared" si="1"/>
        <v>0</v>
      </c>
    </row>
    <row r="42" spans="1:10" ht="13">
      <c r="A42" s="27"/>
      <c r="B42" s="110"/>
      <c r="D42" s="409"/>
      <c r="E42" s="13" t="s">
        <v>59</v>
      </c>
      <c r="F42" s="14"/>
      <c r="G42" s="410" t="s">
        <v>375</v>
      </c>
      <c r="H42" s="411">
        <v>8.9999999999999993E-3</v>
      </c>
      <c r="I42" s="412">
        <f>'BAHAN '!G49</f>
        <v>0</v>
      </c>
      <c r="J42" s="16">
        <f t="shared" si="1"/>
        <v>0</v>
      </c>
    </row>
    <row r="43" spans="1:10" ht="13">
      <c r="A43" s="27"/>
      <c r="B43" s="110"/>
      <c r="D43" s="409"/>
      <c r="E43" s="13" t="s">
        <v>60</v>
      </c>
      <c r="F43" s="14"/>
      <c r="G43" s="410" t="s">
        <v>375</v>
      </c>
      <c r="H43" s="411">
        <v>7.1999999999999995E-2</v>
      </c>
      <c r="I43" s="412">
        <f>'BAHAN '!G200</f>
        <v>0</v>
      </c>
      <c r="J43" s="16">
        <f t="shared" si="1"/>
        <v>0</v>
      </c>
    </row>
    <row r="44" spans="1:10" ht="13">
      <c r="A44" s="27"/>
      <c r="B44" s="110"/>
      <c r="D44" s="409"/>
      <c r="E44" s="13" t="s">
        <v>83</v>
      </c>
      <c r="F44" s="14"/>
      <c r="G44" s="410" t="s">
        <v>57</v>
      </c>
      <c r="H44" s="411">
        <v>0.06</v>
      </c>
      <c r="I44" s="412">
        <f>'BAHAN '!G127</f>
        <v>0</v>
      </c>
      <c r="J44" s="16">
        <f t="shared" si="1"/>
        <v>0</v>
      </c>
    </row>
    <row r="45" spans="1:10" ht="13.5" thickBot="1">
      <c r="A45" s="27"/>
      <c r="B45" s="110"/>
      <c r="D45" s="413"/>
      <c r="E45" s="414" t="s">
        <v>75</v>
      </c>
      <c r="F45" s="429"/>
      <c r="G45" s="415" t="s">
        <v>63</v>
      </c>
      <c r="H45" s="416">
        <v>0.45</v>
      </c>
      <c r="I45" s="412">
        <f>'BAHAN '!G167</f>
        <v>0</v>
      </c>
      <c r="J45" s="430">
        <f t="shared" si="1"/>
        <v>0</v>
      </c>
    </row>
    <row r="46" spans="1:10" ht="13.5" thickBot="1">
      <c r="A46" s="27"/>
      <c r="B46" s="110"/>
      <c r="D46" s="417"/>
      <c r="E46" s="418"/>
      <c r="F46" s="418"/>
      <c r="G46" s="419"/>
      <c r="H46" s="420" t="s">
        <v>64</v>
      </c>
      <c r="I46" s="421"/>
      <c r="J46" s="396">
        <f>SUM(J38:J45)</f>
        <v>0</v>
      </c>
    </row>
    <row r="47" spans="1:10" ht="13.5" thickBot="1">
      <c r="A47" s="27"/>
      <c r="B47" s="110"/>
      <c r="D47" s="431" t="s">
        <v>65</v>
      </c>
      <c r="E47" s="432" t="s">
        <v>66</v>
      </c>
      <c r="F47" s="433"/>
      <c r="G47" s="434"/>
      <c r="H47" s="435"/>
      <c r="I47" s="436">
        <f>IF(AND(E47&lt;&gt;"",G47&lt;&gt;""),IF(D47="",IF(G47="OH",VLOOKUP(E47,UPAH!$C$4:$H$31,7,0),VLOOKUP(E47,#REF!,4,0)),0),0)</f>
        <v>0</v>
      </c>
      <c r="J47" s="437"/>
    </row>
    <row r="48" spans="1:10" ht="13.5" thickBot="1">
      <c r="A48" s="27"/>
      <c r="B48" s="110"/>
      <c r="D48" s="417"/>
      <c r="E48" s="418"/>
      <c r="F48" s="418"/>
      <c r="G48" s="419"/>
      <c r="H48" s="420" t="s">
        <v>67</v>
      </c>
      <c r="I48" s="421"/>
      <c r="J48" s="396">
        <f>J47</f>
        <v>0</v>
      </c>
    </row>
    <row r="49" spans="1:10" ht="13">
      <c r="A49" s="27"/>
      <c r="B49" s="110"/>
      <c r="D49" s="431" t="s">
        <v>68</v>
      </c>
      <c r="E49" s="432" t="s">
        <v>69</v>
      </c>
      <c r="F49" s="433"/>
      <c r="G49" s="434"/>
      <c r="H49" s="435"/>
      <c r="I49" s="436"/>
      <c r="J49" s="437">
        <f>SUM(J32:J48)/2</f>
        <v>0</v>
      </c>
    </row>
    <row r="50" spans="1:10" ht="13.5" thickBot="1">
      <c r="A50" s="27"/>
      <c r="B50" s="110"/>
      <c r="D50" s="438" t="s">
        <v>70</v>
      </c>
      <c r="E50" s="414" t="s">
        <v>477</v>
      </c>
      <c r="F50" s="429"/>
      <c r="G50" s="439"/>
      <c r="H50" s="440">
        <v>0.1</v>
      </c>
      <c r="I50" s="441"/>
      <c r="J50" s="430">
        <f>H50*J49</f>
        <v>0</v>
      </c>
    </row>
    <row r="51" spans="1:10" ht="13.5" thickBot="1">
      <c r="A51" s="27"/>
      <c r="B51" s="110"/>
      <c r="D51" s="401" t="s">
        <v>71</v>
      </c>
      <c r="E51" s="402" t="s">
        <v>72</v>
      </c>
      <c r="F51" s="418"/>
      <c r="G51" s="419"/>
      <c r="H51" s="442"/>
      <c r="I51" s="421">
        <f>IF(AND(E51&lt;&gt;"",G51&lt;&gt;""),IF(D51="",IF(G51="OH",VLOOKUP(E51,UPAH!$C$4:$H$31,7,0),VLOOKUP(E51,#REF!,4,0)),0),0)</f>
        <v>0</v>
      </c>
      <c r="J51" s="396">
        <f>ROUNDDOWN(J49+J50,0)</f>
        <v>0</v>
      </c>
    </row>
    <row r="52" spans="1:10" ht="13">
      <c r="A52" s="27"/>
      <c r="B52" s="110"/>
      <c r="D52" s="11"/>
      <c r="E52" s="11"/>
      <c r="H52" s="443"/>
    </row>
    <row r="53" spans="1:10" ht="13.5" thickBot="1">
      <c r="A53" s="27"/>
      <c r="B53" s="110"/>
      <c r="C53" s="10" t="s">
        <v>1801</v>
      </c>
      <c r="D53" s="11" t="s">
        <v>538</v>
      </c>
      <c r="H53" s="443"/>
    </row>
    <row r="54" spans="1:10" ht="13.5" thickBot="1">
      <c r="A54" s="27"/>
      <c r="B54" s="110"/>
      <c r="D54" s="401" t="s">
        <v>40</v>
      </c>
      <c r="E54" s="402" t="s">
        <v>41</v>
      </c>
      <c r="F54" s="402" t="s">
        <v>42</v>
      </c>
      <c r="G54" s="403" t="s">
        <v>43</v>
      </c>
      <c r="H54" s="404" t="s">
        <v>44</v>
      </c>
      <c r="I54" s="402" t="s">
        <v>474</v>
      </c>
      <c r="J54" s="405" t="s">
        <v>475</v>
      </c>
    </row>
    <row r="55" spans="1:10" ht="13">
      <c r="A55" s="27"/>
      <c r="B55" s="110"/>
      <c r="D55" s="444" t="s">
        <v>45</v>
      </c>
      <c r="E55" s="445" t="s">
        <v>46</v>
      </c>
      <c r="F55" s="446"/>
      <c r="G55" s="447"/>
      <c r="H55" s="448"/>
      <c r="I55" s="412">
        <f>IF(AND(E55&lt;&gt;"",G55&lt;&gt;""),IF(D55="",IF(G55="OH",VLOOKUP(E55,UPAH!$C$4:$H$31,7,0),VLOOKUP(E55,#REF!,4,0)),0),0)</f>
        <v>0</v>
      </c>
      <c r="J55" s="16">
        <f>H55*I55</f>
        <v>0</v>
      </c>
    </row>
    <row r="56" spans="1:10" ht="13">
      <c r="A56" s="27"/>
      <c r="B56" s="110"/>
      <c r="D56" s="409"/>
      <c r="E56" s="13" t="s">
        <v>47</v>
      </c>
      <c r="F56" s="13" t="s">
        <v>1918</v>
      </c>
      <c r="G56" s="410" t="s">
        <v>48</v>
      </c>
      <c r="H56" s="411">
        <v>0.2</v>
      </c>
      <c r="I56" s="412">
        <f>IF(AND(E56&lt;&gt;"",G56&lt;&gt;""),IF(D56="",IF(G56="OH",VLOOKUP(F56,UPAH!$B$4:$H$101,7,0),VLOOKUP(E56,#REF!,4,0)),0),0)</f>
        <v>0</v>
      </c>
      <c r="J56" s="16">
        <f>H56*I56</f>
        <v>0</v>
      </c>
    </row>
    <row r="57" spans="1:10" ht="13">
      <c r="A57" s="27"/>
      <c r="B57" s="110"/>
      <c r="D57" s="409"/>
      <c r="E57" s="13" t="s">
        <v>476</v>
      </c>
      <c r="F57" s="13" t="s">
        <v>1922</v>
      </c>
      <c r="G57" s="410" t="s">
        <v>48</v>
      </c>
      <c r="H57" s="411">
        <v>0.3</v>
      </c>
      <c r="I57" s="412">
        <f>IF(AND(E57&lt;&gt;"",G57&lt;&gt;""),IF(D57="",IF(G57="OH",VLOOKUP(F57,UPAH!$B$4:$H$101,7,0),VLOOKUP(E57,#REF!,4,0)),0),0)</f>
        <v>0</v>
      </c>
      <c r="J57" s="16">
        <f>H57*I57</f>
        <v>0</v>
      </c>
    </row>
    <row r="58" spans="1:10" ht="13">
      <c r="A58" s="27"/>
      <c r="B58" s="110"/>
      <c r="D58" s="409"/>
      <c r="E58" s="13" t="s">
        <v>97</v>
      </c>
      <c r="F58" s="13" t="s">
        <v>1928</v>
      </c>
      <c r="G58" s="410" t="s">
        <v>48</v>
      </c>
      <c r="H58" s="411">
        <v>0.02</v>
      </c>
      <c r="I58" s="412">
        <f>IF(AND(E58&lt;&gt;"",G58&lt;&gt;""),IF(D58="",IF(G58="OH",VLOOKUP(F58,UPAH!$B$4:$H$101,7,0),VLOOKUP(E58,#REF!,4,0)),0),0)</f>
        <v>0</v>
      </c>
      <c r="J58" s="16">
        <f>H58*I58</f>
        <v>0</v>
      </c>
    </row>
    <row r="59" spans="1:10" ht="13.5" thickBot="1">
      <c r="A59" s="27"/>
      <c r="B59" s="110"/>
      <c r="D59" s="413"/>
      <c r="E59" s="414" t="s">
        <v>51</v>
      </c>
      <c r="F59" s="414" t="s">
        <v>1929</v>
      </c>
      <c r="G59" s="415" t="s">
        <v>48</v>
      </c>
      <c r="H59" s="416">
        <v>0.02</v>
      </c>
      <c r="I59" s="412">
        <f>IF(AND(E59&lt;&gt;"",G59&lt;&gt;""),IF(D59="",IF(G59="OH",VLOOKUP(F59,UPAH!$B$4:$H$101,7,0),VLOOKUP(E59,#REF!,4,0)),0),0)</f>
        <v>0</v>
      </c>
      <c r="J59" s="16">
        <f>H59*I59</f>
        <v>0</v>
      </c>
    </row>
    <row r="60" spans="1:10" ht="13.5" thickBot="1">
      <c r="A60" s="27"/>
      <c r="B60" s="110"/>
      <c r="D60" s="417"/>
      <c r="E60" s="418"/>
      <c r="F60" s="418"/>
      <c r="G60" s="419"/>
      <c r="H60" s="420" t="s">
        <v>52</v>
      </c>
      <c r="I60" s="421"/>
      <c r="J60" s="396">
        <f>SUM(J55:J59)</f>
        <v>0</v>
      </c>
    </row>
    <row r="61" spans="1:10" ht="13">
      <c r="A61" s="27"/>
      <c r="B61" s="110"/>
      <c r="D61" s="422" t="s">
        <v>53</v>
      </c>
      <c r="E61" s="423" t="s">
        <v>54</v>
      </c>
      <c r="F61" s="424"/>
      <c r="G61" s="425"/>
      <c r="H61" s="426"/>
      <c r="I61" s="412">
        <f>IF(AND(E61&lt;&gt;"",G61&lt;&gt;""),IF(D61="",IF(G61="OH",VLOOKUP(E61,UPAH!$C$4:$H$31,7,0),VLOOKUP(E61,#REF!,4,0)),0),0)</f>
        <v>0</v>
      </c>
      <c r="J61" s="16">
        <f t="shared" ref="J61:J67" si="2">H61*I61</f>
        <v>0</v>
      </c>
    </row>
    <row r="62" spans="1:10" ht="13">
      <c r="A62" s="27"/>
      <c r="B62" s="110"/>
      <c r="D62" s="409"/>
      <c r="E62" s="13" t="s">
        <v>471</v>
      </c>
      <c r="F62" s="14"/>
      <c r="G62" s="410" t="s">
        <v>55</v>
      </c>
      <c r="H62" s="411">
        <v>1</v>
      </c>
      <c r="I62" s="412">
        <f>'BAHAN '!G794</f>
        <v>0</v>
      </c>
      <c r="J62" s="16">
        <f t="shared" si="2"/>
        <v>0</v>
      </c>
    </row>
    <row r="63" spans="1:10" ht="13">
      <c r="A63" s="27"/>
      <c r="B63" s="110"/>
      <c r="D63" s="409"/>
      <c r="E63" s="13" t="s">
        <v>56</v>
      </c>
      <c r="F63" s="14"/>
      <c r="G63" s="410" t="s">
        <v>57</v>
      </c>
      <c r="H63" s="411">
        <v>2</v>
      </c>
      <c r="I63" s="412">
        <f>'BAHAN '!G72</f>
        <v>0</v>
      </c>
      <c r="J63" s="16">
        <f t="shared" si="2"/>
        <v>0</v>
      </c>
    </row>
    <row r="64" spans="1:10" ht="13">
      <c r="A64" s="27"/>
      <c r="B64" s="110"/>
      <c r="D64" s="409"/>
      <c r="E64" s="13" t="s">
        <v>76</v>
      </c>
      <c r="F64" s="14"/>
      <c r="G64" s="410" t="s">
        <v>77</v>
      </c>
      <c r="H64" s="411">
        <v>25</v>
      </c>
      <c r="I64" s="412">
        <f>'BAHAN '!G117</f>
        <v>0</v>
      </c>
      <c r="J64" s="16">
        <f t="shared" si="2"/>
        <v>0</v>
      </c>
    </row>
    <row r="65" spans="1:10" ht="13">
      <c r="A65" s="27"/>
      <c r="B65" s="110"/>
      <c r="D65" s="409"/>
      <c r="E65" s="13" t="s">
        <v>58</v>
      </c>
      <c r="F65" s="14"/>
      <c r="G65" s="410" t="s">
        <v>375</v>
      </c>
      <c r="H65" s="411">
        <v>5.0000000000000001E-3</v>
      </c>
      <c r="I65" s="412">
        <f>'BAHAN '!G59</f>
        <v>0</v>
      </c>
      <c r="J65" s="16">
        <f t="shared" si="2"/>
        <v>0</v>
      </c>
    </row>
    <row r="66" spans="1:10" ht="13">
      <c r="A66" s="27"/>
      <c r="B66" s="110"/>
      <c r="D66" s="409"/>
      <c r="E66" s="13" t="s">
        <v>59</v>
      </c>
      <c r="F66" s="14"/>
      <c r="G66" s="410" t="s">
        <v>375</v>
      </c>
      <c r="H66" s="411">
        <v>8.9999999999999993E-3</v>
      </c>
      <c r="I66" s="412">
        <f>'BAHAN '!G49</f>
        <v>0</v>
      </c>
      <c r="J66" s="16">
        <f t="shared" si="2"/>
        <v>0</v>
      </c>
    </row>
    <row r="67" spans="1:10" ht="13.5" thickBot="1">
      <c r="A67" s="27"/>
      <c r="B67" s="110"/>
      <c r="D67" s="413"/>
      <c r="E67" s="13" t="s">
        <v>61</v>
      </c>
      <c r="F67" s="429"/>
      <c r="G67" s="415" t="s">
        <v>57</v>
      </c>
      <c r="H67" s="416">
        <v>0.06</v>
      </c>
      <c r="I67" s="412">
        <f>'BAHAN '!G127</f>
        <v>0</v>
      </c>
      <c r="J67" s="16">
        <f t="shared" si="2"/>
        <v>0</v>
      </c>
    </row>
    <row r="68" spans="1:10" ht="13.5" thickBot="1">
      <c r="A68" s="27"/>
      <c r="B68" s="110"/>
      <c r="D68" s="417"/>
      <c r="E68" s="418"/>
      <c r="F68" s="418"/>
      <c r="G68" s="419"/>
      <c r="H68" s="420" t="s">
        <v>64</v>
      </c>
      <c r="I68" s="421"/>
      <c r="J68" s="396">
        <f>SUM(J60:J67)</f>
        <v>0</v>
      </c>
    </row>
    <row r="69" spans="1:10" ht="13.5" thickBot="1">
      <c r="A69" s="27"/>
      <c r="B69" s="110"/>
      <c r="D69" s="422" t="s">
        <v>65</v>
      </c>
      <c r="E69" s="423" t="s">
        <v>66</v>
      </c>
      <c r="F69" s="424"/>
      <c r="G69" s="425"/>
      <c r="H69" s="426"/>
      <c r="I69" s="412">
        <f>IF(AND(E69&lt;&gt;"",G69&lt;&gt;""),IF(D69="",IF(G69="OH",VLOOKUP(E69,UPAH!$C$4:$H$31,7,0),VLOOKUP(E69,#REF!,4,0)),0),0)</f>
        <v>0</v>
      </c>
      <c r="J69" s="16">
        <f>H69*I69</f>
        <v>0</v>
      </c>
    </row>
    <row r="70" spans="1:10" ht="13.5" thickBot="1">
      <c r="A70" s="27"/>
      <c r="B70" s="110"/>
      <c r="D70" s="417"/>
      <c r="E70" s="418"/>
      <c r="F70" s="418"/>
      <c r="G70" s="419"/>
      <c r="H70" s="420" t="s">
        <v>67</v>
      </c>
      <c r="I70" s="421"/>
      <c r="J70" s="396">
        <f>J69</f>
        <v>0</v>
      </c>
    </row>
    <row r="71" spans="1:10" ht="13">
      <c r="A71" s="27"/>
      <c r="B71" s="110"/>
      <c r="D71" s="444" t="s">
        <v>68</v>
      </c>
      <c r="E71" s="445" t="s">
        <v>69</v>
      </c>
      <c r="F71" s="446"/>
      <c r="G71" s="447"/>
      <c r="H71" s="448"/>
      <c r="I71" s="449">
        <f>IF(AND(E71&lt;&gt;"",G71&lt;&gt;""),IF(D71="",IF(G71="OH",VLOOKUP(E71,UPAH!$C$4:$H$31,7,0),VLOOKUP(E71,#REF!,4,0)),0),0)</f>
        <v>0</v>
      </c>
      <c r="J71" s="450">
        <f>SUM(J56:J70)/2</f>
        <v>0</v>
      </c>
    </row>
    <row r="72" spans="1:10" ht="13.5" thickBot="1">
      <c r="A72" s="27"/>
      <c r="B72" s="110"/>
      <c r="D72" s="431" t="s">
        <v>70</v>
      </c>
      <c r="E72" s="432" t="s">
        <v>477</v>
      </c>
      <c r="F72" s="433"/>
      <c r="G72" s="434"/>
      <c r="H72" s="22">
        <v>0.1</v>
      </c>
      <c r="I72" s="436"/>
      <c r="J72" s="430">
        <f>H72*J71</f>
        <v>0</v>
      </c>
    </row>
    <row r="73" spans="1:10" ht="13.5" thickBot="1">
      <c r="A73" s="27"/>
      <c r="B73" s="110"/>
      <c r="D73" s="401" t="s">
        <v>71</v>
      </c>
      <c r="E73" s="402" t="s">
        <v>72</v>
      </c>
      <c r="F73" s="418"/>
      <c r="G73" s="419"/>
      <c r="H73" s="442"/>
      <c r="I73" s="421">
        <f>IF(AND(E73&lt;&gt;"",G73&lt;&gt;""),IF(D73="",IF(G73="OH",VLOOKUP(E73,UPAH!$C$4:$H$31,7,0),VLOOKUP(E73,#REF!,4,0)),0),0)</f>
        <v>0</v>
      </c>
      <c r="J73" s="396">
        <f>ROUNDDOWN(J71+J72,0)</f>
        <v>0</v>
      </c>
    </row>
    <row r="74" spans="1:10" ht="13">
      <c r="A74" s="27"/>
      <c r="B74" s="110"/>
      <c r="D74" s="11"/>
      <c r="E74" s="11"/>
      <c r="H74" s="443"/>
    </row>
    <row r="75" spans="1:10" ht="13.5" thickBot="1">
      <c r="A75" s="27"/>
      <c r="B75" s="110"/>
      <c r="C75" s="10" t="s">
        <v>1802</v>
      </c>
      <c r="D75" s="11" t="s">
        <v>1066</v>
      </c>
      <c r="H75" s="443"/>
    </row>
    <row r="76" spans="1:10" ht="13.5" thickBot="1">
      <c r="A76" s="27"/>
      <c r="B76" s="110"/>
      <c r="D76" s="401" t="s">
        <v>40</v>
      </c>
      <c r="E76" s="402" t="s">
        <v>41</v>
      </c>
      <c r="F76" s="402" t="s">
        <v>42</v>
      </c>
      <c r="G76" s="403" t="s">
        <v>43</v>
      </c>
      <c r="H76" s="404" t="s">
        <v>44</v>
      </c>
      <c r="I76" s="402" t="s">
        <v>474</v>
      </c>
      <c r="J76" s="405" t="s">
        <v>475</v>
      </c>
    </row>
    <row r="77" spans="1:10" ht="13">
      <c r="A77" s="27"/>
      <c r="B77" s="110"/>
      <c r="D77" s="406" t="s">
        <v>45</v>
      </c>
      <c r="E77" s="13" t="s">
        <v>46</v>
      </c>
      <c r="F77" s="14"/>
      <c r="G77" s="15"/>
      <c r="H77" s="451"/>
      <c r="I77" s="412">
        <f>IF(AND(E77&lt;&gt;"",G77&lt;&gt;""),IF(D77="",IF(G77="OH",VLOOKUP(E77,UPAH!$C$4:$H$31,7,0),VLOOKUP(E77,#REF!,4,0)),0),0)</f>
        <v>0</v>
      </c>
      <c r="J77" s="16">
        <f>H77*I77</f>
        <v>0</v>
      </c>
    </row>
    <row r="78" spans="1:10" ht="13">
      <c r="A78" s="27"/>
      <c r="B78" s="110"/>
      <c r="D78" s="409"/>
      <c r="E78" s="13" t="s">
        <v>47</v>
      </c>
      <c r="F78" s="13" t="s">
        <v>1918</v>
      </c>
      <c r="G78" s="410" t="s">
        <v>48</v>
      </c>
      <c r="H78" s="411">
        <v>0.1</v>
      </c>
      <c r="I78" s="412">
        <f>IF(AND(E78&lt;&gt;"",G78&lt;&gt;""),IF(D78="",IF(G78="OH",VLOOKUP(F78,UPAH!$B$4:$H$101,7,0),VLOOKUP(E78,#REF!,4,0)),0),0)</f>
        <v>0</v>
      </c>
      <c r="J78" s="16">
        <f>H78*I78</f>
        <v>0</v>
      </c>
    </row>
    <row r="79" spans="1:10" ht="13">
      <c r="A79" s="27"/>
      <c r="B79" s="110"/>
      <c r="D79" s="409"/>
      <c r="E79" s="13" t="s">
        <v>476</v>
      </c>
      <c r="F79" s="13" t="s">
        <v>1922</v>
      </c>
      <c r="G79" s="410" t="s">
        <v>48</v>
      </c>
      <c r="H79" s="411">
        <v>0.1</v>
      </c>
      <c r="I79" s="412">
        <f>IF(AND(E79&lt;&gt;"",G79&lt;&gt;""),IF(D79="",IF(G79="OH",VLOOKUP(F79,UPAH!$B$4:$H$101,7,0),VLOOKUP(E79,#REF!,4,0)),0),0)</f>
        <v>0</v>
      </c>
      <c r="J79" s="16">
        <f>H79*I79</f>
        <v>0</v>
      </c>
    </row>
    <row r="80" spans="1:10" ht="13">
      <c r="A80" s="27"/>
      <c r="B80" s="110"/>
      <c r="D80" s="409"/>
      <c r="E80" s="13" t="s">
        <v>97</v>
      </c>
      <c r="F80" s="13" t="s">
        <v>1928</v>
      </c>
      <c r="G80" s="410" t="s">
        <v>48</v>
      </c>
      <c r="H80" s="411">
        <v>0.01</v>
      </c>
      <c r="I80" s="412">
        <f>IF(AND(E80&lt;&gt;"",G80&lt;&gt;""),IF(D80="",IF(G80="OH",VLOOKUP(F80,UPAH!$B$4:$H$101,7,0),VLOOKUP(E80,#REF!,4,0)),0),0)</f>
        <v>0</v>
      </c>
      <c r="J80" s="16">
        <f>H80*I80</f>
        <v>0</v>
      </c>
    </row>
    <row r="81" spans="1:10" ht="13.5" thickBot="1">
      <c r="A81" s="27"/>
      <c r="B81" s="110"/>
      <c r="D81" s="413"/>
      <c r="E81" s="414" t="s">
        <v>51</v>
      </c>
      <c r="F81" s="414" t="s">
        <v>1929</v>
      </c>
      <c r="G81" s="415" t="s">
        <v>48</v>
      </c>
      <c r="H81" s="416">
        <v>5.0000000000000001E-3</v>
      </c>
      <c r="I81" s="412">
        <f>IF(AND(E81&lt;&gt;"",G81&lt;&gt;""),IF(D81="",IF(G81="OH",VLOOKUP(F81,UPAH!$B$4:$H$101,7,0),VLOOKUP(E81,#REF!,4,0)),0),0)</f>
        <v>0</v>
      </c>
      <c r="J81" s="16">
        <f>H81*I81</f>
        <v>0</v>
      </c>
    </row>
    <row r="82" spans="1:10" ht="13.5" thickBot="1">
      <c r="A82" s="27"/>
      <c r="B82" s="110"/>
      <c r="D82" s="417"/>
      <c r="E82" s="418"/>
      <c r="F82" s="418"/>
      <c r="G82" s="419"/>
      <c r="H82" s="420" t="s">
        <v>52</v>
      </c>
      <c r="I82" s="421"/>
      <c r="J82" s="396">
        <f>SUM(J77:J81)</f>
        <v>0</v>
      </c>
    </row>
    <row r="83" spans="1:10" ht="13">
      <c r="A83" s="27"/>
      <c r="B83" s="110"/>
      <c r="D83" s="422" t="s">
        <v>53</v>
      </c>
      <c r="E83" s="423" t="s">
        <v>54</v>
      </c>
      <c r="F83" s="424"/>
      <c r="G83" s="425"/>
      <c r="H83" s="426"/>
      <c r="I83" s="412">
        <f>IF(AND(E83&lt;&gt;"",G83&lt;&gt;""),IF(D83="",IF(G83="OH",VLOOKUP(E83,UPAH!$C$4:$H$31,7,0),VLOOKUP(E83,#REF!,4,0)),0),0)</f>
        <v>0</v>
      </c>
      <c r="J83" s="16">
        <f>H83*I83</f>
        <v>0</v>
      </c>
    </row>
    <row r="84" spans="1:10" ht="13">
      <c r="A84" s="27"/>
      <c r="B84" s="110"/>
      <c r="D84" s="409"/>
      <c r="E84" s="13" t="s">
        <v>78</v>
      </c>
      <c r="F84" s="14"/>
      <c r="G84" s="410" t="s">
        <v>375</v>
      </c>
      <c r="H84" s="411">
        <v>1.2E-2</v>
      </c>
      <c r="I84" s="412">
        <f>'BAHAN '!G200</f>
        <v>0</v>
      </c>
      <c r="J84" s="16">
        <f>H84*I84</f>
        <v>0</v>
      </c>
    </row>
    <row r="85" spans="1:10" ht="13">
      <c r="A85" s="27"/>
      <c r="B85" s="110"/>
      <c r="D85" s="409"/>
      <c r="E85" s="13" t="s">
        <v>79</v>
      </c>
      <c r="F85" s="14"/>
      <c r="G85" s="410" t="s">
        <v>57</v>
      </c>
      <c r="H85" s="411">
        <v>0.02</v>
      </c>
      <c r="I85" s="412">
        <f>'BAHAN '!G127</f>
        <v>0</v>
      </c>
      <c r="J85" s="16">
        <f>H85*I85</f>
        <v>0</v>
      </c>
    </row>
    <row r="86" spans="1:10" ht="13.5" thickBot="1">
      <c r="A86" s="27"/>
      <c r="B86" s="110"/>
      <c r="D86" s="413"/>
      <c r="E86" s="414" t="s">
        <v>80</v>
      </c>
      <c r="F86" s="429"/>
      <c r="G86" s="415" t="s">
        <v>375</v>
      </c>
      <c r="H86" s="416">
        <v>7.0000000000000001E-3</v>
      </c>
      <c r="I86" s="412">
        <f>'BAHAN '!G201</f>
        <v>0</v>
      </c>
      <c r="J86" s="16">
        <f>H86*I86</f>
        <v>0</v>
      </c>
    </row>
    <row r="87" spans="1:10" ht="13.5" thickBot="1">
      <c r="A87" s="27"/>
      <c r="B87" s="110"/>
      <c r="D87" s="417"/>
      <c r="E87" s="418"/>
      <c r="F87" s="418"/>
      <c r="G87" s="419"/>
      <c r="H87" s="420" t="s">
        <v>64</v>
      </c>
      <c r="I87" s="421"/>
      <c r="J87" s="396">
        <f>SUM(J79:J86)</f>
        <v>0</v>
      </c>
    </row>
    <row r="88" spans="1:10" ht="13.5" thickBot="1">
      <c r="A88" s="27"/>
      <c r="B88" s="110"/>
      <c r="D88" s="431" t="s">
        <v>65</v>
      </c>
      <c r="E88" s="432" t="s">
        <v>66</v>
      </c>
      <c r="F88" s="433"/>
      <c r="G88" s="434"/>
      <c r="H88" s="435"/>
      <c r="I88" s="412">
        <f>IF(AND(E88&lt;&gt;"",G88&lt;&gt;""),IF(D88="",IF(G88="OH",VLOOKUP(E88,UPAH!$C$4:$H$31,7,0),VLOOKUP(E88,#REF!,4,0)),0),0)</f>
        <v>0</v>
      </c>
      <c r="J88" s="16">
        <f>H88*I88</f>
        <v>0</v>
      </c>
    </row>
    <row r="89" spans="1:10" ht="13.5" thickBot="1">
      <c r="A89" s="27"/>
      <c r="B89" s="110"/>
      <c r="D89" s="417"/>
      <c r="E89" s="418"/>
      <c r="F89" s="418"/>
      <c r="G89" s="419"/>
      <c r="H89" s="420" t="s">
        <v>67</v>
      </c>
      <c r="I89" s="421"/>
      <c r="J89" s="396">
        <f>J88</f>
        <v>0</v>
      </c>
    </row>
    <row r="90" spans="1:10" ht="13">
      <c r="A90" s="27"/>
      <c r="B90" s="110"/>
      <c r="D90" s="422" t="s">
        <v>68</v>
      </c>
      <c r="E90" s="423" t="s">
        <v>69</v>
      </c>
      <c r="F90" s="424"/>
      <c r="G90" s="425"/>
      <c r="H90" s="426"/>
      <c r="I90" s="412">
        <f>IF(AND(E90&lt;&gt;"",G90&lt;&gt;""),IF(D90="",IF(G90="OH",VLOOKUP(E90,UPAH!$C$4:$H$31,7,0),VLOOKUP(E90,#REF!,4,0)),0),0)</f>
        <v>0</v>
      </c>
      <c r="J90" s="450">
        <f>SUM(J75:J89)/2</f>
        <v>0</v>
      </c>
    </row>
    <row r="91" spans="1:10" ht="13.5" thickBot="1">
      <c r="A91" s="27"/>
      <c r="B91" s="110"/>
      <c r="D91" s="438" t="s">
        <v>70</v>
      </c>
      <c r="E91" s="414" t="s">
        <v>477</v>
      </c>
      <c r="F91" s="429"/>
      <c r="G91" s="439"/>
      <c r="H91" s="440">
        <v>0.1</v>
      </c>
      <c r="I91" s="441"/>
      <c r="J91" s="430">
        <f>H91*J90</f>
        <v>0</v>
      </c>
    </row>
    <row r="92" spans="1:10" ht="13.5" thickBot="1">
      <c r="A92" s="27"/>
      <c r="B92" s="110"/>
      <c r="D92" s="401" t="s">
        <v>71</v>
      </c>
      <c r="E92" s="402" t="s">
        <v>72</v>
      </c>
      <c r="F92" s="418"/>
      <c r="G92" s="419"/>
      <c r="H92" s="442"/>
      <c r="I92" s="421">
        <f>IF(AND(E92&lt;&gt;"",G92&lt;&gt;""),IF(D92="",IF(G92="OH",VLOOKUP(E92,UPAH!$C$4:$H$31,7,0),VLOOKUP(E92,#REF!,4,0)),0),0)</f>
        <v>0</v>
      </c>
      <c r="J92" s="396">
        <f>ROUNDDOWN(J90+J91,0)</f>
        <v>0</v>
      </c>
    </row>
    <row r="93" spans="1:10" ht="13">
      <c r="A93" s="27"/>
      <c r="B93" s="110"/>
      <c r="D93" s="11"/>
      <c r="E93" s="11"/>
      <c r="H93" s="443"/>
    </row>
    <row r="94" spans="1:10" ht="13.5" thickBot="1">
      <c r="A94" s="27"/>
      <c r="B94" s="110"/>
      <c r="C94" s="10" t="s">
        <v>1803</v>
      </c>
      <c r="D94" s="11" t="s">
        <v>539</v>
      </c>
      <c r="H94" s="443"/>
    </row>
    <row r="95" spans="1:10" ht="13.5" thickBot="1">
      <c r="A95" s="27"/>
      <c r="B95" s="110"/>
      <c r="D95" s="401" t="s">
        <v>40</v>
      </c>
      <c r="E95" s="402" t="s">
        <v>41</v>
      </c>
      <c r="F95" s="402" t="s">
        <v>42</v>
      </c>
      <c r="G95" s="403" t="s">
        <v>43</v>
      </c>
      <c r="H95" s="404" t="s">
        <v>44</v>
      </c>
      <c r="I95" s="402" t="s">
        <v>474</v>
      </c>
      <c r="J95" s="405" t="s">
        <v>475</v>
      </c>
    </row>
    <row r="96" spans="1:10" ht="13">
      <c r="A96" s="27"/>
      <c r="B96" s="110"/>
      <c r="D96" s="406" t="s">
        <v>45</v>
      </c>
      <c r="E96" s="13" t="s">
        <v>46</v>
      </c>
      <c r="F96" s="14"/>
      <c r="G96" s="15"/>
      <c r="H96" s="451"/>
      <c r="I96" s="412"/>
      <c r="J96" s="16"/>
    </row>
    <row r="97" spans="1:10" ht="13">
      <c r="A97" s="27"/>
      <c r="B97" s="110"/>
      <c r="D97" s="409"/>
      <c r="E97" s="13" t="s">
        <v>47</v>
      </c>
      <c r="F97" s="13" t="s">
        <v>1918</v>
      </c>
      <c r="G97" s="410" t="s">
        <v>48</v>
      </c>
      <c r="H97" s="411">
        <v>2</v>
      </c>
      <c r="I97" s="412">
        <f>IF(AND(E97&lt;&gt;"",G97&lt;&gt;""),IF(D97="",IF(G97="OH",VLOOKUP(F97,UPAH!$B$4:$H$101,7,0),VLOOKUP(E97,#REF!,4,0)),0),0)</f>
        <v>0</v>
      </c>
      <c r="J97" s="16">
        <f>H97*I97</f>
        <v>0</v>
      </c>
    </row>
    <row r="98" spans="1:10" ht="13">
      <c r="A98" s="27"/>
      <c r="B98" s="110"/>
      <c r="D98" s="409"/>
      <c r="E98" s="13" t="s">
        <v>476</v>
      </c>
      <c r="F98" s="13" t="s">
        <v>1922</v>
      </c>
      <c r="G98" s="410" t="s">
        <v>48</v>
      </c>
      <c r="H98" s="411">
        <v>2</v>
      </c>
      <c r="I98" s="412">
        <f>IF(AND(E98&lt;&gt;"",G98&lt;&gt;""),IF(D98="",IF(G98="OH",VLOOKUP(F98,UPAH!$B$4:$H$101,7,0),VLOOKUP(E98,#REF!,4,0)),0),0)</f>
        <v>0</v>
      </c>
      <c r="J98" s="16">
        <f>H98*I98</f>
        <v>0</v>
      </c>
    </row>
    <row r="99" spans="1:10" ht="13">
      <c r="A99" s="27"/>
      <c r="B99" s="110"/>
      <c r="D99" s="409"/>
      <c r="E99" s="13" t="s">
        <v>81</v>
      </c>
      <c r="F99" s="13" t="s">
        <v>1921</v>
      </c>
      <c r="G99" s="410" t="s">
        <v>48</v>
      </c>
      <c r="H99" s="411">
        <v>1</v>
      </c>
      <c r="I99" s="412">
        <f>IF(AND(E99&lt;&gt;"",G99&lt;&gt;""),IF(D99="",IF(G99="OH",VLOOKUP(F99,UPAH!$B$4:$H$101,7,0),VLOOKUP(E99,#REF!,4,0)),0),0)</f>
        <v>0</v>
      </c>
      <c r="J99" s="16">
        <f>H99*I99</f>
        <v>0</v>
      </c>
    </row>
    <row r="100" spans="1:10" ht="13">
      <c r="A100" s="27"/>
      <c r="B100" s="110"/>
      <c r="D100" s="409"/>
      <c r="E100" s="13" t="s">
        <v>97</v>
      </c>
      <c r="F100" s="13" t="s">
        <v>1928</v>
      </c>
      <c r="G100" s="410" t="s">
        <v>48</v>
      </c>
      <c r="H100" s="411">
        <v>0.3</v>
      </c>
      <c r="I100" s="412">
        <f>IF(AND(E100&lt;&gt;"",G100&lt;&gt;""),IF(D100="",IF(G100="OH",VLOOKUP(F100,UPAH!$B$4:$H$101,7,0),VLOOKUP(E100,#REF!,4,0)),0),0)</f>
        <v>0</v>
      </c>
      <c r="J100" s="16">
        <f>H100*I100</f>
        <v>0</v>
      </c>
    </row>
    <row r="101" spans="1:10" ht="13.5" thickBot="1">
      <c r="A101" s="27"/>
      <c r="B101" s="110"/>
      <c r="D101" s="413"/>
      <c r="E101" s="414" t="s">
        <v>51</v>
      </c>
      <c r="F101" s="414" t="s">
        <v>1929</v>
      </c>
      <c r="G101" s="415" t="s">
        <v>48</v>
      </c>
      <c r="H101" s="416">
        <v>0.05</v>
      </c>
      <c r="I101" s="412">
        <f>IF(AND(E101&lt;&gt;"",G101&lt;&gt;""),IF(D101="",IF(G101="OH",VLOOKUP(F101,UPAH!$B$4:$H$101,7,0),VLOOKUP(E101,#REF!,4,0)),0),0)</f>
        <v>0</v>
      </c>
      <c r="J101" s="16">
        <f>H101*I101</f>
        <v>0</v>
      </c>
    </row>
    <row r="102" spans="1:10" ht="13.5" thickBot="1">
      <c r="A102" s="27"/>
      <c r="B102" s="110"/>
      <c r="D102" s="417"/>
      <c r="E102" s="418"/>
      <c r="F102" s="418"/>
      <c r="G102" s="419"/>
      <c r="H102" s="420" t="s">
        <v>52</v>
      </c>
      <c r="I102" s="421"/>
      <c r="J102" s="396">
        <f>SUM(J97:J101)</f>
        <v>0</v>
      </c>
    </row>
    <row r="103" spans="1:10" ht="13">
      <c r="A103" s="27"/>
      <c r="B103" s="110"/>
      <c r="D103" s="422" t="s">
        <v>53</v>
      </c>
      <c r="E103" s="423" t="s">
        <v>54</v>
      </c>
      <c r="F103" s="424"/>
      <c r="G103" s="425"/>
      <c r="H103" s="426"/>
      <c r="I103" s="412">
        <f>IF(AND(E103&lt;&gt;"",G103&lt;&gt;""),IF(D103="",IF(G103="OH",VLOOKUP(E103,UPAH!$C$4:$H$31,7,0),VLOOKUP(E103,#REF!,4,0)),0),0)</f>
        <v>0</v>
      </c>
      <c r="J103" s="16">
        <f t="shared" ref="J103:J117" si="3">H103*I103</f>
        <v>0</v>
      </c>
    </row>
    <row r="104" spans="1:10" ht="13">
      <c r="A104" s="27"/>
      <c r="B104" s="110"/>
      <c r="D104" s="409"/>
      <c r="E104" s="13" t="s">
        <v>471</v>
      </c>
      <c r="F104" s="14"/>
      <c r="G104" s="410" t="s">
        <v>55</v>
      </c>
      <c r="H104" s="411">
        <v>1.25</v>
      </c>
      <c r="I104" s="412">
        <f>'BAHAN '!G794</f>
        <v>0</v>
      </c>
      <c r="J104" s="16">
        <f t="shared" si="3"/>
        <v>0</v>
      </c>
    </row>
    <row r="105" spans="1:10" ht="13">
      <c r="A105" s="27"/>
      <c r="B105" s="110"/>
      <c r="D105" s="409"/>
      <c r="E105" s="13" t="s">
        <v>78</v>
      </c>
      <c r="F105" s="14"/>
      <c r="G105" s="410" t="s">
        <v>375</v>
      </c>
      <c r="H105" s="411">
        <v>0.18</v>
      </c>
      <c r="I105" s="412">
        <f>'BAHAN '!G200</f>
        <v>0</v>
      </c>
      <c r="J105" s="16">
        <f t="shared" si="3"/>
        <v>0</v>
      </c>
    </row>
    <row r="106" spans="1:10" ht="13">
      <c r="A106" s="27"/>
      <c r="B106" s="110"/>
      <c r="D106" s="409"/>
      <c r="E106" s="13" t="s">
        <v>83</v>
      </c>
      <c r="F106" s="14"/>
      <c r="G106" s="410" t="s">
        <v>57</v>
      </c>
      <c r="H106" s="411">
        <v>0.08</v>
      </c>
      <c r="I106" s="412">
        <f>'BAHAN '!G127</f>
        <v>0</v>
      </c>
      <c r="J106" s="16">
        <f t="shared" si="3"/>
        <v>0</v>
      </c>
    </row>
    <row r="107" spans="1:10" ht="13">
      <c r="A107" s="27"/>
      <c r="B107" s="110"/>
      <c r="D107" s="409"/>
      <c r="E107" s="13" t="s">
        <v>84</v>
      </c>
      <c r="F107" s="14"/>
      <c r="G107" s="410" t="s">
        <v>57</v>
      </c>
      <c r="H107" s="411">
        <v>1.1000000000000001</v>
      </c>
      <c r="I107" s="412">
        <f>'BAHAN '!G98</f>
        <v>0</v>
      </c>
      <c r="J107" s="16">
        <f t="shared" si="3"/>
        <v>0</v>
      </c>
    </row>
    <row r="108" spans="1:10" ht="13">
      <c r="A108" s="27"/>
      <c r="B108" s="110"/>
      <c r="D108" s="409"/>
      <c r="E108" s="13" t="s">
        <v>56</v>
      </c>
      <c r="F108" s="14"/>
      <c r="G108" s="410" t="s">
        <v>57</v>
      </c>
      <c r="H108" s="411">
        <v>35</v>
      </c>
      <c r="I108" s="412">
        <f>'BAHAN '!G72</f>
        <v>0</v>
      </c>
      <c r="J108" s="16">
        <f t="shared" si="3"/>
        <v>0</v>
      </c>
    </row>
    <row r="109" spans="1:10" ht="13">
      <c r="A109" s="27"/>
      <c r="B109" s="110"/>
      <c r="D109" s="409"/>
      <c r="E109" s="13" t="s">
        <v>85</v>
      </c>
      <c r="F109" s="14"/>
      <c r="G109" s="410" t="s">
        <v>375</v>
      </c>
      <c r="H109" s="411">
        <v>0.15</v>
      </c>
      <c r="I109" s="412">
        <f>'BAHAN '!G59</f>
        <v>0</v>
      </c>
      <c r="J109" s="16">
        <f t="shared" si="3"/>
        <v>0</v>
      </c>
    </row>
    <row r="110" spans="1:10" ht="13">
      <c r="A110" s="27"/>
      <c r="B110" s="110"/>
      <c r="D110" s="409"/>
      <c r="E110" s="13" t="s">
        <v>58</v>
      </c>
      <c r="F110" s="14"/>
      <c r="G110" s="410" t="s">
        <v>375</v>
      </c>
      <c r="H110" s="411">
        <v>0.1</v>
      </c>
      <c r="I110" s="412">
        <f>'BAHAN '!G59</f>
        <v>0</v>
      </c>
      <c r="J110" s="16">
        <f t="shared" si="3"/>
        <v>0</v>
      </c>
    </row>
    <row r="111" spans="1:10" ht="13">
      <c r="A111" s="27"/>
      <c r="B111" s="110"/>
      <c r="D111" s="409"/>
      <c r="E111" s="13" t="s">
        <v>59</v>
      </c>
      <c r="F111" s="14"/>
      <c r="G111" s="410" t="s">
        <v>375</v>
      </c>
      <c r="H111" s="411">
        <v>0.15</v>
      </c>
      <c r="I111" s="412">
        <f>'BAHAN '!G49</f>
        <v>0</v>
      </c>
      <c r="J111" s="16">
        <f t="shared" si="3"/>
        <v>0</v>
      </c>
    </row>
    <row r="112" spans="1:10" ht="13">
      <c r="A112" s="27"/>
      <c r="B112" s="110"/>
      <c r="D112" s="409"/>
      <c r="E112" s="13" t="s">
        <v>86</v>
      </c>
      <c r="F112" s="14"/>
      <c r="G112" s="410" t="s">
        <v>87</v>
      </c>
      <c r="H112" s="411">
        <v>30</v>
      </c>
      <c r="I112" s="412">
        <f>'BAHAN '!G15</f>
        <v>0</v>
      </c>
      <c r="J112" s="16">
        <f t="shared" si="3"/>
        <v>0</v>
      </c>
    </row>
    <row r="113" spans="1:10" ht="13">
      <c r="A113" s="27"/>
      <c r="B113" s="110"/>
      <c r="D113" s="409"/>
      <c r="E113" s="13" t="s">
        <v>2880</v>
      </c>
      <c r="F113" s="14"/>
      <c r="G113" s="410" t="s">
        <v>74</v>
      </c>
      <c r="H113" s="411">
        <v>0.25</v>
      </c>
      <c r="I113" s="412">
        <f>'BAHAN '!G242</f>
        <v>0</v>
      </c>
      <c r="J113" s="16">
        <f t="shared" si="3"/>
        <v>0</v>
      </c>
    </row>
    <row r="114" spans="1:10" ht="13">
      <c r="A114" s="27"/>
      <c r="B114" s="110"/>
      <c r="D114" s="409"/>
      <c r="E114" s="13" t="s">
        <v>88</v>
      </c>
      <c r="F114" s="14"/>
      <c r="G114" s="410" t="s">
        <v>87</v>
      </c>
      <c r="H114" s="411">
        <v>2</v>
      </c>
      <c r="I114" s="412">
        <f>'BAHAN '!G757</f>
        <v>0</v>
      </c>
      <c r="J114" s="16">
        <f t="shared" si="3"/>
        <v>0</v>
      </c>
    </row>
    <row r="115" spans="1:10" ht="13">
      <c r="A115" s="27"/>
      <c r="B115" s="110"/>
      <c r="D115" s="409"/>
      <c r="E115" s="13" t="s">
        <v>89</v>
      </c>
      <c r="F115" s="14"/>
      <c r="G115" s="410" t="s">
        <v>376</v>
      </c>
      <c r="H115" s="411">
        <v>0.08</v>
      </c>
      <c r="I115" s="412">
        <f>'BAHAN '!G748</f>
        <v>0</v>
      </c>
      <c r="J115" s="16">
        <f t="shared" si="3"/>
        <v>0</v>
      </c>
    </row>
    <row r="116" spans="1:10" ht="13">
      <c r="A116" s="27"/>
      <c r="B116" s="110"/>
      <c r="D116" s="409"/>
      <c r="E116" s="13" t="s">
        <v>2881</v>
      </c>
      <c r="F116" s="14"/>
      <c r="G116" s="410" t="s">
        <v>87</v>
      </c>
      <c r="H116" s="411">
        <v>0.15</v>
      </c>
      <c r="I116" s="412">
        <f>'BAHAN '!G783</f>
        <v>0</v>
      </c>
      <c r="J116" s="16">
        <f t="shared" si="3"/>
        <v>0</v>
      </c>
    </row>
    <row r="117" spans="1:10" ht="13.5" thickBot="1">
      <c r="A117" s="27"/>
      <c r="B117" s="110"/>
      <c r="D117" s="413"/>
      <c r="E117" s="414" t="s">
        <v>434</v>
      </c>
      <c r="F117" s="429"/>
      <c r="G117" s="415" t="s">
        <v>74</v>
      </c>
      <c r="H117" s="416">
        <v>0.06</v>
      </c>
      <c r="I117" s="412">
        <f>'BAHAN '!G807</f>
        <v>0</v>
      </c>
      <c r="J117" s="16">
        <f t="shared" si="3"/>
        <v>0</v>
      </c>
    </row>
    <row r="118" spans="1:10" ht="13.5" thickBot="1">
      <c r="A118" s="27"/>
      <c r="B118" s="110"/>
      <c r="D118" s="417"/>
      <c r="E118" s="418"/>
      <c r="F118" s="418"/>
      <c r="G118" s="419"/>
      <c r="H118" s="420" t="s">
        <v>64</v>
      </c>
      <c r="I118" s="421"/>
      <c r="J118" s="396">
        <f>SUM(J104:J117)</f>
        <v>0</v>
      </c>
    </row>
    <row r="119" spans="1:10" ht="13.5" thickBot="1">
      <c r="A119" s="27"/>
      <c r="B119" s="110"/>
      <c r="D119" s="431" t="s">
        <v>65</v>
      </c>
      <c r="E119" s="432" t="s">
        <v>66</v>
      </c>
      <c r="F119" s="433"/>
      <c r="G119" s="434"/>
      <c r="H119" s="435"/>
      <c r="I119" s="412">
        <f>IF(AND(E119&lt;&gt;"",G119&lt;&gt;""),IF(D119="",IF(G119="OH",VLOOKUP(E119,UPAH!$C$4:$H$31,7,0),VLOOKUP(E119,#REF!,4,0)),0),0)</f>
        <v>0</v>
      </c>
      <c r="J119" s="16">
        <f>H119*I119</f>
        <v>0</v>
      </c>
    </row>
    <row r="120" spans="1:10" ht="13.5" thickBot="1">
      <c r="A120" s="27"/>
      <c r="B120" s="110"/>
      <c r="D120" s="417"/>
      <c r="E120" s="418"/>
      <c r="F120" s="418"/>
      <c r="G120" s="419"/>
      <c r="H120" s="420" t="s">
        <v>67</v>
      </c>
      <c r="I120" s="421"/>
      <c r="J120" s="396">
        <f>J119</f>
        <v>0</v>
      </c>
    </row>
    <row r="121" spans="1:10" ht="13">
      <c r="A121" s="27"/>
      <c r="B121" s="110"/>
      <c r="D121" s="444" t="s">
        <v>68</v>
      </c>
      <c r="E121" s="445" t="s">
        <v>69</v>
      </c>
      <c r="F121" s="446"/>
      <c r="G121" s="447"/>
      <c r="H121" s="448"/>
      <c r="I121" s="412">
        <f>IF(AND(E121&lt;&gt;"",G121&lt;&gt;""),IF(D121="",IF(G121="OH",VLOOKUP(E121,UPAH!$C$4:$H$31,7,0),VLOOKUP(E121,#REF!,4,0)),0),0)</f>
        <v>0</v>
      </c>
      <c r="J121" s="450">
        <f>SUM(J97:J120)/2</f>
        <v>0</v>
      </c>
    </row>
    <row r="122" spans="1:10" ht="13.5" thickBot="1">
      <c r="A122" s="27"/>
      <c r="B122" s="110"/>
      <c r="D122" s="431" t="s">
        <v>70</v>
      </c>
      <c r="E122" s="432" t="s">
        <v>477</v>
      </c>
      <c r="F122" s="433"/>
      <c r="G122" s="434"/>
      <c r="H122" s="22">
        <v>0.1</v>
      </c>
      <c r="I122" s="441"/>
      <c r="J122" s="430">
        <f>H122*J121</f>
        <v>0</v>
      </c>
    </row>
    <row r="123" spans="1:10" ht="13.5" thickBot="1">
      <c r="A123" s="27"/>
      <c r="B123" s="110"/>
      <c r="D123" s="401" t="s">
        <v>71</v>
      </c>
      <c r="E123" s="402" t="s">
        <v>72</v>
      </c>
      <c r="F123" s="418"/>
      <c r="G123" s="419"/>
      <c r="H123" s="442"/>
      <c r="I123" s="421">
        <f>IF(AND(E123&lt;&gt;"",G123&lt;&gt;""),IF(D123="",IF(G123="OH",VLOOKUP(E123,UPAH!$C$4:$H$31,7,0),VLOOKUP(E123,#REF!,4,0)),0),0)</f>
        <v>0</v>
      </c>
      <c r="J123" s="396">
        <f>ROUNDDOWN(J121+J122,0)</f>
        <v>0</v>
      </c>
    </row>
    <row r="124" spans="1:10" ht="13">
      <c r="A124" s="27"/>
      <c r="B124" s="110"/>
      <c r="D124" s="11"/>
      <c r="E124" s="11"/>
      <c r="H124" s="443"/>
    </row>
    <row r="125" spans="1:10" ht="13.5" thickBot="1">
      <c r="A125" s="27"/>
      <c r="B125" s="110"/>
      <c r="C125" s="10" t="s">
        <v>1804</v>
      </c>
      <c r="D125" s="11" t="s">
        <v>540</v>
      </c>
      <c r="H125" s="443"/>
    </row>
    <row r="126" spans="1:10" ht="13.5" thickBot="1">
      <c r="A126" s="27"/>
      <c r="B126" s="110"/>
      <c r="D126" s="401" t="s">
        <v>40</v>
      </c>
      <c r="E126" s="402" t="s">
        <v>41</v>
      </c>
      <c r="F126" s="402" t="s">
        <v>42</v>
      </c>
      <c r="G126" s="403" t="s">
        <v>43</v>
      </c>
      <c r="H126" s="404" t="s">
        <v>44</v>
      </c>
      <c r="I126" s="402" t="s">
        <v>474</v>
      </c>
      <c r="J126" s="405" t="s">
        <v>475</v>
      </c>
    </row>
    <row r="127" spans="1:10" ht="13">
      <c r="A127" s="27"/>
      <c r="B127" s="110"/>
      <c r="D127" s="444" t="s">
        <v>45</v>
      </c>
      <c r="E127" s="445" t="s">
        <v>46</v>
      </c>
      <c r="F127" s="446"/>
      <c r="G127" s="447"/>
      <c r="H127" s="448"/>
      <c r="I127" s="412">
        <f>IF(AND(E127&lt;&gt;"",G127&lt;&gt;""),IF(D127="",IF(G127="OH",VLOOKUP(E127,UPAH!$C$4:$H$31,7,0),VLOOKUP(E127,#REF!,4,0)),0),0)</f>
        <v>0</v>
      </c>
      <c r="J127" s="16">
        <f>H127*I127</f>
        <v>0</v>
      </c>
    </row>
    <row r="128" spans="1:10" ht="13">
      <c r="A128" s="27"/>
      <c r="B128" s="110"/>
      <c r="D128" s="409"/>
      <c r="E128" s="13" t="s">
        <v>47</v>
      </c>
      <c r="F128" s="13" t="s">
        <v>1918</v>
      </c>
      <c r="G128" s="410" t="s">
        <v>48</v>
      </c>
      <c r="H128" s="411">
        <v>1</v>
      </c>
      <c r="I128" s="412">
        <f>IF(AND(E128&lt;&gt;"",G128&lt;&gt;""),IF(D128="",IF(G128="OH",VLOOKUP(F128,UPAH!$B$4:$H$101,7,0),VLOOKUP(E128,#REF!,4,0)),0),0)</f>
        <v>0</v>
      </c>
      <c r="J128" s="16">
        <f>H128*I128</f>
        <v>0</v>
      </c>
    </row>
    <row r="129" spans="1:10" ht="13">
      <c r="A129" s="27"/>
      <c r="B129" s="110"/>
      <c r="D129" s="409"/>
      <c r="E129" s="13" t="s">
        <v>476</v>
      </c>
      <c r="F129" s="13" t="s">
        <v>1922</v>
      </c>
      <c r="G129" s="410" t="s">
        <v>48</v>
      </c>
      <c r="H129" s="411">
        <v>1.5</v>
      </c>
      <c r="I129" s="412">
        <f>IF(AND(E129&lt;&gt;"",G129&lt;&gt;""),IF(D129="",IF(G129="OH",VLOOKUP(F129,UPAH!$B$4:$H$101,7,0),VLOOKUP(E129,#REF!,4,0)),0),0)</f>
        <v>0</v>
      </c>
      <c r="J129" s="16">
        <f>H129*I129</f>
        <v>0</v>
      </c>
    </row>
    <row r="130" spans="1:10" ht="13">
      <c r="A130" s="27"/>
      <c r="B130" s="110"/>
      <c r="D130" s="409"/>
      <c r="E130" s="13" t="s">
        <v>50</v>
      </c>
      <c r="F130" s="13" t="s">
        <v>1928</v>
      </c>
      <c r="G130" s="410" t="s">
        <v>48</v>
      </c>
      <c r="H130" s="411">
        <v>0.15</v>
      </c>
      <c r="I130" s="412">
        <f>IF(AND(E130&lt;&gt;"",G130&lt;&gt;""),IF(D130="",IF(G130="OH",VLOOKUP(F130,UPAH!$B$4:$H$101,7,0),VLOOKUP(E130,#REF!,4,0)),0),0)</f>
        <v>0</v>
      </c>
      <c r="J130" s="16">
        <f>H130*I130</f>
        <v>0</v>
      </c>
    </row>
    <row r="131" spans="1:10" ht="13.5" thickBot="1">
      <c r="A131" s="27"/>
      <c r="B131" s="110"/>
      <c r="D131" s="413"/>
      <c r="E131" s="414" t="s">
        <v>51</v>
      </c>
      <c r="F131" s="414" t="s">
        <v>1929</v>
      </c>
      <c r="G131" s="415" t="s">
        <v>48</v>
      </c>
      <c r="H131" s="416">
        <v>0.05</v>
      </c>
      <c r="I131" s="412">
        <f>IF(AND(E131&lt;&gt;"",G131&lt;&gt;""),IF(D131="",IF(G131="OH",VLOOKUP(F131,UPAH!$B$4:$H$101,7,0),VLOOKUP(E131,#REF!,4,0)),0),0)</f>
        <v>0</v>
      </c>
      <c r="J131" s="16">
        <f>H131*I131</f>
        <v>0</v>
      </c>
    </row>
    <row r="132" spans="1:10" ht="13.5" thickBot="1">
      <c r="A132" s="27"/>
      <c r="B132" s="110"/>
      <c r="D132" s="417"/>
      <c r="E132" s="418"/>
      <c r="F132" s="418"/>
      <c r="G132" s="419"/>
      <c r="H132" s="420" t="s">
        <v>52</v>
      </c>
      <c r="I132" s="421"/>
      <c r="J132" s="396">
        <f>SUM(J126:J131)</f>
        <v>0</v>
      </c>
    </row>
    <row r="133" spans="1:10" ht="13">
      <c r="A133" s="27"/>
      <c r="B133" s="110"/>
      <c r="D133" s="422" t="s">
        <v>53</v>
      </c>
      <c r="E133" s="423" t="s">
        <v>54</v>
      </c>
      <c r="F133" s="424"/>
      <c r="G133" s="425"/>
      <c r="H133" s="426"/>
      <c r="I133" s="412"/>
      <c r="J133" s="16"/>
    </row>
    <row r="134" spans="1:10" ht="13">
      <c r="A134" s="27"/>
      <c r="B134" s="110"/>
      <c r="D134" s="409"/>
      <c r="E134" s="13" t="s">
        <v>471</v>
      </c>
      <c r="F134" s="14"/>
      <c r="G134" s="410" t="s">
        <v>55</v>
      </c>
      <c r="H134" s="411">
        <v>3</v>
      </c>
      <c r="I134" s="412">
        <f>'BAHAN '!G794</f>
        <v>0</v>
      </c>
      <c r="J134" s="16">
        <f>H134*I134</f>
        <v>0</v>
      </c>
    </row>
    <row r="135" spans="1:10" ht="13">
      <c r="A135" s="27"/>
      <c r="B135" s="110"/>
      <c r="D135" s="409"/>
      <c r="E135" s="13" t="s">
        <v>2882</v>
      </c>
      <c r="F135" s="14"/>
      <c r="G135" s="410" t="s">
        <v>375</v>
      </c>
      <c r="H135" s="411">
        <v>0.27600000000000002</v>
      </c>
      <c r="I135" s="412">
        <f>'BAHAN '!G200</f>
        <v>0</v>
      </c>
      <c r="J135" s="16">
        <f>H135*I135</f>
        <v>0</v>
      </c>
    </row>
    <row r="136" spans="1:10" ht="13">
      <c r="A136" s="27"/>
      <c r="B136" s="110"/>
      <c r="D136" s="409"/>
      <c r="E136" s="13" t="s">
        <v>83</v>
      </c>
      <c r="F136" s="14"/>
      <c r="G136" s="410" t="s">
        <v>57</v>
      </c>
      <c r="H136" s="411">
        <v>0.7</v>
      </c>
      <c r="I136" s="412">
        <f>'BAHAN '!G127</f>
        <v>0</v>
      </c>
      <c r="J136" s="16">
        <f>H136*I136</f>
        <v>0</v>
      </c>
    </row>
    <row r="137" spans="1:10" ht="13.5" thickBot="1">
      <c r="A137" s="27"/>
      <c r="B137" s="110"/>
      <c r="D137" s="413"/>
      <c r="E137" s="414" t="s">
        <v>73</v>
      </c>
      <c r="F137" s="429"/>
      <c r="G137" s="415" t="s">
        <v>74</v>
      </c>
      <c r="H137" s="416">
        <v>1.5</v>
      </c>
      <c r="I137" s="412">
        <f>'BAHAN '!G238</f>
        <v>0</v>
      </c>
      <c r="J137" s="16">
        <f>H137*I137</f>
        <v>0</v>
      </c>
    </row>
    <row r="138" spans="1:10" ht="13.5" thickBot="1">
      <c r="A138" s="27"/>
      <c r="B138" s="110"/>
      <c r="D138" s="417"/>
      <c r="E138" s="418"/>
      <c r="F138" s="418"/>
      <c r="G138" s="419"/>
      <c r="H138" s="420" t="s">
        <v>64</v>
      </c>
      <c r="I138" s="421"/>
      <c r="J138" s="396">
        <f>SUM(J133:J137)</f>
        <v>0</v>
      </c>
    </row>
    <row r="139" spans="1:10" ht="13.5" thickBot="1">
      <c r="A139" s="27"/>
      <c r="B139" s="110"/>
      <c r="D139" s="431" t="s">
        <v>65</v>
      </c>
      <c r="E139" s="432" t="s">
        <v>66</v>
      </c>
      <c r="F139" s="433"/>
      <c r="G139" s="434"/>
      <c r="H139" s="435"/>
      <c r="I139" s="412">
        <f>IF(AND(E139&lt;&gt;"",G139&lt;&gt;""),IF(D139="",IF(G139="OH",VLOOKUP(E139,UPAH!$C$4:$H$31,7,0),VLOOKUP(E139,#REF!,4,0)),0),0)</f>
        <v>0</v>
      </c>
      <c r="J139" s="16">
        <f>H139*I139</f>
        <v>0</v>
      </c>
    </row>
    <row r="140" spans="1:10" ht="13.5" thickBot="1">
      <c r="A140" s="27"/>
      <c r="B140" s="110"/>
      <c r="D140" s="417"/>
      <c r="E140" s="418"/>
      <c r="F140" s="418"/>
      <c r="G140" s="419"/>
      <c r="H140" s="420" t="s">
        <v>67</v>
      </c>
      <c r="I140" s="421"/>
      <c r="J140" s="396">
        <f>J139</f>
        <v>0</v>
      </c>
    </row>
    <row r="141" spans="1:10" ht="13">
      <c r="A141" s="27"/>
      <c r="B141" s="110"/>
      <c r="D141" s="444" t="s">
        <v>68</v>
      </c>
      <c r="E141" s="445" t="s">
        <v>69</v>
      </c>
      <c r="F141" s="446"/>
      <c r="G141" s="447"/>
      <c r="H141" s="448"/>
      <c r="I141" s="412">
        <f>IF(AND(E141&lt;&gt;"",G141&lt;&gt;""),IF(D141="",IF(G141="OH",VLOOKUP(E141,UPAH!$C$4:$H$31,7,0),VLOOKUP(E141,#REF!,4,0)),0),0)</f>
        <v>0</v>
      </c>
      <c r="J141" s="16">
        <f>SUM(J128:J139)/2</f>
        <v>0</v>
      </c>
    </row>
    <row r="142" spans="1:10" ht="13.5" thickBot="1">
      <c r="A142" s="27"/>
      <c r="B142" s="110"/>
      <c r="D142" s="431" t="s">
        <v>70</v>
      </c>
      <c r="E142" s="432" t="s">
        <v>477</v>
      </c>
      <c r="F142" s="433"/>
      <c r="G142" s="434"/>
      <c r="H142" s="22">
        <v>0.1</v>
      </c>
      <c r="I142" s="441"/>
      <c r="J142" s="430">
        <f>H142*J141</f>
        <v>0</v>
      </c>
    </row>
    <row r="143" spans="1:10" ht="13.5" thickBot="1">
      <c r="A143" s="27"/>
      <c r="B143" s="110"/>
      <c r="D143" s="401" t="s">
        <v>71</v>
      </c>
      <c r="E143" s="402" t="s">
        <v>72</v>
      </c>
      <c r="F143" s="418"/>
      <c r="G143" s="419"/>
      <c r="H143" s="442"/>
      <c r="I143" s="421">
        <f>IF(AND(E143&lt;&gt;"",G143&lt;&gt;""),IF(D143="",IF(G143="OH",VLOOKUP(E143,UPAH!$C$4:$H$31,7,0),VLOOKUP(E143,#REF!,4,0)),0),0)</f>
        <v>0</v>
      </c>
      <c r="J143" s="396">
        <f>ROUNDDOWN(J141+J142,0)</f>
        <v>0</v>
      </c>
    </row>
    <row r="144" spans="1:10" ht="13">
      <c r="A144" s="27"/>
      <c r="B144" s="110"/>
      <c r="D144" s="11"/>
      <c r="E144" s="11"/>
      <c r="H144" s="443"/>
    </row>
    <row r="145" spans="1:10" ht="13.5" thickBot="1">
      <c r="A145" s="27"/>
      <c r="B145" s="110"/>
      <c r="C145" s="10" t="s">
        <v>1805</v>
      </c>
      <c r="D145" s="11" t="s">
        <v>541</v>
      </c>
      <c r="H145" s="443"/>
    </row>
    <row r="146" spans="1:10" ht="13.5" thickBot="1">
      <c r="A146" s="27"/>
      <c r="B146" s="110"/>
      <c r="D146" s="401" t="s">
        <v>40</v>
      </c>
      <c r="E146" s="402" t="s">
        <v>41</v>
      </c>
      <c r="F146" s="402" t="s">
        <v>42</v>
      </c>
      <c r="G146" s="403" t="s">
        <v>43</v>
      </c>
      <c r="H146" s="404" t="s">
        <v>44</v>
      </c>
      <c r="I146" s="402" t="s">
        <v>474</v>
      </c>
      <c r="J146" s="405" t="s">
        <v>475</v>
      </c>
    </row>
    <row r="147" spans="1:10" ht="13">
      <c r="A147" s="27"/>
      <c r="B147" s="110"/>
      <c r="D147" s="444" t="s">
        <v>45</v>
      </c>
      <c r="E147" s="445" t="s">
        <v>46</v>
      </c>
      <c r="F147" s="446"/>
      <c r="G147" s="447"/>
      <c r="H147" s="448"/>
      <c r="I147" s="412">
        <f>IF(AND(E147&lt;&gt;"",G147&lt;&gt;""),IF(D147="",IF(G147="OH",VLOOKUP(E147,UPAH!$C$4:$H$31,7,0),VLOOKUP(E147,#REF!,4,0)),0),0)</f>
        <v>0</v>
      </c>
      <c r="J147" s="16">
        <f>H147*I147</f>
        <v>0</v>
      </c>
    </row>
    <row r="148" spans="1:10" ht="13">
      <c r="A148" s="27"/>
      <c r="B148" s="110"/>
      <c r="D148" s="409"/>
      <c r="E148" s="13" t="s">
        <v>47</v>
      </c>
      <c r="F148" s="13" t="s">
        <v>1918</v>
      </c>
      <c r="G148" s="410" t="s">
        <v>48</v>
      </c>
      <c r="H148" s="411">
        <v>1</v>
      </c>
      <c r="I148" s="412">
        <f>IF(AND(E148&lt;&gt;"",G148&lt;&gt;""),IF(D148="",IF(G148="OH",VLOOKUP(F148,UPAH!$B$4:$H$101,7,0),VLOOKUP(E148,#REF!,4,0)),0),0)</f>
        <v>0</v>
      </c>
      <c r="J148" s="16">
        <f>H148*I148</f>
        <v>0</v>
      </c>
    </row>
    <row r="149" spans="1:10" ht="13">
      <c r="A149" s="27"/>
      <c r="B149" s="110"/>
      <c r="D149" s="409"/>
      <c r="E149" s="13" t="s">
        <v>476</v>
      </c>
      <c r="F149" s="13" t="s">
        <v>1922</v>
      </c>
      <c r="G149" s="410" t="s">
        <v>48</v>
      </c>
      <c r="H149" s="411">
        <v>2</v>
      </c>
      <c r="I149" s="412">
        <f>IF(AND(E149&lt;&gt;"",G149&lt;&gt;""),IF(D149="",IF(G149="OH",VLOOKUP(F149,UPAH!$B$4:$H$101,7,0),VLOOKUP(E149,#REF!,4,0)),0),0)</f>
        <v>0</v>
      </c>
      <c r="J149" s="16">
        <f>H149*I149</f>
        <v>0</v>
      </c>
    </row>
    <row r="150" spans="1:10" ht="13">
      <c r="A150" s="27"/>
      <c r="B150" s="110"/>
      <c r="D150" s="409"/>
      <c r="E150" s="13" t="s">
        <v>97</v>
      </c>
      <c r="F150" s="13" t="s">
        <v>1928</v>
      </c>
      <c r="G150" s="410" t="s">
        <v>48</v>
      </c>
      <c r="H150" s="411">
        <v>0.2</v>
      </c>
      <c r="I150" s="412">
        <f>IF(AND(E150&lt;&gt;"",G150&lt;&gt;""),IF(D150="",IF(G150="OH",VLOOKUP(F150,UPAH!$B$4:$H$101,7,0),VLOOKUP(E150,#REF!,4,0)),0),0)</f>
        <v>0</v>
      </c>
      <c r="J150" s="16">
        <f>H150*I150</f>
        <v>0</v>
      </c>
    </row>
    <row r="151" spans="1:10" ht="13.5" thickBot="1">
      <c r="A151" s="27"/>
      <c r="B151" s="110"/>
      <c r="D151" s="413"/>
      <c r="E151" s="414" t="s">
        <v>51</v>
      </c>
      <c r="F151" s="414" t="s">
        <v>1929</v>
      </c>
      <c r="G151" s="415" t="s">
        <v>48</v>
      </c>
      <c r="H151" s="416">
        <v>0.05</v>
      </c>
      <c r="I151" s="412">
        <f>IF(AND(E151&lt;&gt;"",G151&lt;&gt;""),IF(D151="",IF(G151="OH",VLOOKUP(F151,UPAH!$B$4:$H$101,7,0),VLOOKUP(E151,#REF!,4,0)),0),0)</f>
        <v>0</v>
      </c>
      <c r="J151" s="16">
        <f>H151*I151</f>
        <v>0</v>
      </c>
    </row>
    <row r="152" spans="1:10" ht="13.5" thickBot="1">
      <c r="A152" s="27"/>
      <c r="B152" s="110"/>
      <c r="D152" s="417"/>
      <c r="E152" s="418"/>
      <c r="F152" s="418"/>
      <c r="G152" s="419"/>
      <c r="H152" s="420" t="s">
        <v>52</v>
      </c>
      <c r="I152" s="421"/>
      <c r="J152" s="396">
        <f>SUM(J146:J151)</f>
        <v>0</v>
      </c>
    </row>
    <row r="153" spans="1:10" ht="13">
      <c r="A153" s="27"/>
      <c r="B153" s="110"/>
      <c r="D153" s="422" t="s">
        <v>53</v>
      </c>
      <c r="E153" s="423" t="s">
        <v>54</v>
      </c>
      <c r="F153" s="424"/>
      <c r="G153" s="425"/>
      <c r="H153" s="426"/>
      <c r="I153" s="412">
        <f>IF(AND(E153&lt;&gt;"",G153&lt;&gt;""),IF(D153="",IF(G153="OH",VLOOKUP(E153,UPAH!$C$4:$H$31,7,0),VLOOKUP(E153,#REF!,4,0)),0),0)</f>
        <v>0</v>
      </c>
      <c r="J153" s="16">
        <f t="shared" ref="J153:J161" si="4">H153*I153</f>
        <v>0</v>
      </c>
    </row>
    <row r="154" spans="1:10" ht="13">
      <c r="A154" s="27"/>
      <c r="B154" s="110"/>
      <c r="D154" s="409"/>
      <c r="E154" s="13" t="s">
        <v>471</v>
      </c>
      <c r="F154" s="14"/>
      <c r="G154" s="410" t="s">
        <v>55</v>
      </c>
      <c r="H154" s="411">
        <v>1.7</v>
      </c>
      <c r="I154" s="412">
        <f>'BAHAN '!G794</f>
        <v>0</v>
      </c>
      <c r="J154" s="16">
        <f t="shared" si="4"/>
        <v>0</v>
      </c>
    </row>
    <row r="155" spans="1:10" ht="13">
      <c r="A155" s="27"/>
      <c r="B155" s="110"/>
      <c r="D155" s="409"/>
      <c r="E155" s="13" t="s">
        <v>2882</v>
      </c>
      <c r="F155" s="14"/>
      <c r="G155" s="410" t="s">
        <v>375</v>
      </c>
      <c r="H155" s="411">
        <v>0.21</v>
      </c>
      <c r="I155" s="412">
        <f>'BAHAN '!G200</f>
        <v>0</v>
      </c>
      <c r="J155" s="16">
        <f t="shared" si="4"/>
        <v>0</v>
      </c>
    </row>
    <row r="156" spans="1:10" ht="13">
      <c r="A156" s="27"/>
      <c r="B156" s="110"/>
      <c r="D156" s="409"/>
      <c r="E156" s="13" t="s">
        <v>83</v>
      </c>
      <c r="F156" s="14"/>
      <c r="G156" s="410" t="s">
        <v>57</v>
      </c>
      <c r="H156" s="411">
        <v>0.3</v>
      </c>
      <c r="I156" s="412">
        <f>'BAHAN '!G127</f>
        <v>0</v>
      </c>
      <c r="J156" s="16">
        <f t="shared" si="4"/>
        <v>0</v>
      </c>
    </row>
    <row r="157" spans="1:10" ht="13">
      <c r="A157" s="27"/>
      <c r="B157" s="110"/>
      <c r="D157" s="409"/>
      <c r="E157" s="13" t="s">
        <v>56</v>
      </c>
      <c r="F157" s="14"/>
      <c r="G157" s="410" t="s">
        <v>57</v>
      </c>
      <c r="H157" s="411">
        <v>10.5</v>
      </c>
      <c r="I157" s="412">
        <f>'BAHAN '!G72</f>
        <v>0</v>
      </c>
      <c r="J157" s="16">
        <f t="shared" si="4"/>
        <v>0</v>
      </c>
    </row>
    <row r="158" spans="1:10" ht="13">
      <c r="A158" s="27"/>
      <c r="B158" s="110"/>
      <c r="D158" s="409"/>
      <c r="E158" s="13" t="s">
        <v>58</v>
      </c>
      <c r="F158" s="14"/>
      <c r="G158" s="410" t="s">
        <v>375</v>
      </c>
      <c r="H158" s="411">
        <v>0.03</v>
      </c>
      <c r="I158" s="412">
        <f>'BAHAN '!G59</f>
        <v>0</v>
      </c>
      <c r="J158" s="16">
        <f t="shared" si="4"/>
        <v>0</v>
      </c>
    </row>
    <row r="159" spans="1:10" ht="13">
      <c r="A159" s="27"/>
      <c r="B159" s="110"/>
      <c r="D159" s="409"/>
      <c r="E159" s="13" t="s">
        <v>59</v>
      </c>
      <c r="F159" s="14"/>
      <c r="G159" s="410" t="s">
        <v>375</v>
      </c>
      <c r="H159" s="411">
        <v>0.05</v>
      </c>
      <c r="I159" s="412">
        <f>'BAHAN '!G49</f>
        <v>0</v>
      </c>
      <c r="J159" s="16">
        <f t="shared" si="4"/>
        <v>0</v>
      </c>
    </row>
    <row r="160" spans="1:10" ht="13">
      <c r="A160" s="27"/>
      <c r="B160" s="110"/>
      <c r="D160" s="409"/>
      <c r="E160" s="13" t="s">
        <v>73</v>
      </c>
      <c r="F160" s="14"/>
      <c r="G160" s="410" t="s">
        <v>74</v>
      </c>
      <c r="H160" s="411">
        <v>1.5</v>
      </c>
      <c r="I160" s="412">
        <f>'BAHAN '!G238</f>
        <v>0</v>
      </c>
      <c r="J160" s="16">
        <f t="shared" si="4"/>
        <v>0</v>
      </c>
    </row>
    <row r="161" spans="1:10" ht="13.5" thickBot="1">
      <c r="A161" s="27"/>
      <c r="B161" s="110"/>
      <c r="D161" s="413"/>
      <c r="E161" s="414" t="s">
        <v>443</v>
      </c>
      <c r="F161" s="429"/>
      <c r="G161" s="415" t="s">
        <v>74</v>
      </c>
      <c r="H161" s="416">
        <v>0.25</v>
      </c>
      <c r="I161" s="412">
        <f>'BAHAN '!G244</f>
        <v>0</v>
      </c>
      <c r="J161" s="16">
        <f t="shared" si="4"/>
        <v>0</v>
      </c>
    </row>
    <row r="162" spans="1:10" ht="13.5" thickBot="1">
      <c r="A162" s="27"/>
      <c r="B162" s="110"/>
      <c r="D162" s="417"/>
      <c r="E162" s="418"/>
      <c r="F162" s="418"/>
      <c r="G162" s="419"/>
      <c r="H162" s="420" t="s">
        <v>64</v>
      </c>
      <c r="I162" s="421"/>
      <c r="J162" s="396">
        <f>SUM(J154:J161)</f>
        <v>0</v>
      </c>
    </row>
    <row r="163" spans="1:10" ht="13.5" thickBot="1">
      <c r="A163" s="27"/>
      <c r="B163" s="110"/>
      <c r="D163" s="431" t="s">
        <v>65</v>
      </c>
      <c r="E163" s="432" t="s">
        <v>66</v>
      </c>
      <c r="F163" s="433"/>
      <c r="G163" s="434"/>
      <c r="H163" s="435"/>
      <c r="I163" s="412">
        <f>IF(AND(E163&lt;&gt;"",G163&lt;&gt;""),IF(D163="",IF(G163="OH",VLOOKUP(E163,UPAH!$C$4:$H$31,7,0),VLOOKUP(E163,#REF!,4,0)),0),0)</f>
        <v>0</v>
      </c>
      <c r="J163" s="16">
        <f>H163*I163</f>
        <v>0</v>
      </c>
    </row>
    <row r="164" spans="1:10" ht="13.5" thickBot="1">
      <c r="A164" s="27"/>
      <c r="B164" s="110"/>
      <c r="D164" s="417"/>
      <c r="E164" s="418"/>
      <c r="F164" s="418"/>
      <c r="G164" s="419"/>
      <c r="H164" s="420" t="s">
        <v>67</v>
      </c>
      <c r="I164" s="421"/>
      <c r="J164" s="396">
        <f>J163</f>
        <v>0</v>
      </c>
    </row>
    <row r="165" spans="1:10" ht="13">
      <c r="A165" s="27"/>
      <c r="B165" s="110"/>
      <c r="D165" s="444" t="s">
        <v>68</v>
      </c>
      <c r="E165" s="445" t="s">
        <v>69</v>
      </c>
      <c r="F165" s="446"/>
      <c r="G165" s="447"/>
      <c r="H165" s="448"/>
      <c r="I165" s="449">
        <f>IF(AND(E165&lt;&gt;"",G165&lt;&gt;""),IF(D165="",IF(G165="OH",VLOOKUP(E165,UPAH!$C$4:$H$31,7,0),VLOOKUP(E165,#REF!,4,0)),0),0)</f>
        <v>0</v>
      </c>
      <c r="J165" s="16">
        <f>SUM(J148:J164)/2</f>
        <v>0</v>
      </c>
    </row>
    <row r="166" spans="1:10" ht="13.5" thickBot="1">
      <c r="A166" s="27"/>
      <c r="B166" s="110"/>
      <c r="D166" s="431" t="s">
        <v>70</v>
      </c>
      <c r="E166" s="432" t="s">
        <v>477</v>
      </c>
      <c r="F166" s="433"/>
      <c r="G166" s="434"/>
      <c r="H166" s="22">
        <v>0.1</v>
      </c>
      <c r="I166" s="436"/>
      <c r="J166" s="430">
        <f>H166*J165</f>
        <v>0</v>
      </c>
    </row>
    <row r="167" spans="1:10" ht="13.5" thickBot="1">
      <c r="A167" s="27"/>
      <c r="B167" s="110"/>
      <c r="D167" s="401" t="s">
        <v>71</v>
      </c>
      <c r="E167" s="402" t="s">
        <v>72</v>
      </c>
      <c r="F167" s="418"/>
      <c r="G167" s="419"/>
      <c r="H167" s="442"/>
      <c r="I167" s="421">
        <f>IF(AND(E167&lt;&gt;"",G167&lt;&gt;""),IF(D167="",IF(G167="OH",VLOOKUP(E167,UPAH!$C$4:$H$31,7,0),VLOOKUP(E167,#REF!,4,0)),0),0)</f>
        <v>0</v>
      </c>
      <c r="J167" s="396">
        <f>ROUNDDOWN(J165+J166,0)</f>
        <v>0</v>
      </c>
    </row>
    <row r="168" spans="1:10" ht="13">
      <c r="A168" s="27"/>
      <c r="B168" s="110"/>
      <c r="D168" s="11"/>
      <c r="E168" s="11"/>
      <c r="H168" s="443"/>
    </row>
    <row r="169" spans="1:10" ht="13.5" thickBot="1">
      <c r="A169" s="27"/>
      <c r="B169" s="110"/>
      <c r="C169" s="10" t="s">
        <v>1806</v>
      </c>
      <c r="D169" s="11" t="s">
        <v>542</v>
      </c>
      <c r="H169" s="443"/>
    </row>
    <row r="170" spans="1:10" ht="13.5" thickBot="1">
      <c r="A170" s="27"/>
      <c r="B170" s="110"/>
      <c r="D170" s="401" t="s">
        <v>40</v>
      </c>
      <c r="E170" s="402" t="s">
        <v>41</v>
      </c>
      <c r="F170" s="402" t="s">
        <v>42</v>
      </c>
      <c r="G170" s="403" t="s">
        <v>43</v>
      </c>
      <c r="H170" s="404" t="s">
        <v>44</v>
      </c>
      <c r="I170" s="402" t="s">
        <v>474</v>
      </c>
      <c r="J170" s="405" t="s">
        <v>475</v>
      </c>
    </row>
    <row r="171" spans="1:10" ht="13">
      <c r="A171" s="27"/>
      <c r="B171" s="110"/>
      <c r="D171" s="444" t="s">
        <v>45</v>
      </c>
      <c r="E171" s="445" t="s">
        <v>46</v>
      </c>
      <c r="F171" s="446"/>
      <c r="G171" s="447"/>
      <c r="H171" s="448"/>
      <c r="I171" s="412"/>
      <c r="J171" s="16"/>
    </row>
    <row r="172" spans="1:10" ht="13">
      <c r="A172" s="27"/>
      <c r="B172" s="110"/>
      <c r="D172" s="409"/>
      <c r="E172" s="13" t="s">
        <v>47</v>
      </c>
      <c r="F172" s="13" t="s">
        <v>1918</v>
      </c>
      <c r="G172" s="410" t="s">
        <v>48</v>
      </c>
      <c r="H172" s="411">
        <v>1</v>
      </c>
      <c r="I172" s="412">
        <f>IF(AND(E172&lt;&gt;"",G172&lt;&gt;""),IF(D172="",IF(G172="OH",VLOOKUP(F172,UPAH!$B$4:$H$101,7,0),VLOOKUP(E172,#REF!,4,0)),0),0)</f>
        <v>0</v>
      </c>
      <c r="J172" s="16">
        <f>H172*I172</f>
        <v>0</v>
      </c>
    </row>
    <row r="173" spans="1:10" ht="13">
      <c r="A173" s="27"/>
      <c r="B173" s="110"/>
      <c r="D173" s="409"/>
      <c r="E173" s="13" t="s">
        <v>476</v>
      </c>
      <c r="F173" s="13" t="s">
        <v>1922</v>
      </c>
      <c r="G173" s="410" t="s">
        <v>48</v>
      </c>
      <c r="H173" s="411">
        <v>2</v>
      </c>
      <c r="I173" s="412">
        <f>IF(AND(E173&lt;&gt;"",G173&lt;&gt;""),IF(D173="",IF(G173="OH",VLOOKUP(F173,UPAH!$B$4:$H$101,7,0),VLOOKUP(E173,#REF!,4,0)),0),0)</f>
        <v>0</v>
      </c>
      <c r="J173" s="16">
        <f>H173*I173</f>
        <v>0</v>
      </c>
    </row>
    <row r="174" spans="1:10" ht="13">
      <c r="A174" s="27"/>
      <c r="B174" s="110"/>
      <c r="D174" s="409"/>
      <c r="E174" s="13" t="s">
        <v>97</v>
      </c>
      <c r="F174" s="13" t="s">
        <v>1928</v>
      </c>
      <c r="G174" s="410" t="s">
        <v>48</v>
      </c>
      <c r="H174" s="411">
        <v>0.2</v>
      </c>
      <c r="I174" s="412">
        <f>IF(AND(E174&lt;&gt;"",G174&lt;&gt;""),IF(D174="",IF(G174="OH",VLOOKUP(F174,UPAH!$B$4:$H$101,7,0),VLOOKUP(E174,#REF!,4,0)),0),0)</f>
        <v>0</v>
      </c>
      <c r="J174" s="16">
        <f>H174*I174</f>
        <v>0</v>
      </c>
    </row>
    <row r="175" spans="1:10" ht="13.5" thickBot="1">
      <c r="A175" s="27"/>
      <c r="B175" s="110"/>
      <c r="D175" s="413"/>
      <c r="E175" s="414" t="s">
        <v>51</v>
      </c>
      <c r="F175" s="414" t="s">
        <v>1929</v>
      </c>
      <c r="G175" s="415" t="s">
        <v>48</v>
      </c>
      <c r="H175" s="416">
        <v>0.05</v>
      </c>
      <c r="I175" s="412">
        <f>IF(AND(E175&lt;&gt;"",G175&lt;&gt;""),IF(D175="",IF(G175="OH",VLOOKUP(F175,UPAH!$B$4:$H$101,7,0),VLOOKUP(E175,#REF!,4,0)),0),0)</f>
        <v>0</v>
      </c>
      <c r="J175" s="16">
        <f>H175*I175</f>
        <v>0</v>
      </c>
    </row>
    <row r="176" spans="1:10" ht="13.5" thickBot="1">
      <c r="A176" s="27"/>
      <c r="B176" s="110"/>
      <c r="D176" s="417"/>
      <c r="E176" s="418"/>
      <c r="F176" s="418"/>
      <c r="G176" s="419"/>
      <c r="H176" s="420" t="s">
        <v>52</v>
      </c>
      <c r="I176" s="421"/>
      <c r="J176" s="396">
        <f>SUM(J170:J175)</f>
        <v>0</v>
      </c>
    </row>
    <row r="177" spans="1:10" ht="13">
      <c r="A177" s="27"/>
      <c r="B177" s="110"/>
      <c r="D177" s="422" t="s">
        <v>53</v>
      </c>
      <c r="E177" s="423" t="s">
        <v>54</v>
      </c>
      <c r="F177" s="424"/>
      <c r="G177" s="425"/>
      <c r="H177" s="426"/>
      <c r="I177" s="412"/>
      <c r="J177" s="16"/>
    </row>
    <row r="178" spans="1:10" ht="13">
      <c r="A178" s="27"/>
      <c r="B178" s="110"/>
      <c r="D178" s="409"/>
      <c r="E178" s="13" t="s">
        <v>471</v>
      </c>
      <c r="F178" s="14"/>
      <c r="G178" s="410" t="s">
        <v>55</v>
      </c>
      <c r="H178" s="411">
        <v>1.25</v>
      </c>
      <c r="I178" s="412">
        <f>'BAHAN '!G794</f>
        <v>0</v>
      </c>
      <c r="J178" s="16">
        <f t="shared" ref="J178:J185" si="5">H178*I178</f>
        <v>0</v>
      </c>
    </row>
    <row r="179" spans="1:10" ht="13">
      <c r="A179" s="27"/>
      <c r="B179" s="110"/>
      <c r="D179" s="409"/>
      <c r="E179" s="13" t="s">
        <v>82</v>
      </c>
      <c r="F179" s="14"/>
      <c r="G179" s="410" t="s">
        <v>375</v>
      </c>
      <c r="H179" s="411">
        <v>0.186</v>
      </c>
      <c r="I179" s="412">
        <f>'BAHAN '!G200</f>
        <v>0</v>
      </c>
      <c r="J179" s="16">
        <f t="shared" si="5"/>
        <v>0</v>
      </c>
    </row>
    <row r="180" spans="1:10" ht="13">
      <c r="A180" s="27"/>
      <c r="B180" s="110"/>
      <c r="D180" s="409"/>
      <c r="E180" s="13" t="s">
        <v>83</v>
      </c>
      <c r="F180" s="14"/>
      <c r="G180" s="410" t="s">
        <v>57</v>
      </c>
      <c r="H180" s="411">
        <v>0.3</v>
      </c>
      <c r="I180" s="412">
        <f>'BAHAN '!G127</f>
        <v>0</v>
      </c>
      <c r="J180" s="16">
        <f t="shared" si="5"/>
        <v>0</v>
      </c>
    </row>
    <row r="181" spans="1:10" ht="13">
      <c r="A181" s="27"/>
      <c r="B181" s="110"/>
      <c r="D181" s="409"/>
      <c r="E181" s="13" t="s">
        <v>56</v>
      </c>
      <c r="F181" s="14"/>
      <c r="G181" s="410" t="s">
        <v>57</v>
      </c>
      <c r="H181" s="411">
        <v>18</v>
      </c>
      <c r="I181" s="412">
        <f>'BAHAN '!G72</f>
        <v>0</v>
      </c>
      <c r="J181" s="16">
        <f t="shared" si="5"/>
        <v>0</v>
      </c>
    </row>
    <row r="182" spans="1:10" ht="13">
      <c r="A182" s="27"/>
      <c r="B182" s="110"/>
      <c r="D182" s="409"/>
      <c r="E182" s="13" t="s">
        <v>58</v>
      </c>
      <c r="F182" s="14"/>
      <c r="G182" s="410" t="s">
        <v>375</v>
      </c>
      <c r="H182" s="411">
        <v>0.03</v>
      </c>
      <c r="I182" s="412">
        <f>'BAHAN '!G59</f>
        <v>0</v>
      </c>
      <c r="J182" s="16">
        <f t="shared" si="5"/>
        <v>0</v>
      </c>
    </row>
    <row r="183" spans="1:10" ht="13">
      <c r="A183" s="27"/>
      <c r="B183" s="110"/>
      <c r="D183" s="409"/>
      <c r="E183" s="13" t="s">
        <v>59</v>
      </c>
      <c r="F183" s="14"/>
      <c r="G183" s="410" t="s">
        <v>375</v>
      </c>
      <c r="H183" s="411">
        <v>0.05</v>
      </c>
      <c r="I183" s="412">
        <f>'BAHAN '!G49</f>
        <v>0</v>
      </c>
      <c r="J183" s="16">
        <f t="shared" si="5"/>
        <v>0</v>
      </c>
    </row>
    <row r="184" spans="1:10" ht="13">
      <c r="A184" s="27"/>
      <c r="B184" s="110"/>
      <c r="D184" s="409"/>
      <c r="E184" s="13" t="s">
        <v>73</v>
      </c>
      <c r="F184" s="14"/>
      <c r="G184" s="410" t="s">
        <v>74</v>
      </c>
      <c r="H184" s="411">
        <v>1.5</v>
      </c>
      <c r="I184" s="412">
        <f>'BAHAN '!G238</f>
        <v>0</v>
      </c>
      <c r="J184" s="16">
        <f t="shared" si="5"/>
        <v>0</v>
      </c>
    </row>
    <row r="185" spans="1:10" ht="13.5" thickBot="1">
      <c r="A185" s="27"/>
      <c r="B185" s="110"/>
      <c r="D185" s="413"/>
      <c r="E185" s="414" t="s">
        <v>434</v>
      </c>
      <c r="F185" s="429"/>
      <c r="G185" s="415" t="s">
        <v>74</v>
      </c>
      <c r="H185" s="416">
        <v>1.35</v>
      </c>
      <c r="I185" s="412">
        <f>'BAHAN '!G807</f>
        <v>0</v>
      </c>
      <c r="J185" s="16">
        <f t="shared" si="5"/>
        <v>0</v>
      </c>
    </row>
    <row r="186" spans="1:10" ht="13.5" thickBot="1">
      <c r="A186" s="27"/>
      <c r="B186" s="110"/>
      <c r="D186" s="417"/>
      <c r="E186" s="418"/>
      <c r="F186" s="418"/>
      <c r="G186" s="419"/>
      <c r="H186" s="420" t="s">
        <v>64</v>
      </c>
      <c r="I186" s="421"/>
      <c r="J186" s="396">
        <f>SUM(J181:J185)</f>
        <v>0</v>
      </c>
    </row>
    <row r="187" spans="1:10" ht="13.5" thickBot="1">
      <c r="A187" s="27"/>
      <c r="B187" s="110"/>
      <c r="D187" s="431" t="s">
        <v>65</v>
      </c>
      <c r="E187" s="432" t="s">
        <v>66</v>
      </c>
      <c r="F187" s="433"/>
      <c r="G187" s="434"/>
      <c r="H187" s="435"/>
      <c r="I187" s="412">
        <f>IF(AND(E187&lt;&gt;"",G187&lt;&gt;""),IF(D187="",IF(G187="OH",VLOOKUP(E187,UPAH!$C$4:$H$31,7,0),VLOOKUP(E187,#REF!,4,0)),0),0)</f>
        <v>0</v>
      </c>
      <c r="J187" s="16">
        <f>H187*I187</f>
        <v>0</v>
      </c>
    </row>
    <row r="188" spans="1:10" ht="13.5" thickBot="1">
      <c r="A188" s="27"/>
      <c r="B188" s="110"/>
      <c r="D188" s="417"/>
      <c r="E188" s="418"/>
      <c r="F188" s="418"/>
      <c r="G188" s="419"/>
      <c r="H188" s="420" t="s">
        <v>67</v>
      </c>
      <c r="I188" s="421"/>
      <c r="J188" s="396">
        <f>J187</f>
        <v>0</v>
      </c>
    </row>
    <row r="189" spans="1:10" ht="13">
      <c r="A189" s="27"/>
      <c r="B189" s="110"/>
      <c r="D189" s="444" t="s">
        <v>68</v>
      </c>
      <c r="E189" s="445" t="s">
        <v>69</v>
      </c>
      <c r="F189" s="446"/>
      <c r="G189" s="447"/>
      <c r="H189" s="448"/>
      <c r="I189" s="449">
        <f>IF(AND(E189&lt;&gt;"",G189&lt;&gt;""),IF(D189="",IF(G189="OH",VLOOKUP(E189,UPAH!$C$4:$H$31,7,0),VLOOKUP(E189,#REF!,4,0)),0),0)</f>
        <v>0</v>
      </c>
      <c r="J189" s="16">
        <f>SUM(J172:J188)/2</f>
        <v>0</v>
      </c>
    </row>
    <row r="190" spans="1:10" ht="13.5" thickBot="1">
      <c r="A190" s="27"/>
      <c r="B190" s="110"/>
      <c r="D190" s="431" t="s">
        <v>70</v>
      </c>
      <c r="E190" s="432" t="s">
        <v>477</v>
      </c>
      <c r="F190" s="433"/>
      <c r="G190" s="434"/>
      <c r="H190" s="22">
        <v>0.1</v>
      </c>
      <c r="I190" s="436"/>
      <c r="J190" s="430">
        <f>H190*J189</f>
        <v>0</v>
      </c>
    </row>
    <row r="191" spans="1:10" ht="13.5" thickBot="1">
      <c r="A191" s="27"/>
      <c r="B191" s="110"/>
      <c r="D191" s="401" t="s">
        <v>71</v>
      </c>
      <c r="E191" s="402" t="s">
        <v>72</v>
      </c>
      <c r="F191" s="418"/>
      <c r="G191" s="419"/>
      <c r="H191" s="442"/>
      <c r="I191" s="421">
        <f>IF(AND(E191&lt;&gt;"",G191&lt;&gt;""),IF(D191="",IF(G191="OH",VLOOKUP(E191,UPAH!$C$4:$H$31,7,0),VLOOKUP(E191,#REF!,4,0)),0),0)</f>
        <v>0</v>
      </c>
      <c r="J191" s="396">
        <f>ROUNDDOWN(J189+J190,0)</f>
        <v>0</v>
      </c>
    </row>
    <row r="192" spans="1:10" ht="13">
      <c r="A192" s="27"/>
      <c r="B192" s="110"/>
      <c r="D192" s="11"/>
      <c r="E192" s="11"/>
      <c r="H192" s="443"/>
    </row>
    <row r="193" spans="1:10" ht="13.5" thickBot="1">
      <c r="A193" s="27"/>
      <c r="B193" s="110"/>
      <c r="C193" s="10" t="s">
        <v>1807</v>
      </c>
      <c r="D193" s="11" t="s">
        <v>543</v>
      </c>
      <c r="H193" s="443"/>
    </row>
    <row r="194" spans="1:10" ht="13.5" thickBot="1">
      <c r="A194" s="27"/>
      <c r="B194" s="110"/>
      <c r="D194" s="401" t="s">
        <v>40</v>
      </c>
      <c r="E194" s="402" t="s">
        <v>41</v>
      </c>
      <c r="F194" s="402" t="s">
        <v>42</v>
      </c>
      <c r="G194" s="403" t="s">
        <v>43</v>
      </c>
      <c r="H194" s="404" t="s">
        <v>44</v>
      </c>
      <c r="I194" s="402" t="s">
        <v>474</v>
      </c>
      <c r="J194" s="405" t="s">
        <v>475</v>
      </c>
    </row>
    <row r="195" spans="1:10" ht="13">
      <c r="A195" s="27"/>
      <c r="B195" s="110"/>
      <c r="D195" s="444" t="s">
        <v>45</v>
      </c>
      <c r="E195" s="445" t="s">
        <v>46</v>
      </c>
      <c r="F195" s="446"/>
      <c r="G195" s="447"/>
      <c r="H195" s="448"/>
      <c r="I195" s="412">
        <f>IF(AND(E195&lt;&gt;"",G195&lt;&gt;""),IF(D195="",IF(G195="OH",VLOOKUP(E195,UPAH!$C$4:$H$31,7,0),VLOOKUP(E195,#REF!,4,0)),0),0)</f>
        <v>0</v>
      </c>
      <c r="J195" s="16"/>
    </row>
    <row r="196" spans="1:10" ht="13">
      <c r="A196" s="27"/>
      <c r="B196" s="110"/>
      <c r="D196" s="409"/>
      <c r="E196" s="13" t="s">
        <v>47</v>
      </c>
      <c r="F196" s="13" t="s">
        <v>1918</v>
      </c>
      <c r="G196" s="410" t="s">
        <v>48</v>
      </c>
      <c r="H196" s="411">
        <v>0.1</v>
      </c>
      <c r="I196" s="412">
        <f>IF(AND(E196&lt;&gt;"",G196&lt;&gt;""),IF(D196="",IF(G196="OH",VLOOKUP(F196,UPAH!$B$4:$H$101,7,0),VLOOKUP(F196,#REF!,4,0)),0),0)</f>
        <v>0</v>
      </c>
      <c r="J196" s="16">
        <f>H196*I196</f>
        <v>0</v>
      </c>
    </row>
    <row r="197" spans="1:10" ht="13.5" thickBot="1">
      <c r="A197" s="27"/>
      <c r="B197" s="110"/>
      <c r="D197" s="413"/>
      <c r="E197" s="414" t="s">
        <v>51</v>
      </c>
      <c r="F197" s="414" t="s">
        <v>1929</v>
      </c>
      <c r="G197" s="415" t="s">
        <v>48</v>
      </c>
      <c r="H197" s="416">
        <v>0.05</v>
      </c>
      <c r="I197" s="412">
        <f>IF(AND(E197&lt;&gt;"",G197&lt;&gt;""),IF(D197="",IF(G197="OH",VLOOKUP(F197,UPAH!$B$4:$H$101,7,0),VLOOKUP(F197,#REF!,4,0)),0),0)</f>
        <v>0</v>
      </c>
      <c r="J197" s="16">
        <f>H197*I197</f>
        <v>0</v>
      </c>
    </row>
    <row r="198" spans="1:10" ht="13.5" thickBot="1">
      <c r="A198" s="27"/>
      <c r="B198" s="110"/>
      <c r="D198" s="417"/>
      <c r="E198" s="418"/>
      <c r="F198" s="418"/>
      <c r="G198" s="419"/>
      <c r="H198" s="420" t="s">
        <v>52</v>
      </c>
      <c r="I198" s="421"/>
      <c r="J198" s="396">
        <f>SUM(J192:J197)</f>
        <v>0</v>
      </c>
    </row>
    <row r="199" spans="1:10" ht="13.5" thickBot="1">
      <c r="A199" s="27"/>
      <c r="B199" s="110"/>
      <c r="D199" s="431" t="s">
        <v>53</v>
      </c>
      <c r="E199" s="432" t="s">
        <v>54</v>
      </c>
      <c r="F199" s="433"/>
      <c r="G199" s="434"/>
      <c r="H199" s="435"/>
      <c r="I199" s="412">
        <f>IF(AND(E199&lt;&gt;"",G199&lt;&gt;""),IF(D199="",IF(G199="OH",VLOOKUP(E199,UPAH!$C$4:$H$31,7,0),VLOOKUP(E199,#REF!,4,0)),0),0)</f>
        <v>0</v>
      </c>
      <c r="J199" s="16"/>
    </row>
    <row r="200" spans="1:10" ht="13.5" thickBot="1">
      <c r="A200" s="27"/>
      <c r="B200" s="110"/>
      <c r="D200" s="417"/>
      <c r="E200" s="418"/>
      <c r="F200" s="418"/>
      <c r="G200" s="419"/>
      <c r="H200" s="420" t="s">
        <v>64</v>
      </c>
      <c r="I200" s="421"/>
      <c r="J200" s="396"/>
    </row>
    <row r="201" spans="1:10" ht="13.5" thickBot="1">
      <c r="A201" s="27"/>
      <c r="B201" s="110"/>
      <c r="D201" s="431" t="s">
        <v>65</v>
      </c>
      <c r="E201" s="432" t="s">
        <v>66</v>
      </c>
      <c r="F201" s="433"/>
      <c r="G201" s="434"/>
      <c r="H201" s="435"/>
      <c r="I201" s="412">
        <f>IF(AND(E201&lt;&gt;"",G201&lt;&gt;""),IF(D201="",IF(G201="OH",VLOOKUP(E201,UPAH!$C$4:$H$31,7,0),VLOOKUP(E201,#REF!,4,0)),0),0)</f>
        <v>0</v>
      </c>
      <c r="J201" s="16">
        <f>H201*I201</f>
        <v>0</v>
      </c>
    </row>
    <row r="202" spans="1:10" ht="13.5" thickBot="1">
      <c r="A202" s="27"/>
      <c r="B202" s="110"/>
      <c r="D202" s="417"/>
      <c r="E202" s="418"/>
      <c r="F202" s="418"/>
      <c r="G202" s="419"/>
      <c r="H202" s="420" t="s">
        <v>67</v>
      </c>
      <c r="I202" s="421"/>
      <c r="J202" s="396">
        <f>J201</f>
        <v>0</v>
      </c>
    </row>
    <row r="203" spans="1:10" ht="13">
      <c r="A203" s="27"/>
      <c r="B203" s="110"/>
      <c r="D203" s="444" t="s">
        <v>68</v>
      </c>
      <c r="E203" s="445" t="s">
        <v>69</v>
      </c>
      <c r="F203" s="446"/>
      <c r="G203" s="447"/>
      <c r="H203" s="448"/>
      <c r="I203" s="449">
        <f>IF(AND(E203&lt;&gt;"",G203&lt;&gt;""),IF(D203="",IF(G203="OH",VLOOKUP(E203,UPAH!$C$4:$H$31,7,0),VLOOKUP(E203,#REF!,4,0)),0),0)</f>
        <v>0</v>
      </c>
      <c r="J203" s="16">
        <f>SUM(J196:J202)/2</f>
        <v>0</v>
      </c>
    </row>
    <row r="204" spans="1:10" ht="13.5" thickBot="1">
      <c r="A204" s="27"/>
      <c r="B204" s="110"/>
      <c r="D204" s="431" t="s">
        <v>70</v>
      </c>
      <c r="E204" s="432" t="s">
        <v>477</v>
      </c>
      <c r="F204" s="433"/>
      <c r="G204" s="434"/>
      <c r="H204" s="22">
        <v>0.1</v>
      </c>
      <c r="I204" s="436"/>
      <c r="J204" s="430">
        <f>H204*J203</f>
        <v>0</v>
      </c>
    </row>
    <row r="205" spans="1:10" ht="13.5" thickBot="1">
      <c r="A205" s="27"/>
      <c r="B205" s="110"/>
      <c r="D205" s="401" t="s">
        <v>71</v>
      </c>
      <c r="E205" s="402" t="s">
        <v>72</v>
      </c>
      <c r="F205" s="418"/>
      <c r="G205" s="419"/>
      <c r="H205" s="442"/>
      <c r="I205" s="421">
        <f>IF(AND(E205&lt;&gt;"",G205&lt;&gt;""),IF(D205="",IF(G205="OH",VLOOKUP(E205,UPAH!$C$4:$H$31,7,0),VLOOKUP(E205,#REF!,4,0)),0),0)</f>
        <v>0</v>
      </c>
      <c r="J205" s="396">
        <f>ROUNDDOWN(J203+J204,0)</f>
        <v>0</v>
      </c>
    </row>
    <row r="206" spans="1:10" ht="13">
      <c r="A206" s="27"/>
      <c r="B206" s="110"/>
      <c r="D206" s="11"/>
      <c r="E206" s="11"/>
      <c r="H206" s="443"/>
    </row>
    <row r="207" spans="1:10" ht="13.5" thickBot="1">
      <c r="A207" s="27"/>
      <c r="B207" s="110"/>
      <c r="C207" s="10" t="s">
        <v>1795</v>
      </c>
      <c r="D207" s="11" t="s">
        <v>1067</v>
      </c>
      <c r="H207" s="443"/>
    </row>
    <row r="208" spans="1:10" ht="13.5" thickBot="1">
      <c r="A208" s="27"/>
      <c r="B208" s="110"/>
      <c r="D208" s="401" t="s">
        <v>40</v>
      </c>
      <c r="E208" s="402" t="s">
        <v>41</v>
      </c>
      <c r="F208" s="402" t="s">
        <v>42</v>
      </c>
      <c r="G208" s="403" t="s">
        <v>43</v>
      </c>
      <c r="H208" s="404" t="s">
        <v>44</v>
      </c>
      <c r="I208" s="402" t="s">
        <v>474</v>
      </c>
      <c r="J208" s="405" t="s">
        <v>475</v>
      </c>
    </row>
    <row r="209" spans="1:10" ht="13">
      <c r="A209" s="27"/>
      <c r="B209" s="110"/>
      <c r="D209" s="406" t="s">
        <v>45</v>
      </c>
      <c r="E209" s="13" t="s">
        <v>46</v>
      </c>
      <c r="F209" s="14"/>
      <c r="G209" s="15"/>
      <c r="H209" s="451"/>
      <c r="I209" s="412"/>
      <c r="J209" s="16"/>
    </row>
    <row r="210" spans="1:10" ht="13">
      <c r="A210" s="27"/>
      <c r="B210" s="110"/>
      <c r="D210" s="409"/>
      <c r="E210" s="13" t="s">
        <v>47</v>
      </c>
      <c r="F210" s="13" t="s">
        <v>1918</v>
      </c>
      <c r="G210" s="410" t="s">
        <v>48</v>
      </c>
      <c r="H210" s="411">
        <v>1</v>
      </c>
      <c r="I210" s="412">
        <f>IF(AND(E210&lt;&gt;"",G210&lt;&gt;""),IF(D210="",IF(G210="OH",VLOOKUP(F210,UPAH!$B$4:$H$101,7,0),VLOOKUP(F210,#REF!,4,0)),0),0)</f>
        <v>0</v>
      </c>
      <c r="J210" s="16">
        <f>H210*I210</f>
        <v>0</v>
      </c>
    </row>
    <row r="211" spans="1:10" ht="13">
      <c r="A211" s="27"/>
      <c r="B211" s="110"/>
      <c r="D211" s="409"/>
      <c r="E211" s="13" t="s">
        <v>476</v>
      </c>
      <c r="F211" s="13" t="s">
        <v>1922</v>
      </c>
      <c r="G211" s="410" t="s">
        <v>48</v>
      </c>
      <c r="H211" s="411">
        <v>2</v>
      </c>
      <c r="I211" s="412">
        <f>IF(AND(E211&lt;&gt;"",G211&lt;&gt;""),IF(D211="",IF(G211="OH",VLOOKUP(F211,UPAH!$B$4:$H$101,7,0),VLOOKUP(F211,#REF!,4,0)),0),0)</f>
        <v>0</v>
      </c>
      <c r="J211" s="16">
        <f>H211*I211</f>
        <v>0</v>
      </c>
    </row>
    <row r="212" spans="1:10" ht="13">
      <c r="A212" s="27"/>
      <c r="B212" s="110"/>
      <c r="D212" s="409"/>
      <c r="E212" s="13" t="s">
        <v>97</v>
      </c>
      <c r="F212" s="13" t="s">
        <v>1928</v>
      </c>
      <c r="G212" s="410" t="s">
        <v>48</v>
      </c>
      <c r="H212" s="411">
        <v>0.2</v>
      </c>
      <c r="I212" s="412">
        <f>IF(AND(E212&lt;&gt;"",G212&lt;&gt;""),IF(D212="",IF(G212="OH",VLOOKUP(F212,UPAH!$B$4:$H$101,7,0),VLOOKUP(F212,#REF!,4,0)),0),0)</f>
        <v>0</v>
      </c>
      <c r="J212" s="16">
        <f>H212*I212</f>
        <v>0</v>
      </c>
    </row>
    <row r="213" spans="1:10" ht="13.5" thickBot="1">
      <c r="A213" s="27"/>
      <c r="B213" s="110"/>
      <c r="D213" s="413"/>
      <c r="E213" s="414" t="s">
        <v>51</v>
      </c>
      <c r="F213" s="414" t="s">
        <v>1929</v>
      </c>
      <c r="G213" s="415" t="s">
        <v>48</v>
      </c>
      <c r="H213" s="416">
        <v>0.05</v>
      </c>
      <c r="I213" s="412">
        <f>IF(AND(E213&lt;&gt;"",G213&lt;&gt;""),IF(D213="",IF(G213="OH",VLOOKUP(F213,UPAH!$B$4:$H$101,7,0),VLOOKUP(F213,#REF!,4,0)),0),0)</f>
        <v>0</v>
      </c>
      <c r="J213" s="16">
        <f>H213*I213</f>
        <v>0</v>
      </c>
    </row>
    <row r="214" spans="1:10" ht="13.5" thickBot="1">
      <c r="A214" s="27"/>
      <c r="B214" s="110"/>
      <c r="D214" s="417"/>
      <c r="E214" s="418"/>
      <c r="F214" s="418"/>
      <c r="G214" s="419"/>
      <c r="H214" s="420" t="s">
        <v>52</v>
      </c>
      <c r="I214" s="421"/>
      <c r="J214" s="396">
        <f>SUM(J208:J213)</f>
        <v>0</v>
      </c>
    </row>
    <row r="215" spans="1:10" ht="13">
      <c r="A215" s="27"/>
      <c r="B215" s="110"/>
      <c r="D215" s="422" t="s">
        <v>53</v>
      </c>
      <c r="E215" s="423" t="s">
        <v>54</v>
      </c>
      <c r="F215" s="424"/>
      <c r="G215" s="425"/>
      <c r="H215" s="426"/>
      <c r="I215" s="412"/>
      <c r="J215" s="16"/>
    </row>
    <row r="216" spans="1:10" ht="13">
      <c r="A216" s="27"/>
      <c r="B216" s="110"/>
      <c r="D216" s="409"/>
      <c r="E216" s="13" t="s">
        <v>382</v>
      </c>
      <c r="F216" s="14"/>
      <c r="G216" s="410" t="s">
        <v>55</v>
      </c>
      <c r="H216" s="411">
        <v>1.25</v>
      </c>
      <c r="I216" s="412">
        <f>'BAHAN '!G794</f>
        <v>0</v>
      </c>
      <c r="J216" s="16">
        <f>H216*I216</f>
        <v>0</v>
      </c>
    </row>
    <row r="217" spans="1:10" ht="13.5" thickBot="1">
      <c r="A217" s="27"/>
      <c r="B217" s="110"/>
      <c r="D217" s="413"/>
      <c r="E217" s="414" t="s">
        <v>90</v>
      </c>
      <c r="F217" s="429"/>
      <c r="G217" s="415" t="s">
        <v>57</v>
      </c>
      <c r="H217" s="416">
        <v>0.186</v>
      </c>
      <c r="I217" s="412">
        <f>'BAHAN '!G162</f>
        <v>0</v>
      </c>
      <c r="J217" s="16">
        <f>H217*I217</f>
        <v>0</v>
      </c>
    </row>
    <row r="218" spans="1:10" ht="13.5" thickBot="1">
      <c r="A218" s="27"/>
      <c r="B218" s="110"/>
      <c r="D218" s="417"/>
      <c r="E218" s="418"/>
      <c r="F218" s="418"/>
      <c r="G218" s="419"/>
      <c r="H218" s="420" t="s">
        <v>64</v>
      </c>
      <c r="I218" s="421"/>
      <c r="J218" s="396">
        <f>SUM(J215:J217)</f>
        <v>0</v>
      </c>
    </row>
    <row r="219" spans="1:10" ht="13.5" thickBot="1">
      <c r="A219" s="27"/>
      <c r="B219" s="110"/>
      <c r="D219" s="431" t="s">
        <v>65</v>
      </c>
      <c r="E219" s="432" t="s">
        <v>66</v>
      </c>
      <c r="F219" s="433"/>
      <c r="G219" s="434"/>
      <c r="H219" s="435"/>
      <c r="I219" s="412">
        <f>IF(AND(E219&lt;&gt;"",G219&lt;&gt;""),IF(D219="",IF(G219="OH",VLOOKUP(E219,UPAH!$C$4:$H$31,7,0),VLOOKUP(E219,#REF!,4,0)),0),0)</f>
        <v>0</v>
      </c>
      <c r="J219" s="16">
        <f>H219*I219</f>
        <v>0</v>
      </c>
    </row>
    <row r="220" spans="1:10" ht="13.5" thickBot="1">
      <c r="A220" s="27"/>
      <c r="B220" s="110"/>
      <c r="D220" s="417"/>
      <c r="E220" s="418"/>
      <c r="F220" s="418"/>
      <c r="G220" s="419"/>
      <c r="H220" s="420" t="s">
        <v>67</v>
      </c>
      <c r="I220" s="421"/>
      <c r="J220" s="396">
        <f>J219</f>
        <v>0</v>
      </c>
    </row>
    <row r="221" spans="1:10" ht="13">
      <c r="A221" s="27"/>
      <c r="B221" s="110"/>
      <c r="D221" s="444" t="s">
        <v>68</v>
      </c>
      <c r="E221" s="445" t="s">
        <v>69</v>
      </c>
      <c r="F221" s="446"/>
      <c r="G221" s="447"/>
      <c r="H221" s="448"/>
      <c r="I221" s="449">
        <f>IF(AND(E221&lt;&gt;"",G221&lt;&gt;""),IF(D221="",IF(G221="OH",VLOOKUP(E221,UPAH!$C$4:$H$31,7,0),VLOOKUP(E221,#REF!,4,0)),0),0)</f>
        <v>0</v>
      </c>
      <c r="J221" s="16">
        <f>SUM(J210:J220)/2</f>
        <v>0</v>
      </c>
    </row>
    <row r="222" spans="1:10" ht="13.5" thickBot="1">
      <c r="A222" s="27"/>
      <c r="B222" s="110"/>
      <c r="D222" s="431" t="s">
        <v>70</v>
      </c>
      <c r="E222" s="432" t="s">
        <v>477</v>
      </c>
      <c r="F222" s="433"/>
      <c r="G222" s="434"/>
      <c r="H222" s="22">
        <v>0.1</v>
      </c>
      <c r="I222" s="436"/>
      <c r="J222" s="430">
        <f>H222*J221</f>
        <v>0</v>
      </c>
    </row>
    <row r="223" spans="1:10" ht="13.5" thickBot="1">
      <c r="A223" s="27"/>
      <c r="B223" s="110"/>
      <c r="D223" s="401" t="s">
        <v>71</v>
      </c>
      <c r="E223" s="402" t="s">
        <v>72</v>
      </c>
      <c r="F223" s="418"/>
      <c r="G223" s="419"/>
      <c r="H223" s="442"/>
      <c r="I223" s="421">
        <f>IF(AND(E223&lt;&gt;"",G223&lt;&gt;""),IF(D223="",IF(G223="OH",VLOOKUP(E223,UPAH!$C$4:$H$31,7,0),VLOOKUP(E223,#REF!,4,0)),0),0)</f>
        <v>0</v>
      </c>
      <c r="J223" s="396">
        <f>ROUNDDOWN(J221+J222,0)</f>
        <v>0</v>
      </c>
    </row>
    <row r="224" spans="1:10" ht="13">
      <c r="A224" s="27"/>
      <c r="B224" s="110"/>
      <c r="D224" s="11"/>
      <c r="E224" s="11"/>
      <c r="H224" s="443"/>
    </row>
    <row r="225" spans="1:10" ht="13.5" thickBot="1">
      <c r="A225" s="27"/>
      <c r="B225" s="110"/>
      <c r="C225" s="10" t="s">
        <v>1796</v>
      </c>
      <c r="D225" s="11" t="s">
        <v>544</v>
      </c>
      <c r="H225" s="443"/>
    </row>
    <row r="226" spans="1:10" ht="13.5" thickBot="1">
      <c r="A226" s="27"/>
      <c r="B226" s="110"/>
      <c r="D226" s="401" t="s">
        <v>40</v>
      </c>
      <c r="E226" s="402" t="s">
        <v>41</v>
      </c>
      <c r="F226" s="402" t="s">
        <v>42</v>
      </c>
      <c r="G226" s="403" t="s">
        <v>43</v>
      </c>
      <c r="H226" s="404" t="s">
        <v>44</v>
      </c>
      <c r="I226" s="402" t="s">
        <v>474</v>
      </c>
      <c r="J226" s="405" t="s">
        <v>475</v>
      </c>
    </row>
    <row r="227" spans="1:10" ht="13">
      <c r="A227" s="27"/>
      <c r="B227" s="110"/>
      <c r="D227" s="444" t="s">
        <v>45</v>
      </c>
      <c r="E227" s="445" t="s">
        <v>46</v>
      </c>
      <c r="F227" s="446"/>
      <c r="G227" s="447"/>
      <c r="H227" s="448"/>
      <c r="I227" s="412">
        <f>IF(AND(E227&lt;&gt;"",G227&lt;&gt;""),IF(D227="",IF(G227="OH",VLOOKUP(E227,UPAH!$C$4:$H$31,7,0),VLOOKUP(E227,#REF!,4,0)),0),0)</f>
        <v>0</v>
      </c>
      <c r="J227" s="16">
        <f>H227*I227</f>
        <v>0</v>
      </c>
    </row>
    <row r="228" spans="1:10" ht="13">
      <c r="A228" s="27"/>
      <c r="B228" s="110"/>
      <c r="D228" s="409"/>
      <c r="E228" s="13" t="s">
        <v>476</v>
      </c>
      <c r="F228" s="13" t="s">
        <v>1922</v>
      </c>
      <c r="G228" s="410" t="s">
        <v>48</v>
      </c>
      <c r="H228" s="411">
        <v>0.3</v>
      </c>
      <c r="I228" s="412">
        <f>IF(AND(E228&lt;&gt;"",G228&lt;&gt;""),IF(D228="",IF(G228="OH",VLOOKUP(F228,UPAH!$B$4:$H$101,7,0),VLOOKUP(F228,#REF!,4,0)),0),0)</f>
        <v>0</v>
      </c>
      <c r="J228" s="16">
        <f>H228*I228</f>
        <v>0</v>
      </c>
    </row>
    <row r="229" spans="1:10" ht="13.5" thickBot="1">
      <c r="A229" s="27"/>
      <c r="B229" s="110"/>
      <c r="D229" s="413"/>
      <c r="E229" s="414" t="s">
        <v>97</v>
      </c>
      <c r="F229" s="414" t="s">
        <v>1928</v>
      </c>
      <c r="G229" s="415" t="s">
        <v>48</v>
      </c>
      <c r="H229" s="416">
        <v>0.03</v>
      </c>
      <c r="I229" s="412">
        <f>IF(AND(E229&lt;&gt;"",G229&lt;&gt;""),IF(D229="",IF(G229="OH",VLOOKUP(F229,UPAH!$B$4:$H$101,7,0),VLOOKUP(F229,#REF!,4,0)),0),0)</f>
        <v>0</v>
      </c>
      <c r="J229" s="16">
        <f>H229*I229</f>
        <v>0</v>
      </c>
    </row>
    <row r="230" spans="1:10" ht="13.5" thickBot="1">
      <c r="A230" s="27"/>
      <c r="B230" s="110"/>
      <c r="D230" s="417"/>
      <c r="E230" s="418"/>
      <c r="F230" s="418"/>
      <c r="G230" s="419"/>
      <c r="H230" s="420" t="s">
        <v>52</v>
      </c>
      <c r="I230" s="421"/>
      <c r="J230" s="396">
        <f>SUM(J227:J229)</f>
        <v>0</v>
      </c>
    </row>
    <row r="231" spans="1:10" ht="13">
      <c r="A231" s="27"/>
      <c r="B231" s="110"/>
      <c r="D231" s="422" t="s">
        <v>53</v>
      </c>
      <c r="E231" s="423" t="s">
        <v>54</v>
      </c>
      <c r="F231" s="424"/>
      <c r="G231" s="425"/>
      <c r="H231" s="426"/>
      <c r="I231" s="412">
        <f>IF(AND(E231&lt;&gt;"",G231&lt;&gt;""),IF(D231="",IF(G231="OH",VLOOKUP(E231,UPAH!$C$4:$H$31,7,0),VLOOKUP(E231,#REF!,4,0)),0),0)</f>
        <v>0</v>
      </c>
      <c r="J231" s="16">
        <f>H231*I231</f>
        <v>0</v>
      </c>
    </row>
    <row r="232" spans="1:10" ht="13">
      <c r="A232" s="27"/>
      <c r="B232" s="110"/>
      <c r="D232" s="409"/>
      <c r="E232" s="13" t="s">
        <v>91</v>
      </c>
      <c r="F232" s="14"/>
      <c r="G232" s="410" t="s">
        <v>375</v>
      </c>
      <c r="H232" s="411">
        <v>3.5999999999999997E-2</v>
      </c>
      <c r="I232" s="412">
        <f>'BAHAN '!G200</f>
        <v>0</v>
      </c>
      <c r="J232" s="16">
        <f>H232*I232</f>
        <v>0</v>
      </c>
    </row>
    <row r="233" spans="1:10" ht="13">
      <c r="A233" s="27"/>
      <c r="B233" s="110"/>
      <c r="D233" s="409"/>
      <c r="E233" s="13" t="s">
        <v>92</v>
      </c>
      <c r="F233" s="14"/>
      <c r="G233" s="410" t="s">
        <v>375</v>
      </c>
      <c r="H233" s="451">
        <v>2.1000000000000001E-2</v>
      </c>
      <c r="I233" s="412">
        <f>'BAHAN '!G200</f>
        <v>0</v>
      </c>
      <c r="J233" s="16">
        <f>H233*I233</f>
        <v>0</v>
      </c>
    </row>
    <row r="234" spans="1:10" ht="13.5" thickBot="1">
      <c r="A234" s="27"/>
      <c r="B234" s="110"/>
      <c r="D234" s="413"/>
      <c r="E234" s="414" t="s">
        <v>83</v>
      </c>
      <c r="F234" s="429"/>
      <c r="G234" s="415" t="s">
        <v>93</v>
      </c>
      <c r="H234" s="416">
        <v>0.08</v>
      </c>
      <c r="I234" s="412">
        <f>'BAHAN '!G127</f>
        <v>0</v>
      </c>
      <c r="J234" s="16">
        <f>H234*I234</f>
        <v>0</v>
      </c>
    </row>
    <row r="235" spans="1:10" ht="13.5" thickBot="1">
      <c r="A235" s="27"/>
      <c r="B235" s="110"/>
      <c r="D235" s="417"/>
      <c r="E235" s="418"/>
      <c r="F235" s="418"/>
      <c r="G235" s="419"/>
      <c r="H235" s="420" t="s">
        <v>64</v>
      </c>
      <c r="I235" s="421"/>
      <c r="J235" s="396">
        <f>SUM(J232:J234)</f>
        <v>0</v>
      </c>
    </row>
    <row r="236" spans="1:10" ht="13.5" thickBot="1">
      <c r="A236" s="27"/>
      <c r="B236" s="110"/>
      <c r="D236" s="431" t="s">
        <v>65</v>
      </c>
      <c r="E236" s="432" t="s">
        <v>66</v>
      </c>
      <c r="F236" s="433"/>
      <c r="G236" s="434"/>
      <c r="H236" s="435"/>
      <c r="I236" s="412">
        <f>IF(AND(E236&lt;&gt;"",G236&lt;&gt;""),IF(D236="",IF(G236="OH",VLOOKUP(E236,UPAH!$C$4:$H$31,7,0),VLOOKUP(E236,#REF!,4,0)),0),0)</f>
        <v>0</v>
      </c>
      <c r="J236" s="16">
        <f>H236*I236</f>
        <v>0</v>
      </c>
    </row>
    <row r="237" spans="1:10" ht="13.5" thickBot="1">
      <c r="A237" s="27"/>
      <c r="B237" s="110"/>
      <c r="D237" s="417"/>
      <c r="E237" s="418"/>
      <c r="F237" s="418"/>
      <c r="G237" s="419"/>
      <c r="H237" s="420" t="s">
        <v>67</v>
      </c>
      <c r="I237" s="421"/>
      <c r="J237" s="396">
        <f>J236</f>
        <v>0</v>
      </c>
    </row>
    <row r="238" spans="1:10" ht="13">
      <c r="A238" s="27"/>
      <c r="B238" s="110"/>
      <c r="D238" s="444" t="s">
        <v>68</v>
      </c>
      <c r="E238" s="445" t="s">
        <v>69</v>
      </c>
      <c r="F238" s="446"/>
      <c r="G238" s="447"/>
      <c r="H238" s="448"/>
      <c r="I238" s="449">
        <f>IF(AND(E238&lt;&gt;"",G238&lt;&gt;""),IF(D238="",IF(G238="OH",VLOOKUP(E238,UPAH!$C$4:$H$31,7,0),VLOOKUP(E238,#REF!,4,0)),0),0)</f>
        <v>0</v>
      </c>
      <c r="J238" s="16">
        <f>SUM(J228:J237)/2</f>
        <v>0</v>
      </c>
    </row>
    <row r="239" spans="1:10" ht="13.5" thickBot="1">
      <c r="A239" s="27"/>
      <c r="B239" s="110"/>
      <c r="D239" s="431" t="s">
        <v>70</v>
      </c>
      <c r="E239" s="432" t="s">
        <v>477</v>
      </c>
      <c r="F239" s="433"/>
      <c r="G239" s="434"/>
      <c r="H239" s="22">
        <v>0.1</v>
      </c>
      <c r="I239" s="436"/>
      <c r="J239" s="430">
        <f>H239*J238</f>
        <v>0</v>
      </c>
    </row>
    <row r="240" spans="1:10" ht="13.5" thickBot="1">
      <c r="A240" s="27"/>
      <c r="B240" s="110"/>
      <c r="D240" s="401" t="s">
        <v>71</v>
      </c>
      <c r="E240" s="402" t="s">
        <v>72</v>
      </c>
      <c r="F240" s="418"/>
      <c r="G240" s="419"/>
      <c r="H240" s="442"/>
      <c r="I240" s="421">
        <f>IF(AND(E240&lt;&gt;"",G240&lt;&gt;""),IF(D240="",IF(G240="OH",VLOOKUP(E240,UPAH!$C$4:$H$31,7,0),VLOOKUP(E240,#REF!,4,0)),0),0)</f>
        <v>0</v>
      </c>
      <c r="J240" s="396">
        <f>ROUNDDOWN(J238+J239,0)</f>
        <v>0</v>
      </c>
    </row>
    <row r="241" spans="1:10" ht="13">
      <c r="A241" s="27"/>
      <c r="B241" s="110"/>
      <c r="D241" s="11"/>
      <c r="E241" s="11"/>
      <c r="H241" s="443"/>
      <c r="I241" s="17"/>
      <c r="J241" s="18"/>
    </row>
    <row r="242" spans="1:10" ht="13.5" thickBot="1">
      <c r="A242" s="27"/>
      <c r="B242" s="110"/>
      <c r="C242" s="10" t="s">
        <v>1797</v>
      </c>
      <c r="D242" s="11" t="s">
        <v>545</v>
      </c>
      <c r="H242" s="443"/>
    </row>
    <row r="243" spans="1:10" ht="13.5" thickBot="1">
      <c r="A243" s="27"/>
      <c r="B243" s="110"/>
      <c r="D243" s="401" t="s">
        <v>40</v>
      </c>
      <c r="E243" s="402" t="s">
        <v>41</v>
      </c>
      <c r="F243" s="402" t="s">
        <v>42</v>
      </c>
      <c r="G243" s="403" t="s">
        <v>43</v>
      </c>
      <c r="H243" s="404" t="s">
        <v>44</v>
      </c>
      <c r="I243" s="402" t="s">
        <v>474</v>
      </c>
      <c r="J243" s="405" t="s">
        <v>475</v>
      </c>
    </row>
    <row r="244" spans="1:10" ht="13">
      <c r="A244" s="27"/>
      <c r="B244" s="110"/>
      <c r="D244" s="406" t="s">
        <v>45</v>
      </c>
      <c r="E244" s="13" t="s">
        <v>46</v>
      </c>
      <c r="F244" s="14"/>
      <c r="G244" s="15"/>
      <c r="H244" s="451"/>
      <c r="I244" s="412">
        <f>IF(AND(E244&lt;&gt;"",G244&lt;&gt;""),IF(D244="",IF(G244="OH",VLOOKUP(E244,UPAH!$C$4:$H$31,7,0),VLOOKUP(E244,#REF!,4,0)),0),0)</f>
        <v>0</v>
      </c>
      <c r="J244" s="16">
        <f>H244*I244</f>
        <v>0</v>
      </c>
    </row>
    <row r="245" spans="1:10" ht="13">
      <c r="A245" s="27"/>
      <c r="B245" s="110"/>
      <c r="D245" s="409"/>
      <c r="E245" s="13" t="s">
        <v>47</v>
      </c>
      <c r="F245" s="13" t="s">
        <v>1918</v>
      </c>
      <c r="G245" s="410" t="s">
        <v>48</v>
      </c>
      <c r="H245" s="411">
        <v>1</v>
      </c>
      <c r="I245" s="412">
        <f>IF(AND(E245&lt;&gt;"",G245&lt;&gt;""),IF(D245="",IF(G245="OH",VLOOKUP(F245,UPAH!$B$4:$H$101,7,0),VLOOKUP(F245,#REF!,4,0)),0),0)</f>
        <v>0</v>
      </c>
      <c r="J245" s="16">
        <f>H245*I245</f>
        <v>0</v>
      </c>
    </row>
    <row r="246" spans="1:10" ht="13.5" thickBot="1">
      <c r="A246" s="27"/>
      <c r="B246" s="110"/>
      <c r="D246" s="413"/>
      <c r="E246" s="414" t="s">
        <v>51</v>
      </c>
      <c r="F246" s="414" t="s">
        <v>1929</v>
      </c>
      <c r="G246" s="415" t="s">
        <v>48</v>
      </c>
      <c r="H246" s="416">
        <v>5.0000000000000001E-3</v>
      </c>
      <c r="I246" s="412">
        <f>IF(AND(E246&lt;&gt;"",G246&lt;&gt;""),IF(D246="",IF(G246="OH",VLOOKUP(F246,UPAH!$B$4:$H$101,7,0),VLOOKUP(F246,#REF!,4,0)),0),0)</f>
        <v>0</v>
      </c>
      <c r="J246" s="16">
        <f>H246*I246</f>
        <v>0</v>
      </c>
    </row>
    <row r="247" spans="1:10" ht="13.5" thickBot="1">
      <c r="A247" s="27"/>
      <c r="B247" s="110"/>
      <c r="D247" s="417"/>
      <c r="E247" s="418"/>
      <c r="F247" s="418"/>
      <c r="G247" s="419"/>
      <c r="H247" s="420" t="s">
        <v>52</v>
      </c>
      <c r="I247" s="421"/>
      <c r="J247" s="396">
        <f>SUM(J244:J246)</f>
        <v>0</v>
      </c>
    </row>
    <row r="248" spans="1:10" ht="13">
      <c r="A248" s="27"/>
      <c r="B248" s="110"/>
      <c r="D248" s="422" t="s">
        <v>53</v>
      </c>
      <c r="E248" s="423" t="s">
        <v>54</v>
      </c>
      <c r="F248" s="424"/>
      <c r="G248" s="425"/>
      <c r="H248" s="426"/>
      <c r="I248" s="412">
        <f>IF(AND(E248&lt;&gt;"",G248&lt;&gt;""),IF(D248="",IF(G248="OH",VLOOKUP(E248,UPAH!$C$4:$H$31,7,0),VLOOKUP(E248,#REF!,4,0)),0),0)</f>
        <v>0</v>
      </c>
      <c r="J248" s="16">
        <f>H248*I248</f>
        <v>0</v>
      </c>
    </row>
    <row r="249" spans="1:10" ht="13">
      <c r="A249" s="27"/>
      <c r="B249" s="110"/>
      <c r="D249" s="409"/>
      <c r="E249" s="13" t="s">
        <v>94</v>
      </c>
      <c r="F249" s="14"/>
      <c r="G249" s="410" t="s">
        <v>375</v>
      </c>
      <c r="H249" s="411">
        <v>0.15</v>
      </c>
      <c r="I249" s="412">
        <f>'BAHAN '!G846</f>
        <v>0</v>
      </c>
      <c r="J249" s="16">
        <f>H249*I249</f>
        <v>0</v>
      </c>
    </row>
    <row r="250" spans="1:10" ht="13">
      <c r="A250" s="27"/>
      <c r="B250" s="110"/>
      <c r="D250" s="409"/>
      <c r="E250" s="13" t="s">
        <v>95</v>
      </c>
      <c r="F250" s="14"/>
      <c r="G250" s="410" t="s">
        <v>375</v>
      </c>
      <c r="H250" s="411">
        <v>0.09</v>
      </c>
      <c r="I250" s="412">
        <f>'BAHAN '!G33</f>
        <v>0</v>
      </c>
      <c r="J250" s="16">
        <f>H250*I250</f>
        <v>0</v>
      </c>
    </row>
    <row r="251" spans="1:10" ht="13.5" thickBot="1">
      <c r="A251" s="27"/>
      <c r="B251" s="110"/>
      <c r="D251" s="413"/>
      <c r="E251" s="414" t="s">
        <v>85</v>
      </c>
      <c r="F251" s="429"/>
      <c r="G251" s="415" t="s">
        <v>375</v>
      </c>
      <c r="H251" s="416">
        <v>0.01</v>
      </c>
      <c r="I251" s="412">
        <f>'BAHAN '!G59</f>
        <v>0</v>
      </c>
      <c r="J251" s="16">
        <f>H251*I251</f>
        <v>0</v>
      </c>
    </row>
    <row r="252" spans="1:10" ht="13.5" thickBot="1">
      <c r="A252" s="27"/>
      <c r="B252" s="110"/>
      <c r="D252" s="417"/>
      <c r="E252" s="418"/>
      <c r="F252" s="418"/>
      <c r="G252" s="419"/>
      <c r="H252" s="420" t="s">
        <v>64</v>
      </c>
      <c r="I252" s="421"/>
      <c r="J252" s="396">
        <f>SUM(J249:J251)</f>
        <v>0</v>
      </c>
    </row>
    <row r="253" spans="1:10" ht="13.5" thickBot="1">
      <c r="A253" s="27"/>
      <c r="B253" s="110"/>
      <c r="D253" s="431" t="s">
        <v>65</v>
      </c>
      <c r="E253" s="432" t="s">
        <v>66</v>
      </c>
      <c r="F253" s="433"/>
      <c r="G253" s="434"/>
      <c r="H253" s="435"/>
      <c r="I253" s="412">
        <f>IF(AND(E253&lt;&gt;"",G253&lt;&gt;""),IF(D253="",IF(G253="OH",VLOOKUP(E253,UPAH!$C$4:$H$31,7,0),VLOOKUP(E253,#REF!,4,0)),0),0)</f>
        <v>0</v>
      </c>
      <c r="J253" s="16">
        <f>H253*I253</f>
        <v>0</v>
      </c>
    </row>
    <row r="254" spans="1:10" ht="13.5" thickBot="1">
      <c r="A254" s="27"/>
      <c r="B254" s="110"/>
      <c r="D254" s="417"/>
      <c r="E254" s="418"/>
      <c r="F254" s="418"/>
      <c r="G254" s="419"/>
      <c r="H254" s="420" t="s">
        <v>67</v>
      </c>
      <c r="I254" s="421"/>
      <c r="J254" s="396">
        <f>J253</f>
        <v>0</v>
      </c>
    </row>
    <row r="255" spans="1:10" ht="13">
      <c r="A255" s="27"/>
      <c r="B255" s="110"/>
      <c r="D255" s="444" t="s">
        <v>68</v>
      </c>
      <c r="E255" s="445" t="s">
        <v>69</v>
      </c>
      <c r="F255" s="446"/>
      <c r="G255" s="447"/>
      <c r="H255" s="448"/>
      <c r="I255" s="449">
        <f>IF(AND(E255&lt;&gt;"",G255&lt;&gt;""),IF(D255="",IF(G255="OH",VLOOKUP(E255,UPAH!$C$4:$H$31,7,0),VLOOKUP(E255,#REF!,4,0)),0),0)</f>
        <v>0</v>
      </c>
      <c r="J255" s="16">
        <f>SUM(J245:J254)/2</f>
        <v>0</v>
      </c>
    </row>
    <row r="256" spans="1:10" ht="13.5" thickBot="1">
      <c r="A256" s="27"/>
      <c r="B256" s="110"/>
      <c r="D256" s="431" t="s">
        <v>70</v>
      </c>
      <c r="E256" s="432" t="s">
        <v>477</v>
      </c>
      <c r="F256" s="433"/>
      <c r="G256" s="434"/>
      <c r="H256" s="22">
        <v>0.1</v>
      </c>
      <c r="I256" s="436"/>
      <c r="J256" s="430">
        <f>H256*J255</f>
        <v>0</v>
      </c>
    </row>
    <row r="257" spans="1:10" ht="13.5" thickBot="1">
      <c r="A257" s="27"/>
      <c r="B257" s="110"/>
      <c r="D257" s="401" t="s">
        <v>71</v>
      </c>
      <c r="E257" s="402" t="s">
        <v>72</v>
      </c>
      <c r="F257" s="418"/>
      <c r="G257" s="419"/>
      <c r="H257" s="442"/>
      <c r="I257" s="421">
        <f>IF(AND(E257&lt;&gt;"",G257&lt;&gt;""),IF(D257="",IF(G257="OH",VLOOKUP(E257,UPAH!$C$4:$H$31,7,0),VLOOKUP(E257,#REF!,4,0)),0),0)</f>
        <v>0</v>
      </c>
      <c r="J257" s="396">
        <f>ROUNDDOWN(J255+J256,0)</f>
        <v>0</v>
      </c>
    </row>
    <row r="258" spans="1:10" ht="13">
      <c r="A258" s="27"/>
      <c r="B258" s="110"/>
      <c r="D258" s="11"/>
      <c r="E258" s="11"/>
      <c r="H258" s="443"/>
    </row>
    <row r="259" spans="1:10" ht="13.5" thickBot="1">
      <c r="A259" s="27"/>
      <c r="B259" s="110"/>
      <c r="C259" s="10" t="s">
        <v>1798</v>
      </c>
      <c r="D259" s="11" t="s">
        <v>546</v>
      </c>
      <c r="H259" s="443"/>
    </row>
    <row r="260" spans="1:10" ht="13.5" thickBot="1">
      <c r="A260" s="27"/>
      <c r="B260" s="110"/>
      <c r="D260" s="401" t="s">
        <v>40</v>
      </c>
      <c r="E260" s="402" t="s">
        <v>41</v>
      </c>
      <c r="F260" s="402" t="s">
        <v>42</v>
      </c>
      <c r="G260" s="403" t="s">
        <v>43</v>
      </c>
      <c r="H260" s="404" t="s">
        <v>44</v>
      </c>
      <c r="I260" s="402" t="s">
        <v>474</v>
      </c>
      <c r="J260" s="405" t="s">
        <v>475</v>
      </c>
    </row>
    <row r="261" spans="1:10" ht="13">
      <c r="A261" s="27"/>
      <c r="B261" s="110"/>
      <c r="D261" s="444" t="s">
        <v>45</v>
      </c>
      <c r="E261" s="445" t="s">
        <v>46</v>
      </c>
      <c r="F261" s="446"/>
      <c r="G261" s="447"/>
      <c r="H261" s="448"/>
      <c r="I261" s="412"/>
      <c r="J261" s="16"/>
    </row>
    <row r="262" spans="1:10" ht="13">
      <c r="A262" s="27"/>
      <c r="B262" s="110"/>
      <c r="D262" s="409"/>
      <c r="E262" s="13" t="s">
        <v>47</v>
      </c>
      <c r="F262" s="13" t="s">
        <v>1918</v>
      </c>
      <c r="G262" s="410" t="s">
        <v>48</v>
      </c>
      <c r="H262" s="411">
        <f>13.334/2</f>
        <v>6.6669999999999998</v>
      </c>
      <c r="I262" s="412">
        <f>IF(AND(E262&lt;&gt;"",G262&lt;&gt;""),IF(D262="",IF(G262="OH",VLOOKUP(F262,UPAH!$B$4:$H$101,7,0),VLOOKUP(F262,#REF!,4,0)),0),0)</f>
        <v>0</v>
      </c>
      <c r="J262" s="16">
        <f>H262*I262</f>
        <v>0</v>
      </c>
    </row>
    <row r="263" spans="1:10" ht="13.5" thickBot="1">
      <c r="A263" s="27"/>
      <c r="B263" s="110"/>
      <c r="D263" s="413"/>
      <c r="E263" s="414" t="s">
        <v>51</v>
      </c>
      <c r="F263" s="414" t="s">
        <v>1929</v>
      </c>
      <c r="G263" s="415" t="s">
        <v>48</v>
      </c>
      <c r="H263" s="416">
        <v>0.66600000000000004</v>
      </c>
      <c r="I263" s="412">
        <f>IF(AND(E263&lt;&gt;"",G263&lt;&gt;""),IF(D263="",IF(G263="OH",VLOOKUP(F263,UPAH!$B$4:$H$101,7,0),VLOOKUP(F263,#REF!,4,0)),0),0)</f>
        <v>0</v>
      </c>
      <c r="J263" s="16">
        <f>H263*I263</f>
        <v>0</v>
      </c>
    </row>
    <row r="264" spans="1:10" ht="13.5" thickBot="1">
      <c r="A264" s="27"/>
      <c r="B264" s="110"/>
      <c r="D264" s="417"/>
      <c r="E264" s="418"/>
      <c r="F264" s="418"/>
      <c r="G264" s="419"/>
      <c r="H264" s="420" t="s">
        <v>52</v>
      </c>
      <c r="I264" s="421"/>
      <c r="J264" s="396">
        <f>SUM(J261:J263)</f>
        <v>0</v>
      </c>
    </row>
    <row r="265" spans="1:10" ht="13.5" thickBot="1">
      <c r="A265" s="27"/>
      <c r="B265" s="110"/>
      <c r="D265" s="431" t="s">
        <v>53</v>
      </c>
      <c r="E265" s="432" t="s">
        <v>54</v>
      </c>
      <c r="F265" s="433"/>
      <c r="G265" s="434"/>
      <c r="H265" s="435"/>
      <c r="I265" s="412">
        <f>IF(AND(E265&lt;&gt;"",G265&lt;&gt;""),IF(D265="",IF(G265="OH",VLOOKUP(E265,UPAH!$C$4:$H$31,7,0),VLOOKUP(E265,#REF!,4,0)),0),0)</f>
        <v>0</v>
      </c>
      <c r="J265" s="16">
        <f>H265*I265</f>
        <v>0</v>
      </c>
    </row>
    <row r="266" spans="1:10" ht="13.5" thickBot="1">
      <c r="A266" s="27"/>
      <c r="B266" s="110"/>
      <c r="D266" s="417"/>
      <c r="E266" s="418"/>
      <c r="F266" s="418"/>
      <c r="G266" s="419"/>
      <c r="H266" s="420" t="s">
        <v>64</v>
      </c>
      <c r="I266" s="421"/>
      <c r="J266" s="396">
        <f>SUM(J265)</f>
        <v>0</v>
      </c>
    </row>
    <row r="267" spans="1:10" ht="13.5" thickBot="1">
      <c r="A267" s="27"/>
      <c r="B267" s="110"/>
      <c r="D267" s="431" t="s">
        <v>65</v>
      </c>
      <c r="E267" s="432" t="s">
        <v>66</v>
      </c>
      <c r="F267" s="433"/>
      <c r="G267" s="434"/>
      <c r="H267" s="435"/>
      <c r="I267" s="412">
        <f>IF(AND(E267&lt;&gt;"",G267&lt;&gt;""),IF(D267="",IF(G267="OH",VLOOKUP(E267,UPAH!$C$4:$H$31,7,0),VLOOKUP(E267,#REF!,4,0)),0),0)</f>
        <v>0</v>
      </c>
      <c r="J267" s="16">
        <f>H267*I267</f>
        <v>0</v>
      </c>
    </row>
    <row r="268" spans="1:10" ht="13.5" thickBot="1">
      <c r="A268" s="27"/>
      <c r="B268" s="110"/>
      <c r="D268" s="417"/>
      <c r="E268" s="418"/>
      <c r="F268" s="418"/>
      <c r="G268" s="419"/>
      <c r="H268" s="420" t="s">
        <v>67</v>
      </c>
      <c r="I268" s="421"/>
      <c r="J268" s="396">
        <f>J267</f>
        <v>0</v>
      </c>
    </row>
    <row r="269" spans="1:10" ht="13">
      <c r="A269" s="27"/>
      <c r="B269" s="110"/>
      <c r="D269" s="444" t="s">
        <v>68</v>
      </c>
      <c r="E269" s="445" t="s">
        <v>69</v>
      </c>
      <c r="F269" s="446"/>
      <c r="G269" s="447"/>
      <c r="H269" s="448"/>
      <c r="I269" s="449">
        <f>IF(AND(E269&lt;&gt;"",G269&lt;&gt;""),IF(D269="",IF(G269="OH",VLOOKUP(E269,UPAH!$C$4:$H$31,7,0),VLOOKUP(E269,#REF!,4,0)),0),0)</f>
        <v>0</v>
      </c>
      <c r="J269" s="16">
        <f>SUM(J259:J268)/2</f>
        <v>0</v>
      </c>
    </row>
    <row r="270" spans="1:10" ht="13.5" thickBot="1">
      <c r="A270" s="27"/>
      <c r="B270" s="110"/>
      <c r="D270" s="431" t="s">
        <v>70</v>
      </c>
      <c r="E270" s="432" t="s">
        <v>477</v>
      </c>
      <c r="F270" s="433"/>
      <c r="G270" s="434"/>
      <c r="H270" s="22">
        <v>0.1</v>
      </c>
      <c r="I270" s="436"/>
      <c r="J270" s="430">
        <f>H270*J269</f>
        <v>0</v>
      </c>
    </row>
    <row r="271" spans="1:10" ht="13.5" thickBot="1">
      <c r="A271" s="27"/>
      <c r="B271" s="110"/>
      <c r="D271" s="401" t="s">
        <v>71</v>
      </c>
      <c r="E271" s="402" t="s">
        <v>72</v>
      </c>
      <c r="F271" s="418"/>
      <c r="G271" s="419"/>
      <c r="H271" s="442"/>
      <c r="I271" s="421">
        <f>IF(AND(E271&lt;&gt;"",G271&lt;&gt;""),IF(D271="",IF(G271="OH",VLOOKUP(E271,UPAH!$C$4:$H$31,7,0),VLOOKUP(E271,#REF!,4,0)),0),0)</f>
        <v>0</v>
      </c>
      <c r="J271" s="396">
        <f>ROUNDDOWN(J269+J270,0)</f>
        <v>0</v>
      </c>
    </row>
    <row r="272" spans="1:10" ht="13">
      <c r="A272" s="27"/>
      <c r="B272" s="110"/>
      <c r="D272" s="11"/>
      <c r="E272" s="11"/>
      <c r="H272" s="443"/>
    </row>
    <row r="273" spans="1:10" ht="13.5" thickBot="1">
      <c r="A273" s="27"/>
      <c r="B273" s="110"/>
      <c r="C273" s="10" t="s">
        <v>1808</v>
      </c>
      <c r="D273" s="11" t="s">
        <v>547</v>
      </c>
      <c r="H273" s="443"/>
    </row>
    <row r="274" spans="1:10" ht="13.5" thickBot="1">
      <c r="A274" s="27"/>
      <c r="B274" s="110"/>
      <c r="D274" s="401" t="s">
        <v>40</v>
      </c>
      <c r="E274" s="402" t="s">
        <v>41</v>
      </c>
      <c r="F274" s="402" t="s">
        <v>42</v>
      </c>
      <c r="G274" s="403" t="s">
        <v>43</v>
      </c>
      <c r="H274" s="404" t="s">
        <v>44</v>
      </c>
      <c r="I274" s="402" t="s">
        <v>474</v>
      </c>
      <c r="J274" s="405" t="s">
        <v>475</v>
      </c>
    </row>
    <row r="275" spans="1:10" ht="13">
      <c r="A275" s="27"/>
      <c r="B275" s="110"/>
      <c r="D275" s="444" t="s">
        <v>45</v>
      </c>
      <c r="E275" s="445" t="s">
        <v>46</v>
      </c>
      <c r="F275" s="446"/>
      <c r="G275" s="447"/>
      <c r="H275" s="448"/>
      <c r="I275" s="412"/>
      <c r="J275" s="16"/>
    </row>
    <row r="276" spans="1:10" ht="13">
      <c r="A276" s="27"/>
      <c r="B276" s="110"/>
      <c r="D276" s="409"/>
      <c r="E276" s="13" t="s">
        <v>47</v>
      </c>
      <c r="F276" s="13" t="s">
        <v>1918</v>
      </c>
      <c r="G276" s="410" t="s">
        <v>48</v>
      </c>
      <c r="H276" s="411">
        <v>6.6669999999999998</v>
      </c>
      <c r="I276" s="412">
        <f>IF(AND(E276&lt;&gt;"",G276&lt;&gt;""),IF(D276="",IF(G276="OH",VLOOKUP(F276,UPAH!$B$4:$H$101,7,0),VLOOKUP(F276,#REF!,4,0)),0),0)</f>
        <v>0</v>
      </c>
      <c r="J276" s="16">
        <f>H276*I276</f>
        <v>0</v>
      </c>
    </row>
    <row r="277" spans="1:10" ht="13.5" thickBot="1">
      <c r="A277" s="27"/>
      <c r="B277" s="110"/>
      <c r="D277" s="413"/>
      <c r="E277" s="414" t="s">
        <v>51</v>
      </c>
      <c r="F277" s="414" t="s">
        <v>1929</v>
      </c>
      <c r="G277" s="415" t="s">
        <v>48</v>
      </c>
      <c r="H277" s="416">
        <v>0.33300000000000002</v>
      </c>
      <c r="I277" s="412">
        <f>IF(AND(E277&lt;&gt;"",G277&lt;&gt;""),IF(D277="",IF(G277="OH",VLOOKUP(F277,UPAH!$B$4:$H$101,7,0),VLOOKUP(F277,#REF!,4,0)),0),0)</f>
        <v>0</v>
      </c>
      <c r="J277" s="16">
        <f>H277*I277</f>
        <v>0</v>
      </c>
    </row>
    <row r="278" spans="1:10" ht="13.5" thickBot="1">
      <c r="A278" s="27"/>
      <c r="B278" s="110"/>
      <c r="D278" s="417"/>
      <c r="E278" s="418"/>
      <c r="F278" s="418"/>
      <c r="G278" s="419"/>
      <c r="H278" s="420" t="s">
        <v>52</v>
      </c>
      <c r="I278" s="421"/>
      <c r="J278" s="396">
        <f>SUM(J275:J277)</f>
        <v>0</v>
      </c>
    </row>
    <row r="279" spans="1:10" ht="13.5" thickBot="1">
      <c r="A279" s="27"/>
      <c r="B279" s="110"/>
      <c r="D279" s="431" t="s">
        <v>53</v>
      </c>
      <c r="E279" s="432" t="s">
        <v>54</v>
      </c>
      <c r="F279" s="433"/>
      <c r="G279" s="434"/>
      <c r="H279" s="435"/>
      <c r="I279" s="412">
        <f>IF(AND(E279&lt;&gt;"",G279&lt;&gt;""),IF(D279="",IF(G279="OH",VLOOKUP(E279,UPAH!$C$4:$H$31,7,0),VLOOKUP(E279,#REF!,4,0)),0),0)</f>
        <v>0</v>
      </c>
      <c r="J279" s="16">
        <f>H279*I279</f>
        <v>0</v>
      </c>
    </row>
    <row r="280" spans="1:10" ht="13.5" thickBot="1">
      <c r="A280" s="27"/>
      <c r="B280" s="110"/>
      <c r="D280" s="417"/>
      <c r="E280" s="418"/>
      <c r="F280" s="418"/>
      <c r="G280" s="419"/>
      <c r="H280" s="420" t="s">
        <v>64</v>
      </c>
      <c r="I280" s="421"/>
      <c r="J280" s="396">
        <f>SUM(J279)</f>
        <v>0</v>
      </c>
    </row>
    <row r="281" spans="1:10" ht="13.5" thickBot="1">
      <c r="A281" s="27"/>
      <c r="B281" s="110"/>
      <c r="D281" s="431" t="s">
        <v>65</v>
      </c>
      <c r="E281" s="432" t="s">
        <v>66</v>
      </c>
      <c r="F281" s="433"/>
      <c r="G281" s="434"/>
      <c r="H281" s="435"/>
      <c r="I281" s="412">
        <f>IF(AND(E281&lt;&gt;"",G281&lt;&gt;""),IF(D281="",IF(G281="OH",VLOOKUP(E281,UPAH!$C$4:$H$31,7,0),VLOOKUP(E281,#REF!,4,0)),0),0)</f>
        <v>0</v>
      </c>
      <c r="J281" s="16">
        <f>H281*I281</f>
        <v>0</v>
      </c>
    </row>
    <row r="282" spans="1:10" ht="13.5" thickBot="1">
      <c r="A282" s="27"/>
      <c r="B282" s="110"/>
      <c r="D282" s="417"/>
      <c r="E282" s="418"/>
      <c r="F282" s="418"/>
      <c r="G282" s="419"/>
      <c r="H282" s="420" t="s">
        <v>67</v>
      </c>
      <c r="I282" s="421"/>
      <c r="J282" s="396">
        <f>J281</f>
        <v>0</v>
      </c>
    </row>
    <row r="283" spans="1:10" ht="13">
      <c r="A283" s="27"/>
      <c r="B283" s="110"/>
      <c r="D283" s="444" t="s">
        <v>68</v>
      </c>
      <c r="E283" s="445" t="s">
        <v>69</v>
      </c>
      <c r="F283" s="446"/>
      <c r="G283" s="447"/>
      <c r="H283" s="448"/>
      <c r="I283" s="449">
        <f>IF(AND(E283&lt;&gt;"",G283&lt;&gt;""),IF(D283="",IF(G283="OH",VLOOKUP(E283,UPAH!$C$4:$H$31,7,0),VLOOKUP(E283,#REF!,4,0)),0),0)</f>
        <v>0</v>
      </c>
      <c r="J283" s="16">
        <f>SUM(J273:J282)/2</f>
        <v>0</v>
      </c>
    </row>
    <row r="284" spans="1:10" ht="13.5" thickBot="1">
      <c r="A284" s="27"/>
      <c r="B284" s="110"/>
      <c r="D284" s="431" t="s">
        <v>70</v>
      </c>
      <c r="E284" s="432" t="s">
        <v>477</v>
      </c>
      <c r="F284" s="433"/>
      <c r="G284" s="434"/>
      <c r="H284" s="22">
        <v>0.1</v>
      </c>
      <c r="I284" s="436"/>
      <c r="J284" s="430">
        <f>H284*J283</f>
        <v>0</v>
      </c>
    </row>
    <row r="285" spans="1:10" ht="13.5" thickBot="1">
      <c r="A285" s="27"/>
      <c r="B285" s="110"/>
      <c r="D285" s="401" t="s">
        <v>71</v>
      </c>
      <c r="E285" s="402" t="s">
        <v>72</v>
      </c>
      <c r="F285" s="418"/>
      <c r="G285" s="419"/>
      <c r="H285" s="442"/>
      <c r="I285" s="421">
        <f>IF(AND(E285&lt;&gt;"",G285&lt;&gt;""),IF(D285="",IF(G285="OH",VLOOKUP(E285,UPAH!$C$4:$H$31,7,0),VLOOKUP(E285,#REF!,4,0)),0),0)</f>
        <v>0</v>
      </c>
      <c r="J285" s="396">
        <f>ROUNDDOWN(J283+J284,0)</f>
        <v>0</v>
      </c>
    </row>
    <row r="286" spans="1:10" ht="13">
      <c r="A286" s="27"/>
      <c r="B286" s="110"/>
      <c r="D286" s="11"/>
      <c r="E286" s="11"/>
      <c r="H286" s="443"/>
    </row>
    <row r="287" spans="1:10" ht="13.5" thickBot="1">
      <c r="A287" s="27"/>
      <c r="B287" s="110"/>
      <c r="C287" s="10" t="s">
        <v>1809</v>
      </c>
      <c r="D287" s="11" t="s">
        <v>1068</v>
      </c>
      <c r="H287" s="443"/>
    </row>
    <row r="288" spans="1:10" ht="13.5" thickBot="1">
      <c r="A288" s="27"/>
      <c r="B288" s="110"/>
      <c r="D288" s="401" t="s">
        <v>40</v>
      </c>
      <c r="E288" s="402" t="s">
        <v>41</v>
      </c>
      <c r="F288" s="402" t="s">
        <v>42</v>
      </c>
      <c r="G288" s="403" t="s">
        <v>43</v>
      </c>
      <c r="H288" s="404" t="s">
        <v>44</v>
      </c>
      <c r="I288" s="402" t="s">
        <v>474</v>
      </c>
      <c r="J288" s="405" t="s">
        <v>475</v>
      </c>
    </row>
    <row r="289" spans="1:14" ht="13">
      <c r="A289" s="27"/>
      <c r="B289" s="110"/>
      <c r="D289" s="444" t="s">
        <v>45</v>
      </c>
      <c r="E289" s="445" t="s">
        <v>46</v>
      </c>
      <c r="F289" s="446"/>
      <c r="G289" s="447"/>
      <c r="H289" s="448"/>
      <c r="I289" s="412"/>
      <c r="J289" s="16"/>
    </row>
    <row r="290" spans="1:14" ht="13">
      <c r="A290" s="27"/>
      <c r="B290" s="110"/>
      <c r="D290" s="409"/>
      <c r="E290" s="13" t="s">
        <v>47</v>
      </c>
      <c r="F290" s="13" t="s">
        <v>1918</v>
      </c>
      <c r="G290" s="410" t="s">
        <v>48</v>
      </c>
      <c r="H290" s="411">
        <v>4.2000000000000003E-2</v>
      </c>
      <c r="I290" s="412">
        <f>IF(AND(E290&lt;&gt;"",G290&lt;&gt;""),IF(D290="",IF(G290="OH",VLOOKUP(F290,UPAH!$B$4:$H$101,7,0),VLOOKUP(F290,#REF!,4,0)),0),0)</f>
        <v>0</v>
      </c>
      <c r="J290" s="16">
        <f>H290*I290</f>
        <v>0</v>
      </c>
    </row>
    <row r="291" spans="1:14" ht="13">
      <c r="A291" s="27"/>
      <c r="B291" s="110"/>
      <c r="D291" s="409"/>
      <c r="E291" s="13" t="s">
        <v>96</v>
      </c>
      <c r="F291" s="13" t="s">
        <v>1919</v>
      </c>
      <c r="G291" s="410" t="s">
        <v>48</v>
      </c>
      <c r="H291" s="411">
        <v>4.0000000000000001E-3</v>
      </c>
      <c r="I291" s="412">
        <f>IF(AND(E291&lt;&gt;"",G291&lt;&gt;""),IF(D291="",IF(G291="OH",VLOOKUP(F291,UPAH!$B$4:$H$101,7,0),VLOOKUP(F291,#REF!,4,0)),0),0)</f>
        <v>0</v>
      </c>
      <c r="J291" s="16">
        <f>H291*I291</f>
        <v>0</v>
      </c>
    </row>
    <row r="292" spans="1:14" ht="13">
      <c r="A292" s="27"/>
      <c r="B292" s="110"/>
      <c r="D292" s="409"/>
      <c r="E292" s="13" t="s">
        <v>97</v>
      </c>
      <c r="F292" s="13" t="s">
        <v>1928</v>
      </c>
      <c r="G292" s="410" t="s">
        <v>48</v>
      </c>
      <c r="H292" s="411">
        <v>2E-3</v>
      </c>
      <c r="I292" s="412">
        <f>IF(AND(E292&lt;&gt;"",G292&lt;&gt;""),IF(D292="",IF(G292="OH",VLOOKUP(F292,UPAH!$B$4:$H$101,7,0),VLOOKUP(F292,#REF!,4,0)),0),0)</f>
        <v>0</v>
      </c>
      <c r="J292" s="16">
        <f>H292*I292</f>
        <v>0</v>
      </c>
    </row>
    <row r="293" spans="1:14" ht="13.5" thickBot="1">
      <c r="A293" s="27"/>
      <c r="B293" s="110"/>
      <c r="D293" s="413"/>
      <c r="E293" s="414" t="s">
        <v>51</v>
      </c>
      <c r="F293" s="414" t="s">
        <v>1929</v>
      </c>
      <c r="G293" s="415" t="s">
        <v>48</v>
      </c>
      <c r="H293" s="416">
        <v>4.2000000000000003E-2</v>
      </c>
      <c r="I293" s="412">
        <f>IF(AND(E293&lt;&gt;"",G293&lt;&gt;""),IF(D293="",IF(G293="OH",VLOOKUP(F293,UPAH!$B$4:$H$101,7,0),VLOOKUP(F293,#REF!,4,0)),0),0)</f>
        <v>0</v>
      </c>
      <c r="J293" s="16">
        <f>H293*I293</f>
        <v>0</v>
      </c>
    </row>
    <row r="294" spans="1:14" ht="13.5" thickBot="1">
      <c r="A294" s="27"/>
      <c r="B294" s="110"/>
      <c r="D294" s="417"/>
      <c r="E294" s="418"/>
      <c r="F294" s="418"/>
      <c r="G294" s="419"/>
      <c r="H294" s="420" t="s">
        <v>52</v>
      </c>
      <c r="I294" s="421"/>
      <c r="J294" s="396">
        <f>SUM(J290:J293)</f>
        <v>0</v>
      </c>
    </row>
    <row r="295" spans="1:14" ht="13">
      <c r="A295" s="27"/>
      <c r="B295" s="110"/>
      <c r="D295" s="422" t="s">
        <v>53</v>
      </c>
      <c r="E295" s="423" t="s">
        <v>54</v>
      </c>
      <c r="F295" s="424"/>
      <c r="G295" s="425"/>
      <c r="H295" s="426"/>
      <c r="I295" s="412">
        <f>IF(AND(E295&lt;&gt;"",G295&lt;&gt;""),IF(D295="",IF(G295="OH",VLOOKUP(E295,UPAH!$C$4:$H$31,7,0),VLOOKUP(E295,#REF!,4,0)),0),0)</f>
        <v>0</v>
      </c>
      <c r="J295" s="16">
        <f>H295*I295</f>
        <v>0</v>
      </c>
    </row>
    <row r="296" spans="1:14" ht="13.5" thickBot="1">
      <c r="A296" s="27"/>
      <c r="B296" s="110"/>
      <c r="D296" s="413"/>
      <c r="E296" s="414" t="s">
        <v>98</v>
      </c>
      <c r="F296" s="429"/>
      <c r="G296" s="415" t="s">
        <v>74</v>
      </c>
      <c r="H296" s="416">
        <v>0.1434</v>
      </c>
      <c r="I296" s="412">
        <f>'BAHAN '!G119</f>
        <v>0</v>
      </c>
      <c r="J296" s="16">
        <f>H296*I296</f>
        <v>0</v>
      </c>
      <c r="N296" s="17"/>
    </row>
    <row r="297" spans="1:14" ht="13.5" thickBot="1">
      <c r="A297" s="27"/>
      <c r="B297" s="110"/>
      <c r="D297" s="417"/>
      <c r="E297" s="418"/>
      <c r="F297" s="418"/>
      <c r="G297" s="419"/>
      <c r="H297" s="420" t="s">
        <v>64</v>
      </c>
      <c r="I297" s="421"/>
      <c r="J297" s="396">
        <f>SUM(J296)</f>
        <v>0</v>
      </c>
    </row>
    <row r="298" spans="1:14" ht="13.5" thickBot="1">
      <c r="A298" s="27"/>
      <c r="B298" s="110"/>
      <c r="D298" s="431" t="s">
        <v>65</v>
      </c>
      <c r="E298" s="432" t="s">
        <v>66</v>
      </c>
      <c r="F298" s="433"/>
      <c r="G298" s="434"/>
      <c r="H298" s="435"/>
      <c r="I298" s="412">
        <f>IF(AND(E298&lt;&gt;"",G298&lt;&gt;""),IF(D298="",IF(G298="OH",VLOOKUP(E298,UPAH!$C$4:$H$31,7,0),VLOOKUP(E298,#REF!,4,0)),0),0)</f>
        <v>0</v>
      </c>
      <c r="J298" s="16">
        <f>H298*I298</f>
        <v>0</v>
      </c>
    </row>
    <row r="299" spans="1:14" ht="13.5" thickBot="1">
      <c r="A299" s="27"/>
      <c r="B299" s="110"/>
      <c r="D299" s="417"/>
      <c r="E299" s="418"/>
      <c r="F299" s="418"/>
      <c r="G299" s="419"/>
      <c r="H299" s="420" t="s">
        <v>67</v>
      </c>
      <c r="I299" s="421"/>
      <c r="J299" s="396">
        <f>J298</f>
        <v>0</v>
      </c>
    </row>
    <row r="300" spans="1:14" ht="13">
      <c r="A300" s="27"/>
      <c r="B300" s="110"/>
      <c r="D300" s="444" t="s">
        <v>68</v>
      </c>
      <c r="E300" s="445" t="s">
        <v>69</v>
      </c>
      <c r="F300" s="446"/>
      <c r="G300" s="447"/>
      <c r="H300" s="448"/>
      <c r="I300" s="449">
        <f>IF(AND(E300&lt;&gt;"",G300&lt;&gt;""),IF(D300="",IF(G300="OH",VLOOKUP(E300,UPAH!$C$4:$H$31,7,0),VLOOKUP(E300,#REF!,4,0)),0),0)</f>
        <v>0</v>
      </c>
      <c r="J300" s="16">
        <f>SUM(J290:J299)/2</f>
        <v>0</v>
      </c>
    </row>
    <row r="301" spans="1:14" ht="13.5" thickBot="1">
      <c r="A301" s="27"/>
      <c r="B301" s="110"/>
      <c r="D301" s="431" t="s">
        <v>70</v>
      </c>
      <c r="E301" s="432" t="s">
        <v>477</v>
      </c>
      <c r="F301" s="433"/>
      <c r="G301" s="434"/>
      <c r="H301" s="22">
        <v>0.1</v>
      </c>
      <c r="I301" s="436"/>
      <c r="J301" s="430">
        <f>H301*J300</f>
        <v>0</v>
      </c>
    </row>
    <row r="302" spans="1:14" ht="13.5" thickBot="1">
      <c r="A302" s="27"/>
      <c r="B302" s="110"/>
      <c r="D302" s="401" t="s">
        <v>71</v>
      </c>
      <c r="E302" s="402" t="s">
        <v>72</v>
      </c>
      <c r="F302" s="418"/>
      <c r="G302" s="419"/>
      <c r="H302" s="442"/>
      <c r="I302" s="421">
        <f>IF(AND(E302&lt;&gt;"",G302&lt;&gt;""),IF(D302="",IF(G302="OH",VLOOKUP(E302,UPAH!$C$4:$H$31,7,0),VLOOKUP(E302,#REF!,4,0)),0),0)</f>
        <v>0</v>
      </c>
      <c r="J302" s="396">
        <f>ROUNDDOWN(J300+J301,0)</f>
        <v>0</v>
      </c>
    </row>
    <row r="303" spans="1:14" ht="13">
      <c r="A303" s="27"/>
      <c r="B303" s="110"/>
      <c r="D303" s="11"/>
      <c r="E303" s="11"/>
      <c r="H303" s="443"/>
    </row>
    <row r="304" spans="1:14" ht="13.5" thickBot="1">
      <c r="A304" s="27"/>
      <c r="B304" s="110"/>
      <c r="C304" s="10" t="s">
        <v>549</v>
      </c>
      <c r="D304" s="11" t="s">
        <v>548</v>
      </c>
      <c r="H304" s="443"/>
    </row>
    <row r="305" spans="1:10" ht="13.5" thickBot="1">
      <c r="A305" s="27"/>
      <c r="B305" s="110"/>
      <c r="D305" s="401" t="s">
        <v>40</v>
      </c>
      <c r="E305" s="402" t="s">
        <v>41</v>
      </c>
      <c r="F305" s="402" t="s">
        <v>42</v>
      </c>
      <c r="G305" s="403" t="s">
        <v>43</v>
      </c>
      <c r="H305" s="404" t="s">
        <v>44</v>
      </c>
      <c r="I305" s="402" t="s">
        <v>474</v>
      </c>
      <c r="J305" s="405" t="s">
        <v>475</v>
      </c>
    </row>
    <row r="306" spans="1:10" ht="13">
      <c r="A306" s="27"/>
      <c r="B306" s="110"/>
      <c r="D306" s="444" t="s">
        <v>45</v>
      </c>
      <c r="E306" s="445" t="s">
        <v>46</v>
      </c>
      <c r="F306" s="446"/>
      <c r="G306" s="447"/>
      <c r="H306" s="448"/>
      <c r="I306" s="412"/>
      <c r="J306" s="16"/>
    </row>
    <row r="307" spans="1:10" ht="13">
      <c r="A307" s="27"/>
      <c r="B307" s="110"/>
      <c r="D307" s="409"/>
      <c r="E307" s="13" t="s">
        <v>47</v>
      </c>
      <c r="F307" s="13" t="s">
        <v>1918</v>
      </c>
      <c r="G307" s="410" t="s">
        <v>48</v>
      </c>
      <c r="H307" s="411">
        <v>0.375</v>
      </c>
      <c r="I307" s="412">
        <f>IF(AND(E307&lt;&gt;"",G307&lt;&gt;""),IF(D307="",IF(G307="OH",VLOOKUP(F307,UPAH!$B$4:$H$101,7,0),VLOOKUP(F307,#REF!,4,0)),0),0)</f>
        <v>0</v>
      </c>
      <c r="J307" s="16">
        <f>H307*I307</f>
        <v>0</v>
      </c>
    </row>
    <row r="308" spans="1:10" ht="13">
      <c r="A308" s="27"/>
      <c r="B308" s="110"/>
      <c r="D308" s="409"/>
      <c r="E308" s="13" t="s">
        <v>96</v>
      </c>
      <c r="F308" s="13" t="s">
        <v>1919</v>
      </c>
      <c r="G308" s="410" t="s">
        <v>48</v>
      </c>
      <c r="H308" s="411">
        <v>0.125</v>
      </c>
      <c r="I308" s="412">
        <f>IF(AND(E308&lt;&gt;"",G308&lt;&gt;""),IF(D308="",IF(G308="OH",VLOOKUP(F308,UPAH!$B$4:$H$101,7,0),VLOOKUP(F308,#REF!,4,0)),0),0)</f>
        <v>0</v>
      </c>
      <c r="J308" s="16">
        <f>H308*I308</f>
        <v>0</v>
      </c>
    </row>
    <row r="309" spans="1:10" ht="13">
      <c r="A309" s="27"/>
      <c r="B309" s="110"/>
      <c r="D309" s="409"/>
      <c r="E309" s="13" t="s">
        <v>97</v>
      </c>
      <c r="F309" s="13" t="s">
        <v>1928</v>
      </c>
      <c r="G309" s="410" t="s">
        <v>48</v>
      </c>
      <c r="H309" s="411">
        <v>1.2E-2</v>
      </c>
      <c r="I309" s="412">
        <f>IF(AND(E309&lt;&gt;"",G309&lt;&gt;""),IF(D309="",IF(G309="OH",VLOOKUP(F309,UPAH!$B$4:$H$101,7,0),VLOOKUP(F309,#REF!,4,0)),0),0)</f>
        <v>0</v>
      </c>
      <c r="J309" s="16">
        <f>H309*I309</f>
        <v>0</v>
      </c>
    </row>
    <row r="310" spans="1:10" ht="13.5" thickBot="1">
      <c r="A310" s="27"/>
      <c r="B310" s="110"/>
      <c r="D310" s="413"/>
      <c r="E310" s="414" t="s">
        <v>51</v>
      </c>
      <c r="F310" s="414" t="s">
        <v>1929</v>
      </c>
      <c r="G310" s="415" t="s">
        <v>48</v>
      </c>
      <c r="H310" s="416">
        <v>1.9E-2</v>
      </c>
      <c r="I310" s="412">
        <f>IF(AND(E310&lt;&gt;"",G310&lt;&gt;""),IF(D310="",IF(G310="OH",VLOOKUP(F310,UPAH!$B$4:$H$101,7,0),VLOOKUP(F310,#REF!,4,0)),0),0)</f>
        <v>0</v>
      </c>
      <c r="J310" s="16">
        <f>H310*I310</f>
        <v>0</v>
      </c>
    </row>
    <row r="311" spans="1:10" ht="13.5" thickBot="1">
      <c r="A311" s="27"/>
      <c r="B311" s="110"/>
      <c r="D311" s="417"/>
      <c r="E311" s="418"/>
      <c r="F311" s="418"/>
      <c r="G311" s="419"/>
      <c r="H311" s="420" t="s">
        <v>52</v>
      </c>
      <c r="I311" s="421"/>
      <c r="J311" s="396">
        <f>SUM(J307:J310)</f>
        <v>0</v>
      </c>
    </row>
    <row r="312" spans="1:10" ht="13">
      <c r="A312" s="27"/>
      <c r="B312" s="110"/>
      <c r="D312" s="422" t="s">
        <v>53</v>
      </c>
      <c r="E312" s="423" t="s">
        <v>54</v>
      </c>
      <c r="F312" s="424"/>
      <c r="G312" s="425"/>
      <c r="H312" s="426"/>
      <c r="I312" s="412">
        <f>IF(AND(E312&lt;&gt;"",G312&lt;&gt;""),IF(D312="",IF(G312="OH",VLOOKUP(E312,UPAH!$C$4:$H$31,7,0),VLOOKUP(E312,#REF!,4,0)),0),0)</f>
        <v>0</v>
      </c>
      <c r="J312" s="16">
        <f t="shared" ref="J312:J317" si="6">H312*I312</f>
        <v>0</v>
      </c>
    </row>
    <row r="313" spans="1:10" ht="13">
      <c r="A313" s="27"/>
      <c r="B313" s="110"/>
      <c r="D313" s="409"/>
      <c r="E313" s="13" t="s">
        <v>408</v>
      </c>
      <c r="F313" s="14"/>
      <c r="G313" s="410" t="s">
        <v>74</v>
      </c>
      <c r="H313" s="411">
        <v>0.98599999999999999</v>
      </c>
      <c r="I313" s="412">
        <f>'BAHAN '!G966</f>
        <v>0</v>
      </c>
      <c r="J313" s="16">
        <f t="shared" si="6"/>
        <v>0</v>
      </c>
    </row>
    <row r="314" spans="1:10" ht="13">
      <c r="A314" s="27"/>
      <c r="B314" s="110"/>
      <c r="D314" s="409"/>
      <c r="E314" s="13" t="s">
        <v>2885</v>
      </c>
      <c r="F314" s="14"/>
      <c r="G314" s="410" t="s">
        <v>55</v>
      </c>
      <c r="H314" s="411">
        <v>0.52500000000000002</v>
      </c>
      <c r="I314" s="412">
        <f>'BAHAN '!G967</f>
        <v>0</v>
      </c>
      <c r="J314" s="16">
        <f t="shared" si="6"/>
        <v>0</v>
      </c>
    </row>
    <row r="315" spans="1:10" ht="13">
      <c r="A315" s="27"/>
      <c r="B315" s="110"/>
      <c r="D315" s="409"/>
      <c r="E315" s="13" t="s">
        <v>56</v>
      </c>
      <c r="F315" s="14"/>
      <c r="G315" s="410" t="s">
        <v>57</v>
      </c>
      <c r="H315" s="411">
        <v>45</v>
      </c>
      <c r="I315" s="412">
        <f>'BAHAN '!G72</f>
        <v>0</v>
      </c>
      <c r="J315" s="16">
        <f t="shared" si="6"/>
        <v>0</v>
      </c>
    </row>
    <row r="316" spans="1:10" ht="13">
      <c r="A316" s="27"/>
      <c r="B316" s="110"/>
      <c r="D316" s="409"/>
      <c r="E316" s="13" t="s">
        <v>58</v>
      </c>
      <c r="F316" s="14"/>
      <c r="G316" s="410" t="s">
        <v>375</v>
      </c>
      <c r="H316" s="411">
        <v>7.3999999999999996E-2</v>
      </c>
      <c r="I316" s="412">
        <f>'BAHAN '!G59</f>
        <v>0</v>
      </c>
      <c r="J316" s="16">
        <f t="shared" si="6"/>
        <v>0</v>
      </c>
    </row>
    <row r="317" spans="1:10" ht="13.5" thickBot="1">
      <c r="A317" s="27"/>
      <c r="B317" s="110"/>
      <c r="D317" s="413"/>
      <c r="E317" s="414" t="s">
        <v>99</v>
      </c>
      <c r="F317" s="429"/>
      <c r="G317" s="415" t="s">
        <v>375</v>
      </c>
      <c r="H317" s="416">
        <v>0.14599999999999999</v>
      </c>
      <c r="I317" s="412">
        <f>'BAHAN '!G49</f>
        <v>0</v>
      </c>
      <c r="J317" s="16">
        <f t="shared" si="6"/>
        <v>0</v>
      </c>
    </row>
    <row r="318" spans="1:10" ht="13.5" thickBot="1">
      <c r="A318" s="27"/>
      <c r="B318" s="110"/>
      <c r="D318" s="417"/>
      <c r="E318" s="418"/>
      <c r="F318" s="418"/>
      <c r="G318" s="419"/>
      <c r="H318" s="420" t="s">
        <v>64</v>
      </c>
      <c r="I318" s="421"/>
      <c r="J318" s="396">
        <f>SUM(J312:J317)</f>
        <v>0</v>
      </c>
    </row>
    <row r="319" spans="1:10" ht="13.5" thickBot="1">
      <c r="A319" s="27"/>
      <c r="B319" s="110"/>
      <c r="D319" s="431" t="s">
        <v>65</v>
      </c>
      <c r="E319" s="432" t="s">
        <v>66</v>
      </c>
      <c r="F319" s="433"/>
      <c r="G319" s="434"/>
      <c r="H319" s="435"/>
      <c r="I319" s="412">
        <f>IF(AND(E319&lt;&gt;"",G319&lt;&gt;""),IF(D319="",IF(G319="OH",VLOOKUP(E319,UPAH!$C$4:$H$31,7,0),VLOOKUP(E319,#REF!,4,0)),0),0)</f>
        <v>0</v>
      </c>
      <c r="J319" s="16">
        <f>H319*I319</f>
        <v>0</v>
      </c>
    </row>
    <row r="320" spans="1:10" ht="13.5" thickBot="1">
      <c r="A320" s="27"/>
      <c r="B320" s="110"/>
      <c r="D320" s="417"/>
      <c r="E320" s="418"/>
      <c r="F320" s="418"/>
      <c r="G320" s="419"/>
      <c r="H320" s="420" t="s">
        <v>67</v>
      </c>
      <c r="I320" s="421"/>
      <c r="J320" s="396">
        <f>J319</f>
        <v>0</v>
      </c>
    </row>
    <row r="321" spans="1:10" ht="13">
      <c r="A321" s="27"/>
      <c r="B321" s="110"/>
      <c r="D321" s="444" t="s">
        <v>68</v>
      </c>
      <c r="E321" s="445" t="s">
        <v>69</v>
      </c>
      <c r="F321" s="446"/>
      <c r="G321" s="447"/>
      <c r="H321" s="448"/>
      <c r="I321" s="449">
        <f>IF(AND(E321&lt;&gt;"",G321&lt;&gt;""),IF(D321="",IF(G321="OH",VLOOKUP(E321,UPAH!$C$4:$H$31,7,0),VLOOKUP(E321,#REF!,4,0)),0),0)</f>
        <v>0</v>
      </c>
      <c r="J321" s="16">
        <f>SUM(J307:J320)/2</f>
        <v>0</v>
      </c>
    </row>
    <row r="322" spans="1:10" ht="13.5" thickBot="1">
      <c r="A322" s="27"/>
      <c r="B322" s="110"/>
      <c r="D322" s="431" t="s">
        <v>70</v>
      </c>
      <c r="E322" s="432" t="s">
        <v>477</v>
      </c>
      <c r="F322" s="433"/>
      <c r="G322" s="434"/>
      <c r="H322" s="22">
        <v>0.1</v>
      </c>
      <c r="I322" s="436"/>
      <c r="J322" s="430">
        <f>H322*J321</f>
        <v>0</v>
      </c>
    </row>
    <row r="323" spans="1:10" ht="13.5" thickBot="1">
      <c r="A323" s="27"/>
      <c r="B323" s="110"/>
      <c r="D323" s="401" t="s">
        <v>71</v>
      </c>
      <c r="E323" s="402" t="s">
        <v>72</v>
      </c>
      <c r="F323" s="418"/>
      <c r="G323" s="419"/>
      <c r="H323" s="442"/>
      <c r="I323" s="421">
        <f>IF(AND(E323&lt;&gt;"",G323&lt;&gt;""),IF(D323="",IF(G323="OH",VLOOKUP(E323,UPAH!$C$4:$H$31,7,0),VLOOKUP(E323,#REF!,4,0)),0),0)</f>
        <v>0</v>
      </c>
      <c r="J323" s="396">
        <f>ROUNDDOWN(J321+J322,0)</f>
        <v>0</v>
      </c>
    </row>
    <row r="324" spans="1:10" ht="13">
      <c r="A324" s="27"/>
      <c r="B324" s="110"/>
      <c r="C324" s="11"/>
      <c r="E324" s="11"/>
      <c r="H324" s="443"/>
    </row>
    <row r="325" spans="1:10" s="27" customFormat="1" ht="13">
      <c r="B325" s="110"/>
      <c r="C325" s="452" t="s">
        <v>479</v>
      </c>
      <c r="G325" s="399"/>
      <c r="H325" s="453"/>
    </row>
    <row r="326" spans="1:10" ht="13.5" thickBot="1">
      <c r="A326" s="27"/>
      <c r="B326" s="110"/>
      <c r="C326" s="10" t="s">
        <v>551</v>
      </c>
      <c r="D326" s="538" t="s">
        <v>4081</v>
      </c>
      <c r="H326" s="443"/>
    </row>
    <row r="327" spans="1:10" ht="13.5" thickBot="1">
      <c r="A327" s="27"/>
      <c r="B327" s="110"/>
      <c r="D327" s="401" t="s">
        <v>40</v>
      </c>
      <c r="E327" s="402" t="s">
        <v>41</v>
      </c>
      <c r="F327" s="402" t="s">
        <v>42</v>
      </c>
      <c r="G327" s="403" t="s">
        <v>43</v>
      </c>
      <c r="H327" s="404" t="s">
        <v>44</v>
      </c>
      <c r="I327" s="402" t="s">
        <v>474</v>
      </c>
      <c r="J327" s="405" t="s">
        <v>475</v>
      </c>
    </row>
    <row r="328" spans="1:10" ht="13">
      <c r="A328" s="27"/>
      <c r="B328" s="110"/>
      <c r="D328" s="444" t="s">
        <v>45</v>
      </c>
      <c r="E328" s="445" t="s">
        <v>46</v>
      </c>
      <c r="F328" s="446"/>
      <c r="G328" s="447"/>
      <c r="H328" s="448"/>
      <c r="I328" s="412">
        <f>IF(AND(E328&lt;&gt;"",G328&lt;&gt;""),IF(D328="",IF(G328="OH",VLOOKUP(E328,UPAH!$C$4:$H$31,7,0),VLOOKUP(E328,#REF!,4,0)),0),0)</f>
        <v>0</v>
      </c>
      <c r="J328" s="16">
        <f>H328*I328</f>
        <v>0</v>
      </c>
    </row>
    <row r="329" spans="1:10" ht="13">
      <c r="A329" s="27"/>
      <c r="B329" s="110"/>
      <c r="D329" s="409"/>
      <c r="E329" s="13" t="s">
        <v>47</v>
      </c>
      <c r="F329" s="13" t="s">
        <v>1918</v>
      </c>
      <c r="G329" s="410" t="s">
        <v>48</v>
      </c>
      <c r="H329" s="411">
        <v>0.13500000000000001</v>
      </c>
      <c r="I329" s="412">
        <f>IF(AND(E329&lt;&gt;"",G329&lt;&gt;""),IF(D329="",IF(G329="OH",VLOOKUP(F329,UPAH!$B$4:$H$101,7,0),VLOOKUP(F329,#REF!,4,0)),0),0)</f>
        <v>0</v>
      </c>
      <c r="J329" s="16">
        <f>H329*I329</f>
        <v>0</v>
      </c>
    </row>
    <row r="330" spans="1:10" ht="13.5" thickBot="1">
      <c r="A330" s="27"/>
      <c r="B330" s="110"/>
      <c r="D330" s="413"/>
      <c r="E330" s="414" t="s">
        <v>51</v>
      </c>
      <c r="F330" s="414" t="s">
        <v>1929</v>
      </c>
      <c r="G330" s="415" t="s">
        <v>48</v>
      </c>
      <c r="H330" s="416">
        <v>1.35E-2</v>
      </c>
      <c r="I330" s="412">
        <f>IF(AND(E330&lt;&gt;"",G330&lt;&gt;""),IF(D330="",IF(G330="OH",VLOOKUP(F330,UPAH!$B$4:$H$101,7,0),VLOOKUP(F330,#REF!,4,0)),0),0)</f>
        <v>0</v>
      </c>
      <c r="J330" s="16">
        <f>H330*I330</f>
        <v>0</v>
      </c>
    </row>
    <row r="331" spans="1:10" ht="13.5" thickBot="1">
      <c r="A331" s="27"/>
      <c r="B331" s="110"/>
      <c r="D331" s="417"/>
      <c r="E331" s="418"/>
      <c r="F331" s="418"/>
      <c r="G331" s="419"/>
      <c r="H331" s="420" t="s">
        <v>52</v>
      </c>
      <c r="I331" s="421"/>
      <c r="J331" s="396">
        <f>SUM(J328:J330)</f>
        <v>0</v>
      </c>
    </row>
    <row r="332" spans="1:10" ht="13.5" thickBot="1">
      <c r="A332" s="27"/>
      <c r="B332" s="110"/>
      <c r="D332" s="431" t="s">
        <v>53</v>
      </c>
      <c r="E332" s="432" t="s">
        <v>54</v>
      </c>
      <c r="F332" s="433"/>
      <c r="G332" s="434"/>
      <c r="H332" s="435"/>
      <c r="I332" s="412">
        <f>IF(AND(E332&lt;&gt;"",G332&lt;&gt;""),IF(D332="",IF(G332="OH",VLOOKUP(E332,UPAH!$C$4:$H$31,7,0),VLOOKUP(E332,#REF!,4,0)),0),0)</f>
        <v>0</v>
      </c>
      <c r="J332" s="16">
        <f>H332*I332</f>
        <v>0</v>
      </c>
    </row>
    <row r="333" spans="1:10" ht="13.5" thickBot="1">
      <c r="A333" s="27"/>
      <c r="B333" s="110"/>
      <c r="D333" s="417"/>
      <c r="E333" s="418"/>
      <c r="F333" s="418"/>
      <c r="G333" s="419"/>
      <c r="H333" s="420" t="s">
        <v>64</v>
      </c>
      <c r="I333" s="421"/>
      <c r="J333" s="396">
        <f>SUM(J332)</f>
        <v>0</v>
      </c>
    </row>
    <row r="334" spans="1:10" ht="13">
      <c r="A334" s="27"/>
      <c r="B334" s="110"/>
      <c r="D334" s="444" t="s">
        <v>65</v>
      </c>
      <c r="E334" s="445" t="s">
        <v>66</v>
      </c>
      <c r="F334" s="446"/>
      <c r="G334" s="447"/>
      <c r="H334" s="448"/>
      <c r="I334" s="412">
        <f>IF(AND(E334&lt;&gt;"",G334&lt;&gt;""),IF(D334="",IF(G334="OH",VLOOKUP(E334,UPAH!$C$4:$H$31,7,0),VLOOKUP(E334,#REF!,4,0)),0),0)</f>
        <v>0</v>
      </c>
      <c r="J334" s="16">
        <f>H334*I334</f>
        <v>0</v>
      </c>
    </row>
    <row r="335" spans="1:10" ht="13.5" thickBot="1">
      <c r="A335" s="27"/>
      <c r="B335" s="110"/>
      <c r="D335" s="431"/>
      <c r="E335" s="432" t="s">
        <v>4082</v>
      </c>
      <c r="F335" s="433"/>
      <c r="G335" s="434" t="s">
        <v>285</v>
      </c>
      <c r="H335" s="435">
        <v>4.4999999999999998E-2</v>
      </c>
      <c r="I335" s="436">
        <v>0</v>
      </c>
      <c r="J335" s="16">
        <f>H335*I335</f>
        <v>0</v>
      </c>
    </row>
    <row r="336" spans="1:10" ht="13.5" thickBot="1">
      <c r="A336" s="27"/>
      <c r="B336" s="110"/>
      <c r="D336" s="417"/>
      <c r="E336" s="418"/>
      <c r="F336" s="418"/>
      <c r="G336" s="419"/>
      <c r="H336" s="420" t="s">
        <v>67</v>
      </c>
      <c r="I336" s="421"/>
      <c r="J336" s="396">
        <f>J334</f>
        <v>0</v>
      </c>
    </row>
    <row r="337" spans="1:10" ht="13">
      <c r="A337" s="27"/>
      <c r="B337" s="110"/>
      <c r="D337" s="444" t="s">
        <v>68</v>
      </c>
      <c r="E337" s="445" t="s">
        <v>69</v>
      </c>
      <c r="F337" s="446"/>
      <c r="G337" s="447"/>
      <c r="H337" s="448"/>
      <c r="I337" s="449">
        <f>IF(AND(E337&lt;&gt;"",G337&lt;&gt;""),IF(D337="",IF(G337="OH",VLOOKUP(E337,UPAH!$C$4:$H$31,7,0),VLOOKUP(E337,#REF!,4,0)),0),0)</f>
        <v>0</v>
      </c>
      <c r="J337" s="16">
        <f>+J331+J333+J335</f>
        <v>0</v>
      </c>
    </row>
    <row r="338" spans="1:10" ht="13.5" thickBot="1">
      <c r="A338" s="27"/>
      <c r="B338" s="110"/>
      <c r="D338" s="431" t="s">
        <v>70</v>
      </c>
      <c r="E338" s="432" t="s">
        <v>477</v>
      </c>
      <c r="F338" s="433"/>
      <c r="G338" s="434"/>
      <c r="H338" s="22">
        <v>0.1</v>
      </c>
      <c r="I338" s="436"/>
      <c r="J338" s="430">
        <f>H338*J337</f>
        <v>0</v>
      </c>
    </row>
    <row r="339" spans="1:10" ht="13.5" thickBot="1">
      <c r="A339" s="27"/>
      <c r="B339" s="110"/>
      <c r="D339" s="401" t="s">
        <v>71</v>
      </c>
      <c r="E339" s="402" t="s">
        <v>72</v>
      </c>
      <c r="F339" s="418"/>
      <c r="G339" s="419"/>
      <c r="H339" s="442"/>
      <c r="I339" s="421">
        <f>IF(AND(E339&lt;&gt;"",G339&lt;&gt;""),IF(D339="",IF(G339="OH",VLOOKUP(E339,UPAH!$C$4:$H$31,7,0),VLOOKUP(E339,#REF!,4,0)),0),0)</f>
        <v>0</v>
      </c>
      <c r="J339" s="396">
        <f>ROUNDDOWN(J337+J338,0)</f>
        <v>0</v>
      </c>
    </row>
    <row r="340" spans="1:10" ht="13">
      <c r="A340" s="27"/>
      <c r="B340" s="110"/>
      <c r="D340" s="11"/>
      <c r="E340" s="11"/>
      <c r="H340" s="443"/>
    </row>
    <row r="341" spans="1:10" ht="13.5" thickBot="1">
      <c r="A341" s="27"/>
      <c r="B341" s="110"/>
      <c r="C341" s="10" t="s">
        <v>553</v>
      </c>
      <c r="D341" s="11" t="s">
        <v>552</v>
      </c>
      <c r="H341" s="443"/>
    </row>
    <row r="342" spans="1:10" ht="13.5" thickBot="1">
      <c r="A342" s="27"/>
      <c r="B342" s="110"/>
      <c r="D342" s="401" t="s">
        <v>40</v>
      </c>
      <c r="E342" s="402" t="s">
        <v>41</v>
      </c>
      <c r="F342" s="402" t="s">
        <v>42</v>
      </c>
      <c r="G342" s="403" t="s">
        <v>43</v>
      </c>
      <c r="H342" s="404" t="s">
        <v>44</v>
      </c>
      <c r="I342" s="402" t="s">
        <v>474</v>
      </c>
      <c r="J342" s="405" t="s">
        <v>475</v>
      </c>
    </row>
    <row r="343" spans="1:10" ht="13">
      <c r="A343" s="27"/>
      <c r="B343" s="110"/>
      <c r="D343" s="406" t="s">
        <v>45</v>
      </c>
      <c r="E343" s="13" t="s">
        <v>46</v>
      </c>
      <c r="F343" s="14"/>
      <c r="G343" s="15"/>
      <c r="H343" s="451"/>
      <c r="I343" s="412">
        <f>IF(AND(E343&lt;&gt;"",G343&lt;&gt;""),IF(D343="",IF(G343="OH",VLOOKUP(E343,UPAH!$C$4:$H$31,7,0),VLOOKUP(E343,#REF!,4,0)),0),0)</f>
        <v>0</v>
      </c>
      <c r="J343" s="16">
        <f>H343*I343</f>
        <v>0</v>
      </c>
    </row>
    <row r="344" spans="1:10" ht="13">
      <c r="A344" s="27"/>
      <c r="B344" s="110"/>
      <c r="D344" s="409"/>
      <c r="E344" s="13" t="s">
        <v>47</v>
      </c>
      <c r="F344" s="13" t="s">
        <v>1918</v>
      </c>
      <c r="G344" s="410" t="s">
        <v>48</v>
      </c>
      <c r="H344" s="411">
        <v>0.9</v>
      </c>
      <c r="I344" s="412">
        <f>IF(AND(E344&lt;&gt;"",G344&lt;&gt;""),IF(D344="",IF(G344="OH",VLOOKUP(F344,UPAH!$B$4:$H$101,7,0),VLOOKUP(F344,#REF!,4,0)),0),0)</f>
        <v>0</v>
      </c>
      <c r="J344" s="16">
        <f>H344*I344</f>
        <v>0</v>
      </c>
    </row>
    <row r="345" spans="1:10" ht="13.5" thickBot="1">
      <c r="A345" s="27"/>
      <c r="B345" s="110"/>
      <c r="D345" s="413"/>
      <c r="E345" s="414" t="s">
        <v>51</v>
      </c>
      <c r="F345" s="414" t="s">
        <v>1929</v>
      </c>
      <c r="G345" s="415" t="s">
        <v>48</v>
      </c>
      <c r="H345" s="416">
        <v>4.4999999999999998E-2</v>
      </c>
      <c r="I345" s="412">
        <f>IF(AND(E345&lt;&gt;"",G345&lt;&gt;""),IF(D345="",IF(G345="OH",VLOOKUP(F345,UPAH!$B$4:$H$101,7,0),VLOOKUP(F345,#REF!,4,0)),0),0)</f>
        <v>0</v>
      </c>
      <c r="J345" s="16">
        <f>H345*I345</f>
        <v>0</v>
      </c>
    </row>
    <row r="346" spans="1:10" ht="13.5" thickBot="1">
      <c r="A346" s="27"/>
      <c r="B346" s="110"/>
      <c r="D346" s="417"/>
      <c r="E346" s="418"/>
      <c r="F346" s="418"/>
      <c r="G346" s="419"/>
      <c r="H346" s="420" t="s">
        <v>52</v>
      </c>
      <c r="I346" s="421"/>
      <c r="J346" s="396">
        <f>SUM(J343:J345)</f>
        <v>0</v>
      </c>
    </row>
    <row r="347" spans="1:10" ht="13.5" thickBot="1">
      <c r="A347" s="27"/>
      <c r="B347" s="110"/>
      <c r="D347" s="431" t="s">
        <v>53</v>
      </c>
      <c r="E347" s="432" t="s">
        <v>54</v>
      </c>
      <c r="F347" s="433"/>
      <c r="G347" s="434"/>
      <c r="H347" s="435"/>
      <c r="I347" s="412">
        <f>IF(AND(E347&lt;&gt;"",G347&lt;&gt;""),IF(D347="",IF(G347="OH",VLOOKUP(E347,UPAH!$C$4:$H$31,7,0),VLOOKUP(E347,#REF!,4,0)),0),0)</f>
        <v>0</v>
      </c>
      <c r="J347" s="16">
        <f>H347*I347</f>
        <v>0</v>
      </c>
    </row>
    <row r="348" spans="1:10" ht="13.5" thickBot="1">
      <c r="A348" s="27"/>
      <c r="B348" s="110"/>
      <c r="D348" s="417"/>
      <c r="E348" s="418"/>
      <c r="F348" s="418"/>
      <c r="G348" s="419"/>
      <c r="H348" s="420" t="s">
        <v>64</v>
      </c>
      <c r="I348" s="421"/>
      <c r="J348" s="396">
        <f>SUM(J347)</f>
        <v>0</v>
      </c>
    </row>
    <row r="349" spans="1:10" ht="13.5" thickBot="1">
      <c r="A349" s="27"/>
      <c r="B349" s="110"/>
      <c r="D349" s="431" t="s">
        <v>65</v>
      </c>
      <c r="E349" s="432" t="s">
        <v>66</v>
      </c>
      <c r="F349" s="433"/>
      <c r="G349" s="434"/>
      <c r="H349" s="435"/>
      <c r="I349" s="412">
        <f>IF(AND(E349&lt;&gt;"",G349&lt;&gt;""),IF(D349="",IF(G349="OH",VLOOKUP(E349,UPAH!$C$4:$H$31,7,0),VLOOKUP(E349,#REF!,4,0)),0),0)</f>
        <v>0</v>
      </c>
      <c r="J349" s="16">
        <f>H349*I349</f>
        <v>0</v>
      </c>
    </row>
    <row r="350" spans="1:10" ht="13.5" thickBot="1">
      <c r="A350" s="27"/>
      <c r="B350" s="110"/>
      <c r="D350" s="417"/>
      <c r="E350" s="418"/>
      <c r="F350" s="418"/>
      <c r="G350" s="419"/>
      <c r="H350" s="420" t="s">
        <v>67</v>
      </c>
      <c r="I350" s="421"/>
      <c r="J350" s="396">
        <f>J349</f>
        <v>0</v>
      </c>
    </row>
    <row r="351" spans="1:10" ht="13">
      <c r="A351" s="27"/>
      <c r="B351" s="110"/>
      <c r="D351" s="444" t="s">
        <v>68</v>
      </c>
      <c r="E351" s="445" t="s">
        <v>69</v>
      </c>
      <c r="F351" s="446"/>
      <c r="G351" s="447"/>
      <c r="H351" s="448"/>
      <c r="I351" s="449">
        <f>IF(AND(E351&lt;&gt;"",G351&lt;&gt;""),IF(D351="",IF(G351="OH",VLOOKUP(E351,UPAH!$C$4:$H$31,7,0),VLOOKUP(E351,#REF!,4,0)),0),0)</f>
        <v>0</v>
      </c>
      <c r="J351" s="16">
        <f>SUM(J343:J350)/2</f>
        <v>0</v>
      </c>
    </row>
    <row r="352" spans="1:10" ht="13.5" thickBot="1">
      <c r="A352" s="27"/>
      <c r="B352" s="110"/>
      <c r="D352" s="431" t="s">
        <v>70</v>
      </c>
      <c r="E352" s="432" t="s">
        <v>477</v>
      </c>
      <c r="F352" s="433"/>
      <c r="G352" s="434"/>
      <c r="H352" s="22">
        <v>0.1</v>
      </c>
      <c r="I352" s="436"/>
      <c r="J352" s="430">
        <f>H352*J351</f>
        <v>0</v>
      </c>
    </row>
    <row r="353" spans="1:10" ht="13.5" thickBot="1">
      <c r="A353" s="27"/>
      <c r="B353" s="110"/>
      <c r="D353" s="401" t="s">
        <v>71</v>
      </c>
      <c r="E353" s="402" t="s">
        <v>72</v>
      </c>
      <c r="F353" s="418"/>
      <c r="G353" s="419"/>
      <c r="H353" s="442"/>
      <c r="I353" s="421">
        <f>IF(AND(E353&lt;&gt;"",G353&lt;&gt;""),IF(D353="",IF(G353="OH",VLOOKUP(E353,UPAH!$C$4:$H$31,7,0),VLOOKUP(E353,#REF!,4,0)),0),0)</f>
        <v>0</v>
      </c>
      <c r="J353" s="396">
        <f>ROUNDDOWN(J351+J352,0)</f>
        <v>0</v>
      </c>
    </row>
    <row r="354" spans="1:10" ht="13">
      <c r="A354" s="27"/>
      <c r="B354" s="110"/>
      <c r="D354" s="11"/>
      <c r="E354" s="11"/>
      <c r="H354" s="443"/>
    </row>
    <row r="355" spans="1:10" ht="13.5" thickBot="1">
      <c r="A355" s="27"/>
      <c r="B355" s="110"/>
      <c r="C355" s="10" t="s">
        <v>555</v>
      </c>
      <c r="D355" s="11" t="s">
        <v>554</v>
      </c>
      <c r="H355" s="443"/>
    </row>
    <row r="356" spans="1:10" ht="13.5" thickBot="1">
      <c r="A356" s="27"/>
      <c r="B356" s="110"/>
      <c r="D356" s="401" t="s">
        <v>40</v>
      </c>
      <c r="E356" s="402" t="s">
        <v>41</v>
      </c>
      <c r="F356" s="402" t="s">
        <v>42</v>
      </c>
      <c r="G356" s="403" t="s">
        <v>43</v>
      </c>
      <c r="H356" s="404" t="s">
        <v>44</v>
      </c>
      <c r="I356" s="402" t="s">
        <v>474</v>
      </c>
      <c r="J356" s="405" t="s">
        <v>475</v>
      </c>
    </row>
    <row r="357" spans="1:10" ht="13">
      <c r="A357" s="27"/>
      <c r="B357" s="110"/>
      <c r="D357" s="406" t="s">
        <v>45</v>
      </c>
      <c r="E357" s="13" t="s">
        <v>46</v>
      </c>
      <c r="F357" s="14"/>
      <c r="G357" s="15"/>
      <c r="H357" s="451"/>
      <c r="I357" s="412">
        <f>IF(AND(E357&lt;&gt;"",G357&lt;&gt;""),IF(D357="",IF(G357="OH",VLOOKUP(E357,UPAH!$C$4:$H$31,7,0),VLOOKUP(E357,#REF!,4,0)),0),0)</f>
        <v>0</v>
      </c>
      <c r="J357" s="16">
        <f>H357*I357</f>
        <v>0</v>
      </c>
    </row>
    <row r="358" spans="1:10" ht="13">
      <c r="A358" s="27"/>
      <c r="B358" s="110"/>
      <c r="D358" s="409"/>
      <c r="E358" s="13" t="s">
        <v>47</v>
      </c>
      <c r="F358" s="13" t="s">
        <v>1918</v>
      </c>
      <c r="G358" s="410" t="s">
        <v>48</v>
      </c>
      <c r="H358" s="411">
        <v>1.05</v>
      </c>
      <c r="I358" s="412">
        <f>IF(AND(E358&lt;&gt;"",G358&lt;&gt;""),IF(D358="",IF(G358="OH",VLOOKUP(F358,UPAH!$B$4:$H$101,7,0),VLOOKUP(F358,#REF!,4,0)),0),0)</f>
        <v>0</v>
      </c>
      <c r="J358" s="16">
        <f>H358*I358</f>
        <v>0</v>
      </c>
    </row>
    <row r="359" spans="1:10" ht="13.5" thickBot="1">
      <c r="A359" s="27"/>
      <c r="B359" s="110"/>
      <c r="D359" s="413"/>
      <c r="E359" s="414" t="s">
        <v>51</v>
      </c>
      <c r="F359" s="414" t="s">
        <v>1929</v>
      </c>
      <c r="G359" s="415" t="s">
        <v>48</v>
      </c>
      <c r="H359" s="416">
        <v>6.7000000000000004E-2</v>
      </c>
      <c r="I359" s="412">
        <f>IF(AND(E359&lt;&gt;"",G359&lt;&gt;""),IF(D359="",IF(G359="OH",VLOOKUP(F359,UPAH!$B$4:$H$101,7,0),VLOOKUP(F359,#REF!,4,0)),0),0)</f>
        <v>0</v>
      </c>
      <c r="J359" s="16">
        <f>H359*I359</f>
        <v>0</v>
      </c>
    </row>
    <row r="360" spans="1:10" ht="13.5" thickBot="1">
      <c r="A360" s="27"/>
      <c r="B360" s="110"/>
      <c r="D360" s="417"/>
      <c r="E360" s="418"/>
      <c r="F360" s="418"/>
      <c r="G360" s="419"/>
      <c r="H360" s="420" t="s">
        <v>52</v>
      </c>
      <c r="I360" s="421"/>
      <c r="J360" s="396">
        <f>SUM(J357:J359)</f>
        <v>0</v>
      </c>
    </row>
    <row r="361" spans="1:10" ht="13.5" thickBot="1">
      <c r="A361" s="27"/>
      <c r="B361" s="110"/>
      <c r="D361" s="431" t="s">
        <v>53</v>
      </c>
      <c r="E361" s="432" t="s">
        <v>54</v>
      </c>
      <c r="F361" s="433"/>
      <c r="G361" s="434"/>
      <c r="H361" s="435"/>
      <c r="I361" s="412">
        <f>IF(AND(E361&lt;&gt;"",G361&lt;&gt;""),IF(D361="",IF(G361="OH",VLOOKUP(E361,UPAH!$C$4:$H$31,7,0),VLOOKUP(E361,#REF!,4,0)),0),0)</f>
        <v>0</v>
      </c>
      <c r="J361" s="16">
        <f>H361*I361</f>
        <v>0</v>
      </c>
    </row>
    <row r="362" spans="1:10" ht="13.5" thickBot="1">
      <c r="A362" s="27"/>
      <c r="B362" s="110"/>
      <c r="D362" s="417"/>
      <c r="E362" s="418"/>
      <c r="F362" s="418"/>
      <c r="G362" s="419"/>
      <c r="H362" s="420" t="s">
        <v>64</v>
      </c>
      <c r="I362" s="421"/>
      <c r="J362" s="396">
        <f>SUM(J361)</f>
        <v>0</v>
      </c>
    </row>
    <row r="363" spans="1:10" ht="13.5" thickBot="1">
      <c r="A363" s="27"/>
      <c r="B363" s="110"/>
      <c r="D363" s="431" t="s">
        <v>65</v>
      </c>
      <c r="E363" s="432" t="s">
        <v>66</v>
      </c>
      <c r="F363" s="433"/>
      <c r="G363" s="434"/>
      <c r="H363" s="435"/>
      <c r="I363" s="412">
        <f>IF(AND(E363&lt;&gt;"",G363&lt;&gt;""),IF(D363="",IF(G363="OH",VLOOKUP(E363,UPAH!$C$4:$H$31,7,0),VLOOKUP(E363,#REF!,4,0)),0),0)</f>
        <v>0</v>
      </c>
      <c r="J363" s="16">
        <f>H363*I363</f>
        <v>0</v>
      </c>
    </row>
    <row r="364" spans="1:10" ht="13.5" thickBot="1">
      <c r="A364" s="27"/>
      <c r="B364" s="110"/>
      <c r="D364" s="417"/>
      <c r="E364" s="418"/>
      <c r="F364" s="418"/>
      <c r="G364" s="419"/>
      <c r="H364" s="420" t="s">
        <v>67</v>
      </c>
      <c r="I364" s="421"/>
      <c r="J364" s="396">
        <f>J363</f>
        <v>0</v>
      </c>
    </row>
    <row r="365" spans="1:10" ht="13">
      <c r="A365" s="27"/>
      <c r="B365" s="110"/>
      <c r="D365" s="444" t="s">
        <v>68</v>
      </c>
      <c r="E365" s="445" t="s">
        <v>69</v>
      </c>
      <c r="F365" s="446"/>
      <c r="G365" s="447"/>
      <c r="H365" s="448"/>
      <c r="I365" s="449">
        <f>IF(AND(E365&lt;&gt;"",G365&lt;&gt;""),IF(D365="",IF(G365="OH",VLOOKUP(E365,UPAH!$C$4:$H$31,7,0),VLOOKUP(E365,#REF!,4,0)),0),0)</f>
        <v>0</v>
      </c>
      <c r="J365" s="16">
        <f>SUM(J357:J364)/2</f>
        <v>0</v>
      </c>
    </row>
    <row r="366" spans="1:10" ht="13.5" thickBot="1">
      <c r="A366" s="27"/>
      <c r="B366" s="110"/>
      <c r="D366" s="431" t="s">
        <v>70</v>
      </c>
      <c r="E366" s="432" t="s">
        <v>477</v>
      </c>
      <c r="F366" s="433"/>
      <c r="G366" s="434"/>
      <c r="H366" s="22">
        <v>0.1</v>
      </c>
      <c r="I366" s="436"/>
      <c r="J366" s="430">
        <f>H366*J365</f>
        <v>0</v>
      </c>
    </row>
    <row r="367" spans="1:10" ht="13.5" thickBot="1">
      <c r="A367" s="27"/>
      <c r="B367" s="110"/>
      <c r="D367" s="401" t="s">
        <v>71</v>
      </c>
      <c r="E367" s="402" t="s">
        <v>72</v>
      </c>
      <c r="F367" s="418"/>
      <c r="G367" s="419"/>
      <c r="H367" s="442"/>
      <c r="I367" s="421">
        <f>IF(AND(E367&lt;&gt;"",G367&lt;&gt;""),IF(D367="",IF(G367="OH",VLOOKUP(E367,UPAH!$C$4:$H$31,7,0),VLOOKUP(E367,#REF!,4,0)),0),0)</f>
        <v>0</v>
      </c>
      <c r="J367" s="396">
        <f>ROUNDDOWN(J365+J366,0)</f>
        <v>0</v>
      </c>
    </row>
    <row r="368" spans="1:10" ht="13">
      <c r="A368" s="27"/>
      <c r="B368" s="110"/>
      <c r="D368" s="11"/>
      <c r="E368" s="11"/>
      <c r="H368" s="443"/>
    </row>
    <row r="369" spans="1:10" ht="13.5" thickBot="1">
      <c r="A369" s="27"/>
      <c r="B369" s="110"/>
      <c r="C369" s="10" t="s">
        <v>557</v>
      </c>
      <c r="D369" s="11" t="s">
        <v>556</v>
      </c>
      <c r="H369" s="443"/>
    </row>
    <row r="370" spans="1:10" ht="13.5" thickBot="1">
      <c r="A370" s="27"/>
      <c r="B370" s="110"/>
      <c r="D370" s="401" t="s">
        <v>40</v>
      </c>
      <c r="E370" s="402" t="s">
        <v>41</v>
      </c>
      <c r="F370" s="402" t="s">
        <v>42</v>
      </c>
      <c r="G370" s="403" t="s">
        <v>43</v>
      </c>
      <c r="H370" s="404" t="s">
        <v>44</v>
      </c>
      <c r="I370" s="402" t="s">
        <v>474</v>
      </c>
      <c r="J370" s="405" t="s">
        <v>475</v>
      </c>
    </row>
    <row r="371" spans="1:10" ht="13">
      <c r="A371" s="27"/>
      <c r="B371" s="110"/>
      <c r="D371" s="406" t="s">
        <v>45</v>
      </c>
      <c r="E371" s="13" t="s">
        <v>46</v>
      </c>
      <c r="F371" s="14"/>
      <c r="G371" s="15"/>
      <c r="H371" s="451"/>
      <c r="I371" s="412">
        <f>IF(AND(E371&lt;&gt;"",G371&lt;&gt;""),IF(D371="",IF(G371="OH",VLOOKUP(E371,UPAH!$C$4:$H$31,7,0),VLOOKUP(E371,#REF!,4,0)),0),0)</f>
        <v>0</v>
      </c>
      <c r="J371" s="16">
        <f>H371*I371</f>
        <v>0</v>
      </c>
    </row>
    <row r="372" spans="1:10" ht="13">
      <c r="A372" s="27"/>
      <c r="B372" s="110"/>
      <c r="D372" s="409"/>
      <c r="E372" s="13" t="s">
        <v>47</v>
      </c>
      <c r="F372" s="13" t="s">
        <v>1918</v>
      </c>
      <c r="G372" s="410" t="s">
        <v>48</v>
      </c>
      <c r="H372" s="411">
        <v>1</v>
      </c>
      <c r="I372" s="412">
        <f>IF(AND(E372&lt;&gt;"",G372&lt;&gt;""),IF(D372="",IF(G372="OH",VLOOKUP(F372,UPAH!$B$4:$H$101,7,0),VLOOKUP(F372,#REF!,4,0)),0),0)</f>
        <v>0</v>
      </c>
      <c r="J372" s="16">
        <f>H372*I372</f>
        <v>0</v>
      </c>
    </row>
    <row r="373" spans="1:10" ht="13.5" thickBot="1">
      <c r="A373" s="27"/>
      <c r="B373" s="110"/>
      <c r="D373" s="413"/>
      <c r="E373" s="414" t="s">
        <v>51</v>
      </c>
      <c r="F373" s="414" t="s">
        <v>1929</v>
      </c>
      <c r="G373" s="415" t="s">
        <v>48</v>
      </c>
      <c r="H373" s="416">
        <v>3.2000000000000001E-2</v>
      </c>
      <c r="I373" s="412">
        <f>IF(AND(E373&lt;&gt;"",G373&lt;&gt;""),IF(D373="",IF(G373="OH",VLOOKUP(F373,UPAH!$B$4:$H$101,7,0),VLOOKUP(F373,#REF!,4,0)),0),0)</f>
        <v>0</v>
      </c>
      <c r="J373" s="16">
        <f>H373*I373</f>
        <v>0</v>
      </c>
    </row>
    <row r="374" spans="1:10" ht="13.5" thickBot="1">
      <c r="A374" s="27"/>
      <c r="B374" s="110"/>
      <c r="D374" s="417"/>
      <c r="E374" s="418"/>
      <c r="F374" s="418"/>
      <c r="G374" s="419"/>
      <c r="H374" s="420" t="s">
        <v>52</v>
      </c>
      <c r="I374" s="421"/>
      <c r="J374" s="396">
        <f>SUM(J371:J373)</f>
        <v>0</v>
      </c>
    </row>
    <row r="375" spans="1:10" ht="13.5" thickBot="1">
      <c r="A375" s="27"/>
      <c r="B375" s="110"/>
      <c r="D375" s="431" t="s">
        <v>53</v>
      </c>
      <c r="E375" s="432" t="s">
        <v>54</v>
      </c>
      <c r="F375" s="433"/>
      <c r="G375" s="434"/>
      <c r="H375" s="435"/>
      <c r="I375" s="412">
        <f>IF(AND(E375&lt;&gt;"",G375&lt;&gt;""),IF(D375="",IF(G375="OH",VLOOKUP(E375,UPAH!$C$4:$H$31,7,0),VLOOKUP(E375,#REF!,4,0)),0),0)</f>
        <v>0</v>
      </c>
      <c r="J375" s="16">
        <f>H375*I375</f>
        <v>0</v>
      </c>
    </row>
    <row r="376" spans="1:10" ht="13.5" thickBot="1">
      <c r="A376" s="27"/>
      <c r="B376" s="110"/>
      <c r="D376" s="417"/>
      <c r="E376" s="418"/>
      <c r="F376" s="418"/>
      <c r="G376" s="419"/>
      <c r="H376" s="420" t="s">
        <v>64</v>
      </c>
      <c r="I376" s="421"/>
      <c r="J376" s="396">
        <f>SUM(J375)</f>
        <v>0</v>
      </c>
    </row>
    <row r="377" spans="1:10" ht="13.5" thickBot="1">
      <c r="A377" s="27"/>
      <c r="B377" s="110"/>
      <c r="D377" s="431" t="s">
        <v>65</v>
      </c>
      <c r="E377" s="432" t="s">
        <v>66</v>
      </c>
      <c r="F377" s="433"/>
      <c r="G377" s="434"/>
      <c r="H377" s="435"/>
      <c r="I377" s="412">
        <f>IF(AND(E377&lt;&gt;"",G377&lt;&gt;""),IF(D377="",IF(G377="OH",VLOOKUP(E377,UPAH!$C$4:$H$31,7,0),VLOOKUP(E377,#REF!,4,0)),0),0)</f>
        <v>0</v>
      </c>
      <c r="J377" s="16">
        <f>H377*I377</f>
        <v>0</v>
      </c>
    </row>
    <row r="378" spans="1:10" ht="13.5" thickBot="1">
      <c r="A378" s="27"/>
      <c r="B378" s="110"/>
      <c r="D378" s="417"/>
      <c r="E378" s="418"/>
      <c r="F378" s="418"/>
      <c r="G378" s="419"/>
      <c r="H378" s="420" t="s">
        <v>67</v>
      </c>
      <c r="I378" s="421"/>
      <c r="J378" s="396">
        <f>J377</f>
        <v>0</v>
      </c>
    </row>
    <row r="379" spans="1:10" ht="13">
      <c r="A379" s="27"/>
      <c r="B379" s="110"/>
      <c r="D379" s="444" t="s">
        <v>68</v>
      </c>
      <c r="E379" s="445" t="s">
        <v>69</v>
      </c>
      <c r="F379" s="446"/>
      <c r="G379" s="447"/>
      <c r="H379" s="448"/>
      <c r="I379" s="449">
        <f>IF(AND(E379&lt;&gt;"",G379&lt;&gt;""),IF(D379="",IF(G379="OH",VLOOKUP(E379,UPAH!$C$4:$H$31,7,0),VLOOKUP(E379,#REF!,4,0)),0),0)</f>
        <v>0</v>
      </c>
      <c r="J379" s="16">
        <f>SUM(J371:J378)/2</f>
        <v>0</v>
      </c>
    </row>
    <row r="380" spans="1:10" ht="13.5" thickBot="1">
      <c r="A380" s="27"/>
      <c r="B380" s="110"/>
      <c r="D380" s="431" t="s">
        <v>70</v>
      </c>
      <c r="E380" s="432" t="s">
        <v>477</v>
      </c>
      <c r="F380" s="433"/>
      <c r="G380" s="434"/>
      <c r="H380" s="22">
        <v>0.1</v>
      </c>
      <c r="I380" s="436"/>
      <c r="J380" s="430">
        <f>H380*J379</f>
        <v>0</v>
      </c>
    </row>
    <row r="381" spans="1:10" ht="13.5" thickBot="1">
      <c r="A381" s="27"/>
      <c r="B381" s="110"/>
      <c r="D381" s="401" t="s">
        <v>71</v>
      </c>
      <c r="E381" s="402" t="s">
        <v>72</v>
      </c>
      <c r="F381" s="418"/>
      <c r="G381" s="419"/>
      <c r="H381" s="442"/>
      <c r="I381" s="421">
        <f>IF(AND(E381&lt;&gt;"",G381&lt;&gt;""),IF(D381="",IF(G381="OH",VLOOKUP(E381,UPAH!$C$4:$H$31,7,0),VLOOKUP(E381,#REF!,4,0)),0),0)</f>
        <v>0</v>
      </c>
      <c r="J381" s="396">
        <f>ROUNDDOWN(J379+J380,0)</f>
        <v>0</v>
      </c>
    </row>
    <row r="382" spans="1:10" ht="13">
      <c r="A382" s="27"/>
      <c r="B382" s="110"/>
      <c r="D382" s="11"/>
      <c r="E382" s="11"/>
      <c r="H382" s="443"/>
    </row>
    <row r="383" spans="1:10" ht="13.5" thickBot="1">
      <c r="A383" s="27"/>
      <c r="B383" s="110"/>
      <c r="C383" s="10" t="s">
        <v>559</v>
      </c>
      <c r="D383" s="11" t="s">
        <v>558</v>
      </c>
      <c r="H383" s="443"/>
    </row>
    <row r="384" spans="1:10" ht="13.5" thickBot="1">
      <c r="A384" s="27"/>
      <c r="B384" s="110"/>
      <c r="D384" s="401" t="s">
        <v>40</v>
      </c>
      <c r="E384" s="402" t="s">
        <v>41</v>
      </c>
      <c r="F384" s="402" t="s">
        <v>42</v>
      </c>
      <c r="G384" s="403" t="s">
        <v>43</v>
      </c>
      <c r="H384" s="404" t="s">
        <v>44</v>
      </c>
      <c r="I384" s="402" t="s">
        <v>474</v>
      </c>
      <c r="J384" s="405" t="s">
        <v>475</v>
      </c>
    </row>
    <row r="385" spans="1:10" ht="13">
      <c r="A385" s="27"/>
      <c r="B385" s="110"/>
      <c r="D385" s="406" t="s">
        <v>45</v>
      </c>
      <c r="E385" s="13" t="s">
        <v>46</v>
      </c>
      <c r="F385" s="14"/>
      <c r="G385" s="15"/>
      <c r="H385" s="451"/>
      <c r="I385" s="412">
        <f>IF(AND(E385&lt;&gt;"",G385&lt;&gt;""),IF(D385="",IF(G385="OH",VLOOKUP(E385,UPAH!$C$4:$H$31,7,0),VLOOKUP(E385,#REF!,4,0)),0),0)</f>
        <v>0</v>
      </c>
      <c r="J385" s="16">
        <f>H385*I385</f>
        <v>0</v>
      </c>
    </row>
    <row r="386" spans="1:10" ht="13">
      <c r="A386" s="27"/>
      <c r="B386" s="110"/>
      <c r="D386" s="409"/>
      <c r="E386" s="13" t="s">
        <v>47</v>
      </c>
      <c r="F386" s="13" t="s">
        <v>1918</v>
      </c>
      <c r="G386" s="410" t="s">
        <v>48</v>
      </c>
      <c r="H386" s="411">
        <v>1.5</v>
      </c>
      <c r="I386" s="412">
        <f>IF(AND(E386&lt;&gt;"",G386&lt;&gt;""),IF(D386="",IF(G386="OH",VLOOKUP(F386,UPAH!$B$4:$H$101,7,0),VLOOKUP(F386,#REF!,4,0)),0),0)</f>
        <v>0</v>
      </c>
      <c r="J386" s="16">
        <f>H386*I386</f>
        <v>0</v>
      </c>
    </row>
    <row r="387" spans="1:10" ht="13.5" thickBot="1">
      <c r="A387" s="27"/>
      <c r="B387" s="110"/>
      <c r="D387" s="413"/>
      <c r="E387" s="414" t="s">
        <v>51</v>
      </c>
      <c r="F387" s="414" t="s">
        <v>1929</v>
      </c>
      <c r="G387" s="415" t="s">
        <v>48</v>
      </c>
      <c r="H387" s="416">
        <v>0.06</v>
      </c>
      <c r="I387" s="412">
        <f>IF(AND(E387&lt;&gt;"",G387&lt;&gt;""),IF(D387="",IF(G387="OH",VLOOKUP(F387,UPAH!$B$4:$H$101,7,0),VLOOKUP(F387,#REF!,4,0)),0),0)</f>
        <v>0</v>
      </c>
      <c r="J387" s="16">
        <f>H387*I387</f>
        <v>0</v>
      </c>
    </row>
    <row r="388" spans="1:10" ht="13.5" thickBot="1">
      <c r="A388" s="27"/>
      <c r="B388" s="110"/>
      <c r="D388" s="417"/>
      <c r="E388" s="418"/>
      <c r="F388" s="418"/>
      <c r="G388" s="419"/>
      <c r="H388" s="420" t="s">
        <v>52</v>
      </c>
      <c r="I388" s="421"/>
      <c r="J388" s="396">
        <f>SUM(J385:J387)</f>
        <v>0</v>
      </c>
    </row>
    <row r="389" spans="1:10" ht="13.5" thickBot="1">
      <c r="A389" s="27"/>
      <c r="B389" s="110"/>
      <c r="D389" s="431" t="s">
        <v>53</v>
      </c>
      <c r="E389" s="432" t="s">
        <v>54</v>
      </c>
      <c r="F389" s="433"/>
      <c r="G389" s="434"/>
      <c r="H389" s="435"/>
      <c r="I389" s="412">
        <f>IF(AND(E389&lt;&gt;"",G389&lt;&gt;""),IF(D389="",IF(G389="OH",VLOOKUP(E389,UPAH!$C$4:$H$31,7,0),VLOOKUP(E389,#REF!,4,0)),0),0)</f>
        <v>0</v>
      </c>
      <c r="J389" s="16">
        <f>H389*I389</f>
        <v>0</v>
      </c>
    </row>
    <row r="390" spans="1:10" ht="13.5" thickBot="1">
      <c r="A390" s="27"/>
      <c r="B390" s="110"/>
      <c r="D390" s="417"/>
      <c r="E390" s="418"/>
      <c r="F390" s="418"/>
      <c r="G390" s="419"/>
      <c r="H390" s="420" t="s">
        <v>64</v>
      </c>
      <c r="I390" s="421"/>
      <c r="J390" s="396">
        <f>SUM(J389)</f>
        <v>0</v>
      </c>
    </row>
    <row r="391" spans="1:10" ht="13.5" thickBot="1">
      <c r="A391" s="27"/>
      <c r="B391" s="110"/>
      <c r="D391" s="431" t="s">
        <v>65</v>
      </c>
      <c r="E391" s="432" t="s">
        <v>66</v>
      </c>
      <c r="F391" s="433"/>
      <c r="G391" s="434"/>
      <c r="H391" s="435"/>
      <c r="I391" s="412">
        <f>IF(AND(E391&lt;&gt;"",G391&lt;&gt;""),IF(D391="",IF(G391="OH",VLOOKUP(E391,UPAH!$C$4:$H$31,7,0),VLOOKUP(E391,#REF!,4,0)),0),0)</f>
        <v>0</v>
      </c>
      <c r="J391" s="16">
        <f>H391*I391</f>
        <v>0</v>
      </c>
    </row>
    <row r="392" spans="1:10" ht="13.5" thickBot="1">
      <c r="A392" s="27"/>
      <c r="B392" s="110"/>
      <c r="D392" s="417"/>
      <c r="E392" s="418"/>
      <c r="F392" s="418"/>
      <c r="G392" s="419"/>
      <c r="H392" s="420" t="s">
        <v>67</v>
      </c>
      <c r="I392" s="421"/>
      <c r="J392" s="396">
        <f>J391</f>
        <v>0</v>
      </c>
    </row>
    <row r="393" spans="1:10" ht="13">
      <c r="A393" s="27"/>
      <c r="B393" s="110"/>
      <c r="D393" s="444" t="s">
        <v>68</v>
      </c>
      <c r="E393" s="445" t="s">
        <v>69</v>
      </c>
      <c r="F393" s="446"/>
      <c r="G393" s="447"/>
      <c r="H393" s="448"/>
      <c r="I393" s="449">
        <f>IF(AND(E393&lt;&gt;"",G393&lt;&gt;""),IF(D393="",IF(G393="OH",VLOOKUP(E393,UPAH!$C$4:$H$31,7,0),VLOOKUP(E393,#REF!,4,0)),0),0)</f>
        <v>0</v>
      </c>
      <c r="J393" s="16">
        <f>SUM(J385:J392)/2</f>
        <v>0</v>
      </c>
    </row>
    <row r="394" spans="1:10" ht="13.5" thickBot="1">
      <c r="A394" s="27"/>
      <c r="B394" s="110"/>
      <c r="D394" s="431" t="s">
        <v>70</v>
      </c>
      <c r="E394" s="432" t="s">
        <v>477</v>
      </c>
      <c r="F394" s="433"/>
      <c r="G394" s="434"/>
      <c r="H394" s="22">
        <v>0.1</v>
      </c>
      <c r="I394" s="436"/>
      <c r="J394" s="430">
        <f>H394*J393</f>
        <v>0</v>
      </c>
    </row>
    <row r="395" spans="1:10" ht="13.5" thickBot="1">
      <c r="A395" s="27"/>
      <c r="B395" s="110"/>
      <c r="D395" s="401" t="s">
        <v>71</v>
      </c>
      <c r="E395" s="402" t="s">
        <v>72</v>
      </c>
      <c r="F395" s="418"/>
      <c r="G395" s="419"/>
      <c r="H395" s="442"/>
      <c r="I395" s="421">
        <f>IF(AND(E395&lt;&gt;"",G395&lt;&gt;""),IF(D395="",IF(G395="OH",VLOOKUP(E395,UPAH!$C$4:$H$31,7,0),VLOOKUP(E395,#REF!,4,0)),0),0)</f>
        <v>0</v>
      </c>
      <c r="J395" s="396">
        <f>ROUNDDOWN(J393+J394,0)</f>
        <v>0</v>
      </c>
    </row>
    <row r="396" spans="1:10" ht="13">
      <c r="A396" s="27"/>
      <c r="B396" s="110"/>
      <c r="D396" s="11"/>
      <c r="E396" s="11"/>
      <c r="H396" s="443"/>
    </row>
    <row r="397" spans="1:10" ht="13.5" thickBot="1">
      <c r="A397" s="27"/>
      <c r="B397" s="110"/>
      <c r="C397" s="10" t="s">
        <v>565</v>
      </c>
      <c r="D397" s="11" t="s">
        <v>564</v>
      </c>
      <c r="H397" s="443"/>
    </row>
    <row r="398" spans="1:10" ht="13.5" thickBot="1">
      <c r="A398" s="27"/>
      <c r="B398" s="110"/>
      <c r="D398" s="401" t="s">
        <v>40</v>
      </c>
      <c r="E398" s="402" t="s">
        <v>41</v>
      </c>
      <c r="F398" s="402" t="s">
        <v>42</v>
      </c>
      <c r="G398" s="403" t="s">
        <v>43</v>
      </c>
      <c r="H398" s="404" t="s">
        <v>44</v>
      </c>
      <c r="I398" s="402" t="s">
        <v>474</v>
      </c>
      <c r="J398" s="405" t="s">
        <v>475</v>
      </c>
    </row>
    <row r="399" spans="1:10" ht="13">
      <c r="A399" s="27"/>
      <c r="B399" s="110"/>
      <c r="D399" s="406" t="s">
        <v>45</v>
      </c>
      <c r="E399" s="13" t="s">
        <v>46</v>
      </c>
      <c r="F399" s="14"/>
      <c r="G399" s="15"/>
      <c r="H399" s="451"/>
      <c r="I399" s="412">
        <f>IF(AND(E399&lt;&gt;"",G399&lt;&gt;""),IF(D399="",IF(G399="OH",VLOOKUP(E399,UPAH!$C$4:$H$31,7,0),VLOOKUP(E399,#REF!,4,0)),0),0)</f>
        <v>0</v>
      </c>
      <c r="J399" s="16">
        <f>H399*I399</f>
        <v>0</v>
      </c>
    </row>
    <row r="400" spans="1:10" ht="13">
      <c r="A400" s="27"/>
      <c r="B400" s="110"/>
      <c r="D400" s="409"/>
      <c r="E400" s="13" t="s">
        <v>47</v>
      </c>
      <c r="F400" s="13" t="s">
        <v>1918</v>
      </c>
      <c r="G400" s="410" t="s">
        <v>48</v>
      </c>
      <c r="H400" s="411">
        <v>1.2</v>
      </c>
      <c r="I400" s="412">
        <f>IF(AND(E400&lt;&gt;"",G400&lt;&gt;""),IF(D400="",IF(G400="OH",VLOOKUP(F400,UPAH!$B$4:$H$101,7,0),VLOOKUP(F400,#REF!,4,0)),0),0)</f>
        <v>0</v>
      </c>
      <c r="J400" s="16">
        <f>H400*I400</f>
        <v>0</v>
      </c>
    </row>
    <row r="401" spans="1:10" ht="13.5" thickBot="1">
      <c r="A401" s="27"/>
      <c r="B401" s="110"/>
      <c r="D401" s="413"/>
      <c r="E401" s="414" t="s">
        <v>51</v>
      </c>
      <c r="F401" s="414" t="s">
        <v>1929</v>
      </c>
      <c r="G401" s="415" t="s">
        <v>48</v>
      </c>
      <c r="H401" s="416">
        <v>4.4999999999999998E-2</v>
      </c>
      <c r="I401" s="412">
        <f>IF(AND(E401&lt;&gt;"",G401&lt;&gt;""),IF(D401="",IF(G401="OH",VLOOKUP(F401,UPAH!$B$4:$H$101,7,0),VLOOKUP(F401,#REF!,4,0)),0),0)</f>
        <v>0</v>
      </c>
      <c r="J401" s="16">
        <f>H401*I401</f>
        <v>0</v>
      </c>
    </row>
    <row r="402" spans="1:10" ht="13.5" thickBot="1">
      <c r="A402" s="27"/>
      <c r="B402" s="110"/>
      <c r="D402" s="417"/>
      <c r="E402" s="418"/>
      <c r="F402" s="418"/>
      <c r="G402" s="419"/>
      <c r="H402" s="420" t="s">
        <v>52</v>
      </c>
      <c r="I402" s="421"/>
      <c r="J402" s="396">
        <f>SUM(J399:J401)</f>
        <v>0</v>
      </c>
    </row>
    <row r="403" spans="1:10" ht="13.5" thickBot="1">
      <c r="A403" s="27"/>
      <c r="B403" s="110"/>
      <c r="D403" s="431" t="s">
        <v>53</v>
      </c>
      <c r="E403" s="432" t="s">
        <v>54</v>
      </c>
      <c r="F403" s="433"/>
      <c r="G403" s="434"/>
      <c r="H403" s="435"/>
      <c r="I403" s="412">
        <f>IF(AND(E403&lt;&gt;"",G403&lt;&gt;""),IF(D403="",IF(G403="OH",VLOOKUP(E403,UPAH!$C$4:$H$31,7,0),VLOOKUP(E403,#REF!,4,0)),0),0)</f>
        <v>0</v>
      </c>
      <c r="J403" s="16">
        <f>H403*I403</f>
        <v>0</v>
      </c>
    </row>
    <row r="404" spans="1:10" ht="13.5" thickBot="1">
      <c r="A404" s="27"/>
      <c r="B404" s="110"/>
      <c r="D404" s="417"/>
      <c r="E404" s="418"/>
      <c r="F404" s="418"/>
      <c r="G404" s="419"/>
      <c r="H404" s="420" t="s">
        <v>64</v>
      </c>
      <c r="I404" s="421"/>
      <c r="J404" s="396">
        <f>SUM(J403)</f>
        <v>0</v>
      </c>
    </row>
    <row r="405" spans="1:10" ht="13.5" thickBot="1">
      <c r="A405" s="27"/>
      <c r="B405" s="110"/>
      <c r="D405" s="431" t="s">
        <v>65</v>
      </c>
      <c r="E405" s="432" t="s">
        <v>66</v>
      </c>
      <c r="F405" s="433"/>
      <c r="G405" s="434"/>
      <c r="H405" s="435"/>
      <c r="I405" s="412">
        <f>IF(AND(E405&lt;&gt;"",G405&lt;&gt;""),IF(D405="",IF(G405="OH",VLOOKUP(E405,UPAH!$C$4:$H$31,7,0),VLOOKUP(E405,#REF!,4,0)),0),0)</f>
        <v>0</v>
      </c>
      <c r="J405" s="16">
        <f>H405*I405</f>
        <v>0</v>
      </c>
    </row>
    <row r="406" spans="1:10" ht="13.5" thickBot="1">
      <c r="A406" s="27"/>
      <c r="B406" s="110"/>
      <c r="D406" s="417"/>
      <c r="E406" s="418"/>
      <c r="F406" s="418"/>
      <c r="G406" s="419"/>
      <c r="H406" s="420" t="s">
        <v>67</v>
      </c>
      <c r="I406" s="421"/>
      <c r="J406" s="396">
        <f>J405</f>
        <v>0</v>
      </c>
    </row>
    <row r="407" spans="1:10" ht="13">
      <c r="A407" s="27"/>
      <c r="B407" s="110"/>
      <c r="D407" s="444" t="s">
        <v>68</v>
      </c>
      <c r="E407" s="445" t="s">
        <v>69</v>
      </c>
      <c r="F407" s="446"/>
      <c r="G407" s="447"/>
      <c r="H407" s="448"/>
      <c r="I407" s="449">
        <f>IF(AND(E407&lt;&gt;"",G407&lt;&gt;""),IF(D407="",IF(G407="OH",VLOOKUP(E407,UPAH!$C$4:$H$31,7,0),VLOOKUP(E407,#REF!,4,0)),0),0)</f>
        <v>0</v>
      </c>
      <c r="J407" s="16">
        <f>SUM(J399:J406)/2</f>
        <v>0</v>
      </c>
    </row>
    <row r="408" spans="1:10" ht="13.5" thickBot="1">
      <c r="A408" s="27"/>
      <c r="B408" s="110"/>
      <c r="D408" s="431" t="s">
        <v>70</v>
      </c>
      <c r="E408" s="432" t="s">
        <v>477</v>
      </c>
      <c r="F408" s="433"/>
      <c r="G408" s="434"/>
      <c r="H408" s="22">
        <v>0.1</v>
      </c>
      <c r="I408" s="436"/>
      <c r="J408" s="430">
        <f>H408*J407</f>
        <v>0</v>
      </c>
    </row>
    <row r="409" spans="1:10" ht="13.5" thickBot="1">
      <c r="A409" s="27"/>
      <c r="B409" s="110"/>
      <c r="D409" s="401" t="s">
        <v>71</v>
      </c>
      <c r="E409" s="402" t="s">
        <v>72</v>
      </c>
      <c r="F409" s="418"/>
      <c r="G409" s="419"/>
      <c r="H409" s="442"/>
      <c r="I409" s="421">
        <f>IF(AND(E409&lt;&gt;"",G409&lt;&gt;""),IF(D409="",IF(G409="OH",VLOOKUP(E409,UPAH!$C$4:$H$31,7,0),VLOOKUP(E409,#REF!,4,0)),0),0)</f>
        <v>0</v>
      </c>
      <c r="J409" s="396">
        <f>ROUNDDOWN(J407+J408,0)</f>
        <v>0</v>
      </c>
    </row>
    <row r="410" spans="1:10" ht="13">
      <c r="A410" s="27"/>
      <c r="B410" s="110"/>
      <c r="D410" s="11"/>
      <c r="E410" s="11"/>
      <c r="H410" s="443"/>
    </row>
    <row r="411" spans="1:10" ht="13.5" thickBot="1">
      <c r="A411" s="27"/>
      <c r="B411" s="110"/>
      <c r="C411" s="10" t="s">
        <v>560</v>
      </c>
      <c r="D411" s="10" t="s">
        <v>563</v>
      </c>
      <c r="E411" s="11"/>
      <c r="H411" s="443"/>
    </row>
    <row r="412" spans="1:10" ht="13.5" thickBot="1">
      <c r="A412" s="27"/>
      <c r="B412" s="110"/>
      <c r="D412" s="401" t="s">
        <v>40</v>
      </c>
      <c r="E412" s="402" t="s">
        <v>41</v>
      </c>
      <c r="F412" s="402" t="s">
        <v>42</v>
      </c>
      <c r="G412" s="403" t="s">
        <v>43</v>
      </c>
      <c r="H412" s="404" t="s">
        <v>44</v>
      </c>
      <c r="I412" s="402" t="s">
        <v>474</v>
      </c>
      <c r="J412" s="405" t="s">
        <v>475</v>
      </c>
    </row>
    <row r="413" spans="1:10" ht="13">
      <c r="A413" s="27"/>
      <c r="B413" s="110"/>
      <c r="D413" s="406" t="s">
        <v>45</v>
      </c>
      <c r="E413" s="13" t="s">
        <v>46</v>
      </c>
      <c r="F413" s="14"/>
      <c r="G413" s="15"/>
      <c r="H413" s="451"/>
      <c r="I413" s="412">
        <f>IF(AND(E413&lt;&gt;"",G413&lt;&gt;""),IF(D413="",IF(G413="OH",VLOOKUP(E413,UPAH!$C$4:$H$31,7,0),VLOOKUP(E413,#REF!,4,0)),0),0)</f>
        <v>0</v>
      </c>
      <c r="J413" s="16">
        <f>H413*I413</f>
        <v>0</v>
      </c>
    </row>
    <row r="414" spans="1:10" ht="13">
      <c r="A414" s="27"/>
      <c r="B414" s="110"/>
      <c r="D414" s="409"/>
      <c r="E414" s="13" t="s">
        <v>47</v>
      </c>
      <c r="F414" s="13" t="s">
        <v>1918</v>
      </c>
      <c r="G414" s="410" t="s">
        <v>48</v>
      </c>
      <c r="H414" s="411">
        <v>0.05</v>
      </c>
      <c r="I414" s="412">
        <f>IF(AND(E414&lt;&gt;"",G414&lt;&gt;""),IF(D414="",IF(G414="OH",VLOOKUP(F414,UPAH!$B$4:$H$101,7,0),VLOOKUP(F414,#REF!,4,0)),0),0)</f>
        <v>0</v>
      </c>
      <c r="J414" s="16">
        <f>H414*I414</f>
        <v>0</v>
      </c>
    </row>
    <row r="415" spans="1:10" ht="13.5" thickBot="1">
      <c r="A415" s="27"/>
      <c r="B415" s="110"/>
      <c r="D415" s="413"/>
      <c r="E415" s="414" t="s">
        <v>51</v>
      </c>
      <c r="F415" s="414" t="s">
        <v>1929</v>
      </c>
      <c r="G415" s="415" t="s">
        <v>48</v>
      </c>
      <c r="H415" s="416">
        <v>5.0000000000000001E-3</v>
      </c>
      <c r="I415" s="412">
        <f>IF(AND(E415&lt;&gt;"",G415&lt;&gt;""),IF(D415="",IF(G415="OH",VLOOKUP(F415,UPAH!$B$4:$H$101,7,0),VLOOKUP(F415,#REF!,4,0)),0),0)</f>
        <v>0</v>
      </c>
      <c r="J415" s="16">
        <f>H415*I415</f>
        <v>0</v>
      </c>
    </row>
    <row r="416" spans="1:10" ht="13.5" thickBot="1">
      <c r="A416" s="27"/>
      <c r="B416" s="110"/>
      <c r="D416" s="417"/>
      <c r="E416" s="418"/>
      <c r="F416" s="418"/>
      <c r="G416" s="419"/>
      <c r="H416" s="420" t="s">
        <v>52</v>
      </c>
      <c r="I416" s="421"/>
      <c r="J416" s="396">
        <f>SUM(J413:J415)</f>
        <v>0</v>
      </c>
    </row>
    <row r="417" spans="1:10" ht="13.5" thickBot="1">
      <c r="A417" s="27"/>
      <c r="B417" s="110"/>
      <c r="D417" s="431" t="s">
        <v>53</v>
      </c>
      <c r="E417" s="432" t="s">
        <v>54</v>
      </c>
      <c r="F417" s="433"/>
      <c r="G417" s="434"/>
      <c r="H417" s="435"/>
      <c r="I417" s="412">
        <f>IF(AND(E417&lt;&gt;"",G417&lt;&gt;""),IF(D417="",IF(G417="OH",VLOOKUP(E417,UPAH!$C$4:$H$31,7,0),VLOOKUP(E417,#REF!,4,0)),0),0)</f>
        <v>0</v>
      </c>
      <c r="J417" s="16">
        <f>H417*I417</f>
        <v>0</v>
      </c>
    </row>
    <row r="418" spans="1:10" ht="13.5" thickBot="1">
      <c r="A418" s="27"/>
      <c r="B418" s="110"/>
      <c r="D418" s="417"/>
      <c r="E418" s="418"/>
      <c r="F418" s="418"/>
      <c r="G418" s="419"/>
      <c r="H418" s="420" t="s">
        <v>64</v>
      </c>
      <c r="I418" s="421"/>
      <c r="J418" s="396">
        <f>SUM(J417)</f>
        <v>0</v>
      </c>
    </row>
    <row r="419" spans="1:10" ht="13.5" thickBot="1">
      <c r="A419" s="27"/>
      <c r="B419" s="110"/>
      <c r="D419" s="431" t="s">
        <v>65</v>
      </c>
      <c r="E419" s="432" t="s">
        <v>66</v>
      </c>
      <c r="F419" s="433"/>
      <c r="G419" s="434"/>
      <c r="H419" s="435"/>
      <c r="I419" s="412">
        <f>IF(AND(E419&lt;&gt;"",G419&lt;&gt;""),IF(D419="",IF(G419="OH",VLOOKUP(E419,UPAH!$C$4:$H$31,7,0),VLOOKUP(E419,#REF!,4,0)),0),0)</f>
        <v>0</v>
      </c>
      <c r="J419" s="16">
        <f>H419*I419</f>
        <v>0</v>
      </c>
    </row>
    <row r="420" spans="1:10" ht="13.5" thickBot="1">
      <c r="A420" s="27"/>
      <c r="B420" s="110"/>
      <c r="D420" s="417"/>
      <c r="E420" s="418"/>
      <c r="F420" s="418"/>
      <c r="G420" s="419"/>
      <c r="H420" s="420" t="s">
        <v>67</v>
      </c>
      <c r="I420" s="421"/>
      <c r="J420" s="396">
        <f>J419</f>
        <v>0</v>
      </c>
    </row>
    <row r="421" spans="1:10" ht="13">
      <c r="A421" s="27"/>
      <c r="B421" s="110"/>
      <c r="D421" s="444" t="s">
        <v>68</v>
      </c>
      <c r="E421" s="445" t="s">
        <v>69</v>
      </c>
      <c r="F421" s="446"/>
      <c r="G421" s="447"/>
      <c r="H421" s="448"/>
      <c r="I421" s="449">
        <f>IF(AND(E421&lt;&gt;"",G421&lt;&gt;""),IF(D421="",IF(G421="OH",VLOOKUP(E421,UPAH!$C$4:$H$31,7,0),VLOOKUP(E421,#REF!,4,0)),0),0)</f>
        <v>0</v>
      </c>
      <c r="J421" s="16">
        <f>SUM(J413:J420)/2</f>
        <v>0</v>
      </c>
    </row>
    <row r="422" spans="1:10" ht="13.5" thickBot="1">
      <c r="A422" s="27"/>
      <c r="B422" s="110"/>
      <c r="D422" s="431" t="s">
        <v>70</v>
      </c>
      <c r="E422" s="432" t="s">
        <v>477</v>
      </c>
      <c r="F422" s="433"/>
      <c r="G422" s="434"/>
      <c r="H422" s="22">
        <v>0.1</v>
      </c>
      <c r="I422" s="436"/>
      <c r="J422" s="430">
        <f>H422*J421</f>
        <v>0</v>
      </c>
    </row>
    <row r="423" spans="1:10" ht="13.5" thickBot="1">
      <c r="A423" s="27"/>
      <c r="B423" s="110"/>
      <c r="D423" s="401" t="s">
        <v>71</v>
      </c>
      <c r="E423" s="402" t="s">
        <v>72</v>
      </c>
      <c r="F423" s="418"/>
      <c r="G423" s="419"/>
      <c r="H423" s="442"/>
      <c r="I423" s="421">
        <f>IF(AND(E423&lt;&gt;"",G423&lt;&gt;""),IF(D423="",IF(G423="OH",VLOOKUP(E423,UPAH!$C$4:$H$31,7,0),VLOOKUP(E423,#REF!,4,0)),0),0)</f>
        <v>0</v>
      </c>
      <c r="J423" s="396">
        <f>ROUNDDOWN(J421+J422,0)</f>
        <v>0</v>
      </c>
    </row>
    <row r="424" spans="1:10" ht="13">
      <c r="A424" s="27"/>
      <c r="B424" s="110"/>
      <c r="D424" s="11"/>
      <c r="E424" s="11"/>
      <c r="H424" s="443"/>
    </row>
    <row r="425" spans="1:10" ht="13.5" thickBot="1">
      <c r="A425" s="27"/>
      <c r="B425" s="110"/>
      <c r="C425" s="10" t="s">
        <v>561</v>
      </c>
      <c r="D425" s="11" t="s">
        <v>566</v>
      </c>
      <c r="F425" s="11"/>
      <c r="H425" s="443"/>
    </row>
    <row r="426" spans="1:10" ht="13.5" thickBot="1">
      <c r="A426" s="27"/>
      <c r="B426" s="110"/>
      <c r="D426" s="401" t="s">
        <v>40</v>
      </c>
      <c r="E426" s="402" t="s">
        <v>41</v>
      </c>
      <c r="F426" s="402" t="s">
        <v>42</v>
      </c>
      <c r="G426" s="403" t="s">
        <v>43</v>
      </c>
      <c r="H426" s="404" t="s">
        <v>44</v>
      </c>
      <c r="I426" s="402" t="s">
        <v>474</v>
      </c>
      <c r="J426" s="405" t="s">
        <v>475</v>
      </c>
    </row>
    <row r="427" spans="1:10" ht="13">
      <c r="A427" s="27"/>
      <c r="B427" s="110"/>
      <c r="D427" s="406" t="s">
        <v>45</v>
      </c>
      <c r="E427" s="13" t="s">
        <v>46</v>
      </c>
      <c r="F427" s="14"/>
      <c r="G427" s="15"/>
      <c r="H427" s="451"/>
      <c r="I427" s="412">
        <f>IF(AND(E427&lt;&gt;"",G427&lt;&gt;""),IF(D427="",IF(G427="OH",VLOOKUP(E427,UPAH!$C$4:$H$31,7,0),VLOOKUP(E427,#REF!,4,0)),0),0)</f>
        <v>0</v>
      </c>
      <c r="J427" s="16">
        <f>H427*I427</f>
        <v>0</v>
      </c>
    </row>
    <row r="428" spans="1:10" ht="13">
      <c r="A428" s="27"/>
      <c r="B428" s="110"/>
      <c r="D428" s="409"/>
      <c r="E428" s="13" t="s">
        <v>47</v>
      </c>
      <c r="F428" s="13" t="s">
        <v>1918</v>
      </c>
      <c r="G428" s="410" t="s">
        <v>48</v>
      </c>
      <c r="H428" s="411">
        <v>0.33</v>
      </c>
      <c r="I428" s="412">
        <f>IF(AND(E428&lt;&gt;"",G428&lt;&gt;""),IF(D428="",IF(G428="OH",VLOOKUP(F428,UPAH!$B$4:$H$101,7,0),VLOOKUP(F428,#REF!,4,0)),0),0)</f>
        <v>0</v>
      </c>
      <c r="J428" s="16">
        <f>H428*I428</f>
        <v>0</v>
      </c>
    </row>
    <row r="429" spans="1:10" ht="13.5" thickBot="1">
      <c r="A429" s="27"/>
      <c r="B429" s="110"/>
      <c r="D429" s="413"/>
      <c r="E429" s="414" t="s">
        <v>51</v>
      </c>
      <c r="F429" s="414" t="s">
        <v>1929</v>
      </c>
      <c r="G429" s="415" t="s">
        <v>48</v>
      </c>
      <c r="H429" s="416">
        <v>0.01</v>
      </c>
      <c r="I429" s="412">
        <f>IF(AND(E429&lt;&gt;"",G429&lt;&gt;""),IF(D429="",IF(G429="OH",VLOOKUP(F429,UPAH!$B$4:$H$101,7,0),VLOOKUP(F429,#REF!,4,0)),0),0)</f>
        <v>0</v>
      </c>
      <c r="J429" s="16">
        <f>H429*I429</f>
        <v>0</v>
      </c>
    </row>
    <row r="430" spans="1:10" ht="13.5" thickBot="1">
      <c r="A430" s="27"/>
      <c r="B430" s="110"/>
      <c r="D430" s="417"/>
      <c r="E430" s="418"/>
      <c r="F430" s="418"/>
      <c r="G430" s="419"/>
      <c r="H430" s="420" t="s">
        <v>52</v>
      </c>
      <c r="I430" s="421"/>
      <c r="J430" s="396">
        <f>SUM(J427:J429)</f>
        <v>0</v>
      </c>
    </row>
    <row r="431" spans="1:10" ht="13.5" thickBot="1">
      <c r="A431" s="27"/>
      <c r="B431" s="110"/>
      <c r="D431" s="431" t="s">
        <v>53</v>
      </c>
      <c r="E431" s="432" t="s">
        <v>54</v>
      </c>
      <c r="F431" s="433"/>
      <c r="G431" s="434"/>
      <c r="H431" s="435"/>
      <c r="I431" s="412">
        <f>IF(AND(E431&lt;&gt;"",G431&lt;&gt;""),IF(D431="",IF(G431="OH",VLOOKUP(E431,UPAH!$C$4:$H$31,7,0),VLOOKUP(E431,#REF!,4,0)),0),0)</f>
        <v>0</v>
      </c>
      <c r="J431" s="16">
        <f>H431*I431</f>
        <v>0</v>
      </c>
    </row>
    <row r="432" spans="1:10" ht="13.5" thickBot="1">
      <c r="A432" s="27"/>
      <c r="B432" s="110"/>
      <c r="D432" s="417"/>
      <c r="E432" s="418"/>
      <c r="F432" s="418"/>
      <c r="G432" s="419"/>
      <c r="H432" s="420" t="s">
        <v>64</v>
      </c>
      <c r="I432" s="421"/>
      <c r="J432" s="396">
        <f>SUM(J431)</f>
        <v>0</v>
      </c>
    </row>
    <row r="433" spans="1:10" ht="13.5" thickBot="1">
      <c r="A433" s="27"/>
      <c r="B433" s="110"/>
      <c r="D433" s="431" t="s">
        <v>65</v>
      </c>
      <c r="E433" s="432" t="s">
        <v>66</v>
      </c>
      <c r="F433" s="433"/>
      <c r="G433" s="434"/>
      <c r="H433" s="435"/>
      <c r="I433" s="412">
        <f>IF(AND(E433&lt;&gt;"",G433&lt;&gt;""),IF(D433="",IF(G433="OH",VLOOKUP(E433,UPAH!$C$4:$H$31,7,0),VLOOKUP(E433,#REF!,4,0)),0),0)</f>
        <v>0</v>
      </c>
      <c r="J433" s="16">
        <f>H433*I433</f>
        <v>0</v>
      </c>
    </row>
    <row r="434" spans="1:10" ht="13.5" thickBot="1">
      <c r="A434" s="27"/>
      <c r="B434" s="110"/>
      <c r="D434" s="417"/>
      <c r="E434" s="418"/>
      <c r="F434" s="418"/>
      <c r="G434" s="419"/>
      <c r="H434" s="420" t="s">
        <v>67</v>
      </c>
      <c r="I434" s="421"/>
      <c r="J434" s="396">
        <f>J433</f>
        <v>0</v>
      </c>
    </row>
    <row r="435" spans="1:10" ht="13">
      <c r="A435" s="27"/>
      <c r="B435" s="110"/>
      <c r="D435" s="444" t="s">
        <v>68</v>
      </c>
      <c r="E435" s="445" t="s">
        <v>69</v>
      </c>
      <c r="F435" s="446"/>
      <c r="G435" s="447"/>
      <c r="H435" s="448"/>
      <c r="I435" s="449">
        <f>IF(AND(E435&lt;&gt;"",G435&lt;&gt;""),IF(D435="",IF(G435="OH",VLOOKUP(E435,UPAH!$C$4:$H$31,7,0),VLOOKUP(E435,#REF!,4,0)),0),0)</f>
        <v>0</v>
      </c>
      <c r="J435" s="16">
        <f>SUM(J427:J434)/2</f>
        <v>0</v>
      </c>
    </row>
    <row r="436" spans="1:10" ht="13.5" thickBot="1">
      <c r="A436" s="27"/>
      <c r="B436" s="110"/>
      <c r="D436" s="431" t="s">
        <v>70</v>
      </c>
      <c r="E436" s="432" t="s">
        <v>477</v>
      </c>
      <c r="F436" s="433"/>
      <c r="G436" s="434"/>
      <c r="H436" s="22">
        <v>0.1</v>
      </c>
      <c r="I436" s="436"/>
      <c r="J436" s="430">
        <f>H436*J435</f>
        <v>0</v>
      </c>
    </row>
    <row r="437" spans="1:10" ht="13.5" thickBot="1">
      <c r="A437" s="27"/>
      <c r="B437" s="110"/>
      <c r="D437" s="401" t="s">
        <v>71</v>
      </c>
      <c r="E437" s="402" t="s">
        <v>72</v>
      </c>
      <c r="F437" s="418"/>
      <c r="G437" s="419"/>
      <c r="H437" s="442"/>
      <c r="I437" s="421">
        <f>IF(AND(E437&lt;&gt;"",G437&lt;&gt;""),IF(D437="",IF(G437="OH",VLOOKUP(E437,UPAH!$C$4:$H$31,7,0),VLOOKUP(E437,#REF!,4,0)),0),0)</f>
        <v>0</v>
      </c>
      <c r="J437" s="396">
        <f>ROUNDDOWN(J435+J436,0)</f>
        <v>0</v>
      </c>
    </row>
    <row r="438" spans="1:10" ht="13">
      <c r="A438" s="27"/>
      <c r="B438" s="110"/>
      <c r="D438" s="11"/>
      <c r="E438" s="11"/>
      <c r="H438" s="443"/>
    </row>
    <row r="439" spans="1:10" ht="13">
      <c r="A439" s="27"/>
      <c r="B439" s="110"/>
      <c r="C439" s="10" t="s">
        <v>562</v>
      </c>
      <c r="D439" s="11" t="s">
        <v>1840</v>
      </c>
      <c r="H439" s="443"/>
    </row>
    <row r="440" spans="1:10" ht="13.5" thickBot="1">
      <c r="A440" s="27"/>
      <c r="B440" s="110"/>
      <c r="D440" s="11" t="s">
        <v>1104</v>
      </c>
      <c r="H440" s="443"/>
    </row>
    <row r="441" spans="1:10" ht="13.5" thickBot="1">
      <c r="A441" s="27"/>
      <c r="B441" s="110"/>
      <c r="D441" s="401" t="s">
        <v>40</v>
      </c>
      <c r="E441" s="402" t="s">
        <v>41</v>
      </c>
      <c r="F441" s="402" t="s">
        <v>42</v>
      </c>
      <c r="G441" s="403" t="s">
        <v>43</v>
      </c>
      <c r="H441" s="404" t="s">
        <v>44</v>
      </c>
      <c r="I441" s="402" t="s">
        <v>474</v>
      </c>
      <c r="J441" s="405" t="s">
        <v>475</v>
      </c>
    </row>
    <row r="442" spans="1:10" ht="13">
      <c r="A442" s="27"/>
      <c r="B442" s="110"/>
      <c r="D442" s="406" t="s">
        <v>45</v>
      </c>
      <c r="E442" s="13" t="s">
        <v>46</v>
      </c>
      <c r="F442" s="14"/>
      <c r="G442" s="15"/>
      <c r="H442" s="451"/>
      <c r="I442" s="412">
        <f>IF(AND(E442&lt;&gt;"",G442&lt;&gt;""),IF(D442="",IF(G442="OH",VLOOKUP(E442,UPAH!$C$4:$H$31,7,0),VLOOKUP(E442,#REF!,4,0)),0),0)</f>
        <v>0</v>
      </c>
      <c r="J442" s="16">
        <f>H442*I442</f>
        <v>0</v>
      </c>
    </row>
    <row r="443" spans="1:10" ht="13">
      <c r="A443" s="27"/>
      <c r="B443" s="110"/>
      <c r="D443" s="409"/>
      <c r="E443" s="13" t="s">
        <v>47</v>
      </c>
      <c r="F443" s="13" t="s">
        <v>1918</v>
      </c>
      <c r="G443" s="410" t="s">
        <v>48</v>
      </c>
      <c r="H443" s="411">
        <v>0.25</v>
      </c>
      <c r="I443" s="412">
        <f>IF(AND(E443&lt;&gt;"",G443&lt;&gt;""),IF(D443="",IF(G443="OH",VLOOKUP(F443,UPAH!$B$4:$H$101,7,0),VLOOKUP(F443,#REF!,4,0)),0),0)</f>
        <v>0</v>
      </c>
      <c r="J443" s="16">
        <f>H443*I443</f>
        <v>0</v>
      </c>
    </row>
    <row r="444" spans="1:10" ht="13.5" thickBot="1">
      <c r="A444" s="27"/>
      <c r="B444" s="110"/>
      <c r="D444" s="413"/>
      <c r="E444" s="414" t="s">
        <v>51</v>
      </c>
      <c r="F444" s="414" t="s">
        <v>1929</v>
      </c>
      <c r="G444" s="415" t="s">
        <v>48</v>
      </c>
      <c r="H444" s="416">
        <v>2.5000000000000001E-2</v>
      </c>
      <c r="I444" s="412">
        <f>IF(AND(E444&lt;&gt;"",G444&lt;&gt;""),IF(D444="",IF(G444="OH",VLOOKUP(F444,UPAH!$B$4:$H$101,7,0),VLOOKUP(F444,#REF!,4,0)),0),0)</f>
        <v>0</v>
      </c>
      <c r="J444" s="16">
        <f>H444*I444</f>
        <v>0</v>
      </c>
    </row>
    <row r="445" spans="1:10" ht="13.5" thickBot="1">
      <c r="A445" s="27"/>
      <c r="B445" s="110"/>
      <c r="D445" s="417"/>
      <c r="E445" s="418"/>
      <c r="F445" s="418"/>
      <c r="G445" s="419"/>
      <c r="H445" s="420" t="s">
        <v>52</v>
      </c>
      <c r="I445" s="421"/>
      <c r="J445" s="396">
        <f>SUM(J442:J444)</f>
        <v>0</v>
      </c>
    </row>
    <row r="446" spans="1:10" ht="13.5" thickBot="1">
      <c r="A446" s="27"/>
      <c r="B446" s="110"/>
      <c r="D446" s="431" t="s">
        <v>53</v>
      </c>
      <c r="E446" s="432" t="s">
        <v>54</v>
      </c>
      <c r="F446" s="433"/>
      <c r="G446" s="434"/>
      <c r="H446" s="435"/>
      <c r="I446" s="412">
        <f>IF(AND(E446&lt;&gt;"",G446&lt;&gt;""),IF(D446="",IF(G446="OH",VLOOKUP(E446,UPAH!$C$4:$H$31,7,0),VLOOKUP(E446,#REF!,4,0)),0),0)</f>
        <v>0</v>
      </c>
      <c r="J446" s="16">
        <f>H446*I446</f>
        <v>0</v>
      </c>
    </row>
    <row r="447" spans="1:10" ht="13.5" thickBot="1">
      <c r="A447" s="27"/>
      <c r="B447" s="110"/>
      <c r="D447" s="417"/>
      <c r="E447" s="418"/>
      <c r="F447" s="418"/>
      <c r="G447" s="419"/>
      <c r="H447" s="420" t="s">
        <v>64</v>
      </c>
      <c r="I447" s="421"/>
      <c r="J447" s="396">
        <f>SUM(J446)</f>
        <v>0</v>
      </c>
    </row>
    <row r="448" spans="1:10" ht="13.5" thickBot="1">
      <c r="A448" s="27"/>
      <c r="B448" s="110"/>
      <c r="D448" s="431" t="s">
        <v>65</v>
      </c>
      <c r="E448" s="432" t="s">
        <v>66</v>
      </c>
      <c r="F448" s="433"/>
      <c r="G448" s="434"/>
      <c r="H448" s="435"/>
      <c r="I448" s="412">
        <f>IF(AND(E448&lt;&gt;"",G448&lt;&gt;""),IF(D448="",IF(G448="OH",VLOOKUP(E448,UPAH!$C$4:$H$31,7,0),VLOOKUP(E448,#REF!,4,0)),0),0)</f>
        <v>0</v>
      </c>
      <c r="J448" s="16">
        <f>H448*I448</f>
        <v>0</v>
      </c>
    </row>
    <row r="449" spans="1:10" ht="13.5" thickBot="1">
      <c r="A449" s="27"/>
      <c r="B449" s="110"/>
      <c r="D449" s="417"/>
      <c r="E449" s="418"/>
      <c r="F449" s="418"/>
      <c r="G449" s="419"/>
      <c r="H449" s="420" t="s">
        <v>67</v>
      </c>
      <c r="I449" s="421"/>
      <c r="J449" s="396">
        <f>J448</f>
        <v>0</v>
      </c>
    </row>
    <row r="450" spans="1:10" ht="13">
      <c r="A450" s="27"/>
      <c r="B450" s="110"/>
      <c r="D450" s="444" t="s">
        <v>68</v>
      </c>
      <c r="E450" s="445" t="s">
        <v>69</v>
      </c>
      <c r="F450" s="446"/>
      <c r="G450" s="447"/>
      <c r="H450" s="448"/>
      <c r="I450" s="449">
        <f>IF(AND(E450&lt;&gt;"",G450&lt;&gt;""),IF(D450="",IF(G450="OH",VLOOKUP(E450,UPAH!$C$4:$H$31,7,0),VLOOKUP(E450,#REF!,4,0)),0),0)</f>
        <v>0</v>
      </c>
      <c r="J450" s="16">
        <f>SUM(J442:J449)/2</f>
        <v>0</v>
      </c>
    </row>
    <row r="451" spans="1:10" ht="13.5" thickBot="1">
      <c r="A451" s="27"/>
      <c r="B451" s="110"/>
      <c r="D451" s="431" t="s">
        <v>70</v>
      </c>
      <c r="E451" s="432" t="s">
        <v>477</v>
      </c>
      <c r="F451" s="433"/>
      <c r="G451" s="434"/>
      <c r="H451" s="22">
        <v>0.1</v>
      </c>
      <c r="I451" s="436"/>
      <c r="J451" s="430">
        <f>H451*J450</f>
        <v>0</v>
      </c>
    </row>
    <row r="452" spans="1:10" ht="13.5" thickBot="1">
      <c r="A452" s="27"/>
      <c r="B452" s="110"/>
      <c r="D452" s="401" t="s">
        <v>71</v>
      </c>
      <c r="E452" s="402" t="s">
        <v>72</v>
      </c>
      <c r="F452" s="418"/>
      <c r="G452" s="419"/>
      <c r="H452" s="442"/>
      <c r="I452" s="421">
        <f>IF(AND(E452&lt;&gt;"",G452&lt;&gt;""),IF(D452="",IF(G452="OH",VLOOKUP(E452,UPAH!$C$4:$H$31,7,0),VLOOKUP(E452,#REF!,4,0)),0),0)</f>
        <v>0</v>
      </c>
      <c r="J452" s="396">
        <f>ROUNDDOWN(J450+J451,0)</f>
        <v>0</v>
      </c>
    </row>
    <row r="453" spans="1:10" ht="13">
      <c r="A453" s="27"/>
      <c r="B453" s="110"/>
      <c r="D453" s="11"/>
      <c r="E453" s="11"/>
      <c r="H453" s="443"/>
    </row>
    <row r="454" spans="1:10" ht="13.5" thickBot="1">
      <c r="A454" s="27"/>
      <c r="B454" s="110"/>
      <c r="C454" s="11" t="s">
        <v>567</v>
      </c>
      <c r="D454" s="10" t="s">
        <v>568</v>
      </c>
      <c r="H454" s="443"/>
    </row>
    <row r="455" spans="1:10" ht="13.5" thickBot="1">
      <c r="A455" s="27"/>
      <c r="B455" s="110"/>
      <c r="D455" s="401" t="s">
        <v>40</v>
      </c>
      <c r="E455" s="402" t="s">
        <v>41</v>
      </c>
      <c r="F455" s="402" t="s">
        <v>42</v>
      </c>
      <c r="G455" s="403" t="s">
        <v>43</v>
      </c>
      <c r="H455" s="404" t="s">
        <v>44</v>
      </c>
      <c r="I455" s="402" t="s">
        <v>474</v>
      </c>
      <c r="J455" s="405" t="s">
        <v>475</v>
      </c>
    </row>
    <row r="456" spans="1:10" ht="13">
      <c r="A456" s="27"/>
      <c r="B456" s="110"/>
      <c r="D456" s="406" t="s">
        <v>45</v>
      </c>
      <c r="E456" s="13" t="s">
        <v>46</v>
      </c>
      <c r="F456" s="14"/>
      <c r="G456" s="15"/>
      <c r="H456" s="451"/>
      <c r="I456" s="412">
        <f>IF(AND(E456&lt;&gt;"",G456&lt;&gt;""),IF(D456="",IF(G456="OH",VLOOKUP(E456,UPAH!$C$4:$H$31,7,0),VLOOKUP(E456,#REF!,4,0)),0),0)</f>
        <v>0</v>
      </c>
      <c r="J456" s="16">
        <f>H456*I456</f>
        <v>0</v>
      </c>
    </row>
    <row r="457" spans="1:10" ht="13">
      <c r="A457" s="27"/>
      <c r="B457" s="110"/>
      <c r="D457" s="409"/>
      <c r="E457" s="13" t="s">
        <v>47</v>
      </c>
      <c r="F457" s="13" t="s">
        <v>1918</v>
      </c>
      <c r="G457" s="410" t="s">
        <v>48</v>
      </c>
      <c r="H457" s="411">
        <v>0.5</v>
      </c>
      <c r="I457" s="412">
        <f>IF(AND(E457&lt;&gt;"",G457&lt;&gt;""),IF(D457="",IF(G457="OH",VLOOKUP(F457,UPAH!$B$4:$H$101,7,0),VLOOKUP(F457,#REF!,4,0)),0),0)</f>
        <v>0</v>
      </c>
      <c r="J457" s="16">
        <f>H457*I457</f>
        <v>0</v>
      </c>
    </row>
    <row r="458" spans="1:10" ht="13.5" thickBot="1">
      <c r="A458" s="27"/>
      <c r="B458" s="110"/>
      <c r="D458" s="413"/>
      <c r="E458" s="414" t="s">
        <v>51</v>
      </c>
      <c r="F458" s="414" t="s">
        <v>1929</v>
      </c>
      <c r="G458" s="415" t="s">
        <v>48</v>
      </c>
      <c r="H458" s="416">
        <v>0.05</v>
      </c>
      <c r="I458" s="412">
        <f>IF(AND(E458&lt;&gt;"",G458&lt;&gt;""),IF(D458="",IF(G458="OH",VLOOKUP(F458,UPAH!$B$4:$H$101,7,0),VLOOKUP(F458,#REF!,4,0)),0),0)</f>
        <v>0</v>
      </c>
      <c r="J458" s="16">
        <f>H458*I458</f>
        <v>0</v>
      </c>
    </row>
    <row r="459" spans="1:10" ht="13.5" thickBot="1">
      <c r="A459" s="27"/>
      <c r="B459" s="110"/>
      <c r="D459" s="417"/>
      <c r="E459" s="418"/>
      <c r="F459" s="418"/>
      <c r="G459" s="419"/>
      <c r="H459" s="420" t="s">
        <v>52</v>
      </c>
      <c r="I459" s="421"/>
      <c r="J459" s="396">
        <f>SUM(J456:J458)</f>
        <v>0</v>
      </c>
    </row>
    <row r="460" spans="1:10" ht="13.5" thickBot="1">
      <c r="A460" s="27"/>
      <c r="B460" s="110"/>
      <c r="D460" s="431" t="s">
        <v>53</v>
      </c>
      <c r="E460" s="432" t="s">
        <v>54</v>
      </c>
      <c r="F460" s="433"/>
      <c r="G460" s="434"/>
      <c r="H460" s="435"/>
      <c r="I460" s="412">
        <f>IF(AND(E460&lt;&gt;"",G460&lt;&gt;""),IF(D460="",IF(G460="OH",VLOOKUP(E460,UPAH!$C$4:$H$31,7,0),VLOOKUP(E460,#REF!,4,0)),0),0)</f>
        <v>0</v>
      </c>
      <c r="J460" s="16">
        <f>H460*I460</f>
        <v>0</v>
      </c>
    </row>
    <row r="461" spans="1:10" ht="13.5" thickBot="1">
      <c r="A461" s="27"/>
      <c r="B461" s="110"/>
      <c r="D461" s="417"/>
      <c r="E461" s="418"/>
      <c r="F461" s="418"/>
      <c r="G461" s="419"/>
      <c r="H461" s="420" t="s">
        <v>64</v>
      </c>
      <c r="I461" s="421"/>
      <c r="J461" s="396">
        <f>SUM(J460)</f>
        <v>0</v>
      </c>
    </row>
    <row r="462" spans="1:10" ht="13.5" thickBot="1">
      <c r="A462" s="27"/>
      <c r="B462" s="110"/>
      <c r="D462" s="431" t="s">
        <v>65</v>
      </c>
      <c r="E462" s="432" t="s">
        <v>66</v>
      </c>
      <c r="F462" s="433"/>
      <c r="G462" s="434"/>
      <c r="H462" s="435"/>
      <c r="I462" s="412">
        <f>IF(AND(E462&lt;&gt;"",G462&lt;&gt;""),IF(D462="",IF(G462="OH",VLOOKUP(E462,UPAH!$C$4:$H$31,7,0),VLOOKUP(E462,#REF!,4,0)),0),0)</f>
        <v>0</v>
      </c>
      <c r="J462" s="16">
        <f>H462*I462</f>
        <v>0</v>
      </c>
    </row>
    <row r="463" spans="1:10" ht="13.5" thickBot="1">
      <c r="A463" s="27"/>
      <c r="B463" s="110"/>
      <c r="D463" s="417"/>
      <c r="E463" s="418"/>
      <c r="F463" s="418"/>
      <c r="G463" s="419"/>
      <c r="H463" s="420" t="s">
        <v>67</v>
      </c>
      <c r="I463" s="421"/>
      <c r="J463" s="396">
        <f>J462</f>
        <v>0</v>
      </c>
    </row>
    <row r="464" spans="1:10" ht="13">
      <c r="A464" s="27"/>
      <c r="B464" s="110"/>
      <c r="D464" s="444" t="s">
        <v>68</v>
      </c>
      <c r="E464" s="445" t="s">
        <v>69</v>
      </c>
      <c r="F464" s="446"/>
      <c r="G464" s="447"/>
      <c r="H464" s="448"/>
      <c r="I464" s="449">
        <f>IF(AND(E464&lt;&gt;"",G464&lt;&gt;""),IF(D464="",IF(G464="OH",VLOOKUP(E464,UPAH!$C$4:$H$31,7,0),VLOOKUP(E464,#REF!,4,0)),0),0)</f>
        <v>0</v>
      </c>
      <c r="J464" s="16">
        <f>SUM(J456:J463)/2</f>
        <v>0</v>
      </c>
    </row>
    <row r="465" spans="1:10" ht="13.5" thickBot="1">
      <c r="A465" s="27"/>
      <c r="B465" s="110"/>
      <c r="D465" s="431" t="s">
        <v>70</v>
      </c>
      <c r="E465" s="432" t="s">
        <v>477</v>
      </c>
      <c r="F465" s="433"/>
      <c r="G465" s="434"/>
      <c r="H465" s="22">
        <v>0.1</v>
      </c>
      <c r="I465" s="436"/>
      <c r="J465" s="430">
        <f>H465*J464</f>
        <v>0</v>
      </c>
    </row>
    <row r="466" spans="1:10" ht="13.5" thickBot="1">
      <c r="A466" s="27"/>
      <c r="B466" s="110"/>
      <c r="D466" s="401" t="s">
        <v>71</v>
      </c>
      <c r="E466" s="402" t="s">
        <v>72</v>
      </c>
      <c r="F466" s="418"/>
      <c r="G466" s="419"/>
      <c r="H466" s="442"/>
      <c r="I466" s="421">
        <f>IF(AND(E466&lt;&gt;"",G466&lt;&gt;""),IF(D466="",IF(G466="OH",VLOOKUP(E466,UPAH!$C$4:$H$31,7,0),VLOOKUP(E466,#REF!,4,0)),0),0)</f>
        <v>0</v>
      </c>
      <c r="J466" s="396">
        <f>ROUNDDOWN(J464+J465,0)</f>
        <v>0</v>
      </c>
    </row>
    <row r="467" spans="1:10" ht="13">
      <c r="A467" s="27"/>
      <c r="B467" s="110"/>
      <c r="D467" s="11"/>
      <c r="E467" s="11"/>
      <c r="H467" s="443"/>
    </row>
    <row r="468" spans="1:10" ht="13.5" thickBot="1">
      <c r="A468" s="27"/>
      <c r="B468" s="110"/>
      <c r="C468" s="11" t="s">
        <v>569</v>
      </c>
      <c r="D468" s="10" t="s">
        <v>570</v>
      </c>
      <c r="H468" s="443"/>
    </row>
    <row r="469" spans="1:10" ht="13.5" thickBot="1">
      <c r="A469" s="27"/>
      <c r="B469" s="110"/>
      <c r="D469" s="401" t="s">
        <v>40</v>
      </c>
      <c r="E469" s="402" t="s">
        <v>41</v>
      </c>
      <c r="F469" s="402" t="s">
        <v>42</v>
      </c>
      <c r="G469" s="403" t="s">
        <v>43</v>
      </c>
      <c r="H469" s="404" t="s">
        <v>44</v>
      </c>
      <c r="I469" s="402" t="s">
        <v>474</v>
      </c>
      <c r="J469" s="405" t="s">
        <v>475</v>
      </c>
    </row>
    <row r="470" spans="1:10" ht="13">
      <c r="A470" s="27"/>
      <c r="B470" s="110"/>
      <c r="D470" s="406" t="s">
        <v>45</v>
      </c>
      <c r="E470" s="13" t="s">
        <v>46</v>
      </c>
      <c r="F470" s="14"/>
      <c r="G470" s="15"/>
      <c r="H470" s="451"/>
      <c r="I470" s="412">
        <f>IF(AND(E470&lt;&gt;"",G470&lt;&gt;""),IF(D470="",IF(G470="OH",VLOOKUP(E470,UPAH!$C$4:$H$31,7,0),VLOOKUP(E470,#REF!,4,0)),0),0)</f>
        <v>0</v>
      </c>
      <c r="J470" s="16">
        <f>H470*I470</f>
        <v>0</v>
      </c>
    </row>
    <row r="471" spans="1:10" ht="13">
      <c r="A471" s="27"/>
      <c r="B471" s="110"/>
      <c r="D471" s="409"/>
      <c r="E471" s="13" t="s">
        <v>47</v>
      </c>
      <c r="F471" s="13" t="s">
        <v>1918</v>
      </c>
      <c r="G471" s="410" t="s">
        <v>48</v>
      </c>
      <c r="H471" s="411">
        <v>0.3</v>
      </c>
      <c r="I471" s="412">
        <f>IF(AND(E471&lt;&gt;"",G471&lt;&gt;""),IF(D471="",IF(G471="OH",VLOOKUP(F471,UPAH!$B$4:$H$101,7,0),VLOOKUP(F471,#REF!,4,0)),0),0)</f>
        <v>0</v>
      </c>
      <c r="J471" s="16">
        <f>H471*I471</f>
        <v>0</v>
      </c>
    </row>
    <row r="472" spans="1:10" ht="13.5" thickBot="1">
      <c r="A472" s="27"/>
      <c r="B472" s="110"/>
      <c r="D472" s="413"/>
      <c r="E472" s="414" t="s">
        <v>51</v>
      </c>
      <c r="F472" s="414" t="s">
        <v>1929</v>
      </c>
      <c r="G472" s="415" t="s">
        <v>48</v>
      </c>
      <c r="H472" s="416">
        <v>0.01</v>
      </c>
      <c r="I472" s="412">
        <f>IF(AND(E472&lt;&gt;"",G472&lt;&gt;""),IF(D472="",IF(G472="OH",VLOOKUP(F472,UPAH!$B$4:$H$101,7,0),VLOOKUP(F472,#REF!,4,0)),0),0)</f>
        <v>0</v>
      </c>
      <c r="J472" s="16">
        <f>H472*I472</f>
        <v>0</v>
      </c>
    </row>
    <row r="473" spans="1:10" ht="13.5" thickBot="1">
      <c r="A473" s="27"/>
      <c r="B473" s="110"/>
      <c r="D473" s="417"/>
      <c r="E473" s="418"/>
      <c r="F473" s="418"/>
      <c r="G473" s="419"/>
      <c r="H473" s="420" t="s">
        <v>52</v>
      </c>
      <c r="I473" s="421"/>
      <c r="J473" s="396">
        <f>SUM(J470:J472)</f>
        <v>0</v>
      </c>
    </row>
    <row r="474" spans="1:10" ht="13">
      <c r="A474" s="27"/>
      <c r="B474" s="110"/>
      <c r="D474" s="422" t="s">
        <v>53</v>
      </c>
      <c r="E474" s="423" t="s">
        <v>54</v>
      </c>
      <c r="F474" s="424"/>
      <c r="G474" s="425"/>
      <c r="H474" s="426"/>
      <c r="I474" s="412">
        <f>IF(AND(E474&lt;&gt;"",G474&lt;&gt;""),IF(D474="",IF(G474="OH",VLOOKUP(E474,UPAH!$C$4:$H$31,7,0),VLOOKUP(E474,#REF!,4,0)),0),0)</f>
        <v>0</v>
      </c>
      <c r="J474" s="16">
        <f>H474*I474</f>
        <v>0</v>
      </c>
    </row>
    <row r="475" spans="1:10" ht="13.5" thickBot="1">
      <c r="A475" s="27"/>
      <c r="B475" s="110"/>
      <c r="D475" s="413"/>
      <c r="E475" s="414" t="s">
        <v>100</v>
      </c>
      <c r="F475" s="429"/>
      <c r="G475" s="439" t="s">
        <v>170</v>
      </c>
      <c r="H475" s="416">
        <v>1.2</v>
      </c>
      <c r="I475" s="412">
        <f>'BAHAN '!G58</f>
        <v>0</v>
      </c>
      <c r="J475" s="16">
        <f>H475*I475</f>
        <v>0</v>
      </c>
    </row>
    <row r="476" spans="1:10" ht="13.5" thickBot="1">
      <c r="A476" s="27"/>
      <c r="B476" s="110"/>
      <c r="D476" s="417"/>
      <c r="E476" s="418"/>
      <c r="F476" s="418"/>
      <c r="G476" s="419"/>
      <c r="H476" s="420" t="s">
        <v>64</v>
      </c>
      <c r="I476" s="421"/>
      <c r="J476" s="396">
        <f>SUM(J475)</f>
        <v>0</v>
      </c>
    </row>
    <row r="477" spans="1:10" ht="13.5" thickBot="1">
      <c r="A477" s="27"/>
      <c r="B477" s="110"/>
      <c r="D477" s="431" t="s">
        <v>65</v>
      </c>
      <c r="E477" s="432" t="s">
        <v>66</v>
      </c>
      <c r="F477" s="433"/>
      <c r="G477" s="434"/>
      <c r="H477" s="435"/>
      <c r="I477" s="412">
        <f>IF(AND(E477&lt;&gt;"",G477&lt;&gt;""),IF(D477="",IF(G477="OH",VLOOKUP(E477,UPAH!$C$4:$H$31,7,0),VLOOKUP(E477,#REF!,4,0)),0),0)</f>
        <v>0</v>
      </c>
      <c r="J477" s="16">
        <f>H477*I477</f>
        <v>0</v>
      </c>
    </row>
    <row r="478" spans="1:10" ht="13.5" thickBot="1">
      <c r="A478" s="27"/>
      <c r="B478" s="110"/>
      <c r="D478" s="417"/>
      <c r="E478" s="418"/>
      <c r="F478" s="418"/>
      <c r="G478" s="419"/>
      <c r="H478" s="420" t="s">
        <v>67</v>
      </c>
      <c r="I478" s="421"/>
      <c r="J478" s="396">
        <f>J477</f>
        <v>0</v>
      </c>
    </row>
    <row r="479" spans="1:10" ht="13">
      <c r="A479" s="27"/>
      <c r="B479" s="110"/>
      <c r="D479" s="444" t="s">
        <v>68</v>
      </c>
      <c r="E479" s="445" t="s">
        <v>69</v>
      </c>
      <c r="F479" s="446"/>
      <c r="G479" s="447"/>
      <c r="H479" s="448"/>
      <c r="I479" s="449">
        <f>IF(AND(E479&lt;&gt;"",G479&lt;&gt;""),IF(D479="",IF(G479="OH",VLOOKUP(E479,UPAH!$C$4:$H$31,7,0),VLOOKUP(E479,#REF!,4,0)),0),0)</f>
        <v>0</v>
      </c>
      <c r="J479" s="16">
        <f>SUM(J471:J478)/2</f>
        <v>0</v>
      </c>
    </row>
    <row r="480" spans="1:10" ht="13.5" thickBot="1">
      <c r="A480" s="27"/>
      <c r="B480" s="110"/>
      <c r="D480" s="431" t="s">
        <v>70</v>
      </c>
      <c r="E480" s="432" t="s">
        <v>477</v>
      </c>
      <c r="F480" s="433"/>
      <c r="G480" s="434"/>
      <c r="H480" s="22">
        <v>0.1</v>
      </c>
      <c r="I480" s="436"/>
      <c r="J480" s="430">
        <f>H480*J479</f>
        <v>0</v>
      </c>
    </row>
    <row r="481" spans="1:10" ht="13.5" thickBot="1">
      <c r="A481" s="27"/>
      <c r="B481" s="110"/>
      <c r="D481" s="401" t="s">
        <v>71</v>
      </c>
      <c r="E481" s="402" t="s">
        <v>72</v>
      </c>
      <c r="F481" s="418"/>
      <c r="G481" s="419"/>
      <c r="H481" s="442"/>
      <c r="I481" s="421">
        <f>IF(AND(E481&lt;&gt;"",G481&lt;&gt;""),IF(D481="",IF(G481="OH",VLOOKUP(E481,UPAH!$C$4:$H$31,7,0),VLOOKUP(E481,#REF!,4,0)),0),0)</f>
        <v>0</v>
      </c>
      <c r="J481" s="396">
        <f>ROUNDDOWN(J479+J480,0)</f>
        <v>0</v>
      </c>
    </row>
    <row r="482" spans="1:10" ht="13">
      <c r="A482" s="27"/>
      <c r="B482" s="110"/>
      <c r="D482" s="11"/>
      <c r="E482" s="11"/>
      <c r="H482" s="443"/>
    </row>
    <row r="483" spans="1:10" ht="13.5" thickBot="1">
      <c r="A483" s="27"/>
      <c r="B483" s="110"/>
      <c r="C483" s="11" t="s">
        <v>3658</v>
      </c>
      <c r="D483" s="10" t="s">
        <v>3660</v>
      </c>
      <c r="H483" s="443"/>
    </row>
    <row r="484" spans="1:10" ht="13.5" thickBot="1">
      <c r="A484" s="27"/>
      <c r="B484" s="110"/>
      <c r="D484" s="401" t="s">
        <v>40</v>
      </c>
      <c r="E484" s="402" t="s">
        <v>41</v>
      </c>
      <c r="F484" s="402" t="s">
        <v>42</v>
      </c>
      <c r="G484" s="403" t="s">
        <v>43</v>
      </c>
      <c r="H484" s="404" t="s">
        <v>44</v>
      </c>
      <c r="I484" s="402" t="s">
        <v>474</v>
      </c>
      <c r="J484" s="405" t="s">
        <v>475</v>
      </c>
    </row>
    <row r="485" spans="1:10" ht="13">
      <c r="A485" s="27"/>
      <c r="B485" s="110"/>
      <c r="D485" s="406" t="s">
        <v>45</v>
      </c>
      <c r="E485" s="13" t="s">
        <v>46</v>
      </c>
      <c r="F485" s="14"/>
      <c r="G485" s="15"/>
      <c r="H485" s="451"/>
      <c r="I485" s="412">
        <f>IF(AND(E485&lt;&gt;"",G485&lt;&gt;""),IF(D485="",IF(G485="OH",VLOOKUP(E485,UPAH!$C$4:$H$31,7,0),VLOOKUP(E485,#REF!,4,0)),0),0)</f>
        <v>0</v>
      </c>
      <c r="J485" s="16">
        <f>H485*I485</f>
        <v>0</v>
      </c>
    </row>
    <row r="486" spans="1:10" ht="13">
      <c r="A486" s="27"/>
      <c r="B486" s="110"/>
      <c r="D486" s="409"/>
      <c r="E486" s="13" t="s">
        <v>47</v>
      </c>
      <c r="F486" s="13" t="s">
        <v>1918</v>
      </c>
      <c r="G486" s="410" t="s">
        <v>48</v>
      </c>
      <c r="H486" s="411">
        <v>0.3</v>
      </c>
      <c r="I486" s="412">
        <f>IF(AND(E486&lt;&gt;"",G486&lt;&gt;""),IF(D486="",IF(G486="OH",VLOOKUP(F486,UPAH!$B$4:$H$101,7,0),VLOOKUP(F486,#REF!,4,0)),0),0)</f>
        <v>0</v>
      </c>
      <c r="J486" s="16">
        <f>H486*I486</f>
        <v>0</v>
      </c>
    </row>
    <row r="487" spans="1:10" ht="13.5" thickBot="1">
      <c r="A487" s="27"/>
      <c r="B487" s="110"/>
      <c r="D487" s="413"/>
      <c r="E487" s="414" t="s">
        <v>51</v>
      </c>
      <c r="F487" s="414" t="s">
        <v>1929</v>
      </c>
      <c r="G487" s="415" t="s">
        <v>48</v>
      </c>
      <c r="H487" s="416">
        <v>0.01</v>
      </c>
      <c r="I487" s="412">
        <f>IF(AND(E487&lt;&gt;"",G487&lt;&gt;""),IF(D487="",IF(G487="OH",VLOOKUP(F487,UPAH!$B$4:$H$101,7,0),VLOOKUP(F487,#REF!,4,0)),0),0)</f>
        <v>0</v>
      </c>
      <c r="J487" s="16">
        <f>H487*I487</f>
        <v>0</v>
      </c>
    </row>
    <row r="488" spans="1:10" ht="13.5" thickBot="1">
      <c r="A488" s="27"/>
      <c r="B488" s="110"/>
      <c r="D488" s="417"/>
      <c r="E488" s="418"/>
      <c r="F488" s="418"/>
      <c r="G488" s="419"/>
      <c r="H488" s="420" t="s">
        <v>52</v>
      </c>
      <c r="I488" s="421"/>
      <c r="J488" s="396">
        <f>SUM(J485:J487)</f>
        <v>0</v>
      </c>
    </row>
    <row r="489" spans="1:10" ht="13">
      <c r="A489" s="27"/>
      <c r="B489" s="110"/>
      <c r="D489" s="422" t="s">
        <v>53</v>
      </c>
      <c r="E489" s="423" t="s">
        <v>54</v>
      </c>
      <c r="F489" s="424"/>
      <c r="G489" s="425"/>
      <c r="H489" s="426"/>
      <c r="I489" s="412">
        <f>IF(AND(E489&lt;&gt;"",G489&lt;&gt;""),IF(D489="",IF(G489="OH",VLOOKUP(E489,UPAH!$C$4:$H$31,7,0),VLOOKUP(E489,#REF!,4,0)),0),0)</f>
        <v>0</v>
      </c>
      <c r="J489" s="16">
        <f>H489*I489</f>
        <v>0</v>
      </c>
    </row>
    <row r="490" spans="1:10" ht="13.5" thickBot="1">
      <c r="A490" s="27"/>
      <c r="B490" s="110"/>
      <c r="D490" s="413"/>
      <c r="E490" s="414" t="s">
        <v>3659</v>
      </c>
      <c r="F490" s="429"/>
      <c r="G490" s="439" t="s">
        <v>170</v>
      </c>
      <c r="H490" s="416">
        <v>1.2</v>
      </c>
      <c r="I490" s="412">
        <v>0</v>
      </c>
      <c r="J490" s="16">
        <f>H490*I490</f>
        <v>0</v>
      </c>
    </row>
    <row r="491" spans="1:10" ht="13.5" thickBot="1">
      <c r="A491" s="27"/>
      <c r="B491" s="110"/>
      <c r="D491" s="417"/>
      <c r="E491" s="418"/>
      <c r="F491" s="418"/>
      <c r="G491" s="419"/>
      <c r="H491" s="420" t="s">
        <v>64</v>
      </c>
      <c r="I491" s="421"/>
      <c r="J491" s="396">
        <f>SUM(J490)</f>
        <v>0</v>
      </c>
    </row>
    <row r="492" spans="1:10" ht="13.5" thickBot="1">
      <c r="A492" s="27"/>
      <c r="B492" s="110"/>
      <c r="D492" s="431" t="s">
        <v>65</v>
      </c>
      <c r="E492" s="432" t="s">
        <v>66</v>
      </c>
      <c r="F492" s="433"/>
      <c r="G492" s="434"/>
      <c r="H492" s="435"/>
      <c r="I492" s="412">
        <f>IF(AND(E492&lt;&gt;"",G492&lt;&gt;""),IF(D492="",IF(G492="OH",VLOOKUP(E492,UPAH!$C$4:$H$31,7,0),VLOOKUP(E492,#REF!,4,0)),0),0)</f>
        <v>0</v>
      </c>
      <c r="J492" s="16">
        <f>H492*I492</f>
        <v>0</v>
      </c>
    </row>
    <row r="493" spans="1:10" ht="13.5" thickBot="1">
      <c r="A493" s="27"/>
      <c r="B493" s="110"/>
      <c r="D493" s="417"/>
      <c r="E493" s="418"/>
      <c r="F493" s="418"/>
      <c r="G493" s="419"/>
      <c r="H493" s="420" t="s">
        <v>67</v>
      </c>
      <c r="I493" s="421"/>
      <c r="J493" s="396">
        <f>J492</f>
        <v>0</v>
      </c>
    </row>
    <row r="494" spans="1:10" ht="13">
      <c r="A494" s="27"/>
      <c r="B494" s="110"/>
      <c r="D494" s="444" t="s">
        <v>68</v>
      </c>
      <c r="E494" s="445" t="s">
        <v>69</v>
      </c>
      <c r="F494" s="446"/>
      <c r="G494" s="447"/>
      <c r="H494" s="448"/>
      <c r="I494" s="449">
        <f>IF(AND(E494&lt;&gt;"",G494&lt;&gt;""),IF(D494="",IF(G494="OH",VLOOKUP(E494,UPAH!$C$4:$H$31,7,0),VLOOKUP(E494,#REF!,4,0)),0),0)</f>
        <v>0</v>
      </c>
      <c r="J494" s="16">
        <f>SUM(J486:J493)/2</f>
        <v>0</v>
      </c>
    </row>
    <row r="495" spans="1:10" ht="13.5" thickBot="1">
      <c r="A495" s="27"/>
      <c r="B495" s="110"/>
      <c r="D495" s="431" t="s">
        <v>70</v>
      </c>
      <c r="E495" s="432" t="s">
        <v>477</v>
      </c>
      <c r="F495" s="433"/>
      <c r="G495" s="434"/>
      <c r="H495" s="22">
        <v>0.1</v>
      </c>
      <c r="I495" s="436"/>
      <c r="J495" s="430">
        <f>H495*J494</f>
        <v>0</v>
      </c>
    </row>
    <row r="496" spans="1:10" ht="13.5" thickBot="1">
      <c r="A496" s="27"/>
      <c r="B496" s="110"/>
      <c r="D496" s="401" t="s">
        <v>71</v>
      </c>
      <c r="E496" s="402" t="s">
        <v>72</v>
      </c>
      <c r="F496" s="418"/>
      <c r="G496" s="419"/>
      <c r="H496" s="442"/>
      <c r="I496" s="421">
        <f>IF(AND(E496&lt;&gt;"",G496&lt;&gt;""),IF(D496="",IF(G496="OH",VLOOKUP(E496,UPAH!$C$4:$H$31,7,0),VLOOKUP(E496,#REF!,4,0)),0),0)</f>
        <v>0</v>
      </c>
      <c r="J496" s="396">
        <f>ROUNDDOWN(J494+J495,0)</f>
        <v>0</v>
      </c>
    </row>
    <row r="497" spans="1:10" ht="13">
      <c r="A497" s="27"/>
      <c r="B497" s="110"/>
      <c r="D497" s="11"/>
      <c r="E497" s="11"/>
      <c r="H497" s="443"/>
    </row>
    <row r="498" spans="1:10" ht="13.5" thickBot="1">
      <c r="A498" s="27"/>
      <c r="B498" s="110"/>
      <c r="C498" s="10" t="s">
        <v>572</v>
      </c>
      <c r="D498" s="11" t="s">
        <v>571</v>
      </c>
      <c r="H498" s="443"/>
    </row>
    <row r="499" spans="1:10" ht="13.5" thickBot="1">
      <c r="A499" s="27"/>
      <c r="B499" s="110"/>
      <c r="D499" s="401" t="s">
        <v>40</v>
      </c>
      <c r="E499" s="402" t="s">
        <v>41</v>
      </c>
      <c r="F499" s="402" t="s">
        <v>42</v>
      </c>
      <c r="G499" s="403" t="s">
        <v>43</v>
      </c>
      <c r="H499" s="404" t="s">
        <v>44</v>
      </c>
      <c r="I499" s="402" t="s">
        <v>474</v>
      </c>
      <c r="J499" s="405" t="s">
        <v>475</v>
      </c>
    </row>
    <row r="500" spans="1:10" ht="13">
      <c r="A500" s="27"/>
      <c r="B500" s="110"/>
      <c r="D500" s="406" t="s">
        <v>45</v>
      </c>
      <c r="E500" s="13" t="s">
        <v>46</v>
      </c>
      <c r="F500" s="14"/>
      <c r="G500" s="15"/>
      <c r="H500" s="451"/>
      <c r="I500" s="412">
        <f>IF(AND(E500&lt;&gt;"",G500&lt;&gt;""),IF(D500="",IF(G500="OH",VLOOKUP(E500,UPAH!$C$4:$H$31,7,0),VLOOKUP(E500,#REF!,4,0)),0),0)</f>
        <v>0</v>
      </c>
      <c r="J500" s="16">
        <f>H500*I500</f>
        <v>0</v>
      </c>
    </row>
    <row r="501" spans="1:10" ht="13">
      <c r="A501" s="27"/>
      <c r="B501" s="110"/>
      <c r="D501" s="409"/>
      <c r="E501" s="13" t="s">
        <v>47</v>
      </c>
      <c r="F501" s="13" t="s">
        <v>1918</v>
      </c>
      <c r="G501" s="410" t="s">
        <v>48</v>
      </c>
      <c r="H501" s="411">
        <v>0.8</v>
      </c>
      <c r="I501" s="412">
        <f>IF(AND(E501&lt;&gt;"",G501&lt;&gt;""),IF(D501="",IF(G501="OH",VLOOKUP(F501,UPAH!$B$4:$H$101,7,0),VLOOKUP(F501,#REF!,4,0)),0),0)</f>
        <v>0</v>
      </c>
      <c r="J501" s="16">
        <f>H501*I501</f>
        <v>0</v>
      </c>
    </row>
    <row r="502" spans="1:10" ht="13">
      <c r="A502" s="27"/>
      <c r="B502" s="110"/>
      <c r="D502" s="409"/>
      <c r="E502" s="13" t="s">
        <v>96</v>
      </c>
      <c r="F502" s="13" t="s">
        <v>1919</v>
      </c>
      <c r="G502" s="410" t="s">
        <v>48</v>
      </c>
      <c r="H502" s="411">
        <v>0.4</v>
      </c>
      <c r="I502" s="412">
        <f>IF(AND(E502&lt;&gt;"",G502&lt;&gt;""),IF(D502="",IF(G502="OH",VLOOKUP(F502,UPAH!$B$4:$H$101,7,0),VLOOKUP(F502,#REF!,4,0)),0),0)</f>
        <v>0</v>
      </c>
      <c r="J502" s="16">
        <f>H502*I502</f>
        <v>0</v>
      </c>
    </row>
    <row r="503" spans="1:10" ht="13">
      <c r="A503" s="27"/>
      <c r="B503" s="110"/>
      <c r="D503" s="409"/>
      <c r="E503" s="13" t="s">
        <v>97</v>
      </c>
      <c r="F503" s="13" t="s">
        <v>1928</v>
      </c>
      <c r="G503" s="410" t="s">
        <v>48</v>
      </c>
      <c r="H503" s="411">
        <v>0.04</v>
      </c>
      <c r="I503" s="412">
        <f>IF(AND(E503&lt;&gt;"",G503&lt;&gt;""),IF(D503="",IF(G503="OH",VLOOKUP(F503,UPAH!$B$4:$H$101,7,0),VLOOKUP(F503,#REF!,4,0)),0),0)</f>
        <v>0</v>
      </c>
      <c r="J503" s="16">
        <f>H503*I503</f>
        <v>0</v>
      </c>
    </row>
    <row r="504" spans="1:10" ht="13.5" thickBot="1">
      <c r="A504" s="27"/>
      <c r="B504" s="110"/>
      <c r="D504" s="413"/>
      <c r="E504" s="414" t="s">
        <v>51</v>
      </c>
      <c r="F504" s="414" t="s">
        <v>1929</v>
      </c>
      <c r="G504" s="415" t="s">
        <v>48</v>
      </c>
      <c r="H504" s="416">
        <v>0.08</v>
      </c>
      <c r="I504" s="412">
        <f>IF(AND(E504&lt;&gt;"",G504&lt;&gt;""),IF(D504="",IF(G504="OH",VLOOKUP(F504,UPAH!$B$4:$H$101,7,0),VLOOKUP(F504,#REF!,4,0)),0),0)</f>
        <v>0</v>
      </c>
      <c r="J504" s="16">
        <f>H504*I504</f>
        <v>0</v>
      </c>
    </row>
    <row r="505" spans="1:10" ht="13.5" thickBot="1">
      <c r="A505" s="27"/>
      <c r="B505" s="110"/>
      <c r="D505" s="417"/>
      <c r="E505" s="418"/>
      <c r="F505" s="418"/>
      <c r="G505" s="419"/>
      <c r="H505" s="420" t="s">
        <v>52</v>
      </c>
      <c r="I505" s="421"/>
      <c r="J505" s="396">
        <f>SUM(J500:J504)</f>
        <v>0</v>
      </c>
    </row>
    <row r="506" spans="1:10" ht="13">
      <c r="A506" s="27"/>
      <c r="B506" s="110"/>
      <c r="D506" s="422" t="s">
        <v>53</v>
      </c>
      <c r="E506" s="423" t="s">
        <v>54</v>
      </c>
      <c r="F506" s="424"/>
      <c r="G506" s="425"/>
      <c r="H506" s="426"/>
      <c r="I506" s="412">
        <f>IF(AND(E506&lt;&gt;"",G506&lt;&gt;""),IF(D506="",IF(G506="OH",VLOOKUP(E506,UPAH!$C$4:$H$31,7,0),VLOOKUP(E506,#REF!,4,0)),0),0)</f>
        <v>0</v>
      </c>
      <c r="J506" s="16">
        <f>H506*I506</f>
        <v>0</v>
      </c>
    </row>
    <row r="507" spans="1:10" ht="13">
      <c r="A507" s="27"/>
      <c r="B507" s="110"/>
      <c r="D507" s="409"/>
      <c r="E507" s="13" t="s">
        <v>105</v>
      </c>
      <c r="F507" s="14"/>
      <c r="G507" s="410" t="s">
        <v>375</v>
      </c>
      <c r="H507" s="411">
        <v>0.13500000000000001</v>
      </c>
      <c r="I507" s="412">
        <f>'BAHAN '!G867</f>
        <v>0</v>
      </c>
      <c r="J507" s="16">
        <f>H507*I507</f>
        <v>0</v>
      </c>
    </row>
    <row r="508" spans="1:10" ht="13">
      <c r="A508" s="27"/>
      <c r="B508" s="110"/>
      <c r="D508" s="409"/>
      <c r="E508" s="13" t="s">
        <v>101</v>
      </c>
      <c r="F508" s="14"/>
      <c r="G508" s="410" t="s">
        <v>375</v>
      </c>
      <c r="H508" s="411">
        <v>0.4</v>
      </c>
      <c r="I508" s="412">
        <f>'BAHAN '!G59</f>
        <v>0</v>
      </c>
      <c r="J508" s="16">
        <f>H508*I508</f>
        <v>0</v>
      </c>
    </row>
    <row r="509" spans="1:10" ht="13.5" thickBot="1">
      <c r="A509" s="27"/>
      <c r="B509" s="110"/>
      <c r="D509" s="413"/>
      <c r="E509" s="414" t="s">
        <v>102</v>
      </c>
      <c r="F509" s="429"/>
      <c r="G509" s="415" t="s">
        <v>375</v>
      </c>
      <c r="H509" s="416">
        <v>0.94799999999999995</v>
      </c>
      <c r="I509" s="412">
        <f>'BAHAN '!G79</f>
        <v>0</v>
      </c>
      <c r="J509" s="16">
        <f>H509*I509</f>
        <v>0</v>
      </c>
    </row>
    <row r="510" spans="1:10" ht="13.5" thickBot="1">
      <c r="A510" s="27"/>
      <c r="B510" s="110"/>
      <c r="D510" s="417"/>
      <c r="E510" s="418"/>
      <c r="F510" s="418"/>
      <c r="G510" s="419"/>
      <c r="H510" s="420" t="s">
        <v>64</v>
      </c>
      <c r="I510" s="421"/>
      <c r="J510" s="396">
        <f>SUM(J506:J509)</f>
        <v>0</v>
      </c>
    </row>
    <row r="511" spans="1:10" ht="13.5" thickBot="1">
      <c r="A511" s="27"/>
      <c r="B511" s="110"/>
      <c r="D511" s="431" t="s">
        <v>65</v>
      </c>
      <c r="E511" s="432" t="s">
        <v>66</v>
      </c>
      <c r="F511" s="433"/>
      <c r="G511" s="434"/>
      <c r="H511" s="435"/>
      <c r="I511" s="412">
        <f>IF(AND(E511&lt;&gt;"",G511&lt;&gt;""),IF(D511="",IF(G511="OH",VLOOKUP(E511,UPAH!$C$4:$H$31,7,0),VLOOKUP(E511,#REF!,4,0)),0),0)</f>
        <v>0</v>
      </c>
      <c r="J511" s="16">
        <f>H511*I511</f>
        <v>0</v>
      </c>
    </row>
    <row r="512" spans="1:10" ht="13.5" thickBot="1">
      <c r="A512" s="27"/>
      <c r="B512" s="110"/>
      <c r="D512" s="417"/>
      <c r="E512" s="418"/>
      <c r="F512" s="418"/>
      <c r="G512" s="419"/>
      <c r="H512" s="420" t="s">
        <v>67</v>
      </c>
      <c r="I512" s="421"/>
      <c r="J512" s="396">
        <f>J511</f>
        <v>0</v>
      </c>
    </row>
    <row r="513" spans="1:10" ht="13">
      <c r="A513" s="27"/>
      <c r="B513" s="110"/>
      <c r="D513" s="444" t="s">
        <v>68</v>
      </c>
      <c r="E513" s="445" t="s">
        <v>69</v>
      </c>
      <c r="F513" s="446"/>
      <c r="G513" s="447"/>
      <c r="H513" s="448"/>
      <c r="I513" s="449">
        <f>IF(AND(E513&lt;&gt;"",G513&lt;&gt;""),IF(D513="",IF(G513="OH",VLOOKUP(E513,UPAH!$C$4:$H$31,7,0),VLOOKUP(E513,#REF!,4,0)),0),0)</f>
        <v>0</v>
      </c>
      <c r="J513" s="16">
        <f>SUM(J500:J512)/2</f>
        <v>0</v>
      </c>
    </row>
    <row r="514" spans="1:10" ht="13.5" thickBot="1">
      <c r="A514" s="27"/>
      <c r="B514" s="110"/>
      <c r="D514" s="431" t="s">
        <v>70</v>
      </c>
      <c r="E514" s="432" t="s">
        <v>477</v>
      </c>
      <c r="F514" s="433"/>
      <c r="G514" s="434"/>
      <c r="H514" s="22">
        <v>0.1</v>
      </c>
      <c r="I514" s="436"/>
      <c r="J514" s="430">
        <f>H514*J513</f>
        <v>0</v>
      </c>
    </row>
    <row r="515" spans="1:10" ht="13.5" thickBot="1">
      <c r="A515" s="27"/>
      <c r="B515" s="110"/>
      <c r="D515" s="401" t="s">
        <v>71</v>
      </c>
      <c r="E515" s="402" t="s">
        <v>72</v>
      </c>
      <c r="F515" s="418"/>
      <c r="G515" s="419"/>
      <c r="H515" s="442"/>
      <c r="I515" s="421">
        <f>IF(AND(E515&lt;&gt;"",G515&lt;&gt;""),IF(D515="",IF(G515="OH",VLOOKUP(E515,UPAH!$C$4:$H$31,7,0),VLOOKUP(E515,#REF!,4,0)),0),0)</f>
        <v>0</v>
      </c>
      <c r="J515" s="396">
        <f>ROUNDDOWN(J513+J514,0)</f>
        <v>0</v>
      </c>
    </row>
    <row r="516" spans="1:10" ht="13">
      <c r="A516" s="27"/>
      <c r="B516" s="110"/>
      <c r="D516" s="11"/>
      <c r="E516" s="11"/>
      <c r="H516" s="443"/>
    </row>
    <row r="517" spans="1:10" ht="13.5" thickBot="1">
      <c r="A517" s="27"/>
      <c r="B517" s="110"/>
      <c r="C517" s="10" t="s">
        <v>574</v>
      </c>
      <c r="D517" s="11" t="s">
        <v>573</v>
      </c>
      <c r="H517" s="443"/>
    </row>
    <row r="518" spans="1:10" ht="13.5" thickBot="1">
      <c r="A518" s="27"/>
      <c r="B518" s="110"/>
      <c r="D518" s="401" t="s">
        <v>40</v>
      </c>
      <c r="E518" s="402" t="s">
        <v>41</v>
      </c>
      <c r="F518" s="402" t="s">
        <v>42</v>
      </c>
      <c r="G518" s="403" t="s">
        <v>43</v>
      </c>
      <c r="H518" s="404" t="s">
        <v>44</v>
      </c>
      <c r="I518" s="402" t="s">
        <v>474</v>
      </c>
      <c r="J518" s="405" t="s">
        <v>475</v>
      </c>
    </row>
    <row r="519" spans="1:10" ht="13">
      <c r="A519" s="27"/>
      <c r="B519" s="110"/>
      <c r="D519" s="406" t="s">
        <v>45</v>
      </c>
      <c r="E519" s="13" t="s">
        <v>46</v>
      </c>
      <c r="F519" s="14"/>
      <c r="G519" s="15"/>
      <c r="H519" s="451"/>
      <c r="I519" s="412">
        <f>IF(AND(E519&lt;&gt;"",G519&lt;&gt;""),IF(D519="",IF(G519="OH",VLOOKUP(E519,UPAH!$C$4:$H$31,7,0),VLOOKUP(E519,#REF!,4,0)),0),0)</f>
        <v>0</v>
      </c>
      <c r="J519" s="16">
        <f>H519*I519</f>
        <v>0</v>
      </c>
    </row>
    <row r="520" spans="1:10" ht="13">
      <c r="A520" s="27"/>
      <c r="B520" s="110"/>
      <c r="D520" s="409"/>
      <c r="E520" s="13" t="s">
        <v>47</v>
      </c>
      <c r="F520" s="13" t="s">
        <v>1918</v>
      </c>
      <c r="G520" s="410" t="s">
        <v>48</v>
      </c>
      <c r="H520" s="411">
        <v>0.15</v>
      </c>
      <c r="I520" s="412">
        <f>IF(AND(E520&lt;&gt;"",G520&lt;&gt;""),IF(D520="",IF(G520="OH",VLOOKUP(F520,UPAH!$B$4:$H$101,7,0),VLOOKUP(F520,#REF!,4,0)),0),0)</f>
        <v>0</v>
      </c>
      <c r="J520" s="16">
        <f>H520*I520</f>
        <v>0</v>
      </c>
    </row>
    <row r="521" spans="1:10" ht="13.5" thickBot="1">
      <c r="A521" s="27"/>
      <c r="B521" s="110"/>
      <c r="D521" s="413"/>
      <c r="E521" s="414" t="s">
        <v>51</v>
      </c>
      <c r="F521" s="414" t="s">
        <v>1929</v>
      </c>
      <c r="G521" s="415" t="s">
        <v>48</v>
      </c>
      <c r="H521" s="416">
        <v>1.4999999999999999E-2</v>
      </c>
      <c r="I521" s="412">
        <f>IF(AND(E521&lt;&gt;"",G521&lt;&gt;""),IF(D521="",IF(G521="OH",VLOOKUP(F521,UPAH!$B$4:$H$101,7,0),VLOOKUP(F521,#REF!,4,0)),0),0)</f>
        <v>0</v>
      </c>
      <c r="J521" s="16">
        <f>H521*I521</f>
        <v>0</v>
      </c>
    </row>
    <row r="522" spans="1:10" ht="13.5" thickBot="1">
      <c r="A522" s="27"/>
      <c r="B522" s="110"/>
      <c r="D522" s="417"/>
      <c r="E522" s="418"/>
      <c r="F522" s="418"/>
      <c r="G522" s="419"/>
      <c r="H522" s="420" t="s">
        <v>52</v>
      </c>
      <c r="I522" s="421"/>
      <c r="J522" s="396">
        <f>SUM(J517:J521)</f>
        <v>0</v>
      </c>
    </row>
    <row r="523" spans="1:10" ht="13">
      <c r="A523" s="27"/>
      <c r="B523" s="110"/>
      <c r="D523" s="422" t="s">
        <v>53</v>
      </c>
      <c r="E523" s="423" t="s">
        <v>54</v>
      </c>
      <c r="F523" s="424"/>
      <c r="G523" s="425"/>
      <c r="H523" s="426"/>
      <c r="I523" s="412">
        <f>IF(AND(E523&lt;&gt;"",G523&lt;&gt;""),IF(D523="",IF(G523="OH",VLOOKUP(E523,UPAH!$C$4:$H$31,7,0),VLOOKUP(E523,#REF!,4,0)),0),0)</f>
        <v>0</v>
      </c>
      <c r="J523" s="16">
        <f>H523*I523</f>
        <v>0</v>
      </c>
    </row>
    <row r="524" spans="1:10" ht="13.5" thickBot="1">
      <c r="A524" s="27"/>
      <c r="B524" s="110"/>
      <c r="D524" s="413"/>
      <c r="E524" s="414" t="s">
        <v>103</v>
      </c>
      <c r="F524" s="429"/>
      <c r="G524" s="415" t="s">
        <v>375</v>
      </c>
      <c r="H524" s="416">
        <v>6</v>
      </c>
      <c r="I524" s="412">
        <f>'BAHAN '!G157</f>
        <v>0</v>
      </c>
      <c r="J524" s="16">
        <f>H524*I524</f>
        <v>0</v>
      </c>
    </row>
    <row r="525" spans="1:10" ht="13.5" thickBot="1">
      <c r="A525" s="27"/>
      <c r="B525" s="110"/>
      <c r="D525" s="417"/>
      <c r="E525" s="418"/>
      <c r="F525" s="418"/>
      <c r="G525" s="419"/>
      <c r="H525" s="420" t="s">
        <v>64</v>
      </c>
      <c r="I525" s="421"/>
      <c r="J525" s="396">
        <f>SUM(J524)</f>
        <v>0</v>
      </c>
    </row>
    <row r="526" spans="1:10" ht="13.5" thickBot="1">
      <c r="A526" s="27"/>
      <c r="B526" s="110"/>
      <c r="D526" s="431" t="s">
        <v>65</v>
      </c>
      <c r="E526" s="432" t="s">
        <v>66</v>
      </c>
      <c r="F526" s="433"/>
      <c r="G526" s="434"/>
      <c r="H526" s="435"/>
      <c r="I526" s="412">
        <f>IF(AND(E526&lt;&gt;"",G526&lt;&gt;""),IF(D526="",IF(G526="OH",VLOOKUP(E526,UPAH!$C$4:$H$31,7,0),VLOOKUP(E526,#REF!,4,0)),0),0)</f>
        <v>0</v>
      </c>
      <c r="J526" s="16">
        <f>H526*I526</f>
        <v>0</v>
      </c>
    </row>
    <row r="527" spans="1:10" ht="13.5" thickBot="1">
      <c r="A527" s="27"/>
      <c r="B527" s="110"/>
      <c r="D527" s="417"/>
      <c r="E527" s="418"/>
      <c r="F527" s="418"/>
      <c r="G527" s="419"/>
      <c r="H527" s="420" t="s">
        <v>67</v>
      </c>
      <c r="I527" s="421"/>
      <c r="J527" s="396">
        <f>J526</f>
        <v>0</v>
      </c>
    </row>
    <row r="528" spans="1:10" ht="13">
      <c r="A528" s="27"/>
      <c r="B528" s="110"/>
      <c r="D528" s="444" t="s">
        <v>68</v>
      </c>
      <c r="E528" s="445" t="s">
        <v>69</v>
      </c>
      <c r="F528" s="446"/>
      <c r="G528" s="447"/>
      <c r="H528" s="448"/>
      <c r="I528" s="449">
        <f>IF(AND(E528&lt;&gt;"",G528&lt;&gt;""),IF(D528="",IF(G528="OH",VLOOKUP(E528,UPAH!$C$4:$H$31,7,0),VLOOKUP(E528,#REF!,4,0)),0),0)</f>
        <v>0</v>
      </c>
      <c r="J528" s="16">
        <f>SUM(J520:J527)/2</f>
        <v>0</v>
      </c>
    </row>
    <row r="529" spans="1:10" ht="13.5" thickBot="1">
      <c r="A529" s="27"/>
      <c r="B529" s="110"/>
      <c r="D529" s="431" t="s">
        <v>70</v>
      </c>
      <c r="E529" s="432" t="s">
        <v>477</v>
      </c>
      <c r="F529" s="433"/>
      <c r="G529" s="434"/>
      <c r="H529" s="22">
        <v>0.1</v>
      </c>
      <c r="I529" s="436"/>
      <c r="J529" s="430">
        <f>H529*J528</f>
        <v>0</v>
      </c>
    </row>
    <row r="530" spans="1:10" ht="13.5" thickBot="1">
      <c r="A530" s="27"/>
      <c r="B530" s="110"/>
      <c r="D530" s="401" t="s">
        <v>71</v>
      </c>
      <c r="E530" s="402" t="s">
        <v>72</v>
      </c>
      <c r="F530" s="418"/>
      <c r="G530" s="419"/>
      <c r="H530" s="442"/>
      <c r="I530" s="421">
        <f>IF(AND(E530&lt;&gt;"",G530&lt;&gt;""),IF(D530="",IF(G530="OH",VLOOKUP(E530,UPAH!$C$4:$H$31,7,0),VLOOKUP(E530,#REF!,4,0)),0),0)</f>
        <v>0</v>
      </c>
      <c r="J530" s="396">
        <f>ROUNDDOWN(J528+J529,0)</f>
        <v>0</v>
      </c>
    </row>
    <row r="531" spans="1:10" ht="13">
      <c r="A531" s="27"/>
      <c r="B531" s="110"/>
      <c r="D531" s="11"/>
      <c r="E531" s="11"/>
      <c r="H531" s="443"/>
    </row>
    <row r="532" spans="1:10" ht="13.5" thickBot="1">
      <c r="A532" s="27"/>
      <c r="B532" s="110"/>
      <c r="C532" s="10" t="s">
        <v>575</v>
      </c>
      <c r="D532" s="11" t="s">
        <v>576</v>
      </c>
      <c r="F532" s="11"/>
      <c r="H532" s="443"/>
    </row>
    <row r="533" spans="1:10" ht="13.5" thickBot="1">
      <c r="A533" s="27"/>
      <c r="B533" s="110"/>
      <c r="D533" s="401" t="s">
        <v>40</v>
      </c>
      <c r="E533" s="402" t="s">
        <v>41</v>
      </c>
      <c r="F533" s="402" t="s">
        <v>42</v>
      </c>
      <c r="G533" s="403" t="s">
        <v>43</v>
      </c>
      <c r="H533" s="404" t="s">
        <v>44</v>
      </c>
      <c r="I533" s="402" t="s">
        <v>474</v>
      </c>
      <c r="J533" s="405" t="s">
        <v>475</v>
      </c>
    </row>
    <row r="534" spans="1:10" ht="13">
      <c r="A534" s="27"/>
      <c r="B534" s="110"/>
      <c r="D534" s="406" t="s">
        <v>45</v>
      </c>
      <c r="E534" s="13" t="s">
        <v>46</v>
      </c>
      <c r="F534" s="14"/>
      <c r="G534" s="15"/>
      <c r="H534" s="451"/>
      <c r="I534" s="412">
        <f>IF(AND(E534&lt;&gt;"",G534&lt;&gt;""),IF(D534="",IF(G534="OH",VLOOKUP(E534,UPAH!$C$4:$H$31,7,0),VLOOKUP(E534,#REF!,4,0)),0),0)</f>
        <v>0</v>
      </c>
      <c r="J534" s="16">
        <f>H534*I534</f>
        <v>0</v>
      </c>
    </row>
    <row r="535" spans="1:10" ht="13">
      <c r="A535" s="27"/>
      <c r="B535" s="110"/>
      <c r="D535" s="409"/>
      <c r="E535" s="13" t="s">
        <v>47</v>
      </c>
      <c r="F535" s="13" t="s">
        <v>1918</v>
      </c>
      <c r="G535" s="410" t="s">
        <v>48</v>
      </c>
      <c r="H535" s="411">
        <v>0.25</v>
      </c>
      <c r="I535" s="412">
        <f>IF(AND(E535&lt;&gt;"",G535&lt;&gt;""),IF(D535="",IF(G535="OH",VLOOKUP(F535,UPAH!$B$4:$H$101,7,0),VLOOKUP(F535,#REF!,4,0)),0),0)</f>
        <v>0</v>
      </c>
      <c r="J535" s="16">
        <f>H535*I535</f>
        <v>0</v>
      </c>
    </row>
    <row r="536" spans="1:10" ht="13.5" thickBot="1">
      <c r="A536" s="27"/>
      <c r="B536" s="110"/>
      <c r="D536" s="409"/>
      <c r="E536" s="13" t="s">
        <v>51</v>
      </c>
      <c r="F536" s="414" t="s">
        <v>1929</v>
      </c>
      <c r="G536" s="410" t="s">
        <v>48</v>
      </c>
      <c r="H536" s="411">
        <v>2.5000000000000001E-2</v>
      </c>
      <c r="I536" s="412">
        <f>IF(AND(E536&lt;&gt;"",G536&lt;&gt;""),IF(D536="",IF(G536="OH",VLOOKUP(F536,UPAH!$B$4:$H$101,7,0),VLOOKUP(F536,#REF!,4,0)),0),0)</f>
        <v>0</v>
      </c>
      <c r="J536" s="16">
        <f>H536*I536</f>
        <v>0</v>
      </c>
    </row>
    <row r="537" spans="1:10" ht="13.5" thickBot="1">
      <c r="A537" s="27"/>
      <c r="B537" s="110"/>
      <c r="D537" s="417"/>
      <c r="E537" s="418"/>
      <c r="F537" s="418"/>
      <c r="G537" s="419"/>
      <c r="H537" s="420" t="s">
        <v>52</v>
      </c>
      <c r="I537" s="421"/>
      <c r="J537" s="396">
        <f>SUM(J532:J536)</f>
        <v>0</v>
      </c>
    </row>
    <row r="538" spans="1:10" ht="13">
      <c r="A538" s="27"/>
      <c r="B538" s="110"/>
      <c r="D538" s="406" t="s">
        <v>53</v>
      </c>
      <c r="E538" s="13" t="s">
        <v>54</v>
      </c>
      <c r="F538" s="14"/>
      <c r="G538" s="15"/>
      <c r="H538" s="451"/>
      <c r="I538" s="412">
        <f>IF(AND(E538&lt;&gt;"",G538&lt;&gt;""),IF(D538="",IF(G538="OH",VLOOKUP(E538,UPAH!$C$4:$H$31,7,0),VLOOKUP(E538,#REF!,4,0)),0),0)</f>
        <v>0</v>
      </c>
      <c r="J538" s="16">
        <f>H538*I538</f>
        <v>0</v>
      </c>
    </row>
    <row r="539" spans="1:10" ht="13.5" thickBot="1">
      <c r="A539" s="27"/>
      <c r="B539" s="110"/>
      <c r="D539" s="409"/>
      <c r="E539" s="13" t="s">
        <v>104</v>
      </c>
      <c r="F539" s="14"/>
      <c r="G539" s="410" t="s">
        <v>375</v>
      </c>
      <c r="H539" s="411">
        <v>1.2</v>
      </c>
      <c r="I539" s="412">
        <f>'BAHAN '!G76</f>
        <v>0</v>
      </c>
      <c r="J539" s="16">
        <f>H539*I539</f>
        <v>0</v>
      </c>
    </row>
    <row r="540" spans="1:10" ht="13.5" thickBot="1">
      <c r="A540" s="27"/>
      <c r="B540" s="110"/>
      <c r="D540" s="417"/>
      <c r="E540" s="418"/>
      <c r="F540" s="418"/>
      <c r="G540" s="419"/>
      <c r="H540" s="420" t="s">
        <v>64</v>
      </c>
      <c r="I540" s="421"/>
      <c r="J540" s="396">
        <f>SUM(J539)</f>
        <v>0</v>
      </c>
    </row>
    <row r="541" spans="1:10" ht="13.5" thickBot="1">
      <c r="A541" s="27"/>
      <c r="B541" s="110"/>
      <c r="D541" s="406" t="s">
        <v>65</v>
      </c>
      <c r="E541" s="13" t="s">
        <v>66</v>
      </c>
      <c r="F541" s="14"/>
      <c r="G541" s="15"/>
      <c r="H541" s="451"/>
      <c r="I541" s="412">
        <f>IF(AND(E541&lt;&gt;"",G541&lt;&gt;""),IF(D541="",IF(G541="OH",VLOOKUP(E541,UPAH!$C$4:$H$31,7,0),VLOOKUP(E541,#REF!,4,0)),0),0)</f>
        <v>0</v>
      </c>
      <c r="J541" s="16">
        <f>H541*I541</f>
        <v>0</v>
      </c>
    </row>
    <row r="542" spans="1:10" ht="13.5" thickBot="1">
      <c r="A542" s="27"/>
      <c r="B542" s="110"/>
      <c r="D542" s="417"/>
      <c r="E542" s="418"/>
      <c r="F542" s="418"/>
      <c r="G542" s="419"/>
      <c r="H542" s="420" t="s">
        <v>67</v>
      </c>
      <c r="I542" s="421"/>
      <c r="J542" s="396">
        <f>J541</f>
        <v>0</v>
      </c>
    </row>
    <row r="543" spans="1:10" ht="13">
      <c r="A543" s="27"/>
      <c r="B543" s="110"/>
      <c r="D543" s="444" t="s">
        <v>68</v>
      </c>
      <c r="E543" s="445" t="s">
        <v>69</v>
      </c>
      <c r="F543" s="446"/>
      <c r="G543" s="447"/>
      <c r="H543" s="448"/>
      <c r="I543" s="449">
        <f>IF(AND(E543&lt;&gt;"",G543&lt;&gt;""),IF(D543="",IF(G543="OH",VLOOKUP(E543,UPAH!$C$4:$H$31,7,0),VLOOKUP(E543,#REF!,4,0)),0),0)</f>
        <v>0</v>
      </c>
      <c r="J543" s="16">
        <f>SUM(J535:J542)/2</f>
        <v>0</v>
      </c>
    </row>
    <row r="544" spans="1:10" ht="13.5" thickBot="1">
      <c r="A544" s="27"/>
      <c r="B544" s="110"/>
      <c r="D544" s="431" t="s">
        <v>70</v>
      </c>
      <c r="E544" s="432" t="s">
        <v>477</v>
      </c>
      <c r="F544" s="433"/>
      <c r="G544" s="434"/>
      <c r="H544" s="22">
        <v>0.1</v>
      </c>
      <c r="I544" s="436"/>
      <c r="J544" s="430">
        <f>H544*J543</f>
        <v>0</v>
      </c>
    </row>
    <row r="545" spans="1:10" ht="13.5" thickBot="1">
      <c r="A545" s="27"/>
      <c r="B545" s="110"/>
      <c r="D545" s="401" t="s">
        <v>71</v>
      </c>
      <c r="E545" s="402" t="s">
        <v>72</v>
      </c>
      <c r="F545" s="418"/>
      <c r="G545" s="419"/>
      <c r="H545" s="442"/>
      <c r="I545" s="421">
        <f>IF(AND(E545&lt;&gt;"",G545&lt;&gt;""),IF(D545="",IF(G545="OH",VLOOKUP(E545,UPAH!$C$4:$H$31,7,0),VLOOKUP(E545,#REF!,4,0)),0),0)</f>
        <v>0</v>
      </c>
      <c r="J545" s="396">
        <f>ROUNDDOWN(J543+J544,0)</f>
        <v>0</v>
      </c>
    </row>
    <row r="546" spans="1:10" ht="13">
      <c r="A546" s="27"/>
      <c r="B546" s="110"/>
      <c r="D546" s="11"/>
      <c r="E546" s="11"/>
      <c r="H546" s="443"/>
    </row>
    <row r="547" spans="1:10" s="27" customFormat="1" ht="13">
      <c r="B547" s="110"/>
      <c r="C547" s="452" t="s">
        <v>480</v>
      </c>
      <c r="G547" s="399"/>
      <c r="H547" s="453"/>
    </row>
    <row r="548" spans="1:10" ht="13.5" thickBot="1">
      <c r="A548" s="27"/>
      <c r="B548" s="110"/>
      <c r="C548" s="11" t="s">
        <v>577</v>
      </c>
      <c r="D548" s="10" t="s">
        <v>578</v>
      </c>
      <c r="H548" s="443"/>
    </row>
    <row r="549" spans="1:10" ht="13.5" thickBot="1">
      <c r="A549" s="27"/>
      <c r="B549" s="110"/>
      <c r="D549" s="401" t="s">
        <v>40</v>
      </c>
      <c r="E549" s="402" t="s">
        <v>41</v>
      </c>
      <c r="F549" s="402" t="s">
        <v>42</v>
      </c>
      <c r="G549" s="403" t="s">
        <v>43</v>
      </c>
      <c r="H549" s="404" t="s">
        <v>44</v>
      </c>
      <c r="I549" s="402" t="s">
        <v>474</v>
      </c>
      <c r="J549" s="405" t="s">
        <v>475</v>
      </c>
    </row>
    <row r="550" spans="1:10" ht="13">
      <c r="A550" s="27"/>
      <c r="B550" s="110"/>
      <c r="D550" s="406" t="s">
        <v>45</v>
      </c>
      <c r="E550" s="13" t="s">
        <v>46</v>
      </c>
      <c r="F550" s="14"/>
      <c r="G550" s="15"/>
      <c r="H550" s="451"/>
      <c r="I550" s="412">
        <f>IF(AND(E550&lt;&gt;"",G550&lt;&gt;""),IF(D550="",IF(G550="OH",VLOOKUP(E550,UPAH!$C$4:$H$31,7,0),VLOOKUP(E550,#REF!,4,0)),0),0)</f>
        <v>0</v>
      </c>
      <c r="J550" s="16">
        <f>H550*I550</f>
        <v>0</v>
      </c>
    </row>
    <row r="551" spans="1:10" ht="13">
      <c r="A551" s="27"/>
      <c r="B551" s="110"/>
      <c r="D551" s="409"/>
      <c r="E551" s="13" t="s">
        <v>47</v>
      </c>
      <c r="F551" s="13" t="s">
        <v>1918</v>
      </c>
      <c r="G551" s="410" t="s">
        <v>48</v>
      </c>
      <c r="H551" s="411">
        <v>1.5</v>
      </c>
      <c r="I551" s="412">
        <f>IF(AND(E551&lt;&gt;"",G551&lt;&gt;""),IF(D551="",IF(G551="OH",VLOOKUP(F551,UPAH!$B$4:$H$101,7,0),VLOOKUP(F551,#REF!,4,0)),0),0)</f>
        <v>0</v>
      </c>
      <c r="J551" s="16">
        <f>H551*I551</f>
        <v>0</v>
      </c>
    </row>
    <row r="552" spans="1:10" ht="13">
      <c r="A552" s="27"/>
      <c r="B552" s="110"/>
      <c r="D552" s="409"/>
      <c r="E552" s="13" t="s">
        <v>115</v>
      </c>
      <c r="F552" s="13" t="s">
        <v>1921</v>
      </c>
      <c r="G552" s="410" t="s">
        <v>48</v>
      </c>
      <c r="H552" s="411">
        <v>0.75</v>
      </c>
      <c r="I552" s="412">
        <f>IF(AND(E552&lt;&gt;"",G552&lt;&gt;""),IF(D552="",IF(G552="OH",VLOOKUP(F552,UPAH!$B$4:$H$101,7,0),VLOOKUP(F552,#REF!,4,0)),0),0)</f>
        <v>0</v>
      </c>
      <c r="J552" s="16">
        <f>H552*I552</f>
        <v>0</v>
      </c>
    </row>
    <row r="553" spans="1:10" ht="13">
      <c r="A553" s="27"/>
      <c r="B553" s="110"/>
      <c r="D553" s="409"/>
      <c r="E553" s="13" t="s">
        <v>97</v>
      </c>
      <c r="F553" s="13" t="s">
        <v>1928</v>
      </c>
      <c r="G553" s="410" t="s">
        <v>48</v>
      </c>
      <c r="H553" s="411">
        <v>7.4999999999999997E-2</v>
      </c>
      <c r="I553" s="412">
        <f>IF(AND(E553&lt;&gt;"",G553&lt;&gt;""),IF(D553="",IF(G553="OH",VLOOKUP(F553,UPAH!$B$4:$H$101,7,0),VLOOKUP(F553,#REF!,4,0)),0),0)</f>
        <v>0</v>
      </c>
      <c r="J553" s="16">
        <f>H553*I553</f>
        <v>0</v>
      </c>
    </row>
    <row r="554" spans="1:10" ht="13.5" thickBot="1">
      <c r="A554" s="27"/>
      <c r="B554" s="110"/>
      <c r="D554" s="409"/>
      <c r="E554" s="13" t="s">
        <v>51</v>
      </c>
      <c r="F554" s="414" t="s">
        <v>1929</v>
      </c>
      <c r="G554" s="410" t="s">
        <v>48</v>
      </c>
      <c r="H554" s="411">
        <v>7.4999999999999997E-2</v>
      </c>
      <c r="I554" s="412">
        <f>IF(AND(E554&lt;&gt;"",G554&lt;&gt;""),IF(D554="",IF(G554="OH",VLOOKUP(F554,UPAH!$B$4:$H$101,7,0),VLOOKUP(F554,#REF!,4,0)),0),0)</f>
        <v>0</v>
      </c>
      <c r="J554" s="16">
        <f>H554*I554</f>
        <v>0</v>
      </c>
    </row>
    <row r="555" spans="1:10" ht="13.5" thickBot="1">
      <c r="A555" s="27"/>
      <c r="B555" s="110"/>
      <c r="D555" s="417"/>
      <c r="E555" s="418"/>
      <c r="F555" s="418"/>
      <c r="G555" s="419"/>
      <c r="H555" s="420" t="s">
        <v>52</v>
      </c>
      <c r="I555" s="421"/>
      <c r="J555" s="396">
        <f>SUM(J550:J554)</f>
        <v>0</v>
      </c>
    </row>
    <row r="556" spans="1:10" ht="13">
      <c r="A556" s="27"/>
      <c r="B556" s="110"/>
      <c r="D556" s="406" t="s">
        <v>53</v>
      </c>
      <c r="E556" s="13" t="s">
        <v>54</v>
      </c>
      <c r="F556" s="14"/>
      <c r="G556" s="15"/>
      <c r="H556" s="451"/>
      <c r="I556" s="412">
        <f>IF(AND(E556&lt;&gt;"",G556&lt;&gt;""),IF(D556="",IF(G556="OH",VLOOKUP(E556,UPAH!$C$4:$H$31,7,0),VLOOKUP(E556,#REF!,4,0)),0),0)</f>
        <v>0</v>
      </c>
      <c r="J556" s="16">
        <f>H556*I556</f>
        <v>0</v>
      </c>
    </row>
    <row r="557" spans="1:10" ht="13">
      <c r="A557" s="27"/>
      <c r="B557" s="110"/>
      <c r="D557" s="409"/>
      <c r="E557" s="13" t="s">
        <v>94</v>
      </c>
      <c r="F557" s="14"/>
      <c r="G557" s="410" t="s">
        <v>375</v>
      </c>
      <c r="H557" s="411">
        <v>1.2</v>
      </c>
      <c r="I557" s="412">
        <f>'BAHAN '!G21</f>
        <v>0</v>
      </c>
      <c r="J557" s="16">
        <f>H557*I557</f>
        <v>0</v>
      </c>
    </row>
    <row r="558" spans="1:10" ht="13">
      <c r="A558" s="27"/>
      <c r="B558" s="110"/>
      <c r="D558" s="409"/>
      <c r="E558" s="13" t="s">
        <v>56</v>
      </c>
      <c r="F558" s="14"/>
      <c r="G558" s="410" t="s">
        <v>57</v>
      </c>
      <c r="H558" s="411">
        <v>202</v>
      </c>
      <c r="I558" s="412">
        <f>'BAHAN '!G72</f>
        <v>0</v>
      </c>
      <c r="J558" s="16">
        <f>H558*I558</f>
        <v>0</v>
      </c>
    </row>
    <row r="559" spans="1:10" ht="13.5" thickBot="1">
      <c r="A559" s="27"/>
      <c r="B559" s="110"/>
      <c r="D559" s="409"/>
      <c r="E559" s="13" t="s">
        <v>101</v>
      </c>
      <c r="F559" s="14"/>
      <c r="G559" s="410" t="s">
        <v>375</v>
      </c>
      <c r="H559" s="411">
        <v>0.48499999999999999</v>
      </c>
      <c r="I559" s="412">
        <f>'BAHAN '!G59</f>
        <v>0</v>
      </c>
      <c r="J559" s="16">
        <f>H559*I559</f>
        <v>0</v>
      </c>
    </row>
    <row r="560" spans="1:10" ht="13.5" thickBot="1">
      <c r="A560" s="27"/>
      <c r="B560" s="110"/>
      <c r="D560" s="417"/>
      <c r="E560" s="418"/>
      <c r="F560" s="418"/>
      <c r="G560" s="419"/>
      <c r="H560" s="420" t="s">
        <v>64</v>
      </c>
      <c r="I560" s="421"/>
      <c r="J560" s="396">
        <f>SUM(J556:J559)</f>
        <v>0</v>
      </c>
    </row>
    <row r="561" spans="1:10" ht="13.5" thickBot="1">
      <c r="A561" s="27"/>
      <c r="B561" s="110"/>
      <c r="D561" s="406" t="s">
        <v>65</v>
      </c>
      <c r="E561" s="13" t="s">
        <v>66</v>
      </c>
      <c r="F561" s="14"/>
      <c r="G561" s="15"/>
      <c r="H561" s="451"/>
      <c r="I561" s="412">
        <f>IF(AND(E561&lt;&gt;"",G561&lt;&gt;""),IF(D561="",IF(G561="OH",VLOOKUP(E561,UPAH!$C$4:$H$31,7,0),VLOOKUP(E561,#REF!,4,0)),0),0)</f>
        <v>0</v>
      </c>
      <c r="J561" s="16">
        <f>H561*I561</f>
        <v>0</v>
      </c>
    </row>
    <row r="562" spans="1:10" ht="13.5" thickBot="1">
      <c r="A562" s="27"/>
      <c r="B562" s="110"/>
      <c r="D562" s="417"/>
      <c r="E562" s="418"/>
      <c r="F562" s="418"/>
      <c r="G562" s="419"/>
      <c r="H562" s="420" t="s">
        <v>67</v>
      </c>
      <c r="I562" s="421"/>
      <c r="J562" s="396">
        <f>J561</f>
        <v>0</v>
      </c>
    </row>
    <row r="563" spans="1:10" ht="13">
      <c r="A563" s="27"/>
      <c r="B563" s="110"/>
      <c r="D563" s="444" t="s">
        <v>68</v>
      </c>
      <c r="E563" s="445" t="s">
        <v>69</v>
      </c>
      <c r="F563" s="446"/>
      <c r="G563" s="447"/>
      <c r="H563" s="448"/>
      <c r="I563" s="449">
        <f>IF(AND(E563&lt;&gt;"",G563&lt;&gt;""),IF(D563="",IF(G563="OH",VLOOKUP(E563,UPAH!$C$4:$H$31,7,0),VLOOKUP(E563,#REF!,4,0)),0),0)</f>
        <v>0</v>
      </c>
      <c r="J563" s="16">
        <f>SUM(J551:J562)/2</f>
        <v>0</v>
      </c>
    </row>
    <row r="564" spans="1:10" ht="13.5" thickBot="1">
      <c r="A564" s="27"/>
      <c r="B564" s="110"/>
      <c r="D564" s="431" t="s">
        <v>70</v>
      </c>
      <c r="E564" s="432" t="s">
        <v>477</v>
      </c>
      <c r="F564" s="433"/>
      <c r="G564" s="434"/>
      <c r="H564" s="22">
        <v>0.1</v>
      </c>
      <c r="I564" s="436"/>
      <c r="J564" s="430">
        <f>H564*J563</f>
        <v>0</v>
      </c>
    </row>
    <row r="565" spans="1:10" ht="13.5" thickBot="1">
      <c r="A565" s="27"/>
      <c r="B565" s="110"/>
      <c r="D565" s="401" t="s">
        <v>71</v>
      </c>
      <c r="E565" s="402" t="s">
        <v>72</v>
      </c>
      <c r="F565" s="418"/>
      <c r="G565" s="419"/>
      <c r="H565" s="442"/>
      <c r="I565" s="421">
        <f>IF(AND(E565&lt;&gt;"",G565&lt;&gt;""),IF(D565="",IF(G565="OH",VLOOKUP(E565,UPAH!$C$4:$H$31,7,0),VLOOKUP(E565,#REF!,4,0)),0),0)</f>
        <v>0</v>
      </c>
      <c r="J565" s="396">
        <f>ROUNDDOWN(J563+J564,0)</f>
        <v>0</v>
      </c>
    </row>
    <row r="566" spans="1:10" ht="13">
      <c r="A566" s="27"/>
      <c r="B566" s="110"/>
      <c r="D566" s="11"/>
      <c r="E566" s="11"/>
      <c r="H566" s="443"/>
    </row>
    <row r="567" spans="1:10" ht="13.5" thickBot="1">
      <c r="A567" s="27"/>
      <c r="B567" s="110"/>
      <c r="C567" s="11" t="s">
        <v>579</v>
      </c>
      <c r="D567" s="10" t="s">
        <v>580</v>
      </c>
      <c r="H567" s="443"/>
    </row>
    <row r="568" spans="1:10" ht="13.5" thickBot="1">
      <c r="A568" s="27"/>
      <c r="B568" s="110"/>
      <c r="D568" s="401" t="s">
        <v>40</v>
      </c>
      <c r="E568" s="402" t="s">
        <v>41</v>
      </c>
      <c r="F568" s="402" t="s">
        <v>42</v>
      </c>
      <c r="G568" s="403" t="s">
        <v>43</v>
      </c>
      <c r="H568" s="404" t="s">
        <v>44</v>
      </c>
      <c r="I568" s="402" t="s">
        <v>474</v>
      </c>
      <c r="J568" s="405" t="s">
        <v>475</v>
      </c>
    </row>
    <row r="569" spans="1:10" ht="13">
      <c r="A569" s="27"/>
      <c r="B569" s="110"/>
      <c r="D569" s="406" t="s">
        <v>45</v>
      </c>
      <c r="E569" s="13" t="s">
        <v>46</v>
      </c>
      <c r="F569" s="14"/>
      <c r="G569" s="15"/>
      <c r="H569" s="451"/>
      <c r="I569" s="412"/>
      <c r="J569" s="16"/>
    </row>
    <row r="570" spans="1:10" ht="13">
      <c r="A570" s="27"/>
      <c r="B570" s="110"/>
      <c r="D570" s="409"/>
      <c r="E570" s="13" t="s">
        <v>47</v>
      </c>
      <c r="F570" s="13" t="s">
        <v>1918</v>
      </c>
      <c r="G570" s="410" t="s">
        <v>48</v>
      </c>
      <c r="H570" s="411">
        <v>1.5</v>
      </c>
      <c r="I570" s="412">
        <f>IF(AND(E570&lt;&gt;"",G570&lt;&gt;""),IF(D570="",IF(G570="OH",VLOOKUP(F570,UPAH!$B$4:$H$101,7,0),VLOOKUP(F570,#REF!,4,0)),0),0)</f>
        <v>0</v>
      </c>
      <c r="J570" s="16">
        <f>H570*I570</f>
        <v>0</v>
      </c>
    </row>
    <row r="571" spans="1:10" ht="13">
      <c r="A571" s="27"/>
      <c r="B571" s="110"/>
      <c r="D571" s="409"/>
      <c r="E571" s="13" t="s">
        <v>115</v>
      </c>
      <c r="F571" s="13" t="s">
        <v>1921</v>
      </c>
      <c r="G571" s="410" t="s">
        <v>48</v>
      </c>
      <c r="H571" s="411">
        <v>0.75</v>
      </c>
      <c r="I571" s="412">
        <f>IF(AND(E571&lt;&gt;"",G571&lt;&gt;""),IF(D571="",IF(G571="OH",VLOOKUP(F571,UPAH!$B$4:$H$101,7,0),VLOOKUP(F571,#REF!,4,0)),0),0)</f>
        <v>0</v>
      </c>
      <c r="J571" s="16">
        <f>H571*I571</f>
        <v>0</v>
      </c>
    </row>
    <row r="572" spans="1:10" ht="13">
      <c r="A572" s="27"/>
      <c r="B572" s="110"/>
      <c r="D572" s="409"/>
      <c r="E572" s="13" t="s">
        <v>97</v>
      </c>
      <c r="F572" s="13" t="s">
        <v>1928</v>
      </c>
      <c r="G572" s="410" t="s">
        <v>48</v>
      </c>
      <c r="H572" s="411">
        <v>7.4999999999999997E-2</v>
      </c>
      <c r="I572" s="412">
        <f>IF(AND(E572&lt;&gt;"",G572&lt;&gt;""),IF(D572="",IF(G572="OH",VLOOKUP(F572,UPAH!$B$4:$H$101,7,0),VLOOKUP(F572,#REF!,4,0)),0),0)</f>
        <v>0</v>
      </c>
      <c r="J572" s="16">
        <f>H572*I572</f>
        <v>0</v>
      </c>
    </row>
    <row r="573" spans="1:10" ht="13.5" thickBot="1">
      <c r="A573" s="27"/>
      <c r="B573" s="110"/>
      <c r="D573" s="409"/>
      <c r="E573" s="13" t="s">
        <v>51</v>
      </c>
      <c r="F573" s="414" t="s">
        <v>1929</v>
      </c>
      <c r="G573" s="410" t="s">
        <v>48</v>
      </c>
      <c r="H573" s="411">
        <v>7.4999999999999997E-2</v>
      </c>
      <c r="I573" s="412">
        <f>IF(AND(E573&lt;&gt;"",G573&lt;&gt;""),IF(D573="",IF(G573="OH",VLOOKUP(F573,UPAH!$B$4:$H$101,7,0),VLOOKUP(F573,#REF!,4,0)),0),0)</f>
        <v>0</v>
      </c>
      <c r="J573" s="16">
        <f>H573*I573</f>
        <v>0</v>
      </c>
    </row>
    <row r="574" spans="1:10" ht="13.5" thickBot="1">
      <c r="A574" s="27"/>
      <c r="B574" s="110"/>
      <c r="D574" s="417"/>
      <c r="E574" s="418"/>
      <c r="F574" s="418"/>
      <c r="G574" s="419"/>
      <c r="H574" s="420" t="s">
        <v>52</v>
      </c>
      <c r="I574" s="421"/>
      <c r="J574" s="396">
        <f>SUM(J569:J573)</f>
        <v>0</v>
      </c>
    </row>
    <row r="575" spans="1:10" ht="13">
      <c r="A575" s="27"/>
      <c r="B575" s="110"/>
      <c r="D575" s="406" t="s">
        <v>53</v>
      </c>
      <c r="E575" s="13" t="s">
        <v>54</v>
      </c>
      <c r="F575" s="14"/>
      <c r="G575" s="15"/>
      <c r="H575" s="451"/>
      <c r="I575" s="412">
        <f>IF(AND(E575&lt;&gt;"",G575&lt;&gt;""),IF(D575="",IF(G575="OH",VLOOKUP(E575,UPAH!$C$4:$H$31,7,0),VLOOKUP(E575,#REF!,4,0)),0),0)</f>
        <v>0</v>
      </c>
      <c r="J575" s="16">
        <f>H575*I575</f>
        <v>0</v>
      </c>
    </row>
    <row r="576" spans="1:10" ht="13">
      <c r="A576" s="27"/>
      <c r="B576" s="110"/>
      <c r="D576" s="409"/>
      <c r="E576" s="13" t="s">
        <v>94</v>
      </c>
      <c r="F576" s="14"/>
      <c r="G576" s="410" t="s">
        <v>375</v>
      </c>
      <c r="H576" s="411">
        <v>1.2</v>
      </c>
      <c r="I576" s="412">
        <f>'BAHAN '!G21</f>
        <v>0</v>
      </c>
      <c r="J576" s="16">
        <f>H576*I576</f>
        <v>0</v>
      </c>
    </row>
    <row r="577" spans="1:10" ht="13">
      <c r="A577" s="27"/>
      <c r="B577" s="110"/>
      <c r="D577" s="409"/>
      <c r="E577" s="13" t="s">
        <v>56</v>
      </c>
      <c r="F577" s="14"/>
      <c r="G577" s="410" t="s">
        <v>57</v>
      </c>
      <c r="H577" s="411">
        <v>163</v>
      </c>
      <c r="I577" s="412">
        <f>'BAHAN '!G72</f>
        <v>0</v>
      </c>
      <c r="J577" s="16">
        <f>H577*I577</f>
        <v>0</v>
      </c>
    </row>
    <row r="578" spans="1:10" ht="13.5" thickBot="1">
      <c r="A578" s="27"/>
      <c r="B578" s="110"/>
      <c r="D578" s="409"/>
      <c r="E578" s="13" t="s">
        <v>101</v>
      </c>
      <c r="F578" s="14"/>
      <c r="G578" s="410" t="s">
        <v>375</v>
      </c>
      <c r="H578" s="411">
        <v>0.52</v>
      </c>
      <c r="I578" s="412">
        <f>'BAHAN '!G59</f>
        <v>0</v>
      </c>
      <c r="J578" s="16">
        <f>H578*I578</f>
        <v>0</v>
      </c>
    </row>
    <row r="579" spans="1:10" ht="13.5" thickBot="1">
      <c r="A579" s="27"/>
      <c r="B579" s="110"/>
      <c r="D579" s="417"/>
      <c r="E579" s="418"/>
      <c r="F579" s="418"/>
      <c r="G579" s="419"/>
      <c r="H579" s="420" t="s">
        <v>64</v>
      </c>
      <c r="I579" s="421"/>
      <c r="J579" s="396">
        <f>SUM(J575:J578)</f>
        <v>0</v>
      </c>
    </row>
    <row r="580" spans="1:10" ht="13.5" thickBot="1">
      <c r="A580" s="27"/>
      <c r="B580" s="110"/>
      <c r="D580" s="406" t="s">
        <v>65</v>
      </c>
      <c r="E580" s="13" t="s">
        <v>66</v>
      </c>
      <c r="F580" s="14"/>
      <c r="G580" s="15"/>
      <c r="H580" s="451"/>
      <c r="I580" s="412">
        <f>IF(AND(E580&lt;&gt;"",G580&lt;&gt;""),IF(D580="",IF(G580="OH",VLOOKUP(E580,UPAH!$C$4:$H$31,7,0),VLOOKUP(E580,#REF!,4,0)),0),0)</f>
        <v>0</v>
      </c>
      <c r="J580" s="16">
        <f>H580*I580</f>
        <v>0</v>
      </c>
    </row>
    <row r="581" spans="1:10" ht="13.5" thickBot="1">
      <c r="A581" s="27"/>
      <c r="B581" s="110"/>
      <c r="D581" s="417"/>
      <c r="E581" s="418"/>
      <c r="F581" s="418"/>
      <c r="G581" s="419"/>
      <c r="H581" s="420" t="s">
        <v>67</v>
      </c>
      <c r="I581" s="421"/>
      <c r="J581" s="396">
        <f>J580</f>
        <v>0</v>
      </c>
    </row>
    <row r="582" spans="1:10" ht="13">
      <c r="A582" s="27"/>
      <c r="B582" s="110"/>
      <c r="D582" s="444" t="s">
        <v>68</v>
      </c>
      <c r="E582" s="445" t="s">
        <v>69</v>
      </c>
      <c r="F582" s="446"/>
      <c r="G582" s="447"/>
      <c r="H582" s="448"/>
      <c r="I582" s="449">
        <f>IF(AND(E582&lt;&gt;"",G582&lt;&gt;""),IF(D582="",IF(G582="OH",VLOOKUP(E582,UPAH!$C$4:$H$31,7,0),VLOOKUP(E582,#REF!,4,0)),0),0)</f>
        <v>0</v>
      </c>
      <c r="J582" s="16">
        <f>SUM(J570:J581)/2</f>
        <v>0</v>
      </c>
    </row>
    <row r="583" spans="1:10" ht="13.5" thickBot="1">
      <c r="A583" s="27"/>
      <c r="B583" s="110"/>
      <c r="D583" s="431" t="s">
        <v>70</v>
      </c>
      <c r="E583" s="432" t="s">
        <v>477</v>
      </c>
      <c r="F583" s="433"/>
      <c r="G583" s="434"/>
      <c r="H583" s="22">
        <v>0.1</v>
      </c>
      <c r="I583" s="436"/>
      <c r="J583" s="430">
        <f>H583*J582</f>
        <v>0</v>
      </c>
    </row>
    <row r="584" spans="1:10" ht="13.5" thickBot="1">
      <c r="A584" s="27"/>
      <c r="B584" s="110"/>
      <c r="D584" s="401" t="s">
        <v>71</v>
      </c>
      <c r="E584" s="402" t="s">
        <v>72</v>
      </c>
      <c r="F584" s="418"/>
      <c r="G584" s="419"/>
      <c r="H584" s="442"/>
      <c r="I584" s="421">
        <f>IF(AND(E584&lt;&gt;"",G584&lt;&gt;""),IF(D584="",IF(G584="OH",VLOOKUP(E584,UPAH!$C$4:$H$31,7,0),VLOOKUP(E584,#REF!,4,0)),0),0)</f>
        <v>0</v>
      </c>
      <c r="J584" s="396">
        <f>ROUNDDOWN(J582+J583,0)</f>
        <v>0</v>
      </c>
    </row>
    <row r="585" spans="1:10" ht="13">
      <c r="A585" s="27"/>
      <c r="B585" s="110"/>
      <c r="D585" s="11"/>
      <c r="E585" s="11"/>
      <c r="H585" s="443"/>
    </row>
    <row r="586" spans="1:10" ht="13.5" thickBot="1">
      <c r="A586" s="27"/>
      <c r="B586" s="110"/>
      <c r="C586" s="10" t="s">
        <v>582</v>
      </c>
      <c r="D586" s="11" t="s">
        <v>581</v>
      </c>
      <c r="H586" s="443"/>
    </row>
    <row r="587" spans="1:10" ht="13.5" thickBot="1">
      <c r="A587" s="27"/>
      <c r="B587" s="110"/>
      <c r="D587" s="401" t="s">
        <v>40</v>
      </c>
      <c r="E587" s="402" t="s">
        <v>41</v>
      </c>
      <c r="F587" s="402" t="s">
        <v>42</v>
      </c>
      <c r="G587" s="403" t="s">
        <v>43</v>
      </c>
      <c r="H587" s="404" t="s">
        <v>44</v>
      </c>
      <c r="I587" s="402" t="s">
        <v>474</v>
      </c>
      <c r="J587" s="405" t="s">
        <v>475</v>
      </c>
    </row>
    <row r="588" spans="1:10" ht="13">
      <c r="A588" s="27"/>
      <c r="B588" s="110"/>
      <c r="D588" s="406" t="s">
        <v>45</v>
      </c>
      <c r="E588" s="13" t="s">
        <v>46</v>
      </c>
      <c r="F588" s="14"/>
      <c r="G588" s="15"/>
      <c r="H588" s="451"/>
      <c r="I588" s="412"/>
      <c r="J588" s="16"/>
    </row>
    <row r="589" spans="1:10" ht="13">
      <c r="A589" s="27"/>
      <c r="B589" s="110"/>
      <c r="D589" s="409"/>
      <c r="E589" s="13" t="s">
        <v>47</v>
      </c>
      <c r="F589" s="13" t="s">
        <v>1918</v>
      </c>
      <c r="G589" s="410" t="s">
        <v>48</v>
      </c>
      <c r="H589" s="411">
        <v>1.5</v>
      </c>
      <c r="I589" s="412">
        <f>IF(AND(E589&lt;&gt;"",G589&lt;&gt;""),IF(D589="",IF(G589="OH",VLOOKUP(F589,UPAH!$B$4:$H$101,7,0),VLOOKUP(F589,#REF!,4,0)),0),0)</f>
        <v>0</v>
      </c>
      <c r="J589" s="16">
        <f>H589*I589</f>
        <v>0</v>
      </c>
    </row>
    <row r="590" spans="1:10" ht="13">
      <c r="A590" s="27"/>
      <c r="B590" s="110"/>
      <c r="D590" s="409"/>
      <c r="E590" s="13" t="s">
        <v>115</v>
      </c>
      <c r="F590" s="13" t="s">
        <v>1921</v>
      </c>
      <c r="G590" s="410" t="s">
        <v>48</v>
      </c>
      <c r="H590" s="411">
        <v>0.75</v>
      </c>
      <c r="I590" s="412">
        <f>IF(AND(E590&lt;&gt;"",G590&lt;&gt;""),IF(D590="",IF(G590="OH",VLOOKUP(F590,UPAH!$B$4:$H$101,7,0),VLOOKUP(F590,#REF!,4,0)),0),0)</f>
        <v>0</v>
      </c>
      <c r="J590" s="16">
        <f>H590*I590</f>
        <v>0</v>
      </c>
    </row>
    <row r="591" spans="1:10" ht="13">
      <c r="A591" s="27"/>
      <c r="B591" s="110"/>
      <c r="D591" s="409"/>
      <c r="E591" s="13" t="s">
        <v>97</v>
      </c>
      <c r="F591" s="13" t="s">
        <v>1928</v>
      </c>
      <c r="G591" s="410" t="s">
        <v>48</v>
      </c>
      <c r="H591" s="411">
        <v>7.4999999999999997E-2</v>
      </c>
      <c r="I591" s="412">
        <f>IF(AND(E591&lt;&gt;"",G591&lt;&gt;""),IF(D591="",IF(G591="OH",VLOOKUP(F591,UPAH!$B$4:$H$101,7,0),VLOOKUP(F591,#REF!,4,0)),0),0)</f>
        <v>0</v>
      </c>
      <c r="J591" s="16">
        <f>H591*I591</f>
        <v>0</v>
      </c>
    </row>
    <row r="592" spans="1:10" ht="13.5" thickBot="1">
      <c r="A592" s="27"/>
      <c r="B592" s="110"/>
      <c r="D592" s="409"/>
      <c r="E592" s="13" t="s">
        <v>51</v>
      </c>
      <c r="F592" s="414" t="s">
        <v>1929</v>
      </c>
      <c r="G592" s="410" t="s">
        <v>48</v>
      </c>
      <c r="H592" s="411">
        <v>7.4999999999999997E-2</v>
      </c>
      <c r="I592" s="412">
        <f>IF(AND(E592&lt;&gt;"",G592&lt;&gt;""),IF(D592="",IF(G592="OH",VLOOKUP(F592,UPAH!$B$4:$H$101,7,0),VLOOKUP(F592,#REF!,4,0)),0),0)</f>
        <v>0</v>
      </c>
      <c r="J592" s="16">
        <f>H592*I592</f>
        <v>0</v>
      </c>
    </row>
    <row r="593" spans="1:10" ht="13.5" thickBot="1">
      <c r="A593" s="27"/>
      <c r="B593" s="110"/>
      <c r="D593" s="417"/>
      <c r="E593" s="418"/>
      <c r="F593" s="418"/>
      <c r="G593" s="419"/>
      <c r="H593" s="420" t="s">
        <v>52</v>
      </c>
      <c r="I593" s="421"/>
      <c r="J593" s="396">
        <f>SUM(J589:J592)</f>
        <v>0</v>
      </c>
    </row>
    <row r="594" spans="1:10" ht="13">
      <c r="A594" s="27"/>
      <c r="B594" s="110"/>
      <c r="D594" s="406" t="s">
        <v>53</v>
      </c>
      <c r="E594" s="13" t="s">
        <v>54</v>
      </c>
      <c r="F594" s="14"/>
      <c r="G594" s="15"/>
      <c r="H594" s="451"/>
      <c r="I594" s="412">
        <f>IF(AND(E594&lt;&gt;"",G594&lt;&gt;""),IF(D594="",IF(G594="OH",VLOOKUP(E594,UPAH!$C$4:$H$31,7,0),VLOOKUP(E594,#REF!,4,0)),0),0)</f>
        <v>0</v>
      </c>
      <c r="J594" s="16">
        <f>H594*I594</f>
        <v>0</v>
      </c>
    </row>
    <row r="595" spans="1:10" ht="13">
      <c r="A595" s="27"/>
      <c r="B595" s="110"/>
      <c r="D595" s="409"/>
      <c r="E595" s="13" t="s">
        <v>94</v>
      </c>
      <c r="F595" s="14"/>
      <c r="G595" s="410" t="s">
        <v>375</v>
      </c>
      <c r="H595" s="411">
        <v>1.2</v>
      </c>
      <c r="I595" s="412">
        <f>'BAHAN '!G21</f>
        <v>0</v>
      </c>
      <c r="J595" s="16">
        <f>H595*I595</f>
        <v>0</v>
      </c>
    </row>
    <row r="596" spans="1:10" ht="13">
      <c r="A596" s="27"/>
      <c r="B596" s="110"/>
      <c r="D596" s="409"/>
      <c r="E596" s="13" t="s">
        <v>56</v>
      </c>
      <c r="F596" s="14"/>
      <c r="G596" s="410" t="s">
        <v>57</v>
      </c>
      <c r="H596" s="411">
        <v>136</v>
      </c>
      <c r="I596" s="412">
        <f>'BAHAN '!G72</f>
        <v>0</v>
      </c>
      <c r="J596" s="16">
        <f>H596*I596</f>
        <v>0</v>
      </c>
    </row>
    <row r="597" spans="1:10" ht="13.5" thickBot="1">
      <c r="A597" s="27"/>
      <c r="B597" s="110"/>
      <c r="D597" s="409"/>
      <c r="E597" s="13" t="s">
        <v>101</v>
      </c>
      <c r="F597" s="14"/>
      <c r="G597" s="410" t="s">
        <v>375</v>
      </c>
      <c r="H597" s="411">
        <v>0.54400000000000004</v>
      </c>
      <c r="I597" s="412">
        <f>'BAHAN '!G59</f>
        <v>0</v>
      </c>
      <c r="J597" s="16">
        <f>H597*I597</f>
        <v>0</v>
      </c>
    </row>
    <row r="598" spans="1:10" ht="13.5" thickBot="1">
      <c r="A598" s="27"/>
      <c r="B598" s="110"/>
      <c r="D598" s="417"/>
      <c r="E598" s="418"/>
      <c r="F598" s="418"/>
      <c r="G598" s="419"/>
      <c r="H598" s="420" t="s">
        <v>64</v>
      </c>
      <c r="I598" s="421"/>
      <c r="J598" s="396">
        <f>SUM(J594:J597)</f>
        <v>0</v>
      </c>
    </row>
    <row r="599" spans="1:10" ht="13.5" thickBot="1">
      <c r="A599" s="27"/>
      <c r="B599" s="110"/>
      <c r="D599" s="406" t="s">
        <v>65</v>
      </c>
      <c r="E599" s="13" t="s">
        <v>66</v>
      </c>
      <c r="F599" s="14"/>
      <c r="G599" s="15"/>
      <c r="H599" s="451"/>
      <c r="I599" s="412">
        <f>IF(AND(E599&lt;&gt;"",G599&lt;&gt;""),IF(D599="",IF(G599="OH",VLOOKUP(E599,UPAH!$C$4:$H$31,7,0),VLOOKUP(E599,#REF!,4,0)),0),0)</f>
        <v>0</v>
      </c>
      <c r="J599" s="16">
        <f>H599*I599</f>
        <v>0</v>
      </c>
    </row>
    <row r="600" spans="1:10" ht="13.5" thickBot="1">
      <c r="A600" s="27"/>
      <c r="B600" s="110"/>
      <c r="D600" s="417"/>
      <c r="E600" s="418"/>
      <c r="F600" s="418"/>
      <c r="G600" s="419"/>
      <c r="H600" s="420" t="s">
        <v>67</v>
      </c>
      <c r="I600" s="421"/>
      <c r="J600" s="396">
        <f>J599</f>
        <v>0</v>
      </c>
    </row>
    <row r="601" spans="1:10" ht="13">
      <c r="A601" s="27"/>
      <c r="B601" s="110"/>
      <c r="D601" s="444" t="s">
        <v>68</v>
      </c>
      <c r="E601" s="445" t="s">
        <v>69</v>
      </c>
      <c r="F601" s="446"/>
      <c r="G601" s="447"/>
      <c r="H601" s="448"/>
      <c r="I601" s="449">
        <f>IF(AND(E601&lt;&gt;"",G601&lt;&gt;""),IF(D601="",IF(G601="OH",VLOOKUP(E601,UPAH!$C$4:$H$31,7,0),VLOOKUP(E601,#REF!,4,0)),0),0)</f>
        <v>0</v>
      </c>
      <c r="J601" s="16">
        <f>SUM(J589:J600)/2</f>
        <v>0</v>
      </c>
    </row>
    <row r="602" spans="1:10" ht="13.5" thickBot="1">
      <c r="A602" s="27"/>
      <c r="B602" s="110"/>
      <c r="D602" s="431" t="s">
        <v>70</v>
      </c>
      <c r="E602" s="432" t="s">
        <v>477</v>
      </c>
      <c r="F602" s="433"/>
      <c r="G602" s="434"/>
      <c r="H602" s="22">
        <v>0.1</v>
      </c>
      <c r="I602" s="436"/>
      <c r="J602" s="430">
        <f>H602*J601</f>
        <v>0</v>
      </c>
    </row>
    <row r="603" spans="1:10" ht="13.5" thickBot="1">
      <c r="A603" s="27"/>
      <c r="B603" s="110"/>
      <c r="D603" s="401" t="s">
        <v>71</v>
      </c>
      <c r="E603" s="402" t="s">
        <v>72</v>
      </c>
      <c r="F603" s="418"/>
      <c r="G603" s="419"/>
      <c r="H603" s="442"/>
      <c r="I603" s="421">
        <f>IF(AND(E603&lt;&gt;"",G603&lt;&gt;""),IF(D603="",IF(G603="OH",VLOOKUP(E603,UPAH!$C$4:$H$31,7,0),VLOOKUP(E603,#REF!,4,0)),0),0)</f>
        <v>0</v>
      </c>
      <c r="J603" s="396">
        <f>ROUNDDOWN(J601+J602,0)</f>
        <v>0</v>
      </c>
    </row>
    <row r="604" spans="1:10" ht="13">
      <c r="A604" s="27"/>
      <c r="B604" s="110"/>
      <c r="D604" s="11"/>
      <c r="E604" s="11"/>
      <c r="H604" s="443"/>
    </row>
    <row r="605" spans="1:10" ht="13.5" thickBot="1">
      <c r="A605" s="27"/>
      <c r="B605" s="110"/>
      <c r="C605" s="10" t="s">
        <v>586</v>
      </c>
      <c r="D605" s="11" t="s">
        <v>585</v>
      </c>
      <c r="H605" s="443"/>
    </row>
    <row r="606" spans="1:10" ht="13.5" thickBot="1">
      <c r="A606" s="27"/>
      <c r="B606" s="110"/>
      <c r="D606" s="401" t="s">
        <v>40</v>
      </c>
      <c r="E606" s="402" t="s">
        <v>41</v>
      </c>
      <c r="F606" s="402" t="s">
        <v>42</v>
      </c>
      <c r="G606" s="403" t="s">
        <v>43</v>
      </c>
      <c r="H606" s="404" t="s">
        <v>44</v>
      </c>
      <c r="I606" s="402" t="s">
        <v>474</v>
      </c>
      <c r="J606" s="405" t="s">
        <v>475</v>
      </c>
    </row>
    <row r="607" spans="1:10" ht="13">
      <c r="A607" s="27"/>
      <c r="B607" s="110"/>
      <c r="D607" s="406" t="s">
        <v>45</v>
      </c>
      <c r="E607" s="13" t="s">
        <v>46</v>
      </c>
      <c r="F607" s="14"/>
      <c r="G607" s="15"/>
      <c r="H607" s="451"/>
      <c r="I607" s="412"/>
      <c r="J607" s="16"/>
    </row>
    <row r="608" spans="1:10" ht="13">
      <c r="A608" s="27"/>
      <c r="B608" s="110"/>
      <c r="D608" s="409"/>
      <c r="E608" s="13" t="s">
        <v>47</v>
      </c>
      <c r="F608" s="13" t="s">
        <v>1918</v>
      </c>
      <c r="G608" s="410" t="s">
        <v>48</v>
      </c>
      <c r="H608" s="411">
        <v>1.5</v>
      </c>
      <c r="I608" s="412">
        <f>IF(AND(E608&lt;&gt;"",G608&lt;&gt;""),IF(D608="",IF(G608="OH",VLOOKUP(F608,UPAH!$B$4:$H$101,7,0),VLOOKUP(F608,#REF!,4,0)),0),0)</f>
        <v>0</v>
      </c>
      <c r="J608" s="16">
        <f>H608*I608</f>
        <v>0</v>
      </c>
    </row>
    <row r="609" spans="1:10" ht="13">
      <c r="A609" s="27"/>
      <c r="B609" s="110"/>
      <c r="D609" s="409"/>
      <c r="E609" s="13" t="s">
        <v>115</v>
      </c>
      <c r="F609" s="13" t="s">
        <v>1921</v>
      </c>
      <c r="G609" s="410" t="s">
        <v>48</v>
      </c>
      <c r="H609" s="411">
        <v>0.75</v>
      </c>
      <c r="I609" s="412">
        <f>IF(AND(E609&lt;&gt;"",G609&lt;&gt;""),IF(D609="",IF(G609="OH",VLOOKUP(F609,UPAH!$B$4:$H$101,7,0),VLOOKUP(F609,#REF!,4,0)),0),0)</f>
        <v>0</v>
      </c>
      <c r="J609" s="16">
        <f>H609*I609</f>
        <v>0</v>
      </c>
    </row>
    <row r="610" spans="1:10" ht="13">
      <c r="A610" s="27"/>
      <c r="B610" s="110"/>
      <c r="D610" s="409"/>
      <c r="E610" s="13" t="s">
        <v>97</v>
      </c>
      <c r="F610" s="13" t="s">
        <v>1928</v>
      </c>
      <c r="G610" s="410" t="s">
        <v>48</v>
      </c>
      <c r="H610" s="411">
        <v>7.4999999999999997E-2</v>
      </c>
      <c r="I610" s="412">
        <f>IF(AND(E610&lt;&gt;"",G610&lt;&gt;""),IF(D610="",IF(G610="OH",VLOOKUP(F610,UPAH!$B$4:$H$101,7,0),VLOOKUP(F610,#REF!,4,0)),0),0)</f>
        <v>0</v>
      </c>
      <c r="J610" s="16">
        <f>H610*I610</f>
        <v>0</v>
      </c>
    </row>
    <row r="611" spans="1:10" ht="13.5" thickBot="1">
      <c r="A611" s="27"/>
      <c r="B611" s="110"/>
      <c r="D611" s="409"/>
      <c r="E611" s="13" t="s">
        <v>51</v>
      </c>
      <c r="F611" s="414" t="s">
        <v>1929</v>
      </c>
      <c r="G611" s="410" t="s">
        <v>48</v>
      </c>
      <c r="H611" s="411">
        <v>7.4999999999999997E-2</v>
      </c>
      <c r="I611" s="412">
        <f>IF(AND(E611&lt;&gt;"",G611&lt;&gt;""),IF(D611="",IF(G611="OH",VLOOKUP(F611,UPAH!$B$4:$H$101,7,0),VLOOKUP(F611,#REF!,4,0)),0),0)</f>
        <v>0</v>
      </c>
      <c r="J611" s="16">
        <f>H611*I611</f>
        <v>0</v>
      </c>
    </row>
    <row r="612" spans="1:10" ht="13.5" thickBot="1">
      <c r="A612" s="27"/>
      <c r="B612" s="110"/>
      <c r="D612" s="417"/>
      <c r="E612" s="418"/>
      <c r="F612" s="418"/>
      <c r="G612" s="419"/>
      <c r="H612" s="420" t="s">
        <v>52</v>
      </c>
      <c r="I612" s="421"/>
      <c r="J612" s="396">
        <f>SUM(J608:J611)</f>
        <v>0</v>
      </c>
    </row>
    <row r="613" spans="1:10" ht="13">
      <c r="A613" s="27"/>
      <c r="B613" s="110"/>
      <c r="D613" s="406" t="s">
        <v>53</v>
      </c>
      <c r="E613" s="13" t="s">
        <v>54</v>
      </c>
      <c r="F613" s="14"/>
      <c r="G613" s="15"/>
      <c r="H613" s="451"/>
      <c r="I613" s="412">
        <f>IF(AND(E613&lt;&gt;"",G613&lt;&gt;""),IF(D613="",IF(G613="OH",VLOOKUP(E613,UPAH!$C$4:$H$31,7,0),VLOOKUP(E613,#REF!,4,0)),0),0)</f>
        <v>0</v>
      </c>
      <c r="J613" s="16">
        <f>H613*I613</f>
        <v>0</v>
      </c>
    </row>
    <row r="614" spans="1:10" ht="13">
      <c r="A614" s="27"/>
      <c r="B614" s="110"/>
      <c r="D614" s="409"/>
      <c r="E614" s="13" t="s">
        <v>94</v>
      </c>
      <c r="F614" s="14"/>
      <c r="G614" s="410" t="s">
        <v>375</v>
      </c>
      <c r="H614" s="411">
        <v>1.2</v>
      </c>
      <c r="I614" s="412">
        <f>'BAHAN '!G21</f>
        <v>0</v>
      </c>
      <c r="J614" s="16">
        <f>H614*I614</f>
        <v>0</v>
      </c>
    </row>
    <row r="615" spans="1:10" ht="13">
      <c r="A615" s="27"/>
      <c r="B615" s="110"/>
      <c r="D615" s="409"/>
      <c r="E615" s="13" t="s">
        <v>56</v>
      </c>
      <c r="F615" s="14"/>
      <c r="G615" s="410" t="s">
        <v>57</v>
      </c>
      <c r="H615" s="411">
        <v>117</v>
      </c>
      <c r="I615" s="412">
        <f>'BAHAN '!G72</f>
        <v>0</v>
      </c>
      <c r="J615" s="16">
        <f>H615*I615</f>
        <v>0</v>
      </c>
    </row>
    <row r="616" spans="1:10" ht="13.5" thickBot="1">
      <c r="A616" s="27"/>
      <c r="B616" s="110"/>
      <c r="D616" s="409"/>
      <c r="E616" s="13" t="s">
        <v>101</v>
      </c>
      <c r="F616" s="14"/>
      <c r="G616" s="410" t="s">
        <v>375</v>
      </c>
      <c r="H616" s="411">
        <v>0.56100000000000005</v>
      </c>
      <c r="I616" s="412">
        <f>'BAHAN '!G59</f>
        <v>0</v>
      </c>
      <c r="J616" s="16">
        <f>H616*I616</f>
        <v>0</v>
      </c>
    </row>
    <row r="617" spans="1:10" ht="13.5" thickBot="1">
      <c r="A617" s="27"/>
      <c r="B617" s="110"/>
      <c r="D617" s="417"/>
      <c r="E617" s="418"/>
      <c r="F617" s="418"/>
      <c r="G617" s="419"/>
      <c r="H617" s="420" t="s">
        <v>64</v>
      </c>
      <c r="I617" s="421"/>
      <c r="J617" s="396">
        <f>SUM(J613:J616)</f>
        <v>0</v>
      </c>
    </row>
    <row r="618" spans="1:10" ht="13.5" thickBot="1">
      <c r="A618" s="27"/>
      <c r="B618" s="110"/>
      <c r="D618" s="406" t="s">
        <v>65</v>
      </c>
      <c r="E618" s="13" t="s">
        <v>66</v>
      </c>
      <c r="F618" s="14"/>
      <c r="G618" s="15"/>
      <c r="H618" s="451"/>
      <c r="I618" s="412">
        <f>IF(AND(E618&lt;&gt;"",G618&lt;&gt;""),IF(D618="",IF(G618="OH",VLOOKUP(E618,UPAH!$C$4:$H$31,7,0),VLOOKUP(E618,#REF!,4,0)),0),0)</f>
        <v>0</v>
      </c>
      <c r="J618" s="16">
        <f>H618*I618</f>
        <v>0</v>
      </c>
    </row>
    <row r="619" spans="1:10" ht="13.5" thickBot="1">
      <c r="A619" s="27"/>
      <c r="B619" s="110"/>
      <c r="D619" s="417"/>
      <c r="E619" s="418"/>
      <c r="F619" s="418"/>
      <c r="G619" s="419"/>
      <c r="H619" s="420" t="s">
        <v>67</v>
      </c>
      <c r="I619" s="421"/>
      <c r="J619" s="396">
        <f>J618</f>
        <v>0</v>
      </c>
    </row>
    <row r="620" spans="1:10" ht="13">
      <c r="A620" s="27"/>
      <c r="B620" s="110"/>
      <c r="D620" s="444" t="s">
        <v>68</v>
      </c>
      <c r="E620" s="445" t="s">
        <v>69</v>
      </c>
      <c r="F620" s="446"/>
      <c r="G620" s="447"/>
      <c r="H620" s="448"/>
      <c r="I620" s="449">
        <f>IF(AND(E620&lt;&gt;"",G620&lt;&gt;""),IF(D620="",IF(G620="OH",VLOOKUP(E620,UPAH!$C$4:$H$31,7,0),VLOOKUP(E620,#REF!,4,0)),0),0)</f>
        <v>0</v>
      </c>
      <c r="J620" s="16">
        <f>SUM(J608:J619)/2</f>
        <v>0</v>
      </c>
    </row>
    <row r="621" spans="1:10" ht="13.5" thickBot="1">
      <c r="A621" s="27"/>
      <c r="B621" s="110"/>
      <c r="D621" s="431" t="s">
        <v>70</v>
      </c>
      <c r="E621" s="432" t="s">
        <v>477</v>
      </c>
      <c r="F621" s="433"/>
      <c r="G621" s="434"/>
      <c r="H621" s="22">
        <v>0.1</v>
      </c>
      <c r="I621" s="436"/>
      <c r="J621" s="430">
        <f>H621*J620</f>
        <v>0</v>
      </c>
    </row>
    <row r="622" spans="1:10" ht="13.5" thickBot="1">
      <c r="A622" s="27"/>
      <c r="B622" s="110"/>
      <c r="D622" s="401" t="s">
        <v>71</v>
      </c>
      <c r="E622" s="402" t="s">
        <v>72</v>
      </c>
      <c r="F622" s="418"/>
      <c r="G622" s="419"/>
      <c r="H622" s="442"/>
      <c r="I622" s="421">
        <f>IF(AND(E622&lt;&gt;"",G622&lt;&gt;""),IF(D622="",IF(G622="OH",VLOOKUP(E622,UPAH!$C$4:$H$31,7,0),VLOOKUP(E622,#REF!,4,0)),0),0)</f>
        <v>0</v>
      </c>
      <c r="J622" s="396">
        <f>ROUNDDOWN(J620+J621,0)</f>
        <v>0</v>
      </c>
    </row>
    <row r="623" spans="1:10" ht="13">
      <c r="A623" s="27"/>
      <c r="B623" s="110"/>
      <c r="D623" s="11"/>
      <c r="E623" s="11"/>
      <c r="H623" s="443"/>
    </row>
    <row r="624" spans="1:10" ht="13.5" thickBot="1">
      <c r="A624" s="27"/>
      <c r="B624" s="110"/>
      <c r="C624" s="10" t="s">
        <v>584</v>
      </c>
      <c r="D624" s="11" t="s">
        <v>583</v>
      </c>
      <c r="H624" s="443"/>
    </row>
    <row r="625" spans="1:10" ht="13.5" thickBot="1">
      <c r="A625" s="27"/>
      <c r="B625" s="110"/>
      <c r="D625" s="401" t="s">
        <v>40</v>
      </c>
      <c r="E625" s="402" t="s">
        <v>41</v>
      </c>
      <c r="F625" s="402" t="s">
        <v>42</v>
      </c>
      <c r="G625" s="403" t="s">
        <v>43</v>
      </c>
      <c r="H625" s="404" t="s">
        <v>44</v>
      </c>
      <c r="I625" s="402" t="s">
        <v>474</v>
      </c>
      <c r="J625" s="405" t="s">
        <v>475</v>
      </c>
    </row>
    <row r="626" spans="1:10" ht="13">
      <c r="A626" s="27"/>
      <c r="B626" s="110"/>
      <c r="D626" s="406" t="s">
        <v>45</v>
      </c>
      <c r="E626" s="13" t="s">
        <v>46</v>
      </c>
      <c r="F626" s="14"/>
      <c r="G626" s="15"/>
      <c r="H626" s="451"/>
      <c r="I626" s="412"/>
      <c r="J626" s="16"/>
    </row>
    <row r="627" spans="1:10" ht="13">
      <c r="A627" s="27"/>
      <c r="B627" s="110"/>
      <c r="D627" s="409"/>
      <c r="E627" s="13" t="s">
        <v>47</v>
      </c>
      <c r="F627" s="13" t="s">
        <v>1918</v>
      </c>
      <c r="G627" s="410" t="s">
        <v>48</v>
      </c>
      <c r="H627" s="411">
        <v>1.5</v>
      </c>
      <c r="I627" s="412">
        <f>IF(AND(E627&lt;&gt;"",G627&lt;&gt;""),IF(D627="",IF(G627="OH",VLOOKUP(F627,UPAH!$B$4:$H$101,7,0),VLOOKUP(F627,#REF!,4,0)),0),0)</f>
        <v>0</v>
      </c>
      <c r="J627" s="16">
        <f>H627*I627</f>
        <v>0</v>
      </c>
    </row>
    <row r="628" spans="1:10" ht="13">
      <c r="A628" s="27"/>
      <c r="B628" s="110"/>
      <c r="D628" s="409"/>
      <c r="E628" s="13" t="s">
        <v>115</v>
      </c>
      <c r="F628" s="13" t="s">
        <v>1921</v>
      </c>
      <c r="G628" s="410" t="s">
        <v>48</v>
      </c>
      <c r="H628" s="411">
        <v>0.75</v>
      </c>
      <c r="I628" s="412">
        <f>IF(AND(E628&lt;&gt;"",G628&lt;&gt;""),IF(D628="",IF(G628="OH",VLOOKUP(F628,UPAH!$B$4:$H$101,7,0),VLOOKUP(F628,#REF!,4,0)),0),0)</f>
        <v>0</v>
      </c>
      <c r="J628" s="16">
        <f>H628*I628</f>
        <v>0</v>
      </c>
    </row>
    <row r="629" spans="1:10" ht="13">
      <c r="A629" s="27"/>
      <c r="B629" s="110"/>
      <c r="D629" s="409"/>
      <c r="E629" s="13" t="s">
        <v>97</v>
      </c>
      <c r="F629" s="13" t="s">
        <v>1928</v>
      </c>
      <c r="G629" s="410" t="s">
        <v>48</v>
      </c>
      <c r="H629" s="411">
        <v>7.4999999999999997E-2</v>
      </c>
      <c r="I629" s="412">
        <f>IF(AND(E629&lt;&gt;"",G629&lt;&gt;""),IF(D629="",IF(G629="OH",VLOOKUP(F629,UPAH!$B$4:$H$101,7,0),VLOOKUP(F629,#REF!,4,0)),0),0)</f>
        <v>0</v>
      </c>
      <c r="J629" s="16">
        <f>H629*I629</f>
        <v>0</v>
      </c>
    </row>
    <row r="630" spans="1:10" ht="13.5" thickBot="1">
      <c r="A630" s="27"/>
      <c r="B630" s="110"/>
      <c r="D630" s="409"/>
      <c r="E630" s="13" t="s">
        <v>51</v>
      </c>
      <c r="F630" s="414" t="s">
        <v>1929</v>
      </c>
      <c r="G630" s="410" t="s">
        <v>48</v>
      </c>
      <c r="H630" s="411">
        <v>7.4999999999999997E-2</v>
      </c>
      <c r="I630" s="412">
        <f>IF(AND(E630&lt;&gt;"",G630&lt;&gt;""),IF(D630="",IF(G630="OH",VLOOKUP(F630,UPAH!$B$4:$H$101,7,0),VLOOKUP(F630,#REF!,4,0)),0),0)</f>
        <v>0</v>
      </c>
      <c r="J630" s="16">
        <f>H630*I630</f>
        <v>0</v>
      </c>
    </row>
    <row r="631" spans="1:10" ht="13.5" thickBot="1">
      <c r="A631" s="27"/>
      <c r="B631" s="110"/>
      <c r="D631" s="417"/>
      <c r="E631" s="418"/>
      <c r="F631" s="418"/>
      <c r="G631" s="419"/>
      <c r="H631" s="420" t="s">
        <v>52</v>
      </c>
      <c r="I631" s="421"/>
      <c r="J631" s="396">
        <f>SUM(J627:J630)</f>
        <v>0</v>
      </c>
    </row>
    <row r="632" spans="1:10" ht="13">
      <c r="A632" s="27"/>
      <c r="B632" s="110"/>
      <c r="D632" s="406" t="s">
        <v>53</v>
      </c>
      <c r="E632" s="13" t="s">
        <v>54</v>
      </c>
      <c r="F632" s="14"/>
      <c r="G632" s="15"/>
      <c r="H632" s="451"/>
      <c r="I632" s="412">
        <f>IF(AND(E632&lt;&gt;"",G632&lt;&gt;""),IF(D632="",IF(G632="OH",VLOOKUP(E632,UPAH!$C$4:$H$31,7,0),VLOOKUP(E632,#REF!,4,0)),0),0)</f>
        <v>0</v>
      </c>
      <c r="J632" s="16">
        <f>H632*I632</f>
        <v>0</v>
      </c>
    </row>
    <row r="633" spans="1:10" ht="13">
      <c r="A633" s="27"/>
      <c r="B633" s="110"/>
      <c r="D633" s="409"/>
      <c r="E633" s="13" t="s">
        <v>94</v>
      </c>
      <c r="F633" s="14"/>
      <c r="G633" s="410" t="s">
        <v>375</v>
      </c>
      <c r="H633" s="411">
        <v>1.2</v>
      </c>
      <c r="I633" s="412">
        <f>'BAHAN '!G21</f>
        <v>0</v>
      </c>
      <c r="J633" s="16">
        <f>H633*I633</f>
        <v>0</v>
      </c>
    </row>
    <row r="634" spans="1:10" ht="13">
      <c r="A634" s="27"/>
      <c r="B634" s="110"/>
      <c r="D634" s="409"/>
      <c r="E634" s="13" t="s">
        <v>56</v>
      </c>
      <c r="F634" s="14"/>
      <c r="G634" s="410" t="s">
        <v>57</v>
      </c>
      <c r="H634" s="411">
        <v>91</v>
      </c>
      <c r="I634" s="412">
        <f>'BAHAN '!G72</f>
        <v>0</v>
      </c>
      <c r="J634" s="16">
        <f>H634*I634</f>
        <v>0</v>
      </c>
    </row>
    <row r="635" spans="1:10" ht="13.5" thickBot="1">
      <c r="A635" s="27"/>
      <c r="B635" s="110"/>
      <c r="D635" s="409"/>
      <c r="E635" s="13" t="s">
        <v>101</v>
      </c>
      <c r="F635" s="14"/>
      <c r="G635" s="410" t="s">
        <v>375</v>
      </c>
      <c r="H635" s="411">
        <v>0.58399999999999996</v>
      </c>
      <c r="I635" s="412">
        <f>'BAHAN '!G59</f>
        <v>0</v>
      </c>
      <c r="J635" s="16">
        <f>H635*I635</f>
        <v>0</v>
      </c>
    </row>
    <row r="636" spans="1:10" ht="13.5" thickBot="1">
      <c r="A636" s="27"/>
      <c r="B636" s="110"/>
      <c r="D636" s="417"/>
      <c r="E636" s="418"/>
      <c r="F636" s="418"/>
      <c r="G636" s="419"/>
      <c r="H636" s="420" t="s">
        <v>64</v>
      </c>
      <c r="I636" s="421"/>
      <c r="J636" s="396">
        <f>SUM(J632:J635)</f>
        <v>0</v>
      </c>
    </row>
    <row r="637" spans="1:10" ht="13.5" thickBot="1">
      <c r="A637" s="27"/>
      <c r="B637" s="110"/>
      <c r="D637" s="406" t="s">
        <v>65</v>
      </c>
      <c r="E637" s="13" t="s">
        <v>66</v>
      </c>
      <c r="F637" s="14"/>
      <c r="G637" s="15"/>
      <c r="H637" s="451"/>
      <c r="I637" s="412">
        <f>IF(AND(E637&lt;&gt;"",G637&lt;&gt;""),IF(D637="",IF(G637="OH",VLOOKUP(E637,UPAH!$C$4:$H$31,7,0),VLOOKUP(E637,#REF!,4,0)),0),0)</f>
        <v>0</v>
      </c>
      <c r="J637" s="16">
        <f>H637*I637</f>
        <v>0</v>
      </c>
    </row>
    <row r="638" spans="1:10" ht="13.5" thickBot="1">
      <c r="A638" s="27"/>
      <c r="B638" s="110"/>
      <c r="D638" s="417"/>
      <c r="E638" s="418"/>
      <c r="F638" s="418"/>
      <c r="G638" s="419"/>
      <c r="H638" s="420" t="s">
        <v>67</v>
      </c>
      <c r="I638" s="421"/>
      <c r="J638" s="396">
        <f>J637</f>
        <v>0</v>
      </c>
    </row>
    <row r="639" spans="1:10" ht="13">
      <c r="A639" s="27"/>
      <c r="B639" s="110"/>
      <c r="D639" s="444" t="s">
        <v>68</v>
      </c>
      <c r="E639" s="445" t="s">
        <v>69</v>
      </c>
      <c r="F639" s="446"/>
      <c r="G639" s="447"/>
      <c r="H639" s="448"/>
      <c r="I639" s="449">
        <f>IF(AND(E639&lt;&gt;"",G639&lt;&gt;""),IF(D639="",IF(G639="OH",VLOOKUP(E639,UPAH!$C$4:$H$31,7,0),VLOOKUP(E639,#REF!,4,0)),0),0)</f>
        <v>0</v>
      </c>
      <c r="J639" s="16">
        <f>SUM(J627:J638)/2</f>
        <v>0</v>
      </c>
    </row>
    <row r="640" spans="1:10" ht="13.5" thickBot="1">
      <c r="A640" s="27"/>
      <c r="B640" s="110"/>
      <c r="D640" s="431" t="s">
        <v>70</v>
      </c>
      <c r="E640" s="432" t="s">
        <v>477</v>
      </c>
      <c r="F640" s="433"/>
      <c r="G640" s="434"/>
      <c r="H640" s="22">
        <v>0.1</v>
      </c>
      <c r="I640" s="436"/>
      <c r="J640" s="430">
        <f>H640*J639</f>
        <v>0</v>
      </c>
    </row>
    <row r="641" spans="1:10" ht="13.5" thickBot="1">
      <c r="A641" s="27"/>
      <c r="B641" s="110"/>
      <c r="D641" s="401" t="s">
        <v>71</v>
      </c>
      <c r="E641" s="402" t="s">
        <v>72</v>
      </c>
      <c r="F641" s="418"/>
      <c r="G641" s="419"/>
      <c r="H641" s="442"/>
      <c r="I641" s="421">
        <f>IF(AND(E641&lt;&gt;"",G641&lt;&gt;""),IF(D641="",IF(G641="OH",VLOOKUP(E641,UPAH!$C$4:$H$31,7,0),VLOOKUP(E641,#REF!,4,0)),0),0)</f>
        <v>0</v>
      </c>
      <c r="J641" s="396">
        <f>ROUNDDOWN(J639+J640,0)</f>
        <v>0</v>
      </c>
    </row>
    <row r="642" spans="1:10" ht="13">
      <c r="A642" s="27"/>
      <c r="B642" s="110"/>
      <c r="D642" s="11"/>
      <c r="E642" s="11"/>
      <c r="H642" s="443"/>
    </row>
    <row r="643" spans="1:10" ht="13.5" thickBot="1">
      <c r="A643" s="27"/>
      <c r="B643" s="110"/>
      <c r="C643" s="10" t="s">
        <v>588</v>
      </c>
      <c r="D643" s="11" t="s">
        <v>587</v>
      </c>
      <c r="H643" s="443"/>
    </row>
    <row r="644" spans="1:10" ht="13.5" thickBot="1">
      <c r="A644" s="27"/>
      <c r="B644" s="110"/>
      <c r="D644" s="401" t="s">
        <v>40</v>
      </c>
      <c r="E644" s="402" t="s">
        <v>41</v>
      </c>
      <c r="F644" s="402" t="s">
        <v>42</v>
      </c>
      <c r="G644" s="403" t="s">
        <v>43</v>
      </c>
      <c r="H644" s="404" t="s">
        <v>44</v>
      </c>
      <c r="I644" s="402" t="s">
        <v>474</v>
      </c>
      <c r="J644" s="405" t="s">
        <v>475</v>
      </c>
    </row>
    <row r="645" spans="1:10" ht="13">
      <c r="A645" s="27"/>
      <c r="B645" s="110"/>
      <c r="D645" s="406" t="s">
        <v>45</v>
      </c>
      <c r="E645" s="13" t="s">
        <v>46</v>
      </c>
      <c r="F645" s="14"/>
      <c r="G645" s="15"/>
      <c r="H645" s="451"/>
      <c r="I645" s="412"/>
      <c r="J645" s="16"/>
    </row>
    <row r="646" spans="1:10" ht="13">
      <c r="A646" s="27"/>
      <c r="B646" s="110"/>
      <c r="D646" s="409"/>
      <c r="E646" s="13" t="s">
        <v>47</v>
      </c>
      <c r="F646" s="13" t="s">
        <v>1918</v>
      </c>
      <c r="G646" s="410" t="s">
        <v>48</v>
      </c>
      <c r="H646" s="411">
        <v>1.5</v>
      </c>
      <c r="I646" s="412">
        <f>IF(AND(E646&lt;&gt;"",G646&lt;&gt;""),IF(D646="",IF(G646="OH",VLOOKUP(F646,UPAH!$B$4:$H$101,7,0),VLOOKUP(F646,#REF!,4,0)),0),0)</f>
        <v>0</v>
      </c>
      <c r="J646" s="16">
        <f>H646*I646</f>
        <v>0</v>
      </c>
    </row>
    <row r="647" spans="1:10" ht="13">
      <c r="A647" s="27"/>
      <c r="B647" s="110"/>
      <c r="D647" s="409"/>
      <c r="E647" s="13" t="s">
        <v>115</v>
      </c>
      <c r="F647" s="13" t="s">
        <v>1921</v>
      </c>
      <c r="G647" s="410" t="s">
        <v>48</v>
      </c>
      <c r="H647" s="411">
        <v>0.75</v>
      </c>
      <c r="I647" s="412">
        <f>IF(AND(E647&lt;&gt;"",G647&lt;&gt;""),IF(D647="",IF(G647="OH",VLOOKUP(F647,UPAH!$B$4:$H$101,7,0),VLOOKUP(F647,#REF!,4,0)),0),0)</f>
        <v>0</v>
      </c>
      <c r="J647" s="16">
        <f>H647*I647</f>
        <v>0</v>
      </c>
    </row>
    <row r="648" spans="1:10" ht="13">
      <c r="A648" s="27"/>
      <c r="B648" s="110"/>
      <c r="D648" s="409"/>
      <c r="E648" s="13" t="s">
        <v>97</v>
      </c>
      <c r="F648" s="13" t="s">
        <v>1928</v>
      </c>
      <c r="G648" s="410" t="s">
        <v>48</v>
      </c>
      <c r="H648" s="411">
        <v>7.4999999999999997E-2</v>
      </c>
      <c r="I648" s="412">
        <f>IF(AND(E648&lt;&gt;"",G648&lt;&gt;""),IF(D648="",IF(G648="OH",VLOOKUP(F648,UPAH!$B$4:$H$101,7,0),VLOOKUP(F648,#REF!,4,0)),0),0)</f>
        <v>0</v>
      </c>
      <c r="J648" s="16">
        <f>H648*I648</f>
        <v>0</v>
      </c>
    </row>
    <row r="649" spans="1:10" ht="13.5" thickBot="1">
      <c r="A649" s="27"/>
      <c r="B649" s="110"/>
      <c r="D649" s="409"/>
      <c r="E649" s="13" t="s">
        <v>51</v>
      </c>
      <c r="F649" s="414" t="s">
        <v>1929</v>
      </c>
      <c r="G649" s="410" t="s">
        <v>48</v>
      </c>
      <c r="H649" s="411">
        <v>7.4999999999999997E-2</v>
      </c>
      <c r="I649" s="412">
        <f>IF(AND(E649&lt;&gt;"",G649&lt;&gt;""),IF(D649="",IF(G649="OH",VLOOKUP(F649,UPAH!$B$4:$H$101,7,0),VLOOKUP(F649,#REF!,4,0)),0),0)</f>
        <v>0</v>
      </c>
      <c r="J649" s="16">
        <f>H649*I649</f>
        <v>0</v>
      </c>
    </row>
    <row r="650" spans="1:10" ht="13.5" thickBot="1">
      <c r="A650" s="27"/>
      <c r="B650" s="110"/>
      <c r="D650" s="417"/>
      <c r="E650" s="418"/>
      <c r="F650" s="418"/>
      <c r="G650" s="419"/>
      <c r="H650" s="420" t="s">
        <v>52</v>
      </c>
      <c r="I650" s="421"/>
      <c r="J650" s="396">
        <f>SUM(J646:J649)</f>
        <v>0</v>
      </c>
    </row>
    <row r="651" spans="1:10" ht="13">
      <c r="A651" s="27"/>
      <c r="B651" s="110"/>
      <c r="D651" s="406" t="s">
        <v>53</v>
      </c>
      <c r="E651" s="13" t="s">
        <v>54</v>
      </c>
      <c r="F651" s="14"/>
      <c r="G651" s="15"/>
      <c r="H651" s="451"/>
      <c r="I651" s="412"/>
      <c r="J651" s="16"/>
    </row>
    <row r="652" spans="1:10" ht="13">
      <c r="A652" s="27"/>
      <c r="B652" s="110"/>
      <c r="D652" s="409"/>
      <c r="E652" s="13" t="s">
        <v>94</v>
      </c>
      <c r="F652" s="14"/>
      <c r="G652" s="410" t="s">
        <v>375</v>
      </c>
      <c r="H652" s="411">
        <v>1.2</v>
      </c>
      <c r="I652" s="412">
        <f>'BAHAN '!G21</f>
        <v>0</v>
      </c>
      <c r="J652" s="16">
        <f>H652*I652</f>
        <v>0</v>
      </c>
    </row>
    <row r="653" spans="1:10" ht="13">
      <c r="A653" s="27"/>
      <c r="B653" s="110"/>
      <c r="D653" s="409"/>
      <c r="E653" s="13" t="s">
        <v>105</v>
      </c>
      <c r="F653" s="14"/>
      <c r="G653" s="410" t="s">
        <v>375</v>
      </c>
      <c r="H653" s="411">
        <v>0.17</v>
      </c>
      <c r="I653" s="412">
        <f>'BAHAN '!G867</f>
        <v>0</v>
      </c>
      <c r="J653" s="16">
        <f>H653*I653</f>
        <v>0</v>
      </c>
    </row>
    <row r="654" spans="1:10" ht="13">
      <c r="A654" s="27"/>
      <c r="B654" s="110"/>
      <c r="D654" s="409"/>
      <c r="E654" s="13" t="s">
        <v>56</v>
      </c>
      <c r="F654" s="14"/>
      <c r="G654" s="410" t="s">
        <v>57</v>
      </c>
      <c r="H654" s="411">
        <v>170</v>
      </c>
      <c r="I654" s="412">
        <f>'BAHAN '!G72</f>
        <v>0</v>
      </c>
      <c r="J654" s="16">
        <f>H654*I654</f>
        <v>0</v>
      </c>
    </row>
    <row r="655" spans="1:10" ht="13.5" thickBot="1">
      <c r="A655" s="27"/>
      <c r="B655" s="110"/>
      <c r="D655" s="409"/>
      <c r="E655" s="13" t="s">
        <v>101</v>
      </c>
      <c r="F655" s="14"/>
      <c r="G655" s="410" t="s">
        <v>375</v>
      </c>
      <c r="H655" s="411">
        <v>0.34</v>
      </c>
      <c r="I655" s="412">
        <f>'BAHAN '!G59</f>
        <v>0</v>
      </c>
      <c r="J655" s="16">
        <f>H655*I655</f>
        <v>0</v>
      </c>
    </row>
    <row r="656" spans="1:10" ht="13.5" thickBot="1">
      <c r="A656" s="27"/>
      <c r="B656" s="110"/>
      <c r="D656" s="417"/>
      <c r="E656" s="418"/>
      <c r="F656" s="418"/>
      <c r="G656" s="419"/>
      <c r="H656" s="420" t="s">
        <v>64</v>
      </c>
      <c r="I656" s="421"/>
      <c r="J656" s="396">
        <f>SUM(J651:J655)</f>
        <v>0</v>
      </c>
    </row>
    <row r="657" spans="1:10" ht="13.5" thickBot="1">
      <c r="A657" s="27"/>
      <c r="B657" s="110"/>
      <c r="D657" s="406" t="s">
        <v>65</v>
      </c>
      <c r="E657" s="13" t="s">
        <v>66</v>
      </c>
      <c r="F657" s="14"/>
      <c r="G657" s="15"/>
      <c r="H657" s="451"/>
      <c r="I657" s="412">
        <f>IF(AND(E657&lt;&gt;"",G657&lt;&gt;""),IF(D657="",IF(G657="OH",VLOOKUP(E657,UPAH!$C$4:$H$31,7,0),VLOOKUP(E657,#REF!,4,0)),0),0)</f>
        <v>0</v>
      </c>
      <c r="J657" s="16">
        <f>H657*I657</f>
        <v>0</v>
      </c>
    </row>
    <row r="658" spans="1:10" ht="13.5" thickBot="1">
      <c r="A658" s="27"/>
      <c r="B658" s="110"/>
      <c r="D658" s="417"/>
      <c r="E658" s="418"/>
      <c r="F658" s="418"/>
      <c r="G658" s="419"/>
      <c r="H658" s="420" t="s">
        <v>67</v>
      </c>
      <c r="I658" s="421"/>
      <c r="J658" s="396">
        <f>J657</f>
        <v>0</v>
      </c>
    </row>
    <row r="659" spans="1:10" ht="13">
      <c r="A659" s="27"/>
      <c r="B659" s="110"/>
      <c r="D659" s="444" t="s">
        <v>68</v>
      </c>
      <c r="E659" s="445" t="s">
        <v>69</v>
      </c>
      <c r="F659" s="446"/>
      <c r="G659" s="447"/>
      <c r="H659" s="448"/>
      <c r="I659" s="449">
        <f>IF(AND(E659&lt;&gt;"",G659&lt;&gt;""),IF(D659="",IF(G659="OH",VLOOKUP(E659,UPAH!$C$4:$H$31,7,0),VLOOKUP(E659,#REF!,4,0)),0),0)</f>
        <v>0</v>
      </c>
      <c r="J659" s="16">
        <f>SUM(J646:J658)/2</f>
        <v>0</v>
      </c>
    </row>
    <row r="660" spans="1:10" ht="13.5" thickBot="1">
      <c r="A660" s="27"/>
      <c r="B660" s="110"/>
      <c r="D660" s="431" t="s">
        <v>70</v>
      </c>
      <c r="E660" s="432" t="s">
        <v>477</v>
      </c>
      <c r="F660" s="433"/>
      <c r="G660" s="434"/>
      <c r="H660" s="22">
        <v>0.1</v>
      </c>
      <c r="I660" s="436"/>
      <c r="J660" s="430">
        <f>H660*J659</f>
        <v>0</v>
      </c>
    </row>
    <row r="661" spans="1:10" ht="13.5" thickBot="1">
      <c r="A661" s="27"/>
      <c r="B661" s="110"/>
      <c r="D661" s="401" t="s">
        <v>71</v>
      </c>
      <c r="E661" s="402" t="s">
        <v>72</v>
      </c>
      <c r="F661" s="418"/>
      <c r="G661" s="419"/>
      <c r="H661" s="442"/>
      <c r="I661" s="421">
        <f>IF(AND(E661&lt;&gt;"",G661&lt;&gt;""),IF(D661="",IF(G661="OH",VLOOKUP(E661,UPAH!$C$4:$H$31,7,0),VLOOKUP(E661,#REF!,4,0)),0),0)</f>
        <v>0</v>
      </c>
      <c r="J661" s="396">
        <f>ROUNDDOWN(J659+J660,0)</f>
        <v>0</v>
      </c>
    </row>
    <row r="662" spans="1:10" ht="13">
      <c r="A662" s="27"/>
      <c r="B662" s="110"/>
      <c r="D662" s="11"/>
      <c r="E662" s="11"/>
      <c r="H662" s="443"/>
    </row>
    <row r="663" spans="1:10" ht="13.5" thickBot="1">
      <c r="A663" s="27"/>
      <c r="B663" s="110"/>
      <c r="C663" s="11" t="s">
        <v>1828</v>
      </c>
      <c r="D663" s="10" t="s">
        <v>1829</v>
      </c>
      <c r="H663" s="443"/>
    </row>
    <row r="664" spans="1:10" ht="13.5" thickBot="1">
      <c r="A664" s="27"/>
      <c r="B664" s="110"/>
      <c r="D664" s="401" t="s">
        <v>40</v>
      </c>
      <c r="E664" s="402" t="s">
        <v>41</v>
      </c>
      <c r="F664" s="402" t="s">
        <v>42</v>
      </c>
      <c r="G664" s="403" t="s">
        <v>43</v>
      </c>
      <c r="H664" s="404" t="s">
        <v>44</v>
      </c>
      <c r="I664" s="402" t="s">
        <v>474</v>
      </c>
      <c r="J664" s="405" t="s">
        <v>475</v>
      </c>
    </row>
    <row r="665" spans="1:10" ht="13">
      <c r="A665" s="27"/>
      <c r="B665" s="110"/>
      <c r="D665" s="406" t="s">
        <v>45</v>
      </c>
      <c r="E665" s="13" t="s">
        <v>46</v>
      </c>
      <c r="F665" s="14"/>
      <c r="G665" s="15"/>
      <c r="H665" s="451"/>
      <c r="I665" s="412"/>
      <c r="J665" s="16"/>
    </row>
    <row r="666" spans="1:10" ht="13">
      <c r="A666" s="27"/>
      <c r="B666" s="110"/>
      <c r="D666" s="409"/>
      <c r="E666" s="13" t="s">
        <v>47</v>
      </c>
      <c r="F666" s="13" t="s">
        <v>1918</v>
      </c>
      <c r="G666" s="410" t="s">
        <v>48</v>
      </c>
      <c r="H666" s="411">
        <v>1.5</v>
      </c>
      <c r="I666" s="412">
        <f>IF(AND(E666&lt;&gt;"",G666&lt;&gt;""),IF(D666="",IF(G666="OH",VLOOKUP(F666,UPAH!$B$4:$H$101,7,0),VLOOKUP(F666,#REF!,4,0)),0),0)</f>
        <v>0</v>
      </c>
      <c r="J666" s="16">
        <f>H666*I666</f>
        <v>0</v>
      </c>
    </row>
    <row r="667" spans="1:10" ht="13">
      <c r="A667" s="27"/>
      <c r="B667" s="110"/>
      <c r="D667" s="409"/>
      <c r="E667" s="13" t="s">
        <v>115</v>
      </c>
      <c r="F667" s="13" t="s">
        <v>1921</v>
      </c>
      <c r="G667" s="410" t="s">
        <v>48</v>
      </c>
      <c r="H667" s="411">
        <v>0.75</v>
      </c>
      <c r="I667" s="412">
        <f>IF(AND(E667&lt;&gt;"",G667&lt;&gt;""),IF(D667="",IF(G667="OH",VLOOKUP(F667,UPAH!$B$4:$H$101,7,0),VLOOKUP(F667,#REF!,4,0)),0),0)</f>
        <v>0</v>
      </c>
      <c r="J667" s="16">
        <f>H667*I667</f>
        <v>0</v>
      </c>
    </row>
    <row r="668" spans="1:10" ht="13">
      <c r="A668" s="27"/>
      <c r="B668" s="110"/>
      <c r="D668" s="409"/>
      <c r="E668" s="13" t="s">
        <v>97</v>
      </c>
      <c r="F668" s="13" t="s">
        <v>1928</v>
      </c>
      <c r="G668" s="410" t="s">
        <v>48</v>
      </c>
      <c r="H668" s="411">
        <v>7.4999999999999997E-2</v>
      </c>
      <c r="I668" s="412">
        <f>IF(AND(E668&lt;&gt;"",G668&lt;&gt;""),IF(D668="",IF(G668="OH",VLOOKUP(F668,UPAH!$B$4:$H$101,7,0),VLOOKUP(F668,#REF!,4,0)),0),0)</f>
        <v>0</v>
      </c>
      <c r="J668" s="16">
        <f>H668*I668</f>
        <v>0</v>
      </c>
    </row>
    <row r="669" spans="1:10" ht="13.5" thickBot="1">
      <c r="A669" s="27"/>
      <c r="B669" s="110"/>
      <c r="D669" s="409"/>
      <c r="E669" s="13" t="s">
        <v>51</v>
      </c>
      <c r="F669" s="414" t="s">
        <v>1929</v>
      </c>
      <c r="G669" s="410" t="s">
        <v>48</v>
      </c>
      <c r="H669" s="411">
        <v>7.4999999999999997E-2</v>
      </c>
      <c r="I669" s="412">
        <f>IF(AND(E669&lt;&gt;"",G669&lt;&gt;""),IF(D669="",IF(G669="OH",VLOOKUP(F669,UPAH!$B$4:$H$101,7,0),VLOOKUP(F669,#REF!,4,0)),0),0)</f>
        <v>0</v>
      </c>
      <c r="J669" s="16">
        <f>H669*I669</f>
        <v>0</v>
      </c>
    </row>
    <row r="670" spans="1:10" ht="13.5" thickBot="1">
      <c r="A670" s="27"/>
      <c r="B670" s="110"/>
      <c r="D670" s="417"/>
      <c r="E670" s="418"/>
      <c r="F670" s="418"/>
      <c r="G670" s="419"/>
      <c r="H670" s="420" t="s">
        <v>52</v>
      </c>
      <c r="I670" s="421"/>
      <c r="J670" s="396">
        <f>SUM(J666:J669)</f>
        <v>0</v>
      </c>
    </row>
    <row r="671" spans="1:10" ht="13">
      <c r="A671" s="27"/>
      <c r="B671" s="110"/>
      <c r="D671" s="406" t="s">
        <v>53</v>
      </c>
      <c r="E671" s="13" t="s">
        <v>54</v>
      </c>
      <c r="F671" s="14"/>
      <c r="G671" s="15"/>
      <c r="H671" s="451"/>
      <c r="I671" s="412"/>
      <c r="J671" s="16"/>
    </row>
    <row r="672" spans="1:10" ht="13">
      <c r="A672" s="27"/>
      <c r="B672" s="110"/>
      <c r="D672" s="409"/>
      <c r="E672" s="13" t="s">
        <v>94</v>
      </c>
      <c r="F672" s="14"/>
      <c r="G672" s="410" t="s">
        <v>375</v>
      </c>
      <c r="H672" s="411">
        <v>1.2</v>
      </c>
      <c r="I672" s="412">
        <f>'BAHAN '!G21</f>
        <v>0</v>
      </c>
      <c r="J672" s="16">
        <f>H672*I672</f>
        <v>0</v>
      </c>
    </row>
    <row r="673" spans="1:10" ht="13">
      <c r="A673" s="27"/>
      <c r="B673" s="110"/>
      <c r="D673" s="409"/>
      <c r="E673" s="13" t="s">
        <v>56</v>
      </c>
      <c r="F673" s="14"/>
      <c r="G673" s="410" t="s">
        <v>57</v>
      </c>
      <c r="H673" s="411">
        <v>61</v>
      </c>
      <c r="I673" s="412">
        <f>'BAHAN '!G72</f>
        <v>0</v>
      </c>
      <c r="J673" s="16">
        <f>H673*I673</f>
        <v>0</v>
      </c>
    </row>
    <row r="674" spans="1:10" ht="13">
      <c r="A674" s="27"/>
      <c r="B674" s="110"/>
      <c r="D674" s="409"/>
      <c r="E674" s="13" t="s">
        <v>105</v>
      </c>
      <c r="F674" s="14"/>
      <c r="G674" s="410" t="s">
        <v>375</v>
      </c>
      <c r="H674" s="411">
        <v>0.14699999999999999</v>
      </c>
      <c r="I674" s="412">
        <f>'BAHAN '!G867</f>
        <v>0</v>
      </c>
      <c r="J674" s="16">
        <f>H674*I674</f>
        <v>0</v>
      </c>
    </row>
    <row r="675" spans="1:10" ht="13.5" thickBot="1">
      <c r="A675" s="27"/>
      <c r="B675" s="110"/>
      <c r="D675" s="409"/>
      <c r="E675" s="13" t="s">
        <v>101</v>
      </c>
      <c r="F675" s="14"/>
      <c r="G675" s="410" t="s">
        <v>375</v>
      </c>
      <c r="H675" s="411">
        <v>0.49199999999999999</v>
      </c>
      <c r="I675" s="412">
        <f>'BAHAN '!G59</f>
        <v>0</v>
      </c>
      <c r="J675" s="16">
        <f>H675*I675</f>
        <v>0</v>
      </c>
    </row>
    <row r="676" spans="1:10" ht="13.5" thickBot="1">
      <c r="A676" s="27"/>
      <c r="B676" s="110"/>
      <c r="D676" s="417"/>
      <c r="E676" s="418"/>
      <c r="F676" s="418"/>
      <c r="G676" s="419"/>
      <c r="H676" s="420" t="s">
        <v>64</v>
      </c>
      <c r="I676" s="421"/>
      <c r="J676" s="396">
        <f>SUM(J672:J675)</f>
        <v>0</v>
      </c>
    </row>
    <row r="677" spans="1:10" ht="13.5" thickBot="1">
      <c r="A677" s="27"/>
      <c r="B677" s="110"/>
      <c r="D677" s="406" t="s">
        <v>65</v>
      </c>
      <c r="E677" s="13" t="s">
        <v>66</v>
      </c>
      <c r="F677" s="14"/>
      <c r="G677" s="15"/>
      <c r="H677" s="451"/>
      <c r="I677" s="412">
        <f>IF(AND(E677&lt;&gt;"",G677&lt;&gt;""),IF(D677="",IF(G677="OH",VLOOKUP(E677,UPAH!$C$4:$H$31,7,0),VLOOKUP(E677,#REF!,4,0)),0),0)</f>
        <v>0</v>
      </c>
      <c r="J677" s="16">
        <f>H677*I677</f>
        <v>0</v>
      </c>
    </row>
    <row r="678" spans="1:10" ht="13.5" thickBot="1">
      <c r="A678" s="27"/>
      <c r="B678" s="110"/>
      <c r="D678" s="417"/>
      <c r="E678" s="418"/>
      <c r="F678" s="418"/>
      <c r="G678" s="419"/>
      <c r="H678" s="420" t="s">
        <v>67</v>
      </c>
      <c r="I678" s="421"/>
      <c r="J678" s="396">
        <f>J677</f>
        <v>0</v>
      </c>
    </row>
    <row r="679" spans="1:10" ht="13">
      <c r="A679" s="27"/>
      <c r="B679" s="110"/>
      <c r="D679" s="444" t="s">
        <v>68</v>
      </c>
      <c r="E679" s="445" t="s">
        <v>69</v>
      </c>
      <c r="F679" s="446"/>
      <c r="G679" s="447"/>
      <c r="H679" s="448"/>
      <c r="I679" s="449">
        <f>IF(AND(E679&lt;&gt;"",G679&lt;&gt;""),IF(D679="",IF(G679="OH",VLOOKUP(E679,UPAH!$C$4:$H$31,7,0),VLOOKUP(E679,#REF!,4,0)),0),0)</f>
        <v>0</v>
      </c>
      <c r="J679" s="16">
        <f>SUM(J665:J678)/2</f>
        <v>0</v>
      </c>
    </row>
    <row r="680" spans="1:10" ht="13.5" thickBot="1">
      <c r="A680" s="27"/>
      <c r="B680" s="110"/>
      <c r="D680" s="431" t="s">
        <v>70</v>
      </c>
      <c r="E680" s="432" t="s">
        <v>477</v>
      </c>
      <c r="F680" s="433"/>
      <c r="G680" s="434"/>
      <c r="H680" s="22">
        <v>0.1</v>
      </c>
      <c r="I680" s="436"/>
      <c r="J680" s="430">
        <f>H680*J679</f>
        <v>0</v>
      </c>
    </row>
    <row r="681" spans="1:10" ht="13.5" thickBot="1">
      <c r="A681" s="27"/>
      <c r="B681" s="110"/>
      <c r="D681" s="401" t="s">
        <v>71</v>
      </c>
      <c r="E681" s="402" t="s">
        <v>72</v>
      </c>
      <c r="F681" s="418"/>
      <c r="G681" s="419"/>
      <c r="H681" s="442"/>
      <c r="I681" s="421">
        <f>IF(AND(E681&lt;&gt;"",G681&lt;&gt;""),IF(D681="",IF(G681="OH",VLOOKUP(E681,UPAH!$C$4:$H$31,7,0),VLOOKUP(E681,#REF!,4,0)),0),0)</f>
        <v>0</v>
      </c>
      <c r="J681" s="396">
        <f>ROUNDDOWN(J679+J680,0)</f>
        <v>0</v>
      </c>
    </row>
    <row r="682" spans="1:10" ht="13">
      <c r="A682" s="27"/>
      <c r="B682" s="110"/>
      <c r="D682" s="11"/>
      <c r="E682" s="11"/>
      <c r="H682" s="443"/>
    </row>
    <row r="683" spans="1:10" ht="13.5" thickBot="1">
      <c r="A683" s="27"/>
      <c r="B683" s="110"/>
      <c r="C683" s="11" t="s">
        <v>589</v>
      </c>
      <c r="D683" s="10" t="s">
        <v>590</v>
      </c>
      <c r="H683" s="443"/>
    </row>
    <row r="684" spans="1:10" ht="13.5" thickBot="1">
      <c r="A684" s="27"/>
      <c r="B684" s="110"/>
      <c r="D684" s="401" t="s">
        <v>40</v>
      </c>
      <c r="E684" s="402" t="s">
        <v>41</v>
      </c>
      <c r="F684" s="402" t="s">
        <v>42</v>
      </c>
      <c r="G684" s="403" t="s">
        <v>43</v>
      </c>
      <c r="H684" s="404" t="s">
        <v>44</v>
      </c>
      <c r="I684" s="402" t="s">
        <v>474</v>
      </c>
      <c r="J684" s="405" t="s">
        <v>475</v>
      </c>
    </row>
    <row r="685" spans="1:10" ht="13">
      <c r="A685" s="27"/>
      <c r="B685" s="110"/>
      <c r="D685" s="406" t="s">
        <v>45</v>
      </c>
      <c r="E685" s="13" t="s">
        <v>46</v>
      </c>
      <c r="F685" s="14"/>
      <c r="G685" s="15"/>
      <c r="H685" s="451"/>
      <c r="I685" s="412"/>
      <c r="J685" s="16"/>
    </row>
    <row r="686" spans="1:10" ht="13">
      <c r="A686" s="27"/>
      <c r="B686" s="110"/>
      <c r="D686" s="409"/>
      <c r="E686" s="13" t="s">
        <v>47</v>
      </c>
      <c r="F686" s="13" t="s">
        <v>1918</v>
      </c>
      <c r="G686" s="410" t="s">
        <v>48</v>
      </c>
      <c r="H686" s="411">
        <v>1.5</v>
      </c>
      <c r="I686" s="412">
        <f>IF(AND(E686&lt;&gt;"",G686&lt;&gt;""),IF(D686="",IF(G686="OH",VLOOKUP(F686,UPAH!$B$4:$H$101,7,0),VLOOKUP(F686,#REF!,4,0)),0),0)</f>
        <v>0</v>
      </c>
      <c r="J686" s="16">
        <f>H686*I686</f>
        <v>0</v>
      </c>
    </row>
    <row r="687" spans="1:10" ht="13">
      <c r="A687" s="27"/>
      <c r="B687" s="110"/>
      <c r="D687" s="409"/>
      <c r="E687" s="13" t="s">
        <v>115</v>
      </c>
      <c r="F687" s="13" t="s">
        <v>1921</v>
      </c>
      <c r="G687" s="410" t="s">
        <v>48</v>
      </c>
      <c r="H687" s="411">
        <v>0.75</v>
      </c>
      <c r="I687" s="412">
        <f>IF(AND(E687&lt;&gt;"",G687&lt;&gt;""),IF(D687="",IF(G687="OH",VLOOKUP(F687,UPAH!$B$4:$H$101,7,0),VLOOKUP(F687,#REF!,4,0)),0),0)</f>
        <v>0</v>
      </c>
      <c r="J687" s="16">
        <f>H687*I687</f>
        <v>0</v>
      </c>
    </row>
    <row r="688" spans="1:10" ht="13">
      <c r="A688" s="27"/>
      <c r="B688" s="110"/>
      <c r="D688" s="409"/>
      <c r="E688" s="13" t="s">
        <v>97</v>
      </c>
      <c r="F688" s="13" t="s">
        <v>1928</v>
      </c>
      <c r="G688" s="410" t="s">
        <v>48</v>
      </c>
      <c r="H688" s="411">
        <v>7.4999999999999997E-2</v>
      </c>
      <c r="I688" s="412">
        <f>IF(AND(E688&lt;&gt;"",G688&lt;&gt;""),IF(D688="",IF(G688="OH",VLOOKUP(F688,UPAH!$B$4:$H$101,7,0),VLOOKUP(F688,#REF!,4,0)),0),0)</f>
        <v>0</v>
      </c>
      <c r="J688" s="16">
        <f>H688*I688</f>
        <v>0</v>
      </c>
    </row>
    <row r="689" spans="1:10" ht="13.5" thickBot="1">
      <c r="A689" s="27"/>
      <c r="B689" s="110"/>
      <c r="D689" s="409"/>
      <c r="E689" s="13" t="s">
        <v>51</v>
      </c>
      <c r="F689" s="414" t="s">
        <v>1929</v>
      </c>
      <c r="G689" s="410" t="s">
        <v>48</v>
      </c>
      <c r="H689" s="411">
        <v>7.4999999999999997E-2</v>
      </c>
      <c r="I689" s="412">
        <f>IF(AND(E689&lt;&gt;"",G689&lt;&gt;""),IF(D689="",IF(G689="OH",VLOOKUP(F689,UPAH!$B$4:$H$101,7,0),VLOOKUP(F689,#REF!,4,0)),0),0)</f>
        <v>0</v>
      </c>
      <c r="J689" s="16">
        <f>H689*I689</f>
        <v>0</v>
      </c>
    </row>
    <row r="690" spans="1:10" ht="13.5" thickBot="1">
      <c r="A690" s="27"/>
      <c r="B690" s="110"/>
      <c r="D690" s="417"/>
      <c r="E690" s="418"/>
      <c r="F690" s="418"/>
      <c r="G690" s="419"/>
      <c r="H690" s="420" t="s">
        <v>52</v>
      </c>
      <c r="I690" s="421"/>
      <c r="J690" s="396">
        <f>SUM(J686:J689)</f>
        <v>0</v>
      </c>
    </row>
    <row r="691" spans="1:10" ht="13">
      <c r="A691" s="27"/>
      <c r="B691" s="110"/>
      <c r="D691" s="406" t="s">
        <v>53</v>
      </c>
      <c r="E691" s="13" t="s">
        <v>54</v>
      </c>
      <c r="F691" s="14"/>
      <c r="G691" s="15"/>
      <c r="H691" s="451"/>
      <c r="I691" s="412"/>
      <c r="J691" s="16"/>
    </row>
    <row r="692" spans="1:10" ht="13">
      <c r="A692" s="27"/>
      <c r="B692" s="110"/>
      <c r="D692" s="409"/>
      <c r="E692" s="13" t="s">
        <v>94</v>
      </c>
      <c r="F692" s="14"/>
      <c r="G692" s="410" t="s">
        <v>375</v>
      </c>
      <c r="H692" s="411">
        <v>1.2</v>
      </c>
      <c r="I692" s="412">
        <f>'BAHAN '!G21</f>
        <v>0</v>
      </c>
      <c r="J692" s="16">
        <f>H692*I692</f>
        <v>0</v>
      </c>
    </row>
    <row r="693" spans="1:10" ht="13">
      <c r="A693" s="27"/>
      <c r="B693" s="110"/>
      <c r="D693" s="409"/>
      <c r="E693" s="13" t="s">
        <v>56</v>
      </c>
      <c r="F693" s="14"/>
      <c r="G693" s="410" t="s">
        <v>57</v>
      </c>
      <c r="H693" s="411">
        <v>41</v>
      </c>
      <c r="I693" s="412">
        <f>'BAHAN '!G72</f>
        <v>0</v>
      </c>
      <c r="J693" s="16">
        <f>H693*I693</f>
        <v>0</v>
      </c>
    </row>
    <row r="694" spans="1:10" ht="13">
      <c r="A694" s="27"/>
      <c r="B694" s="110"/>
      <c r="D694" s="409"/>
      <c r="E694" s="13" t="s">
        <v>105</v>
      </c>
      <c r="F694" s="14"/>
      <c r="G694" s="410" t="s">
        <v>375</v>
      </c>
      <c r="H694" s="411">
        <v>0.13100000000000001</v>
      </c>
      <c r="I694" s="412">
        <f>'BAHAN '!G867</f>
        <v>0</v>
      </c>
      <c r="J694" s="16">
        <f>H694*I694</f>
        <v>0</v>
      </c>
    </row>
    <row r="695" spans="1:10" ht="13.5" thickBot="1">
      <c r="A695" s="27"/>
      <c r="B695" s="110"/>
      <c r="D695" s="409"/>
      <c r="E695" s="13" t="s">
        <v>101</v>
      </c>
      <c r="F695" s="14"/>
      <c r="G695" s="410" t="s">
        <v>375</v>
      </c>
      <c r="H695" s="411">
        <v>0.52300000000000002</v>
      </c>
      <c r="I695" s="412">
        <f>'BAHAN '!G59</f>
        <v>0</v>
      </c>
      <c r="J695" s="16">
        <f>H695*I695</f>
        <v>0</v>
      </c>
    </row>
    <row r="696" spans="1:10" ht="13.5" thickBot="1">
      <c r="A696" s="27"/>
      <c r="B696" s="110"/>
      <c r="D696" s="417"/>
      <c r="E696" s="418"/>
      <c r="F696" s="418"/>
      <c r="G696" s="419"/>
      <c r="H696" s="420" t="s">
        <v>64</v>
      </c>
      <c r="I696" s="421"/>
      <c r="J696" s="396">
        <f>SUM(J692:J695)</f>
        <v>0</v>
      </c>
    </row>
    <row r="697" spans="1:10" ht="13.5" thickBot="1">
      <c r="A697" s="27"/>
      <c r="B697" s="110"/>
      <c r="D697" s="406" t="s">
        <v>65</v>
      </c>
      <c r="E697" s="13" t="s">
        <v>66</v>
      </c>
      <c r="F697" s="14"/>
      <c r="G697" s="15"/>
      <c r="H697" s="451"/>
      <c r="I697" s="412">
        <f>IF(AND(E697&lt;&gt;"",G697&lt;&gt;""),IF(D697="",IF(G697="OH",VLOOKUP(E697,UPAH!$C$4:$H$31,7,0),VLOOKUP(E697,#REF!,4,0)),0),0)</f>
        <v>0</v>
      </c>
      <c r="J697" s="16">
        <f>H697*I697</f>
        <v>0</v>
      </c>
    </row>
    <row r="698" spans="1:10" ht="13.5" thickBot="1">
      <c r="A698" s="27"/>
      <c r="B698" s="110"/>
      <c r="D698" s="417"/>
      <c r="E698" s="418"/>
      <c r="F698" s="418"/>
      <c r="G698" s="419"/>
      <c r="H698" s="420" t="s">
        <v>67</v>
      </c>
      <c r="I698" s="421"/>
      <c r="J698" s="396">
        <f>J697</f>
        <v>0</v>
      </c>
    </row>
    <row r="699" spans="1:10" ht="13">
      <c r="A699" s="27"/>
      <c r="B699" s="110"/>
      <c r="D699" s="444" t="s">
        <v>68</v>
      </c>
      <c r="E699" s="445" t="s">
        <v>69</v>
      </c>
      <c r="F699" s="446"/>
      <c r="G699" s="447"/>
      <c r="H699" s="448"/>
      <c r="I699" s="449">
        <f>IF(AND(E699&lt;&gt;"",G699&lt;&gt;""),IF(D699="",IF(G699="OH",VLOOKUP(E699,UPAH!$C$4:$H$31,7,0),VLOOKUP(E699,#REF!,4,0)),0),0)</f>
        <v>0</v>
      </c>
      <c r="J699" s="16">
        <f>SUM(J685:J698)/2</f>
        <v>0</v>
      </c>
    </row>
    <row r="700" spans="1:10" ht="13.5" thickBot="1">
      <c r="A700" s="27"/>
      <c r="B700" s="110"/>
      <c r="D700" s="431" t="s">
        <v>70</v>
      </c>
      <c r="E700" s="432" t="s">
        <v>477</v>
      </c>
      <c r="F700" s="433"/>
      <c r="G700" s="434"/>
      <c r="H700" s="22">
        <v>0.1</v>
      </c>
      <c r="I700" s="436"/>
      <c r="J700" s="430">
        <f>H700*J699</f>
        <v>0</v>
      </c>
    </row>
    <row r="701" spans="1:10" ht="13.5" thickBot="1">
      <c r="A701" s="27"/>
      <c r="B701" s="110"/>
      <c r="D701" s="401" t="s">
        <v>71</v>
      </c>
      <c r="E701" s="402" t="s">
        <v>72</v>
      </c>
      <c r="F701" s="418"/>
      <c r="G701" s="419"/>
      <c r="H701" s="442"/>
      <c r="I701" s="421">
        <f>IF(AND(E701&lt;&gt;"",G701&lt;&gt;""),IF(D701="",IF(G701="OH",VLOOKUP(E701,UPAH!$C$4:$H$31,7,0),VLOOKUP(E701,#REF!,4,0)),0),0)</f>
        <v>0</v>
      </c>
      <c r="J701" s="396">
        <f>ROUNDDOWN(J699+J700,0)</f>
        <v>0</v>
      </c>
    </row>
    <row r="702" spans="1:10" ht="13">
      <c r="A702" s="27"/>
      <c r="B702" s="110"/>
      <c r="D702" s="11"/>
      <c r="E702" s="11"/>
      <c r="H702" s="443"/>
    </row>
    <row r="703" spans="1:10" ht="13.5" thickBot="1">
      <c r="A703" s="27"/>
      <c r="B703" s="110"/>
      <c r="C703" s="11" t="s">
        <v>591</v>
      </c>
      <c r="D703" s="10" t="s">
        <v>592</v>
      </c>
      <c r="H703" s="443"/>
    </row>
    <row r="704" spans="1:10" ht="13.5" thickBot="1">
      <c r="A704" s="27"/>
      <c r="B704" s="110"/>
      <c r="D704" s="401" t="s">
        <v>40</v>
      </c>
      <c r="E704" s="402" t="s">
        <v>41</v>
      </c>
      <c r="F704" s="402" t="s">
        <v>42</v>
      </c>
      <c r="G704" s="403" t="s">
        <v>43</v>
      </c>
      <c r="H704" s="404" t="s">
        <v>44</v>
      </c>
      <c r="I704" s="402" t="s">
        <v>474</v>
      </c>
      <c r="J704" s="405" t="s">
        <v>475</v>
      </c>
    </row>
    <row r="705" spans="1:10" ht="13">
      <c r="A705" s="27"/>
      <c r="B705" s="110"/>
      <c r="D705" s="406" t="s">
        <v>45</v>
      </c>
      <c r="E705" s="13" t="s">
        <v>46</v>
      </c>
      <c r="F705" s="14"/>
      <c r="G705" s="15"/>
      <c r="H705" s="451"/>
      <c r="I705" s="412"/>
      <c r="J705" s="16"/>
    </row>
    <row r="706" spans="1:10" ht="13">
      <c r="A706" s="27"/>
      <c r="B706" s="110"/>
      <c r="D706" s="409"/>
      <c r="E706" s="13" t="s">
        <v>47</v>
      </c>
      <c r="F706" s="13" t="s">
        <v>1918</v>
      </c>
      <c r="G706" s="410" t="s">
        <v>48</v>
      </c>
      <c r="H706" s="411">
        <v>0.78</v>
      </c>
      <c r="I706" s="412">
        <f>IF(AND(E706&lt;&gt;"",G706&lt;&gt;""),IF(D706="",IF(G706="OH",VLOOKUP(F706,UPAH!$B$4:$H$101,7,0),VLOOKUP(F706,#REF!,4,0)),0),0)</f>
        <v>0</v>
      </c>
      <c r="J706" s="16">
        <f>H706*I706</f>
        <v>0</v>
      </c>
    </row>
    <row r="707" spans="1:10" ht="13">
      <c r="A707" s="27"/>
      <c r="B707" s="110"/>
      <c r="D707" s="409"/>
      <c r="E707" s="13" t="s">
        <v>115</v>
      </c>
      <c r="F707" s="13" t="s">
        <v>1921</v>
      </c>
      <c r="G707" s="410" t="s">
        <v>48</v>
      </c>
      <c r="H707" s="411">
        <v>0.39</v>
      </c>
      <c r="I707" s="412">
        <f>IF(AND(E707&lt;&gt;"",G707&lt;&gt;""),IF(D707="",IF(G707="OH",VLOOKUP(F707,UPAH!$B$4:$H$101,7,0),VLOOKUP(F707,#REF!,4,0)),0),0)</f>
        <v>0</v>
      </c>
      <c r="J707" s="16">
        <f>H707*I707</f>
        <v>0</v>
      </c>
    </row>
    <row r="708" spans="1:10" ht="13">
      <c r="A708" s="27"/>
      <c r="B708" s="110"/>
      <c r="D708" s="409"/>
      <c r="E708" s="13" t="s">
        <v>97</v>
      </c>
      <c r="F708" s="13" t="s">
        <v>1928</v>
      </c>
      <c r="G708" s="410" t="s">
        <v>48</v>
      </c>
      <c r="H708" s="411">
        <v>3.9E-2</v>
      </c>
      <c r="I708" s="412">
        <f>IF(AND(E708&lt;&gt;"",G708&lt;&gt;""),IF(D708="",IF(G708="OH",VLOOKUP(F708,UPAH!$B$4:$H$101,7,0),VLOOKUP(F708,#REF!,4,0)),0),0)</f>
        <v>0</v>
      </c>
      <c r="J708" s="16">
        <f>H708*I708</f>
        <v>0</v>
      </c>
    </row>
    <row r="709" spans="1:10" ht="13.5" thickBot="1">
      <c r="A709" s="27"/>
      <c r="B709" s="110"/>
      <c r="D709" s="409"/>
      <c r="E709" s="13" t="s">
        <v>51</v>
      </c>
      <c r="F709" s="414" t="s">
        <v>1929</v>
      </c>
      <c r="G709" s="410" t="s">
        <v>48</v>
      </c>
      <c r="H709" s="411">
        <v>3.9E-2</v>
      </c>
      <c r="I709" s="412">
        <f>IF(AND(E709&lt;&gt;"",G709&lt;&gt;""),IF(D709="",IF(G709="OH",VLOOKUP(F709,UPAH!$B$4:$H$101,7,0),VLOOKUP(F709,#REF!,4,0)),0),0)</f>
        <v>0</v>
      </c>
      <c r="J709" s="16">
        <f>H709*I709</f>
        <v>0</v>
      </c>
    </row>
    <row r="710" spans="1:10" ht="13.5" thickBot="1">
      <c r="A710" s="27"/>
      <c r="B710" s="110"/>
      <c r="D710" s="417"/>
      <c r="E710" s="418"/>
      <c r="F710" s="418"/>
      <c r="G710" s="419"/>
      <c r="H710" s="420" t="s">
        <v>52</v>
      </c>
      <c r="I710" s="421"/>
      <c r="J710" s="396">
        <f>SUM(J706:J709)</f>
        <v>0</v>
      </c>
    </row>
    <row r="711" spans="1:10" ht="13">
      <c r="A711" s="27"/>
      <c r="B711" s="110"/>
      <c r="D711" s="406" t="s">
        <v>53</v>
      </c>
      <c r="E711" s="13" t="s">
        <v>54</v>
      </c>
      <c r="F711" s="14"/>
      <c r="G711" s="15"/>
      <c r="H711" s="451"/>
      <c r="I711" s="412"/>
      <c r="J711" s="16"/>
    </row>
    <row r="712" spans="1:10" ht="13">
      <c r="A712" s="27"/>
      <c r="B712" s="110"/>
      <c r="D712" s="409"/>
      <c r="E712" s="13" t="s">
        <v>94</v>
      </c>
      <c r="F712" s="14"/>
      <c r="G712" s="410" t="s">
        <v>375</v>
      </c>
      <c r="H712" s="411">
        <v>1</v>
      </c>
      <c r="I712" s="412">
        <f>'BAHAN '!G21</f>
        <v>0</v>
      </c>
      <c r="J712" s="16">
        <f>H712*I712</f>
        <v>0</v>
      </c>
    </row>
    <row r="713" spans="1:10" ht="13.5" thickBot="1">
      <c r="A713" s="27"/>
      <c r="B713" s="110"/>
      <c r="D713" s="409"/>
      <c r="E713" s="13" t="s">
        <v>100</v>
      </c>
      <c r="F713" s="14"/>
      <c r="G713" s="410" t="s">
        <v>375</v>
      </c>
      <c r="H713" s="411">
        <v>0.432</v>
      </c>
      <c r="I713" s="412">
        <f>'BAHAN '!G58</f>
        <v>0</v>
      </c>
      <c r="J713" s="16">
        <f>H713*I713</f>
        <v>0</v>
      </c>
    </row>
    <row r="714" spans="1:10" ht="13.5" thickBot="1">
      <c r="A714" s="27"/>
      <c r="B714" s="110"/>
      <c r="D714" s="417"/>
      <c r="E714" s="418"/>
      <c r="F714" s="418"/>
      <c r="G714" s="419"/>
      <c r="H714" s="420" t="s">
        <v>64</v>
      </c>
      <c r="I714" s="421"/>
      <c r="J714" s="396">
        <f>SUM(J712:J713)</f>
        <v>0</v>
      </c>
    </row>
    <row r="715" spans="1:10" ht="13.5" thickBot="1">
      <c r="A715" s="27"/>
      <c r="B715" s="110"/>
      <c r="D715" s="406" t="s">
        <v>65</v>
      </c>
      <c r="E715" s="13" t="s">
        <v>66</v>
      </c>
      <c r="F715" s="14"/>
      <c r="G715" s="15"/>
      <c r="H715" s="451"/>
      <c r="I715" s="412">
        <f>IF(AND(E715&lt;&gt;"",G715&lt;&gt;""),IF(D715="",IF(G715="OH",VLOOKUP(E715,UPAH!$C$4:$H$31,7,0),VLOOKUP(E715,#REF!,4,0)),0),0)</f>
        <v>0</v>
      </c>
      <c r="J715" s="16">
        <f>H715*I715</f>
        <v>0</v>
      </c>
    </row>
    <row r="716" spans="1:10" ht="13.5" thickBot="1">
      <c r="A716" s="27"/>
      <c r="B716" s="110"/>
      <c r="D716" s="417"/>
      <c r="E716" s="418"/>
      <c r="F716" s="418"/>
      <c r="G716" s="419"/>
      <c r="H716" s="420" t="s">
        <v>67</v>
      </c>
      <c r="I716" s="421"/>
      <c r="J716" s="396">
        <f>J715</f>
        <v>0</v>
      </c>
    </row>
    <row r="717" spans="1:10" ht="13">
      <c r="A717" s="27"/>
      <c r="B717" s="110"/>
      <c r="D717" s="444" t="s">
        <v>68</v>
      </c>
      <c r="E717" s="445" t="s">
        <v>69</v>
      </c>
      <c r="F717" s="446"/>
      <c r="G717" s="447"/>
      <c r="H717" s="448"/>
      <c r="I717" s="449">
        <f>IF(AND(E717&lt;&gt;"",G717&lt;&gt;""),IF(D717="",IF(G717="OH",VLOOKUP(E717,UPAH!$C$4:$H$31,7,0),VLOOKUP(E717,#REF!,4,0)),0),0)</f>
        <v>0</v>
      </c>
      <c r="J717" s="16">
        <f>SUM(J706:J716)/2</f>
        <v>0</v>
      </c>
    </row>
    <row r="718" spans="1:10" ht="13.5" thickBot="1">
      <c r="A718" s="27"/>
      <c r="B718" s="110"/>
      <c r="D718" s="431" t="s">
        <v>70</v>
      </c>
      <c r="E718" s="432" t="s">
        <v>477</v>
      </c>
      <c r="F718" s="433"/>
      <c r="G718" s="434"/>
      <c r="H718" s="22">
        <v>0.1</v>
      </c>
      <c r="I718" s="436"/>
      <c r="J718" s="430">
        <f>H718*J717</f>
        <v>0</v>
      </c>
    </row>
    <row r="719" spans="1:10" ht="13.5" thickBot="1">
      <c r="A719" s="27"/>
      <c r="B719" s="110"/>
      <c r="D719" s="401" t="s">
        <v>71</v>
      </c>
      <c r="E719" s="402" t="s">
        <v>72</v>
      </c>
      <c r="F719" s="418"/>
      <c r="G719" s="419"/>
      <c r="H719" s="442"/>
      <c r="I719" s="421">
        <f>IF(AND(E719&lt;&gt;"",G719&lt;&gt;""),IF(D719="",IF(G719="OH",VLOOKUP(E719,UPAH!$C$4:$H$31,7,0),VLOOKUP(E719,#REF!,4,0)),0),0)</f>
        <v>0</v>
      </c>
      <c r="J719" s="396">
        <f>ROUNDDOWN(J717+J718,0)</f>
        <v>0</v>
      </c>
    </row>
    <row r="720" spans="1:10" ht="13">
      <c r="A720" s="27"/>
      <c r="B720" s="110"/>
      <c r="D720" s="11"/>
      <c r="E720" s="11"/>
      <c r="H720" s="443"/>
    </row>
    <row r="721" spans="1:10" ht="13.5" thickBot="1">
      <c r="A721" s="27"/>
      <c r="B721" s="110"/>
      <c r="C721" s="10" t="s">
        <v>593</v>
      </c>
      <c r="D721" s="11" t="s">
        <v>594</v>
      </c>
      <c r="H721" s="443"/>
    </row>
    <row r="722" spans="1:10" ht="13.5" thickBot="1">
      <c r="A722" s="27"/>
      <c r="B722" s="110"/>
      <c r="D722" s="401" t="s">
        <v>40</v>
      </c>
      <c r="E722" s="402" t="s">
        <v>41</v>
      </c>
      <c r="F722" s="402" t="s">
        <v>42</v>
      </c>
      <c r="G722" s="403" t="s">
        <v>43</v>
      </c>
      <c r="H722" s="404" t="s">
        <v>44</v>
      </c>
      <c r="I722" s="402" t="s">
        <v>474</v>
      </c>
      <c r="J722" s="405" t="s">
        <v>475</v>
      </c>
    </row>
    <row r="723" spans="1:10" ht="13">
      <c r="A723" s="27"/>
      <c r="B723" s="110"/>
      <c r="D723" s="406" t="s">
        <v>45</v>
      </c>
      <c r="E723" s="13" t="s">
        <v>46</v>
      </c>
      <c r="F723" s="14"/>
      <c r="G723" s="15"/>
      <c r="H723" s="451"/>
      <c r="I723" s="412"/>
      <c r="J723" s="16"/>
    </row>
    <row r="724" spans="1:10" ht="13">
      <c r="A724" s="27"/>
      <c r="B724" s="110"/>
      <c r="D724" s="409"/>
      <c r="E724" s="13" t="s">
        <v>47</v>
      </c>
      <c r="F724" s="13" t="s">
        <v>1918</v>
      </c>
      <c r="G724" s="410" t="s">
        <v>48</v>
      </c>
      <c r="H724" s="411">
        <v>3.4</v>
      </c>
      <c r="I724" s="412">
        <f>IF(AND(E724&lt;&gt;"",G724&lt;&gt;""),IF(D724="",IF(G724="OH",VLOOKUP(F724,UPAH!$B$4:$H$101,7,0),VLOOKUP(F724,#REF!,4,0)),0),0)</f>
        <v>0</v>
      </c>
      <c r="J724" s="16">
        <f>H724*I724</f>
        <v>0</v>
      </c>
    </row>
    <row r="725" spans="1:10" ht="13">
      <c r="A725" s="27"/>
      <c r="B725" s="110"/>
      <c r="D725" s="409"/>
      <c r="E725" s="13" t="s">
        <v>115</v>
      </c>
      <c r="F725" s="13" t="s">
        <v>1921</v>
      </c>
      <c r="G725" s="410" t="s">
        <v>48</v>
      </c>
      <c r="H725" s="411">
        <v>0.85</v>
      </c>
      <c r="I725" s="412">
        <f>IF(AND(E725&lt;&gt;"",G725&lt;&gt;""),IF(D725="",IF(G725="OH",VLOOKUP(F725,UPAH!$B$4:$H$101,7,0),VLOOKUP(F725,#REF!,4,0)),0),0)</f>
        <v>0</v>
      </c>
      <c r="J725" s="16">
        <f>H725*I725</f>
        <v>0</v>
      </c>
    </row>
    <row r="726" spans="1:10" ht="13">
      <c r="A726" s="27"/>
      <c r="B726" s="110"/>
      <c r="D726" s="409"/>
      <c r="E726" s="13" t="s">
        <v>97</v>
      </c>
      <c r="F726" s="13" t="s">
        <v>1928</v>
      </c>
      <c r="G726" s="410" t="s">
        <v>48</v>
      </c>
      <c r="H726" s="411">
        <v>8.5000000000000006E-2</v>
      </c>
      <c r="I726" s="412">
        <f>IF(AND(E726&lt;&gt;"",G726&lt;&gt;""),IF(D726="",IF(G726="OH",VLOOKUP(F726,UPAH!$B$4:$H$101,7,0),VLOOKUP(F726,#REF!,4,0)),0),0)</f>
        <v>0</v>
      </c>
      <c r="J726" s="16">
        <f>H726*I726</f>
        <v>0</v>
      </c>
    </row>
    <row r="727" spans="1:10" ht="13.5" thickBot="1">
      <c r="A727" s="27"/>
      <c r="B727" s="110"/>
      <c r="D727" s="409"/>
      <c r="E727" s="13" t="s">
        <v>51</v>
      </c>
      <c r="F727" s="414" t="s">
        <v>1929</v>
      </c>
      <c r="G727" s="410" t="s">
        <v>48</v>
      </c>
      <c r="H727" s="411">
        <v>0.17</v>
      </c>
      <c r="I727" s="412">
        <f>IF(AND(E727&lt;&gt;"",G727&lt;&gt;""),IF(D727="",IF(G727="OH",VLOOKUP(F727,UPAH!$B$4:$H$101,7,0),VLOOKUP(F727,#REF!,4,0)),0),0)</f>
        <v>0</v>
      </c>
      <c r="J727" s="16">
        <f>H727*I727</f>
        <v>0</v>
      </c>
    </row>
    <row r="728" spans="1:10" ht="13.5" thickBot="1">
      <c r="A728" s="27"/>
      <c r="B728" s="110"/>
      <c r="D728" s="417"/>
      <c r="E728" s="418"/>
      <c r="F728" s="418"/>
      <c r="G728" s="419"/>
      <c r="H728" s="420" t="s">
        <v>52</v>
      </c>
      <c r="I728" s="421"/>
      <c r="J728" s="396">
        <f>SUM(J724:J727)</f>
        <v>0</v>
      </c>
    </row>
    <row r="729" spans="1:10" ht="13">
      <c r="A729" s="27"/>
      <c r="B729" s="110"/>
      <c r="D729" s="406" t="s">
        <v>53</v>
      </c>
      <c r="E729" s="13" t="s">
        <v>54</v>
      </c>
      <c r="F729" s="14"/>
      <c r="G729" s="15"/>
      <c r="H729" s="451"/>
      <c r="I729" s="412"/>
      <c r="J729" s="16"/>
    </row>
    <row r="730" spans="1:10" ht="13">
      <c r="A730" s="27"/>
      <c r="B730" s="110"/>
      <c r="D730" s="409"/>
      <c r="E730" s="13" t="s">
        <v>94</v>
      </c>
      <c r="F730" s="14"/>
      <c r="G730" s="410" t="s">
        <v>375</v>
      </c>
      <c r="H730" s="411">
        <v>0.48</v>
      </c>
      <c r="I730" s="412">
        <f>'BAHAN '!G21</f>
        <v>0</v>
      </c>
      <c r="J730" s="16">
        <f t="shared" ref="J730:J735" si="7">H730*I730</f>
        <v>0</v>
      </c>
    </row>
    <row r="731" spans="1:10" ht="13">
      <c r="A731" s="27"/>
      <c r="B731" s="110"/>
      <c r="D731" s="409"/>
      <c r="E731" s="13" t="s">
        <v>56</v>
      </c>
      <c r="F731" s="14"/>
      <c r="G731" s="410" t="s">
        <v>57</v>
      </c>
      <c r="H731" s="411">
        <v>194</v>
      </c>
      <c r="I731" s="412">
        <f>'BAHAN '!G72</f>
        <v>0</v>
      </c>
      <c r="J731" s="16">
        <f t="shared" si="7"/>
        <v>0</v>
      </c>
    </row>
    <row r="732" spans="1:10" ht="13">
      <c r="A732" s="27"/>
      <c r="B732" s="110"/>
      <c r="D732" s="409"/>
      <c r="E732" s="13" t="s">
        <v>126</v>
      </c>
      <c r="F732" s="14"/>
      <c r="G732" s="410" t="s">
        <v>375</v>
      </c>
      <c r="H732" s="411">
        <v>0.312</v>
      </c>
      <c r="I732" s="412">
        <f>'BAHAN '!G59</f>
        <v>0</v>
      </c>
      <c r="J732" s="16">
        <f t="shared" si="7"/>
        <v>0</v>
      </c>
    </row>
    <row r="733" spans="1:10" ht="13">
      <c r="A733" s="27"/>
      <c r="B733" s="110"/>
      <c r="D733" s="409"/>
      <c r="E733" s="13" t="s">
        <v>106</v>
      </c>
      <c r="F733" s="14"/>
      <c r="G733" s="410" t="s">
        <v>375</v>
      </c>
      <c r="H733" s="411">
        <v>0.46800000000000003</v>
      </c>
      <c r="I733" s="412">
        <f>'BAHAN '!G49</f>
        <v>0</v>
      </c>
      <c r="J733" s="16">
        <f t="shared" si="7"/>
        <v>0</v>
      </c>
    </row>
    <row r="734" spans="1:10" ht="13">
      <c r="A734" s="27"/>
      <c r="B734" s="110"/>
      <c r="D734" s="409"/>
      <c r="E734" s="13" t="s">
        <v>2884</v>
      </c>
      <c r="F734" s="14"/>
      <c r="G734" s="410" t="s">
        <v>57</v>
      </c>
      <c r="H734" s="411">
        <v>126</v>
      </c>
      <c r="I734" s="412">
        <f>'BAHAN '!G142</f>
        <v>0</v>
      </c>
      <c r="J734" s="16">
        <f t="shared" si="7"/>
        <v>0</v>
      </c>
    </row>
    <row r="735" spans="1:10" ht="13.5" thickBot="1">
      <c r="A735" s="27"/>
      <c r="B735" s="110"/>
      <c r="D735" s="409"/>
      <c r="E735" s="13" t="s">
        <v>107</v>
      </c>
      <c r="F735" s="14"/>
      <c r="G735" s="410" t="s">
        <v>57</v>
      </c>
      <c r="H735" s="411">
        <v>1.8</v>
      </c>
      <c r="I735" s="412">
        <f>'BAHAN '!G116</f>
        <v>0</v>
      </c>
      <c r="J735" s="16">
        <f t="shared" si="7"/>
        <v>0</v>
      </c>
    </row>
    <row r="736" spans="1:10" ht="13.5" thickBot="1">
      <c r="A736" s="27"/>
      <c r="B736" s="110"/>
      <c r="D736" s="417"/>
      <c r="E736" s="418"/>
      <c r="F736" s="418"/>
      <c r="G736" s="419"/>
      <c r="H736" s="420" t="s">
        <v>64</v>
      </c>
      <c r="I736" s="421"/>
      <c r="J736" s="396">
        <f>SUM(J730:J735)</f>
        <v>0</v>
      </c>
    </row>
    <row r="737" spans="1:10" ht="13.5" thickBot="1">
      <c r="A737" s="27"/>
      <c r="B737" s="110"/>
      <c r="D737" s="406" t="s">
        <v>65</v>
      </c>
      <c r="E737" s="13" t="s">
        <v>66</v>
      </c>
      <c r="F737" s="14"/>
      <c r="G737" s="15"/>
      <c r="H737" s="451"/>
      <c r="I737" s="412">
        <f>IF(AND(E737&lt;&gt;"",G737&lt;&gt;""),IF(D737="",IF(G737="OH",VLOOKUP(E737,UPAH!$C$4:$H$31,7,0),VLOOKUP(E737,#REF!,4,0)),0),0)</f>
        <v>0</v>
      </c>
      <c r="J737" s="16">
        <f>H737*I737</f>
        <v>0</v>
      </c>
    </row>
    <row r="738" spans="1:10" ht="13.5" thickBot="1">
      <c r="A738" s="27"/>
      <c r="B738" s="110"/>
      <c r="D738" s="417"/>
      <c r="E738" s="418"/>
      <c r="F738" s="418"/>
      <c r="G738" s="419"/>
      <c r="H738" s="420" t="s">
        <v>67</v>
      </c>
      <c r="I738" s="421"/>
      <c r="J738" s="396">
        <f>J737</f>
        <v>0</v>
      </c>
    </row>
    <row r="739" spans="1:10" ht="13">
      <c r="A739" s="27"/>
      <c r="B739" s="110"/>
      <c r="D739" s="444" t="s">
        <v>68</v>
      </c>
      <c r="E739" s="445" t="s">
        <v>69</v>
      </c>
      <c r="F739" s="446"/>
      <c r="G739" s="447"/>
      <c r="H739" s="448"/>
      <c r="I739" s="449">
        <f>IF(AND(E739&lt;&gt;"",G739&lt;&gt;""),IF(D739="",IF(G739="OH",VLOOKUP(E739,UPAH!$C$4:$H$31,7,0),VLOOKUP(E739,#REF!,4,0)),0),0)</f>
        <v>0</v>
      </c>
      <c r="J739" s="16">
        <f>SUM(J724:J738)/2</f>
        <v>0</v>
      </c>
    </row>
    <row r="740" spans="1:10" ht="13.5" thickBot="1">
      <c r="A740" s="27"/>
      <c r="B740" s="110"/>
      <c r="D740" s="431" t="s">
        <v>70</v>
      </c>
      <c r="E740" s="432" t="s">
        <v>477</v>
      </c>
      <c r="F740" s="433"/>
      <c r="G740" s="434"/>
      <c r="H740" s="22">
        <v>0.1</v>
      </c>
      <c r="I740" s="436"/>
      <c r="J740" s="430">
        <f>H740*J739</f>
        <v>0</v>
      </c>
    </row>
    <row r="741" spans="1:10" ht="13.5" thickBot="1">
      <c r="A741" s="27"/>
      <c r="B741" s="110"/>
      <c r="D741" s="401" t="s">
        <v>71</v>
      </c>
      <c r="E741" s="402" t="s">
        <v>72</v>
      </c>
      <c r="F741" s="418"/>
      <c r="G741" s="419"/>
      <c r="H741" s="442"/>
      <c r="I741" s="421">
        <f>IF(AND(E741&lt;&gt;"",G741&lt;&gt;""),IF(D741="",IF(G741="OH",VLOOKUP(E741,UPAH!$C$4:$H$31,7,0),VLOOKUP(E741,#REF!,4,0)),0),0)</f>
        <v>0</v>
      </c>
      <c r="J741" s="396">
        <f>ROUNDDOWN(J739+J740,0)</f>
        <v>0</v>
      </c>
    </row>
    <row r="742" spans="1:10" ht="13">
      <c r="A742" s="27"/>
      <c r="B742" s="110"/>
      <c r="D742" s="11"/>
      <c r="E742" s="11"/>
      <c r="H742" s="443"/>
    </row>
    <row r="743" spans="1:10" ht="13.5" thickBot="1">
      <c r="A743" s="27"/>
      <c r="B743" s="110"/>
      <c r="C743" s="11" t="s">
        <v>595</v>
      </c>
      <c r="D743" s="10" t="s">
        <v>596</v>
      </c>
      <c r="H743" s="443"/>
    </row>
    <row r="744" spans="1:10" ht="13.5" thickBot="1">
      <c r="A744" s="27"/>
      <c r="B744" s="110"/>
      <c r="D744" s="401" t="s">
        <v>40</v>
      </c>
      <c r="E744" s="402" t="s">
        <v>41</v>
      </c>
      <c r="F744" s="402" t="s">
        <v>42</v>
      </c>
      <c r="G744" s="403" t="s">
        <v>43</v>
      </c>
      <c r="H744" s="404" t="s">
        <v>44</v>
      </c>
      <c r="I744" s="402" t="s">
        <v>474</v>
      </c>
      <c r="J744" s="405" t="s">
        <v>475</v>
      </c>
    </row>
    <row r="745" spans="1:10" ht="13">
      <c r="A745" s="27"/>
      <c r="B745" s="110"/>
      <c r="D745" s="406" t="s">
        <v>45</v>
      </c>
      <c r="E745" s="13" t="s">
        <v>46</v>
      </c>
      <c r="F745" s="14"/>
      <c r="G745" s="15"/>
      <c r="H745" s="451"/>
      <c r="I745" s="412"/>
      <c r="J745" s="16"/>
    </row>
    <row r="746" spans="1:10" ht="13">
      <c r="A746" s="27"/>
      <c r="B746" s="110"/>
      <c r="D746" s="409"/>
      <c r="E746" s="13" t="s">
        <v>47</v>
      </c>
      <c r="F746" s="13" t="s">
        <v>1918</v>
      </c>
      <c r="G746" s="410" t="s">
        <v>48</v>
      </c>
      <c r="H746" s="411">
        <v>2.4</v>
      </c>
      <c r="I746" s="412">
        <f>IF(AND(E746&lt;&gt;"",G746&lt;&gt;""),IF(D746="",IF(G746="OH",VLOOKUP(F746,UPAH!$B$4:$H$101,7,0),VLOOKUP(F746,#REF!,4,0)),0),0)</f>
        <v>0</v>
      </c>
      <c r="J746" s="16">
        <f>H746*I746</f>
        <v>0</v>
      </c>
    </row>
    <row r="747" spans="1:10" ht="13">
      <c r="A747" s="27"/>
      <c r="B747" s="110"/>
      <c r="D747" s="409"/>
      <c r="E747" s="13" t="s">
        <v>115</v>
      </c>
      <c r="F747" s="13" t="s">
        <v>1921</v>
      </c>
      <c r="G747" s="410" t="s">
        <v>48</v>
      </c>
      <c r="H747" s="411">
        <v>0.8</v>
      </c>
      <c r="I747" s="412">
        <f>IF(AND(E747&lt;&gt;"",G747&lt;&gt;""),IF(D747="",IF(G747="OH",VLOOKUP(F747,UPAH!$B$4:$H$101,7,0),VLOOKUP(F747,#REF!,4,0)),0),0)</f>
        <v>0</v>
      </c>
      <c r="J747" s="16">
        <f>H747*I747</f>
        <v>0</v>
      </c>
    </row>
    <row r="748" spans="1:10" ht="13">
      <c r="A748" s="27"/>
      <c r="B748" s="110"/>
      <c r="D748" s="409"/>
      <c r="E748" s="13" t="s">
        <v>97</v>
      </c>
      <c r="F748" s="13" t="s">
        <v>1928</v>
      </c>
      <c r="G748" s="410" t="s">
        <v>48</v>
      </c>
      <c r="H748" s="411">
        <v>0.08</v>
      </c>
      <c r="I748" s="412">
        <f>IF(AND(E748&lt;&gt;"",G748&lt;&gt;""),IF(D748="",IF(G748="OH",VLOOKUP(F748,UPAH!$B$4:$H$101,7,0),VLOOKUP(F748,#REF!,4,0)),0),0)</f>
        <v>0</v>
      </c>
      <c r="J748" s="16">
        <f>H748*I748</f>
        <v>0</v>
      </c>
    </row>
    <row r="749" spans="1:10" ht="13.5" thickBot="1">
      <c r="A749" s="27"/>
      <c r="B749" s="110"/>
      <c r="D749" s="409"/>
      <c r="E749" s="13" t="s">
        <v>51</v>
      </c>
      <c r="F749" s="414" t="s">
        <v>1929</v>
      </c>
      <c r="G749" s="410" t="s">
        <v>48</v>
      </c>
      <c r="H749" s="411">
        <v>0.11899999999999999</v>
      </c>
      <c r="I749" s="412">
        <f>IF(AND(E749&lt;&gt;"",G749&lt;&gt;""),IF(D749="",IF(G749="OH",VLOOKUP(F749,UPAH!$B$4:$H$101,7,0),VLOOKUP(F749,#REF!,4,0)),0),0)</f>
        <v>0</v>
      </c>
      <c r="J749" s="16">
        <f>H749*I749</f>
        <v>0</v>
      </c>
    </row>
    <row r="750" spans="1:10" ht="13.5" thickBot="1">
      <c r="A750" s="27"/>
      <c r="B750" s="110"/>
      <c r="D750" s="417"/>
      <c r="E750" s="418"/>
      <c r="F750" s="418"/>
      <c r="G750" s="419"/>
      <c r="H750" s="420" t="s">
        <v>52</v>
      </c>
      <c r="I750" s="421"/>
      <c r="J750" s="396">
        <f>SUM(J746:J749)</f>
        <v>0</v>
      </c>
    </row>
    <row r="751" spans="1:10" ht="13">
      <c r="A751" s="27"/>
      <c r="B751" s="110"/>
      <c r="D751" s="406" t="s">
        <v>53</v>
      </c>
      <c r="E751" s="13" t="s">
        <v>54</v>
      </c>
      <c r="F751" s="14"/>
      <c r="G751" s="15"/>
      <c r="H751" s="451"/>
      <c r="I751" s="412"/>
      <c r="J751" s="16"/>
    </row>
    <row r="752" spans="1:10" ht="13">
      <c r="A752" s="27"/>
      <c r="B752" s="110"/>
      <c r="D752" s="409"/>
      <c r="E752" s="13" t="s">
        <v>94</v>
      </c>
      <c r="F752" s="14"/>
      <c r="G752" s="410" t="s">
        <v>375</v>
      </c>
      <c r="H752" s="411">
        <v>0.45</v>
      </c>
      <c r="I752" s="412">
        <f>'BAHAN '!G21</f>
        <v>0</v>
      </c>
      <c r="J752" s="16">
        <f>H752*I752</f>
        <v>0</v>
      </c>
    </row>
    <row r="753" spans="1:10" ht="13">
      <c r="A753" s="27"/>
      <c r="B753" s="110"/>
      <c r="D753" s="409"/>
      <c r="E753" s="13" t="s">
        <v>56</v>
      </c>
      <c r="F753" s="14"/>
      <c r="G753" s="410" t="s">
        <v>57</v>
      </c>
      <c r="H753" s="411">
        <v>194</v>
      </c>
      <c r="I753" s="412">
        <f>'BAHAN '!G72</f>
        <v>0</v>
      </c>
      <c r="J753" s="16">
        <f>H753*I753</f>
        <v>0</v>
      </c>
    </row>
    <row r="754" spans="1:10" ht="13">
      <c r="A754" s="27"/>
      <c r="B754" s="110"/>
      <c r="D754" s="409"/>
      <c r="E754" s="13" t="s">
        <v>126</v>
      </c>
      <c r="F754" s="14"/>
      <c r="G754" s="410" t="s">
        <v>375</v>
      </c>
      <c r="H754" s="411">
        <v>0.312</v>
      </c>
      <c r="I754" s="412">
        <f>'BAHAN '!G59</f>
        <v>0</v>
      </c>
      <c r="J754" s="16">
        <f>H754*I754</f>
        <v>0</v>
      </c>
    </row>
    <row r="755" spans="1:10" ht="13.5" thickBot="1">
      <c r="A755" s="27"/>
      <c r="B755" s="110"/>
      <c r="D755" s="409"/>
      <c r="E755" s="13" t="s">
        <v>106</v>
      </c>
      <c r="F755" s="14"/>
      <c r="G755" s="410" t="s">
        <v>375</v>
      </c>
      <c r="H755" s="411">
        <v>0.46800000000000003</v>
      </c>
      <c r="I755" s="412">
        <f>'BAHAN '!G49</f>
        <v>0</v>
      </c>
      <c r="J755" s="16">
        <f>H755*I755</f>
        <v>0</v>
      </c>
    </row>
    <row r="756" spans="1:10" ht="13.5" thickBot="1">
      <c r="A756" s="27"/>
      <c r="B756" s="110"/>
      <c r="D756" s="417"/>
      <c r="E756" s="418"/>
      <c r="F756" s="418"/>
      <c r="G756" s="419"/>
      <c r="H756" s="420" t="s">
        <v>64</v>
      </c>
      <c r="I756" s="421"/>
      <c r="J756" s="396">
        <f>SUM(J752:J755)</f>
        <v>0</v>
      </c>
    </row>
    <row r="757" spans="1:10" ht="13.5" thickBot="1">
      <c r="A757" s="27"/>
      <c r="B757" s="110"/>
      <c r="D757" s="406" t="s">
        <v>65</v>
      </c>
      <c r="E757" s="13" t="s">
        <v>66</v>
      </c>
      <c r="F757" s="14"/>
      <c r="G757" s="15"/>
      <c r="H757" s="451"/>
      <c r="I757" s="412">
        <f>IF(AND(E757&lt;&gt;"",G757&lt;&gt;""),IF(D757="",IF(G757="OH",VLOOKUP(E757,UPAH!$C$4:$H$31,7,0),VLOOKUP(E757,#REF!,4,0)),0),0)</f>
        <v>0</v>
      </c>
      <c r="J757" s="16">
        <f>H757*I757</f>
        <v>0</v>
      </c>
    </row>
    <row r="758" spans="1:10" ht="13.5" thickBot="1">
      <c r="A758" s="27"/>
      <c r="B758" s="110"/>
      <c r="D758" s="417"/>
      <c r="E758" s="418"/>
      <c r="F758" s="418"/>
      <c r="G758" s="419"/>
      <c r="H758" s="420" t="s">
        <v>67</v>
      </c>
      <c r="I758" s="421"/>
      <c r="J758" s="396">
        <f>J757</f>
        <v>0</v>
      </c>
    </row>
    <row r="759" spans="1:10" ht="13">
      <c r="A759" s="27"/>
      <c r="B759" s="110"/>
      <c r="D759" s="444" t="s">
        <v>68</v>
      </c>
      <c r="E759" s="445" t="s">
        <v>69</v>
      </c>
      <c r="F759" s="446"/>
      <c r="G759" s="447"/>
      <c r="H759" s="448"/>
      <c r="I759" s="449">
        <f>IF(AND(E759&lt;&gt;"",G759&lt;&gt;""),IF(D759="",IF(G759="OH",VLOOKUP(E759,UPAH!$C$4:$H$31,7,0),VLOOKUP(E759,#REF!,4,0)),0),0)</f>
        <v>0</v>
      </c>
      <c r="J759" s="16">
        <f>SUM(J745:J758)/2</f>
        <v>0</v>
      </c>
    </row>
    <row r="760" spans="1:10" ht="13.5" thickBot="1">
      <c r="A760" s="27"/>
      <c r="B760" s="110"/>
      <c r="D760" s="431" t="s">
        <v>70</v>
      </c>
      <c r="E760" s="432" t="s">
        <v>477</v>
      </c>
      <c r="F760" s="433"/>
      <c r="G760" s="434"/>
      <c r="H760" s="22">
        <v>0.1</v>
      </c>
      <c r="I760" s="436"/>
      <c r="J760" s="430">
        <f>H760*J759</f>
        <v>0</v>
      </c>
    </row>
    <row r="761" spans="1:10" ht="13.5" thickBot="1">
      <c r="A761" s="27"/>
      <c r="B761" s="110"/>
      <c r="D761" s="401" t="s">
        <v>71</v>
      </c>
      <c r="E761" s="402" t="s">
        <v>72</v>
      </c>
      <c r="F761" s="418"/>
      <c r="G761" s="419"/>
      <c r="H761" s="442"/>
      <c r="I761" s="421">
        <f>IF(AND(E761&lt;&gt;"",G761&lt;&gt;""),IF(D761="",IF(G761="OH",VLOOKUP(E761,UPAH!$C$4:$H$31,7,0),VLOOKUP(E761,#REF!,4,0)),0),0)</f>
        <v>0</v>
      </c>
      <c r="J761" s="396">
        <f>ROUNDDOWN(J759+J760,0)</f>
        <v>0</v>
      </c>
    </row>
    <row r="762" spans="1:10" ht="13">
      <c r="A762" s="27"/>
      <c r="B762" s="110"/>
      <c r="D762" s="11"/>
      <c r="E762" s="11"/>
      <c r="H762" s="443"/>
    </row>
    <row r="763" spans="1:10" ht="13.5" thickBot="1">
      <c r="A763" s="27"/>
      <c r="B763" s="110"/>
      <c r="C763" s="11" t="s">
        <v>3632</v>
      </c>
      <c r="D763" s="10" t="s">
        <v>3633</v>
      </c>
      <c r="H763" s="443"/>
    </row>
    <row r="764" spans="1:10" ht="13.5" thickBot="1">
      <c r="A764" s="27"/>
      <c r="B764" s="110"/>
      <c r="D764" s="401" t="s">
        <v>40</v>
      </c>
      <c r="E764" s="402" t="s">
        <v>41</v>
      </c>
      <c r="F764" s="402" t="s">
        <v>42</v>
      </c>
      <c r="G764" s="403" t="s">
        <v>43</v>
      </c>
      <c r="H764" s="404" t="s">
        <v>44</v>
      </c>
      <c r="I764" s="402" t="s">
        <v>474</v>
      </c>
      <c r="J764" s="405" t="s">
        <v>475</v>
      </c>
    </row>
    <row r="765" spans="1:10" ht="13">
      <c r="A765" s="27"/>
      <c r="B765" s="110"/>
      <c r="D765" s="406" t="s">
        <v>45</v>
      </c>
      <c r="E765" s="13" t="s">
        <v>46</v>
      </c>
      <c r="F765" s="14"/>
      <c r="G765" s="15"/>
      <c r="H765" s="451"/>
      <c r="I765" s="412"/>
      <c r="J765" s="16"/>
    </row>
    <row r="766" spans="1:10" ht="13">
      <c r="A766" s="27"/>
      <c r="B766" s="110"/>
      <c r="D766" s="409"/>
      <c r="E766" s="13" t="s">
        <v>47</v>
      </c>
      <c r="F766" s="13" t="s">
        <v>1918</v>
      </c>
      <c r="G766" s="410" t="s">
        <v>48</v>
      </c>
      <c r="H766" s="411"/>
      <c r="I766" s="412">
        <f>IF(AND(E766&lt;&gt;"",G766&lt;&gt;""),IF(D766="",IF(G766="OH",VLOOKUP(F766,UPAH!$B$4:$H$101,7,0),VLOOKUP(F766,#REF!,4,0)),0),0)</f>
        <v>0</v>
      </c>
      <c r="J766" s="16">
        <f>H766*I766</f>
        <v>0</v>
      </c>
    </row>
    <row r="767" spans="1:10" ht="13">
      <c r="A767" s="27"/>
      <c r="B767" s="110"/>
      <c r="D767" s="409"/>
      <c r="E767" s="13" t="s">
        <v>115</v>
      </c>
      <c r="F767" s="13" t="s">
        <v>1921</v>
      </c>
      <c r="G767" s="410" t="s">
        <v>48</v>
      </c>
      <c r="H767" s="411"/>
      <c r="I767" s="412">
        <f>IF(AND(E767&lt;&gt;"",G767&lt;&gt;""),IF(D767="",IF(G767="OH",VLOOKUP(F767,UPAH!$B$4:$H$101,7,0),VLOOKUP(F767,#REF!,4,0)),0),0)</f>
        <v>0</v>
      </c>
      <c r="J767" s="16">
        <f>H767*I767</f>
        <v>0</v>
      </c>
    </row>
    <row r="768" spans="1:10" ht="13">
      <c r="A768" s="27"/>
      <c r="B768" s="110"/>
      <c r="D768" s="409"/>
      <c r="E768" s="13" t="s">
        <v>97</v>
      </c>
      <c r="F768" s="13" t="s">
        <v>1928</v>
      </c>
      <c r="G768" s="410" t="s">
        <v>48</v>
      </c>
      <c r="H768" s="411"/>
      <c r="I768" s="412">
        <f>IF(AND(E768&lt;&gt;"",G768&lt;&gt;""),IF(D768="",IF(G768="OH",VLOOKUP(F768,UPAH!$B$4:$H$101,7,0),VLOOKUP(F768,#REF!,4,0)),0),0)</f>
        <v>0</v>
      </c>
      <c r="J768" s="16">
        <f>H768*I768</f>
        <v>0</v>
      </c>
    </row>
    <row r="769" spans="1:10" ht="13.5" thickBot="1">
      <c r="A769" s="27"/>
      <c r="B769" s="110"/>
      <c r="D769" s="409"/>
      <c r="E769" s="13" t="s">
        <v>51</v>
      </c>
      <c r="F769" s="414" t="s">
        <v>1929</v>
      </c>
      <c r="G769" s="410" t="s">
        <v>48</v>
      </c>
      <c r="H769" s="411"/>
      <c r="I769" s="412">
        <f>IF(AND(E769&lt;&gt;"",G769&lt;&gt;""),IF(D769="",IF(G769="OH",VLOOKUP(F769,UPAH!$B$4:$H$101,7,0),VLOOKUP(F769,#REF!,4,0)),0),0)</f>
        <v>0</v>
      </c>
      <c r="J769" s="16">
        <f>H769*I769</f>
        <v>0</v>
      </c>
    </row>
    <row r="770" spans="1:10" ht="13.5" thickBot="1">
      <c r="A770" s="27"/>
      <c r="B770" s="110"/>
      <c r="D770" s="417"/>
      <c r="E770" s="418"/>
      <c r="F770" s="418"/>
      <c r="G770" s="419"/>
      <c r="H770" s="420" t="s">
        <v>52</v>
      </c>
      <c r="I770" s="421"/>
      <c r="J770" s="396">
        <f>SUM(J766:J769)</f>
        <v>0</v>
      </c>
    </row>
    <row r="771" spans="1:10" ht="13">
      <c r="A771" s="27"/>
      <c r="B771" s="110"/>
      <c r="D771" s="406" t="s">
        <v>53</v>
      </c>
      <c r="E771" s="13" t="s">
        <v>54</v>
      </c>
      <c r="F771" s="14"/>
      <c r="G771" s="15"/>
      <c r="H771" s="451"/>
      <c r="I771" s="412"/>
      <c r="J771" s="16"/>
    </row>
    <row r="772" spans="1:10" ht="13.5" thickBot="1">
      <c r="A772" s="27"/>
      <c r="B772" s="110"/>
      <c r="D772" s="409"/>
      <c r="E772" s="13" t="s">
        <v>3634</v>
      </c>
      <c r="F772" s="13"/>
      <c r="G772" s="410" t="s">
        <v>2911</v>
      </c>
      <c r="H772" s="454">
        <v>1</v>
      </c>
      <c r="I772" s="412">
        <v>0</v>
      </c>
      <c r="J772" s="16">
        <f>H772*I772</f>
        <v>0</v>
      </c>
    </row>
    <row r="773" spans="1:10" ht="13.5" thickBot="1">
      <c r="A773" s="27"/>
      <c r="B773" s="110"/>
      <c r="D773" s="417"/>
      <c r="E773" s="418"/>
      <c r="F773" s="418"/>
      <c r="G773" s="419"/>
      <c r="H773" s="420" t="s">
        <v>64</v>
      </c>
      <c r="I773" s="421"/>
      <c r="J773" s="396">
        <f>SUM(J772:J772)</f>
        <v>0</v>
      </c>
    </row>
    <row r="774" spans="1:10" ht="13.5" thickBot="1">
      <c r="A774" s="27"/>
      <c r="B774" s="110"/>
      <c r="D774" s="406" t="s">
        <v>65</v>
      </c>
      <c r="E774" s="13" t="s">
        <v>66</v>
      </c>
      <c r="F774" s="14"/>
      <c r="G774" s="15"/>
      <c r="H774" s="451"/>
      <c r="I774" s="412">
        <f>IF(AND(E774&lt;&gt;"",G774&lt;&gt;""),IF(D774="",IF(G774="OH",VLOOKUP(E774,UPAH!$C$4:$H$31,7,0),VLOOKUP(E774,#REF!,4,0)),0),0)</f>
        <v>0</v>
      </c>
      <c r="J774" s="16">
        <f>H774*I774</f>
        <v>0</v>
      </c>
    </row>
    <row r="775" spans="1:10" ht="13.5" thickBot="1">
      <c r="A775" s="27"/>
      <c r="B775" s="110"/>
      <c r="D775" s="417"/>
      <c r="E775" s="418"/>
      <c r="F775" s="418"/>
      <c r="G775" s="419"/>
      <c r="H775" s="420" t="s">
        <v>67</v>
      </c>
      <c r="I775" s="421"/>
      <c r="J775" s="396">
        <f>J774</f>
        <v>0</v>
      </c>
    </row>
    <row r="776" spans="1:10" ht="13">
      <c r="A776" s="27"/>
      <c r="B776" s="110"/>
      <c r="D776" s="444" t="s">
        <v>68</v>
      </c>
      <c r="E776" s="445" t="s">
        <v>69</v>
      </c>
      <c r="F776" s="446"/>
      <c r="G776" s="447"/>
      <c r="H776" s="448"/>
      <c r="I776" s="449">
        <f>IF(AND(E776&lt;&gt;"",G776&lt;&gt;""),IF(D776="",IF(G776="OH",VLOOKUP(E776,UPAH!$C$4:$H$31,7,0),VLOOKUP(E776,#REF!,4,0)),0),0)</f>
        <v>0</v>
      </c>
      <c r="J776" s="16">
        <f>SUM(J765:J775)/2</f>
        <v>0</v>
      </c>
    </row>
    <row r="777" spans="1:10" ht="13.5" thickBot="1">
      <c r="A777" s="27"/>
      <c r="B777" s="110"/>
      <c r="D777" s="431" t="s">
        <v>70</v>
      </c>
      <c r="E777" s="432" t="s">
        <v>477</v>
      </c>
      <c r="F777" s="433"/>
      <c r="G777" s="434"/>
      <c r="H777" s="22">
        <v>0.1</v>
      </c>
      <c r="I777" s="436"/>
      <c r="J777" s="430">
        <f>H777*J776</f>
        <v>0</v>
      </c>
    </row>
    <row r="778" spans="1:10" ht="13.5" thickBot="1">
      <c r="A778" s="27"/>
      <c r="B778" s="110"/>
      <c r="D778" s="401" t="s">
        <v>71</v>
      </c>
      <c r="E778" s="402" t="s">
        <v>72</v>
      </c>
      <c r="F778" s="418"/>
      <c r="G778" s="419"/>
      <c r="H778" s="442"/>
      <c r="I778" s="421">
        <f>IF(AND(E778&lt;&gt;"",G778&lt;&gt;""),IF(D778="",IF(G778="OH",VLOOKUP(E778,UPAH!$C$4:$H$31,7,0),VLOOKUP(E778,#REF!,4,0)),0),0)</f>
        <v>0</v>
      </c>
      <c r="J778" s="396">
        <f>ROUNDDOWN(J776+J777,0)</f>
        <v>0</v>
      </c>
    </row>
    <row r="779" spans="1:10" ht="13">
      <c r="A779" s="27"/>
      <c r="B779" s="110"/>
      <c r="D779" s="11"/>
      <c r="E779" s="11"/>
      <c r="H779" s="443"/>
    </row>
    <row r="780" spans="1:10" ht="13.5" thickBot="1">
      <c r="A780" s="27"/>
      <c r="B780" s="110"/>
      <c r="C780" s="11" t="s">
        <v>3635</v>
      </c>
      <c r="D780" s="10" t="s">
        <v>3636</v>
      </c>
      <c r="H780" s="443"/>
    </row>
    <row r="781" spans="1:10" ht="13.5" thickBot="1">
      <c r="A781" s="27"/>
      <c r="B781" s="110"/>
      <c r="D781" s="401" t="s">
        <v>40</v>
      </c>
      <c r="E781" s="402" t="s">
        <v>41</v>
      </c>
      <c r="F781" s="402" t="s">
        <v>42</v>
      </c>
      <c r="G781" s="403" t="s">
        <v>43</v>
      </c>
      <c r="H781" s="404" t="s">
        <v>44</v>
      </c>
      <c r="I781" s="402" t="s">
        <v>474</v>
      </c>
      <c r="J781" s="405" t="s">
        <v>475</v>
      </c>
    </row>
    <row r="782" spans="1:10" ht="13">
      <c r="A782" s="27"/>
      <c r="B782" s="110"/>
      <c r="D782" s="406" t="s">
        <v>45</v>
      </c>
      <c r="E782" s="13" t="s">
        <v>46</v>
      </c>
      <c r="F782" s="14"/>
      <c r="G782" s="15"/>
      <c r="H782" s="451"/>
      <c r="I782" s="412"/>
      <c r="J782" s="16"/>
    </row>
    <row r="783" spans="1:10" ht="13">
      <c r="A783" s="27"/>
      <c r="B783" s="110"/>
      <c r="D783" s="409"/>
      <c r="E783" s="13" t="s">
        <v>47</v>
      </c>
      <c r="F783" s="13" t="s">
        <v>1918</v>
      </c>
      <c r="G783" s="410" t="s">
        <v>48</v>
      </c>
      <c r="H783" s="411"/>
      <c r="I783" s="412">
        <f>IF(AND(E783&lt;&gt;"",G783&lt;&gt;""),IF(D783="",IF(G783="OH",VLOOKUP(F783,UPAH!$B$4:$H$101,7,0),VLOOKUP(F783,#REF!,4,0)),0),0)</f>
        <v>0</v>
      </c>
      <c r="J783" s="16">
        <f>H783*I783</f>
        <v>0</v>
      </c>
    </row>
    <row r="784" spans="1:10" ht="13">
      <c r="A784" s="27"/>
      <c r="B784" s="110"/>
      <c r="D784" s="409"/>
      <c r="E784" s="13" t="s">
        <v>115</v>
      </c>
      <c r="F784" s="13" t="s">
        <v>1921</v>
      </c>
      <c r="G784" s="410" t="s">
        <v>48</v>
      </c>
      <c r="H784" s="411"/>
      <c r="I784" s="412">
        <f>IF(AND(E784&lt;&gt;"",G784&lt;&gt;""),IF(D784="",IF(G784="OH",VLOOKUP(F784,UPAH!$B$4:$H$101,7,0),VLOOKUP(F784,#REF!,4,0)),0),0)</f>
        <v>0</v>
      </c>
      <c r="J784" s="16">
        <f>H784*I784</f>
        <v>0</v>
      </c>
    </row>
    <row r="785" spans="1:10" ht="13">
      <c r="A785" s="27"/>
      <c r="B785" s="110"/>
      <c r="D785" s="409"/>
      <c r="E785" s="13" t="s">
        <v>97</v>
      </c>
      <c r="F785" s="13" t="s">
        <v>1928</v>
      </c>
      <c r="G785" s="410" t="s">
        <v>48</v>
      </c>
      <c r="H785" s="411"/>
      <c r="I785" s="412">
        <f>IF(AND(E785&lt;&gt;"",G785&lt;&gt;""),IF(D785="",IF(G785="OH",VLOOKUP(F785,UPAH!$B$4:$H$101,7,0),VLOOKUP(F785,#REF!,4,0)),0),0)</f>
        <v>0</v>
      </c>
      <c r="J785" s="16">
        <f>H785*I785</f>
        <v>0</v>
      </c>
    </row>
    <row r="786" spans="1:10" ht="13.5" thickBot="1">
      <c r="A786" s="27"/>
      <c r="B786" s="110"/>
      <c r="D786" s="409"/>
      <c r="E786" s="13" t="s">
        <v>51</v>
      </c>
      <c r="F786" s="414" t="s">
        <v>1929</v>
      </c>
      <c r="G786" s="410" t="s">
        <v>48</v>
      </c>
      <c r="H786" s="411"/>
      <c r="I786" s="412">
        <f>IF(AND(E786&lt;&gt;"",G786&lt;&gt;""),IF(D786="",IF(G786="OH",VLOOKUP(F786,UPAH!$B$4:$H$101,7,0),VLOOKUP(F786,#REF!,4,0)),0),0)</f>
        <v>0</v>
      </c>
      <c r="J786" s="16">
        <f>H786*I786</f>
        <v>0</v>
      </c>
    </row>
    <row r="787" spans="1:10" ht="13.5" thickBot="1">
      <c r="A787" s="27"/>
      <c r="B787" s="110"/>
      <c r="D787" s="417"/>
      <c r="E787" s="418"/>
      <c r="F787" s="418"/>
      <c r="G787" s="419"/>
      <c r="H787" s="420" t="s">
        <v>52</v>
      </c>
      <c r="I787" s="421"/>
      <c r="J787" s="396">
        <f>SUM(J783:J786)</f>
        <v>0</v>
      </c>
    </row>
    <row r="788" spans="1:10" ht="13">
      <c r="A788" s="27"/>
      <c r="B788" s="110"/>
      <c r="D788" s="406" t="s">
        <v>53</v>
      </c>
      <c r="E788" s="13" t="s">
        <v>54</v>
      </c>
      <c r="F788" s="14"/>
      <c r="G788" s="15"/>
      <c r="H788" s="451"/>
      <c r="I788" s="412"/>
      <c r="J788" s="16"/>
    </row>
    <row r="789" spans="1:10" ht="13.5" thickBot="1">
      <c r="A789" s="27"/>
      <c r="B789" s="110"/>
      <c r="D789" s="409"/>
      <c r="E789" s="13" t="s">
        <v>3634</v>
      </c>
      <c r="F789" s="13"/>
      <c r="G789" s="410" t="s">
        <v>3639</v>
      </c>
      <c r="H789" s="454">
        <v>1</v>
      </c>
      <c r="I789" s="412">
        <v>0</v>
      </c>
      <c r="J789" s="16">
        <f>H789*I789</f>
        <v>0</v>
      </c>
    </row>
    <row r="790" spans="1:10" ht="13.5" thickBot="1">
      <c r="A790" s="27"/>
      <c r="B790" s="110"/>
      <c r="D790" s="417"/>
      <c r="E790" s="418"/>
      <c r="F790" s="418"/>
      <c r="G790" s="419"/>
      <c r="H790" s="420" t="s">
        <v>64</v>
      </c>
      <c r="I790" s="421"/>
      <c r="J790" s="396">
        <f>SUM(J789:J789)</f>
        <v>0</v>
      </c>
    </row>
    <row r="791" spans="1:10" ht="13.5" thickBot="1">
      <c r="A791" s="27"/>
      <c r="B791" s="110"/>
      <c r="D791" s="406" t="s">
        <v>65</v>
      </c>
      <c r="E791" s="13" t="s">
        <v>66</v>
      </c>
      <c r="F791" s="14"/>
      <c r="G791" s="15"/>
      <c r="H791" s="451"/>
      <c r="I791" s="412">
        <f>IF(AND(E791&lt;&gt;"",G791&lt;&gt;""),IF(D791="",IF(G791="OH",VLOOKUP(E791,UPAH!$C$4:$H$31,7,0),VLOOKUP(E791,#REF!,4,0)),0),0)</f>
        <v>0</v>
      </c>
      <c r="J791" s="16">
        <f>H791*I791</f>
        <v>0</v>
      </c>
    </row>
    <row r="792" spans="1:10" ht="13.5" thickBot="1">
      <c r="A792" s="27"/>
      <c r="B792" s="110"/>
      <c r="D792" s="417"/>
      <c r="E792" s="418"/>
      <c r="F792" s="418"/>
      <c r="G792" s="419"/>
      <c r="H792" s="420" t="s">
        <v>67</v>
      </c>
      <c r="I792" s="421"/>
      <c r="J792" s="396">
        <f>J791</f>
        <v>0</v>
      </c>
    </row>
    <row r="793" spans="1:10" ht="13">
      <c r="A793" s="27"/>
      <c r="B793" s="110"/>
      <c r="D793" s="444" t="s">
        <v>68</v>
      </c>
      <c r="E793" s="445" t="s">
        <v>69</v>
      </c>
      <c r="F793" s="446"/>
      <c r="G793" s="447"/>
      <c r="H793" s="448"/>
      <c r="I793" s="449">
        <f>IF(AND(E793&lt;&gt;"",G793&lt;&gt;""),IF(D793="",IF(G793="OH",VLOOKUP(E793,UPAH!$C$4:$H$31,7,0),VLOOKUP(E793,#REF!,4,0)),0),0)</f>
        <v>0</v>
      </c>
      <c r="J793" s="16">
        <f>SUM(J782:J792)/2</f>
        <v>0</v>
      </c>
    </row>
    <row r="794" spans="1:10" ht="13.5" thickBot="1">
      <c r="A794" s="27"/>
      <c r="B794" s="110"/>
      <c r="D794" s="431" t="s">
        <v>70</v>
      </c>
      <c r="E794" s="432" t="s">
        <v>477</v>
      </c>
      <c r="F794" s="433"/>
      <c r="G794" s="434"/>
      <c r="H794" s="22">
        <v>0.1</v>
      </c>
      <c r="I794" s="436"/>
      <c r="J794" s="430">
        <f>H794*J793</f>
        <v>0</v>
      </c>
    </row>
    <row r="795" spans="1:10" ht="13.5" thickBot="1">
      <c r="A795" s="27"/>
      <c r="B795" s="110"/>
      <c r="D795" s="401" t="s">
        <v>71</v>
      </c>
      <c r="E795" s="402" t="s">
        <v>72</v>
      </c>
      <c r="F795" s="418"/>
      <c r="G795" s="419"/>
      <c r="H795" s="442"/>
      <c r="I795" s="421">
        <f>IF(AND(E795&lt;&gt;"",G795&lt;&gt;""),IF(D795="",IF(G795="OH",VLOOKUP(E795,UPAH!$C$4:$H$31,7,0),VLOOKUP(E795,#REF!,4,0)),0),0)</f>
        <v>0</v>
      </c>
      <c r="J795" s="396">
        <f>ROUNDDOWN(J793+J794,0)</f>
        <v>0</v>
      </c>
    </row>
    <row r="796" spans="1:10" ht="13">
      <c r="A796" s="27"/>
      <c r="B796" s="110"/>
      <c r="D796" s="11"/>
      <c r="E796" s="11"/>
      <c r="H796" s="443"/>
    </row>
    <row r="797" spans="1:10" ht="13.5" thickBot="1">
      <c r="A797" s="27"/>
      <c r="B797" s="110"/>
      <c r="C797" s="11" t="s">
        <v>3637</v>
      </c>
      <c r="D797" s="10" t="s">
        <v>3638</v>
      </c>
      <c r="H797" s="443"/>
    </row>
    <row r="798" spans="1:10" ht="13.5" thickBot="1">
      <c r="A798" s="27"/>
      <c r="B798" s="110"/>
      <c r="D798" s="401" t="s">
        <v>40</v>
      </c>
      <c r="E798" s="402" t="s">
        <v>41</v>
      </c>
      <c r="F798" s="402" t="s">
        <v>42</v>
      </c>
      <c r="G798" s="403" t="s">
        <v>43</v>
      </c>
      <c r="H798" s="404" t="s">
        <v>44</v>
      </c>
      <c r="I798" s="402" t="s">
        <v>474</v>
      </c>
      <c r="J798" s="405" t="s">
        <v>475</v>
      </c>
    </row>
    <row r="799" spans="1:10" ht="13">
      <c r="A799" s="27"/>
      <c r="B799" s="110"/>
      <c r="D799" s="406" t="s">
        <v>45</v>
      </c>
      <c r="E799" s="13" t="s">
        <v>46</v>
      </c>
      <c r="F799" s="14"/>
      <c r="G799" s="15"/>
      <c r="H799" s="451"/>
      <c r="I799" s="412"/>
      <c r="J799" s="16"/>
    </row>
    <row r="800" spans="1:10" ht="13">
      <c r="A800" s="27"/>
      <c r="B800" s="110"/>
      <c r="D800" s="409"/>
      <c r="E800" s="13" t="s">
        <v>47</v>
      </c>
      <c r="F800" s="13" t="s">
        <v>1918</v>
      </c>
      <c r="G800" s="410" t="s">
        <v>48</v>
      </c>
      <c r="H800" s="411"/>
      <c r="I800" s="412">
        <f>IF(AND(E800&lt;&gt;"",G800&lt;&gt;""),IF(D800="",IF(G800="OH",VLOOKUP(F800,UPAH!$B$4:$H$101,7,0),VLOOKUP(F800,#REF!,4,0)),0),0)</f>
        <v>0</v>
      </c>
      <c r="J800" s="16">
        <f>H800*I800</f>
        <v>0</v>
      </c>
    </row>
    <row r="801" spans="1:10" ht="13">
      <c r="A801" s="27"/>
      <c r="B801" s="110"/>
      <c r="D801" s="409"/>
      <c r="E801" s="13" t="s">
        <v>115</v>
      </c>
      <c r="F801" s="13" t="s">
        <v>1921</v>
      </c>
      <c r="G801" s="410" t="s">
        <v>48</v>
      </c>
      <c r="H801" s="411"/>
      <c r="I801" s="412">
        <f>IF(AND(E801&lt;&gt;"",G801&lt;&gt;""),IF(D801="",IF(G801="OH",VLOOKUP(F801,UPAH!$B$4:$H$101,7,0),VLOOKUP(F801,#REF!,4,0)),0),0)</f>
        <v>0</v>
      </c>
      <c r="J801" s="16">
        <f>H801*I801</f>
        <v>0</v>
      </c>
    </row>
    <row r="802" spans="1:10" ht="13">
      <c r="A802" s="27"/>
      <c r="B802" s="110"/>
      <c r="D802" s="409"/>
      <c r="E802" s="13" t="s">
        <v>97</v>
      </c>
      <c r="F802" s="13" t="s">
        <v>1928</v>
      </c>
      <c r="G802" s="410" t="s">
        <v>48</v>
      </c>
      <c r="H802" s="411"/>
      <c r="I802" s="412">
        <f>IF(AND(E802&lt;&gt;"",G802&lt;&gt;""),IF(D802="",IF(G802="OH",VLOOKUP(F802,UPAH!$B$4:$H$101,7,0),VLOOKUP(F802,#REF!,4,0)),0),0)</f>
        <v>0</v>
      </c>
      <c r="J802" s="16">
        <f>H802*I802</f>
        <v>0</v>
      </c>
    </row>
    <row r="803" spans="1:10" ht="13.5" thickBot="1">
      <c r="A803" s="27"/>
      <c r="B803" s="110"/>
      <c r="D803" s="409"/>
      <c r="E803" s="13" t="s">
        <v>51</v>
      </c>
      <c r="F803" s="414" t="s">
        <v>1929</v>
      </c>
      <c r="G803" s="410" t="s">
        <v>48</v>
      </c>
      <c r="H803" s="411"/>
      <c r="I803" s="412">
        <f>IF(AND(E803&lt;&gt;"",G803&lt;&gt;""),IF(D803="",IF(G803="OH",VLOOKUP(F803,UPAH!$B$4:$H$101,7,0),VLOOKUP(F803,#REF!,4,0)),0),0)</f>
        <v>0</v>
      </c>
      <c r="J803" s="16">
        <f>H803*I803</f>
        <v>0</v>
      </c>
    </row>
    <row r="804" spans="1:10" ht="13.5" thickBot="1">
      <c r="A804" s="27"/>
      <c r="B804" s="110"/>
      <c r="D804" s="417"/>
      <c r="E804" s="418"/>
      <c r="F804" s="418"/>
      <c r="G804" s="419"/>
      <c r="H804" s="420" t="s">
        <v>52</v>
      </c>
      <c r="I804" s="421"/>
      <c r="J804" s="396">
        <f>SUM(J800:J803)</f>
        <v>0</v>
      </c>
    </row>
    <row r="805" spans="1:10" ht="13">
      <c r="A805" s="27"/>
      <c r="B805" s="110"/>
      <c r="D805" s="406" t="s">
        <v>53</v>
      </c>
      <c r="E805" s="13" t="s">
        <v>54</v>
      </c>
      <c r="F805" s="14"/>
      <c r="G805" s="15"/>
      <c r="H805" s="451"/>
      <c r="I805" s="412"/>
      <c r="J805" s="16"/>
    </row>
    <row r="806" spans="1:10" ht="13.5" thickBot="1">
      <c r="A806" s="27"/>
      <c r="B806" s="110"/>
      <c r="D806" s="409"/>
      <c r="E806" s="13" t="s">
        <v>3638</v>
      </c>
      <c r="F806" s="13"/>
      <c r="G806" s="410" t="s">
        <v>3639</v>
      </c>
      <c r="H806" s="454">
        <v>1</v>
      </c>
      <c r="I806" s="412">
        <v>0</v>
      </c>
      <c r="J806" s="16">
        <f>H806*I806</f>
        <v>0</v>
      </c>
    </row>
    <row r="807" spans="1:10" ht="13.5" thickBot="1">
      <c r="A807" s="27"/>
      <c r="B807" s="110"/>
      <c r="D807" s="417"/>
      <c r="E807" s="418"/>
      <c r="F807" s="418"/>
      <c r="G807" s="419"/>
      <c r="H807" s="420" t="s">
        <v>64</v>
      </c>
      <c r="I807" s="421"/>
      <c r="J807" s="396">
        <f>SUM(J806:J806)</f>
        <v>0</v>
      </c>
    </row>
    <row r="808" spans="1:10" ht="13.5" thickBot="1">
      <c r="A808" s="27"/>
      <c r="B808" s="110"/>
      <c r="D808" s="406" t="s">
        <v>65</v>
      </c>
      <c r="E808" s="13" t="s">
        <v>66</v>
      </c>
      <c r="F808" s="14"/>
      <c r="G808" s="15"/>
      <c r="H808" s="451"/>
      <c r="I808" s="412">
        <f>IF(AND(E808&lt;&gt;"",G808&lt;&gt;""),IF(D808="",IF(G808="OH",VLOOKUP(E808,UPAH!$C$4:$H$31,7,0),VLOOKUP(E808,#REF!,4,0)),0),0)</f>
        <v>0</v>
      </c>
      <c r="J808" s="16">
        <f>H808*I808</f>
        <v>0</v>
      </c>
    </row>
    <row r="809" spans="1:10" ht="13.5" thickBot="1">
      <c r="A809" s="27"/>
      <c r="B809" s="110"/>
      <c r="D809" s="417"/>
      <c r="E809" s="418"/>
      <c r="F809" s="418"/>
      <c r="G809" s="419"/>
      <c r="H809" s="420" t="s">
        <v>67</v>
      </c>
      <c r="I809" s="421"/>
      <c r="J809" s="396">
        <f>J808</f>
        <v>0</v>
      </c>
    </row>
    <row r="810" spans="1:10" ht="13">
      <c r="A810" s="27"/>
      <c r="B810" s="110"/>
      <c r="D810" s="444" t="s">
        <v>68</v>
      </c>
      <c r="E810" s="445" t="s">
        <v>69</v>
      </c>
      <c r="F810" s="446"/>
      <c r="G810" s="447"/>
      <c r="H810" s="448"/>
      <c r="I810" s="449">
        <f>IF(AND(E810&lt;&gt;"",G810&lt;&gt;""),IF(D810="",IF(G810="OH",VLOOKUP(E810,UPAH!$C$4:$H$31,7,0),VLOOKUP(E810,#REF!,4,0)),0),0)</f>
        <v>0</v>
      </c>
      <c r="J810" s="16">
        <f>SUM(J799:J809)/2</f>
        <v>0</v>
      </c>
    </row>
    <row r="811" spans="1:10" ht="13.5" thickBot="1">
      <c r="A811" s="27"/>
      <c r="B811" s="110"/>
      <c r="D811" s="431" t="s">
        <v>70</v>
      </c>
      <c r="E811" s="432" t="s">
        <v>477</v>
      </c>
      <c r="F811" s="433"/>
      <c r="G811" s="434"/>
      <c r="H811" s="22">
        <v>0.1</v>
      </c>
      <c r="I811" s="436"/>
      <c r="J811" s="430">
        <f>H811*J810</f>
        <v>0</v>
      </c>
    </row>
    <row r="812" spans="1:10" ht="13.5" thickBot="1">
      <c r="A812" s="27"/>
      <c r="B812" s="110"/>
      <c r="D812" s="401" t="s">
        <v>71</v>
      </c>
      <c r="E812" s="402" t="s">
        <v>72</v>
      </c>
      <c r="F812" s="418"/>
      <c r="G812" s="419"/>
      <c r="H812" s="442"/>
      <c r="I812" s="421">
        <f>IF(AND(E812&lt;&gt;"",G812&lt;&gt;""),IF(D812="",IF(G812="OH",VLOOKUP(E812,UPAH!$C$4:$H$31,7,0),VLOOKUP(E812,#REF!,4,0)),0),0)</f>
        <v>0</v>
      </c>
      <c r="J812" s="396">
        <f>ROUNDDOWN(J810+J811,0)</f>
        <v>0</v>
      </c>
    </row>
    <row r="813" spans="1:10" ht="13">
      <c r="A813" s="27"/>
      <c r="B813" s="110"/>
      <c r="D813" s="11"/>
      <c r="E813" s="11"/>
      <c r="H813" s="443"/>
      <c r="I813" s="17"/>
      <c r="J813" s="18"/>
    </row>
    <row r="814" spans="1:10" ht="13.5" thickBot="1">
      <c r="A814" s="27"/>
      <c r="B814" s="110"/>
      <c r="C814" s="11" t="s">
        <v>3848</v>
      </c>
      <c r="D814" s="10" t="s">
        <v>3849</v>
      </c>
      <c r="H814" s="443"/>
    </row>
    <row r="815" spans="1:10" ht="13.5" thickBot="1">
      <c r="A815" s="27"/>
      <c r="B815" s="110"/>
      <c r="D815" s="401" t="s">
        <v>40</v>
      </c>
      <c r="E815" s="402" t="s">
        <v>41</v>
      </c>
      <c r="F815" s="402" t="s">
        <v>42</v>
      </c>
      <c r="G815" s="403" t="s">
        <v>43</v>
      </c>
      <c r="H815" s="404" t="s">
        <v>44</v>
      </c>
      <c r="I815" s="402" t="s">
        <v>474</v>
      </c>
      <c r="J815" s="405" t="s">
        <v>475</v>
      </c>
    </row>
    <row r="816" spans="1:10" ht="13">
      <c r="A816" s="27"/>
      <c r="B816" s="110"/>
      <c r="D816" s="406" t="s">
        <v>45</v>
      </c>
      <c r="E816" s="13" t="s">
        <v>46</v>
      </c>
      <c r="F816" s="14"/>
      <c r="G816" s="15"/>
      <c r="H816" s="451"/>
      <c r="I816" s="412"/>
      <c r="J816" s="16"/>
    </row>
    <row r="817" spans="1:10" ht="13">
      <c r="A817" s="27"/>
      <c r="B817" s="110"/>
      <c r="D817" s="409"/>
      <c r="E817" s="13" t="s">
        <v>47</v>
      </c>
      <c r="F817" s="13" t="s">
        <v>1918</v>
      </c>
      <c r="G817" s="410" t="s">
        <v>48</v>
      </c>
      <c r="H817" s="410">
        <v>4.4999999999999998E-2</v>
      </c>
      <c r="I817" s="412">
        <f>IF(AND(E817&lt;&gt;"",G817&lt;&gt;""),IF(D817="",IF(G817="OH",VLOOKUP(F817,UPAH!$B$4:$H$101,7,0),VLOOKUP(F817,#REF!,4,0)),0),0)</f>
        <v>0</v>
      </c>
      <c r="J817" s="16">
        <f>H817*I817</f>
        <v>0</v>
      </c>
    </row>
    <row r="818" spans="1:10" ht="13">
      <c r="A818" s="27"/>
      <c r="B818" s="110"/>
      <c r="D818" s="409"/>
      <c r="E818" s="13" t="s">
        <v>115</v>
      </c>
      <c r="F818" s="13" t="s">
        <v>1921</v>
      </c>
      <c r="G818" s="410" t="s">
        <v>48</v>
      </c>
      <c r="H818" s="410">
        <v>1.2E-2</v>
      </c>
      <c r="I818" s="412">
        <f>IF(AND(E818&lt;&gt;"",G818&lt;&gt;""),IF(D818="",IF(G818="OH",VLOOKUP(F818,UPAH!$B$4:$H$101,7,0),VLOOKUP(F818,#REF!,4,0)),0),0)</f>
        <v>0</v>
      </c>
      <c r="J818" s="16">
        <f>H818*I818</f>
        <v>0</v>
      </c>
    </row>
    <row r="819" spans="1:10" ht="13">
      <c r="A819" s="27"/>
      <c r="B819" s="110"/>
      <c r="D819" s="409"/>
      <c r="E819" s="13" t="s">
        <v>97</v>
      </c>
      <c r="F819" s="13" t="s">
        <v>1928</v>
      </c>
      <c r="G819" s="410" t="s">
        <v>48</v>
      </c>
      <c r="H819" s="410">
        <v>1.2E-2</v>
      </c>
      <c r="I819" s="412">
        <f>IF(AND(E819&lt;&gt;"",G819&lt;&gt;""),IF(D819="",IF(G819="OH",VLOOKUP(F819,UPAH!$B$4:$H$101,7,0),VLOOKUP(F819,#REF!,4,0)),0),0)</f>
        <v>0</v>
      </c>
      <c r="J819" s="16">
        <f>H819*I819</f>
        <v>0</v>
      </c>
    </row>
    <row r="820" spans="1:10" ht="13.5" thickBot="1">
      <c r="A820" s="27"/>
      <c r="B820" s="110"/>
      <c r="D820" s="409"/>
      <c r="E820" s="13" t="s">
        <v>51</v>
      </c>
      <c r="F820" s="414" t="s">
        <v>1929</v>
      </c>
      <c r="G820" s="410" t="s">
        <v>48</v>
      </c>
      <c r="H820" s="410">
        <v>6.0000000000000001E-3</v>
      </c>
      <c r="I820" s="412">
        <f>IF(AND(E820&lt;&gt;"",G820&lt;&gt;""),IF(D820="",IF(G820="OH",VLOOKUP(F820,UPAH!$B$4:$H$101,7,0),VLOOKUP(F820,#REF!,4,0)),0),0)</f>
        <v>0</v>
      </c>
      <c r="J820" s="16">
        <f>H820*I820</f>
        <v>0</v>
      </c>
    </row>
    <row r="821" spans="1:10" ht="13.5" thickBot="1">
      <c r="A821" s="27"/>
      <c r="B821" s="110"/>
      <c r="D821" s="417"/>
      <c r="E821" s="418"/>
      <c r="F821" s="418"/>
      <c r="G821" s="419"/>
      <c r="H821" s="420" t="s">
        <v>52</v>
      </c>
      <c r="I821" s="421"/>
      <c r="J821" s="396">
        <f>SUM(J817:J820)</f>
        <v>0</v>
      </c>
    </row>
    <row r="822" spans="1:10" ht="13">
      <c r="A822" s="27"/>
      <c r="B822" s="110"/>
      <c r="D822" s="406" t="s">
        <v>53</v>
      </c>
      <c r="E822" s="13" t="s">
        <v>54</v>
      </c>
      <c r="F822" s="14"/>
      <c r="G822" s="15"/>
      <c r="H822" s="451"/>
      <c r="I822" s="412"/>
      <c r="J822" s="16"/>
    </row>
    <row r="823" spans="1:10" ht="13.5" thickBot="1">
      <c r="A823" s="27"/>
      <c r="B823" s="110"/>
      <c r="D823" s="409"/>
      <c r="E823" s="13" t="s">
        <v>3850</v>
      </c>
      <c r="F823" s="13"/>
      <c r="G823" s="410" t="s">
        <v>113</v>
      </c>
      <c r="H823" s="454">
        <v>2</v>
      </c>
      <c r="I823" s="412">
        <v>0</v>
      </c>
      <c r="J823" s="16">
        <f>H823*I823</f>
        <v>0</v>
      </c>
    </row>
    <row r="824" spans="1:10" ht="13.5" thickBot="1">
      <c r="A824" s="27"/>
      <c r="B824" s="110"/>
      <c r="D824" s="417"/>
      <c r="E824" s="418"/>
      <c r="F824" s="418"/>
      <c r="G824" s="419"/>
      <c r="H824" s="420" t="s">
        <v>64</v>
      </c>
      <c r="I824" s="421"/>
      <c r="J824" s="396">
        <f>SUM(J823:J823)</f>
        <v>0</v>
      </c>
    </row>
    <row r="825" spans="1:10" ht="13.5" thickBot="1">
      <c r="A825" s="27"/>
      <c r="B825" s="110"/>
      <c r="D825" s="406" t="s">
        <v>65</v>
      </c>
      <c r="E825" s="13" t="s">
        <v>66</v>
      </c>
      <c r="F825" s="14"/>
      <c r="G825" s="15"/>
      <c r="H825" s="451"/>
      <c r="I825" s="412">
        <f>IF(AND(E825&lt;&gt;"",G825&lt;&gt;""),IF(D825="",IF(G825="OH",VLOOKUP(E825,UPAH!$C$4:$H$31,7,0),VLOOKUP(E825,#REF!,4,0)),0),0)</f>
        <v>0</v>
      </c>
      <c r="J825" s="16">
        <f>H825*I825</f>
        <v>0</v>
      </c>
    </row>
    <row r="826" spans="1:10" ht="13.5" thickBot="1">
      <c r="A826" s="27"/>
      <c r="B826" s="110"/>
      <c r="D826" s="417"/>
      <c r="E826" s="418"/>
      <c r="F826" s="418"/>
      <c r="G826" s="419"/>
      <c r="H826" s="420" t="s">
        <v>67</v>
      </c>
      <c r="I826" s="421"/>
      <c r="J826" s="396">
        <f>J825</f>
        <v>0</v>
      </c>
    </row>
    <row r="827" spans="1:10" ht="13">
      <c r="A827" s="27"/>
      <c r="B827" s="110"/>
      <c r="D827" s="444" t="s">
        <v>68</v>
      </c>
      <c r="E827" s="445" t="s">
        <v>69</v>
      </c>
      <c r="F827" s="446"/>
      <c r="G827" s="447"/>
      <c r="H827" s="448"/>
      <c r="I827" s="449">
        <f>IF(AND(E827&lt;&gt;"",G827&lt;&gt;""),IF(D827="",IF(G827="OH",VLOOKUP(E827,UPAH!$C$4:$H$31,7,0),VLOOKUP(E827,#REF!,4,0)),0),0)</f>
        <v>0</v>
      </c>
      <c r="J827" s="16">
        <f>SUM(J816:J826)/2</f>
        <v>0</v>
      </c>
    </row>
    <row r="828" spans="1:10" ht="13.5" thickBot="1">
      <c r="A828" s="27"/>
      <c r="B828" s="110"/>
      <c r="D828" s="431" t="s">
        <v>70</v>
      </c>
      <c r="E828" s="432" t="s">
        <v>477</v>
      </c>
      <c r="F828" s="433"/>
      <c r="G828" s="434"/>
      <c r="H828" s="22">
        <v>0.1</v>
      </c>
      <c r="I828" s="436"/>
      <c r="J828" s="430">
        <f>H828*J827</f>
        <v>0</v>
      </c>
    </row>
    <row r="829" spans="1:10" ht="13.5" thickBot="1">
      <c r="A829" s="27"/>
      <c r="B829" s="110"/>
      <c r="D829" s="401" t="s">
        <v>71</v>
      </c>
      <c r="E829" s="402" t="s">
        <v>72</v>
      </c>
      <c r="F829" s="418"/>
      <c r="G829" s="419"/>
      <c r="H829" s="442"/>
      <c r="I829" s="421">
        <f>IF(AND(E829&lt;&gt;"",G829&lt;&gt;""),IF(D829="",IF(G829="OH",VLOOKUP(E829,UPAH!$C$4:$H$31,7,0),VLOOKUP(E829,#REF!,4,0)),0),0)</f>
        <v>0</v>
      </c>
      <c r="J829" s="396">
        <f>ROUNDDOWN(J827+J828,0)</f>
        <v>0</v>
      </c>
    </row>
    <row r="830" spans="1:10" ht="13">
      <c r="A830" s="27"/>
      <c r="B830" s="110"/>
      <c r="D830" s="11"/>
      <c r="E830" s="11"/>
      <c r="H830" s="443"/>
    </row>
    <row r="831" spans="1:10" s="27" customFormat="1" ht="13">
      <c r="B831" s="110"/>
      <c r="C831" s="452" t="s">
        <v>482</v>
      </c>
      <c r="G831" s="399"/>
      <c r="H831" s="453"/>
    </row>
    <row r="832" spans="1:10" ht="13.5" thickBot="1">
      <c r="A832" s="27"/>
      <c r="B832" s="110"/>
      <c r="C832" s="11" t="s">
        <v>597</v>
      </c>
      <c r="D832" s="10" t="s">
        <v>1842</v>
      </c>
      <c r="H832" s="443"/>
    </row>
    <row r="833" spans="1:10" ht="13.5" thickBot="1">
      <c r="A833" s="27"/>
      <c r="B833" s="110"/>
      <c r="D833" s="401" t="s">
        <v>40</v>
      </c>
      <c r="E833" s="402" t="s">
        <v>41</v>
      </c>
      <c r="F833" s="402" t="s">
        <v>42</v>
      </c>
      <c r="G833" s="403" t="s">
        <v>43</v>
      </c>
      <c r="H833" s="404" t="s">
        <v>44</v>
      </c>
      <c r="I833" s="402" t="s">
        <v>474</v>
      </c>
      <c r="J833" s="405" t="s">
        <v>475</v>
      </c>
    </row>
    <row r="834" spans="1:10" ht="13">
      <c r="A834" s="27"/>
      <c r="B834" s="110"/>
      <c r="D834" s="406" t="s">
        <v>45</v>
      </c>
      <c r="E834" s="13" t="s">
        <v>46</v>
      </c>
      <c r="F834" s="14"/>
      <c r="G834" s="15"/>
      <c r="H834" s="451"/>
      <c r="I834" s="412"/>
      <c r="J834" s="16"/>
    </row>
    <row r="835" spans="1:10" ht="13">
      <c r="A835" s="27"/>
      <c r="B835" s="110"/>
      <c r="D835" s="409"/>
      <c r="E835" s="13" t="s">
        <v>47</v>
      </c>
      <c r="F835" s="13" t="s">
        <v>1918</v>
      </c>
      <c r="G835" s="410" t="s">
        <v>48</v>
      </c>
      <c r="H835" s="411">
        <v>1.65</v>
      </c>
      <c r="I835" s="412">
        <f>IF(AND(E835&lt;&gt;"",G835&lt;&gt;""),IF(D835="",IF(G835="OH",VLOOKUP(F835,UPAH!$B$4:$H$101,7,0),VLOOKUP(F835,#REF!,4,0)),0),0)</f>
        <v>0</v>
      </c>
      <c r="J835" s="16">
        <f>H835*I835</f>
        <v>0</v>
      </c>
    </row>
    <row r="836" spans="1:10" ht="13">
      <c r="A836" s="27"/>
      <c r="B836" s="110"/>
      <c r="D836" s="409"/>
      <c r="E836" s="13" t="s">
        <v>115</v>
      </c>
      <c r="F836" s="13" t="s">
        <v>1921</v>
      </c>
      <c r="G836" s="410" t="s">
        <v>48</v>
      </c>
      <c r="H836" s="411">
        <v>0.27500000000000002</v>
      </c>
      <c r="I836" s="412">
        <f>IF(AND(E836&lt;&gt;"",G836&lt;&gt;""),IF(D836="",IF(G836="OH",VLOOKUP(F836,UPAH!$B$4:$H$101,7,0),VLOOKUP(F836,#REF!,4,0)),0),0)</f>
        <v>0</v>
      </c>
      <c r="J836" s="16">
        <f>H836*I836</f>
        <v>0</v>
      </c>
    </row>
    <row r="837" spans="1:10" ht="13">
      <c r="A837" s="27"/>
      <c r="B837" s="110"/>
      <c r="D837" s="409"/>
      <c r="E837" s="13" t="s">
        <v>97</v>
      </c>
      <c r="F837" s="13" t="s">
        <v>1928</v>
      </c>
      <c r="G837" s="410" t="s">
        <v>48</v>
      </c>
      <c r="H837" s="411">
        <v>2.8000000000000001E-2</v>
      </c>
      <c r="I837" s="412">
        <f>IF(AND(E837&lt;&gt;"",G837&lt;&gt;""),IF(D837="",IF(G837="OH",VLOOKUP(F837,UPAH!$B$4:$H$101,7,0),VLOOKUP(F837,#REF!,4,0)),0),0)</f>
        <v>0</v>
      </c>
      <c r="J837" s="16">
        <f>H837*I837</f>
        <v>0</v>
      </c>
    </row>
    <row r="838" spans="1:10" ht="13.5" thickBot="1">
      <c r="A838" s="27"/>
      <c r="B838" s="110"/>
      <c r="D838" s="409"/>
      <c r="E838" s="13" t="s">
        <v>51</v>
      </c>
      <c r="F838" s="414" t="s">
        <v>1929</v>
      </c>
      <c r="G838" s="410" t="s">
        <v>48</v>
      </c>
      <c r="H838" s="411">
        <v>8.3000000000000004E-2</v>
      </c>
      <c r="I838" s="412">
        <f>IF(AND(E838&lt;&gt;"",G838&lt;&gt;""),IF(D838="",IF(G838="OH",VLOOKUP(F838,UPAH!$B$4:$H$101,7,0),VLOOKUP(F838,#REF!,4,0)),0),0)</f>
        <v>0</v>
      </c>
      <c r="J838" s="16">
        <f>H838*I838</f>
        <v>0</v>
      </c>
    </row>
    <row r="839" spans="1:10" ht="13.5" thickBot="1">
      <c r="A839" s="27"/>
      <c r="B839" s="110"/>
      <c r="D839" s="417"/>
      <c r="E839" s="418"/>
      <c r="F839" s="418"/>
      <c r="G839" s="419"/>
      <c r="H839" s="420" t="s">
        <v>52</v>
      </c>
      <c r="I839" s="421"/>
      <c r="J839" s="396">
        <f>SUM(J835:J838)</f>
        <v>0</v>
      </c>
    </row>
    <row r="840" spans="1:10" ht="13">
      <c r="A840" s="27"/>
      <c r="B840" s="110"/>
      <c r="D840" s="406" t="s">
        <v>53</v>
      </c>
      <c r="E840" s="13" t="s">
        <v>54</v>
      </c>
      <c r="F840" s="14"/>
      <c r="G840" s="15"/>
      <c r="H840" s="451"/>
      <c r="I840" s="412"/>
      <c r="J840" s="16"/>
    </row>
    <row r="841" spans="1:10" ht="13">
      <c r="A841" s="27"/>
      <c r="B841" s="110"/>
      <c r="D841" s="409"/>
      <c r="E841" s="13" t="s">
        <v>56</v>
      </c>
      <c r="F841" s="14"/>
      <c r="G841" s="410" t="s">
        <v>93</v>
      </c>
      <c r="H841" s="411">
        <v>247</v>
      </c>
      <c r="I841" s="412">
        <f>'BAHAN '!G$72</f>
        <v>0</v>
      </c>
      <c r="J841" s="16">
        <f>H841*I841</f>
        <v>0</v>
      </c>
    </row>
    <row r="842" spans="1:10" ht="13">
      <c r="A842" s="27"/>
      <c r="B842" s="110"/>
      <c r="D842" s="409"/>
      <c r="E842" s="13" t="s">
        <v>126</v>
      </c>
      <c r="F842" s="14"/>
      <c r="G842" s="410" t="s">
        <v>93</v>
      </c>
      <c r="H842" s="411">
        <v>869</v>
      </c>
      <c r="I842" s="455">
        <f>'BAHAN '!G$60</f>
        <v>0</v>
      </c>
      <c r="J842" s="16">
        <f>H842*I842</f>
        <v>0</v>
      </c>
    </row>
    <row r="843" spans="1:10" ht="13">
      <c r="A843" s="27"/>
      <c r="B843" s="110"/>
      <c r="D843" s="409"/>
      <c r="E843" s="13" t="s">
        <v>399</v>
      </c>
      <c r="F843" s="14"/>
      <c r="G843" s="410" t="s">
        <v>93</v>
      </c>
      <c r="H843" s="411">
        <v>999</v>
      </c>
      <c r="I843" s="412">
        <f>'BAHAN '!G$50</f>
        <v>0</v>
      </c>
      <c r="J843" s="16">
        <f>H843*I843</f>
        <v>0</v>
      </c>
    </row>
    <row r="844" spans="1:10" ht="13.5" thickBot="1">
      <c r="A844" s="27"/>
      <c r="B844" s="110"/>
      <c r="D844" s="409"/>
      <c r="E844" s="13" t="s">
        <v>108</v>
      </c>
      <c r="F844" s="14"/>
      <c r="G844" s="410" t="s">
        <v>63</v>
      </c>
      <c r="H844" s="411">
        <v>215</v>
      </c>
      <c r="I844" s="412">
        <f>'BAHAN '!G$11</f>
        <v>0</v>
      </c>
      <c r="J844" s="16">
        <f>H844*I844</f>
        <v>0</v>
      </c>
    </row>
    <row r="845" spans="1:10" ht="13.5" thickBot="1">
      <c r="A845" s="27"/>
      <c r="B845" s="110"/>
      <c r="D845" s="417"/>
      <c r="E845" s="418"/>
      <c r="F845" s="418"/>
      <c r="G845" s="419"/>
      <c r="H845" s="420" t="s">
        <v>64</v>
      </c>
      <c r="I845" s="421"/>
      <c r="J845" s="396">
        <f>SUM(J841:J844)</f>
        <v>0</v>
      </c>
    </row>
    <row r="846" spans="1:10" ht="13.5" thickBot="1">
      <c r="A846" s="27"/>
      <c r="B846" s="110"/>
      <c r="D846" s="406" t="s">
        <v>65</v>
      </c>
      <c r="E846" s="13" t="s">
        <v>66</v>
      </c>
      <c r="F846" s="14"/>
      <c r="G846" s="15"/>
      <c r="H846" s="451"/>
      <c r="I846" s="412">
        <f>IF(AND(E846&lt;&gt;"",G846&lt;&gt;""),IF(D846="",IF(G846="OH",VLOOKUP(E846,UPAH!$C$4:$H$31,7,0),VLOOKUP(E846,#REF!,4,0)),0),0)</f>
        <v>0</v>
      </c>
      <c r="J846" s="16">
        <f>H846*I846</f>
        <v>0</v>
      </c>
    </row>
    <row r="847" spans="1:10" ht="13.5" thickBot="1">
      <c r="A847" s="27"/>
      <c r="B847" s="110"/>
      <c r="D847" s="417"/>
      <c r="E847" s="418"/>
      <c r="F847" s="418"/>
      <c r="G847" s="419"/>
      <c r="H847" s="420" t="s">
        <v>67</v>
      </c>
      <c r="I847" s="421"/>
      <c r="J847" s="396">
        <f>J846</f>
        <v>0</v>
      </c>
    </row>
    <row r="848" spans="1:10" ht="13">
      <c r="A848" s="27"/>
      <c r="B848" s="110"/>
      <c r="D848" s="444" t="s">
        <v>68</v>
      </c>
      <c r="E848" s="445" t="s">
        <v>69</v>
      </c>
      <c r="F848" s="446"/>
      <c r="G848" s="447"/>
      <c r="H848" s="448"/>
      <c r="I848" s="449">
        <f>IF(AND(E848&lt;&gt;"",G848&lt;&gt;""),IF(D848="",IF(G848="OH",VLOOKUP(E848,UPAH!$C$4:$H$31,7,0),VLOOKUP(E848,#REF!,4,0)),0),0)</f>
        <v>0</v>
      </c>
      <c r="J848" s="16">
        <f>SUM(J833:J847)/2</f>
        <v>0</v>
      </c>
    </row>
    <row r="849" spans="1:10" ht="13.5" thickBot="1">
      <c r="A849" s="27"/>
      <c r="B849" s="110"/>
      <c r="D849" s="431" t="s">
        <v>70</v>
      </c>
      <c r="E849" s="432" t="s">
        <v>477</v>
      </c>
      <c r="F849" s="433"/>
      <c r="G849" s="434"/>
      <c r="H849" s="22">
        <v>0.1</v>
      </c>
      <c r="I849" s="436"/>
      <c r="J849" s="430">
        <f>H849*J848</f>
        <v>0</v>
      </c>
    </row>
    <row r="850" spans="1:10" ht="13.5" thickBot="1">
      <c r="A850" s="27"/>
      <c r="B850" s="110"/>
      <c r="D850" s="401" t="s">
        <v>71</v>
      </c>
      <c r="E850" s="402" t="s">
        <v>72</v>
      </c>
      <c r="F850" s="418"/>
      <c r="G850" s="419"/>
      <c r="H850" s="442"/>
      <c r="I850" s="421">
        <f>IF(AND(E850&lt;&gt;"",G850&lt;&gt;""),IF(D850="",IF(G850="OH",VLOOKUP(E850,UPAH!$C$4:$H$31,7,0),VLOOKUP(E850,#REF!,4,0)),0),0)</f>
        <v>0</v>
      </c>
      <c r="J850" s="396">
        <f>ROUNDDOWN(J848+J849,0)</f>
        <v>0</v>
      </c>
    </row>
    <row r="851" spans="1:10" ht="13">
      <c r="A851" s="27"/>
      <c r="B851" s="110"/>
      <c r="D851" s="11"/>
      <c r="E851" s="11"/>
      <c r="H851" s="443"/>
    </row>
    <row r="852" spans="1:10" ht="13.5" thickBot="1">
      <c r="A852" s="27"/>
      <c r="B852" s="110"/>
      <c r="C852" s="11" t="s">
        <v>598</v>
      </c>
      <c r="D852" s="10" t="s">
        <v>1843</v>
      </c>
      <c r="H852" s="443"/>
    </row>
    <row r="853" spans="1:10" ht="13.5" thickBot="1">
      <c r="A853" s="27"/>
      <c r="B853" s="110"/>
      <c r="D853" s="401" t="s">
        <v>40</v>
      </c>
      <c r="E853" s="402" t="s">
        <v>41</v>
      </c>
      <c r="F853" s="402" t="s">
        <v>42</v>
      </c>
      <c r="G853" s="403" t="s">
        <v>43</v>
      </c>
      <c r="H853" s="404" t="s">
        <v>44</v>
      </c>
      <c r="I853" s="402" t="s">
        <v>474</v>
      </c>
      <c r="J853" s="405" t="s">
        <v>475</v>
      </c>
    </row>
    <row r="854" spans="1:10" ht="13">
      <c r="A854" s="27"/>
      <c r="B854" s="110"/>
      <c r="D854" s="406" t="s">
        <v>45</v>
      </c>
      <c r="E854" s="13" t="s">
        <v>46</v>
      </c>
      <c r="F854" s="14"/>
      <c r="G854" s="15"/>
      <c r="H854" s="451"/>
      <c r="I854" s="412"/>
      <c r="J854" s="16"/>
    </row>
    <row r="855" spans="1:10" ht="13">
      <c r="A855" s="27"/>
      <c r="B855" s="110"/>
      <c r="D855" s="409"/>
      <c r="E855" s="13" t="s">
        <v>47</v>
      </c>
      <c r="F855" s="13" t="s">
        <v>1918</v>
      </c>
      <c r="G855" s="410" t="s">
        <v>48</v>
      </c>
      <c r="H855" s="411">
        <v>1.65</v>
      </c>
      <c r="I855" s="412">
        <f>IF(AND(E855&lt;&gt;"",G855&lt;&gt;""),IF(D855="",IF(G855="OH",VLOOKUP(F855,UPAH!$B$4:$H$101,7,0),VLOOKUP(F855,#REF!,4,0)),0),0)</f>
        <v>0</v>
      </c>
      <c r="J855" s="16">
        <f>H855*I855</f>
        <v>0</v>
      </c>
    </row>
    <row r="856" spans="1:10" ht="13">
      <c r="A856" s="27"/>
      <c r="B856" s="110"/>
      <c r="D856" s="409"/>
      <c r="E856" s="13" t="s">
        <v>115</v>
      </c>
      <c r="F856" s="13" t="s">
        <v>1921</v>
      </c>
      <c r="G856" s="410" t="s">
        <v>48</v>
      </c>
      <c r="H856" s="411">
        <v>0.27500000000000002</v>
      </c>
      <c r="I856" s="412">
        <f>IF(AND(E856&lt;&gt;"",G856&lt;&gt;""),IF(D856="",IF(G856="OH",VLOOKUP(F856,UPAH!$B$4:$H$101,7,0),VLOOKUP(F856,#REF!,4,0)),0),0)</f>
        <v>0</v>
      </c>
      <c r="J856" s="16">
        <f>H856*I856</f>
        <v>0</v>
      </c>
    </row>
    <row r="857" spans="1:10" ht="13">
      <c r="A857" s="27"/>
      <c r="B857" s="110"/>
      <c r="D857" s="409"/>
      <c r="E857" s="13" t="s">
        <v>97</v>
      </c>
      <c r="F857" s="13" t="s">
        <v>1928</v>
      </c>
      <c r="G857" s="410" t="s">
        <v>48</v>
      </c>
      <c r="H857" s="411">
        <v>2.8000000000000001E-2</v>
      </c>
      <c r="I857" s="412">
        <f>IF(AND(E857&lt;&gt;"",G857&lt;&gt;""),IF(D857="",IF(G857="OH",VLOOKUP(F857,UPAH!$B$4:$H$101,7,0),VLOOKUP(F857,#REF!,4,0)),0),0)</f>
        <v>0</v>
      </c>
      <c r="J857" s="16">
        <f>H857*I857</f>
        <v>0</v>
      </c>
    </row>
    <row r="858" spans="1:10" ht="13.5" thickBot="1">
      <c r="A858" s="27"/>
      <c r="B858" s="110"/>
      <c r="D858" s="409"/>
      <c r="E858" s="13" t="s">
        <v>51</v>
      </c>
      <c r="F858" s="414" t="s">
        <v>1929</v>
      </c>
      <c r="G858" s="410" t="s">
        <v>48</v>
      </c>
      <c r="H858" s="411">
        <v>8.3000000000000004E-2</v>
      </c>
      <c r="I858" s="412">
        <f>IF(AND(E858&lt;&gt;"",G858&lt;&gt;""),IF(D858="",IF(G858="OH",VLOOKUP(F858,UPAH!$B$4:$H$101,7,0),VLOOKUP(F858,#REF!,4,0)),0),0)</f>
        <v>0</v>
      </c>
      <c r="J858" s="16">
        <f>H858*I858</f>
        <v>0</v>
      </c>
    </row>
    <row r="859" spans="1:10" ht="13.5" thickBot="1">
      <c r="A859" s="27"/>
      <c r="B859" s="110"/>
      <c r="D859" s="417"/>
      <c r="E859" s="418"/>
      <c r="F859" s="418"/>
      <c r="G859" s="419"/>
      <c r="H859" s="420" t="s">
        <v>52</v>
      </c>
      <c r="I859" s="421"/>
      <c r="J859" s="396">
        <f>SUM(J855:J858)</f>
        <v>0</v>
      </c>
    </row>
    <row r="860" spans="1:10" ht="13">
      <c r="A860" s="27"/>
      <c r="B860" s="110"/>
      <c r="D860" s="406" t="s">
        <v>53</v>
      </c>
      <c r="E860" s="13" t="s">
        <v>54</v>
      </c>
      <c r="F860" s="14"/>
      <c r="G860" s="15"/>
      <c r="H860" s="451"/>
      <c r="I860" s="412"/>
      <c r="J860" s="16"/>
    </row>
    <row r="861" spans="1:10" ht="13">
      <c r="A861" s="27"/>
      <c r="B861" s="110"/>
      <c r="D861" s="409"/>
      <c r="E861" s="13" t="s">
        <v>56</v>
      </c>
      <c r="F861" s="14"/>
      <c r="G861" s="410" t="s">
        <v>93</v>
      </c>
      <c r="H861" s="411">
        <v>276</v>
      </c>
      <c r="I861" s="412">
        <f>'BAHAN '!G$72</f>
        <v>0</v>
      </c>
      <c r="J861" s="16">
        <f>H861*I861</f>
        <v>0</v>
      </c>
    </row>
    <row r="862" spans="1:10" ht="13">
      <c r="A862" s="27"/>
      <c r="B862" s="110"/>
      <c r="D862" s="409"/>
      <c r="E862" s="13" t="s">
        <v>126</v>
      </c>
      <c r="F862" s="14"/>
      <c r="G862" s="410" t="s">
        <v>93</v>
      </c>
      <c r="H862" s="411">
        <v>828</v>
      </c>
      <c r="I862" s="455">
        <f>'BAHAN '!G$60</f>
        <v>0</v>
      </c>
      <c r="J862" s="16">
        <f>H862*I862</f>
        <v>0</v>
      </c>
    </row>
    <row r="863" spans="1:10" ht="13">
      <c r="A863" s="27"/>
      <c r="B863" s="110"/>
      <c r="D863" s="409"/>
      <c r="E863" s="13" t="s">
        <v>399</v>
      </c>
      <c r="F863" s="14"/>
      <c r="G863" s="410" t="s">
        <v>93</v>
      </c>
      <c r="H863" s="411">
        <v>1012</v>
      </c>
      <c r="I863" s="412">
        <f>'BAHAN '!G$50</f>
        <v>0</v>
      </c>
      <c r="J863" s="16">
        <f>H863*I863</f>
        <v>0</v>
      </c>
    </row>
    <row r="864" spans="1:10" ht="13.5" thickBot="1">
      <c r="A864" s="27"/>
      <c r="B864" s="110"/>
      <c r="D864" s="409"/>
      <c r="E864" s="13" t="s">
        <v>108</v>
      </c>
      <c r="F864" s="14"/>
      <c r="G864" s="410" t="s">
        <v>63</v>
      </c>
      <c r="H864" s="411">
        <v>215</v>
      </c>
      <c r="I864" s="412">
        <f>'BAHAN '!G$11</f>
        <v>0</v>
      </c>
      <c r="J864" s="16">
        <f>H864*I864</f>
        <v>0</v>
      </c>
    </row>
    <row r="865" spans="1:10" ht="13.5" thickBot="1">
      <c r="A865" s="27"/>
      <c r="B865" s="110"/>
      <c r="D865" s="417"/>
      <c r="E865" s="418"/>
      <c r="F865" s="418"/>
      <c r="G865" s="419"/>
      <c r="H865" s="420" t="s">
        <v>64</v>
      </c>
      <c r="I865" s="421"/>
      <c r="J865" s="396">
        <f>SUM(J861:J864)</f>
        <v>0</v>
      </c>
    </row>
    <row r="866" spans="1:10" ht="13.5" thickBot="1">
      <c r="A866" s="27"/>
      <c r="B866" s="110"/>
      <c r="D866" s="406" t="s">
        <v>65</v>
      </c>
      <c r="E866" s="13" t="s">
        <v>66</v>
      </c>
      <c r="F866" s="14"/>
      <c r="G866" s="15"/>
      <c r="H866" s="451"/>
      <c r="I866" s="412">
        <f>IF(AND(E866&lt;&gt;"",G866&lt;&gt;""),IF(D866="",IF(G866="OH",VLOOKUP(E866,UPAH!$C$4:$H$31,7,0),VLOOKUP(E866,#REF!,4,0)),0),0)</f>
        <v>0</v>
      </c>
      <c r="J866" s="16">
        <f>H866*I866</f>
        <v>0</v>
      </c>
    </row>
    <row r="867" spans="1:10" ht="13.5" thickBot="1">
      <c r="A867" s="27"/>
      <c r="B867" s="110"/>
      <c r="D867" s="417"/>
      <c r="E867" s="418"/>
      <c r="F867" s="418"/>
      <c r="G867" s="419"/>
      <c r="H867" s="420" t="s">
        <v>67</v>
      </c>
      <c r="I867" s="421"/>
      <c r="J867" s="396">
        <f>J866</f>
        <v>0</v>
      </c>
    </row>
    <row r="868" spans="1:10" ht="13">
      <c r="A868" s="27"/>
      <c r="B868" s="110"/>
      <c r="D868" s="444" t="s">
        <v>68</v>
      </c>
      <c r="E868" s="445" t="s">
        <v>69</v>
      </c>
      <c r="F868" s="446"/>
      <c r="G868" s="447"/>
      <c r="H868" s="448"/>
      <c r="I868" s="449">
        <f>IF(AND(E868&lt;&gt;"",G868&lt;&gt;""),IF(D868="",IF(G868="OH",VLOOKUP(E868,UPAH!$C$4:$H$31,7,0),VLOOKUP(E868,#REF!,4,0)),0),0)</f>
        <v>0</v>
      </c>
      <c r="J868" s="16">
        <f>SUM(J854:J867)/2</f>
        <v>0</v>
      </c>
    </row>
    <row r="869" spans="1:10" ht="13.5" thickBot="1">
      <c r="A869" s="27"/>
      <c r="B869" s="110"/>
      <c r="D869" s="431" t="s">
        <v>70</v>
      </c>
      <c r="E869" s="432" t="s">
        <v>477</v>
      </c>
      <c r="F869" s="433"/>
      <c r="G869" s="434"/>
      <c r="H869" s="22">
        <v>0.1</v>
      </c>
      <c r="I869" s="436"/>
      <c r="J869" s="430">
        <f>H869*J868</f>
        <v>0</v>
      </c>
    </row>
    <row r="870" spans="1:10" ht="13.5" thickBot="1">
      <c r="A870" s="27"/>
      <c r="B870" s="110"/>
      <c r="D870" s="401" t="s">
        <v>71</v>
      </c>
      <c r="E870" s="402" t="s">
        <v>72</v>
      </c>
      <c r="F870" s="418"/>
      <c r="G870" s="419"/>
      <c r="H870" s="442"/>
      <c r="I870" s="421">
        <f>IF(AND(E870&lt;&gt;"",G870&lt;&gt;""),IF(D870="",IF(G870="OH",VLOOKUP(E870,UPAH!$C$4:$H$31,7,0),VLOOKUP(E870,#REF!,4,0)),0),0)</f>
        <v>0</v>
      </c>
      <c r="J870" s="396">
        <f>ROUNDDOWN(J868+J869,0)</f>
        <v>0</v>
      </c>
    </row>
    <row r="871" spans="1:10" ht="13">
      <c r="A871" s="27"/>
      <c r="B871" s="110"/>
      <c r="D871" s="11"/>
      <c r="E871" s="11"/>
      <c r="H871" s="443"/>
    </row>
    <row r="872" spans="1:10" ht="13.5" thickBot="1">
      <c r="A872" s="27"/>
      <c r="B872" s="110"/>
      <c r="C872" s="11" t="s">
        <v>599</v>
      </c>
      <c r="D872" s="10" t="s">
        <v>1844</v>
      </c>
      <c r="H872" s="443"/>
    </row>
    <row r="873" spans="1:10" ht="13.5" thickBot="1">
      <c r="A873" s="27"/>
      <c r="B873" s="110"/>
      <c r="D873" s="401" t="s">
        <v>40</v>
      </c>
      <c r="E873" s="402" t="s">
        <v>41</v>
      </c>
      <c r="F873" s="402" t="s">
        <v>42</v>
      </c>
      <c r="G873" s="403" t="s">
        <v>43</v>
      </c>
      <c r="H873" s="404" t="s">
        <v>44</v>
      </c>
      <c r="I873" s="402" t="s">
        <v>474</v>
      </c>
      <c r="J873" s="405" t="s">
        <v>475</v>
      </c>
    </row>
    <row r="874" spans="1:10" ht="13">
      <c r="A874" s="27"/>
      <c r="B874" s="110"/>
      <c r="D874" s="406" t="s">
        <v>45</v>
      </c>
      <c r="E874" s="13" t="s">
        <v>46</v>
      </c>
      <c r="F874" s="14"/>
      <c r="G874" s="15"/>
      <c r="H874" s="451"/>
      <c r="I874" s="412"/>
      <c r="J874" s="16"/>
    </row>
    <row r="875" spans="1:10" ht="13">
      <c r="A875" s="27"/>
      <c r="B875" s="110"/>
      <c r="D875" s="409"/>
      <c r="E875" s="13" t="s">
        <v>47</v>
      </c>
      <c r="F875" s="13" t="s">
        <v>1918</v>
      </c>
      <c r="G875" s="410" t="s">
        <v>48</v>
      </c>
      <c r="H875" s="411">
        <v>1.65</v>
      </c>
      <c r="I875" s="412">
        <f>IF(AND(E875&lt;&gt;"",G875&lt;&gt;""),IF(D875="",IF(G875="OH",VLOOKUP(F875,UPAH!$B$4:$H$101,7,0),VLOOKUP(F875,#REF!,4,0)),0),0)</f>
        <v>0</v>
      </c>
      <c r="J875" s="16">
        <f>H875*I875</f>
        <v>0</v>
      </c>
    </row>
    <row r="876" spans="1:10" ht="13">
      <c r="A876" s="27"/>
      <c r="B876" s="110"/>
      <c r="D876" s="409"/>
      <c r="E876" s="13" t="s">
        <v>115</v>
      </c>
      <c r="F876" s="13" t="s">
        <v>1921</v>
      </c>
      <c r="G876" s="410" t="s">
        <v>48</v>
      </c>
      <c r="H876" s="411">
        <v>0.27500000000000002</v>
      </c>
      <c r="I876" s="412">
        <f>IF(AND(E876&lt;&gt;"",G876&lt;&gt;""),IF(D876="",IF(G876="OH",VLOOKUP(F876,UPAH!$B$4:$H$101,7,0),VLOOKUP(F876,#REF!,4,0)),0),0)</f>
        <v>0</v>
      </c>
      <c r="J876" s="16">
        <f>H876*I876</f>
        <v>0</v>
      </c>
    </row>
    <row r="877" spans="1:10" ht="13">
      <c r="A877" s="27"/>
      <c r="B877" s="110"/>
      <c r="D877" s="409"/>
      <c r="E877" s="13" t="s">
        <v>97</v>
      </c>
      <c r="F877" s="13" t="s">
        <v>1928</v>
      </c>
      <c r="G877" s="410" t="s">
        <v>48</v>
      </c>
      <c r="H877" s="411">
        <v>2.8000000000000001E-2</v>
      </c>
      <c r="I877" s="412">
        <f>IF(AND(E877&lt;&gt;"",G877&lt;&gt;""),IF(D877="",IF(G877="OH",VLOOKUP(F877,UPAH!$B$4:$H$101,7,0),VLOOKUP(F877,#REF!,4,0)),0),0)</f>
        <v>0</v>
      </c>
      <c r="J877" s="16">
        <f>H877*I877</f>
        <v>0</v>
      </c>
    </row>
    <row r="878" spans="1:10" ht="13.5" thickBot="1">
      <c r="A878" s="27"/>
      <c r="B878" s="110"/>
      <c r="D878" s="409"/>
      <c r="E878" s="13" t="s">
        <v>51</v>
      </c>
      <c r="F878" s="414" t="s">
        <v>1929</v>
      </c>
      <c r="G878" s="410" t="s">
        <v>48</v>
      </c>
      <c r="H878" s="411">
        <v>8.3000000000000004E-2</v>
      </c>
      <c r="I878" s="412">
        <f>IF(AND(E878&lt;&gt;"",G878&lt;&gt;""),IF(D878="",IF(G878="OH",VLOOKUP(F878,UPAH!$B$4:$H$101,7,0),VLOOKUP(F878,#REF!,4,0)),0),0)</f>
        <v>0</v>
      </c>
      <c r="J878" s="16">
        <f>H878*I878</f>
        <v>0</v>
      </c>
    </row>
    <row r="879" spans="1:10" ht="13.5" thickBot="1">
      <c r="A879" s="27"/>
      <c r="B879" s="110"/>
      <c r="D879" s="417"/>
      <c r="E879" s="418"/>
      <c r="F879" s="418"/>
      <c r="G879" s="419"/>
      <c r="H879" s="420" t="s">
        <v>52</v>
      </c>
      <c r="I879" s="421"/>
      <c r="J879" s="396">
        <f>SUM(J875:J878)</f>
        <v>0</v>
      </c>
    </row>
    <row r="880" spans="1:10" ht="13">
      <c r="A880" s="27"/>
      <c r="B880" s="110"/>
      <c r="D880" s="406" t="s">
        <v>53</v>
      </c>
      <c r="E880" s="13" t="s">
        <v>54</v>
      </c>
      <c r="F880" s="14"/>
      <c r="G880" s="15"/>
      <c r="H880" s="451"/>
      <c r="I880" s="412"/>
      <c r="J880" s="16"/>
    </row>
    <row r="881" spans="1:10" ht="13">
      <c r="A881" s="27"/>
      <c r="B881" s="110"/>
      <c r="D881" s="409"/>
      <c r="E881" s="13" t="s">
        <v>56</v>
      </c>
      <c r="F881" s="14"/>
      <c r="G881" s="410" t="s">
        <v>93</v>
      </c>
      <c r="H881" s="411">
        <v>299</v>
      </c>
      <c r="I881" s="412">
        <f>'BAHAN '!G$72</f>
        <v>0</v>
      </c>
      <c r="J881" s="16">
        <f>H881*I881</f>
        <v>0</v>
      </c>
    </row>
    <row r="882" spans="1:10" ht="13">
      <c r="A882" s="27"/>
      <c r="B882" s="110"/>
      <c r="D882" s="409"/>
      <c r="E882" s="13" t="s">
        <v>126</v>
      </c>
      <c r="F882" s="14"/>
      <c r="G882" s="410" t="s">
        <v>93</v>
      </c>
      <c r="H882" s="411">
        <v>799</v>
      </c>
      <c r="I882" s="455">
        <f>'BAHAN '!G$60</f>
        <v>0</v>
      </c>
      <c r="J882" s="16">
        <f>H882*I882</f>
        <v>0</v>
      </c>
    </row>
    <row r="883" spans="1:10" ht="13">
      <c r="A883" s="27"/>
      <c r="B883" s="110"/>
      <c r="D883" s="409"/>
      <c r="E883" s="13" t="s">
        <v>399</v>
      </c>
      <c r="F883" s="14"/>
      <c r="G883" s="410" t="s">
        <v>93</v>
      </c>
      <c r="H883" s="411">
        <v>1017</v>
      </c>
      <c r="I883" s="412">
        <f>'BAHAN '!G$50</f>
        <v>0</v>
      </c>
      <c r="J883" s="16">
        <f>H883*I883</f>
        <v>0</v>
      </c>
    </row>
    <row r="884" spans="1:10" ht="13.5" thickBot="1">
      <c r="A884" s="27"/>
      <c r="B884" s="110"/>
      <c r="D884" s="409"/>
      <c r="E884" s="13" t="s">
        <v>108</v>
      </c>
      <c r="F884" s="14"/>
      <c r="G884" s="410" t="s">
        <v>63</v>
      </c>
      <c r="H884" s="411">
        <v>215</v>
      </c>
      <c r="I884" s="412">
        <f>'BAHAN '!G$11</f>
        <v>0</v>
      </c>
      <c r="J884" s="16">
        <f>H884*I884</f>
        <v>0</v>
      </c>
    </row>
    <row r="885" spans="1:10" ht="13.5" thickBot="1">
      <c r="A885" s="27"/>
      <c r="B885" s="110"/>
      <c r="D885" s="417"/>
      <c r="E885" s="418"/>
      <c r="F885" s="418"/>
      <c r="G885" s="419"/>
      <c r="H885" s="420" t="s">
        <v>64</v>
      </c>
      <c r="I885" s="421"/>
      <c r="J885" s="396">
        <f>SUM(J881:J884)</f>
        <v>0</v>
      </c>
    </row>
    <row r="886" spans="1:10" ht="13.5" thickBot="1">
      <c r="A886" s="27"/>
      <c r="B886" s="110"/>
      <c r="D886" s="406" t="s">
        <v>65</v>
      </c>
      <c r="E886" s="13" t="s">
        <v>66</v>
      </c>
      <c r="F886" s="14"/>
      <c r="G886" s="15"/>
      <c r="H886" s="451"/>
      <c r="I886" s="412">
        <f>IF(AND(E886&lt;&gt;"",G886&lt;&gt;""),IF(D886="",IF(G886="OH",VLOOKUP(E886,UPAH!$C$4:$H$31,7,0),VLOOKUP(E886,#REF!,4,0)),0),0)</f>
        <v>0</v>
      </c>
      <c r="J886" s="16">
        <f>H886*I886</f>
        <v>0</v>
      </c>
    </row>
    <row r="887" spans="1:10" ht="13.5" thickBot="1">
      <c r="A887" s="27"/>
      <c r="B887" s="110"/>
      <c r="D887" s="417"/>
      <c r="E887" s="418"/>
      <c r="F887" s="418"/>
      <c r="G887" s="419"/>
      <c r="H887" s="420" t="s">
        <v>67</v>
      </c>
      <c r="I887" s="421"/>
      <c r="J887" s="396">
        <f>J886</f>
        <v>0</v>
      </c>
    </row>
    <row r="888" spans="1:10" ht="13">
      <c r="A888" s="27"/>
      <c r="B888" s="110"/>
      <c r="D888" s="444" t="s">
        <v>68</v>
      </c>
      <c r="E888" s="445" t="s">
        <v>69</v>
      </c>
      <c r="F888" s="446"/>
      <c r="G888" s="447"/>
      <c r="H888" s="448"/>
      <c r="I888" s="449">
        <f>IF(AND(E888&lt;&gt;"",G888&lt;&gt;""),IF(D888="",IF(G888="OH",VLOOKUP(E888,UPAH!$C$4:$H$31,7,0),VLOOKUP(E888,#REF!,4,0)),0),0)</f>
        <v>0</v>
      </c>
      <c r="J888" s="16">
        <f>SUM(J873:J887)/2</f>
        <v>0</v>
      </c>
    </row>
    <row r="889" spans="1:10" ht="13.5" thickBot="1">
      <c r="A889" s="27"/>
      <c r="B889" s="110"/>
      <c r="D889" s="431" t="s">
        <v>70</v>
      </c>
      <c r="E889" s="432" t="s">
        <v>477</v>
      </c>
      <c r="F889" s="433"/>
      <c r="G889" s="434"/>
      <c r="H889" s="22">
        <v>0.1</v>
      </c>
      <c r="I889" s="436"/>
      <c r="J889" s="430">
        <f>H889*J888</f>
        <v>0</v>
      </c>
    </row>
    <row r="890" spans="1:10" ht="13.5" thickBot="1">
      <c r="A890" s="27"/>
      <c r="B890" s="110"/>
      <c r="D890" s="401" t="s">
        <v>71</v>
      </c>
      <c r="E890" s="402" t="s">
        <v>72</v>
      </c>
      <c r="F890" s="418"/>
      <c r="G890" s="419"/>
      <c r="H890" s="442"/>
      <c r="I890" s="421">
        <f>IF(AND(E890&lt;&gt;"",G890&lt;&gt;""),IF(D890="",IF(G890="OH",VLOOKUP(E890,UPAH!$C$4:$H$31,7,0),VLOOKUP(E890,#REF!,4,0)),0),0)</f>
        <v>0</v>
      </c>
      <c r="J890" s="396">
        <f>ROUNDDOWN(J888+J889,0)</f>
        <v>0</v>
      </c>
    </row>
    <row r="891" spans="1:10" ht="13">
      <c r="A891" s="27"/>
      <c r="B891" s="110"/>
      <c r="E891" s="11" t="s">
        <v>483</v>
      </c>
      <c r="H891" s="443"/>
    </row>
    <row r="892" spans="1:10" ht="13">
      <c r="A892" s="27"/>
      <c r="B892" s="110"/>
      <c r="E892" s="11" t="s">
        <v>1069</v>
      </c>
      <c r="H892" s="443"/>
    </row>
    <row r="893" spans="1:10" ht="13">
      <c r="A893" s="27"/>
      <c r="B893" s="110"/>
      <c r="E893" s="11"/>
      <c r="H893" s="443"/>
    </row>
    <row r="894" spans="1:10" ht="13.5" thickBot="1">
      <c r="A894" s="27"/>
      <c r="B894" s="110"/>
      <c r="C894" s="11" t="s">
        <v>600</v>
      </c>
      <c r="D894" s="10" t="s">
        <v>1845</v>
      </c>
      <c r="H894" s="443"/>
    </row>
    <row r="895" spans="1:10" ht="13.5" thickBot="1">
      <c r="A895" s="27"/>
      <c r="B895" s="110"/>
      <c r="D895" s="401" t="s">
        <v>40</v>
      </c>
      <c r="E895" s="402" t="s">
        <v>41</v>
      </c>
      <c r="F895" s="402" t="s">
        <v>42</v>
      </c>
      <c r="G895" s="403" t="s">
        <v>43</v>
      </c>
      <c r="H895" s="404" t="s">
        <v>44</v>
      </c>
      <c r="I895" s="402" t="s">
        <v>474</v>
      </c>
      <c r="J895" s="405" t="s">
        <v>475</v>
      </c>
    </row>
    <row r="896" spans="1:10" ht="13">
      <c r="A896" s="27"/>
      <c r="B896" s="110"/>
      <c r="D896" s="406" t="s">
        <v>45</v>
      </c>
      <c r="E896" s="13" t="s">
        <v>46</v>
      </c>
      <c r="F896" s="14"/>
      <c r="G896" s="15"/>
      <c r="H896" s="451"/>
      <c r="I896" s="412"/>
      <c r="J896" s="16"/>
    </row>
    <row r="897" spans="1:10" ht="13">
      <c r="A897" s="27"/>
      <c r="B897" s="110"/>
      <c r="D897" s="409"/>
      <c r="E897" s="13" t="s">
        <v>47</v>
      </c>
      <c r="F897" s="13" t="s">
        <v>1918</v>
      </c>
      <c r="G897" s="410" t="s">
        <v>48</v>
      </c>
      <c r="H897" s="411">
        <v>1.2</v>
      </c>
      <c r="I897" s="412">
        <f>IF(AND(E897&lt;&gt;"",G897&lt;&gt;""),IF(D897="",IF(G897="OH",VLOOKUP(F897,UPAH!$B$4:$H$101,7,0),VLOOKUP(F897,#REF!,4,0)),0),0)</f>
        <v>0</v>
      </c>
      <c r="J897" s="16">
        <f>H897*I897</f>
        <v>0</v>
      </c>
    </row>
    <row r="898" spans="1:10" ht="13">
      <c r="A898" s="27"/>
      <c r="B898" s="110"/>
      <c r="D898" s="409"/>
      <c r="E898" s="13" t="s">
        <v>115</v>
      </c>
      <c r="F898" s="13" t="s">
        <v>1921</v>
      </c>
      <c r="G898" s="410" t="s">
        <v>48</v>
      </c>
      <c r="H898" s="411">
        <v>0.2</v>
      </c>
      <c r="I898" s="412">
        <f>IF(AND(E898&lt;&gt;"",G898&lt;&gt;""),IF(D898="",IF(G898="OH",VLOOKUP(F898,UPAH!$B$4:$H$101,7,0),VLOOKUP(F898,#REF!,4,0)),0),0)</f>
        <v>0</v>
      </c>
      <c r="J898" s="16">
        <f>H898*I898</f>
        <v>0</v>
      </c>
    </row>
    <row r="899" spans="1:10" ht="13">
      <c r="A899" s="27"/>
      <c r="B899" s="110"/>
      <c r="D899" s="409"/>
      <c r="E899" s="13" t="s">
        <v>97</v>
      </c>
      <c r="F899" s="13" t="s">
        <v>1928</v>
      </c>
      <c r="G899" s="410" t="s">
        <v>48</v>
      </c>
      <c r="H899" s="411">
        <v>0.02</v>
      </c>
      <c r="I899" s="412">
        <f>IF(AND(E899&lt;&gt;"",G899&lt;&gt;""),IF(D899="",IF(G899="OH",VLOOKUP(F899,UPAH!$B$4:$H$101,7,0),VLOOKUP(F899,#REF!,4,0)),0),0)</f>
        <v>0</v>
      </c>
      <c r="J899" s="16">
        <f>H899*I899</f>
        <v>0</v>
      </c>
    </row>
    <row r="900" spans="1:10" ht="13.5" thickBot="1">
      <c r="A900" s="27"/>
      <c r="B900" s="110"/>
      <c r="D900" s="409"/>
      <c r="E900" s="13" t="s">
        <v>51</v>
      </c>
      <c r="F900" s="414" t="s">
        <v>1929</v>
      </c>
      <c r="G900" s="410" t="s">
        <v>48</v>
      </c>
      <c r="H900" s="411">
        <v>0.06</v>
      </c>
      <c r="I900" s="412">
        <f>IF(AND(E900&lt;&gt;"",G900&lt;&gt;""),IF(D900="",IF(G900="OH",VLOOKUP(F900,UPAH!$B$4:$H$101,7,0),VLOOKUP(F900,#REF!,4,0)),0),0)</f>
        <v>0</v>
      </c>
      <c r="J900" s="16">
        <f>H900*I900</f>
        <v>0</v>
      </c>
    </row>
    <row r="901" spans="1:10" ht="13.5" thickBot="1">
      <c r="A901" s="27"/>
      <c r="B901" s="110"/>
      <c r="D901" s="417"/>
      <c r="E901" s="418"/>
      <c r="F901" s="418"/>
      <c r="G901" s="419"/>
      <c r="H901" s="420" t="s">
        <v>52</v>
      </c>
      <c r="I901" s="421"/>
      <c r="J901" s="396">
        <f>SUM(J897:J900)</f>
        <v>0</v>
      </c>
    </row>
    <row r="902" spans="1:10" ht="13">
      <c r="A902" s="27"/>
      <c r="B902" s="110"/>
      <c r="D902" s="406" t="s">
        <v>53</v>
      </c>
      <c r="E902" s="13" t="s">
        <v>54</v>
      </c>
      <c r="F902" s="14"/>
      <c r="G902" s="15"/>
      <c r="H902" s="451"/>
      <c r="I902" s="412"/>
      <c r="J902" s="16"/>
    </row>
    <row r="903" spans="1:10" ht="13">
      <c r="A903" s="27"/>
      <c r="B903" s="110"/>
      <c r="D903" s="409"/>
      <c r="E903" s="13" t="s">
        <v>56</v>
      </c>
      <c r="F903" s="14"/>
      <c r="G903" s="410" t="s">
        <v>93</v>
      </c>
      <c r="H903" s="411">
        <v>230</v>
      </c>
      <c r="I903" s="412">
        <f>'BAHAN '!G$72</f>
        <v>0</v>
      </c>
      <c r="J903" s="16">
        <f>H903*I903</f>
        <v>0</v>
      </c>
    </row>
    <row r="904" spans="1:10" ht="13">
      <c r="A904" s="27"/>
      <c r="B904" s="110"/>
      <c r="D904" s="409"/>
      <c r="E904" s="13" t="s">
        <v>126</v>
      </c>
      <c r="F904" s="14"/>
      <c r="G904" s="410" t="s">
        <v>93</v>
      </c>
      <c r="H904" s="411">
        <v>893</v>
      </c>
      <c r="I904" s="455">
        <f>'BAHAN '!G$60</f>
        <v>0</v>
      </c>
      <c r="J904" s="16">
        <f>H904*I904</f>
        <v>0</v>
      </c>
    </row>
    <row r="905" spans="1:10" ht="13">
      <c r="A905" s="27"/>
      <c r="B905" s="110"/>
      <c r="D905" s="409"/>
      <c r="E905" s="13" t="s">
        <v>399</v>
      </c>
      <c r="F905" s="14"/>
      <c r="G905" s="410" t="s">
        <v>93</v>
      </c>
      <c r="H905" s="411">
        <v>1027</v>
      </c>
      <c r="I905" s="412">
        <f>'BAHAN '!G$50</f>
        <v>0</v>
      </c>
      <c r="J905" s="16">
        <f>H905*I905</f>
        <v>0</v>
      </c>
    </row>
    <row r="906" spans="1:10" ht="13.5" thickBot="1">
      <c r="A906" s="27"/>
      <c r="B906" s="110"/>
      <c r="D906" s="409"/>
      <c r="E906" s="13" t="s">
        <v>108</v>
      </c>
      <c r="F906" s="14"/>
      <c r="G906" s="410" t="s">
        <v>63</v>
      </c>
      <c r="H906" s="411">
        <v>200</v>
      </c>
      <c r="I906" s="412">
        <f>'BAHAN '!G$11</f>
        <v>0</v>
      </c>
      <c r="J906" s="16">
        <f>H906*I906</f>
        <v>0</v>
      </c>
    </row>
    <row r="907" spans="1:10" ht="13.5" thickBot="1">
      <c r="A907" s="27"/>
      <c r="B907" s="110"/>
      <c r="D907" s="417"/>
      <c r="E907" s="418"/>
      <c r="F907" s="418"/>
      <c r="G907" s="419"/>
      <c r="H907" s="420" t="s">
        <v>64</v>
      </c>
      <c r="I907" s="421"/>
      <c r="J907" s="396">
        <f>SUM(J903:J906)</f>
        <v>0</v>
      </c>
    </row>
    <row r="908" spans="1:10" ht="13.5" thickBot="1">
      <c r="A908" s="27"/>
      <c r="B908" s="110"/>
      <c r="D908" s="406" t="s">
        <v>65</v>
      </c>
      <c r="E908" s="13" t="s">
        <v>66</v>
      </c>
      <c r="F908" s="14"/>
      <c r="G908" s="15"/>
      <c r="H908" s="451"/>
      <c r="I908" s="412">
        <f>IF(AND(E908&lt;&gt;"",G908&lt;&gt;""),IF(D908="",IF(G908="OH",VLOOKUP(E908,UPAH!$C$4:$H$31,7,0),VLOOKUP(E908,#REF!,4,0)),0),0)</f>
        <v>0</v>
      </c>
      <c r="J908" s="16">
        <f>H908*I908</f>
        <v>0</v>
      </c>
    </row>
    <row r="909" spans="1:10" ht="13.5" thickBot="1">
      <c r="A909" s="27"/>
      <c r="B909" s="110"/>
      <c r="D909" s="417"/>
      <c r="E909" s="418"/>
      <c r="F909" s="418"/>
      <c r="G909" s="419"/>
      <c r="H909" s="420" t="s">
        <v>67</v>
      </c>
      <c r="I909" s="421"/>
      <c r="J909" s="396">
        <f>J908</f>
        <v>0</v>
      </c>
    </row>
    <row r="910" spans="1:10" ht="13">
      <c r="A910" s="27"/>
      <c r="B910" s="110"/>
      <c r="D910" s="444" t="s">
        <v>68</v>
      </c>
      <c r="E910" s="445" t="s">
        <v>69</v>
      </c>
      <c r="F910" s="446"/>
      <c r="G910" s="447"/>
      <c r="H910" s="448"/>
      <c r="I910" s="449">
        <f>IF(AND(E910&lt;&gt;"",G910&lt;&gt;""),IF(D910="",IF(G910="OH",VLOOKUP(E910,UPAH!$C$4:$H$31,7,0),VLOOKUP(E910,#REF!,4,0)),0),0)</f>
        <v>0</v>
      </c>
      <c r="J910" s="16">
        <f>SUM(J897:J909)/2</f>
        <v>0</v>
      </c>
    </row>
    <row r="911" spans="1:10" ht="13.5" thickBot="1">
      <c r="A911" s="27"/>
      <c r="B911" s="110"/>
      <c r="D911" s="431" t="s">
        <v>70</v>
      </c>
      <c r="E911" s="432" t="s">
        <v>477</v>
      </c>
      <c r="F911" s="433"/>
      <c r="G911" s="434"/>
      <c r="H911" s="22">
        <v>0.1</v>
      </c>
      <c r="I911" s="436"/>
      <c r="J911" s="430">
        <f>H911*J910</f>
        <v>0</v>
      </c>
    </row>
    <row r="912" spans="1:10" ht="13.5" thickBot="1">
      <c r="A912" s="27"/>
      <c r="B912" s="110"/>
      <c r="D912" s="401" t="s">
        <v>71</v>
      </c>
      <c r="E912" s="402" t="s">
        <v>72</v>
      </c>
      <c r="F912" s="418"/>
      <c r="G912" s="419"/>
      <c r="H912" s="442"/>
      <c r="I912" s="421">
        <f>IF(AND(E912&lt;&gt;"",G912&lt;&gt;""),IF(D912="",IF(G912="OH",VLOOKUP(E912,UPAH!$C$4:$H$31,7,0),VLOOKUP(E912,#REF!,4,0)),0),0)</f>
        <v>0</v>
      </c>
      <c r="J912" s="396">
        <f>ROUNDDOWN(J910+J911,0)</f>
        <v>0</v>
      </c>
    </row>
    <row r="913" spans="1:10" ht="13">
      <c r="A913" s="27"/>
      <c r="B913" s="110"/>
      <c r="D913" s="11"/>
      <c r="E913" s="11"/>
      <c r="H913" s="443"/>
    </row>
    <row r="914" spans="1:10" ht="13.5" thickBot="1">
      <c r="A914" s="27"/>
      <c r="B914" s="110"/>
      <c r="C914" s="11" t="s">
        <v>1791</v>
      </c>
      <c r="D914" s="10" t="s">
        <v>602</v>
      </c>
      <c r="H914" s="443"/>
    </row>
    <row r="915" spans="1:10" ht="13.5" thickBot="1">
      <c r="A915" s="27"/>
      <c r="B915" s="110"/>
      <c r="D915" s="401" t="s">
        <v>40</v>
      </c>
      <c r="E915" s="402" t="s">
        <v>41</v>
      </c>
      <c r="F915" s="402" t="s">
        <v>42</v>
      </c>
      <c r="G915" s="403" t="s">
        <v>43</v>
      </c>
      <c r="H915" s="404" t="s">
        <v>44</v>
      </c>
      <c r="I915" s="402" t="s">
        <v>474</v>
      </c>
      <c r="J915" s="405" t="s">
        <v>475</v>
      </c>
    </row>
    <row r="916" spans="1:10" ht="13">
      <c r="A916" s="27"/>
      <c r="B916" s="110"/>
      <c r="D916" s="406" t="s">
        <v>45</v>
      </c>
      <c r="E916" s="13" t="s">
        <v>46</v>
      </c>
      <c r="F916" s="14"/>
      <c r="G916" s="15"/>
      <c r="H916" s="451"/>
      <c r="I916" s="412"/>
      <c r="J916" s="16"/>
    </row>
    <row r="917" spans="1:10" ht="13">
      <c r="A917" s="27"/>
      <c r="B917" s="110"/>
      <c r="D917" s="409"/>
      <c r="E917" s="13" t="s">
        <v>47</v>
      </c>
      <c r="F917" s="13" t="s">
        <v>1918</v>
      </c>
      <c r="G917" s="410" t="s">
        <v>48</v>
      </c>
      <c r="H917" s="411">
        <v>1.65</v>
      </c>
      <c r="I917" s="412">
        <f>IF(AND(E917&lt;&gt;"",G917&lt;&gt;""),IF(D917="",IF(G917="OH",VLOOKUP(F917,UPAH!$B$4:$H$101,7,0),VLOOKUP(F917,#REF!,4,0)),0),0)</f>
        <v>0</v>
      </c>
      <c r="J917" s="16">
        <f>H917*I917</f>
        <v>0</v>
      </c>
    </row>
    <row r="918" spans="1:10" ht="13">
      <c r="A918" s="27"/>
      <c r="B918" s="110"/>
      <c r="D918" s="409"/>
      <c r="E918" s="13" t="s">
        <v>115</v>
      </c>
      <c r="F918" s="13" t="s">
        <v>1921</v>
      </c>
      <c r="G918" s="410" t="s">
        <v>48</v>
      </c>
      <c r="H918" s="411">
        <v>0.27500000000000002</v>
      </c>
      <c r="I918" s="412">
        <f>IF(AND(E918&lt;&gt;"",G918&lt;&gt;""),IF(D918="",IF(G918="OH",VLOOKUP(F918,UPAH!$B$4:$H$101,7,0),VLOOKUP(F918,#REF!,4,0)),0),0)</f>
        <v>0</v>
      </c>
      <c r="J918" s="16">
        <f>H918*I918</f>
        <v>0</v>
      </c>
    </row>
    <row r="919" spans="1:10" ht="13">
      <c r="A919" s="27"/>
      <c r="B919" s="110"/>
      <c r="D919" s="409"/>
      <c r="E919" s="13" t="s">
        <v>97</v>
      </c>
      <c r="F919" s="13" t="s">
        <v>1928</v>
      </c>
      <c r="G919" s="410" t="s">
        <v>48</v>
      </c>
      <c r="H919" s="411">
        <v>2.8000000000000001E-2</v>
      </c>
      <c r="I919" s="412">
        <f>IF(AND(E919&lt;&gt;"",G919&lt;&gt;""),IF(D919="",IF(G919="OH",VLOOKUP(F919,UPAH!$B$4:$H$101,7,0),VLOOKUP(F919,#REF!,4,0)),0),0)</f>
        <v>0</v>
      </c>
      <c r="J919" s="16">
        <f>H919*I919</f>
        <v>0</v>
      </c>
    </row>
    <row r="920" spans="1:10" ht="13.5" thickBot="1">
      <c r="A920" s="27"/>
      <c r="B920" s="110"/>
      <c r="D920" s="409"/>
      <c r="E920" s="13" t="s">
        <v>51</v>
      </c>
      <c r="F920" s="414" t="s">
        <v>1929</v>
      </c>
      <c r="G920" s="410" t="s">
        <v>48</v>
      </c>
      <c r="H920" s="411">
        <v>8.3000000000000004E-2</v>
      </c>
      <c r="I920" s="412">
        <f>IF(AND(E920&lt;&gt;"",G920&lt;&gt;""),IF(D920="",IF(G920="OH",VLOOKUP(F920,UPAH!$B$4:$H$101,7,0),VLOOKUP(F920,#REF!,4,0)),0),0)</f>
        <v>0</v>
      </c>
      <c r="J920" s="16">
        <f>H920*I920</f>
        <v>0</v>
      </c>
    </row>
    <row r="921" spans="1:10" ht="13.5" thickBot="1">
      <c r="A921" s="27"/>
      <c r="B921" s="110"/>
      <c r="D921" s="417"/>
      <c r="E921" s="418"/>
      <c r="F921" s="418"/>
      <c r="G921" s="419"/>
      <c r="H921" s="420" t="s">
        <v>52</v>
      </c>
      <c r="I921" s="421"/>
      <c r="J921" s="396">
        <f>SUM(J917:J920)</f>
        <v>0</v>
      </c>
    </row>
    <row r="922" spans="1:10" ht="13">
      <c r="A922" s="27"/>
      <c r="B922" s="110"/>
      <c r="D922" s="406" t="s">
        <v>53</v>
      </c>
      <c r="E922" s="13" t="s">
        <v>54</v>
      </c>
      <c r="F922" s="14"/>
      <c r="G922" s="15"/>
      <c r="H922" s="451"/>
      <c r="I922" s="412"/>
      <c r="J922" s="16"/>
    </row>
    <row r="923" spans="1:10" ht="13">
      <c r="A923" s="27"/>
      <c r="B923" s="110"/>
      <c r="D923" s="409"/>
      <c r="E923" s="13" t="s">
        <v>56</v>
      </c>
      <c r="F923" s="14"/>
      <c r="G923" s="410" t="s">
        <v>93</v>
      </c>
      <c r="H923" s="411">
        <v>326</v>
      </c>
      <c r="I923" s="412">
        <f>'BAHAN '!G$72</f>
        <v>0</v>
      </c>
      <c r="J923" s="16">
        <f>H923*I923</f>
        <v>0</v>
      </c>
    </row>
    <row r="924" spans="1:10" ht="13">
      <c r="A924" s="27"/>
      <c r="B924" s="110"/>
      <c r="D924" s="409"/>
      <c r="E924" s="13" t="s">
        <v>126</v>
      </c>
      <c r="F924" s="14"/>
      <c r="G924" s="410" t="s">
        <v>93</v>
      </c>
      <c r="H924" s="411">
        <v>760</v>
      </c>
      <c r="I924" s="455">
        <f>'BAHAN '!G$60</f>
        <v>0</v>
      </c>
      <c r="J924" s="16">
        <f>H924*I924</f>
        <v>0</v>
      </c>
    </row>
    <row r="925" spans="1:10" ht="13">
      <c r="A925" s="27"/>
      <c r="B925" s="110"/>
      <c r="D925" s="409"/>
      <c r="E925" s="13" t="s">
        <v>399</v>
      </c>
      <c r="F925" s="14"/>
      <c r="G925" s="410" t="s">
        <v>93</v>
      </c>
      <c r="H925" s="411">
        <v>1029</v>
      </c>
      <c r="I925" s="412">
        <f>'BAHAN '!G$50</f>
        <v>0</v>
      </c>
      <c r="J925" s="16">
        <f>H925*I925</f>
        <v>0</v>
      </c>
    </row>
    <row r="926" spans="1:10" ht="13.5" thickBot="1">
      <c r="A926" s="27"/>
      <c r="B926" s="110"/>
      <c r="D926" s="409"/>
      <c r="E926" s="13" t="s">
        <v>108</v>
      </c>
      <c r="F926" s="14"/>
      <c r="G926" s="410" t="s">
        <v>63</v>
      </c>
      <c r="H926" s="411">
        <v>215</v>
      </c>
      <c r="I926" s="412">
        <f>'BAHAN '!G$11</f>
        <v>0</v>
      </c>
      <c r="J926" s="16">
        <f>H926*I926</f>
        <v>0</v>
      </c>
    </row>
    <row r="927" spans="1:10" ht="13.5" thickBot="1">
      <c r="A927" s="27"/>
      <c r="B927" s="110"/>
      <c r="D927" s="417"/>
      <c r="E927" s="418"/>
      <c r="F927" s="418"/>
      <c r="G927" s="419"/>
      <c r="H927" s="420" t="s">
        <v>64</v>
      </c>
      <c r="I927" s="421"/>
      <c r="J927" s="396">
        <f>SUM(J923:J926)</f>
        <v>0</v>
      </c>
    </row>
    <row r="928" spans="1:10" ht="13.5" thickBot="1">
      <c r="A928" s="27"/>
      <c r="B928" s="110"/>
      <c r="D928" s="406" t="s">
        <v>65</v>
      </c>
      <c r="E928" s="13" t="s">
        <v>66</v>
      </c>
      <c r="F928" s="14"/>
      <c r="G928" s="15"/>
      <c r="H928" s="451"/>
      <c r="I928" s="412">
        <f>IF(AND(E928&lt;&gt;"",G928&lt;&gt;""),IF(D928="",IF(G928="OH",VLOOKUP(E928,UPAH!$C$4:$H$31,7,0),VLOOKUP(E928,#REF!,4,0)),0),0)</f>
        <v>0</v>
      </c>
      <c r="J928" s="16">
        <f>H928*I928</f>
        <v>0</v>
      </c>
    </row>
    <row r="929" spans="1:10" ht="13.5" thickBot="1">
      <c r="A929" s="27"/>
      <c r="B929" s="110"/>
      <c r="D929" s="417"/>
      <c r="E929" s="418"/>
      <c r="F929" s="418"/>
      <c r="G929" s="419"/>
      <c r="H929" s="420" t="s">
        <v>67</v>
      </c>
      <c r="I929" s="421"/>
      <c r="J929" s="396">
        <f>J928</f>
        <v>0</v>
      </c>
    </row>
    <row r="930" spans="1:10" ht="13">
      <c r="A930" s="27"/>
      <c r="B930" s="110"/>
      <c r="D930" s="444" t="s">
        <v>68</v>
      </c>
      <c r="E930" s="445" t="s">
        <v>69</v>
      </c>
      <c r="F930" s="446"/>
      <c r="G930" s="447"/>
      <c r="H930" s="448"/>
      <c r="I930" s="449">
        <f>IF(AND(E930&lt;&gt;"",G930&lt;&gt;""),IF(D930="",IF(G930="OH",VLOOKUP(E930,UPAH!$C$4:$H$31,7,0),VLOOKUP(E930,#REF!,4,0)),0),0)</f>
        <v>0</v>
      </c>
      <c r="J930" s="16">
        <f>SUM(J917:J929)/2</f>
        <v>0</v>
      </c>
    </row>
    <row r="931" spans="1:10" ht="13.5" thickBot="1">
      <c r="A931" s="27"/>
      <c r="B931" s="110"/>
      <c r="D931" s="431" t="s">
        <v>70</v>
      </c>
      <c r="E931" s="432" t="s">
        <v>477</v>
      </c>
      <c r="F931" s="433"/>
      <c r="G931" s="434"/>
      <c r="H931" s="22">
        <v>0.1</v>
      </c>
      <c r="I931" s="436"/>
      <c r="J931" s="430">
        <f>H931*J930</f>
        <v>0</v>
      </c>
    </row>
    <row r="932" spans="1:10" ht="13.5" thickBot="1">
      <c r="A932" s="27"/>
      <c r="B932" s="110"/>
      <c r="D932" s="401" t="s">
        <v>71</v>
      </c>
      <c r="E932" s="402" t="s">
        <v>72</v>
      </c>
      <c r="F932" s="418"/>
      <c r="G932" s="419"/>
      <c r="H932" s="442"/>
      <c r="I932" s="421">
        <f>IF(AND(E932&lt;&gt;"",G932&lt;&gt;""),IF(D932="",IF(G932="OH",VLOOKUP(E932,UPAH!$C$4:$H$31,7,0),VLOOKUP(E932,#REF!,4,0)),0),0)</f>
        <v>0</v>
      </c>
      <c r="J932" s="396">
        <f>ROUNDDOWN(J930+J931,0)</f>
        <v>0</v>
      </c>
    </row>
    <row r="933" spans="1:10" ht="13">
      <c r="A933" s="27"/>
      <c r="B933" s="110"/>
      <c r="D933" s="11"/>
      <c r="E933" s="11"/>
      <c r="H933" s="443"/>
    </row>
    <row r="934" spans="1:10" ht="13.5" thickBot="1">
      <c r="A934" s="27"/>
      <c r="B934" s="110"/>
      <c r="C934" s="11" t="s">
        <v>603</v>
      </c>
      <c r="D934" s="10" t="s">
        <v>618</v>
      </c>
      <c r="H934" s="443"/>
    </row>
    <row r="935" spans="1:10" ht="13.5" thickBot="1">
      <c r="A935" s="27"/>
      <c r="B935" s="110"/>
      <c r="D935" s="401" t="s">
        <v>40</v>
      </c>
      <c r="E935" s="402" t="s">
        <v>41</v>
      </c>
      <c r="F935" s="402" t="s">
        <v>42</v>
      </c>
      <c r="G935" s="403" t="s">
        <v>43</v>
      </c>
      <c r="H935" s="404" t="s">
        <v>44</v>
      </c>
      <c r="I935" s="402" t="s">
        <v>474</v>
      </c>
      <c r="J935" s="405" t="s">
        <v>475</v>
      </c>
    </row>
    <row r="936" spans="1:10" ht="13">
      <c r="A936" s="27"/>
      <c r="B936" s="110"/>
      <c r="D936" s="406" t="s">
        <v>45</v>
      </c>
      <c r="E936" s="13" t="s">
        <v>46</v>
      </c>
      <c r="F936" s="14"/>
      <c r="G936" s="15"/>
      <c r="H936" s="451"/>
      <c r="I936" s="412"/>
      <c r="J936" s="16"/>
    </row>
    <row r="937" spans="1:10" ht="13">
      <c r="A937" s="27"/>
      <c r="B937" s="110"/>
      <c r="D937" s="409"/>
      <c r="E937" s="13" t="s">
        <v>47</v>
      </c>
      <c r="F937" s="13" t="s">
        <v>1918</v>
      </c>
      <c r="G937" s="410" t="s">
        <v>48</v>
      </c>
      <c r="H937" s="411">
        <v>1.65</v>
      </c>
      <c r="I937" s="412">
        <f>IF(AND(E937&lt;&gt;"",G937&lt;&gt;""),IF(D937="",IF(G937="OH",VLOOKUP(F937,UPAH!$B$4:$H$101,7,0),VLOOKUP(F937,#REF!,4,0)),0),0)</f>
        <v>0</v>
      </c>
      <c r="J937" s="16">
        <f>H937*I937</f>
        <v>0</v>
      </c>
    </row>
    <row r="938" spans="1:10" ht="13">
      <c r="A938" s="27"/>
      <c r="B938" s="110"/>
      <c r="D938" s="409"/>
      <c r="E938" s="13" t="s">
        <v>115</v>
      </c>
      <c r="F938" s="13" t="s">
        <v>1921</v>
      </c>
      <c r="G938" s="410" t="s">
        <v>48</v>
      </c>
      <c r="H938" s="411">
        <v>0.27500000000000002</v>
      </c>
      <c r="I938" s="412">
        <f>IF(AND(E938&lt;&gt;"",G938&lt;&gt;""),IF(D938="",IF(G938="OH",VLOOKUP(F938,UPAH!$B$4:$H$101,7,0),VLOOKUP(F938,#REF!,4,0)),0),0)</f>
        <v>0</v>
      </c>
      <c r="J938" s="16">
        <f>H938*I938</f>
        <v>0</v>
      </c>
    </row>
    <row r="939" spans="1:10" ht="13">
      <c r="A939" s="27"/>
      <c r="B939" s="110"/>
      <c r="D939" s="409"/>
      <c r="E939" s="13" t="s">
        <v>97</v>
      </c>
      <c r="F939" s="13" t="s">
        <v>1928</v>
      </c>
      <c r="G939" s="410" t="s">
        <v>48</v>
      </c>
      <c r="H939" s="411">
        <v>2.8000000000000001E-2</v>
      </c>
      <c r="I939" s="412">
        <f>IF(AND(E939&lt;&gt;"",G939&lt;&gt;""),IF(D939="",IF(G939="OH",VLOOKUP(F939,UPAH!$B$4:$H$101,7,0),VLOOKUP(F939,#REF!,4,0)),0),0)</f>
        <v>0</v>
      </c>
      <c r="J939" s="16">
        <f>H939*I939</f>
        <v>0</v>
      </c>
    </row>
    <row r="940" spans="1:10" ht="13.5" thickBot="1">
      <c r="A940" s="27"/>
      <c r="B940" s="110"/>
      <c r="D940" s="409"/>
      <c r="E940" s="13" t="s">
        <v>51</v>
      </c>
      <c r="F940" s="414" t="s">
        <v>1929</v>
      </c>
      <c r="G940" s="410" t="s">
        <v>48</v>
      </c>
      <c r="H940" s="411">
        <v>8.3000000000000004E-2</v>
      </c>
      <c r="I940" s="412">
        <f>IF(AND(E940&lt;&gt;"",G940&lt;&gt;""),IF(D940="",IF(G940="OH",VLOOKUP(F940,UPAH!$B$4:$H$101,7,0),VLOOKUP(F940,#REF!,4,0)),0),0)</f>
        <v>0</v>
      </c>
      <c r="J940" s="16">
        <f>H940*I940</f>
        <v>0</v>
      </c>
    </row>
    <row r="941" spans="1:10" ht="13.5" thickBot="1">
      <c r="A941" s="27"/>
      <c r="B941" s="110"/>
      <c r="D941" s="417"/>
      <c r="E941" s="418"/>
      <c r="F941" s="418"/>
      <c r="G941" s="419"/>
      <c r="H941" s="420" t="s">
        <v>52</v>
      </c>
      <c r="I941" s="421"/>
      <c r="J941" s="396">
        <f>SUM(J937:J940)</f>
        <v>0</v>
      </c>
    </row>
    <row r="942" spans="1:10" ht="13">
      <c r="A942" s="27"/>
      <c r="B942" s="110"/>
      <c r="D942" s="406" t="s">
        <v>53</v>
      </c>
      <c r="E942" s="13" t="s">
        <v>54</v>
      </c>
      <c r="F942" s="14"/>
      <c r="G942" s="15"/>
      <c r="H942" s="451"/>
      <c r="I942" s="412"/>
      <c r="J942" s="16"/>
    </row>
    <row r="943" spans="1:10" ht="13">
      <c r="A943" s="27"/>
      <c r="B943" s="110"/>
      <c r="D943" s="409"/>
      <c r="E943" s="13" t="s">
        <v>56</v>
      </c>
      <c r="F943" s="14"/>
      <c r="G943" s="410" t="s">
        <v>93</v>
      </c>
      <c r="H943" s="411">
        <v>352</v>
      </c>
      <c r="I943" s="412">
        <f>'BAHAN '!G$72</f>
        <v>0</v>
      </c>
      <c r="J943" s="16">
        <f>H943*I943</f>
        <v>0</v>
      </c>
    </row>
    <row r="944" spans="1:10" ht="13">
      <c r="A944" s="27"/>
      <c r="B944" s="110"/>
      <c r="D944" s="409"/>
      <c r="E944" s="13" t="s">
        <v>126</v>
      </c>
      <c r="F944" s="14"/>
      <c r="G944" s="410" t="s">
        <v>93</v>
      </c>
      <c r="H944" s="411">
        <v>731</v>
      </c>
      <c r="I944" s="455">
        <f>'BAHAN '!G$60</f>
        <v>0</v>
      </c>
      <c r="J944" s="16">
        <f>H944*I944</f>
        <v>0</v>
      </c>
    </row>
    <row r="945" spans="1:10" ht="13">
      <c r="A945" s="27"/>
      <c r="B945" s="110"/>
      <c r="D945" s="409"/>
      <c r="E945" s="13" t="s">
        <v>399</v>
      </c>
      <c r="F945" s="14"/>
      <c r="G945" s="410" t="s">
        <v>93</v>
      </c>
      <c r="H945" s="411">
        <v>1031</v>
      </c>
      <c r="I945" s="412">
        <f>'BAHAN '!G$50</f>
        <v>0</v>
      </c>
      <c r="J945" s="16">
        <f>H945*I945</f>
        <v>0</v>
      </c>
    </row>
    <row r="946" spans="1:10" ht="13.5" thickBot="1">
      <c r="A946" s="27"/>
      <c r="B946" s="110"/>
      <c r="D946" s="409"/>
      <c r="E946" s="13" t="s">
        <v>108</v>
      </c>
      <c r="F946" s="14"/>
      <c r="G946" s="410" t="s">
        <v>63</v>
      </c>
      <c r="H946" s="411">
        <v>215</v>
      </c>
      <c r="I946" s="412">
        <f>'BAHAN '!G$11</f>
        <v>0</v>
      </c>
      <c r="J946" s="16">
        <f>H946*I946</f>
        <v>0</v>
      </c>
    </row>
    <row r="947" spans="1:10" ht="13.5" thickBot="1">
      <c r="A947" s="27"/>
      <c r="B947" s="110"/>
      <c r="D947" s="417"/>
      <c r="E947" s="418"/>
      <c r="F947" s="418"/>
      <c r="G947" s="419"/>
      <c r="H947" s="420" t="s">
        <v>64</v>
      </c>
      <c r="I947" s="421"/>
      <c r="J947" s="396">
        <f>SUM(J943:J946)</f>
        <v>0</v>
      </c>
    </row>
    <row r="948" spans="1:10" ht="13.5" thickBot="1">
      <c r="A948" s="27"/>
      <c r="B948" s="110"/>
      <c r="D948" s="406" t="s">
        <v>65</v>
      </c>
      <c r="E948" s="13" t="s">
        <v>66</v>
      </c>
      <c r="F948" s="14"/>
      <c r="G948" s="15"/>
      <c r="H948" s="451"/>
      <c r="I948" s="412">
        <f>IF(AND(E948&lt;&gt;"",G948&lt;&gt;""),IF(D948="",IF(G948="OH",VLOOKUP(E948,UPAH!$C$4:$H$31,7,0),VLOOKUP(E948,#REF!,4,0)),0),0)</f>
        <v>0</v>
      </c>
      <c r="J948" s="16">
        <f>H948*I948</f>
        <v>0</v>
      </c>
    </row>
    <row r="949" spans="1:10" ht="13.5" thickBot="1">
      <c r="A949" s="27"/>
      <c r="B949" s="110"/>
      <c r="D949" s="417"/>
      <c r="E949" s="418"/>
      <c r="F949" s="418"/>
      <c r="G949" s="419"/>
      <c r="H949" s="420" t="s">
        <v>67</v>
      </c>
      <c r="I949" s="421"/>
      <c r="J949" s="396">
        <f>J948</f>
        <v>0</v>
      </c>
    </row>
    <row r="950" spans="1:10" ht="13">
      <c r="A950" s="27"/>
      <c r="B950" s="110"/>
      <c r="D950" s="444" t="s">
        <v>68</v>
      </c>
      <c r="E950" s="445" t="s">
        <v>69</v>
      </c>
      <c r="F950" s="446"/>
      <c r="G950" s="447"/>
      <c r="H950" s="448"/>
      <c r="I950" s="449">
        <f>IF(AND(E950&lt;&gt;"",G950&lt;&gt;""),IF(D950="",IF(G950="OH",VLOOKUP(E950,UPAH!$C$4:$H$31,7,0),VLOOKUP(E950,#REF!,4,0)),0),0)</f>
        <v>0</v>
      </c>
      <c r="J950" s="16">
        <f>SUM(J937:J949)/2</f>
        <v>0</v>
      </c>
    </row>
    <row r="951" spans="1:10" ht="13.5" thickBot="1">
      <c r="A951" s="27"/>
      <c r="B951" s="110"/>
      <c r="D951" s="431" t="s">
        <v>70</v>
      </c>
      <c r="E951" s="432" t="s">
        <v>477</v>
      </c>
      <c r="F951" s="433"/>
      <c r="G951" s="434"/>
      <c r="H951" s="22">
        <v>0.1</v>
      </c>
      <c r="I951" s="436"/>
      <c r="J951" s="430">
        <f>H951*J950</f>
        <v>0</v>
      </c>
    </row>
    <row r="952" spans="1:10" ht="13.5" thickBot="1">
      <c r="A952" s="27"/>
      <c r="B952" s="110"/>
      <c r="D952" s="401" t="s">
        <v>71</v>
      </c>
      <c r="E952" s="402" t="s">
        <v>72</v>
      </c>
      <c r="F952" s="418"/>
      <c r="G952" s="419"/>
      <c r="H952" s="442"/>
      <c r="I952" s="421">
        <f>IF(AND(E952&lt;&gt;"",G952&lt;&gt;""),IF(D952="",IF(G952="OH",VLOOKUP(E952,UPAH!$C$4:$H$31,7,0),VLOOKUP(E952,#REF!,4,0)),0),0)</f>
        <v>0</v>
      </c>
      <c r="J952" s="396">
        <f>ROUNDDOWN(J950+J951,0)</f>
        <v>0</v>
      </c>
    </row>
    <row r="953" spans="1:10" ht="13">
      <c r="A953" s="27"/>
      <c r="B953" s="110"/>
      <c r="D953" s="11"/>
      <c r="E953" s="11"/>
      <c r="H953" s="443"/>
    </row>
    <row r="954" spans="1:10" ht="13.5" thickBot="1">
      <c r="A954" s="27"/>
      <c r="B954" s="110"/>
      <c r="C954" s="11" t="s">
        <v>604</v>
      </c>
      <c r="D954" s="10" t="s">
        <v>619</v>
      </c>
      <c r="H954" s="443"/>
    </row>
    <row r="955" spans="1:10" ht="13.5" thickBot="1">
      <c r="A955" s="27"/>
      <c r="B955" s="110"/>
      <c r="D955" s="401" t="s">
        <v>40</v>
      </c>
      <c r="E955" s="402" t="s">
        <v>41</v>
      </c>
      <c r="F955" s="402" t="s">
        <v>42</v>
      </c>
      <c r="G955" s="403" t="s">
        <v>43</v>
      </c>
      <c r="H955" s="404" t="s">
        <v>44</v>
      </c>
      <c r="I955" s="402" t="s">
        <v>474</v>
      </c>
      <c r="J955" s="405" t="s">
        <v>475</v>
      </c>
    </row>
    <row r="956" spans="1:10" ht="13">
      <c r="A956" s="27"/>
      <c r="B956" s="110"/>
      <c r="D956" s="406" t="s">
        <v>45</v>
      </c>
      <c r="E956" s="13" t="s">
        <v>46</v>
      </c>
      <c r="F956" s="14"/>
      <c r="G956" s="15"/>
      <c r="H956" s="451"/>
      <c r="I956" s="412"/>
      <c r="J956" s="16"/>
    </row>
    <row r="957" spans="1:10" ht="13">
      <c r="A957" s="27"/>
      <c r="B957" s="110"/>
      <c r="D957" s="409"/>
      <c r="E957" s="13" t="s">
        <v>47</v>
      </c>
      <c r="F957" s="13" t="s">
        <v>1918</v>
      </c>
      <c r="G957" s="410" t="s">
        <v>48</v>
      </c>
      <c r="H957" s="411">
        <v>1.65</v>
      </c>
      <c r="I957" s="412">
        <f>IF(AND(E957&lt;&gt;"",G957&lt;&gt;""),IF(D957="",IF(G957="OH",VLOOKUP(F957,UPAH!$B$4:$H$101,7,0),VLOOKUP(F957,#REF!,4,0)),0),0)</f>
        <v>0</v>
      </c>
      <c r="J957" s="16">
        <f>H957*I957</f>
        <v>0</v>
      </c>
    </row>
    <row r="958" spans="1:10" ht="13">
      <c r="A958" s="27"/>
      <c r="B958" s="110"/>
      <c r="D958" s="409"/>
      <c r="E958" s="13" t="s">
        <v>115</v>
      </c>
      <c r="F958" s="13" t="s">
        <v>1921</v>
      </c>
      <c r="G958" s="410" t="s">
        <v>48</v>
      </c>
      <c r="H958" s="411">
        <v>0.27500000000000002</v>
      </c>
      <c r="I958" s="412">
        <f>IF(AND(E958&lt;&gt;"",G958&lt;&gt;""),IF(D958="",IF(G958="OH",VLOOKUP(F958,UPAH!$B$4:$H$101,7,0),VLOOKUP(F958,#REF!,4,0)),0),0)</f>
        <v>0</v>
      </c>
      <c r="J958" s="16">
        <f>H958*I958</f>
        <v>0</v>
      </c>
    </row>
    <row r="959" spans="1:10" ht="13">
      <c r="A959" s="27"/>
      <c r="B959" s="110"/>
      <c r="D959" s="409"/>
      <c r="E959" s="13" t="s">
        <v>97</v>
      </c>
      <c r="F959" s="13" t="s">
        <v>1928</v>
      </c>
      <c r="G959" s="410" t="s">
        <v>48</v>
      </c>
      <c r="H959" s="411">
        <v>2.8000000000000001E-2</v>
      </c>
      <c r="I959" s="412">
        <f>IF(AND(E959&lt;&gt;"",G959&lt;&gt;""),IF(D959="",IF(G959="OH",VLOOKUP(F959,UPAH!$B$4:$H$101,7,0),VLOOKUP(F959,#REF!,4,0)),0),0)</f>
        <v>0</v>
      </c>
      <c r="J959" s="16">
        <f>H959*I959</f>
        <v>0</v>
      </c>
    </row>
    <row r="960" spans="1:10" ht="13.5" thickBot="1">
      <c r="A960" s="27"/>
      <c r="B960" s="110"/>
      <c r="D960" s="409"/>
      <c r="E960" s="13" t="s">
        <v>51</v>
      </c>
      <c r="F960" s="414" t="s">
        <v>1929</v>
      </c>
      <c r="G960" s="410" t="s">
        <v>48</v>
      </c>
      <c r="H960" s="411">
        <v>8.3000000000000004E-2</v>
      </c>
      <c r="I960" s="412">
        <f>IF(AND(E960&lt;&gt;"",G960&lt;&gt;""),IF(D960="",IF(G960="OH",VLOOKUP(F960,UPAH!$B$4:$H$101,7,0),VLOOKUP(F960,#REF!,4,0)),0),0)</f>
        <v>0</v>
      </c>
      <c r="J960" s="16">
        <f>H960*I960</f>
        <v>0</v>
      </c>
    </row>
    <row r="961" spans="1:10" ht="13.5" thickBot="1">
      <c r="A961" s="27"/>
      <c r="B961" s="110"/>
      <c r="D961" s="417"/>
      <c r="E961" s="418"/>
      <c r="F961" s="418"/>
      <c r="G961" s="419"/>
      <c r="H961" s="420" t="s">
        <v>52</v>
      </c>
      <c r="I961" s="421"/>
      <c r="J961" s="396">
        <f>SUM(J957:J960)</f>
        <v>0</v>
      </c>
    </row>
    <row r="962" spans="1:10" ht="13">
      <c r="A962" s="27"/>
      <c r="B962" s="110"/>
      <c r="D962" s="406" t="s">
        <v>53</v>
      </c>
      <c r="E962" s="13" t="s">
        <v>54</v>
      </c>
      <c r="F962" s="14"/>
      <c r="G962" s="15"/>
      <c r="H962" s="451"/>
      <c r="I962" s="412"/>
      <c r="J962" s="16"/>
    </row>
    <row r="963" spans="1:10" ht="13">
      <c r="A963" s="27"/>
      <c r="B963" s="110"/>
      <c r="D963" s="409"/>
      <c r="E963" s="13" t="s">
        <v>56</v>
      </c>
      <c r="F963" s="14"/>
      <c r="G963" s="410" t="s">
        <v>93</v>
      </c>
      <c r="H963" s="411">
        <v>371</v>
      </c>
      <c r="I963" s="412">
        <f>'BAHAN '!G$72</f>
        <v>0</v>
      </c>
      <c r="J963" s="16">
        <f>H963*I963</f>
        <v>0</v>
      </c>
    </row>
    <row r="964" spans="1:10" ht="13">
      <c r="A964" s="27"/>
      <c r="B964" s="110"/>
      <c r="D964" s="409"/>
      <c r="E964" s="13" t="s">
        <v>126</v>
      </c>
      <c r="F964" s="14"/>
      <c r="G964" s="410" t="s">
        <v>93</v>
      </c>
      <c r="H964" s="411">
        <v>698</v>
      </c>
      <c r="I964" s="455">
        <f>'BAHAN '!G$60</f>
        <v>0</v>
      </c>
      <c r="J964" s="16">
        <f>H964*I964</f>
        <v>0</v>
      </c>
    </row>
    <row r="965" spans="1:10" ht="13">
      <c r="A965" s="27"/>
      <c r="B965" s="110"/>
      <c r="D965" s="409"/>
      <c r="E965" s="13" t="s">
        <v>399</v>
      </c>
      <c r="F965" s="14"/>
      <c r="G965" s="410" t="s">
        <v>93</v>
      </c>
      <c r="H965" s="411">
        <v>1047</v>
      </c>
      <c r="I965" s="412">
        <f>'BAHAN '!G$50</f>
        <v>0</v>
      </c>
      <c r="J965" s="16">
        <f>H965*I965</f>
        <v>0</v>
      </c>
    </row>
    <row r="966" spans="1:10" ht="13.5" thickBot="1">
      <c r="A966" s="27"/>
      <c r="B966" s="110"/>
      <c r="D966" s="409"/>
      <c r="E966" s="13" t="s">
        <v>108</v>
      </c>
      <c r="F966" s="14"/>
      <c r="G966" s="410" t="s">
        <v>63</v>
      </c>
      <c r="H966" s="411">
        <v>215</v>
      </c>
      <c r="I966" s="412">
        <f>'BAHAN '!G$11</f>
        <v>0</v>
      </c>
      <c r="J966" s="16">
        <f>H966*I966</f>
        <v>0</v>
      </c>
    </row>
    <row r="967" spans="1:10" ht="13.5" thickBot="1">
      <c r="A967" s="27"/>
      <c r="B967" s="110"/>
      <c r="D967" s="417"/>
      <c r="E967" s="418"/>
      <c r="F967" s="418"/>
      <c r="G967" s="419"/>
      <c r="H967" s="420" t="s">
        <v>64</v>
      </c>
      <c r="I967" s="421"/>
      <c r="J967" s="396">
        <f>SUM(J963:J966)</f>
        <v>0</v>
      </c>
    </row>
    <row r="968" spans="1:10" ht="13.5" thickBot="1">
      <c r="A968" s="27"/>
      <c r="B968" s="110"/>
      <c r="D968" s="406" t="s">
        <v>65</v>
      </c>
      <c r="E968" s="13" t="s">
        <v>66</v>
      </c>
      <c r="F968" s="14"/>
      <c r="G968" s="15"/>
      <c r="H968" s="451"/>
      <c r="I968" s="412">
        <f>IF(AND(E968&lt;&gt;"",G968&lt;&gt;""),IF(D968="",IF(G968="OH",VLOOKUP(E968,UPAH!$C$4:$H$31,7,0),VLOOKUP(E968,#REF!,4,0)),0),0)</f>
        <v>0</v>
      </c>
      <c r="J968" s="16">
        <f>H968*I968</f>
        <v>0</v>
      </c>
    </row>
    <row r="969" spans="1:10" ht="13.5" thickBot="1">
      <c r="A969" s="27"/>
      <c r="B969" s="110"/>
      <c r="D969" s="417"/>
      <c r="E969" s="418"/>
      <c r="F969" s="418"/>
      <c r="G969" s="419"/>
      <c r="H969" s="420" t="s">
        <v>67</v>
      </c>
      <c r="I969" s="421"/>
      <c r="J969" s="396">
        <f>J968</f>
        <v>0</v>
      </c>
    </row>
    <row r="970" spans="1:10" ht="13">
      <c r="A970" s="27"/>
      <c r="B970" s="110"/>
      <c r="D970" s="444" t="s">
        <v>68</v>
      </c>
      <c r="E970" s="445" t="s">
        <v>69</v>
      </c>
      <c r="F970" s="446"/>
      <c r="G970" s="447"/>
      <c r="H970" s="448"/>
      <c r="I970" s="449">
        <f>IF(AND(E970&lt;&gt;"",G970&lt;&gt;""),IF(D970="",IF(G970="OH",VLOOKUP(E970,UPAH!$C$4:$H$31,7,0),VLOOKUP(E970,#REF!,4,0)),0),0)</f>
        <v>0</v>
      </c>
      <c r="J970" s="16">
        <f>SUM(J957:J969)/2</f>
        <v>0</v>
      </c>
    </row>
    <row r="971" spans="1:10" ht="13.5" thickBot="1">
      <c r="A971" s="27"/>
      <c r="B971" s="110"/>
      <c r="D971" s="431" t="s">
        <v>70</v>
      </c>
      <c r="E971" s="432" t="s">
        <v>477</v>
      </c>
      <c r="F971" s="433"/>
      <c r="G971" s="434"/>
      <c r="H971" s="22">
        <v>0.1</v>
      </c>
      <c r="I971" s="436"/>
      <c r="J971" s="430">
        <f>H971*J970</f>
        <v>0</v>
      </c>
    </row>
    <row r="972" spans="1:10" ht="13.5" thickBot="1">
      <c r="A972" s="27"/>
      <c r="B972" s="110"/>
      <c r="D972" s="401" t="s">
        <v>71</v>
      </c>
      <c r="E972" s="402" t="s">
        <v>72</v>
      </c>
      <c r="F972" s="418"/>
      <c r="G972" s="419"/>
      <c r="H972" s="442"/>
      <c r="I972" s="421">
        <f>IF(AND(E972&lt;&gt;"",G972&lt;&gt;""),IF(D972="",IF(G972="OH",VLOOKUP(E972,UPAH!$C$4:$H$31,7,0),VLOOKUP(E972,#REF!,4,0)),0),0)</f>
        <v>0</v>
      </c>
      <c r="J972" s="396">
        <f>ROUNDDOWN(J970+J971,0)</f>
        <v>0</v>
      </c>
    </row>
    <row r="973" spans="1:10" ht="13">
      <c r="A973" s="27"/>
      <c r="B973" s="110"/>
      <c r="D973" s="11"/>
      <c r="E973" s="11"/>
      <c r="H973" s="443"/>
    </row>
    <row r="974" spans="1:10" ht="13.5" thickBot="1">
      <c r="A974" s="27"/>
      <c r="B974" s="110"/>
      <c r="C974" s="11" t="s">
        <v>605</v>
      </c>
      <c r="D974" s="10" t="s">
        <v>620</v>
      </c>
      <c r="H974" s="443"/>
    </row>
    <row r="975" spans="1:10" ht="13.5" thickBot="1">
      <c r="A975" s="27"/>
      <c r="B975" s="110"/>
      <c r="D975" s="401" t="s">
        <v>40</v>
      </c>
      <c r="E975" s="402" t="s">
        <v>41</v>
      </c>
      <c r="F975" s="402" t="s">
        <v>42</v>
      </c>
      <c r="G975" s="403" t="s">
        <v>43</v>
      </c>
      <c r="H975" s="404" t="s">
        <v>44</v>
      </c>
      <c r="I975" s="402" t="s">
        <v>474</v>
      </c>
      <c r="J975" s="405" t="s">
        <v>475</v>
      </c>
    </row>
    <row r="976" spans="1:10" ht="13">
      <c r="A976" s="27"/>
      <c r="B976" s="110"/>
      <c r="D976" s="406" t="s">
        <v>45</v>
      </c>
      <c r="E976" s="13" t="s">
        <v>46</v>
      </c>
      <c r="F976" s="14"/>
      <c r="G976" s="15"/>
      <c r="H976" s="451"/>
      <c r="I976" s="412"/>
      <c r="J976" s="16"/>
    </row>
    <row r="977" spans="1:10" ht="13">
      <c r="A977" s="27"/>
      <c r="B977" s="110"/>
      <c r="D977" s="409"/>
      <c r="E977" s="13" t="s">
        <v>47</v>
      </c>
      <c r="F977" s="13" t="s">
        <v>1918</v>
      </c>
      <c r="G977" s="410" t="s">
        <v>48</v>
      </c>
      <c r="H977" s="411">
        <v>1.65</v>
      </c>
      <c r="I977" s="412">
        <f>IF(AND(E977&lt;&gt;"",G977&lt;&gt;""),IF(D977="",IF(G977="OH",VLOOKUP(F977,UPAH!$B$4:$H$101,7,0),VLOOKUP(F977,#REF!,4,0)),0),0)</f>
        <v>0</v>
      </c>
      <c r="J977" s="16">
        <f>H977*I977</f>
        <v>0</v>
      </c>
    </row>
    <row r="978" spans="1:10" ht="13">
      <c r="A978" s="27"/>
      <c r="B978" s="110"/>
      <c r="D978" s="409"/>
      <c r="E978" s="13" t="s">
        <v>115</v>
      </c>
      <c r="F978" s="13" t="s">
        <v>1921</v>
      </c>
      <c r="G978" s="410" t="s">
        <v>48</v>
      </c>
      <c r="H978" s="411">
        <v>0.27500000000000002</v>
      </c>
      <c r="I978" s="412">
        <f>IF(AND(E978&lt;&gt;"",G978&lt;&gt;""),IF(D978="",IF(G978="OH",VLOOKUP(F978,UPAH!$B$4:$H$101,7,0),VLOOKUP(F978,#REF!,4,0)),0),0)</f>
        <v>0</v>
      </c>
      <c r="J978" s="16">
        <f>H978*I978</f>
        <v>0</v>
      </c>
    </row>
    <row r="979" spans="1:10" ht="13">
      <c r="A979" s="27"/>
      <c r="B979" s="110"/>
      <c r="D979" s="409"/>
      <c r="E979" s="13" t="s">
        <v>97</v>
      </c>
      <c r="F979" s="13" t="s">
        <v>1928</v>
      </c>
      <c r="G979" s="410" t="s">
        <v>48</v>
      </c>
      <c r="H979" s="411">
        <v>2.8000000000000001E-2</v>
      </c>
      <c r="I979" s="412">
        <f>IF(AND(E979&lt;&gt;"",G979&lt;&gt;""),IF(D979="",IF(G979="OH",VLOOKUP(F979,UPAH!$B$4:$H$101,7,0),VLOOKUP(F979,#REF!,4,0)),0),0)</f>
        <v>0</v>
      </c>
      <c r="J979" s="16">
        <f>H979*I979</f>
        <v>0</v>
      </c>
    </row>
    <row r="980" spans="1:10" ht="13.5" thickBot="1">
      <c r="A980" s="27"/>
      <c r="B980" s="110"/>
      <c r="D980" s="409"/>
      <c r="E980" s="13" t="s">
        <v>51</v>
      </c>
      <c r="F980" s="414" t="s">
        <v>1929</v>
      </c>
      <c r="G980" s="410" t="s">
        <v>48</v>
      </c>
      <c r="H980" s="411">
        <v>8.9999999999999993E-3</v>
      </c>
      <c r="I980" s="412">
        <f>IF(AND(E980&lt;&gt;"",G980&lt;&gt;""),IF(D980="",IF(G980="OH",VLOOKUP(F980,UPAH!$B$4:$H$101,7,0),VLOOKUP(F980,#REF!,4,0)),0),0)</f>
        <v>0</v>
      </c>
      <c r="J980" s="16">
        <f>H980*I980</f>
        <v>0</v>
      </c>
    </row>
    <row r="981" spans="1:10" ht="13.5" thickBot="1">
      <c r="A981" s="27"/>
      <c r="B981" s="110"/>
      <c r="D981" s="417"/>
      <c r="E981" s="418"/>
      <c r="F981" s="418"/>
      <c r="G981" s="419"/>
      <c r="H981" s="420" t="s">
        <v>52</v>
      </c>
      <c r="I981" s="421"/>
      <c r="J981" s="396">
        <f>SUM(J977:J980)</f>
        <v>0</v>
      </c>
    </row>
    <row r="982" spans="1:10" ht="13">
      <c r="A982" s="27"/>
      <c r="B982" s="110"/>
      <c r="D982" s="406" t="s">
        <v>53</v>
      </c>
      <c r="E982" s="13" t="s">
        <v>54</v>
      </c>
      <c r="F982" s="14"/>
      <c r="G982" s="15"/>
      <c r="H982" s="451"/>
      <c r="I982" s="412"/>
      <c r="J982" s="16"/>
    </row>
    <row r="983" spans="1:10" ht="13">
      <c r="A983" s="27"/>
      <c r="B983" s="110"/>
      <c r="D983" s="409"/>
      <c r="E983" s="13" t="s">
        <v>56</v>
      </c>
      <c r="F983" s="14"/>
      <c r="G983" s="410" t="s">
        <v>93</v>
      </c>
      <c r="H983" s="411">
        <v>368</v>
      </c>
      <c r="I983" s="412">
        <f>'BAHAN '!G$72</f>
        <v>0</v>
      </c>
      <c r="J983" s="16">
        <f>H983*I983</f>
        <v>0</v>
      </c>
    </row>
    <row r="984" spans="1:10" ht="13">
      <c r="A984" s="27"/>
      <c r="B984" s="110"/>
      <c r="D984" s="409"/>
      <c r="E984" s="13" t="s">
        <v>126</v>
      </c>
      <c r="F984" s="14"/>
      <c r="G984" s="410" t="s">
        <v>93</v>
      </c>
      <c r="H984" s="411">
        <v>770</v>
      </c>
      <c r="I984" s="455">
        <f>'BAHAN '!G$60</f>
        <v>0</v>
      </c>
      <c r="J984" s="16">
        <f>H984*I984</f>
        <v>0</v>
      </c>
    </row>
    <row r="985" spans="1:10" ht="13">
      <c r="A985" s="27"/>
      <c r="B985" s="110"/>
      <c r="D985" s="409"/>
      <c r="E985" s="13" t="s">
        <v>399</v>
      </c>
      <c r="F985" s="14"/>
      <c r="G985" s="410" t="s">
        <v>93</v>
      </c>
      <c r="H985" s="411">
        <v>1009</v>
      </c>
      <c r="I985" s="412">
        <f>'BAHAN '!G$50</f>
        <v>0</v>
      </c>
      <c r="J985" s="16">
        <f>H985*I985</f>
        <v>0</v>
      </c>
    </row>
    <row r="986" spans="1:10" ht="13.5" thickBot="1">
      <c r="A986" s="27"/>
      <c r="B986" s="110"/>
      <c r="D986" s="409"/>
      <c r="E986" s="13" t="s">
        <v>108</v>
      </c>
      <c r="F986" s="14"/>
      <c r="G986" s="410" t="s">
        <v>63</v>
      </c>
      <c r="H986" s="411">
        <v>202</v>
      </c>
      <c r="I986" s="412">
        <f>'BAHAN '!G$11</f>
        <v>0</v>
      </c>
      <c r="J986" s="16">
        <f>H986*I986</f>
        <v>0</v>
      </c>
    </row>
    <row r="987" spans="1:10" ht="13.5" thickBot="1">
      <c r="A987" s="27"/>
      <c r="B987" s="110"/>
      <c r="D987" s="417"/>
      <c r="E987" s="418"/>
      <c r="F987" s="418"/>
      <c r="G987" s="419"/>
      <c r="H987" s="420" t="s">
        <v>64</v>
      </c>
      <c r="I987" s="421"/>
      <c r="J987" s="396">
        <f>SUM(J983:J986)</f>
        <v>0</v>
      </c>
    </row>
    <row r="988" spans="1:10" ht="13.5" thickBot="1">
      <c r="A988" s="27"/>
      <c r="B988" s="110"/>
      <c r="D988" s="406" t="s">
        <v>65</v>
      </c>
      <c r="E988" s="13" t="s">
        <v>66</v>
      </c>
      <c r="F988" s="14"/>
      <c r="G988" s="15"/>
      <c r="H988" s="451"/>
      <c r="I988" s="412">
        <f>IF(AND(E988&lt;&gt;"",G988&lt;&gt;""),IF(D988="",IF(G988="OH",VLOOKUP(E988,UPAH!$C$4:$H$31,7,0),VLOOKUP(E988,#REF!,4,0)),0),0)</f>
        <v>0</v>
      </c>
      <c r="J988" s="16">
        <f>H988*I988</f>
        <v>0</v>
      </c>
    </row>
    <row r="989" spans="1:10" ht="13.5" thickBot="1">
      <c r="A989" s="27"/>
      <c r="B989" s="110"/>
      <c r="D989" s="417"/>
      <c r="E989" s="418"/>
      <c r="F989" s="418"/>
      <c r="G989" s="419"/>
      <c r="H989" s="420" t="s">
        <v>67</v>
      </c>
      <c r="I989" s="421"/>
      <c r="J989" s="396">
        <f>J988</f>
        <v>0</v>
      </c>
    </row>
    <row r="990" spans="1:10" ht="13">
      <c r="A990" s="27"/>
      <c r="B990" s="110"/>
      <c r="D990" s="444" t="s">
        <v>68</v>
      </c>
      <c r="E990" s="445" t="s">
        <v>69</v>
      </c>
      <c r="F990" s="446"/>
      <c r="G990" s="447"/>
      <c r="H990" s="448"/>
      <c r="I990" s="449">
        <f>IF(AND(E990&lt;&gt;"",G990&lt;&gt;""),IF(D990="",IF(G990="OH",VLOOKUP(E990,UPAH!$C$4:$H$31,7,0),VLOOKUP(E990,#REF!,4,0)),0),0)</f>
        <v>0</v>
      </c>
      <c r="J990" s="16">
        <f>SUM(J977:J989)/2</f>
        <v>0</v>
      </c>
    </row>
    <row r="991" spans="1:10" ht="13.5" thickBot="1">
      <c r="A991" s="27"/>
      <c r="B991" s="110"/>
      <c r="D991" s="431" t="s">
        <v>70</v>
      </c>
      <c r="E991" s="432" t="s">
        <v>477</v>
      </c>
      <c r="F991" s="433"/>
      <c r="G991" s="434"/>
      <c r="H991" s="22">
        <v>0.1</v>
      </c>
      <c r="I991" s="436"/>
      <c r="J991" s="430">
        <f>H991*J990</f>
        <v>0</v>
      </c>
    </row>
    <row r="992" spans="1:10" ht="13.5" thickBot="1">
      <c r="A992" s="27"/>
      <c r="B992" s="110"/>
      <c r="D992" s="401" t="s">
        <v>71</v>
      </c>
      <c r="E992" s="402" t="s">
        <v>72</v>
      </c>
      <c r="F992" s="418"/>
      <c r="G992" s="419"/>
      <c r="H992" s="442"/>
      <c r="I992" s="421">
        <f>IF(AND(E992&lt;&gt;"",G992&lt;&gt;""),IF(D992="",IF(G992="OH",VLOOKUP(E992,UPAH!$C$4:$H$31,7,0),VLOOKUP(E992,#REF!,4,0)),0),0)</f>
        <v>0</v>
      </c>
      <c r="J992" s="396">
        <f>ROUNDDOWN(J990+J991,0)</f>
        <v>0</v>
      </c>
    </row>
    <row r="993" spans="1:10" ht="13">
      <c r="A993" s="27"/>
      <c r="B993" s="110"/>
      <c r="D993" s="11"/>
      <c r="E993" s="11"/>
      <c r="H993" s="443"/>
      <c r="I993" s="17"/>
      <c r="J993" s="18"/>
    </row>
    <row r="994" spans="1:10" ht="13.5" thickBot="1">
      <c r="A994" s="27"/>
      <c r="B994" s="110"/>
      <c r="C994" s="11" t="s">
        <v>3878</v>
      </c>
      <c r="D994" s="10" t="s">
        <v>3879</v>
      </c>
      <c r="H994" s="443"/>
    </row>
    <row r="995" spans="1:10" ht="13.5" thickBot="1">
      <c r="A995" s="27"/>
      <c r="B995" s="110"/>
      <c r="D995" s="401" t="s">
        <v>40</v>
      </c>
      <c r="E995" s="402" t="s">
        <v>41</v>
      </c>
      <c r="F995" s="402" t="s">
        <v>42</v>
      </c>
      <c r="G995" s="403" t="s">
        <v>43</v>
      </c>
      <c r="H995" s="404" t="s">
        <v>44</v>
      </c>
      <c r="I995" s="402" t="s">
        <v>474</v>
      </c>
      <c r="J995" s="405" t="s">
        <v>475</v>
      </c>
    </row>
    <row r="996" spans="1:10" ht="13">
      <c r="A996" s="27"/>
      <c r="B996" s="110"/>
      <c r="D996" s="406" t="s">
        <v>45</v>
      </c>
      <c r="E996" s="13" t="s">
        <v>46</v>
      </c>
      <c r="F996" s="14"/>
      <c r="G996" s="15"/>
      <c r="H996" s="451"/>
      <c r="I996" s="412"/>
      <c r="J996" s="16"/>
    </row>
    <row r="997" spans="1:10" ht="13">
      <c r="A997" s="27"/>
      <c r="B997" s="110"/>
      <c r="D997" s="409"/>
      <c r="E997" s="13" t="s">
        <v>47</v>
      </c>
      <c r="F997" s="13" t="s">
        <v>1918</v>
      </c>
      <c r="G997" s="410" t="s">
        <v>48</v>
      </c>
      <c r="H997" s="411">
        <v>0.4</v>
      </c>
      <c r="I997" s="412">
        <f>IF(AND(E997&lt;&gt;"",G997&lt;&gt;""),IF(D997="",IF(G997="OH",VLOOKUP(F997,UPAH!$B$4:$H$101,7,0),VLOOKUP(F997,#REF!,4,0)),0),0)</f>
        <v>0</v>
      </c>
      <c r="J997" s="16">
        <f>H997*I997</f>
        <v>0</v>
      </c>
    </row>
    <row r="998" spans="1:10" ht="13">
      <c r="A998" s="27"/>
      <c r="B998" s="110"/>
      <c r="D998" s="409"/>
      <c r="E998" s="13" t="s">
        <v>115</v>
      </c>
      <c r="F998" s="13" t="s">
        <v>1921</v>
      </c>
      <c r="G998" s="410" t="s">
        <v>48</v>
      </c>
      <c r="H998" s="411">
        <v>0.1</v>
      </c>
      <c r="I998" s="412">
        <f>IF(AND(E998&lt;&gt;"",G998&lt;&gt;""),IF(D998="",IF(G998="OH",VLOOKUP(F998,UPAH!$B$4:$H$101,7,0),VLOOKUP(F998,#REF!,4,0)),0),0)</f>
        <v>0</v>
      </c>
      <c r="J998" s="16">
        <f>H998*I998</f>
        <v>0</v>
      </c>
    </row>
    <row r="999" spans="1:10" ht="13">
      <c r="A999" s="27"/>
      <c r="B999" s="110"/>
      <c r="D999" s="409"/>
      <c r="E999" s="13" t="s">
        <v>97</v>
      </c>
      <c r="F999" s="13" t="s">
        <v>1928</v>
      </c>
      <c r="G999" s="410" t="s">
        <v>48</v>
      </c>
      <c r="H999" s="411">
        <v>0.01</v>
      </c>
      <c r="I999" s="412">
        <f>IF(AND(E999&lt;&gt;"",G999&lt;&gt;""),IF(D999="",IF(G999="OH",VLOOKUP(F999,UPAH!$B$4:$H$101,7,0),VLOOKUP(F999,#REF!,4,0)),0),0)</f>
        <v>0</v>
      </c>
      <c r="J999" s="16">
        <f>H999*I999</f>
        <v>0</v>
      </c>
    </row>
    <row r="1000" spans="1:10" ht="13.5" thickBot="1">
      <c r="A1000" s="27"/>
      <c r="B1000" s="110"/>
      <c r="D1000" s="409"/>
      <c r="E1000" s="13" t="s">
        <v>51</v>
      </c>
      <c r="F1000" s="414" t="s">
        <v>1929</v>
      </c>
      <c r="G1000" s="410" t="s">
        <v>48</v>
      </c>
      <c r="H1000" s="411">
        <v>0.04</v>
      </c>
      <c r="I1000" s="412">
        <f>IF(AND(E1000&lt;&gt;"",G1000&lt;&gt;""),IF(D1000="",IF(G1000="OH",VLOOKUP(F1000,UPAH!$B$4:$H$101,7,0),VLOOKUP(F1000,#REF!,4,0)),0),0)</f>
        <v>0</v>
      </c>
      <c r="J1000" s="16">
        <f>H1000*I1000</f>
        <v>0</v>
      </c>
    </row>
    <row r="1001" spans="1:10" ht="13.5" thickBot="1">
      <c r="A1001" s="27"/>
      <c r="B1001" s="110"/>
      <c r="D1001" s="417"/>
      <c r="E1001" s="418"/>
      <c r="F1001" s="418"/>
      <c r="G1001" s="419"/>
      <c r="H1001" s="420" t="s">
        <v>52</v>
      </c>
      <c r="I1001" s="421"/>
      <c r="J1001" s="396">
        <f>SUM(J997:J1000)</f>
        <v>0</v>
      </c>
    </row>
    <row r="1002" spans="1:10" ht="13">
      <c r="A1002" s="27"/>
      <c r="B1002" s="110"/>
      <c r="D1002" s="406" t="s">
        <v>53</v>
      </c>
      <c r="E1002" s="13" t="s">
        <v>54</v>
      </c>
      <c r="F1002" s="14"/>
      <c r="G1002" s="15"/>
      <c r="H1002" s="451"/>
      <c r="I1002" s="412"/>
      <c r="J1002" s="16"/>
    </row>
    <row r="1003" spans="1:10" ht="13">
      <c r="A1003" s="27"/>
      <c r="B1003" s="110"/>
      <c r="D1003" s="409">
        <v>1</v>
      </c>
      <c r="E1003" s="669" t="s">
        <v>3880</v>
      </c>
      <c r="F1003" s="14"/>
      <c r="G1003" s="410" t="s">
        <v>375</v>
      </c>
      <c r="H1003" s="411">
        <v>1.02</v>
      </c>
      <c r="I1003" s="412">
        <v>0</v>
      </c>
      <c r="J1003" s="16">
        <f>H1003*I1003</f>
        <v>0</v>
      </c>
    </row>
    <row r="1004" spans="1:10" ht="13">
      <c r="A1004" s="27"/>
      <c r="B1004" s="110"/>
      <c r="D1004" s="409"/>
      <c r="E1004" s="13"/>
      <c r="F1004" s="14"/>
      <c r="G1004" s="410"/>
      <c r="H1004" s="411"/>
      <c r="I1004" s="455"/>
      <c r="J1004" s="16">
        <f>H1004*I1004</f>
        <v>0</v>
      </c>
    </row>
    <row r="1005" spans="1:10" ht="13">
      <c r="A1005" s="27"/>
      <c r="B1005" s="110"/>
      <c r="D1005" s="409"/>
      <c r="E1005" s="13"/>
      <c r="F1005" s="14"/>
      <c r="G1005" s="410"/>
      <c r="H1005" s="411"/>
      <c r="I1005" s="412"/>
      <c r="J1005" s="16">
        <f>H1005*I1005</f>
        <v>0</v>
      </c>
    </row>
    <row r="1006" spans="1:10" ht="13.5" thickBot="1">
      <c r="A1006" s="27"/>
      <c r="B1006" s="110"/>
      <c r="D1006" s="409"/>
      <c r="E1006" s="13"/>
      <c r="F1006" s="14"/>
      <c r="G1006" s="410"/>
      <c r="H1006" s="411"/>
      <c r="I1006" s="412"/>
      <c r="J1006" s="16">
        <f>H1006*I1006</f>
        <v>0</v>
      </c>
    </row>
    <row r="1007" spans="1:10" ht="13.5" thickBot="1">
      <c r="A1007" s="27"/>
      <c r="B1007" s="110"/>
      <c r="D1007" s="417"/>
      <c r="E1007" s="418"/>
      <c r="F1007" s="418"/>
      <c r="G1007" s="419"/>
      <c r="H1007" s="420" t="s">
        <v>64</v>
      </c>
      <c r="I1007" s="421"/>
      <c r="J1007" s="396">
        <f>SUM(J1003:J1006)</f>
        <v>0</v>
      </c>
    </row>
    <row r="1008" spans="1:10" ht="13.5" thickBot="1">
      <c r="A1008" s="27"/>
      <c r="B1008" s="110"/>
      <c r="D1008" s="406" t="s">
        <v>65</v>
      </c>
      <c r="E1008" s="13" t="s">
        <v>66</v>
      </c>
      <c r="F1008" s="14"/>
      <c r="G1008" s="15"/>
      <c r="H1008" s="451"/>
      <c r="I1008" s="412">
        <f>IF(AND(E1008&lt;&gt;"",G1008&lt;&gt;""),IF(D1008="",IF(G1008="OH",VLOOKUP(E1008,UPAH!$C$4:$H$31,7,0),VLOOKUP(E1008,#REF!,4,0)),0),0)</f>
        <v>0</v>
      </c>
      <c r="J1008" s="16">
        <f>H1008*I1008</f>
        <v>0</v>
      </c>
    </row>
    <row r="1009" spans="1:10" ht="13.5" thickBot="1">
      <c r="A1009" s="27"/>
      <c r="B1009" s="110"/>
      <c r="D1009" s="417"/>
      <c r="E1009" s="418"/>
      <c r="F1009" s="418"/>
      <c r="G1009" s="419"/>
      <c r="H1009" s="420" t="s">
        <v>67</v>
      </c>
      <c r="I1009" s="421"/>
      <c r="J1009" s="396">
        <f>J1008</f>
        <v>0</v>
      </c>
    </row>
    <row r="1010" spans="1:10" ht="13">
      <c r="A1010" s="27"/>
      <c r="B1010" s="110"/>
      <c r="D1010" s="444" t="s">
        <v>68</v>
      </c>
      <c r="E1010" s="445" t="s">
        <v>69</v>
      </c>
      <c r="F1010" s="446"/>
      <c r="G1010" s="447"/>
      <c r="H1010" s="448"/>
      <c r="I1010" s="449">
        <f>IF(AND(E1010&lt;&gt;"",G1010&lt;&gt;""),IF(D1010="",IF(G1010="OH",VLOOKUP(E1010,UPAH!$C$4:$H$31,7,0),VLOOKUP(E1010,#REF!,4,0)),0),0)</f>
        <v>0</v>
      </c>
      <c r="J1010" s="16">
        <f>+J1001+J1007+J1009</f>
        <v>0</v>
      </c>
    </row>
    <row r="1011" spans="1:10" ht="13.5" thickBot="1">
      <c r="A1011" s="27"/>
      <c r="B1011" s="110"/>
      <c r="D1011" s="431" t="s">
        <v>70</v>
      </c>
      <c r="E1011" s="432" t="s">
        <v>477</v>
      </c>
      <c r="F1011" s="433"/>
      <c r="G1011" s="434"/>
      <c r="H1011" s="22">
        <v>0.1</v>
      </c>
      <c r="I1011" s="436"/>
      <c r="J1011" s="430">
        <f>H1011*J1010</f>
        <v>0</v>
      </c>
    </row>
    <row r="1012" spans="1:10" ht="13.5" thickBot="1">
      <c r="A1012" s="27"/>
      <c r="B1012" s="110"/>
      <c r="D1012" s="401" t="s">
        <v>71</v>
      </c>
      <c r="E1012" s="402" t="s">
        <v>72</v>
      </c>
      <c r="F1012" s="418"/>
      <c r="G1012" s="419"/>
      <c r="H1012" s="442"/>
      <c r="I1012" s="421">
        <f>IF(AND(E1012&lt;&gt;"",G1012&lt;&gt;""),IF(D1012="",IF(G1012="OH",VLOOKUP(E1012,UPAH!$C$4:$H$31,7,0),VLOOKUP(E1012,#REF!,4,0)),0),0)</f>
        <v>0</v>
      </c>
      <c r="J1012" s="396">
        <f>ROUNDDOWN(J1010+J1011,0)</f>
        <v>0</v>
      </c>
    </row>
    <row r="1013" spans="1:10" ht="13">
      <c r="A1013" s="27"/>
      <c r="B1013" s="110"/>
      <c r="D1013" s="11"/>
      <c r="E1013" s="11"/>
      <c r="H1013" s="443"/>
      <c r="I1013" s="17"/>
      <c r="J1013" s="18"/>
    </row>
    <row r="1014" spans="1:10" ht="13.5" thickBot="1">
      <c r="A1014" s="27"/>
      <c r="B1014" s="110"/>
      <c r="C1014" s="11" t="s">
        <v>606</v>
      </c>
      <c r="D1014" s="10" t="s">
        <v>621</v>
      </c>
      <c r="H1014" s="443"/>
    </row>
    <row r="1015" spans="1:10" ht="13.5" thickBot="1">
      <c r="A1015" s="27"/>
      <c r="B1015" s="110"/>
      <c r="D1015" s="401" t="s">
        <v>40</v>
      </c>
      <c r="E1015" s="402" t="s">
        <v>41</v>
      </c>
      <c r="F1015" s="402" t="s">
        <v>42</v>
      </c>
      <c r="G1015" s="403" t="s">
        <v>43</v>
      </c>
      <c r="H1015" s="404" t="s">
        <v>44</v>
      </c>
      <c r="I1015" s="402" t="s">
        <v>474</v>
      </c>
      <c r="J1015" s="405" t="s">
        <v>475</v>
      </c>
    </row>
    <row r="1016" spans="1:10" ht="13">
      <c r="A1016" s="27"/>
      <c r="B1016" s="110"/>
      <c r="D1016" s="406" t="s">
        <v>45</v>
      </c>
      <c r="E1016" s="13" t="s">
        <v>46</v>
      </c>
      <c r="F1016" s="14"/>
      <c r="G1016" s="15"/>
      <c r="H1016" s="451"/>
      <c r="I1016" s="412"/>
      <c r="J1016" s="16"/>
    </row>
    <row r="1017" spans="1:10" ht="13">
      <c r="A1017" s="27"/>
      <c r="B1017" s="110"/>
      <c r="D1017" s="409"/>
      <c r="E1017" s="13" t="s">
        <v>47</v>
      </c>
      <c r="F1017" s="13" t="s">
        <v>1918</v>
      </c>
      <c r="G1017" s="410" t="s">
        <v>48</v>
      </c>
      <c r="H1017" s="411">
        <v>1.65</v>
      </c>
      <c r="I1017" s="412">
        <f>IF(AND(E1017&lt;&gt;"",G1017&lt;&gt;""),IF(D1017="",IF(G1017="OH",VLOOKUP(F1017,UPAH!$B$4:$H$101,7,0),VLOOKUP(F1017,#REF!,4,0)),0),0)</f>
        <v>0</v>
      </c>
      <c r="J1017" s="16">
        <f>H1017*I1017</f>
        <v>0</v>
      </c>
    </row>
    <row r="1018" spans="1:10" ht="13">
      <c r="A1018" s="27"/>
      <c r="B1018" s="110"/>
      <c r="D1018" s="409"/>
      <c r="E1018" s="13" t="s">
        <v>115</v>
      </c>
      <c r="F1018" s="13" t="s">
        <v>1921</v>
      </c>
      <c r="G1018" s="410" t="s">
        <v>48</v>
      </c>
      <c r="H1018" s="411">
        <v>0.27500000000000002</v>
      </c>
      <c r="I1018" s="412">
        <f>IF(AND(E1018&lt;&gt;"",G1018&lt;&gt;""),IF(D1018="",IF(G1018="OH",VLOOKUP(F1018,UPAH!$B$4:$H$101,7,0),VLOOKUP(F1018,#REF!,4,0)),0),0)</f>
        <v>0</v>
      </c>
      <c r="J1018" s="16">
        <f>H1018*I1018</f>
        <v>0</v>
      </c>
    </row>
    <row r="1019" spans="1:10" ht="13">
      <c r="A1019" s="27"/>
      <c r="B1019" s="110"/>
      <c r="D1019" s="409"/>
      <c r="E1019" s="13" t="s">
        <v>97</v>
      </c>
      <c r="F1019" s="13" t="s">
        <v>1928</v>
      </c>
      <c r="G1019" s="410" t="s">
        <v>48</v>
      </c>
      <c r="H1019" s="411">
        <v>2.8000000000000001E-2</v>
      </c>
      <c r="I1019" s="412">
        <f>IF(AND(E1019&lt;&gt;"",G1019&lt;&gt;""),IF(D1019="",IF(G1019="OH",VLOOKUP(F1019,UPAH!$B$4:$H$101,7,0),VLOOKUP(F1019,#REF!,4,0)),0),0)</f>
        <v>0</v>
      </c>
      <c r="J1019" s="16">
        <f>H1019*I1019</f>
        <v>0</v>
      </c>
    </row>
    <row r="1020" spans="1:10" ht="13.5" thickBot="1">
      <c r="A1020" s="27"/>
      <c r="B1020" s="110"/>
      <c r="D1020" s="409"/>
      <c r="E1020" s="13" t="s">
        <v>51</v>
      </c>
      <c r="F1020" s="414" t="s">
        <v>1929</v>
      </c>
      <c r="G1020" s="410" t="s">
        <v>48</v>
      </c>
      <c r="H1020" s="411">
        <v>8.3000000000000004E-2</v>
      </c>
      <c r="I1020" s="412">
        <f>IF(AND(E1020&lt;&gt;"",G1020&lt;&gt;""),IF(D1020="",IF(G1020="OH",VLOOKUP(F1020,UPAH!$B$4:$H$101,7,0),VLOOKUP(F1020,#REF!,4,0)),0),0)</f>
        <v>0</v>
      </c>
      <c r="J1020" s="16">
        <f>H1020*I1020</f>
        <v>0</v>
      </c>
    </row>
    <row r="1021" spans="1:10" ht="13.5" thickBot="1">
      <c r="A1021" s="27"/>
      <c r="B1021" s="110"/>
      <c r="D1021" s="417"/>
      <c r="E1021" s="418"/>
      <c r="F1021" s="418"/>
      <c r="G1021" s="419"/>
      <c r="H1021" s="420" t="s">
        <v>52</v>
      </c>
      <c r="I1021" s="421"/>
      <c r="J1021" s="396">
        <f>SUM(J1017:J1020)</f>
        <v>0</v>
      </c>
    </row>
    <row r="1022" spans="1:10" ht="13">
      <c r="A1022" s="27"/>
      <c r="B1022" s="110"/>
      <c r="D1022" s="406" t="s">
        <v>53</v>
      </c>
      <c r="E1022" s="13" t="s">
        <v>54</v>
      </c>
      <c r="F1022" s="14"/>
      <c r="G1022" s="15"/>
      <c r="H1022" s="451"/>
      <c r="I1022" s="412"/>
      <c r="J1022" s="16"/>
    </row>
    <row r="1023" spans="1:10" ht="13">
      <c r="A1023" s="27"/>
      <c r="B1023" s="110"/>
      <c r="D1023" s="409"/>
      <c r="E1023" s="13" t="s">
        <v>56</v>
      </c>
      <c r="F1023" s="14"/>
      <c r="G1023" s="410" t="s">
        <v>93</v>
      </c>
      <c r="H1023" s="411">
        <v>406</v>
      </c>
      <c r="I1023" s="412">
        <f>'BAHAN '!G$72</f>
        <v>0</v>
      </c>
      <c r="J1023" s="16">
        <f>H1023*I1023</f>
        <v>0</v>
      </c>
    </row>
    <row r="1024" spans="1:10" ht="13">
      <c r="A1024" s="27"/>
      <c r="B1024" s="110"/>
      <c r="D1024" s="409"/>
      <c r="E1024" s="13" t="s">
        <v>126</v>
      </c>
      <c r="F1024" s="14"/>
      <c r="G1024" s="410" t="s">
        <v>93</v>
      </c>
      <c r="H1024" s="411">
        <v>684</v>
      </c>
      <c r="I1024" s="455">
        <f>'BAHAN '!G$60</f>
        <v>0</v>
      </c>
      <c r="J1024" s="16">
        <f>H1024*I1024</f>
        <v>0</v>
      </c>
    </row>
    <row r="1025" spans="1:10" ht="13">
      <c r="A1025" s="27"/>
      <c r="B1025" s="110"/>
      <c r="D1025" s="409"/>
      <c r="E1025" s="13" t="s">
        <v>399</v>
      </c>
      <c r="F1025" s="14"/>
      <c r="G1025" s="410" t="s">
        <v>93</v>
      </c>
      <c r="H1025" s="411">
        <v>1026</v>
      </c>
      <c r="I1025" s="412">
        <f>'BAHAN '!G$50</f>
        <v>0</v>
      </c>
      <c r="J1025" s="16">
        <f>H1025*I1025</f>
        <v>0</v>
      </c>
    </row>
    <row r="1026" spans="1:10" ht="13.5" thickBot="1">
      <c r="A1026" s="27"/>
      <c r="B1026" s="110"/>
      <c r="D1026" s="409"/>
      <c r="E1026" s="13" t="s">
        <v>108</v>
      </c>
      <c r="F1026" s="14"/>
      <c r="G1026" s="410" t="s">
        <v>63</v>
      </c>
      <c r="H1026" s="411">
        <v>215</v>
      </c>
      <c r="I1026" s="412">
        <f>'BAHAN '!G$11</f>
        <v>0</v>
      </c>
      <c r="J1026" s="16">
        <f>H1026*I1026</f>
        <v>0</v>
      </c>
    </row>
    <row r="1027" spans="1:10" ht="13.5" thickBot="1">
      <c r="A1027" s="27"/>
      <c r="B1027" s="110"/>
      <c r="D1027" s="417"/>
      <c r="E1027" s="418"/>
      <c r="F1027" s="418"/>
      <c r="G1027" s="419"/>
      <c r="H1027" s="420" t="s">
        <v>64</v>
      </c>
      <c r="I1027" s="421"/>
      <c r="J1027" s="396">
        <f>SUM(J1023:J1026)</f>
        <v>0</v>
      </c>
    </row>
    <row r="1028" spans="1:10" ht="13.5" thickBot="1">
      <c r="A1028" s="27"/>
      <c r="B1028" s="110"/>
      <c r="D1028" s="406" t="s">
        <v>65</v>
      </c>
      <c r="E1028" s="13" t="s">
        <v>66</v>
      </c>
      <c r="F1028" s="14"/>
      <c r="G1028" s="15"/>
      <c r="H1028" s="451"/>
      <c r="I1028" s="412">
        <f>IF(AND(E1028&lt;&gt;"",G1028&lt;&gt;""),IF(D1028="",IF(G1028="OH",VLOOKUP(E1028,UPAH!$C$4:$H$31,7,0),VLOOKUP(E1028,#REF!,4,0)),0),0)</f>
        <v>0</v>
      </c>
      <c r="J1028" s="16">
        <f>H1028*I1028</f>
        <v>0</v>
      </c>
    </row>
    <row r="1029" spans="1:10" ht="13.5" thickBot="1">
      <c r="A1029" s="27"/>
      <c r="B1029" s="110"/>
      <c r="D1029" s="417"/>
      <c r="E1029" s="418"/>
      <c r="F1029" s="418"/>
      <c r="G1029" s="419"/>
      <c r="H1029" s="420" t="s">
        <v>67</v>
      </c>
      <c r="I1029" s="421"/>
      <c r="J1029" s="396">
        <f>J1028</f>
        <v>0</v>
      </c>
    </row>
    <row r="1030" spans="1:10" ht="13">
      <c r="A1030" s="27"/>
      <c r="B1030" s="110"/>
      <c r="D1030" s="444" t="s">
        <v>68</v>
      </c>
      <c r="E1030" s="445" t="s">
        <v>69</v>
      </c>
      <c r="F1030" s="446"/>
      <c r="G1030" s="447"/>
      <c r="H1030" s="448"/>
      <c r="I1030" s="449">
        <f>IF(AND(E1030&lt;&gt;"",G1030&lt;&gt;""),IF(D1030="",IF(G1030="OH",VLOOKUP(E1030,UPAH!$C$4:$H$31,7,0),VLOOKUP(E1030,#REF!,4,0)),0),0)</f>
        <v>0</v>
      </c>
      <c r="J1030" s="16">
        <f>SUM(J1016:J1029)/2</f>
        <v>0</v>
      </c>
    </row>
    <row r="1031" spans="1:10" ht="13.5" thickBot="1">
      <c r="A1031" s="27"/>
      <c r="B1031" s="110"/>
      <c r="D1031" s="431" t="s">
        <v>70</v>
      </c>
      <c r="E1031" s="432" t="s">
        <v>477</v>
      </c>
      <c r="F1031" s="433"/>
      <c r="G1031" s="434"/>
      <c r="H1031" s="22">
        <v>0.1</v>
      </c>
      <c r="I1031" s="436"/>
      <c r="J1031" s="430">
        <f>H1031*J1030</f>
        <v>0</v>
      </c>
    </row>
    <row r="1032" spans="1:10" ht="13.5" thickBot="1">
      <c r="A1032" s="27"/>
      <c r="B1032" s="110"/>
      <c r="D1032" s="401" t="s">
        <v>71</v>
      </c>
      <c r="E1032" s="402" t="s">
        <v>72</v>
      </c>
      <c r="F1032" s="418"/>
      <c r="G1032" s="419"/>
      <c r="H1032" s="442"/>
      <c r="I1032" s="421">
        <f>IF(AND(E1032&lt;&gt;"",G1032&lt;&gt;""),IF(D1032="",IF(G1032="OH",VLOOKUP(E1032,UPAH!$C$4:$H$31,7,0),VLOOKUP(E1032,#REF!,4,0)),0),0)</f>
        <v>0</v>
      </c>
      <c r="J1032" s="396">
        <f>ROUNDDOWN(J1030+J1031,0)</f>
        <v>0</v>
      </c>
    </row>
    <row r="1033" spans="1:10" ht="13">
      <c r="A1033" s="27"/>
      <c r="B1033" s="110"/>
      <c r="D1033" s="11"/>
      <c r="E1033" s="11"/>
      <c r="H1033" s="443"/>
      <c r="I1033" s="17"/>
      <c r="J1033" s="18"/>
    </row>
    <row r="1034" spans="1:10" ht="13.5" thickBot="1">
      <c r="A1034" s="27"/>
      <c r="B1034" s="110"/>
      <c r="C1034" s="11" t="s">
        <v>607</v>
      </c>
      <c r="D1034" s="10" t="s">
        <v>622</v>
      </c>
      <c r="H1034" s="443"/>
    </row>
    <row r="1035" spans="1:10" ht="13.5" thickBot="1">
      <c r="A1035" s="27"/>
      <c r="B1035" s="110"/>
      <c r="D1035" s="401" t="s">
        <v>40</v>
      </c>
      <c r="E1035" s="402" t="s">
        <v>41</v>
      </c>
      <c r="F1035" s="402" t="s">
        <v>42</v>
      </c>
      <c r="G1035" s="403" t="s">
        <v>43</v>
      </c>
      <c r="H1035" s="404" t="s">
        <v>44</v>
      </c>
      <c r="I1035" s="402" t="s">
        <v>474</v>
      </c>
      <c r="J1035" s="405" t="s">
        <v>475</v>
      </c>
    </row>
    <row r="1036" spans="1:10" ht="13">
      <c r="A1036" s="27"/>
      <c r="B1036" s="110"/>
      <c r="D1036" s="406" t="s">
        <v>45</v>
      </c>
      <c r="E1036" s="13" t="s">
        <v>46</v>
      </c>
      <c r="F1036" s="14"/>
      <c r="G1036" s="15"/>
      <c r="H1036" s="451"/>
      <c r="I1036" s="412"/>
      <c r="J1036" s="16"/>
    </row>
    <row r="1037" spans="1:10" ht="13">
      <c r="A1037" s="27"/>
      <c r="B1037" s="110"/>
      <c r="D1037" s="409"/>
      <c r="E1037" s="13" t="s">
        <v>47</v>
      </c>
      <c r="F1037" s="13" t="s">
        <v>1918</v>
      </c>
      <c r="G1037" s="410" t="s">
        <v>48</v>
      </c>
      <c r="H1037" s="411">
        <v>1.65</v>
      </c>
      <c r="I1037" s="412">
        <f>IF(AND(E1037&lt;&gt;"",G1037&lt;&gt;""),IF(D1037="",IF(G1037="OH",VLOOKUP(F1037,UPAH!$B$4:$H$101,7,0),VLOOKUP(F1037,#REF!,4,0)),0),0)</f>
        <v>0</v>
      </c>
      <c r="J1037" s="16">
        <f>H1037*I1037</f>
        <v>0</v>
      </c>
    </row>
    <row r="1038" spans="1:10" ht="13">
      <c r="A1038" s="27"/>
      <c r="B1038" s="110"/>
      <c r="D1038" s="409"/>
      <c r="E1038" s="13" t="s">
        <v>115</v>
      </c>
      <c r="F1038" s="13" t="s">
        <v>1921</v>
      </c>
      <c r="G1038" s="410" t="s">
        <v>48</v>
      </c>
      <c r="H1038" s="411">
        <v>0.27500000000000002</v>
      </c>
      <c r="I1038" s="412">
        <f>IF(AND(E1038&lt;&gt;"",G1038&lt;&gt;""),IF(D1038="",IF(G1038="OH",VLOOKUP(F1038,UPAH!$B$4:$H$101,7,0),VLOOKUP(F1038,#REF!,4,0)),0),0)</f>
        <v>0</v>
      </c>
      <c r="J1038" s="16">
        <f>H1038*I1038</f>
        <v>0</v>
      </c>
    </row>
    <row r="1039" spans="1:10" ht="13">
      <c r="A1039" s="27"/>
      <c r="B1039" s="110"/>
      <c r="D1039" s="409"/>
      <c r="E1039" s="13" t="s">
        <v>97</v>
      </c>
      <c r="F1039" s="13" t="s">
        <v>1928</v>
      </c>
      <c r="G1039" s="410" t="s">
        <v>48</v>
      </c>
      <c r="H1039" s="411">
        <v>2.8000000000000001E-2</v>
      </c>
      <c r="I1039" s="412">
        <f>IF(AND(E1039&lt;&gt;"",G1039&lt;&gt;""),IF(D1039="",IF(G1039="OH",VLOOKUP(F1039,UPAH!$B$4:$H$101,7,0),VLOOKUP(F1039,#REF!,4,0)),0),0)</f>
        <v>0</v>
      </c>
      <c r="J1039" s="16">
        <f>H1039*I1039</f>
        <v>0</v>
      </c>
    </row>
    <row r="1040" spans="1:10" ht="13.5" thickBot="1">
      <c r="A1040" s="27"/>
      <c r="B1040" s="110"/>
      <c r="D1040" s="409"/>
      <c r="E1040" s="13" t="s">
        <v>51</v>
      </c>
      <c r="F1040" s="414" t="s">
        <v>1929</v>
      </c>
      <c r="G1040" s="410" t="s">
        <v>48</v>
      </c>
      <c r="H1040" s="411">
        <v>8.3000000000000004E-2</v>
      </c>
      <c r="I1040" s="412">
        <f>IF(AND(E1040&lt;&gt;"",G1040&lt;&gt;""),IF(D1040="",IF(G1040="OH",VLOOKUP(F1040,UPAH!$B$4:$H$101,7,0),VLOOKUP(F1040,#REF!,4,0)),0),0)</f>
        <v>0</v>
      </c>
      <c r="J1040" s="16">
        <f>H1040*I1040</f>
        <v>0</v>
      </c>
    </row>
    <row r="1041" spans="1:10" ht="13.5" thickBot="1">
      <c r="A1041" s="27"/>
      <c r="B1041" s="110"/>
      <c r="D1041" s="417"/>
      <c r="E1041" s="418"/>
      <c r="F1041" s="418"/>
      <c r="G1041" s="419"/>
      <c r="H1041" s="420" t="s">
        <v>52</v>
      </c>
      <c r="I1041" s="421"/>
      <c r="J1041" s="396">
        <f>SUM(J1037:J1040)</f>
        <v>0</v>
      </c>
    </row>
    <row r="1042" spans="1:10" ht="13">
      <c r="A1042" s="27"/>
      <c r="B1042" s="110"/>
      <c r="D1042" s="406" t="s">
        <v>53</v>
      </c>
      <c r="E1042" s="13" t="s">
        <v>54</v>
      </c>
      <c r="F1042" s="14"/>
      <c r="G1042" s="15"/>
      <c r="H1042" s="451"/>
      <c r="I1042" s="412"/>
      <c r="J1042" s="16"/>
    </row>
    <row r="1043" spans="1:10" ht="13">
      <c r="A1043" s="27"/>
      <c r="B1043" s="110"/>
      <c r="D1043" s="409"/>
      <c r="E1043" s="13" t="s">
        <v>56</v>
      </c>
      <c r="F1043" s="14"/>
      <c r="G1043" s="410" t="s">
        <v>93</v>
      </c>
      <c r="H1043" s="411">
        <v>413</v>
      </c>
      <c r="I1043" s="412">
        <f>'BAHAN '!G$72</f>
        <v>0</v>
      </c>
      <c r="J1043" s="16">
        <f>H1043*I1043</f>
        <v>0</v>
      </c>
    </row>
    <row r="1044" spans="1:10" ht="13">
      <c r="A1044" s="27"/>
      <c r="B1044" s="110"/>
      <c r="D1044" s="409"/>
      <c r="E1044" s="13" t="s">
        <v>126</v>
      </c>
      <c r="F1044" s="14"/>
      <c r="G1044" s="410" t="s">
        <v>93</v>
      </c>
      <c r="H1044" s="411">
        <v>681</v>
      </c>
      <c r="I1044" s="455">
        <f>'BAHAN '!G$60</f>
        <v>0</v>
      </c>
      <c r="J1044" s="16">
        <f>H1044*I1044</f>
        <v>0</v>
      </c>
    </row>
    <row r="1045" spans="1:10" ht="13">
      <c r="A1045" s="27"/>
      <c r="B1045" s="110"/>
      <c r="D1045" s="409"/>
      <c r="E1045" s="13" t="s">
        <v>399</v>
      </c>
      <c r="F1045" s="14"/>
      <c r="G1045" s="410" t="s">
        <v>93</v>
      </c>
      <c r="H1045" s="411">
        <v>1021</v>
      </c>
      <c r="I1045" s="412">
        <f>'BAHAN '!G$50</f>
        <v>0</v>
      </c>
      <c r="J1045" s="16">
        <f>H1045*I1045</f>
        <v>0</v>
      </c>
    </row>
    <row r="1046" spans="1:10" ht="13.5" thickBot="1">
      <c r="A1046" s="27"/>
      <c r="B1046" s="110"/>
      <c r="D1046" s="409"/>
      <c r="E1046" s="13" t="s">
        <v>108</v>
      </c>
      <c r="F1046" s="14"/>
      <c r="G1046" s="410" t="s">
        <v>63</v>
      </c>
      <c r="H1046" s="411">
        <v>215</v>
      </c>
      <c r="I1046" s="412">
        <f>'BAHAN '!G$11</f>
        <v>0</v>
      </c>
      <c r="J1046" s="16">
        <f>H1046*I1046</f>
        <v>0</v>
      </c>
    </row>
    <row r="1047" spans="1:10" ht="13.5" thickBot="1">
      <c r="A1047" s="27"/>
      <c r="B1047" s="110"/>
      <c r="D1047" s="417"/>
      <c r="E1047" s="418"/>
      <c r="F1047" s="418"/>
      <c r="G1047" s="419"/>
      <c r="H1047" s="420" t="s">
        <v>64</v>
      </c>
      <c r="I1047" s="421"/>
      <c r="J1047" s="396">
        <f>SUM(J1043:J1046)</f>
        <v>0</v>
      </c>
    </row>
    <row r="1048" spans="1:10" ht="13.5" thickBot="1">
      <c r="A1048" s="27"/>
      <c r="B1048" s="110"/>
      <c r="D1048" s="406" t="s">
        <v>65</v>
      </c>
      <c r="E1048" s="13" t="s">
        <v>66</v>
      </c>
      <c r="F1048" s="14"/>
      <c r="G1048" s="15"/>
      <c r="H1048" s="451"/>
      <c r="I1048" s="412">
        <f>IF(AND(E1048&lt;&gt;"",G1048&lt;&gt;""),IF(D1048="",IF(G1048="OH",VLOOKUP(E1048,UPAH!$C$4:$H$31,7,0),VLOOKUP(E1048,#REF!,4,0)),0),0)</f>
        <v>0</v>
      </c>
      <c r="J1048" s="16">
        <f>H1048*I1048</f>
        <v>0</v>
      </c>
    </row>
    <row r="1049" spans="1:10" ht="13.5" thickBot="1">
      <c r="A1049" s="27"/>
      <c r="B1049" s="110"/>
      <c r="D1049" s="417"/>
      <c r="E1049" s="418"/>
      <c r="F1049" s="418"/>
      <c r="G1049" s="419"/>
      <c r="H1049" s="420" t="s">
        <v>67</v>
      </c>
      <c r="I1049" s="421"/>
      <c r="J1049" s="396">
        <f>J1048</f>
        <v>0</v>
      </c>
    </row>
    <row r="1050" spans="1:10" ht="13">
      <c r="A1050" s="27"/>
      <c r="B1050" s="110"/>
      <c r="D1050" s="444" t="s">
        <v>68</v>
      </c>
      <c r="E1050" s="445" t="s">
        <v>69</v>
      </c>
      <c r="F1050" s="446"/>
      <c r="G1050" s="447"/>
      <c r="H1050" s="448"/>
      <c r="I1050" s="449">
        <f>IF(AND(E1050&lt;&gt;"",G1050&lt;&gt;""),IF(D1050="",IF(G1050="OH",VLOOKUP(E1050,UPAH!$C$4:$H$31,7,0),VLOOKUP(E1050,#REF!,4,0)),0),0)</f>
        <v>0</v>
      </c>
      <c r="J1050" s="16">
        <f>SUM(J1036:J1049)/2</f>
        <v>0</v>
      </c>
    </row>
    <row r="1051" spans="1:10" ht="13.5" thickBot="1">
      <c r="A1051" s="27"/>
      <c r="B1051" s="110"/>
      <c r="D1051" s="431" t="s">
        <v>70</v>
      </c>
      <c r="E1051" s="432" t="s">
        <v>477</v>
      </c>
      <c r="F1051" s="433"/>
      <c r="G1051" s="434"/>
      <c r="H1051" s="22">
        <v>0.1</v>
      </c>
      <c r="I1051" s="436"/>
      <c r="J1051" s="430">
        <f>H1051*J1050</f>
        <v>0</v>
      </c>
    </row>
    <row r="1052" spans="1:10" ht="13.5" thickBot="1">
      <c r="A1052" s="27"/>
      <c r="B1052" s="110"/>
      <c r="D1052" s="401" t="s">
        <v>71</v>
      </c>
      <c r="E1052" s="402" t="s">
        <v>72</v>
      </c>
      <c r="F1052" s="418"/>
      <c r="G1052" s="419"/>
      <c r="H1052" s="442"/>
      <c r="I1052" s="421">
        <f>IF(AND(E1052&lt;&gt;"",G1052&lt;&gt;""),IF(D1052="",IF(G1052="OH",VLOOKUP(E1052,UPAH!$C$4:$H$31,7,0),VLOOKUP(E1052,#REF!,4,0)),0),0)</f>
        <v>0</v>
      </c>
      <c r="J1052" s="396">
        <f>ROUNDDOWN(J1050+J1051,0)</f>
        <v>0</v>
      </c>
    </row>
    <row r="1053" spans="1:10" ht="13">
      <c r="A1053" s="27"/>
      <c r="B1053" s="110"/>
      <c r="D1053" s="11"/>
      <c r="E1053" s="11"/>
      <c r="H1053" s="443"/>
    </row>
    <row r="1054" spans="1:10" ht="13.5" thickBot="1">
      <c r="A1054" s="27"/>
      <c r="B1054" s="110"/>
      <c r="C1054" s="11" t="s">
        <v>608</v>
      </c>
      <c r="D1054" s="10" t="s">
        <v>623</v>
      </c>
      <c r="H1054" s="443"/>
    </row>
    <row r="1055" spans="1:10" ht="13.5" thickBot="1">
      <c r="A1055" s="27"/>
      <c r="B1055" s="110"/>
      <c r="D1055" s="401" t="s">
        <v>40</v>
      </c>
      <c r="E1055" s="402" t="s">
        <v>41</v>
      </c>
      <c r="F1055" s="402" t="s">
        <v>42</v>
      </c>
      <c r="G1055" s="403" t="s">
        <v>43</v>
      </c>
      <c r="H1055" s="404" t="s">
        <v>44</v>
      </c>
      <c r="I1055" s="402" t="s">
        <v>474</v>
      </c>
      <c r="J1055" s="405" t="s">
        <v>475</v>
      </c>
    </row>
    <row r="1056" spans="1:10" ht="13">
      <c r="A1056" s="27"/>
      <c r="B1056" s="110"/>
      <c r="D1056" s="406" t="s">
        <v>45</v>
      </c>
      <c r="E1056" s="13" t="s">
        <v>46</v>
      </c>
      <c r="F1056" s="14"/>
      <c r="G1056" s="15"/>
      <c r="H1056" s="451"/>
      <c r="I1056" s="412"/>
      <c r="J1056" s="16"/>
    </row>
    <row r="1057" spans="1:10" ht="13">
      <c r="A1057" s="27"/>
      <c r="B1057" s="110"/>
      <c r="D1057" s="409"/>
      <c r="E1057" s="13" t="s">
        <v>47</v>
      </c>
      <c r="F1057" s="13" t="s">
        <v>1918</v>
      </c>
      <c r="G1057" s="410" t="s">
        <v>48</v>
      </c>
      <c r="H1057" s="411">
        <v>2.1</v>
      </c>
      <c r="I1057" s="412">
        <f>IF(AND(E1057&lt;&gt;"",G1057&lt;&gt;""),IF(D1057="",IF(G1057="OH",VLOOKUP(F1057,UPAH!$B$4:$H$101,7,0),VLOOKUP(F1057,#REF!,4,0)),0),0)</f>
        <v>0</v>
      </c>
      <c r="J1057" s="16">
        <f>H1057*I1057</f>
        <v>0</v>
      </c>
    </row>
    <row r="1058" spans="1:10" ht="13">
      <c r="A1058" s="27"/>
      <c r="B1058" s="110"/>
      <c r="D1058" s="409"/>
      <c r="E1058" s="13" t="s">
        <v>115</v>
      </c>
      <c r="F1058" s="13" t="s">
        <v>1921</v>
      </c>
      <c r="G1058" s="410" t="s">
        <v>48</v>
      </c>
      <c r="H1058" s="411">
        <v>0.35</v>
      </c>
      <c r="I1058" s="412">
        <f>IF(AND(E1058&lt;&gt;"",G1058&lt;&gt;""),IF(D1058="",IF(G1058="OH",VLOOKUP(F1058,UPAH!$B$4:$H$101,7,0),VLOOKUP(F1058,#REF!,4,0)),0),0)</f>
        <v>0</v>
      </c>
      <c r="J1058" s="16">
        <f>H1058*I1058</f>
        <v>0</v>
      </c>
    </row>
    <row r="1059" spans="1:10" ht="13">
      <c r="A1059" s="27"/>
      <c r="B1059" s="110"/>
      <c r="D1059" s="409"/>
      <c r="E1059" s="13" t="s">
        <v>97</v>
      </c>
      <c r="F1059" s="13" t="s">
        <v>1928</v>
      </c>
      <c r="G1059" s="410" t="s">
        <v>48</v>
      </c>
      <c r="H1059" s="411">
        <v>3.5000000000000003E-2</v>
      </c>
      <c r="I1059" s="412">
        <f>IF(AND(E1059&lt;&gt;"",G1059&lt;&gt;""),IF(D1059="",IF(G1059="OH",VLOOKUP(F1059,UPAH!$B$4:$H$101,7,0),VLOOKUP(F1059,#REF!,4,0)),0),0)</f>
        <v>0</v>
      </c>
      <c r="J1059" s="16">
        <f>H1059*I1059</f>
        <v>0</v>
      </c>
    </row>
    <row r="1060" spans="1:10" ht="13.5" thickBot="1">
      <c r="A1060" s="27"/>
      <c r="B1060" s="110"/>
      <c r="D1060" s="409"/>
      <c r="E1060" s="13" t="s">
        <v>51</v>
      </c>
      <c r="F1060" s="414" t="s">
        <v>1929</v>
      </c>
      <c r="G1060" s="410" t="s">
        <v>48</v>
      </c>
      <c r="H1060" s="411">
        <v>0.105</v>
      </c>
      <c r="I1060" s="412">
        <f>IF(AND(E1060&lt;&gt;"",G1060&lt;&gt;""),IF(D1060="",IF(G1060="OH",VLOOKUP(F1060,UPAH!$B$4:$H$101,7,0),VLOOKUP(F1060,#REF!,4,0)),0),0)</f>
        <v>0</v>
      </c>
      <c r="J1060" s="16">
        <f>H1060*I1060</f>
        <v>0</v>
      </c>
    </row>
    <row r="1061" spans="1:10" ht="13.5" thickBot="1">
      <c r="A1061" s="27"/>
      <c r="B1061" s="110"/>
      <c r="D1061" s="417"/>
      <c r="E1061" s="418"/>
      <c r="F1061" s="418"/>
      <c r="G1061" s="419"/>
      <c r="H1061" s="420" t="s">
        <v>52</v>
      </c>
      <c r="I1061" s="421"/>
      <c r="J1061" s="396">
        <f>SUM(J1057:J1060)</f>
        <v>0</v>
      </c>
    </row>
    <row r="1062" spans="1:10" ht="13">
      <c r="A1062" s="27"/>
      <c r="B1062" s="110"/>
      <c r="D1062" s="406" t="s">
        <v>53</v>
      </c>
      <c r="E1062" s="13" t="s">
        <v>54</v>
      </c>
      <c r="F1062" s="14"/>
      <c r="G1062" s="15"/>
      <c r="H1062" s="451"/>
      <c r="I1062" s="412"/>
      <c r="J1062" s="16"/>
    </row>
    <row r="1063" spans="1:10" ht="13">
      <c r="A1063" s="27"/>
      <c r="B1063" s="110"/>
      <c r="D1063" s="409"/>
      <c r="E1063" s="13" t="s">
        <v>56</v>
      </c>
      <c r="F1063" s="14"/>
      <c r="G1063" s="410" t="s">
        <v>93</v>
      </c>
      <c r="H1063" s="411">
        <v>439</v>
      </c>
      <c r="I1063" s="412">
        <f>'BAHAN '!G$72</f>
        <v>0</v>
      </c>
      <c r="J1063" s="16">
        <f>H1063*I1063</f>
        <v>0</v>
      </c>
    </row>
    <row r="1064" spans="1:10" ht="13">
      <c r="A1064" s="27"/>
      <c r="B1064" s="110"/>
      <c r="D1064" s="409"/>
      <c r="E1064" s="13" t="s">
        <v>126</v>
      </c>
      <c r="F1064" s="14"/>
      <c r="G1064" s="410" t="s">
        <v>93</v>
      </c>
      <c r="H1064" s="411">
        <v>670</v>
      </c>
      <c r="I1064" s="455">
        <f>'BAHAN '!G$60</f>
        <v>0</v>
      </c>
      <c r="J1064" s="16">
        <f>H1064*I1064</f>
        <v>0</v>
      </c>
    </row>
    <row r="1065" spans="1:10" ht="13">
      <c r="A1065" s="27"/>
      <c r="B1065" s="110"/>
      <c r="D1065" s="409"/>
      <c r="E1065" s="13" t="s">
        <v>399</v>
      </c>
      <c r="F1065" s="14"/>
      <c r="G1065" s="410" t="s">
        <v>93</v>
      </c>
      <c r="H1065" s="411">
        <v>1006</v>
      </c>
      <c r="I1065" s="412">
        <f>'BAHAN '!G$50</f>
        <v>0</v>
      </c>
      <c r="J1065" s="16">
        <f>H1065*I1065</f>
        <v>0</v>
      </c>
    </row>
    <row r="1066" spans="1:10" ht="13.5" thickBot="1">
      <c r="A1066" s="27"/>
      <c r="B1066" s="110"/>
      <c r="D1066" s="409"/>
      <c r="E1066" s="13" t="s">
        <v>108</v>
      </c>
      <c r="F1066" s="14"/>
      <c r="G1066" s="410" t="s">
        <v>63</v>
      </c>
      <c r="H1066" s="411">
        <v>215</v>
      </c>
      <c r="I1066" s="412">
        <f>'BAHAN '!G$11</f>
        <v>0</v>
      </c>
      <c r="J1066" s="16">
        <f>H1066*I1066</f>
        <v>0</v>
      </c>
    </row>
    <row r="1067" spans="1:10" ht="13.5" thickBot="1">
      <c r="A1067" s="27"/>
      <c r="B1067" s="110"/>
      <c r="D1067" s="417"/>
      <c r="E1067" s="418"/>
      <c r="F1067" s="418"/>
      <c r="G1067" s="419"/>
      <c r="H1067" s="420" t="s">
        <v>64</v>
      </c>
      <c r="I1067" s="421"/>
      <c r="J1067" s="396">
        <f>SUM(J1063:J1066)</f>
        <v>0</v>
      </c>
    </row>
    <row r="1068" spans="1:10" ht="13.5" thickBot="1">
      <c r="A1068" s="27"/>
      <c r="B1068" s="110"/>
      <c r="D1068" s="406" t="s">
        <v>65</v>
      </c>
      <c r="E1068" s="13" t="s">
        <v>66</v>
      </c>
      <c r="F1068" s="14"/>
      <c r="G1068" s="15"/>
      <c r="H1068" s="451"/>
      <c r="I1068" s="412">
        <f>IF(AND(E1068&lt;&gt;"",G1068&lt;&gt;""),IF(D1068="",IF(G1068="OH",VLOOKUP(E1068,UPAH!$C$4:$H$31,7,0),VLOOKUP(E1068,#REF!,4,0)),0),0)</f>
        <v>0</v>
      </c>
      <c r="J1068" s="16">
        <f>H1068*I1068</f>
        <v>0</v>
      </c>
    </row>
    <row r="1069" spans="1:10" ht="13.5" thickBot="1">
      <c r="A1069" s="27"/>
      <c r="B1069" s="110"/>
      <c r="D1069" s="417"/>
      <c r="E1069" s="418"/>
      <c r="F1069" s="418"/>
      <c r="G1069" s="419"/>
      <c r="H1069" s="420" t="s">
        <v>67</v>
      </c>
      <c r="I1069" s="421"/>
      <c r="J1069" s="396">
        <f>J1068</f>
        <v>0</v>
      </c>
    </row>
    <row r="1070" spans="1:10" ht="13">
      <c r="A1070" s="27"/>
      <c r="B1070" s="110"/>
      <c r="D1070" s="444" t="s">
        <v>68</v>
      </c>
      <c r="E1070" s="445" t="s">
        <v>69</v>
      </c>
      <c r="F1070" s="446"/>
      <c r="G1070" s="447"/>
      <c r="H1070" s="448"/>
      <c r="I1070" s="449">
        <f>IF(AND(E1070&lt;&gt;"",G1070&lt;&gt;""),IF(D1070="",IF(G1070="OH",VLOOKUP(E1070,UPAH!$C$4:$H$31,7,0),VLOOKUP(E1070,#REF!,4,0)),0),0)</f>
        <v>0</v>
      </c>
      <c r="J1070" s="16">
        <f>SUM(J1056:J1069)/2</f>
        <v>0</v>
      </c>
    </row>
    <row r="1071" spans="1:10" ht="13.5" thickBot="1">
      <c r="A1071" s="27"/>
      <c r="B1071" s="110"/>
      <c r="D1071" s="431" t="s">
        <v>70</v>
      </c>
      <c r="E1071" s="432" t="s">
        <v>477</v>
      </c>
      <c r="F1071" s="433"/>
      <c r="G1071" s="434"/>
      <c r="H1071" s="22">
        <v>0.1</v>
      </c>
      <c r="I1071" s="436"/>
      <c r="J1071" s="430">
        <f>H1071*J1070</f>
        <v>0</v>
      </c>
    </row>
    <row r="1072" spans="1:10" ht="13.5" thickBot="1">
      <c r="A1072" s="27"/>
      <c r="B1072" s="110"/>
      <c r="D1072" s="401" t="s">
        <v>71</v>
      </c>
      <c r="E1072" s="402" t="s">
        <v>72</v>
      </c>
      <c r="F1072" s="418"/>
      <c r="G1072" s="419"/>
      <c r="H1072" s="442"/>
      <c r="I1072" s="421">
        <f>IF(AND(E1072&lt;&gt;"",G1072&lt;&gt;""),IF(D1072="",IF(G1072="OH",VLOOKUP(E1072,UPAH!$C$4:$H$31,7,0),VLOOKUP(E1072,#REF!,4,0)),0),0)</f>
        <v>0</v>
      </c>
      <c r="J1072" s="396">
        <f>ROUNDDOWN(J1070+J1071,0)</f>
        <v>0</v>
      </c>
    </row>
    <row r="1073" spans="1:10" ht="13">
      <c r="A1073" s="27"/>
      <c r="B1073" s="110"/>
      <c r="D1073" s="11"/>
      <c r="E1073" s="11"/>
      <c r="H1073" s="443"/>
    </row>
    <row r="1074" spans="1:10" ht="13.5" thickBot="1">
      <c r="A1074" s="27"/>
      <c r="B1074" s="110"/>
      <c r="C1074" s="11" t="s">
        <v>609</v>
      </c>
      <c r="D1074" s="10" t="s">
        <v>624</v>
      </c>
      <c r="H1074" s="443"/>
    </row>
    <row r="1075" spans="1:10" ht="13.5" thickBot="1">
      <c r="A1075" s="27"/>
      <c r="B1075" s="110"/>
      <c r="D1075" s="401" t="s">
        <v>40</v>
      </c>
      <c r="E1075" s="402" t="s">
        <v>41</v>
      </c>
      <c r="F1075" s="402" t="s">
        <v>42</v>
      </c>
      <c r="G1075" s="403" t="s">
        <v>43</v>
      </c>
      <c r="H1075" s="404" t="s">
        <v>44</v>
      </c>
      <c r="I1075" s="402" t="s">
        <v>474</v>
      </c>
      <c r="J1075" s="405" t="s">
        <v>475</v>
      </c>
    </row>
    <row r="1076" spans="1:10" ht="13">
      <c r="A1076" s="27"/>
      <c r="B1076" s="110"/>
      <c r="D1076" s="406" t="s">
        <v>45</v>
      </c>
      <c r="E1076" s="13" t="s">
        <v>46</v>
      </c>
      <c r="F1076" s="14"/>
      <c r="G1076" s="15"/>
      <c r="H1076" s="451"/>
      <c r="I1076" s="412"/>
      <c r="J1076" s="16"/>
    </row>
    <row r="1077" spans="1:10" ht="13">
      <c r="A1077" s="27"/>
      <c r="B1077" s="110"/>
      <c r="D1077" s="409"/>
      <c r="E1077" s="13" t="s">
        <v>47</v>
      </c>
      <c r="F1077" s="13" t="s">
        <v>1918</v>
      </c>
      <c r="G1077" s="410" t="s">
        <v>48</v>
      </c>
      <c r="H1077" s="411">
        <v>2.1</v>
      </c>
      <c r="I1077" s="412">
        <f>IF(AND(E1077&lt;&gt;"",G1077&lt;&gt;""),IF(D1077="",IF(G1077="OH",VLOOKUP(F1077,UPAH!$B$4:$H$101,7,0),VLOOKUP(F1077,#REF!,4,0)),0),0)</f>
        <v>0</v>
      </c>
      <c r="J1077" s="16">
        <f>H1077*I1077</f>
        <v>0</v>
      </c>
    </row>
    <row r="1078" spans="1:10" ht="13">
      <c r="A1078" s="27"/>
      <c r="B1078" s="110"/>
      <c r="D1078" s="409"/>
      <c r="E1078" s="13" t="s">
        <v>115</v>
      </c>
      <c r="F1078" s="13" t="s">
        <v>1921</v>
      </c>
      <c r="G1078" s="410" t="s">
        <v>48</v>
      </c>
      <c r="H1078" s="411">
        <v>0.35</v>
      </c>
      <c r="I1078" s="412">
        <f>IF(AND(E1078&lt;&gt;"",G1078&lt;&gt;""),IF(D1078="",IF(G1078="OH",VLOOKUP(F1078,UPAH!$B$4:$H$101,7,0),VLOOKUP(F1078,#REF!,4,0)),0),0)</f>
        <v>0</v>
      </c>
      <c r="J1078" s="16">
        <f>H1078*I1078</f>
        <v>0</v>
      </c>
    </row>
    <row r="1079" spans="1:10" ht="13">
      <c r="A1079" s="27"/>
      <c r="B1079" s="110"/>
      <c r="D1079" s="409"/>
      <c r="E1079" s="13" t="s">
        <v>97</v>
      </c>
      <c r="F1079" s="13" t="s">
        <v>1928</v>
      </c>
      <c r="G1079" s="410" t="s">
        <v>48</v>
      </c>
      <c r="H1079" s="411">
        <v>3.5000000000000003E-2</v>
      </c>
      <c r="I1079" s="412">
        <f>IF(AND(E1079&lt;&gt;"",G1079&lt;&gt;""),IF(D1079="",IF(G1079="OH",VLOOKUP(F1079,UPAH!$B$4:$H$101,7,0),VLOOKUP(F1079,#REF!,4,0)),0),0)</f>
        <v>0</v>
      </c>
      <c r="J1079" s="16">
        <f>H1079*I1079</f>
        <v>0</v>
      </c>
    </row>
    <row r="1080" spans="1:10" ht="13.5" thickBot="1">
      <c r="A1080" s="27"/>
      <c r="B1080" s="110"/>
      <c r="D1080" s="409"/>
      <c r="E1080" s="13" t="s">
        <v>51</v>
      </c>
      <c r="F1080" s="414" t="s">
        <v>1929</v>
      </c>
      <c r="G1080" s="410" t="s">
        <v>48</v>
      </c>
      <c r="H1080" s="411">
        <v>0.105</v>
      </c>
      <c r="I1080" s="412">
        <f>IF(AND(E1080&lt;&gt;"",G1080&lt;&gt;""),IF(D1080="",IF(G1080="OH",VLOOKUP(F1080,UPAH!$B$4:$H$101,7,0),VLOOKUP(F1080,#REF!,4,0)),0),0)</f>
        <v>0</v>
      </c>
      <c r="J1080" s="16">
        <f>H1080*I1080</f>
        <v>0</v>
      </c>
    </row>
    <row r="1081" spans="1:10" ht="13.5" thickBot="1">
      <c r="A1081" s="27"/>
      <c r="B1081" s="110"/>
      <c r="D1081" s="417"/>
      <c r="E1081" s="418"/>
      <c r="F1081" s="418"/>
      <c r="G1081" s="419"/>
      <c r="H1081" s="420" t="s">
        <v>52</v>
      </c>
      <c r="I1081" s="421"/>
      <c r="J1081" s="396">
        <f>SUM(J1077:J1080)</f>
        <v>0</v>
      </c>
    </row>
    <row r="1082" spans="1:10" ht="13">
      <c r="A1082" s="27"/>
      <c r="B1082" s="110"/>
      <c r="D1082" s="406" t="s">
        <v>53</v>
      </c>
      <c r="E1082" s="13" t="s">
        <v>54</v>
      </c>
      <c r="F1082" s="14"/>
      <c r="G1082" s="15"/>
      <c r="H1082" s="451"/>
      <c r="I1082" s="412"/>
      <c r="J1082" s="16"/>
    </row>
    <row r="1083" spans="1:10" ht="13">
      <c r="A1083" s="27"/>
      <c r="B1083" s="110"/>
      <c r="D1083" s="409"/>
      <c r="E1083" s="13" t="s">
        <v>56</v>
      </c>
      <c r="F1083" s="14"/>
      <c r="G1083" s="410" t="s">
        <v>93</v>
      </c>
      <c r="H1083" s="411">
        <v>448</v>
      </c>
      <c r="I1083" s="412">
        <f>'BAHAN '!G$72</f>
        <v>0</v>
      </c>
      <c r="J1083" s="16">
        <f>H1083*I1083</f>
        <v>0</v>
      </c>
    </row>
    <row r="1084" spans="1:10" ht="13">
      <c r="A1084" s="27"/>
      <c r="B1084" s="110"/>
      <c r="D1084" s="409"/>
      <c r="E1084" s="13" t="s">
        <v>126</v>
      </c>
      <c r="F1084" s="14"/>
      <c r="G1084" s="410" t="s">
        <v>93</v>
      </c>
      <c r="H1084" s="411">
        <v>667</v>
      </c>
      <c r="I1084" s="455">
        <f>'BAHAN '!G$60</f>
        <v>0</v>
      </c>
      <c r="J1084" s="16">
        <f>H1084*I1084</f>
        <v>0</v>
      </c>
    </row>
    <row r="1085" spans="1:10" ht="13">
      <c r="A1085" s="27"/>
      <c r="B1085" s="110"/>
      <c r="D1085" s="409"/>
      <c r="E1085" s="13" t="s">
        <v>399</v>
      </c>
      <c r="F1085" s="14"/>
      <c r="G1085" s="410" t="s">
        <v>93</v>
      </c>
      <c r="H1085" s="411">
        <v>1000</v>
      </c>
      <c r="I1085" s="412">
        <f>'BAHAN '!G$50</f>
        <v>0</v>
      </c>
      <c r="J1085" s="16">
        <f>H1085*I1085</f>
        <v>0</v>
      </c>
    </row>
    <row r="1086" spans="1:10" ht="13.5" thickBot="1">
      <c r="A1086" s="27"/>
      <c r="B1086" s="110"/>
      <c r="D1086" s="409"/>
      <c r="E1086" s="13" t="s">
        <v>108</v>
      </c>
      <c r="F1086" s="14"/>
      <c r="G1086" s="410" t="s">
        <v>63</v>
      </c>
      <c r="H1086" s="411">
        <v>215</v>
      </c>
      <c r="I1086" s="412">
        <f>'BAHAN '!G$11</f>
        <v>0</v>
      </c>
      <c r="J1086" s="16">
        <f>H1086*I1086</f>
        <v>0</v>
      </c>
    </row>
    <row r="1087" spans="1:10" ht="13.5" thickBot="1">
      <c r="A1087" s="27"/>
      <c r="B1087" s="110"/>
      <c r="D1087" s="417"/>
      <c r="E1087" s="418"/>
      <c r="F1087" s="418"/>
      <c r="G1087" s="419"/>
      <c r="H1087" s="420" t="s">
        <v>64</v>
      </c>
      <c r="I1087" s="421"/>
      <c r="J1087" s="396">
        <f>SUM(J1083:J1086)</f>
        <v>0</v>
      </c>
    </row>
    <row r="1088" spans="1:10" ht="13.5" thickBot="1">
      <c r="A1088" s="27"/>
      <c r="B1088" s="110"/>
      <c r="D1088" s="406" t="s">
        <v>65</v>
      </c>
      <c r="E1088" s="13" t="s">
        <v>66</v>
      </c>
      <c r="F1088" s="14"/>
      <c r="G1088" s="15"/>
      <c r="H1088" s="451"/>
      <c r="I1088" s="412">
        <f>IF(AND(E1088&lt;&gt;"",G1088&lt;&gt;""),IF(D1088="",IF(G1088="OH",VLOOKUP(E1088,UPAH!$C$4:$H$31,7,0),VLOOKUP(E1088,#REF!,4,0)),0),0)</f>
        <v>0</v>
      </c>
      <c r="J1088" s="16">
        <f>H1088*I1088</f>
        <v>0</v>
      </c>
    </row>
    <row r="1089" spans="1:10" ht="13.5" thickBot="1">
      <c r="A1089" s="27"/>
      <c r="B1089" s="110"/>
      <c r="D1089" s="417"/>
      <c r="E1089" s="418"/>
      <c r="F1089" s="418"/>
      <c r="G1089" s="419"/>
      <c r="H1089" s="420" t="s">
        <v>67</v>
      </c>
      <c r="I1089" s="421"/>
      <c r="J1089" s="396">
        <f>J1088</f>
        <v>0</v>
      </c>
    </row>
    <row r="1090" spans="1:10" ht="13">
      <c r="A1090" s="27"/>
      <c r="B1090" s="110"/>
      <c r="D1090" s="444" t="s">
        <v>68</v>
      </c>
      <c r="E1090" s="445" t="s">
        <v>69</v>
      </c>
      <c r="F1090" s="446"/>
      <c r="G1090" s="447"/>
      <c r="H1090" s="448"/>
      <c r="I1090" s="449">
        <f>IF(AND(E1090&lt;&gt;"",G1090&lt;&gt;""),IF(D1090="",IF(G1090="OH",VLOOKUP(E1090,UPAH!$C$4:$H$31,7,0),VLOOKUP(E1090,#REF!,4,0)),0),0)</f>
        <v>0</v>
      </c>
      <c r="J1090" s="16">
        <f>SUM(J1076:J1089)/2</f>
        <v>0</v>
      </c>
    </row>
    <row r="1091" spans="1:10" ht="13.5" thickBot="1">
      <c r="A1091" s="27"/>
      <c r="B1091" s="110"/>
      <c r="D1091" s="431" t="s">
        <v>70</v>
      </c>
      <c r="E1091" s="432" t="s">
        <v>477</v>
      </c>
      <c r="F1091" s="433"/>
      <c r="G1091" s="434"/>
      <c r="H1091" s="22">
        <v>0.1</v>
      </c>
      <c r="I1091" s="436"/>
      <c r="J1091" s="430">
        <f>H1091*J1090</f>
        <v>0</v>
      </c>
    </row>
    <row r="1092" spans="1:10" ht="13.5" thickBot="1">
      <c r="A1092" s="27"/>
      <c r="B1092" s="110"/>
      <c r="D1092" s="401" t="s">
        <v>71</v>
      </c>
      <c r="E1092" s="402" t="s">
        <v>72</v>
      </c>
      <c r="F1092" s="418"/>
      <c r="G1092" s="419"/>
      <c r="H1092" s="442"/>
      <c r="I1092" s="421">
        <f>IF(AND(E1092&lt;&gt;"",G1092&lt;&gt;""),IF(D1092="",IF(G1092="OH",VLOOKUP(E1092,UPAH!$C$4:$H$31,7,0),VLOOKUP(E1092,#REF!,4,0)),0),0)</f>
        <v>0</v>
      </c>
      <c r="J1092" s="396">
        <f>ROUNDDOWN(J1090+J1091,0)</f>
        <v>0</v>
      </c>
    </row>
    <row r="1093" spans="1:10" ht="13">
      <c r="A1093" s="27"/>
      <c r="B1093" s="110"/>
      <c r="D1093" s="11"/>
      <c r="E1093" s="11"/>
      <c r="H1093" s="443"/>
      <c r="I1093" s="17"/>
      <c r="J1093" s="18"/>
    </row>
    <row r="1094" spans="1:10" ht="13">
      <c r="A1094" s="27"/>
      <c r="B1094" s="110"/>
      <c r="D1094" s="456" t="s">
        <v>109</v>
      </c>
      <c r="E1094" s="11"/>
      <c r="H1094" s="443"/>
      <c r="I1094" s="17"/>
      <c r="J1094" s="18"/>
    </row>
    <row r="1095" spans="1:10" ht="13.5" thickBot="1">
      <c r="A1095" s="27"/>
      <c r="B1095" s="110"/>
      <c r="D1095" s="456"/>
      <c r="E1095" s="11"/>
      <c r="H1095" s="443"/>
      <c r="I1095" s="17"/>
      <c r="J1095" s="18"/>
    </row>
    <row r="1096" spans="1:10" ht="13.5" thickBot="1">
      <c r="A1096" s="27"/>
      <c r="B1096" s="110"/>
      <c r="D1096" s="401" t="s">
        <v>40</v>
      </c>
      <c r="E1096" s="402" t="s">
        <v>41</v>
      </c>
      <c r="F1096" s="402" t="s">
        <v>42</v>
      </c>
      <c r="G1096" s="403" t="s">
        <v>43</v>
      </c>
      <c r="H1096" s="404" t="s">
        <v>44</v>
      </c>
      <c r="I1096" s="402" t="s">
        <v>474</v>
      </c>
      <c r="J1096" s="405" t="s">
        <v>475</v>
      </c>
    </row>
    <row r="1097" spans="1:10" ht="13">
      <c r="A1097" s="27"/>
      <c r="B1097" s="110"/>
      <c r="D1097" s="406" t="s">
        <v>45</v>
      </c>
      <c r="E1097" s="13" t="s">
        <v>46</v>
      </c>
      <c r="F1097" s="14"/>
      <c r="G1097" s="15"/>
      <c r="H1097" s="451"/>
      <c r="I1097" s="412"/>
      <c r="J1097" s="16"/>
    </row>
    <row r="1098" spans="1:10" ht="13">
      <c r="A1098" s="27"/>
      <c r="B1098" s="110"/>
      <c r="D1098" s="409"/>
      <c r="E1098" s="13" t="s">
        <v>47</v>
      </c>
      <c r="F1098" s="13" t="s">
        <v>1918</v>
      </c>
      <c r="G1098" s="410" t="s">
        <v>48</v>
      </c>
      <c r="H1098" s="411">
        <v>2.1</v>
      </c>
      <c r="I1098" s="412">
        <f>IF(AND(E1098&lt;&gt;"",G1098&lt;&gt;""),IF(D1098="",IF(G1098="OH",VLOOKUP(F1098,UPAH!$B$4:$H$101,7,0),VLOOKUP(F1098,#REF!,4,0)),0),0)</f>
        <v>0</v>
      </c>
      <c r="J1098" s="16">
        <f>H1098*I1098</f>
        <v>0</v>
      </c>
    </row>
    <row r="1099" spans="1:10" ht="13">
      <c r="A1099" s="27"/>
      <c r="B1099" s="110"/>
      <c r="D1099" s="409"/>
      <c r="E1099" s="13" t="s">
        <v>115</v>
      </c>
      <c r="F1099" s="13" t="s">
        <v>1921</v>
      </c>
      <c r="G1099" s="410" t="s">
        <v>48</v>
      </c>
      <c r="H1099" s="411">
        <v>0.35</v>
      </c>
      <c r="I1099" s="412">
        <f>IF(AND(E1099&lt;&gt;"",G1099&lt;&gt;""),IF(D1099="",IF(G1099="OH",VLOOKUP(F1099,UPAH!$B$4:$H$101,7,0),VLOOKUP(F1099,#REF!,4,0)),0),0)</f>
        <v>0</v>
      </c>
      <c r="J1099" s="16">
        <f>H1099*I1099</f>
        <v>0</v>
      </c>
    </row>
    <row r="1100" spans="1:10" ht="13">
      <c r="A1100" s="27"/>
      <c r="B1100" s="110"/>
      <c r="D1100" s="409"/>
      <c r="E1100" s="13" t="s">
        <v>97</v>
      </c>
      <c r="F1100" s="13" t="s">
        <v>1928</v>
      </c>
      <c r="G1100" s="410" t="s">
        <v>48</v>
      </c>
      <c r="H1100" s="411">
        <v>3.5000000000000003E-2</v>
      </c>
      <c r="I1100" s="412">
        <f>IF(AND(E1100&lt;&gt;"",G1100&lt;&gt;""),IF(D1100="",IF(G1100="OH",VLOOKUP(F1100,UPAH!$B$4:$H$101,7,0),VLOOKUP(F1100,#REF!,4,0)),0),0)</f>
        <v>0</v>
      </c>
      <c r="J1100" s="16">
        <f>H1100*I1100</f>
        <v>0</v>
      </c>
    </row>
    <row r="1101" spans="1:10" ht="13.5" thickBot="1">
      <c r="A1101" s="27"/>
      <c r="B1101" s="110"/>
      <c r="D1101" s="409"/>
      <c r="E1101" s="13" t="s">
        <v>51</v>
      </c>
      <c r="F1101" s="13" t="s">
        <v>1929</v>
      </c>
      <c r="G1101" s="410" t="s">
        <v>48</v>
      </c>
      <c r="H1101" s="411">
        <v>0.105</v>
      </c>
      <c r="I1101" s="412">
        <f>IF(AND(E1101&lt;&gt;"",G1101&lt;&gt;""),IF(D1101="",IF(G1101="OH",VLOOKUP(F1101,UPAH!$B$4:$H$101,7,0),VLOOKUP(F1101,#REF!,4,0)),0),0)</f>
        <v>0</v>
      </c>
      <c r="J1101" s="16">
        <f>H1101*I1101</f>
        <v>0</v>
      </c>
    </row>
    <row r="1102" spans="1:10" ht="13.5" thickBot="1">
      <c r="A1102" s="27"/>
      <c r="B1102" s="110"/>
      <c r="D1102" s="417"/>
      <c r="E1102" s="418"/>
      <c r="F1102" s="418"/>
      <c r="G1102" s="419"/>
      <c r="H1102" s="420" t="s">
        <v>52</v>
      </c>
      <c r="I1102" s="421"/>
      <c r="J1102" s="396">
        <f>SUM(J1098:J1101)</f>
        <v>0</v>
      </c>
    </row>
    <row r="1103" spans="1:10" ht="13">
      <c r="A1103" s="27"/>
      <c r="B1103" s="110"/>
      <c r="D1103" s="406" t="s">
        <v>53</v>
      </c>
      <c r="E1103" s="13" t="s">
        <v>54</v>
      </c>
      <c r="F1103" s="14"/>
      <c r="G1103" s="15"/>
      <c r="H1103" s="451"/>
      <c r="I1103" s="412"/>
      <c r="J1103" s="16"/>
    </row>
    <row r="1104" spans="1:10" ht="13">
      <c r="A1104" s="27"/>
      <c r="B1104" s="110"/>
      <c r="D1104" s="409"/>
      <c r="E1104" s="13" t="s">
        <v>56</v>
      </c>
      <c r="F1104" s="14"/>
      <c r="G1104" s="410" t="s">
        <v>93</v>
      </c>
      <c r="H1104" s="411">
        <v>448</v>
      </c>
      <c r="I1104" s="412">
        <f>'BAHAN '!G$72</f>
        <v>0</v>
      </c>
      <c r="J1104" s="16">
        <f>H1104*I1104</f>
        <v>0</v>
      </c>
    </row>
    <row r="1105" spans="1:10" ht="13">
      <c r="A1105" s="27"/>
      <c r="B1105" s="110"/>
      <c r="D1105" s="409"/>
      <c r="E1105" s="13" t="s">
        <v>126</v>
      </c>
      <c r="F1105" s="14"/>
      <c r="G1105" s="410" t="s">
        <v>93</v>
      </c>
      <c r="H1105" s="411">
        <v>667</v>
      </c>
      <c r="I1105" s="455">
        <f>'BAHAN '!G$60</f>
        <v>0</v>
      </c>
      <c r="J1105" s="16">
        <f>H1105*I1105</f>
        <v>0</v>
      </c>
    </row>
    <row r="1106" spans="1:10" ht="13">
      <c r="A1106" s="27"/>
      <c r="B1106" s="110"/>
      <c r="D1106" s="409"/>
      <c r="E1106" s="13" t="s">
        <v>399</v>
      </c>
      <c r="F1106" s="14"/>
      <c r="G1106" s="410" t="s">
        <v>93</v>
      </c>
      <c r="H1106" s="411">
        <v>1000</v>
      </c>
      <c r="I1106" s="412">
        <f>'BAHAN '!G$50</f>
        <v>0</v>
      </c>
      <c r="J1106" s="16">
        <f>H1106*I1106</f>
        <v>0</v>
      </c>
    </row>
    <row r="1107" spans="1:10" ht="13">
      <c r="A1107" s="27"/>
      <c r="B1107" s="110"/>
      <c r="D1107" s="409"/>
      <c r="E1107" s="13" t="s">
        <v>110</v>
      </c>
      <c r="F1107" s="14"/>
      <c r="G1107" s="410" t="s">
        <v>63</v>
      </c>
      <c r="H1107" s="411">
        <v>4.5</v>
      </c>
      <c r="I1107" s="412">
        <f>'BAHAN '!G968</f>
        <v>0</v>
      </c>
      <c r="J1107" s="16">
        <f>H1107*I1107</f>
        <v>0</v>
      </c>
    </row>
    <row r="1108" spans="1:10" ht="13.5" thickBot="1">
      <c r="A1108" s="27"/>
      <c r="B1108" s="110"/>
      <c r="D1108" s="409"/>
      <c r="E1108" s="13" t="s">
        <v>108</v>
      </c>
      <c r="F1108" s="14"/>
      <c r="G1108" s="410" t="s">
        <v>63</v>
      </c>
      <c r="H1108" s="411">
        <v>215</v>
      </c>
      <c r="I1108" s="412">
        <f>'BAHAN '!G11</f>
        <v>0</v>
      </c>
      <c r="J1108" s="16">
        <f>H1108*I1108</f>
        <v>0</v>
      </c>
    </row>
    <row r="1109" spans="1:10" ht="13.5" thickBot="1">
      <c r="A1109" s="27"/>
      <c r="B1109" s="110"/>
      <c r="D1109" s="417"/>
      <c r="E1109" s="418"/>
      <c r="F1109" s="418"/>
      <c r="G1109" s="419"/>
      <c r="H1109" s="420" t="s">
        <v>64</v>
      </c>
      <c r="I1109" s="421"/>
      <c r="J1109" s="396">
        <f>SUM(J1104:J1108)</f>
        <v>0</v>
      </c>
    </row>
    <row r="1110" spans="1:10" ht="13.5" thickBot="1">
      <c r="A1110" s="27"/>
      <c r="B1110" s="110"/>
      <c r="D1110" s="406" t="s">
        <v>65</v>
      </c>
      <c r="E1110" s="13" t="s">
        <v>66</v>
      </c>
      <c r="F1110" s="14"/>
      <c r="G1110" s="15"/>
      <c r="H1110" s="451"/>
      <c r="I1110" s="412">
        <f>IF(AND(E1110&lt;&gt;"",G1110&lt;&gt;""),IF(D1110="",IF(G1110="OH",VLOOKUP(E1110,UPAH!$C$4:$H$31,7,0),VLOOKUP(E1110,#REF!,4,0)),0),0)</f>
        <v>0</v>
      </c>
      <c r="J1110" s="16">
        <f>H1110*I1110</f>
        <v>0</v>
      </c>
    </row>
    <row r="1111" spans="1:10" ht="13.5" thickBot="1">
      <c r="A1111" s="27"/>
      <c r="B1111" s="110"/>
      <c r="D1111" s="417"/>
      <c r="E1111" s="418"/>
      <c r="F1111" s="418"/>
      <c r="G1111" s="419"/>
      <c r="H1111" s="420" t="s">
        <v>67</v>
      </c>
      <c r="I1111" s="421"/>
      <c r="J1111" s="396">
        <f>J1110</f>
        <v>0</v>
      </c>
    </row>
    <row r="1112" spans="1:10" ht="13">
      <c r="A1112" s="27"/>
      <c r="B1112" s="110"/>
      <c r="D1112" s="444" t="s">
        <v>68</v>
      </c>
      <c r="E1112" s="445" t="s">
        <v>69</v>
      </c>
      <c r="F1112" s="446"/>
      <c r="G1112" s="447"/>
      <c r="H1112" s="448"/>
      <c r="I1112" s="449">
        <f>IF(AND(E1112&lt;&gt;"",G1112&lt;&gt;""),IF(D1112="",IF(G1112="OH",VLOOKUP(E1112,UPAH!$C$4:$H$31,7,0),VLOOKUP(E1112,#REF!,4,0)),0),0)</f>
        <v>0</v>
      </c>
      <c r="J1112" s="16">
        <f>SUM(J1097:J1111)/2</f>
        <v>0</v>
      </c>
    </row>
    <row r="1113" spans="1:10" ht="13.5" thickBot="1">
      <c r="A1113" s="27"/>
      <c r="B1113" s="110"/>
      <c r="D1113" s="431" t="s">
        <v>70</v>
      </c>
      <c r="E1113" s="432" t="s">
        <v>477</v>
      </c>
      <c r="F1113" s="433"/>
      <c r="G1113" s="434"/>
      <c r="H1113" s="22">
        <v>0.1</v>
      </c>
      <c r="I1113" s="436"/>
      <c r="J1113" s="430">
        <f>H1113*J1112</f>
        <v>0</v>
      </c>
    </row>
    <row r="1114" spans="1:10" ht="13.5" thickBot="1">
      <c r="A1114" s="27"/>
      <c r="B1114" s="110"/>
      <c r="D1114" s="401" t="s">
        <v>71</v>
      </c>
      <c r="E1114" s="402" t="s">
        <v>3203</v>
      </c>
      <c r="F1114" s="418"/>
      <c r="G1114" s="419"/>
      <c r="H1114" s="442"/>
      <c r="I1114" s="421">
        <f>IF(AND(E1114&lt;&gt;"",G1114&lt;&gt;""),IF(D1114="",IF(G1114="OH",VLOOKUP(E1114,UPAH!$C$4:$H$31,7,0),VLOOKUP(E1114,#REF!,4,0)),0),0)</f>
        <v>0</v>
      </c>
      <c r="J1114" s="396">
        <f>ROUNDDOWN(J1112+J1113,0)</f>
        <v>0</v>
      </c>
    </row>
    <row r="1115" spans="1:10" ht="13">
      <c r="A1115" s="27"/>
      <c r="B1115" s="110"/>
      <c r="D1115" s="11"/>
      <c r="E1115" s="11"/>
      <c r="H1115" s="443"/>
      <c r="I1115" s="17"/>
      <c r="J1115" s="18"/>
    </row>
    <row r="1116" spans="1:10" ht="15">
      <c r="A1116" s="27"/>
      <c r="B1116" s="110"/>
      <c r="D1116" s="457" t="s">
        <v>1105</v>
      </c>
      <c r="E1116" s="11"/>
      <c r="H1116" s="443"/>
      <c r="I1116" s="17"/>
      <c r="J1116" s="18"/>
    </row>
    <row r="1117" spans="1:10" ht="13">
      <c r="A1117" s="27"/>
      <c r="B1117" s="110"/>
      <c r="D1117" s="11"/>
      <c r="E1117" s="11"/>
      <c r="H1117" s="443"/>
      <c r="I1117" s="17"/>
      <c r="J1117" s="18"/>
    </row>
    <row r="1118" spans="1:10" ht="13.5" thickBot="1">
      <c r="A1118" s="27"/>
      <c r="B1118" s="110"/>
      <c r="C1118" s="11" t="s">
        <v>610</v>
      </c>
      <c r="D1118" s="10" t="s">
        <v>611</v>
      </c>
      <c r="H1118" s="443"/>
    </row>
    <row r="1119" spans="1:10" ht="13.5" thickBot="1">
      <c r="A1119" s="27"/>
      <c r="B1119" s="110"/>
      <c r="D1119" s="401" t="s">
        <v>40</v>
      </c>
      <c r="E1119" s="402" t="s">
        <v>41</v>
      </c>
      <c r="F1119" s="402" t="s">
        <v>42</v>
      </c>
      <c r="G1119" s="403" t="s">
        <v>43</v>
      </c>
      <c r="H1119" s="404" t="s">
        <v>44</v>
      </c>
      <c r="I1119" s="402" t="s">
        <v>474</v>
      </c>
      <c r="J1119" s="405" t="s">
        <v>475</v>
      </c>
    </row>
    <row r="1120" spans="1:10" ht="13">
      <c r="A1120" s="27"/>
      <c r="B1120" s="110"/>
      <c r="D1120" s="406" t="s">
        <v>45</v>
      </c>
      <c r="E1120" s="13" t="s">
        <v>46</v>
      </c>
      <c r="F1120" s="14"/>
      <c r="G1120" s="15"/>
      <c r="H1120" s="451"/>
      <c r="I1120" s="412"/>
      <c r="J1120" s="16"/>
    </row>
    <row r="1121" spans="1:10" ht="13">
      <c r="A1121" s="27"/>
      <c r="B1121" s="110"/>
      <c r="D1121" s="409"/>
      <c r="E1121" s="13" t="s">
        <v>47</v>
      </c>
      <c r="F1121" s="13" t="s">
        <v>1918</v>
      </c>
      <c r="G1121" s="410" t="s">
        <v>48</v>
      </c>
      <c r="H1121" s="411">
        <v>2.1</v>
      </c>
      <c r="I1121" s="412">
        <f>IF(AND(E1121&lt;&gt;"",G1121&lt;&gt;""),IF(D1121="",IF(G1121="OH",VLOOKUP(F1121,UPAH!$B$4:$H$101,7,0),VLOOKUP(F1121,#REF!,4,0)),0),0)</f>
        <v>0</v>
      </c>
      <c r="J1121" s="16">
        <f>H1121*I1121</f>
        <v>0</v>
      </c>
    </row>
    <row r="1122" spans="1:10" ht="13">
      <c r="A1122" s="27"/>
      <c r="B1122" s="110"/>
      <c r="D1122" s="409"/>
      <c r="E1122" s="13" t="s">
        <v>115</v>
      </c>
      <c r="F1122" s="13" t="s">
        <v>1921</v>
      </c>
      <c r="G1122" s="410" t="s">
        <v>48</v>
      </c>
      <c r="H1122" s="411">
        <v>0.35</v>
      </c>
      <c r="I1122" s="412">
        <f>IF(AND(E1122&lt;&gt;"",G1122&lt;&gt;""),IF(D1122="",IF(G1122="OH",VLOOKUP(F1122,UPAH!$B$4:$H$101,7,0),VLOOKUP(F1122,#REF!,4,0)),0),0)</f>
        <v>0</v>
      </c>
      <c r="J1122" s="16">
        <f>H1122*I1122</f>
        <v>0</v>
      </c>
    </row>
    <row r="1123" spans="1:10" ht="13">
      <c r="A1123" s="27"/>
      <c r="B1123" s="110"/>
      <c r="D1123" s="409"/>
      <c r="E1123" s="13" t="s">
        <v>97</v>
      </c>
      <c r="F1123" s="13" t="s">
        <v>1928</v>
      </c>
      <c r="G1123" s="410" t="s">
        <v>48</v>
      </c>
      <c r="H1123" s="411">
        <v>3.5000000000000003E-2</v>
      </c>
      <c r="I1123" s="412">
        <f>IF(AND(E1123&lt;&gt;"",G1123&lt;&gt;""),IF(D1123="",IF(G1123="OH",VLOOKUP(F1123,UPAH!$B$4:$H$101,7,0),VLOOKUP(F1123,#REF!,4,0)),0),0)</f>
        <v>0</v>
      </c>
      <c r="J1123" s="16">
        <f>H1123*I1123</f>
        <v>0</v>
      </c>
    </row>
    <row r="1124" spans="1:10" ht="13.5" thickBot="1">
      <c r="A1124" s="27"/>
      <c r="B1124" s="110"/>
      <c r="D1124" s="409"/>
      <c r="E1124" s="13" t="s">
        <v>51</v>
      </c>
      <c r="F1124" s="13" t="s">
        <v>1929</v>
      </c>
      <c r="G1124" s="410" t="s">
        <v>48</v>
      </c>
      <c r="H1124" s="411">
        <v>0.105</v>
      </c>
      <c r="I1124" s="412">
        <f>IF(AND(E1124&lt;&gt;"",G1124&lt;&gt;""),IF(D1124="",IF(G1124="OH",VLOOKUP(F1124,UPAH!$B$4:$H$101,7,0),VLOOKUP(F1124,#REF!,4,0)),0),0)</f>
        <v>0</v>
      </c>
      <c r="J1124" s="16">
        <f>H1124*I1124</f>
        <v>0</v>
      </c>
    </row>
    <row r="1125" spans="1:10" ht="13.5" thickBot="1">
      <c r="A1125" s="27"/>
      <c r="B1125" s="110"/>
      <c r="D1125" s="417"/>
      <c r="E1125" s="418"/>
      <c r="F1125" s="418"/>
      <c r="G1125" s="419"/>
      <c r="H1125" s="420" t="s">
        <v>52</v>
      </c>
      <c r="I1125" s="421"/>
      <c r="J1125" s="396">
        <f>SUM(J1121:J1124)</f>
        <v>0</v>
      </c>
    </row>
    <row r="1126" spans="1:10" ht="13">
      <c r="A1126" s="27"/>
      <c r="B1126" s="110"/>
      <c r="D1126" s="406" t="s">
        <v>53</v>
      </c>
      <c r="E1126" s="13" t="s">
        <v>54</v>
      </c>
      <c r="F1126" s="14"/>
      <c r="G1126" s="15"/>
      <c r="H1126" s="451"/>
      <c r="I1126" s="412"/>
      <c r="J1126" s="16"/>
    </row>
    <row r="1127" spans="1:10" ht="13">
      <c r="A1127" s="27"/>
      <c r="B1127" s="110"/>
      <c r="D1127" s="409"/>
      <c r="E1127" s="13" t="s">
        <v>56</v>
      </c>
      <c r="F1127" s="14"/>
      <c r="G1127" s="410" t="s">
        <v>93</v>
      </c>
      <c r="H1127" s="411">
        <v>400</v>
      </c>
      <c r="I1127" s="412">
        <f>'BAHAN '!G72</f>
        <v>0</v>
      </c>
      <c r="J1127" s="16">
        <f>H1127*I1127</f>
        <v>0</v>
      </c>
    </row>
    <row r="1128" spans="1:10" ht="13">
      <c r="A1128" s="27"/>
      <c r="B1128" s="110"/>
      <c r="D1128" s="409"/>
      <c r="E1128" s="13" t="s">
        <v>126</v>
      </c>
      <c r="F1128" s="14"/>
      <c r="G1128" s="410" t="s">
        <v>375</v>
      </c>
      <c r="H1128" s="411">
        <v>0.48</v>
      </c>
      <c r="I1128" s="412">
        <f>'BAHAN '!G59</f>
        <v>0</v>
      </c>
      <c r="J1128" s="16">
        <f>H1128*I1128</f>
        <v>0</v>
      </c>
    </row>
    <row r="1129" spans="1:10" ht="13">
      <c r="A1129" s="27"/>
      <c r="B1129" s="110"/>
      <c r="D1129" s="409"/>
      <c r="E1129" s="13" t="s">
        <v>399</v>
      </c>
      <c r="F1129" s="14"/>
      <c r="G1129" s="410" t="s">
        <v>375</v>
      </c>
      <c r="H1129" s="411">
        <v>0.8</v>
      </c>
      <c r="I1129" s="412">
        <f>'BAHAN '!G51</f>
        <v>0</v>
      </c>
      <c r="J1129" s="16">
        <f>H1129*I1129</f>
        <v>0</v>
      </c>
    </row>
    <row r="1130" spans="1:10" ht="13.5" thickBot="1">
      <c r="A1130" s="27"/>
      <c r="B1130" s="110"/>
      <c r="D1130" s="409"/>
      <c r="E1130" s="13" t="s">
        <v>111</v>
      </c>
      <c r="F1130" s="14"/>
      <c r="G1130" s="410" t="s">
        <v>93</v>
      </c>
      <c r="H1130" s="411">
        <v>1.2</v>
      </c>
      <c r="I1130" s="412">
        <f>'BAHAN '!G77</f>
        <v>0</v>
      </c>
      <c r="J1130" s="16">
        <f>H1130*I1130</f>
        <v>0</v>
      </c>
    </row>
    <row r="1131" spans="1:10" ht="13.5" thickBot="1">
      <c r="A1131" s="27"/>
      <c r="B1131" s="110"/>
      <c r="D1131" s="417"/>
      <c r="E1131" s="418"/>
      <c r="F1131" s="418"/>
      <c r="G1131" s="419"/>
      <c r="H1131" s="420" t="s">
        <v>64</v>
      </c>
      <c r="I1131" s="421"/>
      <c r="J1131" s="396">
        <f>SUM(J1127:J1130)</f>
        <v>0</v>
      </c>
    </row>
    <row r="1132" spans="1:10" ht="13.5" thickBot="1">
      <c r="A1132" s="27"/>
      <c r="B1132" s="110"/>
      <c r="D1132" s="406" t="s">
        <v>65</v>
      </c>
      <c r="E1132" s="13" t="s">
        <v>66</v>
      </c>
      <c r="F1132" s="14"/>
      <c r="G1132" s="15"/>
      <c r="H1132" s="451"/>
      <c r="I1132" s="412">
        <f>IF(AND(E1132&lt;&gt;"",G1132&lt;&gt;""),IF(D1132="",IF(G1132="OH",VLOOKUP(E1132,UPAH!$C$4:$H$31,7,0),VLOOKUP(E1132,#REF!,4,0)),0),0)</f>
        <v>0</v>
      </c>
      <c r="J1132" s="16">
        <f>H1132*I1132</f>
        <v>0</v>
      </c>
    </row>
    <row r="1133" spans="1:10" ht="13.5" thickBot="1">
      <c r="A1133" s="27"/>
      <c r="B1133" s="110"/>
      <c r="D1133" s="417"/>
      <c r="E1133" s="418"/>
      <c r="F1133" s="418"/>
      <c r="G1133" s="419"/>
      <c r="H1133" s="420" t="s">
        <v>67</v>
      </c>
      <c r="I1133" s="421"/>
      <c r="J1133" s="396">
        <f>J1132</f>
        <v>0</v>
      </c>
    </row>
    <row r="1134" spans="1:10" ht="13">
      <c r="A1134" s="27"/>
      <c r="B1134" s="110"/>
      <c r="D1134" s="444" t="s">
        <v>68</v>
      </c>
      <c r="E1134" s="445" t="s">
        <v>69</v>
      </c>
      <c r="F1134" s="446"/>
      <c r="G1134" s="447"/>
      <c r="H1134" s="448"/>
      <c r="I1134" s="449">
        <f>IF(AND(E1134&lt;&gt;"",G1134&lt;&gt;""),IF(D1134="",IF(G1134="OH",VLOOKUP(E1134,UPAH!$C$4:$H$31,7,0),VLOOKUP(E1134,#REF!,4,0)),0),0)</f>
        <v>0</v>
      </c>
      <c r="J1134" s="16">
        <f>SUM(J1120:J1133)/2</f>
        <v>0</v>
      </c>
    </row>
    <row r="1135" spans="1:10" ht="13.5" thickBot="1">
      <c r="A1135" s="27"/>
      <c r="B1135" s="110"/>
      <c r="D1135" s="431" t="s">
        <v>70</v>
      </c>
      <c r="E1135" s="432" t="s">
        <v>477</v>
      </c>
      <c r="F1135" s="433"/>
      <c r="G1135" s="434"/>
      <c r="H1135" s="22">
        <v>0.1</v>
      </c>
      <c r="I1135" s="436"/>
      <c r="J1135" s="430">
        <f>H1135*J1134</f>
        <v>0</v>
      </c>
    </row>
    <row r="1136" spans="1:10" ht="13.5" thickBot="1">
      <c r="A1136" s="27"/>
      <c r="B1136" s="110"/>
      <c r="D1136" s="401" t="s">
        <v>71</v>
      </c>
      <c r="E1136" s="402" t="s">
        <v>72</v>
      </c>
      <c r="F1136" s="418"/>
      <c r="G1136" s="419"/>
      <c r="H1136" s="442"/>
      <c r="I1136" s="421">
        <f>IF(AND(E1136&lt;&gt;"",G1136&lt;&gt;""),IF(D1136="",IF(G1136="OH",VLOOKUP(E1136,UPAH!$C$4:$H$31,7,0),VLOOKUP(E1136,#REF!,4,0)),0),0)</f>
        <v>0</v>
      </c>
      <c r="J1136" s="396">
        <f>ROUNDDOWN(J1134+J1135,0)</f>
        <v>0</v>
      </c>
    </row>
    <row r="1137" spans="1:10" ht="13">
      <c r="A1137" s="27"/>
      <c r="B1137" s="110"/>
      <c r="D1137" s="11"/>
      <c r="E1137" s="11"/>
      <c r="H1137" s="443"/>
    </row>
    <row r="1138" spans="1:10" ht="13.5" thickBot="1">
      <c r="A1138" s="27"/>
      <c r="B1138" s="110"/>
      <c r="C1138" s="11" t="s">
        <v>612</v>
      </c>
      <c r="D1138" s="10" t="s">
        <v>613</v>
      </c>
      <c r="H1138" s="443"/>
    </row>
    <row r="1139" spans="1:10" ht="13.5" thickBot="1">
      <c r="A1139" s="27"/>
      <c r="B1139" s="110"/>
      <c r="D1139" s="401" t="s">
        <v>40</v>
      </c>
      <c r="E1139" s="402" t="s">
        <v>41</v>
      </c>
      <c r="F1139" s="402" t="s">
        <v>42</v>
      </c>
      <c r="G1139" s="403" t="s">
        <v>43</v>
      </c>
      <c r="H1139" s="404" t="s">
        <v>44</v>
      </c>
      <c r="I1139" s="402" t="s">
        <v>474</v>
      </c>
      <c r="J1139" s="405" t="s">
        <v>475</v>
      </c>
    </row>
    <row r="1140" spans="1:10" ht="13">
      <c r="A1140" s="27"/>
      <c r="B1140" s="110"/>
      <c r="D1140" s="406" t="s">
        <v>45</v>
      </c>
      <c r="E1140" s="13" t="s">
        <v>46</v>
      </c>
      <c r="F1140" s="14"/>
      <c r="G1140" s="15"/>
      <c r="H1140" s="451"/>
      <c r="I1140" s="412"/>
      <c r="J1140" s="16"/>
    </row>
    <row r="1141" spans="1:10" ht="13">
      <c r="A1141" s="27"/>
      <c r="B1141" s="110"/>
      <c r="D1141" s="409"/>
      <c r="E1141" s="13" t="s">
        <v>47</v>
      </c>
      <c r="F1141" s="13" t="s">
        <v>1918</v>
      </c>
      <c r="G1141" s="410" t="s">
        <v>48</v>
      </c>
      <c r="H1141" s="411">
        <v>0.06</v>
      </c>
      <c r="I1141" s="412">
        <f>IF(AND(E1141&lt;&gt;"",G1141&lt;&gt;""),IF(D1141="",IF(G1141="OH",VLOOKUP(F1141,UPAH!$B$4:$H$101,7,0),VLOOKUP(F1141,#REF!,4,0)),0),0)</f>
        <v>0</v>
      </c>
      <c r="J1141" s="16">
        <f>H1141*I1141</f>
        <v>0</v>
      </c>
    </row>
    <row r="1142" spans="1:10" ht="13">
      <c r="A1142" s="27"/>
      <c r="B1142" s="110"/>
      <c r="D1142" s="409"/>
      <c r="E1142" s="13" t="s">
        <v>484</v>
      </c>
      <c r="F1142" s="13" t="s">
        <v>1913</v>
      </c>
      <c r="G1142" s="410" t="s">
        <v>48</v>
      </c>
      <c r="H1142" s="411">
        <v>0.03</v>
      </c>
      <c r="I1142" s="412">
        <f>IF(AND(E1142&lt;&gt;"",G1142&lt;&gt;""),IF(D1142="",IF(G1142="OH",VLOOKUP(F1142,UPAH!$B$4:$H$101,7,0),VLOOKUP(F1142,#REF!,4,0)),0),0)</f>
        <v>0</v>
      </c>
      <c r="J1142" s="16">
        <f>H1142*I1142</f>
        <v>0</v>
      </c>
    </row>
    <row r="1143" spans="1:10" ht="13">
      <c r="A1143" s="27"/>
      <c r="B1143" s="110"/>
      <c r="D1143" s="409"/>
      <c r="E1143" s="13" t="s">
        <v>97</v>
      </c>
      <c r="F1143" s="13" t="s">
        <v>1928</v>
      </c>
      <c r="G1143" s="410" t="s">
        <v>48</v>
      </c>
      <c r="H1143" s="411">
        <v>3.0000000000000001E-3</v>
      </c>
      <c r="I1143" s="412">
        <f>IF(AND(E1143&lt;&gt;"",G1143&lt;&gt;""),IF(D1143="",IF(G1143="OH",VLOOKUP(F1143,UPAH!$B$4:$H$101,7,0),VLOOKUP(F1143,#REF!,4,0)),0),0)</f>
        <v>0</v>
      </c>
      <c r="J1143" s="16">
        <f>H1143*I1143</f>
        <v>0</v>
      </c>
    </row>
    <row r="1144" spans="1:10" ht="13.5" thickBot="1">
      <c r="A1144" s="27"/>
      <c r="B1144" s="110"/>
      <c r="D1144" s="409"/>
      <c r="E1144" s="13" t="s">
        <v>51</v>
      </c>
      <c r="F1144" s="13" t="s">
        <v>1929</v>
      </c>
      <c r="G1144" s="410" t="s">
        <v>48</v>
      </c>
      <c r="H1144" s="411">
        <v>3.0000000000000001E-3</v>
      </c>
      <c r="I1144" s="412">
        <f>IF(AND(E1144&lt;&gt;"",G1144&lt;&gt;""),IF(D1144="",IF(G1144="OH",VLOOKUP(F1144,UPAH!$B$4:$H$101,7,0),VLOOKUP(F1144,#REF!,4,0)),0),0)</f>
        <v>0</v>
      </c>
      <c r="J1144" s="16">
        <f>H1144*I1144</f>
        <v>0</v>
      </c>
    </row>
    <row r="1145" spans="1:10" ht="13.5" thickBot="1">
      <c r="A1145" s="27"/>
      <c r="B1145" s="110"/>
      <c r="D1145" s="417"/>
      <c r="E1145" s="418"/>
      <c r="F1145" s="418"/>
      <c r="G1145" s="419"/>
      <c r="H1145" s="420" t="s">
        <v>52</v>
      </c>
      <c r="I1145" s="421"/>
      <c r="J1145" s="396">
        <f>SUM(J1141:J1144)</f>
        <v>0</v>
      </c>
    </row>
    <row r="1146" spans="1:10" ht="13">
      <c r="A1146" s="27"/>
      <c r="B1146" s="110"/>
      <c r="D1146" s="406" t="s">
        <v>53</v>
      </c>
      <c r="E1146" s="13" t="s">
        <v>54</v>
      </c>
      <c r="F1146" s="14"/>
      <c r="G1146" s="15"/>
      <c r="H1146" s="451"/>
      <c r="I1146" s="412"/>
      <c r="J1146" s="16"/>
    </row>
    <row r="1147" spans="1:10" ht="13.5" thickBot="1">
      <c r="A1147" s="27"/>
      <c r="B1147" s="110"/>
      <c r="D1147" s="409"/>
      <c r="E1147" s="13" t="s">
        <v>112</v>
      </c>
      <c r="F1147" s="14"/>
      <c r="G1147" s="410" t="s">
        <v>113</v>
      </c>
      <c r="H1147" s="411">
        <v>1.05</v>
      </c>
      <c r="I1147" s="412">
        <f>'BAHAN '!G969</f>
        <v>0</v>
      </c>
      <c r="J1147" s="16">
        <f>H1147*I1147</f>
        <v>0</v>
      </c>
    </row>
    <row r="1148" spans="1:10" ht="13.5" thickBot="1">
      <c r="A1148" s="27"/>
      <c r="B1148" s="110"/>
      <c r="D1148" s="417"/>
      <c r="E1148" s="418"/>
      <c r="F1148" s="418"/>
      <c r="G1148" s="419"/>
      <c r="H1148" s="420" t="s">
        <v>64</v>
      </c>
      <c r="I1148" s="421"/>
      <c r="J1148" s="396">
        <f>SUM(J1147)</f>
        <v>0</v>
      </c>
    </row>
    <row r="1149" spans="1:10" ht="13.5" thickBot="1">
      <c r="A1149" s="27"/>
      <c r="B1149" s="110"/>
      <c r="D1149" s="406" t="s">
        <v>65</v>
      </c>
      <c r="E1149" s="13" t="s">
        <v>66</v>
      </c>
      <c r="F1149" s="14"/>
      <c r="G1149" s="15"/>
      <c r="H1149" s="451"/>
      <c r="I1149" s="412">
        <f>IF(AND(E1149&lt;&gt;"",G1149&lt;&gt;""),IF(D1149="",IF(G1149="OH",VLOOKUP(E1149,UPAH!$C$4:$H$31,7,0),VLOOKUP(E1149,#REF!,4,0)),0),0)</f>
        <v>0</v>
      </c>
      <c r="J1149" s="16">
        <f>H1149*I1149</f>
        <v>0</v>
      </c>
    </row>
    <row r="1150" spans="1:10" ht="13.5" thickBot="1">
      <c r="A1150" s="27"/>
      <c r="B1150" s="110"/>
      <c r="D1150" s="417"/>
      <c r="E1150" s="418"/>
      <c r="F1150" s="418"/>
      <c r="G1150" s="419"/>
      <c r="H1150" s="420" t="s">
        <v>67</v>
      </c>
      <c r="I1150" s="421"/>
      <c r="J1150" s="396">
        <f>J1149</f>
        <v>0</v>
      </c>
    </row>
    <row r="1151" spans="1:10" ht="13">
      <c r="A1151" s="27"/>
      <c r="B1151" s="110"/>
      <c r="D1151" s="444" t="s">
        <v>68</v>
      </c>
      <c r="E1151" s="445" t="s">
        <v>69</v>
      </c>
      <c r="F1151" s="446"/>
      <c r="G1151" s="447"/>
      <c r="H1151" s="448"/>
      <c r="I1151" s="449">
        <f>IF(AND(E1151&lt;&gt;"",G1151&lt;&gt;""),IF(D1151="",IF(G1151="OH",VLOOKUP(E1151,UPAH!$C$4:$H$31,7,0),VLOOKUP(E1151,#REF!,4,0)),0),0)</f>
        <v>0</v>
      </c>
      <c r="J1151" s="16">
        <f>SUM(J1140:J1150)/2</f>
        <v>0</v>
      </c>
    </row>
    <row r="1152" spans="1:10" ht="13.5" thickBot="1">
      <c r="A1152" s="27"/>
      <c r="B1152" s="110"/>
      <c r="D1152" s="431" t="s">
        <v>70</v>
      </c>
      <c r="E1152" s="432" t="s">
        <v>477</v>
      </c>
      <c r="F1152" s="433"/>
      <c r="G1152" s="434"/>
      <c r="H1152" s="22">
        <v>0.1</v>
      </c>
      <c r="I1152" s="436"/>
      <c r="J1152" s="430">
        <f>H1152*J1151</f>
        <v>0</v>
      </c>
    </row>
    <row r="1153" spans="1:10" ht="13.5" thickBot="1">
      <c r="A1153" s="27"/>
      <c r="B1153" s="110"/>
      <c r="D1153" s="401" t="s">
        <v>71</v>
      </c>
      <c r="E1153" s="402" t="s">
        <v>72</v>
      </c>
      <c r="F1153" s="418"/>
      <c r="G1153" s="419"/>
      <c r="H1153" s="442"/>
      <c r="I1153" s="421">
        <f>IF(AND(E1153&lt;&gt;"",G1153&lt;&gt;""),IF(D1153="",IF(G1153="OH",VLOOKUP(E1153,UPAH!$C$4:$H$31,7,0),VLOOKUP(E1153,#REF!,4,0)),0),0)</f>
        <v>0</v>
      </c>
      <c r="J1153" s="396">
        <f>ROUNDDOWN(J1151+J1152,0)</f>
        <v>0</v>
      </c>
    </row>
    <row r="1154" spans="1:10" ht="13">
      <c r="A1154" s="27"/>
      <c r="B1154" s="110"/>
      <c r="D1154" s="11"/>
      <c r="E1154" s="11"/>
      <c r="H1154" s="443"/>
    </row>
    <row r="1155" spans="1:10" ht="13.5" thickBot="1">
      <c r="A1155" s="27"/>
      <c r="B1155" s="110"/>
      <c r="C1155" s="11" t="s">
        <v>614</v>
      </c>
      <c r="D1155" s="10" t="s">
        <v>615</v>
      </c>
      <c r="H1155" s="443"/>
    </row>
    <row r="1156" spans="1:10" ht="13.5" thickBot="1">
      <c r="A1156" s="27"/>
      <c r="B1156" s="110"/>
      <c r="D1156" s="401" t="s">
        <v>40</v>
      </c>
      <c r="E1156" s="402" t="s">
        <v>41</v>
      </c>
      <c r="F1156" s="402" t="s">
        <v>42</v>
      </c>
      <c r="G1156" s="403" t="s">
        <v>43</v>
      </c>
      <c r="H1156" s="404" t="s">
        <v>44</v>
      </c>
      <c r="I1156" s="402" t="s">
        <v>474</v>
      </c>
      <c r="J1156" s="405" t="s">
        <v>475</v>
      </c>
    </row>
    <row r="1157" spans="1:10" ht="13">
      <c r="A1157" s="27"/>
      <c r="B1157" s="110"/>
      <c r="D1157" s="406" t="s">
        <v>45</v>
      </c>
      <c r="E1157" s="13" t="s">
        <v>46</v>
      </c>
      <c r="F1157" s="14"/>
      <c r="G1157" s="15"/>
      <c r="H1157" s="451"/>
      <c r="I1157" s="412"/>
      <c r="J1157" s="16"/>
    </row>
    <row r="1158" spans="1:10" ht="13">
      <c r="A1158" s="27"/>
      <c r="B1158" s="110"/>
      <c r="D1158" s="409"/>
      <c r="E1158" s="13" t="s">
        <v>47</v>
      </c>
      <c r="F1158" s="13" t="s">
        <v>1918</v>
      </c>
      <c r="G1158" s="410" t="s">
        <v>48</v>
      </c>
      <c r="H1158" s="411">
        <v>7.0000000000000007E-2</v>
      </c>
      <c r="I1158" s="412">
        <f>IF(AND(E1158&lt;&gt;"",G1158&lt;&gt;""),IF(D1158="",IF(G1158="OH",VLOOKUP(F1158,UPAH!$B$4:$H$101,7,0),VLOOKUP(F1158,#REF!,4,0)),0),0)</f>
        <v>0</v>
      </c>
      <c r="J1158" s="16">
        <f>H1158*I1158</f>
        <v>0</v>
      </c>
    </row>
    <row r="1159" spans="1:10" ht="13">
      <c r="A1159" s="27"/>
      <c r="B1159" s="110"/>
      <c r="D1159" s="409"/>
      <c r="E1159" s="13" t="s">
        <v>484</v>
      </c>
      <c r="F1159" s="13" t="s">
        <v>1913</v>
      </c>
      <c r="G1159" s="410" t="s">
        <v>48</v>
      </c>
      <c r="H1159" s="411">
        <v>3.5000000000000003E-2</v>
      </c>
      <c r="I1159" s="412">
        <f>IF(AND(E1159&lt;&gt;"",G1159&lt;&gt;""),IF(D1159="",IF(G1159="OH",VLOOKUP(F1159,UPAH!$B$4:$H$101,7,0),VLOOKUP(F1159,#REF!,4,0)),0),0)</f>
        <v>0</v>
      </c>
      <c r="J1159" s="16">
        <f>H1159*I1159</f>
        <v>0</v>
      </c>
    </row>
    <row r="1160" spans="1:10" ht="13">
      <c r="A1160" s="27"/>
      <c r="B1160" s="110"/>
      <c r="D1160" s="409"/>
      <c r="E1160" s="13" t="s">
        <v>97</v>
      </c>
      <c r="F1160" s="13" t="s">
        <v>1928</v>
      </c>
      <c r="G1160" s="410" t="s">
        <v>48</v>
      </c>
      <c r="H1160" s="411">
        <v>4.0000000000000001E-3</v>
      </c>
      <c r="I1160" s="412">
        <f>IF(AND(E1160&lt;&gt;"",G1160&lt;&gt;""),IF(D1160="",IF(G1160="OH",VLOOKUP(F1160,UPAH!$B$4:$H$101,7,0),VLOOKUP(F1160,#REF!,4,0)),0),0)</f>
        <v>0</v>
      </c>
      <c r="J1160" s="16">
        <f>H1160*I1160</f>
        <v>0</v>
      </c>
    </row>
    <row r="1161" spans="1:10" ht="13.5" thickBot="1">
      <c r="A1161" s="27"/>
      <c r="B1161" s="110"/>
      <c r="D1161" s="409"/>
      <c r="E1161" s="13" t="s">
        <v>51</v>
      </c>
      <c r="F1161" s="13" t="s">
        <v>1929</v>
      </c>
      <c r="G1161" s="410" t="s">
        <v>48</v>
      </c>
      <c r="H1161" s="411">
        <v>7.0000000000000001E-3</v>
      </c>
      <c r="I1161" s="412">
        <f>IF(AND(E1161&lt;&gt;"",G1161&lt;&gt;""),IF(D1161="",IF(G1161="OH",VLOOKUP(F1161,UPAH!$B$4:$H$101,7,0),VLOOKUP(F1161,#REF!,4,0)),0),0)</f>
        <v>0</v>
      </c>
      <c r="J1161" s="16">
        <f>H1161*I1161</f>
        <v>0</v>
      </c>
    </row>
    <row r="1162" spans="1:10" ht="13.5" thickBot="1">
      <c r="A1162" s="27"/>
      <c r="B1162" s="110"/>
      <c r="D1162" s="417"/>
      <c r="E1162" s="418"/>
      <c r="F1162" s="418"/>
      <c r="G1162" s="419"/>
      <c r="H1162" s="420" t="s">
        <v>52</v>
      </c>
      <c r="I1162" s="421"/>
      <c r="J1162" s="396">
        <f>SUM(J1158:J1161)</f>
        <v>0</v>
      </c>
    </row>
    <row r="1163" spans="1:10" ht="13">
      <c r="A1163" s="27"/>
      <c r="B1163" s="110"/>
      <c r="D1163" s="406" t="s">
        <v>53</v>
      </c>
      <c r="E1163" s="13" t="s">
        <v>54</v>
      </c>
      <c r="F1163" s="14"/>
      <c r="G1163" s="15"/>
      <c r="H1163" s="451"/>
      <c r="I1163" s="412"/>
      <c r="J1163" s="16"/>
    </row>
    <row r="1164" spans="1:10" ht="13.5" thickBot="1">
      <c r="A1164" s="27"/>
      <c r="B1164" s="110"/>
      <c r="D1164" s="409"/>
      <c r="E1164" s="13" t="s">
        <v>114</v>
      </c>
      <c r="F1164" s="14"/>
      <c r="G1164" s="410" t="s">
        <v>113</v>
      </c>
      <c r="H1164" s="411">
        <v>1.05</v>
      </c>
      <c r="I1164" s="412">
        <f>'BAHAN '!G970</f>
        <v>0</v>
      </c>
      <c r="J1164" s="16">
        <f>H1164*I1164</f>
        <v>0</v>
      </c>
    </row>
    <row r="1165" spans="1:10" ht="13.5" thickBot="1">
      <c r="A1165" s="27"/>
      <c r="B1165" s="110"/>
      <c r="D1165" s="417"/>
      <c r="E1165" s="418"/>
      <c r="F1165" s="418"/>
      <c r="G1165" s="419"/>
      <c r="H1165" s="420" t="s">
        <v>64</v>
      </c>
      <c r="I1165" s="421"/>
      <c r="J1165" s="396">
        <f>SUM(J1164)</f>
        <v>0</v>
      </c>
    </row>
    <row r="1166" spans="1:10" ht="13.5" thickBot="1">
      <c r="A1166" s="27"/>
      <c r="B1166" s="110"/>
      <c r="D1166" s="406" t="s">
        <v>65</v>
      </c>
      <c r="E1166" s="13" t="s">
        <v>66</v>
      </c>
      <c r="F1166" s="14"/>
      <c r="G1166" s="15"/>
      <c r="H1166" s="451"/>
      <c r="I1166" s="412">
        <f>IF(AND(E1166&lt;&gt;"",G1166&lt;&gt;""),IF(D1166="",IF(G1166="OH",VLOOKUP(E1166,UPAH!$C$4:$H$31,7,0),VLOOKUP(E1166,#REF!,4,0)),0),0)</f>
        <v>0</v>
      </c>
      <c r="J1166" s="16">
        <f>H1166*I1166</f>
        <v>0</v>
      </c>
    </row>
    <row r="1167" spans="1:10" ht="13.5" thickBot="1">
      <c r="A1167" s="27"/>
      <c r="B1167" s="110"/>
      <c r="D1167" s="417"/>
      <c r="E1167" s="418"/>
      <c r="F1167" s="418"/>
      <c r="G1167" s="419"/>
      <c r="H1167" s="420" t="s">
        <v>67</v>
      </c>
      <c r="I1167" s="421"/>
      <c r="J1167" s="396">
        <f>J1166</f>
        <v>0</v>
      </c>
    </row>
    <row r="1168" spans="1:10" ht="13">
      <c r="A1168" s="27"/>
      <c r="B1168" s="110"/>
      <c r="D1168" s="444" t="s">
        <v>68</v>
      </c>
      <c r="E1168" s="445" t="s">
        <v>69</v>
      </c>
      <c r="F1168" s="446"/>
      <c r="G1168" s="447"/>
      <c r="H1168" s="448"/>
      <c r="I1168" s="449">
        <f>IF(AND(E1168&lt;&gt;"",G1168&lt;&gt;""),IF(D1168="",IF(G1168="OH",VLOOKUP(E1168,UPAH!$C$4:$H$31,7,0),VLOOKUP(E1168,#REF!,4,0)),0),0)</f>
        <v>0</v>
      </c>
      <c r="J1168" s="16">
        <f>SUM(J1157:J1167)/2</f>
        <v>0</v>
      </c>
    </row>
    <row r="1169" spans="1:10" ht="13.5" thickBot="1">
      <c r="A1169" s="27"/>
      <c r="B1169" s="110"/>
      <c r="D1169" s="431" t="s">
        <v>70</v>
      </c>
      <c r="E1169" s="432" t="s">
        <v>477</v>
      </c>
      <c r="F1169" s="433"/>
      <c r="G1169" s="434"/>
      <c r="H1169" s="22">
        <v>0.1</v>
      </c>
      <c r="I1169" s="436"/>
      <c r="J1169" s="430">
        <f>H1169*J1168</f>
        <v>0</v>
      </c>
    </row>
    <row r="1170" spans="1:10" ht="13.5" thickBot="1">
      <c r="A1170" s="27"/>
      <c r="B1170" s="110"/>
      <c r="D1170" s="401" t="s">
        <v>71</v>
      </c>
      <c r="E1170" s="402" t="s">
        <v>72</v>
      </c>
      <c r="F1170" s="418"/>
      <c r="G1170" s="419"/>
      <c r="H1170" s="442"/>
      <c r="I1170" s="421">
        <f>IF(AND(E1170&lt;&gt;"",G1170&lt;&gt;""),IF(D1170="",IF(G1170="OH",VLOOKUP(E1170,UPAH!$C$4:$H$31,7,0),VLOOKUP(E1170,#REF!,4,0)),0),0)</f>
        <v>0</v>
      </c>
      <c r="J1170" s="396">
        <f>ROUNDDOWN(J1168+J1169,0)</f>
        <v>0</v>
      </c>
    </row>
    <row r="1171" spans="1:10" ht="13">
      <c r="A1171" s="27"/>
      <c r="B1171" s="110"/>
      <c r="D1171" s="11"/>
      <c r="E1171" s="11"/>
      <c r="H1171" s="443"/>
    </row>
    <row r="1172" spans="1:10" ht="13.5" thickBot="1">
      <c r="A1172" s="27"/>
      <c r="B1172" s="110"/>
      <c r="C1172" s="10" t="s">
        <v>616</v>
      </c>
      <c r="D1172" s="11" t="s">
        <v>1070</v>
      </c>
      <c r="H1172" s="443"/>
    </row>
    <row r="1173" spans="1:10" ht="13.5" thickBot="1">
      <c r="A1173" s="27"/>
      <c r="B1173" s="110"/>
      <c r="D1173" s="401" t="s">
        <v>40</v>
      </c>
      <c r="E1173" s="402" t="s">
        <v>41</v>
      </c>
      <c r="F1173" s="402" t="s">
        <v>42</v>
      </c>
      <c r="G1173" s="403" t="s">
        <v>43</v>
      </c>
      <c r="H1173" s="404" t="s">
        <v>44</v>
      </c>
      <c r="I1173" s="402" t="s">
        <v>474</v>
      </c>
      <c r="J1173" s="405" t="s">
        <v>475</v>
      </c>
    </row>
    <row r="1174" spans="1:10" ht="13">
      <c r="A1174" s="27"/>
      <c r="B1174" s="110"/>
      <c r="D1174" s="406" t="s">
        <v>45</v>
      </c>
      <c r="E1174" s="13" t="s">
        <v>46</v>
      </c>
      <c r="F1174" s="14"/>
      <c r="G1174" s="15"/>
      <c r="H1174" s="451"/>
      <c r="I1174" s="412"/>
      <c r="J1174" s="16"/>
    </row>
    <row r="1175" spans="1:10" ht="13">
      <c r="A1175" s="27"/>
      <c r="B1175" s="110"/>
      <c r="D1175" s="409"/>
      <c r="E1175" s="13" t="s">
        <v>47</v>
      </c>
      <c r="F1175" s="13" t="s">
        <v>1918</v>
      </c>
      <c r="G1175" s="410" t="s">
        <v>48</v>
      </c>
      <c r="H1175" s="411">
        <v>0.08</v>
      </c>
      <c r="I1175" s="412">
        <f>IF(AND(E1175&lt;&gt;"",G1175&lt;&gt;""),IF(D1175="",IF(G1175="OH",VLOOKUP(F1175,UPAH!$B$4:$H$101,7,0),VLOOKUP(F1175,#REF!,4,0)),0),0)</f>
        <v>0</v>
      </c>
      <c r="J1175" s="16">
        <f>H1175*I1175</f>
        <v>0</v>
      </c>
    </row>
    <row r="1176" spans="1:10" ht="13">
      <c r="A1176" s="27"/>
      <c r="B1176" s="110"/>
      <c r="D1176" s="409"/>
      <c r="E1176" s="13" t="s">
        <v>115</v>
      </c>
      <c r="F1176" s="13" t="s">
        <v>1921</v>
      </c>
      <c r="G1176" s="410" t="s">
        <v>48</v>
      </c>
      <c r="H1176" s="411">
        <v>0.04</v>
      </c>
      <c r="I1176" s="412">
        <f>IF(AND(E1176&lt;&gt;"",G1176&lt;&gt;""),IF(D1176="",IF(G1176="OH",VLOOKUP(F1176,UPAH!$B$4:$H$101,7,0),VLOOKUP(F1176,#REF!,4,0)),0),0)</f>
        <v>0</v>
      </c>
      <c r="J1176" s="16">
        <f>H1176*I1176</f>
        <v>0</v>
      </c>
    </row>
    <row r="1177" spans="1:10" ht="13">
      <c r="A1177" s="27"/>
      <c r="B1177" s="110"/>
      <c r="D1177" s="409"/>
      <c r="E1177" s="13" t="s">
        <v>97</v>
      </c>
      <c r="F1177" s="13" t="s">
        <v>1928</v>
      </c>
      <c r="G1177" s="410" t="s">
        <v>48</v>
      </c>
      <c r="H1177" s="411">
        <v>4.0000000000000001E-3</v>
      </c>
      <c r="I1177" s="412">
        <f>IF(AND(E1177&lt;&gt;"",G1177&lt;&gt;""),IF(D1177="",IF(G1177="OH",VLOOKUP(F1177,UPAH!$B$4:$H$101,7,0),VLOOKUP(F1177,#REF!,4,0)),0),0)</f>
        <v>0</v>
      </c>
      <c r="J1177" s="16">
        <f>H1177*I1177</f>
        <v>0</v>
      </c>
    </row>
    <row r="1178" spans="1:10" ht="13.5" thickBot="1">
      <c r="A1178" s="27"/>
      <c r="B1178" s="110"/>
      <c r="D1178" s="409"/>
      <c r="E1178" s="13" t="s">
        <v>51</v>
      </c>
      <c r="F1178" s="13" t="s">
        <v>1929</v>
      </c>
      <c r="G1178" s="410" t="s">
        <v>48</v>
      </c>
      <c r="H1178" s="411">
        <v>4.0000000000000001E-3</v>
      </c>
      <c r="I1178" s="412">
        <f>IF(AND(E1178&lt;&gt;"",G1178&lt;&gt;""),IF(D1178="",IF(G1178="OH",VLOOKUP(F1178,UPAH!$B$4:$H$101,7,0),VLOOKUP(F1178,#REF!,4,0)),0),0)</f>
        <v>0</v>
      </c>
      <c r="J1178" s="16">
        <f>H1178*I1178</f>
        <v>0</v>
      </c>
    </row>
    <row r="1179" spans="1:10" ht="13.5" thickBot="1">
      <c r="A1179" s="27"/>
      <c r="B1179" s="110"/>
      <c r="D1179" s="417"/>
      <c r="E1179" s="418"/>
      <c r="F1179" s="418"/>
      <c r="G1179" s="419"/>
      <c r="H1179" s="420" t="s">
        <v>52</v>
      </c>
      <c r="I1179" s="421"/>
      <c r="J1179" s="396">
        <f>SUM(J1175:J1178)</f>
        <v>0</v>
      </c>
    </row>
    <row r="1180" spans="1:10" ht="13">
      <c r="A1180" s="27"/>
      <c r="B1180" s="110"/>
      <c r="D1180" s="406" t="s">
        <v>53</v>
      </c>
      <c r="E1180" s="13" t="s">
        <v>54</v>
      </c>
      <c r="F1180" s="14"/>
      <c r="G1180" s="15"/>
      <c r="H1180" s="451"/>
      <c r="I1180" s="412"/>
      <c r="J1180" s="16"/>
    </row>
    <row r="1181" spans="1:10" ht="13.5" thickBot="1">
      <c r="A1181" s="27"/>
      <c r="B1181" s="110"/>
      <c r="D1181" s="409"/>
      <c r="E1181" s="13" t="s">
        <v>116</v>
      </c>
      <c r="F1181" s="14"/>
      <c r="G1181" s="410" t="s">
        <v>113</v>
      </c>
      <c r="H1181" s="411">
        <v>1.05</v>
      </c>
      <c r="I1181" s="412">
        <f>'BAHAN '!G971</f>
        <v>0</v>
      </c>
      <c r="J1181" s="16">
        <f>H1181*I1181</f>
        <v>0</v>
      </c>
    </row>
    <row r="1182" spans="1:10" ht="13.5" thickBot="1">
      <c r="A1182" s="27"/>
      <c r="B1182" s="110"/>
      <c r="D1182" s="417"/>
      <c r="E1182" s="418"/>
      <c r="F1182" s="418"/>
      <c r="G1182" s="419"/>
      <c r="H1182" s="420" t="s">
        <v>64</v>
      </c>
      <c r="I1182" s="421"/>
      <c r="J1182" s="396">
        <f>SUM(J1181)</f>
        <v>0</v>
      </c>
    </row>
    <row r="1183" spans="1:10" ht="13.5" thickBot="1">
      <c r="A1183" s="27"/>
      <c r="B1183" s="110"/>
      <c r="D1183" s="406" t="s">
        <v>65</v>
      </c>
      <c r="E1183" s="13" t="s">
        <v>66</v>
      </c>
      <c r="F1183" s="14"/>
      <c r="G1183" s="15"/>
      <c r="H1183" s="451"/>
      <c r="I1183" s="412">
        <f>IF(AND(E1183&lt;&gt;"",G1183&lt;&gt;""),IF(D1183="",IF(G1183="OH",VLOOKUP(E1183,UPAH!$C$4:$H$31,7,0),VLOOKUP(E1183,#REF!,4,0)),0),0)</f>
        <v>0</v>
      </c>
      <c r="J1183" s="16">
        <f>H1183*I1183</f>
        <v>0</v>
      </c>
    </row>
    <row r="1184" spans="1:10" ht="13.5" thickBot="1">
      <c r="A1184" s="27"/>
      <c r="B1184" s="110"/>
      <c r="D1184" s="417"/>
      <c r="E1184" s="418"/>
      <c r="F1184" s="418"/>
      <c r="G1184" s="419"/>
      <c r="H1184" s="420" t="s">
        <v>67</v>
      </c>
      <c r="I1184" s="421"/>
      <c r="J1184" s="396">
        <f>J1183</f>
        <v>0</v>
      </c>
    </row>
    <row r="1185" spans="1:10" ht="13">
      <c r="A1185" s="27"/>
      <c r="B1185" s="110"/>
      <c r="D1185" s="444" t="s">
        <v>68</v>
      </c>
      <c r="E1185" s="445" t="s">
        <v>69</v>
      </c>
      <c r="F1185" s="446"/>
      <c r="G1185" s="447"/>
      <c r="H1185" s="448"/>
      <c r="I1185" s="449">
        <f>IF(AND(E1185&lt;&gt;"",G1185&lt;&gt;""),IF(D1185="",IF(G1185="OH",VLOOKUP(E1185,UPAH!$C$4:$H$31,7,0),VLOOKUP(E1185,#REF!,4,0)),0),0)</f>
        <v>0</v>
      </c>
      <c r="J1185" s="16">
        <f>SUM(J1174:J1184)/2</f>
        <v>0</v>
      </c>
    </row>
    <row r="1186" spans="1:10" ht="13.5" thickBot="1">
      <c r="A1186" s="27"/>
      <c r="B1186" s="110"/>
      <c r="D1186" s="431" t="s">
        <v>70</v>
      </c>
      <c r="E1186" s="432" t="s">
        <v>477</v>
      </c>
      <c r="F1186" s="433"/>
      <c r="G1186" s="434"/>
      <c r="H1186" s="22">
        <v>0.1</v>
      </c>
      <c r="I1186" s="436"/>
      <c r="J1186" s="430">
        <f>H1186*J1185</f>
        <v>0</v>
      </c>
    </row>
    <row r="1187" spans="1:10" ht="13.5" thickBot="1">
      <c r="A1187" s="27"/>
      <c r="B1187" s="110"/>
      <c r="D1187" s="401" t="s">
        <v>71</v>
      </c>
      <c r="E1187" s="402" t="s">
        <v>72</v>
      </c>
      <c r="F1187" s="418"/>
      <c r="G1187" s="419"/>
      <c r="H1187" s="442"/>
      <c r="I1187" s="421">
        <f>IF(AND(E1187&lt;&gt;"",G1187&lt;&gt;""),IF(D1187="",IF(G1187="OH",VLOOKUP(E1187,UPAH!$C$4:$H$31,7,0),VLOOKUP(E1187,#REF!,4,0)),0),0)</f>
        <v>0</v>
      </c>
      <c r="J1187" s="396">
        <f>ROUNDDOWN(J1185+J1186,0)</f>
        <v>0</v>
      </c>
    </row>
    <row r="1188" spans="1:10" ht="13">
      <c r="A1188" s="27"/>
      <c r="B1188" s="110"/>
      <c r="D1188" s="11"/>
      <c r="E1188" s="11"/>
      <c r="H1188" s="443"/>
      <c r="I1188" s="17"/>
      <c r="J1188" s="18"/>
    </row>
    <row r="1189" spans="1:10" ht="13.5" thickBot="1">
      <c r="A1189" s="27"/>
      <c r="B1189" s="110"/>
      <c r="C1189" s="11" t="s">
        <v>1830</v>
      </c>
      <c r="D1189" s="10" t="s">
        <v>1831</v>
      </c>
      <c r="H1189" s="443"/>
    </row>
    <row r="1190" spans="1:10" ht="13.5" thickBot="1">
      <c r="A1190" s="27"/>
      <c r="B1190" s="110"/>
      <c r="D1190" s="401" t="s">
        <v>40</v>
      </c>
      <c r="E1190" s="402" t="s">
        <v>41</v>
      </c>
      <c r="F1190" s="402" t="s">
        <v>42</v>
      </c>
      <c r="G1190" s="403" t="s">
        <v>43</v>
      </c>
      <c r="H1190" s="404" t="s">
        <v>44</v>
      </c>
      <c r="I1190" s="402" t="s">
        <v>474</v>
      </c>
      <c r="J1190" s="405" t="s">
        <v>475</v>
      </c>
    </row>
    <row r="1191" spans="1:10" ht="13">
      <c r="A1191" s="27"/>
      <c r="B1191" s="110"/>
      <c r="D1191" s="406" t="s">
        <v>45</v>
      </c>
      <c r="E1191" s="13" t="s">
        <v>46</v>
      </c>
      <c r="F1191" s="14"/>
      <c r="G1191" s="15"/>
      <c r="H1191" s="451"/>
      <c r="I1191" s="412"/>
      <c r="J1191" s="16"/>
    </row>
    <row r="1192" spans="1:10" ht="13">
      <c r="A1192" s="27"/>
      <c r="B1192" s="110"/>
      <c r="D1192" s="409"/>
      <c r="E1192" s="13" t="s">
        <v>47</v>
      </c>
      <c r="F1192" s="13" t="s">
        <v>1918</v>
      </c>
      <c r="G1192" s="410" t="s">
        <v>48</v>
      </c>
      <c r="H1192" s="411">
        <v>7.0000000000000007E-2</v>
      </c>
      <c r="I1192" s="412">
        <f>IF(AND(E1192&lt;&gt;"",G1192&lt;&gt;""),IF(D1192="",IF(G1192="OH",VLOOKUP(F1192,UPAH!$B$4:$H$101,7,0),VLOOKUP(F1192,#REF!,4,0)),0),0)</f>
        <v>0</v>
      </c>
      <c r="J1192" s="16">
        <f>H1192*I1192</f>
        <v>0</v>
      </c>
    </row>
    <row r="1193" spans="1:10" ht="13">
      <c r="A1193" s="27"/>
      <c r="B1193" s="110"/>
      <c r="D1193" s="409"/>
      <c r="E1193" s="13" t="s">
        <v>485</v>
      </c>
      <c r="F1193" s="13" t="s">
        <v>1923</v>
      </c>
      <c r="G1193" s="410" t="s">
        <v>48</v>
      </c>
      <c r="H1193" s="411">
        <v>7.0000000000000007E-2</v>
      </c>
      <c r="I1193" s="412">
        <f>IF(AND(E1193&lt;&gt;"",G1193&lt;&gt;""),IF(D1193="",IF(G1193="OH",VLOOKUP(F1193,UPAH!$B$4:$H$101,7,0),VLOOKUP(F1193,#REF!,4,0)),0),0)</f>
        <v>0</v>
      </c>
      <c r="J1193" s="16">
        <f>H1193*I1193</f>
        <v>0</v>
      </c>
    </row>
    <row r="1194" spans="1:10" ht="13">
      <c r="A1194" s="27"/>
      <c r="B1194" s="110"/>
      <c r="D1194" s="409"/>
      <c r="E1194" s="13" t="s">
        <v>97</v>
      </c>
      <c r="F1194" s="13" t="s">
        <v>1928</v>
      </c>
      <c r="G1194" s="410" t="s">
        <v>48</v>
      </c>
      <c r="H1194" s="411">
        <v>7.0000000000000001E-3</v>
      </c>
      <c r="I1194" s="412">
        <f>IF(AND(E1194&lt;&gt;"",G1194&lt;&gt;""),IF(D1194="",IF(G1194="OH",VLOOKUP(F1194,UPAH!$B$4:$H$101,7,0),VLOOKUP(F1194,#REF!,4,0)),0),0)</f>
        <v>0</v>
      </c>
      <c r="J1194" s="16">
        <f>H1194*I1194</f>
        <v>0</v>
      </c>
    </row>
    <row r="1195" spans="1:10" ht="13.5" thickBot="1">
      <c r="A1195" s="27"/>
      <c r="B1195" s="110"/>
      <c r="D1195" s="409"/>
      <c r="E1195" s="13" t="s">
        <v>51</v>
      </c>
      <c r="F1195" s="13" t="s">
        <v>1929</v>
      </c>
      <c r="G1195" s="410" t="s">
        <v>48</v>
      </c>
      <c r="H1195" s="411">
        <v>4.0000000000000001E-3</v>
      </c>
      <c r="I1195" s="412">
        <f>IF(AND(E1195&lt;&gt;"",G1195&lt;&gt;""),IF(D1195="",IF(G1195="OH",VLOOKUP(F1195,UPAH!$B$4:$H$101,7,0),VLOOKUP(F1195,#REF!,4,0)),0),0)</f>
        <v>0</v>
      </c>
      <c r="J1195" s="16">
        <f>H1195*I1195</f>
        <v>0</v>
      </c>
    </row>
    <row r="1196" spans="1:10" ht="13.5" thickBot="1">
      <c r="A1196" s="27"/>
      <c r="B1196" s="110"/>
      <c r="D1196" s="417"/>
      <c r="E1196" s="418"/>
      <c r="F1196" s="418"/>
      <c r="G1196" s="419"/>
      <c r="H1196" s="420" t="s">
        <v>52</v>
      </c>
      <c r="I1196" s="421"/>
      <c r="J1196" s="396">
        <f>SUM(J1192:J1195)</f>
        <v>0</v>
      </c>
    </row>
    <row r="1197" spans="1:10" ht="13">
      <c r="A1197" s="27"/>
      <c r="B1197" s="110"/>
      <c r="D1197" s="406" t="s">
        <v>53</v>
      </c>
      <c r="E1197" s="13" t="s">
        <v>54</v>
      </c>
      <c r="F1197" s="14"/>
      <c r="G1197" s="15"/>
      <c r="H1197" s="451"/>
      <c r="I1197" s="412"/>
      <c r="J1197" s="16"/>
    </row>
    <row r="1198" spans="1:10" ht="13">
      <c r="A1198" s="27"/>
      <c r="B1198" s="110"/>
      <c r="D1198" s="409"/>
      <c r="E1198" s="13" t="s">
        <v>118</v>
      </c>
      <c r="F1198" s="14"/>
      <c r="G1198" s="410" t="s">
        <v>93</v>
      </c>
      <c r="H1198" s="411">
        <v>10.5</v>
      </c>
      <c r="I1198" s="412">
        <f>'BAHAN '!G142</f>
        <v>0</v>
      </c>
      <c r="J1198" s="16">
        <f>H1198*I1198</f>
        <v>0</v>
      </c>
    </row>
    <row r="1199" spans="1:10" ht="13.5" thickBot="1">
      <c r="A1199" s="27"/>
      <c r="B1199" s="110"/>
      <c r="D1199" s="409"/>
      <c r="E1199" s="13" t="s">
        <v>107</v>
      </c>
      <c r="F1199" s="14"/>
      <c r="G1199" s="410" t="s">
        <v>93</v>
      </c>
      <c r="H1199" s="411">
        <v>0.15</v>
      </c>
      <c r="I1199" s="412">
        <f>'BAHAN '!G116</f>
        <v>0</v>
      </c>
      <c r="J1199" s="16">
        <f>H1199*I1199</f>
        <v>0</v>
      </c>
    </row>
    <row r="1200" spans="1:10" ht="13.5" thickBot="1">
      <c r="A1200" s="27"/>
      <c r="B1200" s="110"/>
      <c r="D1200" s="417"/>
      <c r="E1200" s="418"/>
      <c r="F1200" s="418"/>
      <c r="G1200" s="419"/>
      <c r="H1200" s="420" t="s">
        <v>64</v>
      </c>
      <c r="I1200" s="421"/>
      <c r="J1200" s="396">
        <f>SUM(J1198:J1199)</f>
        <v>0</v>
      </c>
    </row>
    <row r="1201" spans="1:10" ht="13.5" thickBot="1">
      <c r="A1201" s="27"/>
      <c r="B1201" s="110"/>
      <c r="D1201" s="406" t="s">
        <v>65</v>
      </c>
      <c r="E1201" s="13" t="s">
        <v>66</v>
      </c>
      <c r="F1201" s="14"/>
      <c r="G1201" s="15"/>
      <c r="H1201" s="451"/>
      <c r="I1201" s="412">
        <f>IF(AND(E1201&lt;&gt;"",G1201&lt;&gt;""),IF(D1201="",IF(G1201="OH",VLOOKUP(E1201,UPAH!$C$4:$H$31,7,0),VLOOKUP(E1201,#REF!,4,0)),0),0)</f>
        <v>0</v>
      </c>
      <c r="J1201" s="16">
        <f>H1201*I1201</f>
        <v>0</v>
      </c>
    </row>
    <row r="1202" spans="1:10" ht="13.5" thickBot="1">
      <c r="A1202" s="27"/>
      <c r="B1202" s="110"/>
      <c r="D1202" s="417"/>
      <c r="E1202" s="418"/>
      <c r="F1202" s="418"/>
      <c r="G1202" s="419"/>
      <c r="H1202" s="420" t="s">
        <v>67</v>
      </c>
      <c r="I1202" s="421"/>
      <c r="J1202" s="396">
        <f>J1201</f>
        <v>0</v>
      </c>
    </row>
    <row r="1203" spans="1:10" ht="13">
      <c r="A1203" s="27"/>
      <c r="B1203" s="110"/>
      <c r="D1203" s="444" t="s">
        <v>68</v>
      </c>
      <c r="E1203" s="445" t="s">
        <v>69</v>
      </c>
      <c r="F1203" s="446"/>
      <c r="G1203" s="447"/>
      <c r="H1203" s="448"/>
      <c r="I1203" s="449">
        <f>IF(AND(E1203&lt;&gt;"",G1203&lt;&gt;""),IF(D1203="",IF(G1203="OH",VLOOKUP(E1203,UPAH!$C$4:$H$31,7,0),VLOOKUP(E1203,#REF!,4,0)),0),0)</f>
        <v>0</v>
      </c>
      <c r="J1203" s="16">
        <f>SUM(J1192:J1202)/2</f>
        <v>0</v>
      </c>
    </row>
    <row r="1204" spans="1:10" ht="13.5" thickBot="1">
      <c r="A1204" s="27"/>
      <c r="B1204" s="110"/>
      <c r="D1204" s="431" t="s">
        <v>70</v>
      </c>
      <c r="E1204" s="432" t="s">
        <v>477</v>
      </c>
      <c r="F1204" s="433"/>
      <c r="G1204" s="434"/>
      <c r="H1204" s="22">
        <v>0.1</v>
      </c>
      <c r="I1204" s="436"/>
      <c r="J1204" s="430">
        <f>H1204*J1203</f>
        <v>0</v>
      </c>
    </row>
    <row r="1205" spans="1:10" ht="13.5" thickBot="1">
      <c r="A1205" s="27"/>
      <c r="B1205" s="110"/>
      <c r="D1205" s="401" t="s">
        <v>71</v>
      </c>
      <c r="E1205" s="402" t="s">
        <v>72</v>
      </c>
      <c r="F1205" s="418"/>
      <c r="G1205" s="419"/>
      <c r="H1205" s="442"/>
      <c r="I1205" s="421">
        <f>IF(AND(E1205&lt;&gt;"",G1205&lt;&gt;""),IF(D1205="",IF(G1205="OH",VLOOKUP(E1205,UPAH!$C$4:$H$31,7,0),VLOOKUP(E1205,#REF!,4,0)),0),0)</f>
        <v>0</v>
      </c>
      <c r="J1205" s="396">
        <f>ROUNDDOWN(J1203+J1204,0)</f>
        <v>0</v>
      </c>
    </row>
    <row r="1206" spans="1:10" ht="13">
      <c r="A1206" s="27"/>
      <c r="B1206" s="110"/>
      <c r="D1206" s="11"/>
      <c r="E1206" s="11"/>
      <c r="H1206" s="443"/>
      <c r="I1206" s="17"/>
      <c r="J1206" s="18"/>
    </row>
    <row r="1207" spans="1:10" ht="13.5" thickBot="1">
      <c r="A1207" s="27"/>
      <c r="B1207" s="110"/>
      <c r="C1207" s="10" t="s">
        <v>625</v>
      </c>
      <c r="D1207" s="10" t="s">
        <v>626</v>
      </c>
      <c r="H1207" s="443"/>
    </row>
    <row r="1208" spans="1:10" ht="13.5" thickBot="1">
      <c r="A1208" s="27"/>
      <c r="B1208" s="110"/>
      <c r="D1208" s="401" t="s">
        <v>40</v>
      </c>
      <c r="E1208" s="402" t="s">
        <v>41</v>
      </c>
      <c r="F1208" s="402" t="s">
        <v>42</v>
      </c>
      <c r="G1208" s="403" t="s">
        <v>43</v>
      </c>
      <c r="H1208" s="404" t="s">
        <v>44</v>
      </c>
      <c r="I1208" s="402" t="s">
        <v>474</v>
      </c>
      <c r="J1208" s="405" t="s">
        <v>475</v>
      </c>
    </row>
    <row r="1209" spans="1:10" ht="13">
      <c r="A1209" s="27"/>
      <c r="B1209" s="110"/>
      <c r="D1209" s="406" t="s">
        <v>45</v>
      </c>
      <c r="E1209" s="13" t="s">
        <v>46</v>
      </c>
      <c r="F1209" s="14"/>
      <c r="G1209" s="15"/>
      <c r="H1209" s="451"/>
      <c r="I1209" s="412"/>
      <c r="J1209" s="16"/>
    </row>
    <row r="1210" spans="1:10" ht="13">
      <c r="A1210" s="27"/>
      <c r="B1210" s="110"/>
      <c r="D1210" s="409"/>
      <c r="E1210" s="13" t="s">
        <v>47</v>
      </c>
      <c r="F1210" s="13" t="s">
        <v>1918</v>
      </c>
      <c r="G1210" s="410" t="s">
        <v>48</v>
      </c>
      <c r="H1210" s="411">
        <v>0.05</v>
      </c>
      <c r="I1210" s="412">
        <f>IF(AND(E1210&lt;&gt;"",G1210&lt;&gt;""),IF(D1210="",IF(G1210="OH",VLOOKUP(F1210,UPAH!$B$4:$H$101,7,0),VLOOKUP(F1210,#REF!,4,0)),0),0)</f>
        <v>0</v>
      </c>
      <c r="J1210" s="16">
        <f>H1210*I1210</f>
        <v>0</v>
      </c>
    </row>
    <row r="1211" spans="1:10" ht="13">
      <c r="A1211" s="27"/>
      <c r="B1211" s="110"/>
      <c r="D1211" s="409"/>
      <c r="E1211" s="13" t="s">
        <v>485</v>
      </c>
      <c r="F1211" s="13" t="s">
        <v>1923</v>
      </c>
      <c r="G1211" s="410" t="s">
        <v>48</v>
      </c>
      <c r="H1211" s="411">
        <v>0.05</v>
      </c>
      <c r="I1211" s="412">
        <f>IF(AND(E1211&lt;&gt;"",G1211&lt;&gt;""),IF(D1211="",IF(G1211="OH",VLOOKUP(F1211,UPAH!$B$4:$H$101,7,0),VLOOKUP(F1211,#REF!,4,0)),0),0)</f>
        <v>0</v>
      </c>
      <c r="J1211" s="16">
        <f>H1211*I1211</f>
        <v>0</v>
      </c>
    </row>
    <row r="1212" spans="1:10" ht="13">
      <c r="A1212" s="27"/>
      <c r="B1212" s="110"/>
      <c r="D1212" s="409"/>
      <c r="E1212" s="13" t="s">
        <v>97</v>
      </c>
      <c r="F1212" s="13" t="s">
        <v>1928</v>
      </c>
      <c r="G1212" s="410" t="s">
        <v>48</v>
      </c>
      <c r="H1212" s="411">
        <v>5.0000000000000001E-3</v>
      </c>
      <c r="I1212" s="412">
        <f>IF(AND(E1212&lt;&gt;"",G1212&lt;&gt;""),IF(D1212="",IF(G1212="OH",VLOOKUP(F1212,UPAH!$B$4:$H$101,7,0),VLOOKUP(F1212,#REF!,4,0)),0),0)</f>
        <v>0</v>
      </c>
      <c r="J1212" s="16">
        <f>H1212*I1212</f>
        <v>0</v>
      </c>
    </row>
    <row r="1213" spans="1:10" ht="13.5" thickBot="1">
      <c r="A1213" s="27"/>
      <c r="B1213" s="110"/>
      <c r="D1213" s="409"/>
      <c r="E1213" s="13" t="s">
        <v>51</v>
      </c>
      <c r="F1213" s="13" t="s">
        <v>1929</v>
      </c>
      <c r="G1213" s="410" t="s">
        <v>48</v>
      </c>
      <c r="H1213" s="411">
        <v>3.0000000000000001E-3</v>
      </c>
      <c r="I1213" s="412">
        <f>IF(AND(E1213&lt;&gt;"",G1213&lt;&gt;""),IF(D1213="",IF(G1213="OH",VLOOKUP(F1213,UPAH!$B$4:$H$101,7,0),VLOOKUP(F1213,#REF!,4,0)),0),0)</f>
        <v>0</v>
      </c>
      <c r="J1213" s="16">
        <f>H1213*I1213</f>
        <v>0</v>
      </c>
    </row>
    <row r="1214" spans="1:10" ht="13.5" thickBot="1">
      <c r="A1214" s="27"/>
      <c r="B1214" s="110"/>
      <c r="D1214" s="417"/>
      <c r="E1214" s="418"/>
      <c r="F1214" s="418"/>
      <c r="G1214" s="419"/>
      <c r="H1214" s="420" t="s">
        <v>52</v>
      </c>
      <c r="I1214" s="421"/>
      <c r="J1214" s="396">
        <f>SUM(J1210:J1213)</f>
        <v>0</v>
      </c>
    </row>
    <row r="1215" spans="1:10" ht="13">
      <c r="A1215" s="27"/>
      <c r="B1215" s="110"/>
      <c r="D1215" s="406" t="s">
        <v>53</v>
      </c>
      <c r="E1215" s="13" t="s">
        <v>54</v>
      </c>
      <c r="F1215" s="14"/>
      <c r="G1215" s="15"/>
      <c r="H1215" s="451"/>
      <c r="I1215" s="412"/>
      <c r="J1215" s="16"/>
    </row>
    <row r="1216" spans="1:10" ht="13">
      <c r="A1216" s="27"/>
      <c r="B1216" s="110"/>
      <c r="D1216" s="409"/>
      <c r="E1216" s="13" t="s">
        <v>118</v>
      </c>
      <c r="F1216" s="14"/>
      <c r="G1216" s="410" t="s">
        <v>93</v>
      </c>
      <c r="H1216" s="411">
        <v>10.5</v>
      </c>
      <c r="I1216" s="412">
        <f>'BAHAN '!G148</f>
        <v>0</v>
      </c>
      <c r="J1216" s="16">
        <f>H1216*I1216</f>
        <v>0</v>
      </c>
    </row>
    <row r="1217" spans="1:10" ht="13.5" thickBot="1">
      <c r="A1217" s="27"/>
      <c r="B1217" s="110"/>
      <c r="D1217" s="409"/>
      <c r="E1217" s="13" t="s">
        <v>107</v>
      </c>
      <c r="F1217" s="14"/>
      <c r="G1217" s="410" t="s">
        <v>93</v>
      </c>
      <c r="H1217" s="411">
        <v>0.1</v>
      </c>
      <c r="I1217" s="412">
        <f>'BAHAN '!G116</f>
        <v>0</v>
      </c>
      <c r="J1217" s="16">
        <f>H1217*I1217</f>
        <v>0</v>
      </c>
    </row>
    <row r="1218" spans="1:10" ht="13.5" thickBot="1">
      <c r="A1218" s="27"/>
      <c r="B1218" s="110"/>
      <c r="D1218" s="417"/>
      <c r="E1218" s="418"/>
      <c r="F1218" s="418"/>
      <c r="G1218" s="419"/>
      <c r="H1218" s="420" t="s">
        <v>64</v>
      </c>
      <c r="I1218" s="421"/>
      <c r="J1218" s="396">
        <f>SUM(J1216:J1217)</f>
        <v>0</v>
      </c>
    </row>
    <row r="1219" spans="1:10" ht="13.5" thickBot="1">
      <c r="A1219" s="27"/>
      <c r="B1219" s="110"/>
      <c r="D1219" s="406" t="s">
        <v>65</v>
      </c>
      <c r="E1219" s="13" t="s">
        <v>66</v>
      </c>
      <c r="F1219" s="14"/>
      <c r="G1219" s="15"/>
      <c r="H1219" s="451"/>
      <c r="I1219" s="412">
        <f>IF(AND(E1219&lt;&gt;"",G1219&lt;&gt;""),IF(D1219="",IF(G1219="OH",VLOOKUP(E1219,UPAH!$C$4:$H$31,7,0),VLOOKUP(E1219,#REF!,4,0)),0),0)</f>
        <v>0</v>
      </c>
      <c r="J1219" s="16">
        <f>H1219*I1219</f>
        <v>0</v>
      </c>
    </row>
    <row r="1220" spans="1:10" ht="13.5" thickBot="1">
      <c r="A1220" s="27"/>
      <c r="B1220" s="110"/>
      <c r="D1220" s="417"/>
      <c r="E1220" s="418"/>
      <c r="F1220" s="418"/>
      <c r="G1220" s="419"/>
      <c r="H1220" s="420" t="s">
        <v>67</v>
      </c>
      <c r="I1220" s="421"/>
      <c r="J1220" s="396">
        <f>J1219</f>
        <v>0</v>
      </c>
    </row>
    <row r="1221" spans="1:10" ht="13">
      <c r="A1221" s="27"/>
      <c r="B1221" s="110"/>
      <c r="D1221" s="444" t="s">
        <v>68</v>
      </c>
      <c r="E1221" s="445" t="s">
        <v>69</v>
      </c>
      <c r="F1221" s="446"/>
      <c r="G1221" s="447"/>
      <c r="H1221" s="448"/>
      <c r="I1221" s="449">
        <f>IF(AND(E1221&lt;&gt;"",G1221&lt;&gt;""),IF(D1221="",IF(G1221="OH",VLOOKUP(E1221,UPAH!$C$4:$H$31,7,0),VLOOKUP(E1221,#REF!,4,0)),0),0)</f>
        <v>0</v>
      </c>
      <c r="J1221" s="16">
        <f>SUM(J1209:J1220)/2</f>
        <v>0</v>
      </c>
    </row>
    <row r="1222" spans="1:10" ht="13.5" thickBot="1">
      <c r="A1222" s="27"/>
      <c r="B1222" s="110"/>
      <c r="D1222" s="431" t="s">
        <v>70</v>
      </c>
      <c r="E1222" s="432" t="s">
        <v>477</v>
      </c>
      <c r="F1222" s="433"/>
      <c r="G1222" s="434"/>
      <c r="H1222" s="22">
        <v>0.1</v>
      </c>
      <c r="I1222" s="436"/>
      <c r="J1222" s="430">
        <f>H1222*J1221</f>
        <v>0</v>
      </c>
    </row>
    <row r="1223" spans="1:10" ht="13.5" thickBot="1">
      <c r="A1223" s="27"/>
      <c r="B1223" s="110"/>
      <c r="D1223" s="401" t="s">
        <v>71</v>
      </c>
      <c r="E1223" s="402" t="s">
        <v>72</v>
      </c>
      <c r="F1223" s="418"/>
      <c r="G1223" s="419"/>
      <c r="H1223" s="442"/>
      <c r="I1223" s="421">
        <f>IF(AND(E1223&lt;&gt;"",G1223&lt;&gt;""),IF(D1223="",IF(G1223="OH",VLOOKUP(E1223,UPAH!$C$4:$H$31,7,0),VLOOKUP(E1223,#REF!,4,0)),0),0)</f>
        <v>0</v>
      </c>
      <c r="J1223" s="396">
        <f>ROUNDDOWN(J1221+J1222,0)</f>
        <v>0</v>
      </c>
    </row>
    <row r="1224" spans="1:10" ht="13">
      <c r="A1224" s="27"/>
      <c r="B1224" s="110"/>
      <c r="D1224" s="11"/>
      <c r="E1224" s="11"/>
      <c r="H1224" s="443"/>
    </row>
    <row r="1225" spans="1:10" ht="13.5" thickBot="1">
      <c r="A1225" s="27"/>
      <c r="B1225" s="110"/>
      <c r="C1225" s="10" t="s">
        <v>627</v>
      </c>
      <c r="D1225" s="11" t="s">
        <v>1071</v>
      </c>
      <c r="H1225" s="443"/>
    </row>
    <row r="1226" spans="1:10" ht="13.5" thickBot="1">
      <c r="A1226" s="27"/>
      <c r="B1226" s="110"/>
      <c r="D1226" s="401" t="s">
        <v>40</v>
      </c>
      <c r="E1226" s="402" t="s">
        <v>41</v>
      </c>
      <c r="F1226" s="402" t="s">
        <v>42</v>
      </c>
      <c r="G1226" s="403" t="s">
        <v>43</v>
      </c>
      <c r="H1226" s="404" t="s">
        <v>44</v>
      </c>
      <c r="I1226" s="402" t="s">
        <v>474</v>
      </c>
      <c r="J1226" s="405" t="s">
        <v>475</v>
      </c>
    </row>
    <row r="1227" spans="1:10" ht="13">
      <c r="A1227" s="27"/>
      <c r="B1227" s="110"/>
      <c r="D1227" s="406" t="s">
        <v>45</v>
      </c>
      <c r="E1227" s="13" t="s">
        <v>46</v>
      </c>
      <c r="F1227" s="14"/>
      <c r="G1227" s="15"/>
      <c r="H1227" s="451"/>
      <c r="I1227" s="412"/>
      <c r="J1227" s="16"/>
    </row>
    <row r="1228" spans="1:10" ht="13">
      <c r="A1228" s="27"/>
      <c r="B1228" s="110"/>
      <c r="D1228" s="409"/>
      <c r="E1228" s="13" t="s">
        <v>47</v>
      </c>
      <c r="F1228" s="13" t="s">
        <v>1918</v>
      </c>
      <c r="G1228" s="410" t="s">
        <v>48</v>
      </c>
      <c r="H1228" s="411">
        <v>2.5000000000000001E-2</v>
      </c>
      <c r="I1228" s="412">
        <f>IF(AND(E1228&lt;&gt;"",G1228&lt;&gt;""),IF(D1228="",IF(G1228="OH",VLOOKUP(F1228,UPAH!$B$4:$H$101,7,0),VLOOKUP(F1228,#REF!,4,0)),0),0)</f>
        <v>0</v>
      </c>
      <c r="J1228" s="16">
        <f>H1228*I1228</f>
        <v>0</v>
      </c>
    </row>
    <row r="1229" spans="1:10" ht="13">
      <c r="A1229" s="27"/>
      <c r="B1229" s="110"/>
      <c r="D1229" s="409"/>
      <c r="E1229" s="13" t="s">
        <v>485</v>
      </c>
      <c r="F1229" s="13" t="s">
        <v>1923</v>
      </c>
      <c r="G1229" s="410" t="s">
        <v>48</v>
      </c>
      <c r="H1229" s="411">
        <v>2.5000000000000001E-2</v>
      </c>
      <c r="I1229" s="412">
        <f>IF(AND(E1229&lt;&gt;"",G1229&lt;&gt;""),IF(D1229="",IF(G1229="OH",VLOOKUP(F1229,UPAH!$B$4:$H$101,7,0),VLOOKUP(F1229,#REF!,4,0)),0),0)</f>
        <v>0</v>
      </c>
      <c r="J1229" s="16">
        <f>H1229*I1229</f>
        <v>0</v>
      </c>
    </row>
    <row r="1230" spans="1:10" ht="13">
      <c r="A1230" s="27"/>
      <c r="B1230" s="110"/>
      <c r="D1230" s="409"/>
      <c r="E1230" s="13" t="s">
        <v>97</v>
      </c>
      <c r="F1230" s="13" t="s">
        <v>1928</v>
      </c>
      <c r="G1230" s="410" t="s">
        <v>48</v>
      </c>
      <c r="H1230" s="411">
        <v>2.5000000000000001E-2</v>
      </c>
      <c r="I1230" s="412">
        <f>IF(AND(E1230&lt;&gt;"",G1230&lt;&gt;""),IF(D1230="",IF(G1230="OH",VLOOKUP(F1230,UPAH!$B$4:$H$101,7,0),VLOOKUP(F1230,#REF!,4,0)),0),0)</f>
        <v>0</v>
      </c>
      <c r="J1230" s="16">
        <f>H1230*I1230</f>
        <v>0</v>
      </c>
    </row>
    <row r="1231" spans="1:10" ht="13.5" thickBot="1">
      <c r="A1231" s="27"/>
      <c r="B1231" s="110"/>
      <c r="D1231" s="409"/>
      <c r="E1231" s="13" t="s">
        <v>51</v>
      </c>
      <c r="F1231" s="13" t="s">
        <v>1929</v>
      </c>
      <c r="G1231" s="410" t="s">
        <v>48</v>
      </c>
      <c r="H1231" s="411">
        <v>1E-3</v>
      </c>
      <c r="I1231" s="412">
        <f>IF(AND(E1231&lt;&gt;"",G1231&lt;&gt;""),IF(D1231="",IF(G1231="OH",VLOOKUP(F1231,UPAH!$B$4:$H$101,7,0),VLOOKUP(F1231,#REF!,4,0)),0),0)</f>
        <v>0</v>
      </c>
      <c r="J1231" s="16">
        <f>H1231*I1231</f>
        <v>0</v>
      </c>
    </row>
    <row r="1232" spans="1:10" ht="13.5" thickBot="1">
      <c r="A1232" s="27"/>
      <c r="B1232" s="110"/>
      <c r="D1232" s="417"/>
      <c r="E1232" s="418"/>
      <c r="F1232" s="418"/>
      <c r="G1232" s="419"/>
      <c r="H1232" s="420" t="s">
        <v>52</v>
      </c>
      <c r="I1232" s="421"/>
      <c r="J1232" s="396">
        <f>SUM(J1228:J1231)</f>
        <v>0</v>
      </c>
    </row>
    <row r="1233" spans="1:10" ht="13">
      <c r="A1233" s="27"/>
      <c r="B1233" s="110"/>
      <c r="D1233" s="406" t="s">
        <v>53</v>
      </c>
      <c r="E1233" s="13" t="s">
        <v>54</v>
      </c>
      <c r="F1233" s="14"/>
      <c r="G1233" s="15"/>
      <c r="H1233" s="451"/>
      <c r="I1233" s="412"/>
      <c r="J1233" s="16"/>
    </row>
    <row r="1234" spans="1:10" ht="13">
      <c r="A1234" s="27"/>
      <c r="B1234" s="110"/>
      <c r="D1234" s="409"/>
      <c r="E1234" s="13" t="s">
        <v>119</v>
      </c>
      <c r="F1234" s="14"/>
      <c r="G1234" s="410" t="s">
        <v>93</v>
      </c>
      <c r="H1234" s="411">
        <v>10.199999999999999</v>
      </c>
      <c r="I1234" s="412">
        <f>'BAHAN '!G118</f>
        <v>0</v>
      </c>
      <c r="J1234" s="16">
        <f>H1234*I1234</f>
        <v>0</v>
      </c>
    </row>
    <row r="1235" spans="1:10" ht="13.5" thickBot="1">
      <c r="A1235" s="27"/>
      <c r="B1235" s="110"/>
      <c r="D1235" s="409"/>
      <c r="E1235" s="13" t="s">
        <v>107</v>
      </c>
      <c r="F1235" s="14"/>
      <c r="G1235" s="410" t="s">
        <v>93</v>
      </c>
      <c r="H1235" s="411">
        <v>0.05</v>
      </c>
      <c r="I1235" s="412">
        <f>'BAHAN '!G116</f>
        <v>0</v>
      </c>
      <c r="J1235" s="16">
        <f>H1235*I1235</f>
        <v>0</v>
      </c>
    </row>
    <row r="1236" spans="1:10" ht="13.5" thickBot="1">
      <c r="A1236" s="27"/>
      <c r="B1236" s="110"/>
      <c r="D1236" s="417"/>
      <c r="E1236" s="418"/>
      <c r="F1236" s="418"/>
      <c r="G1236" s="419"/>
      <c r="H1236" s="420" t="s">
        <v>64</v>
      </c>
      <c r="I1236" s="421"/>
      <c r="J1236" s="396">
        <f>SUM(J1234:J1235)</f>
        <v>0</v>
      </c>
    </row>
    <row r="1237" spans="1:10" ht="13.5" thickBot="1">
      <c r="A1237" s="27"/>
      <c r="B1237" s="110"/>
      <c r="D1237" s="406" t="s">
        <v>65</v>
      </c>
      <c r="E1237" s="13" t="s">
        <v>66</v>
      </c>
      <c r="F1237" s="14"/>
      <c r="G1237" s="15"/>
      <c r="H1237" s="451"/>
      <c r="I1237" s="412">
        <f>IF(AND(E1237&lt;&gt;"",G1237&lt;&gt;""),IF(D1237="",IF(G1237="OH",VLOOKUP(E1237,UPAH!$C$4:$H$31,7,0),VLOOKUP(E1237,#REF!,4,0)),0),0)</f>
        <v>0</v>
      </c>
      <c r="J1237" s="16">
        <f>H1237*I1237</f>
        <v>0</v>
      </c>
    </row>
    <row r="1238" spans="1:10" ht="13.5" thickBot="1">
      <c r="A1238" s="27"/>
      <c r="B1238" s="110"/>
      <c r="D1238" s="417"/>
      <c r="E1238" s="418"/>
      <c r="F1238" s="418"/>
      <c r="G1238" s="419"/>
      <c r="H1238" s="420" t="s">
        <v>67</v>
      </c>
      <c r="I1238" s="421"/>
      <c r="J1238" s="396">
        <f>J1237</f>
        <v>0</v>
      </c>
    </row>
    <row r="1239" spans="1:10" ht="13">
      <c r="A1239" s="27"/>
      <c r="B1239" s="110"/>
      <c r="D1239" s="444" t="s">
        <v>68</v>
      </c>
      <c r="E1239" s="445" t="s">
        <v>69</v>
      </c>
      <c r="F1239" s="446"/>
      <c r="G1239" s="447"/>
      <c r="H1239" s="448"/>
      <c r="I1239" s="449">
        <f>IF(AND(E1239&lt;&gt;"",G1239&lt;&gt;""),IF(D1239="",IF(G1239="OH",VLOOKUP(E1239,UPAH!$C$4:$H$31,7,0),VLOOKUP(E1239,#REF!,4,0)),0),0)</f>
        <v>0</v>
      </c>
      <c r="J1239" s="16">
        <f>SUM(J1228:J1238)/2</f>
        <v>0</v>
      </c>
    </row>
    <row r="1240" spans="1:10" ht="13.5" thickBot="1">
      <c r="A1240" s="27"/>
      <c r="B1240" s="110"/>
      <c r="D1240" s="431" t="s">
        <v>70</v>
      </c>
      <c r="E1240" s="432" t="s">
        <v>477</v>
      </c>
      <c r="F1240" s="433"/>
      <c r="G1240" s="434"/>
      <c r="H1240" s="22">
        <v>0.1</v>
      </c>
      <c r="I1240" s="436"/>
      <c r="J1240" s="430">
        <f>H1240*J1239</f>
        <v>0</v>
      </c>
    </row>
    <row r="1241" spans="1:10" ht="13.5" thickBot="1">
      <c r="A1241" s="27"/>
      <c r="B1241" s="110"/>
      <c r="D1241" s="401" t="s">
        <v>71</v>
      </c>
      <c r="E1241" s="402" t="s">
        <v>72</v>
      </c>
      <c r="F1241" s="418"/>
      <c r="G1241" s="419"/>
      <c r="H1241" s="442"/>
      <c r="I1241" s="421">
        <f>IF(AND(E1241&lt;&gt;"",G1241&lt;&gt;""),IF(D1241="",IF(G1241="OH",VLOOKUP(E1241,UPAH!$C$4:$H$31,7,0),VLOOKUP(E1241,#REF!,4,0)),0),0)</f>
        <v>0</v>
      </c>
      <c r="J1241" s="396">
        <f>ROUNDDOWN(J1239+J1240,0)</f>
        <v>0</v>
      </c>
    </row>
    <row r="1242" spans="1:10" ht="13">
      <c r="A1242" s="27"/>
      <c r="B1242" s="110"/>
      <c r="D1242" s="11"/>
      <c r="E1242" s="11"/>
      <c r="H1242" s="443"/>
      <c r="I1242" s="17"/>
      <c r="J1242" s="18"/>
    </row>
    <row r="1243" spans="1:10" ht="13.5" thickBot="1">
      <c r="A1243" s="27"/>
      <c r="B1243" s="110"/>
      <c r="C1243" s="11" t="s">
        <v>628</v>
      </c>
      <c r="D1243" s="10" t="s">
        <v>629</v>
      </c>
      <c r="H1243" s="443"/>
    </row>
    <row r="1244" spans="1:10" ht="13.5" thickBot="1">
      <c r="A1244" s="27"/>
      <c r="B1244" s="110"/>
      <c r="D1244" s="401" t="s">
        <v>40</v>
      </c>
      <c r="E1244" s="402" t="s">
        <v>41</v>
      </c>
      <c r="F1244" s="402" t="s">
        <v>42</v>
      </c>
      <c r="G1244" s="403" t="s">
        <v>43</v>
      </c>
      <c r="H1244" s="404" t="s">
        <v>44</v>
      </c>
      <c r="I1244" s="402" t="s">
        <v>474</v>
      </c>
      <c r="J1244" s="405" t="s">
        <v>475</v>
      </c>
    </row>
    <row r="1245" spans="1:10" ht="13">
      <c r="A1245" s="27"/>
      <c r="B1245" s="110"/>
      <c r="D1245" s="406" t="s">
        <v>45</v>
      </c>
      <c r="E1245" s="13" t="s">
        <v>46</v>
      </c>
      <c r="F1245" s="14"/>
      <c r="G1245" s="15"/>
      <c r="H1245" s="451"/>
      <c r="I1245" s="412"/>
      <c r="J1245" s="16"/>
    </row>
    <row r="1246" spans="1:10" ht="13">
      <c r="A1246" s="27"/>
      <c r="B1246" s="110"/>
      <c r="D1246" s="409"/>
      <c r="E1246" s="13" t="s">
        <v>47</v>
      </c>
      <c r="F1246" s="13" t="s">
        <v>1918</v>
      </c>
      <c r="G1246" s="410" t="s">
        <v>48</v>
      </c>
      <c r="H1246" s="411">
        <v>0.52</v>
      </c>
      <c r="I1246" s="412">
        <f>IF(AND(E1246&lt;&gt;"",G1246&lt;&gt;""),IF(D1246="",IF(G1246="OH",VLOOKUP(F1246,UPAH!$B$4:$H$101,7,0),VLOOKUP(F1246,#REF!,4,0)),0),0)</f>
        <v>0</v>
      </c>
      <c r="J1246" s="16">
        <f>H1246*I1246</f>
        <v>0</v>
      </c>
    </row>
    <row r="1247" spans="1:10" ht="13">
      <c r="A1247" s="27"/>
      <c r="B1247" s="110"/>
      <c r="D1247" s="409"/>
      <c r="E1247" s="13" t="s">
        <v>476</v>
      </c>
      <c r="F1247" s="13" t="s">
        <v>1922</v>
      </c>
      <c r="G1247" s="410" t="s">
        <v>48</v>
      </c>
      <c r="H1247" s="411">
        <v>0.26</v>
      </c>
      <c r="I1247" s="412">
        <f>IF(AND(E1247&lt;&gt;"",G1247&lt;&gt;""),IF(D1247="",IF(G1247="OH",VLOOKUP(F1247,UPAH!$B$4:$H$101,7,0),VLOOKUP(F1247,#REF!,4,0)),0),0)</f>
        <v>0</v>
      </c>
      <c r="J1247" s="16">
        <f>H1247*I1247</f>
        <v>0</v>
      </c>
    </row>
    <row r="1248" spans="1:10" ht="13">
      <c r="A1248" s="27"/>
      <c r="B1248" s="110"/>
      <c r="D1248" s="409"/>
      <c r="E1248" s="13" t="s">
        <v>97</v>
      </c>
      <c r="F1248" s="13" t="s">
        <v>1928</v>
      </c>
      <c r="G1248" s="410" t="s">
        <v>48</v>
      </c>
      <c r="H1248" s="411">
        <v>2.5999999999999999E-2</v>
      </c>
      <c r="I1248" s="412">
        <f>IF(AND(E1248&lt;&gt;"",G1248&lt;&gt;""),IF(D1248="",IF(G1248="OH",VLOOKUP(F1248,UPAH!$B$4:$H$101,7,0),VLOOKUP(F1248,#REF!,4,0)),0),0)</f>
        <v>0</v>
      </c>
      <c r="J1248" s="16">
        <f>H1248*I1248</f>
        <v>0</v>
      </c>
    </row>
    <row r="1249" spans="1:10" ht="13.5" thickBot="1">
      <c r="A1249" s="27"/>
      <c r="B1249" s="110"/>
      <c r="D1249" s="409"/>
      <c r="E1249" s="13" t="s">
        <v>51</v>
      </c>
      <c r="F1249" s="13" t="s">
        <v>1929</v>
      </c>
      <c r="G1249" s="410" t="s">
        <v>48</v>
      </c>
      <c r="H1249" s="411">
        <v>2.5999999999999999E-2</v>
      </c>
      <c r="I1249" s="412">
        <f>IF(AND(E1249&lt;&gt;"",G1249&lt;&gt;""),IF(D1249="",IF(G1249="OH",VLOOKUP(F1249,UPAH!$B$4:$H$101,7,0),VLOOKUP(F1249,#REF!,4,0)),0),0)</f>
        <v>0</v>
      </c>
      <c r="J1249" s="16">
        <f>H1249*I1249</f>
        <v>0</v>
      </c>
    </row>
    <row r="1250" spans="1:10" ht="13.5" thickBot="1">
      <c r="A1250" s="27"/>
      <c r="B1250" s="110"/>
      <c r="D1250" s="417"/>
      <c r="E1250" s="418"/>
      <c r="F1250" s="418"/>
      <c r="G1250" s="419"/>
      <c r="H1250" s="420" t="s">
        <v>52</v>
      </c>
      <c r="I1250" s="421"/>
      <c r="J1250" s="396">
        <f>SUM(J1246:J1249)</f>
        <v>0</v>
      </c>
    </row>
    <row r="1251" spans="1:10" ht="13">
      <c r="A1251" s="27"/>
      <c r="B1251" s="110"/>
      <c r="D1251" s="406" t="s">
        <v>53</v>
      </c>
      <c r="E1251" s="13" t="s">
        <v>54</v>
      </c>
      <c r="F1251" s="14"/>
      <c r="G1251" s="15"/>
      <c r="H1251" s="451"/>
      <c r="I1251" s="412"/>
      <c r="J1251" s="16"/>
    </row>
    <row r="1252" spans="1:10" ht="13">
      <c r="A1252" s="27"/>
      <c r="B1252" s="110"/>
      <c r="D1252" s="409"/>
      <c r="E1252" s="13" t="s">
        <v>120</v>
      </c>
      <c r="F1252" s="14"/>
      <c r="G1252" s="410" t="s">
        <v>375</v>
      </c>
      <c r="H1252" s="411">
        <v>0.04</v>
      </c>
      <c r="I1252" s="412">
        <f>'BAHAN '!G200</f>
        <v>0</v>
      </c>
      <c r="J1252" s="16">
        <f>H1252*I1252</f>
        <v>0</v>
      </c>
    </row>
    <row r="1253" spans="1:10" ht="13">
      <c r="A1253" s="27"/>
      <c r="B1253" s="110"/>
      <c r="D1253" s="409"/>
      <c r="E1253" s="13" t="s">
        <v>121</v>
      </c>
      <c r="F1253" s="14"/>
      <c r="G1253" s="410" t="s">
        <v>93</v>
      </c>
      <c r="H1253" s="411">
        <v>0.3</v>
      </c>
      <c r="I1253" s="412">
        <f>'BAHAN '!G127</f>
        <v>0</v>
      </c>
      <c r="J1253" s="16">
        <f>H1253*I1253</f>
        <v>0</v>
      </c>
    </row>
    <row r="1254" spans="1:10" ht="13.5" thickBot="1">
      <c r="A1254" s="27"/>
      <c r="B1254" s="110"/>
      <c r="D1254" s="409"/>
      <c r="E1254" s="13" t="s">
        <v>122</v>
      </c>
      <c r="F1254" s="14"/>
      <c r="G1254" s="410" t="s">
        <v>63</v>
      </c>
      <c r="H1254" s="411">
        <v>0.1</v>
      </c>
      <c r="I1254" s="412">
        <f>'BAHAN '!G54</f>
        <v>0</v>
      </c>
      <c r="J1254" s="16">
        <f>H1254*I1254</f>
        <v>0</v>
      </c>
    </row>
    <row r="1255" spans="1:10" ht="13.5" thickBot="1">
      <c r="A1255" s="27"/>
      <c r="B1255" s="110"/>
      <c r="D1255" s="417"/>
      <c r="E1255" s="418"/>
      <c r="F1255" s="418"/>
      <c r="G1255" s="419"/>
      <c r="H1255" s="420" t="s">
        <v>64</v>
      </c>
      <c r="I1255" s="421"/>
      <c r="J1255" s="396">
        <f>SUM(J1252:J1254)</f>
        <v>0</v>
      </c>
    </row>
    <row r="1256" spans="1:10" ht="13.5" thickBot="1">
      <c r="A1256" s="27"/>
      <c r="B1256" s="110"/>
      <c r="D1256" s="406" t="s">
        <v>65</v>
      </c>
      <c r="E1256" s="13" t="s">
        <v>66</v>
      </c>
      <c r="F1256" s="14"/>
      <c r="G1256" s="15"/>
      <c r="H1256" s="451"/>
      <c r="I1256" s="412">
        <f>IF(AND(E1256&lt;&gt;"",G1256&lt;&gt;""),IF(D1256="",IF(G1256="OH",VLOOKUP(E1256,UPAH!$C$4:$H$31,7,0),VLOOKUP(E1256,#REF!,4,0)),0),0)</f>
        <v>0</v>
      </c>
      <c r="J1256" s="16">
        <f>H1256*I1256</f>
        <v>0</v>
      </c>
    </row>
    <row r="1257" spans="1:10" ht="13.5" thickBot="1">
      <c r="A1257" s="27"/>
      <c r="B1257" s="110"/>
      <c r="D1257" s="417"/>
      <c r="E1257" s="418"/>
      <c r="F1257" s="418"/>
      <c r="G1257" s="419"/>
      <c r="H1257" s="420" t="s">
        <v>67</v>
      </c>
      <c r="I1257" s="421"/>
      <c r="J1257" s="396">
        <f>J1256</f>
        <v>0</v>
      </c>
    </row>
    <row r="1258" spans="1:10" ht="13">
      <c r="A1258" s="27"/>
      <c r="B1258" s="110"/>
      <c r="D1258" s="444" t="s">
        <v>68</v>
      </c>
      <c r="E1258" s="445" t="s">
        <v>69</v>
      </c>
      <c r="F1258" s="446"/>
      <c r="G1258" s="447"/>
      <c r="H1258" s="448"/>
      <c r="I1258" s="449">
        <f>IF(AND(E1258&lt;&gt;"",G1258&lt;&gt;""),IF(D1258="",IF(G1258="OH",VLOOKUP(E1258,UPAH!$C$4:$H$31,7,0),VLOOKUP(E1258,#REF!,4,0)),0),0)</f>
        <v>0</v>
      </c>
      <c r="J1258" s="16">
        <f>SUM(J1246:J1257)/2</f>
        <v>0</v>
      </c>
    </row>
    <row r="1259" spans="1:10" ht="13.5" thickBot="1">
      <c r="A1259" s="27"/>
      <c r="B1259" s="110"/>
      <c r="D1259" s="431" t="s">
        <v>70</v>
      </c>
      <c r="E1259" s="432" t="s">
        <v>477</v>
      </c>
      <c r="F1259" s="433"/>
      <c r="G1259" s="434"/>
      <c r="H1259" s="22">
        <v>0.1</v>
      </c>
      <c r="I1259" s="436"/>
      <c r="J1259" s="430">
        <f>H1259*J1258</f>
        <v>0</v>
      </c>
    </row>
    <row r="1260" spans="1:10" ht="13.5" thickBot="1">
      <c r="A1260" s="27"/>
      <c r="B1260" s="110"/>
      <c r="D1260" s="401" t="s">
        <v>71</v>
      </c>
      <c r="E1260" s="402" t="s">
        <v>72</v>
      </c>
      <c r="F1260" s="418"/>
      <c r="G1260" s="419"/>
      <c r="H1260" s="442"/>
      <c r="I1260" s="421">
        <f>IF(AND(E1260&lt;&gt;"",G1260&lt;&gt;""),IF(D1260="",IF(G1260="OH",VLOOKUP(E1260,UPAH!$C$4:$H$31,7,0),VLOOKUP(E1260,#REF!,4,0)),0),0)</f>
        <v>0</v>
      </c>
      <c r="J1260" s="396">
        <f>ROUNDDOWN(J1258+J1259,0)</f>
        <v>0</v>
      </c>
    </row>
    <row r="1261" spans="1:10" ht="13">
      <c r="A1261" s="27"/>
      <c r="B1261" s="110"/>
      <c r="D1261" s="11"/>
      <c r="E1261" s="11"/>
      <c r="H1261" s="443"/>
      <c r="I1261" s="17"/>
      <c r="J1261" s="18"/>
    </row>
    <row r="1262" spans="1:10" ht="13.5" thickBot="1">
      <c r="A1262" s="27"/>
      <c r="B1262" s="110"/>
      <c r="C1262" s="11" t="s">
        <v>630</v>
      </c>
      <c r="D1262" s="10" t="s">
        <v>3866</v>
      </c>
      <c r="H1262" s="443"/>
    </row>
    <row r="1263" spans="1:10" ht="13.5" thickBot="1">
      <c r="A1263" s="27"/>
      <c r="B1263" s="110"/>
      <c r="D1263" s="401" t="s">
        <v>40</v>
      </c>
      <c r="E1263" s="402" t="s">
        <v>41</v>
      </c>
      <c r="F1263" s="402" t="s">
        <v>42</v>
      </c>
      <c r="G1263" s="403" t="s">
        <v>43</v>
      </c>
      <c r="H1263" s="404" t="s">
        <v>44</v>
      </c>
      <c r="I1263" s="402" t="s">
        <v>474</v>
      </c>
      <c r="J1263" s="405" t="s">
        <v>475</v>
      </c>
    </row>
    <row r="1264" spans="1:10" ht="13">
      <c r="A1264" s="27"/>
      <c r="B1264" s="110"/>
      <c r="D1264" s="406" t="s">
        <v>45</v>
      </c>
      <c r="E1264" s="13" t="s">
        <v>46</v>
      </c>
      <c r="F1264" s="14"/>
      <c r="G1264" s="15"/>
      <c r="H1264" s="451"/>
      <c r="I1264" s="412"/>
      <c r="J1264" s="16"/>
    </row>
    <row r="1265" spans="1:10" ht="13">
      <c r="A1265" s="27"/>
      <c r="B1265" s="110"/>
      <c r="D1265" s="409"/>
      <c r="E1265" s="13" t="s">
        <v>47</v>
      </c>
      <c r="F1265" s="13" t="s">
        <v>1918</v>
      </c>
      <c r="G1265" s="410" t="s">
        <v>48</v>
      </c>
      <c r="H1265" s="411">
        <v>0.52</v>
      </c>
      <c r="I1265" s="412">
        <f>IF(AND(E1265&lt;&gt;"",G1265&lt;&gt;""),IF(D1265="",IF(G1265="OH",VLOOKUP(F1265,UPAH!$B$4:$H$101,7,0),VLOOKUP(F1265,#REF!,4,0)),0),0)</f>
        <v>0</v>
      </c>
      <c r="J1265" s="16">
        <f>H1265*I1265</f>
        <v>0</v>
      </c>
    </row>
    <row r="1266" spans="1:10" ht="13">
      <c r="A1266" s="27"/>
      <c r="B1266" s="110"/>
      <c r="D1266" s="409"/>
      <c r="E1266" s="13" t="s">
        <v>476</v>
      </c>
      <c r="F1266" s="13" t="s">
        <v>1922</v>
      </c>
      <c r="G1266" s="410" t="s">
        <v>48</v>
      </c>
      <c r="H1266" s="411">
        <v>0.26</v>
      </c>
      <c r="I1266" s="412">
        <f>IF(AND(E1266&lt;&gt;"",G1266&lt;&gt;""),IF(D1266="",IF(G1266="OH",VLOOKUP(F1266,UPAH!$B$4:$H$101,7,0),VLOOKUP(F1266,#REF!,4,0)),0),0)</f>
        <v>0</v>
      </c>
      <c r="J1266" s="16">
        <f>H1266*I1266</f>
        <v>0</v>
      </c>
    </row>
    <row r="1267" spans="1:10" ht="13">
      <c r="A1267" s="27"/>
      <c r="B1267" s="110"/>
      <c r="D1267" s="409"/>
      <c r="E1267" s="13" t="s">
        <v>97</v>
      </c>
      <c r="F1267" s="13" t="s">
        <v>1928</v>
      </c>
      <c r="G1267" s="410" t="s">
        <v>48</v>
      </c>
      <c r="H1267" s="411">
        <v>2.5999999999999999E-2</v>
      </c>
      <c r="I1267" s="412">
        <f>IF(AND(E1267&lt;&gt;"",G1267&lt;&gt;""),IF(D1267="",IF(G1267="OH",VLOOKUP(F1267,UPAH!$B$4:$H$101,7,0),VLOOKUP(F1267,#REF!,4,0)),0),0)</f>
        <v>0</v>
      </c>
      <c r="J1267" s="16">
        <f>H1267*I1267</f>
        <v>0</v>
      </c>
    </row>
    <row r="1268" spans="1:10" ht="13.5" thickBot="1">
      <c r="A1268" s="27"/>
      <c r="B1268" s="110"/>
      <c r="D1268" s="409"/>
      <c r="E1268" s="13" t="s">
        <v>51</v>
      </c>
      <c r="F1268" s="13" t="s">
        <v>1929</v>
      </c>
      <c r="G1268" s="410" t="s">
        <v>48</v>
      </c>
      <c r="H1268" s="411">
        <v>2.5999999999999999E-2</v>
      </c>
      <c r="I1268" s="412">
        <f>IF(AND(E1268&lt;&gt;"",G1268&lt;&gt;""),IF(D1268="",IF(G1268="OH",VLOOKUP(F1268,UPAH!$B$4:$H$101,7,0),VLOOKUP(F1268,#REF!,4,0)),0),0)</f>
        <v>0</v>
      </c>
      <c r="J1268" s="16">
        <f>H1268*I1268</f>
        <v>0</v>
      </c>
    </row>
    <row r="1269" spans="1:10" ht="13.5" thickBot="1">
      <c r="A1269" s="27"/>
      <c r="B1269" s="110"/>
      <c r="D1269" s="417"/>
      <c r="E1269" s="418"/>
      <c r="F1269" s="418"/>
      <c r="G1269" s="419"/>
      <c r="H1269" s="420" t="s">
        <v>52</v>
      </c>
      <c r="I1269" s="421"/>
      <c r="J1269" s="396">
        <f>SUM(J1265:J1268)</f>
        <v>0</v>
      </c>
    </row>
    <row r="1270" spans="1:10" ht="13">
      <c r="A1270" s="27"/>
      <c r="B1270" s="110"/>
      <c r="D1270" s="406" t="s">
        <v>53</v>
      </c>
      <c r="E1270" s="13" t="s">
        <v>54</v>
      </c>
      <c r="F1270" s="14"/>
      <c r="G1270" s="15"/>
      <c r="H1270" s="451"/>
      <c r="I1270" s="412"/>
      <c r="J1270" s="16"/>
    </row>
    <row r="1271" spans="1:10" ht="13">
      <c r="A1271" s="27"/>
      <c r="B1271" s="110"/>
      <c r="D1271" s="409"/>
      <c r="E1271" s="13" t="s">
        <v>120</v>
      </c>
      <c r="F1271" s="14"/>
      <c r="G1271" s="410" t="s">
        <v>375</v>
      </c>
      <c r="H1271" s="411">
        <f>0.045/2</f>
        <v>2.2499999999999999E-2</v>
      </c>
      <c r="I1271" s="412">
        <f>+'BAHAN '!G201</f>
        <v>0</v>
      </c>
      <c r="J1271" s="16">
        <f>H1271*I1271</f>
        <v>0</v>
      </c>
    </row>
    <row r="1272" spans="1:10" ht="13">
      <c r="A1272" s="27"/>
      <c r="B1272" s="110"/>
      <c r="D1272" s="409"/>
      <c r="E1272" s="13" t="s">
        <v>121</v>
      </c>
      <c r="F1272" s="14"/>
      <c r="G1272" s="410" t="s">
        <v>93</v>
      </c>
      <c r="H1272" s="411">
        <f>0.3/2</f>
        <v>0.15</v>
      </c>
      <c r="I1272" s="412">
        <f>'BAHAN '!G127</f>
        <v>0</v>
      </c>
      <c r="J1272" s="16">
        <f>H1272*I1272</f>
        <v>0</v>
      </c>
    </row>
    <row r="1273" spans="1:10" ht="13.5" thickBot="1">
      <c r="A1273" s="27"/>
      <c r="B1273" s="110"/>
      <c r="D1273" s="409"/>
      <c r="E1273" s="13" t="s">
        <v>122</v>
      </c>
      <c r="F1273" s="14"/>
      <c r="G1273" s="410" t="s">
        <v>63</v>
      </c>
      <c r="H1273" s="411">
        <v>0.1</v>
      </c>
      <c r="I1273" s="412">
        <f>'BAHAN '!G54</f>
        <v>0</v>
      </c>
      <c r="J1273" s="16">
        <f>H1273*I1273</f>
        <v>0</v>
      </c>
    </row>
    <row r="1274" spans="1:10" ht="13.5" thickBot="1">
      <c r="A1274" s="27"/>
      <c r="B1274" s="110"/>
      <c r="D1274" s="417"/>
      <c r="E1274" s="418"/>
      <c r="F1274" s="418"/>
      <c r="G1274" s="419"/>
      <c r="H1274" s="420" t="s">
        <v>64</v>
      </c>
      <c r="I1274" s="421"/>
      <c r="J1274" s="396">
        <f>SUM(J1271:J1273)</f>
        <v>0</v>
      </c>
    </row>
    <row r="1275" spans="1:10" ht="13.5" thickBot="1">
      <c r="A1275" s="27"/>
      <c r="B1275" s="110"/>
      <c r="D1275" s="406" t="s">
        <v>65</v>
      </c>
      <c r="E1275" s="13" t="s">
        <v>66</v>
      </c>
      <c r="F1275" s="14"/>
      <c r="G1275" s="15"/>
      <c r="H1275" s="451"/>
      <c r="I1275" s="412">
        <f>IF(AND(E1275&lt;&gt;"",G1275&lt;&gt;""),IF(D1275="",IF(G1275="OH",VLOOKUP(E1275,UPAH!$C$4:$H$31,7,0),VLOOKUP(E1275,#REF!,4,0)),0),0)</f>
        <v>0</v>
      </c>
      <c r="J1275" s="16">
        <f>H1275*I1275</f>
        <v>0</v>
      </c>
    </row>
    <row r="1276" spans="1:10" ht="13.5" thickBot="1">
      <c r="A1276" s="27"/>
      <c r="B1276" s="110"/>
      <c r="D1276" s="417"/>
      <c r="E1276" s="418"/>
      <c r="F1276" s="418"/>
      <c r="G1276" s="419"/>
      <c r="H1276" s="420" t="s">
        <v>67</v>
      </c>
      <c r="I1276" s="421"/>
      <c r="J1276" s="396">
        <f>J1275</f>
        <v>0</v>
      </c>
    </row>
    <row r="1277" spans="1:10" ht="13">
      <c r="A1277" s="27"/>
      <c r="B1277" s="110"/>
      <c r="D1277" s="444" t="s">
        <v>68</v>
      </c>
      <c r="E1277" s="445" t="s">
        <v>69</v>
      </c>
      <c r="F1277" s="446"/>
      <c r="G1277" s="447"/>
      <c r="H1277" s="448"/>
      <c r="I1277" s="449">
        <f>IF(AND(E1277&lt;&gt;"",G1277&lt;&gt;""),IF(D1277="",IF(G1277="OH",VLOOKUP(E1277,UPAH!$C$4:$H$31,7,0),VLOOKUP(E1277,#REF!,4,0)),0),0)</f>
        <v>0</v>
      </c>
      <c r="J1277" s="16">
        <f>SUM(J1264:J1276)/2</f>
        <v>0</v>
      </c>
    </row>
    <row r="1278" spans="1:10" ht="13.5" thickBot="1">
      <c r="A1278" s="27"/>
      <c r="B1278" s="110"/>
      <c r="D1278" s="431" t="s">
        <v>70</v>
      </c>
      <c r="E1278" s="432" t="s">
        <v>477</v>
      </c>
      <c r="F1278" s="433"/>
      <c r="G1278" s="434"/>
      <c r="H1278" s="22">
        <v>0.1</v>
      </c>
      <c r="I1278" s="436"/>
      <c r="J1278" s="430">
        <f>H1278*J1277</f>
        <v>0</v>
      </c>
    </row>
    <row r="1279" spans="1:10" ht="13.5" thickBot="1">
      <c r="A1279" s="27"/>
      <c r="B1279" s="110"/>
      <c r="D1279" s="401" t="s">
        <v>71</v>
      </c>
      <c r="E1279" s="402" t="s">
        <v>72</v>
      </c>
      <c r="F1279" s="418"/>
      <c r="G1279" s="419"/>
      <c r="H1279" s="442"/>
      <c r="I1279" s="421">
        <f>IF(AND(E1279&lt;&gt;"",G1279&lt;&gt;""),IF(D1279="",IF(G1279="OH",VLOOKUP(E1279,UPAH!$C$4:$H$31,7,0),VLOOKUP(E1279,#REF!,4,0)),0),0)</f>
        <v>0</v>
      </c>
      <c r="J1279" s="396">
        <f>ROUNDDOWN(J1277+J1278,0)</f>
        <v>0</v>
      </c>
    </row>
    <row r="1280" spans="1:10" ht="13">
      <c r="A1280" s="27"/>
      <c r="B1280" s="110"/>
      <c r="D1280" s="11"/>
      <c r="E1280" s="11"/>
      <c r="H1280" s="443"/>
    </row>
    <row r="1281" spans="1:10" ht="13.5" thickBot="1">
      <c r="A1281" s="27"/>
      <c r="B1281" s="110"/>
      <c r="C1281" s="11" t="s">
        <v>631</v>
      </c>
      <c r="D1281" s="10" t="s">
        <v>3862</v>
      </c>
      <c r="H1281" s="443"/>
    </row>
    <row r="1282" spans="1:10" ht="13.5" thickBot="1">
      <c r="A1282" s="27"/>
      <c r="B1282" s="110"/>
      <c r="D1282" s="401" t="s">
        <v>40</v>
      </c>
      <c r="E1282" s="402" t="s">
        <v>41</v>
      </c>
      <c r="F1282" s="402" t="s">
        <v>42</v>
      </c>
      <c r="G1282" s="403" t="s">
        <v>43</v>
      </c>
      <c r="H1282" s="404" t="s">
        <v>44</v>
      </c>
      <c r="I1282" s="402" t="s">
        <v>474</v>
      </c>
      <c r="J1282" s="405" t="s">
        <v>475</v>
      </c>
    </row>
    <row r="1283" spans="1:10" ht="13">
      <c r="A1283" s="27"/>
      <c r="B1283" s="110"/>
      <c r="D1283" s="406" t="s">
        <v>45</v>
      </c>
      <c r="E1283" s="13" t="s">
        <v>46</v>
      </c>
      <c r="F1283" s="14"/>
      <c r="G1283" s="15"/>
      <c r="H1283" s="451"/>
      <c r="I1283" s="412"/>
      <c r="J1283" s="16"/>
    </row>
    <row r="1284" spans="1:10" ht="13">
      <c r="A1284" s="27"/>
      <c r="B1284" s="110"/>
      <c r="D1284" s="409"/>
      <c r="E1284" s="13" t="s">
        <v>47</v>
      </c>
      <c r="F1284" s="13" t="s">
        <v>1918</v>
      </c>
      <c r="G1284" s="410" t="s">
        <v>48</v>
      </c>
      <c r="H1284" s="411">
        <v>0.66</v>
      </c>
      <c r="I1284" s="412">
        <f>IF(AND(E1284&lt;&gt;"",G1284&lt;&gt;""),IF(D1284="",IF(G1284="OH",VLOOKUP(F1284,UPAH!$B$4:$H$101,7,0),VLOOKUP(F1284,#REF!,4,0)),0),0)</f>
        <v>0</v>
      </c>
      <c r="J1284" s="16">
        <f>H1284*I1284</f>
        <v>0</v>
      </c>
    </row>
    <row r="1285" spans="1:10" ht="13">
      <c r="A1285" s="27"/>
      <c r="B1285" s="110"/>
      <c r="D1285" s="409"/>
      <c r="E1285" s="13" t="s">
        <v>476</v>
      </c>
      <c r="F1285" s="13" t="s">
        <v>1922</v>
      </c>
      <c r="G1285" s="410" t="s">
        <v>48</v>
      </c>
      <c r="H1285" s="411">
        <v>0.33</v>
      </c>
      <c r="I1285" s="412">
        <f>IF(AND(E1285&lt;&gt;"",G1285&lt;&gt;""),IF(D1285="",IF(G1285="OH",VLOOKUP(F1285,UPAH!$B$4:$H$101,7,0),VLOOKUP(F1285,#REF!,4,0)),0),0)</f>
        <v>0</v>
      </c>
      <c r="J1285" s="16">
        <f>H1285*I1285</f>
        <v>0</v>
      </c>
    </row>
    <row r="1286" spans="1:10" ht="13">
      <c r="A1286" s="27"/>
      <c r="B1286" s="110"/>
      <c r="D1286" s="409"/>
      <c r="E1286" s="13" t="s">
        <v>97</v>
      </c>
      <c r="F1286" s="13" t="s">
        <v>1928</v>
      </c>
      <c r="G1286" s="410" t="s">
        <v>48</v>
      </c>
      <c r="H1286" s="411">
        <v>3.3000000000000002E-2</v>
      </c>
      <c r="I1286" s="412">
        <f>IF(AND(E1286&lt;&gt;"",G1286&lt;&gt;""),IF(D1286="",IF(G1286="OH",VLOOKUP(F1286,UPAH!$B$4:$H$101,7,0),VLOOKUP(F1286,#REF!,4,0)),0),0)</f>
        <v>0</v>
      </c>
      <c r="J1286" s="16">
        <f>H1286*I1286</f>
        <v>0</v>
      </c>
    </row>
    <row r="1287" spans="1:10" ht="13.5" thickBot="1">
      <c r="A1287" s="27"/>
      <c r="B1287" s="110"/>
      <c r="D1287" s="409"/>
      <c r="E1287" s="13" t="s">
        <v>51</v>
      </c>
      <c r="F1287" s="13" t="s">
        <v>1929</v>
      </c>
      <c r="G1287" s="410" t="s">
        <v>48</v>
      </c>
      <c r="H1287" s="411">
        <v>3.3000000000000002E-2</v>
      </c>
      <c r="I1287" s="412">
        <f>IF(AND(E1287&lt;&gt;"",G1287&lt;&gt;""),IF(D1287="",IF(G1287="OH",VLOOKUP(F1287,UPAH!$B$4:$H$101,7,0),VLOOKUP(F1287,#REF!,4,0)),0),0)</f>
        <v>0</v>
      </c>
      <c r="J1287" s="16">
        <f>H1287*I1287</f>
        <v>0</v>
      </c>
    </row>
    <row r="1288" spans="1:10" ht="13.5" thickBot="1">
      <c r="A1288" s="27"/>
      <c r="B1288" s="110"/>
      <c r="D1288" s="417"/>
      <c r="E1288" s="418"/>
      <c r="F1288" s="418"/>
      <c r="G1288" s="419"/>
      <c r="H1288" s="420" t="s">
        <v>52</v>
      </c>
      <c r="I1288" s="421"/>
      <c r="J1288" s="396">
        <f>SUM(J1284:J1287)</f>
        <v>0</v>
      </c>
    </row>
    <row r="1289" spans="1:10" ht="13">
      <c r="A1289" s="27"/>
      <c r="B1289" s="110"/>
      <c r="D1289" s="406" t="s">
        <v>53</v>
      </c>
      <c r="E1289" s="13" t="s">
        <v>54</v>
      </c>
      <c r="F1289" s="14"/>
      <c r="G1289" s="15"/>
      <c r="H1289" s="451"/>
      <c r="I1289" s="412"/>
      <c r="J1289" s="16"/>
    </row>
    <row r="1290" spans="1:10" ht="13">
      <c r="A1290" s="27"/>
      <c r="B1290" s="110"/>
      <c r="D1290" s="409"/>
      <c r="E1290" s="13" t="s">
        <v>120</v>
      </c>
      <c r="F1290" s="14"/>
      <c r="G1290" s="410" t="s">
        <v>375</v>
      </c>
      <c r="H1290" s="411">
        <f>0.04/2</f>
        <v>0.02</v>
      </c>
      <c r="I1290" s="412">
        <f>'BAHAN '!G200</f>
        <v>0</v>
      </c>
      <c r="J1290" s="16">
        <f t="shared" ref="J1290:J1295" si="8">H1290*I1290</f>
        <v>0</v>
      </c>
    </row>
    <row r="1291" spans="1:10" ht="13">
      <c r="A1291" s="27"/>
      <c r="B1291" s="110"/>
      <c r="D1291" s="409"/>
      <c r="E1291" s="13" t="s">
        <v>617</v>
      </c>
      <c r="F1291" s="14"/>
      <c r="G1291" s="410" t="s">
        <v>93</v>
      </c>
      <c r="H1291" s="411">
        <f>0.4/2</f>
        <v>0.2</v>
      </c>
      <c r="I1291" s="412">
        <f>'BAHAN '!G127</f>
        <v>0</v>
      </c>
      <c r="J1291" s="16">
        <f t="shared" si="8"/>
        <v>0</v>
      </c>
    </row>
    <row r="1292" spans="1:10" ht="13">
      <c r="A1292" s="27"/>
      <c r="B1292" s="110"/>
      <c r="D1292" s="409"/>
      <c r="E1292" s="13" t="s">
        <v>122</v>
      </c>
      <c r="F1292" s="14"/>
      <c r="G1292" s="410" t="s">
        <v>63</v>
      </c>
      <c r="H1292" s="411">
        <f>0.2/2</f>
        <v>0.1</v>
      </c>
      <c r="I1292" s="412">
        <f>'BAHAN '!G54</f>
        <v>0</v>
      </c>
      <c r="J1292" s="16">
        <f t="shared" si="8"/>
        <v>0</v>
      </c>
    </row>
    <row r="1293" spans="1:10" ht="13">
      <c r="A1293" s="27"/>
      <c r="B1293" s="110"/>
      <c r="D1293" s="409"/>
      <c r="E1293" s="13" t="s">
        <v>123</v>
      </c>
      <c r="F1293" s="14"/>
      <c r="G1293" s="410" t="s">
        <v>375</v>
      </c>
      <c r="H1293" s="411">
        <f>0.015/2</f>
        <v>7.4999999999999997E-3</v>
      </c>
      <c r="I1293" s="412">
        <f>+'BAHAN '!G201</f>
        <v>0</v>
      </c>
      <c r="J1293" s="16">
        <f t="shared" si="8"/>
        <v>0</v>
      </c>
    </row>
    <row r="1294" spans="1:10" ht="13">
      <c r="A1294" s="27"/>
      <c r="B1294" s="110"/>
      <c r="D1294" s="409"/>
      <c r="E1294" s="458" t="s">
        <v>487</v>
      </c>
      <c r="F1294" s="14"/>
      <c r="G1294" s="410" t="s">
        <v>74</v>
      </c>
      <c r="H1294" s="411">
        <f>0.35/2</f>
        <v>0.17499999999999999</v>
      </c>
      <c r="I1294" s="412">
        <f>'BAHAN '!G809</f>
        <v>0</v>
      </c>
      <c r="J1294" s="16">
        <f t="shared" si="8"/>
        <v>0</v>
      </c>
    </row>
    <row r="1295" spans="1:10" ht="13.5" thickBot="1">
      <c r="A1295" s="27"/>
      <c r="B1295" s="110"/>
      <c r="D1295" s="409"/>
      <c r="E1295" s="13" t="s">
        <v>471</v>
      </c>
      <c r="F1295" s="14"/>
      <c r="G1295" s="410" t="s">
        <v>55</v>
      </c>
      <c r="H1295" s="451">
        <v>1</v>
      </c>
      <c r="I1295" s="412">
        <f>'BAHAN '!G794</f>
        <v>0</v>
      </c>
      <c r="J1295" s="16">
        <f t="shared" si="8"/>
        <v>0</v>
      </c>
    </row>
    <row r="1296" spans="1:10" ht="13.5" thickBot="1">
      <c r="A1296" s="27"/>
      <c r="B1296" s="110"/>
      <c r="D1296" s="417"/>
      <c r="E1296" s="418"/>
      <c r="F1296" s="418"/>
      <c r="G1296" s="419"/>
      <c r="H1296" s="420" t="s">
        <v>64</v>
      </c>
      <c r="I1296" s="421"/>
      <c r="J1296" s="396">
        <f>SUM(J1290:J1295)</f>
        <v>0</v>
      </c>
    </row>
    <row r="1297" spans="1:10" ht="13.5" thickBot="1">
      <c r="A1297" s="27"/>
      <c r="B1297" s="110"/>
      <c r="D1297" s="406" t="s">
        <v>65</v>
      </c>
      <c r="E1297" s="13" t="s">
        <v>66</v>
      </c>
      <c r="F1297" s="14"/>
      <c r="G1297" s="15"/>
      <c r="H1297" s="451"/>
      <c r="I1297" s="412">
        <f>IF(AND(E1297&lt;&gt;"",G1297&lt;&gt;""),IF(D1297="",IF(G1297="OH",VLOOKUP(E1297,UPAH!$C$4:$H$31,7,0),VLOOKUP(E1297,#REF!,4,0)),0),0)</f>
        <v>0</v>
      </c>
      <c r="J1297" s="16">
        <f>H1297*I1297</f>
        <v>0</v>
      </c>
    </row>
    <row r="1298" spans="1:10" ht="13.5" thickBot="1">
      <c r="A1298" s="27"/>
      <c r="B1298" s="110"/>
      <c r="D1298" s="417"/>
      <c r="E1298" s="418"/>
      <c r="F1298" s="418"/>
      <c r="G1298" s="419"/>
      <c r="H1298" s="420" t="s">
        <v>67</v>
      </c>
      <c r="I1298" s="421"/>
      <c r="J1298" s="396">
        <f>J1297</f>
        <v>0</v>
      </c>
    </row>
    <row r="1299" spans="1:10" ht="13">
      <c r="A1299" s="27"/>
      <c r="B1299" s="110"/>
      <c r="D1299" s="444" t="s">
        <v>68</v>
      </c>
      <c r="E1299" s="445" t="s">
        <v>69</v>
      </c>
      <c r="F1299" s="446"/>
      <c r="G1299" s="447"/>
      <c r="H1299" s="448"/>
      <c r="I1299" s="449">
        <f>IF(AND(E1299&lt;&gt;"",G1299&lt;&gt;""),IF(D1299="",IF(G1299="OH",VLOOKUP(E1299,UPAH!$C$4:$H$31,7,0),VLOOKUP(E1299,#REF!,4,0)),0),0)</f>
        <v>0</v>
      </c>
      <c r="J1299" s="16">
        <f>SUM(J1283:J1298)/2</f>
        <v>0</v>
      </c>
    </row>
    <row r="1300" spans="1:10" ht="13.5" thickBot="1">
      <c r="A1300" s="27"/>
      <c r="B1300" s="110"/>
      <c r="D1300" s="431" t="s">
        <v>70</v>
      </c>
      <c r="E1300" s="432" t="s">
        <v>477</v>
      </c>
      <c r="F1300" s="433"/>
      <c r="G1300" s="434"/>
      <c r="H1300" s="22">
        <v>0.1</v>
      </c>
      <c r="I1300" s="436"/>
      <c r="J1300" s="430">
        <f>H1300*J1299</f>
        <v>0</v>
      </c>
    </row>
    <row r="1301" spans="1:10" ht="13.5" thickBot="1">
      <c r="A1301" s="27"/>
      <c r="B1301" s="110"/>
      <c r="D1301" s="401" t="s">
        <v>71</v>
      </c>
      <c r="E1301" s="402" t="s">
        <v>72</v>
      </c>
      <c r="F1301" s="418"/>
      <c r="G1301" s="419"/>
      <c r="H1301" s="442"/>
      <c r="I1301" s="421">
        <f>IF(AND(E1301&lt;&gt;"",G1301&lt;&gt;""),IF(D1301="",IF(G1301="OH",VLOOKUP(E1301,UPAH!$C$4:$H$31,7,0),VLOOKUP(E1301,#REF!,4,0)),0),0)</f>
        <v>0</v>
      </c>
      <c r="J1301" s="396">
        <f>ROUNDDOWN(J1299+J1300,0)</f>
        <v>0</v>
      </c>
    </row>
    <row r="1302" spans="1:10" ht="13">
      <c r="A1302" s="27"/>
      <c r="B1302" s="110"/>
      <c r="D1302" s="11"/>
      <c r="E1302" s="11"/>
      <c r="H1302" s="443"/>
      <c r="I1302" s="17"/>
      <c r="J1302" s="18"/>
    </row>
    <row r="1303" spans="1:10" ht="13.5" thickBot="1">
      <c r="A1303" s="27"/>
      <c r="B1303" s="110"/>
      <c r="C1303" s="11" t="s">
        <v>632</v>
      </c>
      <c r="D1303" s="10" t="s">
        <v>3863</v>
      </c>
      <c r="H1303" s="443"/>
    </row>
    <row r="1304" spans="1:10" ht="13.5" thickBot="1">
      <c r="A1304" s="27"/>
      <c r="B1304" s="110"/>
      <c r="D1304" s="401" t="s">
        <v>40</v>
      </c>
      <c r="E1304" s="402" t="s">
        <v>41</v>
      </c>
      <c r="F1304" s="402" t="s">
        <v>42</v>
      </c>
      <c r="G1304" s="403" t="s">
        <v>43</v>
      </c>
      <c r="H1304" s="404" t="s">
        <v>44</v>
      </c>
      <c r="I1304" s="402" t="s">
        <v>474</v>
      </c>
      <c r="J1304" s="405" t="s">
        <v>475</v>
      </c>
    </row>
    <row r="1305" spans="1:10" ht="13">
      <c r="A1305" s="27"/>
      <c r="B1305" s="110"/>
      <c r="D1305" s="406" t="s">
        <v>45</v>
      </c>
      <c r="E1305" s="13" t="s">
        <v>46</v>
      </c>
      <c r="F1305" s="14"/>
      <c r="G1305" s="15"/>
      <c r="H1305" s="451"/>
      <c r="I1305" s="412"/>
      <c r="J1305" s="16"/>
    </row>
    <row r="1306" spans="1:10" ht="13">
      <c r="A1306" s="27"/>
      <c r="B1306" s="110"/>
      <c r="D1306" s="409"/>
      <c r="E1306" s="13" t="s">
        <v>47</v>
      </c>
      <c r="F1306" s="13" t="s">
        <v>1918</v>
      </c>
      <c r="G1306" s="410" t="s">
        <v>48</v>
      </c>
      <c r="H1306" s="411">
        <v>0.66</v>
      </c>
      <c r="I1306" s="412">
        <f>IF(AND(E1306&lt;&gt;"",G1306&lt;&gt;""),IF(D1306="",IF(G1306="OH",VLOOKUP(F1306,UPAH!$B$4:$H$101,7,0),VLOOKUP(F1306,#REF!,4,0)),0),0)</f>
        <v>0</v>
      </c>
      <c r="J1306" s="16">
        <f>H1306*I1306</f>
        <v>0</v>
      </c>
    </row>
    <row r="1307" spans="1:10" ht="13">
      <c r="A1307" s="27"/>
      <c r="B1307" s="110"/>
      <c r="D1307" s="409"/>
      <c r="E1307" s="13" t="s">
        <v>476</v>
      </c>
      <c r="F1307" s="13" t="s">
        <v>1922</v>
      </c>
      <c r="G1307" s="410" t="s">
        <v>48</v>
      </c>
      <c r="H1307" s="411">
        <v>0.33</v>
      </c>
      <c r="I1307" s="412">
        <f>IF(AND(E1307&lt;&gt;"",G1307&lt;&gt;""),IF(D1307="",IF(G1307="OH",VLOOKUP(F1307,UPAH!$B$4:$H$101,7,0),VLOOKUP(F1307,#REF!,4,0)),0),0)</f>
        <v>0</v>
      </c>
      <c r="J1307" s="16">
        <f>H1307*I1307</f>
        <v>0</v>
      </c>
    </row>
    <row r="1308" spans="1:10" ht="13">
      <c r="A1308" s="27"/>
      <c r="B1308" s="110"/>
      <c r="D1308" s="409"/>
      <c r="E1308" s="13" t="s">
        <v>97</v>
      </c>
      <c r="F1308" s="13" t="s">
        <v>1928</v>
      </c>
      <c r="G1308" s="410" t="s">
        <v>48</v>
      </c>
      <c r="H1308" s="411">
        <v>3.3000000000000002E-2</v>
      </c>
      <c r="I1308" s="412">
        <f>IF(AND(E1308&lt;&gt;"",G1308&lt;&gt;""),IF(D1308="",IF(G1308="OH",VLOOKUP(F1308,UPAH!$B$4:$H$101,7,0),VLOOKUP(F1308,#REF!,4,0)),0),0)</f>
        <v>0</v>
      </c>
      <c r="J1308" s="16">
        <f>H1308*I1308</f>
        <v>0</v>
      </c>
    </row>
    <row r="1309" spans="1:10" ht="13.5" thickBot="1">
      <c r="A1309" s="27"/>
      <c r="B1309" s="110"/>
      <c r="D1309" s="409"/>
      <c r="E1309" s="13" t="s">
        <v>51</v>
      </c>
      <c r="F1309" s="13" t="s">
        <v>1929</v>
      </c>
      <c r="G1309" s="410" t="s">
        <v>48</v>
      </c>
      <c r="H1309" s="411">
        <v>3.3000000000000002E-2</v>
      </c>
      <c r="I1309" s="412">
        <f>IF(AND(E1309&lt;&gt;"",G1309&lt;&gt;""),IF(D1309="",IF(G1309="OH",VLOOKUP(F1309,UPAH!$B$4:$H$101,7,0),VLOOKUP(F1309,#REF!,4,0)),0),0)</f>
        <v>0</v>
      </c>
      <c r="J1309" s="16">
        <f>H1309*I1309</f>
        <v>0</v>
      </c>
    </row>
    <row r="1310" spans="1:10" ht="13.5" thickBot="1">
      <c r="A1310" s="27"/>
      <c r="B1310" s="110"/>
      <c r="D1310" s="417"/>
      <c r="E1310" s="418"/>
      <c r="F1310" s="418"/>
      <c r="G1310" s="419"/>
      <c r="H1310" s="420" t="s">
        <v>52</v>
      </c>
      <c r="I1310" s="421"/>
      <c r="J1310" s="396">
        <f>SUM(J1306:J1309)</f>
        <v>0</v>
      </c>
    </row>
    <row r="1311" spans="1:10" ht="13">
      <c r="A1311" s="27"/>
      <c r="B1311" s="110"/>
      <c r="D1311" s="406" t="s">
        <v>53</v>
      </c>
      <c r="E1311" s="13" t="s">
        <v>54</v>
      </c>
      <c r="F1311" s="14"/>
      <c r="G1311" s="15"/>
      <c r="H1311" s="451"/>
      <c r="I1311" s="412"/>
      <c r="J1311" s="16"/>
    </row>
    <row r="1312" spans="1:10" ht="13">
      <c r="A1312" s="27"/>
      <c r="B1312" s="110"/>
      <c r="D1312" s="409"/>
      <c r="E1312" s="13" t="s">
        <v>120</v>
      </c>
      <c r="F1312" s="14"/>
      <c r="G1312" s="410" t="s">
        <v>375</v>
      </c>
      <c r="H1312" s="411">
        <f>0.04/2</f>
        <v>0.02</v>
      </c>
      <c r="I1312" s="412">
        <f>'BAHAN '!G200</f>
        <v>0</v>
      </c>
      <c r="J1312" s="16">
        <f t="shared" ref="J1312:J1317" si="9">H1312*I1312</f>
        <v>0</v>
      </c>
    </row>
    <row r="1313" spans="1:10" ht="13">
      <c r="A1313" s="27"/>
      <c r="B1313" s="110"/>
      <c r="D1313" s="409"/>
      <c r="E1313" s="13" t="s">
        <v>617</v>
      </c>
      <c r="F1313" s="14"/>
      <c r="G1313" s="410" t="s">
        <v>93</v>
      </c>
      <c r="H1313" s="411">
        <f>0.4/2</f>
        <v>0.2</v>
      </c>
      <c r="I1313" s="412">
        <f>'BAHAN '!G127</f>
        <v>0</v>
      </c>
      <c r="J1313" s="16">
        <f t="shared" si="9"/>
        <v>0</v>
      </c>
    </row>
    <row r="1314" spans="1:10" ht="13">
      <c r="A1314" s="27"/>
      <c r="B1314" s="110"/>
      <c r="D1314" s="409"/>
      <c r="E1314" s="13" t="s">
        <v>122</v>
      </c>
      <c r="F1314" s="14"/>
      <c r="G1314" s="410" t="s">
        <v>63</v>
      </c>
      <c r="H1314" s="411">
        <f>0.2/2</f>
        <v>0.1</v>
      </c>
      <c r="I1314" s="412">
        <f>'BAHAN '!G54</f>
        <v>0</v>
      </c>
      <c r="J1314" s="16">
        <f t="shared" si="9"/>
        <v>0</v>
      </c>
    </row>
    <row r="1315" spans="1:10" ht="13">
      <c r="A1315" s="27"/>
      <c r="B1315" s="110"/>
      <c r="D1315" s="409"/>
      <c r="E1315" s="13" t="s">
        <v>123</v>
      </c>
      <c r="F1315" s="14"/>
      <c r="G1315" s="410" t="s">
        <v>375</v>
      </c>
      <c r="H1315" s="411">
        <f>0.018/2</f>
        <v>8.9999999999999993E-3</v>
      </c>
      <c r="I1315" s="412">
        <f>+I1293</f>
        <v>0</v>
      </c>
      <c r="J1315" s="16">
        <f t="shared" si="9"/>
        <v>0</v>
      </c>
    </row>
    <row r="1316" spans="1:10" ht="13">
      <c r="A1316" s="27"/>
      <c r="B1316" s="110"/>
      <c r="D1316" s="409"/>
      <c r="E1316" s="13" t="s">
        <v>2878</v>
      </c>
      <c r="F1316" s="14"/>
      <c r="G1316" s="410" t="s">
        <v>74</v>
      </c>
      <c r="H1316" s="411">
        <f>0.35/2</f>
        <v>0.17499999999999999</v>
      </c>
      <c r="I1316" s="412">
        <f>'BAHAN '!G809</f>
        <v>0</v>
      </c>
      <c r="J1316" s="16">
        <f t="shared" si="9"/>
        <v>0</v>
      </c>
    </row>
    <row r="1317" spans="1:10" ht="13.5" thickBot="1">
      <c r="A1317" s="27"/>
      <c r="B1317" s="110"/>
      <c r="D1317" s="409"/>
      <c r="E1317" s="13" t="s">
        <v>471</v>
      </c>
      <c r="F1317" s="14"/>
      <c r="G1317" s="410" t="s">
        <v>55</v>
      </c>
      <c r="H1317" s="451">
        <v>1</v>
      </c>
      <c r="I1317" s="412">
        <f>'BAHAN '!G794</f>
        <v>0</v>
      </c>
      <c r="J1317" s="16">
        <f t="shared" si="9"/>
        <v>0</v>
      </c>
    </row>
    <row r="1318" spans="1:10" ht="13.5" thickBot="1">
      <c r="A1318" s="27"/>
      <c r="B1318" s="110"/>
      <c r="D1318" s="417"/>
      <c r="E1318" s="418"/>
      <c r="F1318" s="418"/>
      <c r="G1318" s="419"/>
      <c r="H1318" s="420" t="s">
        <v>64</v>
      </c>
      <c r="I1318" s="421"/>
      <c r="J1318" s="396">
        <f>SUM(J1312:J1317)</f>
        <v>0</v>
      </c>
    </row>
    <row r="1319" spans="1:10" ht="13.5" thickBot="1">
      <c r="A1319" s="27"/>
      <c r="B1319" s="110"/>
      <c r="D1319" s="406" t="s">
        <v>65</v>
      </c>
      <c r="E1319" s="13" t="s">
        <v>66</v>
      </c>
      <c r="F1319" s="14"/>
      <c r="G1319" s="15"/>
      <c r="H1319" s="451"/>
      <c r="I1319" s="412">
        <f>IF(AND(E1319&lt;&gt;"",G1319&lt;&gt;""),IF(D1319="",IF(G1319="OH",VLOOKUP(E1319,UPAH!$C$4:$H$31,7,0),VLOOKUP(E1319,#REF!,4,0)),0),0)</f>
        <v>0</v>
      </c>
      <c r="J1319" s="16">
        <f>H1319*I1319</f>
        <v>0</v>
      </c>
    </row>
    <row r="1320" spans="1:10" ht="13.5" thickBot="1">
      <c r="A1320" s="27"/>
      <c r="B1320" s="110"/>
      <c r="D1320" s="417"/>
      <c r="E1320" s="418"/>
      <c r="F1320" s="418"/>
      <c r="G1320" s="419"/>
      <c r="H1320" s="420" t="s">
        <v>67</v>
      </c>
      <c r="I1320" s="421"/>
      <c r="J1320" s="396">
        <f>J1319</f>
        <v>0</v>
      </c>
    </row>
    <row r="1321" spans="1:10" ht="13">
      <c r="A1321" s="27"/>
      <c r="B1321" s="110"/>
      <c r="D1321" s="444" t="s">
        <v>68</v>
      </c>
      <c r="E1321" s="445" t="s">
        <v>69</v>
      </c>
      <c r="F1321" s="446"/>
      <c r="G1321" s="447"/>
      <c r="H1321" s="448"/>
      <c r="I1321" s="449">
        <f>IF(AND(E1321&lt;&gt;"",G1321&lt;&gt;""),IF(D1321="",IF(G1321="OH",VLOOKUP(E1321,UPAH!$C$4:$H$31,7,0),VLOOKUP(E1321,#REF!,4,0)),0),0)</f>
        <v>0</v>
      </c>
      <c r="J1321" s="16">
        <f>SUM(J1305:J1320)/2</f>
        <v>0</v>
      </c>
    </row>
    <row r="1322" spans="1:10" ht="13.5" thickBot="1">
      <c r="A1322" s="27"/>
      <c r="B1322" s="110"/>
      <c r="D1322" s="431" t="s">
        <v>70</v>
      </c>
      <c r="E1322" s="432" t="s">
        <v>477</v>
      </c>
      <c r="F1322" s="433"/>
      <c r="G1322" s="434"/>
      <c r="H1322" s="22">
        <v>0.1</v>
      </c>
      <c r="I1322" s="436"/>
      <c r="J1322" s="430">
        <f>H1322*J1321</f>
        <v>0</v>
      </c>
    </row>
    <row r="1323" spans="1:10" ht="13.5" thickBot="1">
      <c r="A1323" s="27"/>
      <c r="B1323" s="110"/>
      <c r="D1323" s="401" t="s">
        <v>71</v>
      </c>
      <c r="E1323" s="402" t="s">
        <v>72</v>
      </c>
      <c r="F1323" s="418"/>
      <c r="G1323" s="419"/>
      <c r="H1323" s="442"/>
      <c r="I1323" s="421">
        <f>IF(AND(E1323&lt;&gt;"",G1323&lt;&gt;""),IF(D1323="",IF(G1323="OH",VLOOKUP(E1323,UPAH!$C$4:$H$31,7,0),VLOOKUP(E1323,#REF!,4,0)),0),0)</f>
        <v>0</v>
      </c>
      <c r="J1323" s="396">
        <f>ROUNDDOWN(J1321+J1322,0)</f>
        <v>0</v>
      </c>
    </row>
    <row r="1324" spans="1:10" ht="13">
      <c r="A1324" s="27"/>
      <c r="B1324" s="110"/>
      <c r="D1324" s="11"/>
      <c r="E1324" s="11"/>
      <c r="H1324" s="443"/>
      <c r="I1324" s="17"/>
      <c r="J1324" s="18"/>
    </row>
    <row r="1325" spans="1:10" ht="13.5" thickBot="1">
      <c r="A1325" s="27"/>
      <c r="B1325" s="110"/>
      <c r="C1325" s="11" t="s">
        <v>633</v>
      </c>
      <c r="D1325" s="10" t="s">
        <v>3864</v>
      </c>
      <c r="H1325" s="443"/>
    </row>
    <row r="1326" spans="1:10" ht="13.5" thickBot="1">
      <c r="A1326" s="27"/>
      <c r="B1326" s="110"/>
      <c r="D1326" s="401" t="s">
        <v>40</v>
      </c>
      <c r="E1326" s="402" t="s">
        <v>41</v>
      </c>
      <c r="F1326" s="402" t="s">
        <v>42</v>
      </c>
      <c r="G1326" s="403" t="s">
        <v>43</v>
      </c>
      <c r="H1326" s="404" t="s">
        <v>44</v>
      </c>
      <c r="I1326" s="402" t="s">
        <v>474</v>
      </c>
      <c r="J1326" s="405" t="s">
        <v>475</v>
      </c>
    </row>
    <row r="1327" spans="1:10" ht="13">
      <c r="A1327" s="27"/>
      <c r="B1327" s="110"/>
      <c r="D1327" s="406" t="s">
        <v>45</v>
      </c>
      <c r="E1327" s="13" t="s">
        <v>46</v>
      </c>
      <c r="F1327" s="14"/>
      <c r="G1327" s="15"/>
      <c r="H1327" s="451"/>
      <c r="I1327" s="412"/>
      <c r="J1327" s="16"/>
    </row>
    <row r="1328" spans="1:10" ht="13">
      <c r="A1328" s="27"/>
      <c r="B1328" s="110"/>
      <c r="D1328" s="409"/>
      <c r="E1328" s="13" t="s">
        <v>47</v>
      </c>
      <c r="F1328" s="13" t="s">
        <v>1918</v>
      </c>
      <c r="G1328" s="410" t="s">
        <v>48</v>
      </c>
      <c r="H1328" s="411">
        <v>0.66</v>
      </c>
      <c r="I1328" s="412">
        <f>IF(AND(E1328&lt;&gt;"",G1328&lt;&gt;""),IF(D1328="",IF(G1328="OH",VLOOKUP(F1328,UPAH!$B$4:$H$101,7,0),VLOOKUP(F1328,#REF!,4,0)),0),0)</f>
        <v>0</v>
      </c>
      <c r="J1328" s="16">
        <f>H1328*I1328</f>
        <v>0</v>
      </c>
    </row>
    <row r="1329" spans="1:10" ht="13">
      <c r="A1329" s="27"/>
      <c r="B1329" s="110"/>
      <c r="D1329" s="409"/>
      <c r="E1329" s="13" t="s">
        <v>476</v>
      </c>
      <c r="F1329" s="13" t="s">
        <v>1922</v>
      </c>
      <c r="G1329" s="410" t="s">
        <v>48</v>
      </c>
      <c r="H1329" s="411">
        <v>0.33</v>
      </c>
      <c r="I1329" s="412">
        <f>IF(AND(E1329&lt;&gt;"",G1329&lt;&gt;""),IF(D1329="",IF(G1329="OH",VLOOKUP(F1329,UPAH!$B$4:$H$101,7,0),VLOOKUP(F1329,#REF!,4,0)),0),0)</f>
        <v>0</v>
      </c>
      <c r="J1329" s="16">
        <f>H1329*I1329</f>
        <v>0</v>
      </c>
    </row>
    <row r="1330" spans="1:10" ht="13">
      <c r="A1330" s="27"/>
      <c r="B1330" s="110"/>
      <c r="D1330" s="409"/>
      <c r="E1330" s="13" t="s">
        <v>97</v>
      </c>
      <c r="F1330" s="13" t="s">
        <v>1928</v>
      </c>
      <c r="G1330" s="410" t="s">
        <v>48</v>
      </c>
      <c r="H1330" s="411">
        <v>3.3000000000000002E-2</v>
      </c>
      <c r="I1330" s="412">
        <f>IF(AND(E1330&lt;&gt;"",G1330&lt;&gt;""),IF(D1330="",IF(G1330="OH",VLOOKUP(F1330,UPAH!$B$4:$H$101,7,0),VLOOKUP(F1330,#REF!,4,0)),0),0)</f>
        <v>0</v>
      </c>
      <c r="J1330" s="16">
        <f>H1330*I1330</f>
        <v>0</v>
      </c>
    </row>
    <row r="1331" spans="1:10" ht="13.5" thickBot="1">
      <c r="A1331" s="27"/>
      <c r="B1331" s="110"/>
      <c r="D1331" s="409"/>
      <c r="E1331" s="13" t="s">
        <v>51</v>
      </c>
      <c r="F1331" s="13" t="s">
        <v>1929</v>
      </c>
      <c r="G1331" s="410" t="s">
        <v>48</v>
      </c>
      <c r="H1331" s="411">
        <v>3.3000000000000002E-2</v>
      </c>
      <c r="I1331" s="412">
        <f>IF(AND(E1331&lt;&gt;"",G1331&lt;&gt;""),IF(D1331="",IF(G1331="OH",VLOOKUP(F1331,UPAH!$B$4:$H$101,7,0),VLOOKUP(F1331,#REF!,4,0)),0),0)</f>
        <v>0</v>
      </c>
      <c r="J1331" s="16">
        <f>H1331*I1331</f>
        <v>0</v>
      </c>
    </row>
    <row r="1332" spans="1:10" ht="13.5" thickBot="1">
      <c r="A1332" s="27"/>
      <c r="B1332" s="110"/>
      <c r="D1332" s="417"/>
      <c r="E1332" s="418"/>
      <c r="F1332" s="418"/>
      <c r="G1332" s="419"/>
      <c r="H1332" s="420" t="s">
        <v>52</v>
      </c>
      <c r="I1332" s="421"/>
      <c r="J1332" s="396">
        <f>SUM(J1328:J1331)</f>
        <v>0</v>
      </c>
    </row>
    <row r="1333" spans="1:10" ht="13">
      <c r="A1333" s="27"/>
      <c r="B1333" s="110"/>
      <c r="D1333" s="406" t="s">
        <v>53</v>
      </c>
      <c r="E1333" s="13" t="s">
        <v>54</v>
      </c>
      <c r="F1333" s="14"/>
      <c r="G1333" s="15"/>
      <c r="H1333" s="451"/>
      <c r="I1333" s="412"/>
      <c r="J1333" s="16"/>
    </row>
    <row r="1334" spans="1:10" ht="13">
      <c r="A1334" s="27"/>
      <c r="B1334" s="110"/>
      <c r="D1334" s="409"/>
      <c r="E1334" s="13" t="s">
        <v>120</v>
      </c>
      <c r="F1334" s="14"/>
      <c r="G1334" s="410" t="s">
        <v>375</v>
      </c>
      <c r="H1334" s="411">
        <f>0.04/2</f>
        <v>0.02</v>
      </c>
      <c r="I1334" s="412">
        <f>+'BAHAN '!G201</f>
        <v>0</v>
      </c>
      <c r="J1334" s="16">
        <f t="shared" ref="J1334:J1339" si="10">H1334*I1334</f>
        <v>0</v>
      </c>
    </row>
    <row r="1335" spans="1:10" ht="13">
      <c r="A1335" s="27"/>
      <c r="B1335" s="110"/>
      <c r="D1335" s="409"/>
      <c r="E1335" s="13" t="s">
        <v>617</v>
      </c>
      <c r="F1335" s="14"/>
      <c r="G1335" s="410" t="s">
        <v>93</v>
      </c>
      <c r="H1335" s="411">
        <f>0.4/2</f>
        <v>0.2</v>
      </c>
      <c r="I1335" s="412">
        <f>'BAHAN '!G127</f>
        <v>0</v>
      </c>
      <c r="J1335" s="16">
        <f t="shared" si="10"/>
        <v>0</v>
      </c>
    </row>
    <row r="1336" spans="1:10" ht="13">
      <c r="A1336" s="27"/>
      <c r="B1336" s="110"/>
      <c r="D1336" s="409"/>
      <c r="E1336" s="13" t="s">
        <v>122</v>
      </c>
      <c r="F1336" s="14"/>
      <c r="G1336" s="410" t="s">
        <v>63</v>
      </c>
      <c r="H1336" s="411">
        <f>0.2/2</f>
        <v>0.1</v>
      </c>
      <c r="I1336" s="412">
        <f>'BAHAN '!G54</f>
        <v>0</v>
      </c>
      <c r="J1336" s="16">
        <f t="shared" si="10"/>
        <v>0</v>
      </c>
    </row>
    <row r="1337" spans="1:10" ht="13">
      <c r="A1337" s="27"/>
      <c r="B1337" s="110"/>
      <c r="D1337" s="409"/>
      <c r="E1337" s="13" t="s">
        <v>123</v>
      </c>
      <c r="F1337" s="14"/>
      <c r="G1337" s="410" t="s">
        <v>375</v>
      </c>
      <c r="H1337" s="411">
        <f>0.015/2</f>
        <v>7.4999999999999997E-3</v>
      </c>
      <c r="I1337" s="412">
        <f>+I1315</f>
        <v>0</v>
      </c>
      <c r="J1337" s="16">
        <f t="shared" si="10"/>
        <v>0</v>
      </c>
    </row>
    <row r="1338" spans="1:10" ht="13">
      <c r="A1338" s="27"/>
      <c r="B1338" s="110"/>
      <c r="D1338" s="409"/>
      <c r="E1338" s="13" t="s">
        <v>2878</v>
      </c>
      <c r="F1338" s="14"/>
      <c r="G1338" s="410" t="s">
        <v>74</v>
      </c>
      <c r="H1338" s="411">
        <f>0.35/2</f>
        <v>0.17499999999999999</v>
      </c>
      <c r="I1338" s="412">
        <f>'BAHAN '!G809</f>
        <v>0</v>
      </c>
      <c r="J1338" s="16">
        <f t="shared" si="10"/>
        <v>0</v>
      </c>
    </row>
    <row r="1339" spans="1:10" ht="13.5" thickBot="1">
      <c r="A1339" s="27"/>
      <c r="B1339" s="110"/>
      <c r="D1339" s="409"/>
      <c r="E1339" s="13" t="s">
        <v>471</v>
      </c>
      <c r="F1339" s="14"/>
      <c r="G1339" s="410" t="s">
        <v>55</v>
      </c>
      <c r="H1339" s="411">
        <v>3</v>
      </c>
      <c r="I1339" s="412">
        <f>'BAHAN '!G794</f>
        <v>0</v>
      </c>
      <c r="J1339" s="16">
        <f t="shared" si="10"/>
        <v>0</v>
      </c>
    </row>
    <row r="1340" spans="1:10" ht="13.5" thickBot="1">
      <c r="A1340" s="27"/>
      <c r="B1340" s="110"/>
      <c r="D1340" s="417"/>
      <c r="E1340" s="418"/>
      <c r="F1340" s="418"/>
      <c r="G1340" s="419"/>
      <c r="H1340" s="420" t="s">
        <v>64</v>
      </c>
      <c r="I1340" s="421"/>
      <c r="J1340" s="396">
        <f>SUM(J1334:J1339)</f>
        <v>0</v>
      </c>
    </row>
    <row r="1341" spans="1:10" ht="13.5" thickBot="1">
      <c r="A1341" s="27"/>
      <c r="B1341" s="110"/>
      <c r="D1341" s="406" t="s">
        <v>65</v>
      </c>
      <c r="E1341" s="13" t="s">
        <v>66</v>
      </c>
      <c r="F1341" s="14"/>
      <c r="G1341" s="15"/>
      <c r="H1341" s="451"/>
      <c r="I1341" s="412">
        <f>IF(AND(E1341&lt;&gt;"",G1341&lt;&gt;""),IF(D1341="",IF(G1341="OH",VLOOKUP(E1341,UPAH!$C$4:$H$31,7,0),VLOOKUP(E1341,#REF!,4,0)),0),0)</f>
        <v>0</v>
      </c>
      <c r="J1341" s="16">
        <f>H1341*I1341</f>
        <v>0</v>
      </c>
    </row>
    <row r="1342" spans="1:10" ht="13.5" thickBot="1">
      <c r="A1342" s="27"/>
      <c r="B1342" s="110"/>
      <c r="D1342" s="417"/>
      <c r="E1342" s="418"/>
      <c r="F1342" s="418"/>
      <c r="G1342" s="419"/>
      <c r="H1342" s="420" t="s">
        <v>67</v>
      </c>
      <c r="I1342" s="421"/>
      <c r="J1342" s="396">
        <f>J1341</f>
        <v>0</v>
      </c>
    </row>
    <row r="1343" spans="1:10" ht="13">
      <c r="A1343" s="27"/>
      <c r="B1343" s="110"/>
      <c r="D1343" s="444" t="s">
        <v>68</v>
      </c>
      <c r="E1343" s="445" t="s">
        <v>69</v>
      </c>
      <c r="F1343" s="446"/>
      <c r="G1343" s="447"/>
      <c r="H1343" s="448"/>
      <c r="I1343" s="449">
        <f>IF(AND(E1343&lt;&gt;"",G1343&lt;&gt;""),IF(D1343="",IF(G1343="OH",VLOOKUP(E1343,UPAH!$C$4:$H$31,7,0),VLOOKUP(E1343,#REF!,4,0)),0),0)</f>
        <v>0</v>
      </c>
      <c r="J1343" s="16">
        <f>SUM(J1327:J1342)/2</f>
        <v>0</v>
      </c>
    </row>
    <row r="1344" spans="1:10" ht="13.5" thickBot="1">
      <c r="A1344" s="27"/>
      <c r="B1344" s="110"/>
      <c r="D1344" s="431" t="s">
        <v>70</v>
      </c>
      <c r="E1344" s="432" t="s">
        <v>477</v>
      </c>
      <c r="F1344" s="433"/>
      <c r="G1344" s="434"/>
      <c r="H1344" s="22">
        <v>0.1</v>
      </c>
      <c r="I1344" s="436"/>
      <c r="J1344" s="430">
        <f>H1344*J1343</f>
        <v>0</v>
      </c>
    </row>
    <row r="1345" spans="1:10" ht="13.5" thickBot="1">
      <c r="A1345" s="27"/>
      <c r="B1345" s="110"/>
      <c r="D1345" s="401" t="s">
        <v>71</v>
      </c>
      <c r="E1345" s="402" t="s">
        <v>72</v>
      </c>
      <c r="F1345" s="418"/>
      <c r="G1345" s="419"/>
      <c r="H1345" s="442"/>
      <c r="I1345" s="421">
        <f>IF(AND(E1345&lt;&gt;"",G1345&lt;&gt;""),IF(D1345="",IF(G1345="OH",VLOOKUP(E1345,UPAH!$C$4:$H$31,7,0),VLOOKUP(E1345,#REF!,4,0)),0),0)</f>
        <v>0</v>
      </c>
      <c r="J1345" s="396">
        <f>ROUNDDOWN(J1343+J1344,0)</f>
        <v>0</v>
      </c>
    </row>
    <row r="1346" spans="1:10" ht="13">
      <c r="A1346" s="27"/>
      <c r="B1346" s="110"/>
      <c r="D1346" s="11"/>
      <c r="E1346" s="11"/>
      <c r="H1346" s="443"/>
      <c r="I1346" s="17"/>
      <c r="J1346" s="18"/>
    </row>
    <row r="1347" spans="1:10" ht="13.5" thickBot="1">
      <c r="A1347" s="27"/>
      <c r="B1347" s="110"/>
      <c r="C1347" s="11" t="s">
        <v>634</v>
      </c>
      <c r="D1347" s="10" t="s">
        <v>3867</v>
      </c>
      <c r="H1347" s="443"/>
    </row>
    <row r="1348" spans="1:10" ht="13.5" thickBot="1">
      <c r="A1348" s="27"/>
      <c r="B1348" s="110"/>
      <c r="D1348" s="401" t="s">
        <v>40</v>
      </c>
      <c r="E1348" s="402" t="s">
        <v>41</v>
      </c>
      <c r="F1348" s="402" t="s">
        <v>42</v>
      </c>
      <c r="G1348" s="403" t="s">
        <v>43</v>
      </c>
      <c r="H1348" s="404" t="s">
        <v>44</v>
      </c>
      <c r="I1348" s="402" t="s">
        <v>474</v>
      </c>
      <c r="J1348" s="405" t="s">
        <v>475</v>
      </c>
    </row>
    <row r="1349" spans="1:10" ht="13">
      <c r="A1349" s="27"/>
      <c r="B1349" s="110"/>
      <c r="D1349" s="444" t="s">
        <v>45</v>
      </c>
      <c r="E1349" s="445" t="s">
        <v>46</v>
      </c>
      <c r="F1349" s="446"/>
      <c r="G1349" s="447"/>
      <c r="H1349" s="448"/>
      <c r="I1349" s="449"/>
      <c r="J1349" s="450"/>
    </row>
    <row r="1350" spans="1:10" ht="13">
      <c r="A1350" s="27"/>
      <c r="B1350" s="110"/>
      <c r="D1350" s="409"/>
      <c r="E1350" s="13" t="s">
        <v>47</v>
      </c>
      <c r="F1350" s="13" t="s">
        <v>1918</v>
      </c>
      <c r="G1350" s="410" t="s">
        <v>48</v>
      </c>
      <c r="H1350" s="411">
        <v>0.66</v>
      </c>
      <c r="I1350" s="412">
        <f>IF(AND(E1350&lt;&gt;"",G1350&lt;&gt;""),IF(D1350="",IF(G1350="OH",VLOOKUP(F1350,UPAH!$B$4:$H$101,7,0),VLOOKUP(F1350,#REF!,4,0)),0),0)</f>
        <v>0</v>
      </c>
      <c r="J1350" s="16">
        <f>H1350*I1350</f>
        <v>0</v>
      </c>
    </row>
    <row r="1351" spans="1:10" ht="13">
      <c r="A1351" s="27"/>
      <c r="B1351" s="110"/>
      <c r="D1351" s="409"/>
      <c r="E1351" s="13" t="s">
        <v>476</v>
      </c>
      <c r="F1351" s="13" t="s">
        <v>1922</v>
      </c>
      <c r="G1351" s="410" t="s">
        <v>48</v>
      </c>
      <c r="H1351" s="411">
        <v>0.33</v>
      </c>
      <c r="I1351" s="412">
        <f>IF(AND(E1351&lt;&gt;"",G1351&lt;&gt;""),IF(D1351="",IF(G1351="OH",VLOOKUP(F1351,UPAH!$B$4:$H$101,7,0),VLOOKUP(F1351,#REF!,4,0)),0),0)</f>
        <v>0</v>
      </c>
      <c r="J1351" s="16">
        <f>H1351*I1351</f>
        <v>0</v>
      </c>
    </row>
    <row r="1352" spans="1:10" ht="13">
      <c r="A1352" s="27"/>
      <c r="B1352" s="110"/>
      <c r="D1352" s="409"/>
      <c r="E1352" s="13" t="s">
        <v>97</v>
      </c>
      <c r="F1352" s="13" t="s">
        <v>1928</v>
      </c>
      <c r="G1352" s="410" t="s">
        <v>48</v>
      </c>
      <c r="H1352" s="411">
        <v>3.3000000000000002E-2</v>
      </c>
      <c r="I1352" s="412">
        <f>IF(AND(E1352&lt;&gt;"",G1352&lt;&gt;""),IF(D1352="",IF(G1352="OH",VLOOKUP(F1352,UPAH!$B$4:$H$101,7,0),VLOOKUP(F1352,#REF!,4,0)),0),0)</f>
        <v>0</v>
      </c>
      <c r="J1352" s="16">
        <f>H1352*I1352</f>
        <v>0</v>
      </c>
    </row>
    <row r="1353" spans="1:10" ht="13.5" thickBot="1">
      <c r="A1353" s="27"/>
      <c r="B1353" s="110"/>
      <c r="D1353" s="409"/>
      <c r="E1353" s="13" t="s">
        <v>51</v>
      </c>
      <c r="F1353" s="13" t="s">
        <v>1929</v>
      </c>
      <c r="G1353" s="410" t="s">
        <v>48</v>
      </c>
      <c r="H1353" s="411">
        <v>3.3000000000000002E-2</v>
      </c>
      <c r="I1353" s="412">
        <f>IF(AND(E1353&lt;&gt;"",G1353&lt;&gt;""),IF(D1353="",IF(G1353="OH",VLOOKUP(F1353,UPAH!$B$4:$H$101,7,0),VLOOKUP(F1353,#REF!,4,0)),0),0)</f>
        <v>0</v>
      </c>
      <c r="J1353" s="16">
        <f>H1353*I1353</f>
        <v>0</v>
      </c>
    </row>
    <row r="1354" spans="1:10" ht="13.5" thickBot="1">
      <c r="A1354" s="27"/>
      <c r="B1354" s="110"/>
      <c r="D1354" s="417"/>
      <c r="E1354" s="418"/>
      <c r="F1354" s="418"/>
      <c r="G1354" s="419"/>
      <c r="H1354" s="420" t="s">
        <v>52</v>
      </c>
      <c r="I1354" s="421"/>
      <c r="J1354" s="396">
        <f>SUM(J1350:J1353)</f>
        <v>0</v>
      </c>
    </row>
    <row r="1355" spans="1:10" ht="13">
      <c r="A1355" s="27"/>
      <c r="B1355" s="110"/>
      <c r="D1355" s="406" t="s">
        <v>53</v>
      </c>
      <c r="E1355" s="13" t="s">
        <v>54</v>
      </c>
      <c r="F1355" s="14"/>
      <c r="G1355" s="15"/>
      <c r="H1355" s="451"/>
      <c r="I1355" s="412"/>
      <c r="J1355" s="16"/>
    </row>
    <row r="1356" spans="1:10" ht="13">
      <c r="A1356" s="27"/>
      <c r="B1356" s="110"/>
      <c r="D1356" s="409"/>
      <c r="E1356" s="13" t="s">
        <v>120</v>
      </c>
      <c r="F1356" s="14"/>
      <c r="G1356" s="410" t="s">
        <v>375</v>
      </c>
      <c r="H1356" s="411">
        <f>0.03/2</f>
        <v>1.4999999999999999E-2</v>
      </c>
      <c r="I1356" s="412">
        <f>'BAHAN '!G200</f>
        <v>0</v>
      </c>
      <c r="J1356" s="16">
        <f t="shared" ref="J1356:J1362" si="11">H1356*I1356</f>
        <v>0</v>
      </c>
    </row>
    <row r="1357" spans="1:10" ht="13">
      <c r="A1357" s="27"/>
      <c r="B1357" s="110"/>
      <c r="D1357" s="409"/>
      <c r="E1357" s="13" t="s">
        <v>617</v>
      </c>
      <c r="F1357" s="14"/>
      <c r="G1357" s="410" t="s">
        <v>93</v>
      </c>
      <c r="H1357" s="411">
        <f>0.4/2</f>
        <v>0.2</v>
      </c>
      <c r="I1357" s="412">
        <f>'BAHAN '!G127</f>
        <v>0</v>
      </c>
      <c r="J1357" s="16">
        <f t="shared" si="11"/>
        <v>0</v>
      </c>
    </row>
    <row r="1358" spans="1:10" ht="13">
      <c r="A1358" s="27"/>
      <c r="B1358" s="110"/>
      <c r="D1358" s="409"/>
      <c r="E1358" s="13" t="s">
        <v>122</v>
      </c>
      <c r="F1358" s="14"/>
      <c r="G1358" s="410" t="s">
        <v>63</v>
      </c>
      <c r="H1358" s="411">
        <f>0.2/2</f>
        <v>0.1</v>
      </c>
      <c r="I1358" s="412">
        <f>'BAHAN '!G54</f>
        <v>0</v>
      </c>
      <c r="J1358" s="16">
        <f t="shared" si="11"/>
        <v>0</v>
      </c>
    </row>
    <row r="1359" spans="1:10" ht="13">
      <c r="A1359" s="27"/>
      <c r="B1359" s="110"/>
      <c r="D1359" s="409"/>
      <c r="E1359" s="13" t="s">
        <v>123</v>
      </c>
      <c r="F1359" s="14"/>
      <c r="G1359" s="410" t="s">
        <v>375</v>
      </c>
      <c r="H1359" s="411">
        <f>0.02/2</f>
        <v>0.01</v>
      </c>
      <c r="I1359" s="412">
        <f>+I1337</f>
        <v>0</v>
      </c>
      <c r="J1359" s="16">
        <f t="shared" si="11"/>
        <v>0</v>
      </c>
    </row>
    <row r="1360" spans="1:10" ht="13">
      <c r="A1360" s="27"/>
      <c r="B1360" s="110"/>
      <c r="D1360" s="409"/>
      <c r="E1360" s="13" t="s">
        <v>2878</v>
      </c>
      <c r="F1360" s="14"/>
      <c r="G1360" s="410" t="s">
        <v>74</v>
      </c>
      <c r="H1360" s="411">
        <f>0.35/2</f>
        <v>0.17499999999999999</v>
      </c>
      <c r="I1360" s="412">
        <f>'BAHAN '!G809</f>
        <v>0</v>
      </c>
      <c r="J1360" s="16">
        <f t="shared" si="11"/>
        <v>0</v>
      </c>
    </row>
    <row r="1361" spans="1:10" ht="13">
      <c r="A1361" s="27"/>
      <c r="B1361" s="110"/>
      <c r="D1361" s="409"/>
      <c r="E1361" s="13" t="s">
        <v>471</v>
      </c>
      <c r="F1361" s="14"/>
      <c r="G1361" s="410" t="s">
        <v>55</v>
      </c>
      <c r="H1361" s="411">
        <v>1.5</v>
      </c>
      <c r="I1361" s="412">
        <f>'BAHAN '!G794</f>
        <v>0</v>
      </c>
      <c r="J1361" s="16">
        <f t="shared" si="11"/>
        <v>0</v>
      </c>
    </row>
    <row r="1362" spans="1:10" ht="13.5" thickBot="1">
      <c r="A1362" s="27"/>
      <c r="B1362" s="110"/>
      <c r="D1362" s="459"/>
      <c r="E1362" s="460" t="s">
        <v>409</v>
      </c>
      <c r="F1362" s="461"/>
      <c r="G1362" s="462" t="s">
        <v>124</v>
      </c>
      <c r="H1362" s="463">
        <v>2</v>
      </c>
      <c r="I1362" s="464"/>
      <c r="J1362" s="465">
        <f t="shared" si="11"/>
        <v>0</v>
      </c>
    </row>
    <row r="1363" spans="1:10" ht="13.5" thickBot="1">
      <c r="A1363" s="27"/>
      <c r="B1363" s="110"/>
      <c r="D1363" s="417"/>
      <c r="E1363" s="418"/>
      <c r="F1363" s="418"/>
      <c r="G1363" s="419"/>
      <c r="H1363" s="420" t="s">
        <v>64</v>
      </c>
      <c r="I1363" s="421"/>
      <c r="J1363" s="396">
        <f>SUM(J1356:J1362)</f>
        <v>0</v>
      </c>
    </row>
    <row r="1364" spans="1:10" ht="13.5" thickBot="1">
      <c r="A1364" s="27"/>
      <c r="B1364" s="110"/>
      <c r="D1364" s="406" t="s">
        <v>65</v>
      </c>
      <c r="E1364" s="13" t="s">
        <v>66</v>
      </c>
      <c r="F1364" s="14"/>
      <c r="G1364" s="15"/>
      <c r="H1364" s="451"/>
      <c r="I1364" s="412">
        <f>IF(AND(E1364&lt;&gt;"",G1364&lt;&gt;""),IF(D1364="",IF(G1364="OH",VLOOKUP(E1364,UPAH!$C$4:$H$31,7,0),VLOOKUP(E1364,#REF!,4,0)),0),0)</f>
        <v>0</v>
      </c>
      <c r="J1364" s="16">
        <f>H1364*I1364</f>
        <v>0</v>
      </c>
    </row>
    <row r="1365" spans="1:10" ht="13.5" thickBot="1">
      <c r="A1365" s="27"/>
      <c r="B1365" s="110"/>
      <c r="D1365" s="417"/>
      <c r="E1365" s="418"/>
      <c r="F1365" s="418"/>
      <c r="G1365" s="419"/>
      <c r="H1365" s="420" t="s">
        <v>67</v>
      </c>
      <c r="I1365" s="421"/>
      <c r="J1365" s="396">
        <f>J1364</f>
        <v>0</v>
      </c>
    </row>
    <row r="1366" spans="1:10" ht="13">
      <c r="A1366" s="27"/>
      <c r="B1366" s="110"/>
      <c r="D1366" s="444" t="s">
        <v>68</v>
      </c>
      <c r="E1366" s="445" t="s">
        <v>69</v>
      </c>
      <c r="F1366" s="446"/>
      <c r="G1366" s="447"/>
      <c r="H1366" s="448"/>
      <c r="I1366" s="449">
        <f>IF(AND(E1366&lt;&gt;"",G1366&lt;&gt;""),IF(D1366="",IF(G1366="OH",VLOOKUP(E1366,UPAH!$C$4:$H$31,7,0),VLOOKUP(E1366,#REF!,4,0)),0),0)</f>
        <v>0</v>
      </c>
      <c r="J1366" s="16">
        <f>SUM(J1350:J1365)/2</f>
        <v>0</v>
      </c>
    </row>
    <row r="1367" spans="1:10" ht="13.5" thickBot="1">
      <c r="A1367" s="27"/>
      <c r="B1367" s="110"/>
      <c r="D1367" s="431" t="s">
        <v>70</v>
      </c>
      <c r="E1367" s="432" t="s">
        <v>477</v>
      </c>
      <c r="F1367" s="433"/>
      <c r="G1367" s="434"/>
      <c r="H1367" s="22">
        <v>0.1</v>
      </c>
      <c r="I1367" s="436"/>
      <c r="J1367" s="430">
        <f>H1367*J1366</f>
        <v>0</v>
      </c>
    </row>
    <row r="1368" spans="1:10" ht="13.5" thickBot="1">
      <c r="A1368" s="27"/>
      <c r="B1368" s="110"/>
      <c r="D1368" s="401" t="s">
        <v>71</v>
      </c>
      <c r="E1368" s="402" t="s">
        <v>72</v>
      </c>
      <c r="F1368" s="418"/>
      <c r="G1368" s="419"/>
      <c r="H1368" s="442"/>
      <c r="I1368" s="421">
        <f>IF(AND(E1368&lt;&gt;"",G1368&lt;&gt;""),IF(D1368="",IF(G1368="OH",VLOOKUP(E1368,UPAH!$C$4:$H$31,7,0),VLOOKUP(E1368,#REF!,4,0)),0),0)</f>
        <v>0</v>
      </c>
      <c r="J1368" s="396">
        <f>ROUNDDOWN(J1366+J1367,0)</f>
        <v>0</v>
      </c>
    </row>
    <row r="1369" spans="1:10" ht="13">
      <c r="A1369" s="27"/>
      <c r="B1369" s="110"/>
      <c r="D1369" s="11"/>
      <c r="E1369" s="11"/>
      <c r="H1369" s="443"/>
      <c r="I1369" s="17"/>
      <c r="J1369" s="18"/>
    </row>
    <row r="1370" spans="1:10" ht="13.5" thickBot="1">
      <c r="A1370" s="27"/>
      <c r="B1370" s="110"/>
      <c r="C1370" s="11" t="s">
        <v>635</v>
      </c>
      <c r="D1370" s="10" t="s">
        <v>636</v>
      </c>
      <c r="H1370" s="443"/>
    </row>
    <row r="1371" spans="1:10" ht="13.5" thickBot="1">
      <c r="A1371" s="27"/>
      <c r="B1371" s="110"/>
      <c r="D1371" s="401" t="s">
        <v>40</v>
      </c>
      <c r="E1371" s="402" t="s">
        <v>41</v>
      </c>
      <c r="F1371" s="402" t="s">
        <v>42</v>
      </c>
      <c r="G1371" s="403" t="s">
        <v>43</v>
      </c>
      <c r="H1371" s="404" t="s">
        <v>44</v>
      </c>
      <c r="I1371" s="402" t="s">
        <v>474</v>
      </c>
      <c r="J1371" s="405" t="s">
        <v>475</v>
      </c>
    </row>
    <row r="1372" spans="1:10" ht="13">
      <c r="A1372" s="27"/>
      <c r="B1372" s="110"/>
      <c r="D1372" s="444" t="s">
        <v>45</v>
      </c>
      <c r="E1372" s="445" t="s">
        <v>46</v>
      </c>
      <c r="F1372" s="446"/>
      <c r="G1372" s="447"/>
      <c r="H1372" s="448"/>
      <c r="I1372" s="449"/>
      <c r="J1372" s="450"/>
    </row>
    <row r="1373" spans="1:10" ht="13">
      <c r="A1373" s="27"/>
      <c r="B1373" s="110"/>
      <c r="D1373" s="409"/>
      <c r="E1373" s="13" t="s">
        <v>47</v>
      </c>
      <c r="F1373" s="13" t="s">
        <v>1918</v>
      </c>
      <c r="G1373" s="410" t="s">
        <v>48</v>
      </c>
      <c r="H1373" s="411">
        <v>0.66</v>
      </c>
      <c r="I1373" s="412">
        <f>IF(AND(E1373&lt;&gt;"",G1373&lt;&gt;""),IF(D1373="",IF(G1373="OH",VLOOKUP(F1373,UPAH!$B$4:$H$101,7,0),VLOOKUP(F1373,#REF!,4,0)),0),0)</f>
        <v>0</v>
      </c>
      <c r="J1373" s="16">
        <f>H1373*I1373</f>
        <v>0</v>
      </c>
    </row>
    <row r="1374" spans="1:10" ht="13">
      <c r="A1374" s="27"/>
      <c r="B1374" s="110"/>
      <c r="D1374" s="409"/>
      <c r="E1374" s="13" t="s">
        <v>476</v>
      </c>
      <c r="F1374" s="13" t="s">
        <v>1922</v>
      </c>
      <c r="G1374" s="410" t="s">
        <v>48</v>
      </c>
      <c r="H1374" s="411">
        <v>0.33</v>
      </c>
      <c r="I1374" s="412">
        <f>IF(AND(E1374&lt;&gt;"",G1374&lt;&gt;""),IF(D1374="",IF(G1374="OH",VLOOKUP(F1374,UPAH!$B$4:$H$101,7,0),VLOOKUP(F1374,#REF!,4,0)),0),0)</f>
        <v>0</v>
      </c>
      <c r="J1374" s="16">
        <f>H1374*I1374</f>
        <v>0</v>
      </c>
    </row>
    <row r="1375" spans="1:10" ht="13">
      <c r="A1375" s="27"/>
      <c r="B1375" s="110"/>
      <c r="D1375" s="409"/>
      <c r="E1375" s="13" t="s">
        <v>97</v>
      </c>
      <c r="F1375" s="13" t="s">
        <v>1928</v>
      </c>
      <c r="G1375" s="410" t="s">
        <v>48</v>
      </c>
      <c r="H1375" s="411">
        <v>3.3000000000000002E-2</v>
      </c>
      <c r="I1375" s="412">
        <f>IF(AND(E1375&lt;&gt;"",G1375&lt;&gt;""),IF(D1375="",IF(G1375="OH",VLOOKUP(F1375,UPAH!$B$4:$H$101,7,0),VLOOKUP(F1375,#REF!,4,0)),0),0)</f>
        <v>0</v>
      </c>
      <c r="J1375" s="16">
        <f>H1375*I1375</f>
        <v>0</v>
      </c>
    </row>
    <row r="1376" spans="1:10" ht="13.5" thickBot="1">
      <c r="A1376" s="27"/>
      <c r="B1376" s="110"/>
      <c r="D1376" s="409"/>
      <c r="E1376" s="13" t="s">
        <v>51</v>
      </c>
      <c r="F1376" s="13" t="s">
        <v>1929</v>
      </c>
      <c r="G1376" s="410" t="s">
        <v>48</v>
      </c>
      <c r="H1376" s="411">
        <v>3.3000000000000002E-2</v>
      </c>
      <c r="I1376" s="412">
        <f>IF(AND(E1376&lt;&gt;"",G1376&lt;&gt;""),IF(D1376="",IF(G1376="OH",VLOOKUP(F1376,UPAH!$B$4:$H$101,7,0),VLOOKUP(F1376,#REF!,4,0)),0),0)</f>
        <v>0</v>
      </c>
      <c r="J1376" s="16">
        <f>H1376*I1376</f>
        <v>0</v>
      </c>
    </row>
    <row r="1377" spans="1:10" ht="13.5" thickBot="1">
      <c r="A1377" s="27"/>
      <c r="B1377" s="110"/>
      <c r="D1377" s="417"/>
      <c r="E1377" s="418"/>
      <c r="F1377" s="418"/>
      <c r="G1377" s="419"/>
      <c r="H1377" s="420" t="s">
        <v>52</v>
      </c>
      <c r="I1377" s="421"/>
      <c r="J1377" s="396">
        <f>SUM(J1373:J1376)</f>
        <v>0</v>
      </c>
    </row>
    <row r="1378" spans="1:10" ht="13">
      <c r="A1378" s="27"/>
      <c r="B1378" s="110"/>
      <c r="D1378" s="406" t="s">
        <v>53</v>
      </c>
      <c r="E1378" s="13" t="s">
        <v>54</v>
      </c>
      <c r="F1378" s="14"/>
      <c r="G1378" s="15"/>
      <c r="H1378" s="451"/>
      <c r="I1378" s="412"/>
      <c r="J1378" s="16"/>
    </row>
    <row r="1379" spans="1:10" ht="13">
      <c r="A1379" s="27"/>
      <c r="B1379" s="110"/>
      <c r="D1379" s="409"/>
      <c r="E1379" s="13" t="s">
        <v>120</v>
      </c>
      <c r="F1379" s="14"/>
      <c r="G1379" s="410" t="s">
        <v>375</v>
      </c>
      <c r="H1379" s="411">
        <v>0.03</v>
      </c>
      <c r="I1379" s="412">
        <f>'BAHAN '!G200</f>
        <v>0</v>
      </c>
      <c r="J1379" s="16">
        <f t="shared" ref="J1379:J1384" si="12">H1379*I1379</f>
        <v>0</v>
      </c>
    </row>
    <row r="1380" spans="1:10" ht="13">
      <c r="A1380" s="27"/>
      <c r="B1380" s="110"/>
      <c r="D1380" s="409"/>
      <c r="E1380" s="13" t="s">
        <v>617</v>
      </c>
      <c r="F1380" s="14"/>
      <c r="G1380" s="410" t="s">
        <v>93</v>
      </c>
      <c r="H1380" s="411">
        <v>0.4</v>
      </c>
      <c r="I1380" s="412">
        <f>'BAHAN '!G127</f>
        <v>0</v>
      </c>
      <c r="J1380" s="16">
        <f t="shared" si="12"/>
        <v>0</v>
      </c>
    </row>
    <row r="1381" spans="1:10" ht="13">
      <c r="A1381" s="27"/>
      <c r="B1381" s="110"/>
      <c r="D1381" s="409"/>
      <c r="E1381" s="13" t="s">
        <v>122</v>
      </c>
      <c r="F1381" s="14"/>
      <c r="G1381" s="410" t="s">
        <v>63</v>
      </c>
      <c r="H1381" s="411">
        <v>0.15</v>
      </c>
      <c r="I1381" s="412">
        <f>'BAHAN '!G54</f>
        <v>0</v>
      </c>
      <c r="J1381" s="16">
        <f t="shared" si="12"/>
        <v>0</v>
      </c>
    </row>
    <row r="1382" spans="1:10" ht="13">
      <c r="A1382" s="27"/>
      <c r="B1382" s="110"/>
      <c r="D1382" s="409"/>
      <c r="E1382" s="13" t="s">
        <v>123</v>
      </c>
      <c r="F1382" s="14"/>
      <c r="G1382" s="410" t="s">
        <v>375</v>
      </c>
      <c r="H1382" s="411">
        <v>1.4999999999999999E-2</v>
      </c>
      <c r="I1382" s="412">
        <f>+I1359</f>
        <v>0</v>
      </c>
      <c r="J1382" s="16">
        <f t="shared" si="12"/>
        <v>0</v>
      </c>
    </row>
    <row r="1383" spans="1:10" ht="13">
      <c r="A1383" s="27"/>
      <c r="B1383" s="110"/>
      <c r="D1383" s="409"/>
      <c r="E1383" s="13" t="s">
        <v>487</v>
      </c>
      <c r="F1383" s="14"/>
      <c r="G1383" s="410" t="s">
        <v>74</v>
      </c>
      <c r="H1383" s="411">
        <v>0.35</v>
      </c>
      <c r="I1383" s="412">
        <f>'BAHAN '!G809</f>
        <v>0</v>
      </c>
      <c r="J1383" s="16">
        <f t="shared" si="12"/>
        <v>0</v>
      </c>
    </row>
    <row r="1384" spans="1:10" ht="13.5" thickBot="1">
      <c r="A1384" s="27"/>
      <c r="B1384" s="110"/>
      <c r="D1384" s="459"/>
      <c r="E1384" s="460" t="s">
        <v>471</v>
      </c>
      <c r="F1384" s="461"/>
      <c r="G1384" s="462" t="s">
        <v>55</v>
      </c>
      <c r="H1384" s="463">
        <v>2</v>
      </c>
      <c r="I1384" s="464">
        <f>'BAHAN '!G794</f>
        <v>0</v>
      </c>
      <c r="J1384" s="465">
        <f t="shared" si="12"/>
        <v>0</v>
      </c>
    </row>
    <row r="1385" spans="1:10" ht="13.5" thickBot="1">
      <c r="A1385" s="27"/>
      <c r="B1385" s="110"/>
      <c r="D1385" s="417"/>
      <c r="E1385" s="418"/>
      <c r="F1385" s="418"/>
      <c r="G1385" s="419"/>
      <c r="H1385" s="420" t="s">
        <v>64</v>
      </c>
      <c r="I1385" s="421"/>
      <c r="J1385" s="396">
        <f>SUM(J1379:J1384)</f>
        <v>0</v>
      </c>
    </row>
    <row r="1386" spans="1:10" ht="13.5" thickBot="1">
      <c r="A1386" s="27"/>
      <c r="B1386" s="110"/>
      <c r="D1386" s="406" t="s">
        <v>65</v>
      </c>
      <c r="E1386" s="13" t="s">
        <v>66</v>
      </c>
      <c r="F1386" s="14"/>
      <c r="G1386" s="15"/>
      <c r="H1386" s="451"/>
      <c r="I1386" s="412">
        <f>IF(AND(E1386&lt;&gt;"",G1386&lt;&gt;""),IF(D1386="",IF(G1386="OH",VLOOKUP(E1386,UPAH!$C$4:$H$31,7,0),VLOOKUP(E1386,#REF!,4,0)),0),0)</f>
        <v>0</v>
      </c>
      <c r="J1386" s="16">
        <f>H1386*I1386</f>
        <v>0</v>
      </c>
    </row>
    <row r="1387" spans="1:10" ht="13.5" thickBot="1">
      <c r="A1387" s="27"/>
      <c r="B1387" s="110"/>
      <c r="D1387" s="417"/>
      <c r="E1387" s="418"/>
      <c r="F1387" s="418"/>
      <c r="G1387" s="419"/>
      <c r="H1387" s="420" t="s">
        <v>67</v>
      </c>
      <c r="I1387" s="421"/>
      <c r="J1387" s="396">
        <f>J1386</f>
        <v>0</v>
      </c>
    </row>
    <row r="1388" spans="1:10" ht="13">
      <c r="A1388" s="27"/>
      <c r="B1388" s="110"/>
      <c r="D1388" s="444" t="s">
        <v>68</v>
      </c>
      <c r="E1388" s="445" t="s">
        <v>69</v>
      </c>
      <c r="F1388" s="446"/>
      <c r="G1388" s="447"/>
      <c r="H1388" s="448"/>
      <c r="I1388" s="449">
        <f>IF(AND(E1388&lt;&gt;"",G1388&lt;&gt;""),IF(D1388="",IF(G1388="OH",VLOOKUP(E1388,UPAH!$C$4:$H$31,7,0),VLOOKUP(E1388,#REF!,4,0)),0),0)</f>
        <v>0</v>
      </c>
      <c r="J1388" s="16">
        <f>SUM(J1373:J1387)/2</f>
        <v>0</v>
      </c>
    </row>
    <row r="1389" spans="1:10" ht="13.5" thickBot="1">
      <c r="A1389" s="27"/>
      <c r="B1389" s="110"/>
      <c r="D1389" s="431" t="s">
        <v>70</v>
      </c>
      <c r="E1389" s="432" t="s">
        <v>477</v>
      </c>
      <c r="F1389" s="433"/>
      <c r="G1389" s="434"/>
      <c r="H1389" s="22">
        <v>0.1</v>
      </c>
      <c r="I1389" s="436"/>
      <c r="J1389" s="430">
        <f>H1389*J1388</f>
        <v>0</v>
      </c>
    </row>
    <row r="1390" spans="1:10" ht="13.5" thickBot="1">
      <c r="A1390" s="27"/>
      <c r="B1390" s="110"/>
      <c r="D1390" s="401" t="s">
        <v>71</v>
      </c>
      <c r="E1390" s="402" t="s">
        <v>72</v>
      </c>
      <c r="F1390" s="418"/>
      <c r="G1390" s="419"/>
      <c r="H1390" s="442"/>
      <c r="I1390" s="421">
        <f>IF(AND(E1390&lt;&gt;"",G1390&lt;&gt;""),IF(D1390="",IF(G1390="OH",VLOOKUP(E1390,UPAH!$C$4:$H$31,7,0),VLOOKUP(E1390,#REF!,4,0)),0),0)</f>
        <v>0</v>
      </c>
      <c r="J1390" s="396">
        <f>ROUNDDOWN(J1388+J1389,0)</f>
        <v>0</v>
      </c>
    </row>
    <row r="1391" spans="1:10" ht="13">
      <c r="A1391" s="27"/>
      <c r="B1391" s="110"/>
      <c r="D1391" s="11"/>
      <c r="E1391" s="11"/>
      <c r="H1391" s="443"/>
      <c r="I1391" s="17"/>
      <c r="J1391" s="18"/>
    </row>
    <row r="1392" spans="1:10" ht="13.5" thickBot="1">
      <c r="A1392" s="27"/>
      <c r="B1392" s="110"/>
      <c r="C1392" s="11" t="s">
        <v>637</v>
      </c>
      <c r="D1392" s="10" t="s">
        <v>638</v>
      </c>
      <c r="H1392" s="443"/>
    </row>
    <row r="1393" spans="1:10" ht="13.5" thickBot="1">
      <c r="A1393" s="27"/>
      <c r="B1393" s="110"/>
      <c r="D1393" s="401" t="s">
        <v>40</v>
      </c>
      <c r="E1393" s="402" t="s">
        <v>41</v>
      </c>
      <c r="F1393" s="402" t="s">
        <v>42</v>
      </c>
      <c r="G1393" s="403" t="s">
        <v>43</v>
      </c>
      <c r="H1393" s="404" t="s">
        <v>44</v>
      </c>
      <c r="I1393" s="402" t="s">
        <v>474</v>
      </c>
      <c r="J1393" s="405" t="s">
        <v>475</v>
      </c>
    </row>
    <row r="1394" spans="1:10" ht="13">
      <c r="A1394" s="27"/>
      <c r="B1394" s="110"/>
      <c r="D1394" s="406" t="s">
        <v>45</v>
      </c>
      <c r="E1394" s="13" t="s">
        <v>46</v>
      </c>
      <c r="F1394" s="14"/>
      <c r="G1394" s="15"/>
      <c r="H1394" s="451"/>
      <c r="I1394" s="412"/>
      <c r="J1394" s="16"/>
    </row>
    <row r="1395" spans="1:10" ht="13">
      <c r="A1395" s="27"/>
      <c r="B1395" s="110"/>
      <c r="D1395" s="409"/>
      <c r="E1395" s="13" t="s">
        <v>47</v>
      </c>
      <c r="F1395" s="13" t="s">
        <v>1918</v>
      </c>
      <c r="G1395" s="410" t="s">
        <v>48</v>
      </c>
      <c r="H1395" s="411">
        <v>0.15</v>
      </c>
      <c r="I1395" s="412">
        <f>IF(AND(E1395&lt;&gt;"",G1395&lt;&gt;""),IF(D1395="",IF(G1395="OH",VLOOKUP(F1395,UPAH!$B$4:$H$101,7,0),VLOOKUP(F1395,#REF!,4,0)),0),0)</f>
        <v>0</v>
      </c>
      <c r="J1395" s="16">
        <f>H1395*I1395</f>
        <v>0</v>
      </c>
    </row>
    <row r="1396" spans="1:10" ht="13">
      <c r="A1396" s="27"/>
      <c r="B1396" s="110"/>
      <c r="D1396" s="409"/>
      <c r="E1396" s="13" t="s">
        <v>476</v>
      </c>
      <c r="F1396" s="13" t="s">
        <v>1922</v>
      </c>
      <c r="G1396" s="410" t="s">
        <v>48</v>
      </c>
      <c r="H1396" s="411">
        <v>0.05</v>
      </c>
      <c r="I1396" s="412">
        <f>IF(AND(E1396&lt;&gt;"",G1396&lt;&gt;""),IF(D1396="",IF(G1396="OH",VLOOKUP(F1396,UPAH!$B$4:$H$101,7,0),VLOOKUP(F1396,#REF!,4,0)),0),0)</f>
        <v>0</v>
      </c>
      <c r="J1396" s="16">
        <f>H1396*I1396</f>
        <v>0</v>
      </c>
    </row>
    <row r="1397" spans="1:10" ht="13">
      <c r="A1397" s="27"/>
      <c r="B1397" s="110"/>
      <c r="D1397" s="409"/>
      <c r="E1397" s="13" t="s">
        <v>97</v>
      </c>
      <c r="F1397" s="13" t="s">
        <v>1928</v>
      </c>
      <c r="G1397" s="410" t="s">
        <v>48</v>
      </c>
      <c r="H1397" s="411">
        <v>5.0000000000000001E-3</v>
      </c>
      <c r="I1397" s="412">
        <f>IF(AND(E1397&lt;&gt;"",G1397&lt;&gt;""),IF(D1397="",IF(G1397="OH",VLOOKUP(F1397,UPAH!$B$4:$H$101,7,0),VLOOKUP(F1397,#REF!,4,0)),0),0)</f>
        <v>0</v>
      </c>
      <c r="J1397" s="16">
        <f>H1397*I1397</f>
        <v>0</v>
      </c>
    </row>
    <row r="1398" spans="1:10" ht="13.5" thickBot="1">
      <c r="A1398" s="27"/>
      <c r="B1398" s="110"/>
      <c r="D1398" s="409"/>
      <c r="E1398" s="13" t="s">
        <v>51</v>
      </c>
      <c r="F1398" s="13" t="s">
        <v>1929</v>
      </c>
      <c r="G1398" s="410" t="s">
        <v>48</v>
      </c>
      <c r="H1398" s="411">
        <v>8.0000000000000002E-3</v>
      </c>
      <c r="I1398" s="412">
        <f>IF(AND(E1398&lt;&gt;"",G1398&lt;&gt;""),IF(D1398="",IF(G1398="OH",VLOOKUP(F1398,UPAH!$B$4:$H$101,7,0),VLOOKUP(F1398,#REF!,4,0)),0),0)</f>
        <v>0</v>
      </c>
      <c r="J1398" s="16">
        <f>H1398*I1398</f>
        <v>0</v>
      </c>
    </row>
    <row r="1399" spans="1:10" ht="13.5" thickBot="1">
      <c r="A1399" s="27"/>
      <c r="B1399" s="110"/>
      <c r="D1399" s="417"/>
      <c r="E1399" s="418"/>
      <c r="F1399" s="418"/>
      <c r="G1399" s="419"/>
      <c r="H1399" s="420" t="s">
        <v>52</v>
      </c>
      <c r="I1399" s="421"/>
      <c r="J1399" s="396">
        <f>SUM(J1395:J1398)</f>
        <v>0</v>
      </c>
    </row>
    <row r="1400" spans="1:10" ht="13">
      <c r="A1400" s="27"/>
      <c r="B1400" s="110"/>
      <c r="D1400" s="406" t="s">
        <v>53</v>
      </c>
      <c r="E1400" s="13" t="s">
        <v>54</v>
      </c>
      <c r="F1400" s="14"/>
      <c r="G1400" s="15"/>
      <c r="H1400" s="451"/>
      <c r="I1400" s="412"/>
      <c r="J1400" s="16"/>
    </row>
    <row r="1401" spans="1:10" ht="13">
      <c r="A1401" s="27"/>
      <c r="B1401" s="110"/>
      <c r="D1401" s="409"/>
      <c r="E1401" s="13" t="s">
        <v>125</v>
      </c>
      <c r="F1401" s="14"/>
      <c r="G1401" s="410" t="s">
        <v>375</v>
      </c>
      <c r="H1401" s="411">
        <v>2.64E-2</v>
      </c>
      <c r="I1401" s="412">
        <f>'BAHAN '!G200</f>
        <v>0</v>
      </c>
      <c r="J1401" s="16">
        <f>H1401*I1401</f>
        <v>0</v>
      </c>
    </row>
    <row r="1402" spans="1:10" ht="13">
      <c r="A1402" s="27"/>
      <c r="B1402" s="110"/>
      <c r="D1402" s="409"/>
      <c r="E1402" s="13" t="s">
        <v>617</v>
      </c>
      <c r="F1402" s="14"/>
      <c r="G1402" s="410" t="s">
        <v>93</v>
      </c>
      <c r="H1402" s="411">
        <v>0.6</v>
      </c>
      <c r="I1402" s="412">
        <f>'BAHAN '!G127</f>
        <v>0</v>
      </c>
      <c r="J1402" s="16">
        <f>H1402*I1402</f>
        <v>0</v>
      </c>
    </row>
    <row r="1403" spans="1:10" ht="13.5" thickBot="1">
      <c r="A1403" s="27"/>
      <c r="B1403" s="110"/>
      <c r="D1403" s="409"/>
      <c r="E1403" s="13" t="s">
        <v>471</v>
      </c>
      <c r="F1403" s="14"/>
      <c r="G1403" s="410" t="s">
        <v>55</v>
      </c>
      <c r="H1403" s="411">
        <v>0.5</v>
      </c>
      <c r="I1403" s="464">
        <f>'BAHAN '!G794</f>
        <v>0</v>
      </c>
      <c r="J1403" s="16">
        <f>H1403*I1403</f>
        <v>0</v>
      </c>
    </row>
    <row r="1404" spans="1:10" ht="13.5" thickBot="1">
      <c r="A1404" s="27"/>
      <c r="B1404" s="110"/>
      <c r="D1404" s="417"/>
      <c r="E1404" s="418"/>
      <c r="F1404" s="418"/>
      <c r="G1404" s="419"/>
      <c r="H1404" s="420" t="s">
        <v>64</v>
      </c>
      <c r="I1404" s="421"/>
      <c r="J1404" s="396">
        <f>SUM(J1401:J1403)</f>
        <v>0</v>
      </c>
    </row>
    <row r="1405" spans="1:10" ht="13.5" thickBot="1">
      <c r="A1405" s="27"/>
      <c r="B1405" s="110"/>
      <c r="D1405" s="406" t="s">
        <v>65</v>
      </c>
      <c r="E1405" s="13" t="s">
        <v>66</v>
      </c>
      <c r="F1405" s="14"/>
      <c r="G1405" s="15"/>
      <c r="H1405" s="451"/>
      <c r="I1405" s="412">
        <f>IF(AND(E1405&lt;&gt;"",G1405&lt;&gt;""),IF(D1405="",IF(G1405="OH",VLOOKUP(E1405,UPAH!$C$4:$H$31,7,0),VLOOKUP(E1405,#REF!,4,0)),0),0)</f>
        <v>0</v>
      </c>
      <c r="J1405" s="16">
        <f>H1405*I1405</f>
        <v>0</v>
      </c>
    </row>
    <row r="1406" spans="1:10" ht="13.5" thickBot="1">
      <c r="A1406" s="27"/>
      <c r="B1406" s="110"/>
      <c r="D1406" s="417"/>
      <c r="E1406" s="418"/>
      <c r="F1406" s="418"/>
      <c r="G1406" s="419"/>
      <c r="H1406" s="420" t="s">
        <v>67</v>
      </c>
      <c r="I1406" s="421"/>
      <c r="J1406" s="396">
        <f>J1405</f>
        <v>0</v>
      </c>
    </row>
    <row r="1407" spans="1:10" ht="13">
      <c r="A1407" s="27"/>
      <c r="B1407" s="110"/>
      <c r="D1407" s="444" t="s">
        <v>68</v>
      </c>
      <c r="E1407" s="445" t="s">
        <v>69</v>
      </c>
      <c r="F1407" s="446"/>
      <c r="G1407" s="447"/>
      <c r="H1407" s="448"/>
      <c r="I1407" s="449">
        <f>IF(AND(E1407&lt;&gt;"",G1407&lt;&gt;""),IF(D1407="",IF(G1407="OH",VLOOKUP(E1407,UPAH!$C$4:$H$31,7,0),VLOOKUP(E1407,#REF!,4,0)),0),0)</f>
        <v>0</v>
      </c>
      <c r="J1407" s="16">
        <f>SUM(J1395:J1406)/2</f>
        <v>0</v>
      </c>
    </row>
    <row r="1408" spans="1:10" ht="13.5" thickBot="1">
      <c r="A1408" s="27"/>
      <c r="B1408" s="110"/>
      <c r="D1408" s="431" t="s">
        <v>70</v>
      </c>
      <c r="E1408" s="432" t="s">
        <v>477</v>
      </c>
      <c r="F1408" s="433"/>
      <c r="G1408" s="434"/>
      <c r="H1408" s="22">
        <v>0.1</v>
      </c>
      <c r="I1408" s="436"/>
      <c r="J1408" s="430">
        <f>H1408*J1407</f>
        <v>0</v>
      </c>
    </row>
    <row r="1409" spans="1:10" ht="13.5" thickBot="1">
      <c r="A1409" s="27"/>
      <c r="B1409" s="110"/>
      <c r="D1409" s="401" t="s">
        <v>71</v>
      </c>
      <c r="E1409" s="402" t="s">
        <v>72</v>
      </c>
      <c r="F1409" s="418"/>
      <c r="G1409" s="419"/>
      <c r="H1409" s="442"/>
      <c r="I1409" s="421">
        <f>IF(AND(E1409&lt;&gt;"",G1409&lt;&gt;""),IF(D1409="",IF(G1409="OH",VLOOKUP(E1409,UPAH!$C$4:$H$31,7,0),VLOOKUP(E1409,#REF!,4,0)),0),0)</f>
        <v>0</v>
      </c>
      <c r="J1409" s="396">
        <f>ROUNDDOWN(J1407+J1408,0)</f>
        <v>0</v>
      </c>
    </row>
    <row r="1410" spans="1:10" ht="13">
      <c r="A1410" s="27"/>
      <c r="B1410" s="110"/>
      <c r="D1410" s="11"/>
      <c r="E1410" s="11"/>
      <c r="H1410" s="443"/>
      <c r="I1410" s="17"/>
      <c r="J1410" s="18"/>
    </row>
    <row r="1411" spans="1:10" ht="13.5" thickBot="1">
      <c r="A1411" s="27"/>
      <c r="B1411" s="110"/>
      <c r="C1411" s="11" t="s">
        <v>639</v>
      </c>
      <c r="D1411" s="10" t="s">
        <v>640</v>
      </c>
      <c r="H1411" s="443"/>
    </row>
    <row r="1412" spans="1:10" ht="13.5" thickBot="1">
      <c r="A1412" s="27"/>
      <c r="B1412" s="110"/>
      <c r="D1412" s="401" t="s">
        <v>40</v>
      </c>
      <c r="E1412" s="402" t="s">
        <v>41</v>
      </c>
      <c r="F1412" s="402" t="s">
        <v>42</v>
      </c>
      <c r="G1412" s="403" t="s">
        <v>43</v>
      </c>
      <c r="H1412" s="404" t="s">
        <v>44</v>
      </c>
      <c r="I1412" s="402" t="s">
        <v>474</v>
      </c>
      <c r="J1412" s="405" t="s">
        <v>475</v>
      </c>
    </row>
    <row r="1413" spans="1:10" ht="13">
      <c r="A1413" s="27"/>
      <c r="B1413" s="110"/>
      <c r="D1413" s="406" t="s">
        <v>45</v>
      </c>
      <c r="E1413" s="13" t="s">
        <v>46</v>
      </c>
      <c r="F1413" s="14"/>
      <c r="G1413" s="15"/>
      <c r="H1413" s="451"/>
      <c r="I1413" s="412"/>
      <c r="J1413" s="16"/>
    </row>
    <row r="1414" spans="1:10" ht="13">
      <c r="A1414" s="27"/>
      <c r="B1414" s="110"/>
      <c r="D1414" s="409"/>
      <c r="E1414" s="13" t="s">
        <v>47</v>
      </c>
      <c r="F1414" s="13" t="s">
        <v>1918</v>
      </c>
      <c r="G1414" s="410" t="s">
        <v>48</v>
      </c>
      <c r="H1414" s="411">
        <v>5.3</v>
      </c>
      <c r="I1414" s="412">
        <f>IF(AND(E1414&lt;&gt;"",G1414&lt;&gt;""),IF(D1414="",IF(G1414="OH",VLOOKUP(F1414,UPAH!$B$4:$H$101,7,0),VLOOKUP(F1414,#REF!,4,0)),0),0)</f>
        <v>0</v>
      </c>
      <c r="J1414" s="16">
        <f t="shared" ref="J1414:J1419" si="13">H1414*I1414</f>
        <v>0</v>
      </c>
    </row>
    <row r="1415" spans="1:10" ht="13">
      <c r="A1415" s="27"/>
      <c r="B1415" s="110"/>
      <c r="D1415" s="409"/>
      <c r="E1415" s="13" t="s">
        <v>81</v>
      </c>
      <c r="F1415" s="13" t="s">
        <v>1921</v>
      </c>
      <c r="G1415" s="410" t="s">
        <v>48</v>
      </c>
      <c r="H1415" s="411">
        <v>0.27500000000000002</v>
      </c>
      <c r="I1415" s="412">
        <f>IF(AND(E1415&lt;&gt;"",G1415&lt;&gt;""),IF(D1415="",IF(G1415="OH",VLOOKUP(F1415,UPAH!$B$4:$H$101,7,0),VLOOKUP(F1415,#REF!,4,0)),0),0)</f>
        <v>0</v>
      </c>
      <c r="J1415" s="16">
        <f t="shared" si="13"/>
        <v>0</v>
      </c>
    </row>
    <row r="1416" spans="1:10" ht="13">
      <c r="A1416" s="27"/>
      <c r="B1416" s="110"/>
      <c r="D1416" s="409"/>
      <c r="E1416" s="13" t="s">
        <v>49</v>
      </c>
      <c r="F1416" s="13" t="s">
        <v>1922</v>
      </c>
      <c r="G1416" s="410" t="s">
        <v>48</v>
      </c>
      <c r="H1416" s="411">
        <v>1.3</v>
      </c>
      <c r="I1416" s="412">
        <f>IF(AND(E1416&lt;&gt;"",G1416&lt;&gt;""),IF(D1416="",IF(G1416="OH",VLOOKUP(F1416,UPAH!$B$4:$H$101,7,0),VLOOKUP(F1416,#REF!,4,0)),0),0)</f>
        <v>0</v>
      </c>
      <c r="J1416" s="16">
        <f t="shared" si="13"/>
        <v>0</v>
      </c>
    </row>
    <row r="1417" spans="1:10" ht="13">
      <c r="A1417" s="27"/>
      <c r="B1417" s="110"/>
      <c r="D1417" s="409"/>
      <c r="E1417" s="13" t="s">
        <v>117</v>
      </c>
      <c r="F1417" s="13" t="s">
        <v>1923</v>
      </c>
      <c r="G1417" s="410" t="s">
        <v>48</v>
      </c>
      <c r="H1417" s="411">
        <v>1.05</v>
      </c>
      <c r="I1417" s="412">
        <f>IF(AND(E1417&lt;&gt;"",G1417&lt;&gt;""),IF(D1417="",IF(G1417="OH",VLOOKUP(F1417,UPAH!$B$4:$H$101,7,0),VLOOKUP(F1417,#REF!,4,0)),0),0)</f>
        <v>0</v>
      </c>
      <c r="J1417" s="16">
        <f t="shared" si="13"/>
        <v>0</v>
      </c>
    </row>
    <row r="1418" spans="1:10" ht="13">
      <c r="A1418" s="27"/>
      <c r="B1418" s="110"/>
      <c r="D1418" s="409"/>
      <c r="E1418" s="13" t="s">
        <v>50</v>
      </c>
      <c r="F1418" s="13" t="s">
        <v>1928</v>
      </c>
      <c r="G1418" s="410" t="s">
        <v>48</v>
      </c>
      <c r="H1418" s="411">
        <v>0.26200000000000001</v>
      </c>
      <c r="I1418" s="412">
        <f>IF(AND(E1418&lt;&gt;"",G1418&lt;&gt;""),IF(D1418="",IF(G1418="OH",VLOOKUP(F1418,UPAH!$B$4:$H$101,7,0),VLOOKUP(F1418,#REF!,4,0)),0),0)</f>
        <v>0</v>
      </c>
      <c r="J1418" s="16">
        <f t="shared" si="13"/>
        <v>0</v>
      </c>
    </row>
    <row r="1419" spans="1:10" ht="13.5" thickBot="1">
      <c r="A1419" s="27"/>
      <c r="B1419" s="110"/>
      <c r="D1419" s="409"/>
      <c r="E1419" s="13" t="s">
        <v>51</v>
      </c>
      <c r="F1419" s="13" t="s">
        <v>1929</v>
      </c>
      <c r="G1419" s="410" t="s">
        <v>48</v>
      </c>
      <c r="H1419" s="411">
        <v>0.26500000000000001</v>
      </c>
      <c r="I1419" s="412">
        <f>IF(AND(E1419&lt;&gt;"",G1419&lt;&gt;""),IF(D1419="",IF(G1419="OH",VLOOKUP(F1419,UPAH!$B$4:$H$101,7,0),VLOOKUP(F1419,#REF!,4,0)),0),0)</f>
        <v>0</v>
      </c>
      <c r="J1419" s="16">
        <f t="shared" si="13"/>
        <v>0</v>
      </c>
    </row>
    <row r="1420" spans="1:10" ht="13.5" thickBot="1">
      <c r="A1420" s="27"/>
      <c r="B1420" s="110"/>
      <c r="D1420" s="417"/>
      <c r="E1420" s="418"/>
      <c r="F1420" s="418"/>
      <c r="G1420" s="419"/>
      <c r="H1420" s="420" t="s">
        <v>52</v>
      </c>
      <c r="I1420" s="421"/>
      <c r="J1420" s="396">
        <f>SUM(J1414:J1419)</f>
        <v>0</v>
      </c>
    </row>
    <row r="1421" spans="1:10" ht="13">
      <c r="A1421" s="27"/>
      <c r="B1421" s="110"/>
      <c r="D1421" s="406" t="s">
        <v>53</v>
      </c>
      <c r="E1421" s="13" t="s">
        <v>54</v>
      </c>
      <c r="F1421" s="14"/>
      <c r="G1421" s="15"/>
      <c r="H1421" s="451"/>
      <c r="I1421" s="412"/>
      <c r="J1421" s="16"/>
    </row>
    <row r="1422" spans="1:10" ht="13">
      <c r="A1422" s="27"/>
      <c r="B1422" s="110"/>
      <c r="D1422" s="409"/>
      <c r="E1422" s="13" t="s">
        <v>120</v>
      </c>
      <c r="F1422" s="14"/>
      <c r="G1422" s="410" t="s">
        <v>375</v>
      </c>
      <c r="H1422" s="411">
        <v>0.2</v>
      </c>
      <c r="I1422" s="412">
        <f>'BAHAN '!G200</f>
        <v>0</v>
      </c>
      <c r="J1422" s="16">
        <f t="shared" ref="J1422:J1429" si="14">H1422*I1422</f>
        <v>0</v>
      </c>
    </row>
    <row r="1423" spans="1:10" ht="13">
      <c r="A1423" s="27"/>
      <c r="B1423" s="110"/>
      <c r="D1423" s="409"/>
      <c r="E1423" s="13" t="s">
        <v>486</v>
      </c>
      <c r="F1423" s="14"/>
      <c r="G1423" s="410" t="s">
        <v>93</v>
      </c>
      <c r="H1423" s="411">
        <v>1.5</v>
      </c>
      <c r="I1423" s="412">
        <f>'BAHAN '!G127</f>
        <v>0</v>
      </c>
      <c r="J1423" s="16">
        <f t="shared" si="14"/>
        <v>0</v>
      </c>
    </row>
    <row r="1424" spans="1:10" ht="13">
      <c r="A1424" s="27"/>
      <c r="B1424" s="110"/>
      <c r="D1424" s="409"/>
      <c r="E1424" s="13" t="s">
        <v>122</v>
      </c>
      <c r="F1424" s="14"/>
      <c r="G1424" s="410" t="s">
        <v>63</v>
      </c>
      <c r="H1424" s="411">
        <v>0.4</v>
      </c>
      <c r="I1424" s="412">
        <f>'BAHAN '!G54</f>
        <v>0</v>
      </c>
      <c r="J1424" s="16">
        <f t="shared" si="14"/>
        <v>0</v>
      </c>
    </row>
    <row r="1425" spans="1:10" ht="13">
      <c r="A1425" s="27"/>
      <c r="B1425" s="110"/>
      <c r="D1425" s="409"/>
      <c r="E1425" s="13" t="s">
        <v>118</v>
      </c>
      <c r="F1425" s="14"/>
      <c r="G1425" s="410" t="s">
        <v>93</v>
      </c>
      <c r="H1425" s="411">
        <v>157.5</v>
      </c>
      <c r="I1425" s="412">
        <v>0</v>
      </c>
      <c r="J1425" s="16">
        <f t="shared" si="14"/>
        <v>0</v>
      </c>
    </row>
    <row r="1426" spans="1:10" ht="13">
      <c r="A1426" s="27"/>
      <c r="B1426" s="110"/>
      <c r="D1426" s="409"/>
      <c r="E1426" s="13" t="s">
        <v>107</v>
      </c>
      <c r="F1426" s="14"/>
      <c r="G1426" s="410" t="s">
        <v>93</v>
      </c>
      <c r="H1426" s="411">
        <v>2.25</v>
      </c>
      <c r="I1426" s="412">
        <f>'BAHAN '!G116</f>
        <v>0</v>
      </c>
      <c r="J1426" s="16">
        <f t="shared" si="14"/>
        <v>0</v>
      </c>
    </row>
    <row r="1427" spans="1:10" ht="13">
      <c r="A1427" s="27"/>
      <c r="B1427" s="110"/>
      <c r="D1427" s="409"/>
      <c r="E1427" s="13" t="s">
        <v>56</v>
      </c>
      <c r="F1427" s="14"/>
      <c r="G1427" s="410" t="s">
        <v>93</v>
      </c>
      <c r="H1427" s="411">
        <v>336</v>
      </c>
      <c r="I1427" s="412">
        <f>'BAHAN '!G72</f>
        <v>0</v>
      </c>
      <c r="J1427" s="16">
        <f t="shared" si="14"/>
        <v>0</v>
      </c>
    </row>
    <row r="1428" spans="1:10" ht="13">
      <c r="A1428" s="27"/>
      <c r="B1428" s="110"/>
      <c r="D1428" s="409"/>
      <c r="E1428" s="13" t="s">
        <v>126</v>
      </c>
      <c r="F1428" s="14"/>
      <c r="G1428" s="410" t="s">
        <v>375</v>
      </c>
      <c r="H1428" s="411">
        <v>0.54</v>
      </c>
      <c r="I1428" s="412">
        <f>'BAHAN '!G59</f>
        <v>0</v>
      </c>
      <c r="J1428" s="16">
        <f t="shared" si="14"/>
        <v>0</v>
      </c>
    </row>
    <row r="1429" spans="1:10" ht="13.5" thickBot="1">
      <c r="A1429" s="27"/>
      <c r="B1429" s="110"/>
      <c r="D1429" s="409"/>
      <c r="E1429" s="13" t="s">
        <v>106</v>
      </c>
      <c r="F1429" s="14"/>
      <c r="G1429" s="410" t="s">
        <v>375</v>
      </c>
      <c r="H1429" s="411">
        <v>0.81</v>
      </c>
      <c r="I1429" s="412">
        <f>'BAHAN '!G49</f>
        <v>0</v>
      </c>
      <c r="J1429" s="16">
        <f t="shared" si="14"/>
        <v>0</v>
      </c>
    </row>
    <row r="1430" spans="1:10" ht="13.5" thickBot="1">
      <c r="A1430" s="27"/>
      <c r="B1430" s="110"/>
      <c r="D1430" s="417"/>
      <c r="E1430" s="418"/>
      <c r="F1430" s="418"/>
      <c r="G1430" s="419"/>
      <c r="H1430" s="420" t="s">
        <v>64</v>
      </c>
      <c r="I1430" s="421"/>
      <c r="J1430" s="396">
        <f>SUM(J1422:J1429)</f>
        <v>0</v>
      </c>
    </row>
    <row r="1431" spans="1:10" ht="13.5" thickBot="1">
      <c r="A1431" s="27"/>
      <c r="B1431" s="110"/>
      <c r="D1431" s="406" t="s">
        <v>65</v>
      </c>
      <c r="E1431" s="13" t="s">
        <v>66</v>
      </c>
      <c r="F1431" s="14"/>
      <c r="G1431" s="15"/>
      <c r="H1431" s="451"/>
      <c r="I1431" s="412">
        <f>IF(AND(E1431&lt;&gt;"",G1431&lt;&gt;""),IF(D1431="",IF(G1431="OH",VLOOKUP(E1431,UPAH!$C$4:$H$31,7,0),VLOOKUP(E1431,#REF!,4,0)),0),0)</f>
        <v>0</v>
      </c>
      <c r="J1431" s="16">
        <f>H1431*I1431</f>
        <v>0</v>
      </c>
    </row>
    <row r="1432" spans="1:10" ht="13.5" thickBot="1">
      <c r="A1432" s="27"/>
      <c r="B1432" s="110"/>
      <c r="D1432" s="417"/>
      <c r="E1432" s="418"/>
      <c r="F1432" s="418"/>
      <c r="G1432" s="419"/>
      <c r="H1432" s="420" t="s">
        <v>67</v>
      </c>
      <c r="I1432" s="421"/>
      <c r="J1432" s="396">
        <f>J1431</f>
        <v>0</v>
      </c>
    </row>
    <row r="1433" spans="1:10" ht="13">
      <c r="A1433" s="27"/>
      <c r="B1433" s="110"/>
      <c r="D1433" s="444" t="s">
        <v>68</v>
      </c>
      <c r="E1433" s="445" t="s">
        <v>69</v>
      </c>
      <c r="F1433" s="446"/>
      <c r="G1433" s="447"/>
      <c r="H1433" s="448"/>
      <c r="I1433" s="449">
        <f>IF(AND(E1433&lt;&gt;"",G1433&lt;&gt;""),IF(D1433="",IF(G1433="OH",VLOOKUP(E1433,UPAH!$C$4:$H$31,7,0),VLOOKUP(E1433,#REF!,4,0)),0),0)</f>
        <v>0</v>
      </c>
      <c r="J1433" s="16">
        <f>SUM(J1413:J1432)/2</f>
        <v>0</v>
      </c>
    </row>
    <row r="1434" spans="1:10" ht="13.5" thickBot="1">
      <c r="A1434" s="27"/>
      <c r="B1434" s="110"/>
      <c r="D1434" s="431" t="s">
        <v>70</v>
      </c>
      <c r="E1434" s="432" t="s">
        <v>477</v>
      </c>
      <c r="F1434" s="433"/>
      <c r="G1434" s="434"/>
      <c r="H1434" s="22">
        <v>0.1</v>
      </c>
      <c r="I1434" s="436"/>
      <c r="J1434" s="430">
        <f>H1434*J1433</f>
        <v>0</v>
      </c>
    </row>
    <row r="1435" spans="1:10" ht="13.5" thickBot="1">
      <c r="A1435" s="27"/>
      <c r="B1435" s="110"/>
      <c r="D1435" s="401" t="s">
        <v>71</v>
      </c>
      <c r="E1435" s="402" t="s">
        <v>72</v>
      </c>
      <c r="F1435" s="418"/>
      <c r="G1435" s="419"/>
      <c r="H1435" s="442"/>
      <c r="I1435" s="421">
        <f>IF(AND(E1435&lt;&gt;"",G1435&lt;&gt;""),IF(D1435="",IF(G1435="OH",VLOOKUP(E1435,UPAH!$C$4:$H$31,7,0),VLOOKUP(E1435,#REF!,4,0)),0),0)</f>
        <v>0</v>
      </c>
      <c r="J1435" s="396">
        <f>ROUNDDOWN(J1433+J1434,0)</f>
        <v>0</v>
      </c>
    </row>
    <row r="1436" spans="1:10" ht="13">
      <c r="A1436" s="27"/>
      <c r="B1436" s="110"/>
      <c r="D1436" s="11"/>
      <c r="E1436" s="11"/>
      <c r="H1436" s="443"/>
      <c r="I1436" s="17"/>
      <c r="J1436" s="18"/>
    </row>
    <row r="1437" spans="1:10" ht="13.5" thickBot="1">
      <c r="A1437" s="27"/>
      <c r="B1437" s="110"/>
      <c r="C1437" s="11" t="s">
        <v>641</v>
      </c>
      <c r="D1437" s="10" t="s">
        <v>642</v>
      </c>
      <c r="H1437" s="443"/>
    </row>
    <row r="1438" spans="1:10" ht="13.5" thickBot="1">
      <c r="A1438" s="27"/>
      <c r="B1438" s="110"/>
      <c r="D1438" s="401" t="s">
        <v>40</v>
      </c>
      <c r="E1438" s="402" t="s">
        <v>41</v>
      </c>
      <c r="F1438" s="402" t="s">
        <v>42</v>
      </c>
      <c r="G1438" s="403" t="s">
        <v>43</v>
      </c>
      <c r="H1438" s="404" t="s">
        <v>44</v>
      </c>
      <c r="I1438" s="402" t="s">
        <v>474</v>
      </c>
      <c r="J1438" s="405" t="s">
        <v>475</v>
      </c>
    </row>
    <row r="1439" spans="1:10" ht="13">
      <c r="A1439" s="27"/>
      <c r="B1439" s="110"/>
      <c r="D1439" s="406" t="s">
        <v>45</v>
      </c>
      <c r="E1439" s="13" t="s">
        <v>46</v>
      </c>
      <c r="F1439" s="14"/>
      <c r="G1439" s="15"/>
      <c r="H1439" s="451"/>
      <c r="I1439" s="412"/>
      <c r="J1439" s="16"/>
    </row>
    <row r="1440" spans="1:10" ht="13">
      <c r="A1440" s="27"/>
      <c r="B1440" s="110"/>
      <c r="D1440" s="409"/>
      <c r="E1440" s="13" t="s">
        <v>47</v>
      </c>
      <c r="F1440" s="13" t="s">
        <v>1918</v>
      </c>
      <c r="G1440" s="410" t="s">
        <v>48</v>
      </c>
      <c r="H1440" s="411">
        <v>5.65</v>
      </c>
      <c r="I1440" s="412">
        <f>IF(AND(E1440&lt;&gt;"",G1440&lt;&gt;""),IF(D1440="",IF(G1440="OH",VLOOKUP(F1440,UPAH!$B$4:$H$101,7,0),VLOOKUP(F1440,#REF!,4,0)),0),0)</f>
        <v>0</v>
      </c>
      <c r="J1440" s="16">
        <f t="shared" ref="J1440:J1445" si="15">H1440*I1440</f>
        <v>0</v>
      </c>
    </row>
    <row r="1441" spans="1:10" ht="13">
      <c r="A1441" s="27"/>
      <c r="B1441" s="110"/>
      <c r="D1441" s="409"/>
      <c r="E1441" s="13" t="s">
        <v>81</v>
      </c>
      <c r="F1441" s="13" t="s">
        <v>1921</v>
      </c>
      <c r="G1441" s="410" t="s">
        <v>48</v>
      </c>
      <c r="H1441" s="411">
        <v>0.27500000000000002</v>
      </c>
      <c r="I1441" s="412">
        <f>IF(AND(E1441&lt;&gt;"",G1441&lt;&gt;""),IF(D1441="",IF(G1441="OH",VLOOKUP(F1441,UPAH!$B$4:$H$101,7,0),VLOOKUP(F1441,#REF!,4,0)),0),0)</f>
        <v>0</v>
      </c>
      <c r="J1441" s="16">
        <f t="shared" si="15"/>
        <v>0</v>
      </c>
    </row>
    <row r="1442" spans="1:10" ht="13">
      <c r="A1442" s="27"/>
      <c r="B1442" s="110"/>
      <c r="D1442" s="409"/>
      <c r="E1442" s="13" t="s">
        <v>49</v>
      </c>
      <c r="F1442" s="13" t="s">
        <v>1922</v>
      </c>
      <c r="G1442" s="410" t="s">
        <v>48</v>
      </c>
      <c r="H1442" s="411">
        <v>1.56</v>
      </c>
      <c r="I1442" s="412">
        <f>IF(AND(E1442&lt;&gt;"",G1442&lt;&gt;""),IF(D1442="",IF(G1442="OH",VLOOKUP(F1442,UPAH!$B$4:$H$101,7,0),VLOOKUP(F1442,#REF!,4,0)),0),0)</f>
        <v>0</v>
      </c>
      <c r="J1442" s="16">
        <f t="shared" si="15"/>
        <v>0</v>
      </c>
    </row>
    <row r="1443" spans="1:10" ht="13">
      <c r="A1443" s="27"/>
      <c r="B1443" s="110"/>
      <c r="D1443" s="409"/>
      <c r="E1443" s="13" t="s">
        <v>117</v>
      </c>
      <c r="F1443" s="13" t="s">
        <v>1923</v>
      </c>
      <c r="G1443" s="410" t="s">
        <v>48</v>
      </c>
      <c r="H1443" s="411">
        <v>1.4</v>
      </c>
      <c r="I1443" s="412">
        <f>IF(AND(E1443&lt;&gt;"",G1443&lt;&gt;""),IF(D1443="",IF(G1443="OH",VLOOKUP(F1443,UPAH!$B$4:$H$101,7,0),VLOOKUP(F1443,#REF!,4,0)),0),0)</f>
        <v>0</v>
      </c>
      <c r="J1443" s="16">
        <f t="shared" si="15"/>
        <v>0</v>
      </c>
    </row>
    <row r="1444" spans="1:10" ht="13">
      <c r="A1444" s="27"/>
      <c r="B1444" s="110"/>
      <c r="D1444" s="409"/>
      <c r="E1444" s="13" t="s">
        <v>50</v>
      </c>
      <c r="F1444" s="13" t="s">
        <v>1928</v>
      </c>
      <c r="G1444" s="410" t="s">
        <v>48</v>
      </c>
      <c r="H1444" s="411">
        <v>0.32300000000000001</v>
      </c>
      <c r="I1444" s="412">
        <f>IF(AND(E1444&lt;&gt;"",G1444&lt;&gt;""),IF(D1444="",IF(G1444="OH",VLOOKUP(F1444,UPAH!$B$4:$H$101,7,0),VLOOKUP(F1444,#REF!,4,0)),0),0)</f>
        <v>0</v>
      </c>
      <c r="J1444" s="16">
        <f t="shared" si="15"/>
        <v>0</v>
      </c>
    </row>
    <row r="1445" spans="1:10" ht="13.5" thickBot="1">
      <c r="A1445" s="27"/>
      <c r="B1445" s="110"/>
      <c r="D1445" s="409"/>
      <c r="E1445" s="13" t="s">
        <v>51</v>
      </c>
      <c r="F1445" s="13" t="s">
        <v>1929</v>
      </c>
      <c r="G1445" s="410" t="s">
        <v>48</v>
      </c>
      <c r="H1445" s="411">
        <v>0.28299999999999997</v>
      </c>
      <c r="I1445" s="412">
        <f>IF(AND(E1445&lt;&gt;"",G1445&lt;&gt;""),IF(D1445="",IF(G1445="OH",VLOOKUP(F1445,UPAH!$B$4:$H$101,7,0),VLOOKUP(F1445,#REF!,4,0)),0),0)</f>
        <v>0</v>
      </c>
      <c r="J1445" s="16">
        <f t="shared" si="15"/>
        <v>0</v>
      </c>
    </row>
    <row r="1446" spans="1:10" ht="13.5" thickBot="1">
      <c r="A1446" s="27"/>
      <c r="B1446" s="110"/>
      <c r="D1446" s="417"/>
      <c r="E1446" s="418"/>
      <c r="F1446" s="418"/>
      <c r="G1446" s="419"/>
      <c r="H1446" s="420" t="s">
        <v>52</v>
      </c>
      <c r="I1446" s="421"/>
      <c r="J1446" s="396">
        <f>SUM(J1440:J1445)</f>
        <v>0</v>
      </c>
    </row>
    <row r="1447" spans="1:10" ht="13">
      <c r="A1447" s="27"/>
      <c r="B1447" s="110"/>
      <c r="D1447" s="406" t="s">
        <v>53</v>
      </c>
      <c r="E1447" s="13" t="s">
        <v>54</v>
      </c>
      <c r="F1447" s="14"/>
      <c r="G1447" s="15"/>
      <c r="H1447" s="451"/>
      <c r="I1447" s="412"/>
      <c r="J1447" s="16"/>
    </row>
    <row r="1448" spans="1:10" ht="13">
      <c r="A1448" s="27"/>
      <c r="B1448" s="110"/>
      <c r="D1448" s="409"/>
      <c r="E1448" s="13" t="s">
        <v>120</v>
      </c>
      <c r="F1448" s="14"/>
      <c r="G1448" s="410" t="s">
        <v>375</v>
      </c>
      <c r="H1448" s="411">
        <v>0.27</v>
      </c>
      <c r="I1448" s="412">
        <f>'BAHAN '!G200</f>
        <v>0</v>
      </c>
      <c r="J1448" s="16">
        <f t="shared" ref="J1448:J1455" si="16">H1448*I1448</f>
        <v>0</v>
      </c>
    </row>
    <row r="1449" spans="1:10" ht="13">
      <c r="A1449" s="27"/>
      <c r="B1449" s="110"/>
      <c r="D1449" s="409"/>
      <c r="E1449" s="13" t="s">
        <v>486</v>
      </c>
      <c r="F1449" s="14"/>
      <c r="G1449" s="410" t="s">
        <v>93</v>
      </c>
      <c r="H1449" s="411">
        <v>2</v>
      </c>
      <c r="I1449" s="412">
        <f>'BAHAN '!G127</f>
        <v>0</v>
      </c>
      <c r="J1449" s="16">
        <f t="shared" si="16"/>
        <v>0</v>
      </c>
    </row>
    <row r="1450" spans="1:10" ht="13">
      <c r="A1450" s="27"/>
      <c r="B1450" s="110"/>
      <c r="D1450" s="409"/>
      <c r="E1450" s="13" t="s">
        <v>122</v>
      </c>
      <c r="F1450" s="14"/>
      <c r="G1450" s="410" t="s">
        <v>63</v>
      </c>
      <c r="H1450" s="411">
        <v>0.6</v>
      </c>
      <c r="I1450" s="412">
        <f>'BAHAN '!G54</f>
        <v>0</v>
      </c>
      <c r="J1450" s="16">
        <f t="shared" si="16"/>
        <v>0</v>
      </c>
    </row>
    <row r="1451" spans="1:10" ht="13">
      <c r="A1451" s="27"/>
      <c r="B1451" s="110"/>
      <c r="D1451" s="409"/>
      <c r="E1451" s="13" t="s">
        <v>118</v>
      </c>
      <c r="F1451" s="14"/>
      <c r="G1451" s="410" t="s">
        <v>93</v>
      </c>
      <c r="H1451" s="411">
        <v>210</v>
      </c>
      <c r="I1451" s="412">
        <f>'BAHAN '!G148</f>
        <v>0</v>
      </c>
      <c r="J1451" s="16">
        <f t="shared" si="16"/>
        <v>0</v>
      </c>
    </row>
    <row r="1452" spans="1:10" ht="13">
      <c r="A1452" s="27"/>
      <c r="B1452" s="110"/>
      <c r="D1452" s="409"/>
      <c r="E1452" s="13" t="s">
        <v>107</v>
      </c>
      <c r="F1452" s="14"/>
      <c r="G1452" s="410" t="s">
        <v>93</v>
      </c>
      <c r="H1452" s="411">
        <v>3</v>
      </c>
      <c r="I1452" s="412">
        <f>'BAHAN '!G116</f>
        <v>0</v>
      </c>
      <c r="J1452" s="16">
        <f t="shared" si="16"/>
        <v>0</v>
      </c>
    </row>
    <row r="1453" spans="1:10" ht="13">
      <c r="A1453" s="27"/>
      <c r="B1453" s="110"/>
      <c r="D1453" s="409"/>
      <c r="E1453" s="13" t="s">
        <v>56</v>
      </c>
      <c r="F1453" s="14"/>
      <c r="G1453" s="410" t="s">
        <v>93</v>
      </c>
      <c r="H1453" s="411">
        <v>336</v>
      </c>
      <c r="I1453" s="412">
        <f>'BAHAN '!G72</f>
        <v>0</v>
      </c>
      <c r="J1453" s="16">
        <f t="shared" si="16"/>
        <v>0</v>
      </c>
    </row>
    <row r="1454" spans="1:10" ht="13">
      <c r="A1454" s="27"/>
      <c r="B1454" s="110"/>
      <c r="D1454" s="409"/>
      <c r="E1454" s="13" t="s">
        <v>126</v>
      </c>
      <c r="F1454" s="14"/>
      <c r="G1454" s="410" t="s">
        <v>375</v>
      </c>
      <c r="H1454" s="411">
        <v>0.54</v>
      </c>
      <c r="I1454" s="412">
        <f>'BAHAN '!G59</f>
        <v>0</v>
      </c>
      <c r="J1454" s="16">
        <f t="shared" si="16"/>
        <v>0</v>
      </c>
    </row>
    <row r="1455" spans="1:10" ht="13.5" thickBot="1">
      <c r="A1455" s="27"/>
      <c r="B1455" s="110"/>
      <c r="D1455" s="409"/>
      <c r="E1455" s="13" t="s">
        <v>106</v>
      </c>
      <c r="F1455" s="14"/>
      <c r="G1455" s="410" t="s">
        <v>375</v>
      </c>
      <c r="H1455" s="411">
        <v>0.81</v>
      </c>
      <c r="I1455" s="412">
        <f>'BAHAN '!G49</f>
        <v>0</v>
      </c>
      <c r="J1455" s="16">
        <f t="shared" si="16"/>
        <v>0</v>
      </c>
    </row>
    <row r="1456" spans="1:10" ht="13.5" thickBot="1">
      <c r="A1456" s="27"/>
      <c r="B1456" s="110"/>
      <c r="D1456" s="417"/>
      <c r="E1456" s="418"/>
      <c r="F1456" s="418"/>
      <c r="G1456" s="419"/>
      <c r="H1456" s="420" t="s">
        <v>64</v>
      </c>
      <c r="I1456" s="421"/>
      <c r="J1456" s="396">
        <f>SUM(J1448:J1455)</f>
        <v>0</v>
      </c>
    </row>
    <row r="1457" spans="1:10" ht="13.5" thickBot="1">
      <c r="A1457" s="27"/>
      <c r="B1457" s="110"/>
      <c r="D1457" s="406" t="s">
        <v>65</v>
      </c>
      <c r="E1457" s="13" t="s">
        <v>66</v>
      </c>
      <c r="F1457" s="14"/>
      <c r="G1457" s="15"/>
      <c r="H1457" s="451"/>
      <c r="I1457" s="412">
        <f>IF(AND(E1457&lt;&gt;"",G1457&lt;&gt;""),IF(D1457="",IF(G1457="OH",VLOOKUP(E1457,UPAH!$C$4:$H$31,7,0),VLOOKUP(E1457,#REF!,4,0)),0),0)</f>
        <v>0</v>
      </c>
      <c r="J1457" s="16">
        <f>H1457*I1457</f>
        <v>0</v>
      </c>
    </row>
    <row r="1458" spans="1:10" ht="13.5" thickBot="1">
      <c r="A1458" s="27"/>
      <c r="B1458" s="110"/>
      <c r="D1458" s="417"/>
      <c r="E1458" s="418"/>
      <c r="F1458" s="418"/>
      <c r="G1458" s="419"/>
      <c r="H1458" s="420" t="s">
        <v>67</v>
      </c>
      <c r="I1458" s="421"/>
      <c r="J1458" s="396">
        <f>J1457</f>
        <v>0</v>
      </c>
    </row>
    <row r="1459" spans="1:10" ht="13">
      <c r="A1459" s="27"/>
      <c r="B1459" s="110"/>
      <c r="D1459" s="444" t="s">
        <v>68</v>
      </c>
      <c r="E1459" s="445" t="s">
        <v>69</v>
      </c>
      <c r="F1459" s="446"/>
      <c r="G1459" s="447"/>
      <c r="H1459" s="448"/>
      <c r="I1459" s="449">
        <f>IF(AND(E1459&lt;&gt;"",G1459&lt;&gt;""),IF(D1459="",IF(G1459="OH",VLOOKUP(E1459,UPAH!$C$4:$H$31,7,0),VLOOKUP(E1459,#REF!,4,0)),0),0)</f>
        <v>0</v>
      </c>
      <c r="J1459" s="16">
        <f>SUM(J1438:J1458)/2</f>
        <v>0</v>
      </c>
    </row>
    <row r="1460" spans="1:10" ht="13.5" thickBot="1">
      <c r="A1460" s="27"/>
      <c r="B1460" s="110"/>
      <c r="D1460" s="431" t="s">
        <v>70</v>
      </c>
      <c r="E1460" s="432" t="s">
        <v>477</v>
      </c>
      <c r="F1460" s="433"/>
      <c r="G1460" s="434"/>
      <c r="H1460" s="22">
        <v>0.1</v>
      </c>
      <c r="I1460" s="436"/>
      <c r="J1460" s="430">
        <f>H1460*J1459</f>
        <v>0</v>
      </c>
    </row>
    <row r="1461" spans="1:10" ht="13.5" thickBot="1">
      <c r="A1461" s="27"/>
      <c r="B1461" s="110"/>
      <c r="D1461" s="401" t="s">
        <v>71</v>
      </c>
      <c r="E1461" s="402" t="s">
        <v>72</v>
      </c>
      <c r="F1461" s="418"/>
      <c r="G1461" s="419"/>
      <c r="H1461" s="442"/>
      <c r="I1461" s="421">
        <f>IF(AND(E1461&lt;&gt;"",G1461&lt;&gt;""),IF(D1461="",IF(G1461="OH",VLOOKUP(E1461,UPAH!$C$4:$H$31,7,0),VLOOKUP(E1461,#REF!,4,0)),0),0)</f>
        <v>0</v>
      </c>
      <c r="J1461" s="396">
        <f>ROUNDDOWN(J1459+J1460,0)</f>
        <v>0</v>
      </c>
    </row>
    <row r="1462" spans="1:10" ht="13">
      <c r="A1462" s="27"/>
      <c r="B1462" s="110"/>
      <c r="D1462" s="11"/>
      <c r="E1462" s="11"/>
      <c r="H1462" s="443"/>
      <c r="I1462" s="17"/>
      <c r="J1462" s="18"/>
    </row>
    <row r="1463" spans="1:10" ht="13.5" thickBot="1">
      <c r="A1463" s="27"/>
      <c r="B1463" s="110"/>
      <c r="C1463" s="11" t="s">
        <v>643</v>
      </c>
      <c r="D1463" s="10" t="s">
        <v>644</v>
      </c>
      <c r="H1463" s="443"/>
    </row>
    <row r="1464" spans="1:10" ht="13.5" thickBot="1">
      <c r="A1464" s="27"/>
      <c r="B1464" s="110"/>
      <c r="D1464" s="401" t="s">
        <v>40</v>
      </c>
      <c r="E1464" s="402" t="s">
        <v>41</v>
      </c>
      <c r="F1464" s="402" t="s">
        <v>42</v>
      </c>
      <c r="G1464" s="403" t="s">
        <v>43</v>
      </c>
      <c r="H1464" s="404" t="s">
        <v>44</v>
      </c>
      <c r="I1464" s="402" t="s">
        <v>474</v>
      </c>
      <c r="J1464" s="405" t="s">
        <v>475</v>
      </c>
    </row>
    <row r="1465" spans="1:10" ht="13">
      <c r="A1465" s="27"/>
      <c r="B1465" s="110"/>
      <c r="D1465" s="406" t="s">
        <v>45</v>
      </c>
      <c r="E1465" s="13" t="s">
        <v>46</v>
      </c>
      <c r="F1465" s="14"/>
      <c r="G1465" s="15"/>
      <c r="H1465" s="451"/>
      <c r="I1465" s="412"/>
      <c r="J1465" s="16"/>
    </row>
    <row r="1466" spans="1:10" ht="13">
      <c r="A1466" s="27"/>
      <c r="B1466" s="110"/>
      <c r="D1466" s="409"/>
      <c r="E1466" s="13" t="s">
        <v>47</v>
      </c>
      <c r="F1466" s="13" t="s">
        <v>1918</v>
      </c>
      <c r="G1466" s="410" t="s">
        <v>48</v>
      </c>
      <c r="H1466" s="411">
        <v>7.05</v>
      </c>
      <c r="I1466" s="412">
        <f>IF(AND(E1466&lt;&gt;"",G1466&lt;&gt;""),IF(D1466="",IF(G1466="OH",VLOOKUP(F1466,UPAH!$B$4:$H$101,7,0),VLOOKUP(F1466,#REF!,4,0)),0),0)</f>
        <v>0</v>
      </c>
      <c r="J1466" s="16">
        <f t="shared" ref="J1466:J1471" si="17">H1466*I1466</f>
        <v>0</v>
      </c>
    </row>
    <row r="1467" spans="1:10" ht="13">
      <c r="A1467" s="27"/>
      <c r="B1467" s="110"/>
      <c r="D1467" s="409"/>
      <c r="E1467" s="13" t="s">
        <v>81</v>
      </c>
      <c r="F1467" s="13" t="s">
        <v>1921</v>
      </c>
      <c r="G1467" s="410" t="s">
        <v>48</v>
      </c>
      <c r="H1467" s="411">
        <v>0.27500000000000002</v>
      </c>
      <c r="I1467" s="412">
        <f>IF(AND(E1467&lt;&gt;"",G1467&lt;&gt;""),IF(D1467="",IF(G1467="OH",VLOOKUP(F1467,UPAH!$B$4:$H$101,7,0),VLOOKUP(F1467,#REF!,4,0)),0),0)</f>
        <v>0</v>
      </c>
      <c r="J1467" s="16">
        <f t="shared" si="17"/>
        <v>0</v>
      </c>
    </row>
    <row r="1468" spans="1:10" ht="13">
      <c r="A1468" s="27"/>
      <c r="B1468" s="110"/>
      <c r="D1468" s="409"/>
      <c r="E1468" s="13" t="s">
        <v>49</v>
      </c>
      <c r="F1468" s="13" t="s">
        <v>1922</v>
      </c>
      <c r="G1468" s="410" t="s">
        <v>48</v>
      </c>
      <c r="H1468" s="411">
        <v>1.65</v>
      </c>
      <c r="I1468" s="412">
        <f>IF(AND(E1468&lt;&gt;"",G1468&lt;&gt;""),IF(D1468="",IF(G1468="OH",VLOOKUP(F1468,UPAH!$B$4:$H$101,7,0),VLOOKUP(F1468,#REF!,4,0)),0),0)</f>
        <v>0</v>
      </c>
      <c r="J1468" s="16">
        <f t="shared" si="17"/>
        <v>0</v>
      </c>
    </row>
    <row r="1469" spans="1:10" ht="13">
      <c r="A1469" s="27"/>
      <c r="B1469" s="110"/>
      <c r="D1469" s="409"/>
      <c r="E1469" s="13" t="s">
        <v>117</v>
      </c>
      <c r="F1469" s="13" t="s">
        <v>1923</v>
      </c>
      <c r="G1469" s="410" t="s">
        <v>48</v>
      </c>
      <c r="H1469" s="411">
        <v>2.1</v>
      </c>
      <c r="I1469" s="412">
        <f>IF(AND(E1469&lt;&gt;"",G1469&lt;&gt;""),IF(D1469="",IF(G1469="OH",VLOOKUP(F1469,UPAH!$B$4:$H$101,7,0),VLOOKUP(F1469,#REF!,4,0)),0),0)</f>
        <v>0</v>
      </c>
      <c r="J1469" s="16">
        <f t="shared" si="17"/>
        <v>0</v>
      </c>
    </row>
    <row r="1470" spans="1:10" ht="13">
      <c r="A1470" s="27"/>
      <c r="B1470" s="110"/>
      <c r="D1470" s="409"/>
      <c r="E1470" s="13" t="s">
        <v>50</v>
      </c>
      <c r="F1470" s="13" t="s">
        <v>1928</v>
      </c>
      <c r="G1470" s="410" t="s">
        <v>48</v>
      </c>
      <c r="H1470" s="411">
        <v>0.40300000000000002</v>
      </c>
      <c r="I1470" s="412">
        <f>IF(AND(E1470&lt;&gt;"",G1470&lt;&gt;""),IF(D1470="",IF(G1470="OH",VLOOKUP(F1470,UPAH!$B$4:$H$101,7,0),VLOOKUP(F1470,#REF!,4,0)),0),0)</f>
        <v>0</v>
      </c>
      <c r="J1470" s="16">
        <f t="shared" si="17"/>
        <v>0</v>
      </c>
    </row>
    <row r="1471" spans="1:10" ht="13.5" thickBot="1">
      <c r="A1471" s="27"/>
      <c r="B1471" s="110"/>
      <c r="D1471" s="409"/>
      <c r="E1471" s="13" t="s">
        <v>51</v>
      </c>
      <c r="F1471" s="13" t="s">
        <v>1929</v>
      </c>
      <c r="G1471" s="410" t="s">
        <v>48</v>
      </c>
      <c r="H1471" s="411">
        <v>0.35299999999999998</v>
      </c>
      <c r="I1471" s="412">
        <f>IF(AND(E1471&lt;&gt;"",G1471&lt;&gt;""),IF(D1471="",IF(G1471="OH",VLOOKUP(F1471,UPAH!$B$4:$H$101,7,0),VLOOKUP(F1471,#REF!,4,0)),0),0)</f>
        <v>0</v>
      </c>
      <c r="J1471" s="16">
        <f t="shared" si="17"/>
        <v>0</v>
      </c>
    </row>
    <row r="1472" spans="1:10" ht="13.5" thickBot="1">
      <c r="A1472" s="27"/>
      <c r="B1472" s="110"/>
      <c r="D1472" s="417"/>
      <c r="E1472" s="418"/>
      <c r="F1472" s="418"/>
      <c r="G1472" s="419"/>
      <c r="H1472" s="420" t="s">
        <v>52</v>
      </c>
      <c r="I1472" s="421"/>
      <c r="J1472" s="396">
        <f>SUM(J1466:J1471)</f>
        <v>0</v>
      </c>
    </row>
    <row r="1473" spans="1:10" ht="13">
      <c r="A1473" s="27"/>
      <c r="B1473" s="110"/>
      <c r="D1473" s="406" t="s">
        <v>53</v>
      </c>
      <c r="E1473" s="13" t="s">
        <v>54</v>
      </c>
      <c r="F1473" s="14"/>
      <c r="G1473" s="15"/>
      <c r="H1473" s="451"/>
      <c r="I1473" s="412"/>
      <c r="J1473" s="16"/>
    </row>
    <row r="1474" spans="1:10" ht="13">
      <c r="A1474" s="27"/>
      <c r="B1474" s="110"/>
      <c r="D1474" s="409"/>
      <c r="E1474" s="13" t="s">
        <v>120</v>
      </c>
      <c r="F1474" s="14"/>
      <c r="G1474" s="410" t="s">
        <v>375</v>
      </c>
      <c r="H1474" s="411">
        <v>0.4</v>
      </c>
      <c r="I1474" s="412">
        <f>'BAHAN '!G200</f>
        <v>0</v>
      </c>
      <c r="J1474" s="16">
        <f t="shared" ref="J1474:J1484" si="18">H1474*I1474</f>
        <v>0</v>
      </c>
    </row>
    <row r="1475" spans="1:10" ht="13">
      <c r="A1475" s="27"/>
      <c r="B1475" s="110"/>
      <c r="D1475" s="409"/>
      <c r="E1475" s="13" t="s">
        <v>486</v>
      </c>
      <c r="F1475" s="14"/>
      <c r="G1475" s="410" t="s">
        <v>93</v>
      </c>
      <c r="H1475" s="411">
        <v>4</v>
      </c>
      <c r="I1475" s="412">
        <f>'BAHAN '!G127</f>
        <v>0</v>
      </c>
      <c r="J1475" s="16">
        <f t="shared" si="18"/>
        <v>0</v>
      </c>
    </row>
    <row r="1476" spans="1:10" ht="13">
      <c r="A1476" s="27"/>
      <c r="B1476" s="110"/>
      <c r="D1476" s="409"/>
      <c r="E1476" s="13" t="s">
        <v>122</v>
      </c>
      <c r="F1476" s="14"/>
      <c r="G1476" s="410" t="s">
        <v>63</v>
      </c>
      <c r="H1476" s="411">
        <v>2</v>
      </c>
      <c r="I1476" s="412">
        <f>'BAHAN '!G54</f>
        <v>0</v>
      </c>
      <c r="J1476" s="16">
        <f t="shared" si="18"/>
        <v>0</v>
      </c>
    </row>
    <row r="1477" spans="1:10" ht="13">
      <c r="A1477" s="27"/>
      <c r="B1477" s="110"/>
      <c r="D1477" s="409"/>
      <c r="E1477" s="13" t="s">
        <v>118</v>
      </c>
      <c r="F1477" s="14"/>
      <c r="G1477" s="410" t="s">
        <v>93</v>
      </c>
      <c r="H1477" s="411">
        <v>315</v>
      </c>
      <c r="I1477" s="412">
        <v>0</v>
      </c>
      <c r="J1477" s="16">
        <f t="shared" si="18"/>
        <v>0</v>
      </c>
    </row>
    <row r="1478" spans="1:10" ht="13">
      <c r="A1478" s="27"/>
      <c r="B1478" s="110"/>
      <c r="D1478" s="409"/>
      <c r="E1478" s="13" t="s">
        <v>107</v>
      </c>
      <c r="F1478" s="14"/>
      <c r="G1478" s="410" t="s">
        <v>93</v>
      </c>
      <c r="H1478" s="411">
        <v>4.5</v>
      </c>
      <c r="I1478" s="412">
        <f>'BAHAN '!G116</f>
        <v>0</v>
      </c>
      <c r="J1478" s="16">
        <f t="shared" si="18"/>
        <v>0</v>
      </c>
    </row>
    <row r="1479" spans="1:10" ht="13">
      <c r="A1479" s="27"/>
      <c r="B1479" s="110"/>
      <c r="D1479" s="409"/>
      <c r="E1479" s="13" t="s">
        <v>56</v>
      </c>
      <c r="F1479" s="14"/>
      <c r="G1479" s="410" t="s">
        <v>93</v>
      </c>
      <c r="H1479" s="411">
        <v>336</v>
      </c>
      <c r="I1479" s="412">
        <f>'BAHAN '!G72</f>
        <v>0</v>
      </c>
      <c r="J1479" s="16">
        <f t="shared" si="18"/>
        <v>0</v>
      </c>
    </row>
    <row r="1480" spans="1:10" ht="13">
      <c r="A1480" s="27"/>
      <c r="B1480" s="110"/>
      <c r="D1480" s="409"/>
      <c r="E1480" s="13" t="s">
        <v>126</v>
      </c>
      <c r="F1480" s="14"/>
      <c r="G1480" s="410" t="s">
        <v>375</v>
      </c>
      <c r="H1480" s="411">
        <v>0.54</v>
      </c>
      <c r="I1480" s="412">
        <f>'BAHAN '!G59</f>
        <v>0</v>
      </c>
      <c r="J1480" s="16">
        <f t="shared" si="18"/>
        <v>0</v>
      </c>
    </row>
    <row r="1481" spans="1:10" ht="13">
      <c r="A1481" s="27"/>
      <c r="B1481" s="110"/>
      <c r="D1481" s="409"/>
      <c r="E1481" s="13" t="s">
        <v>106</v>
      </c>
      <c r="F1481" s="14"/>
      <c r="G1481" s="410" t="s">
        <v>375</v>
      </c>
      <c r="H1481" s="411">
        <v>0.81</v>
      </c>
      <c r="I1481" s="412">
        <f>'BAHAN '!G49</f>
        <v>0</v>
      </c>
      <c r="J1481" s="16">
        <f t="shared" si="18"/>
        <v>0</v>
      </c>
    </row>
    <row r="1482" spans="1:10" ht="13">
      <c r="A1482" s="27"/>
      <c r="B1482" s="110"/>
      <c r="D1482" s="409"/>
      <c r="E1482" s="13" t="s">
        <v>398</v>
      </c>
      <c r="F1482" s="14"/>
      <c r="G1482" s="410" t="s">
        <v>170</v>
      </c>
      <c r="H1482" s="411">
        <v>0.15</v>
      </c>
      <c r="I1482" s="412">
        <f>'BAHAN '!G199</f>
        <v>0</v>
      </c>
      <c r="J1482" s="16">
        <f t="shared" si="18"/>
        <v>0</v>
      </c>
    </row>
    <row r="1483" spans="1:10" ht="13">
      <c r="A1483" s="27"/>
      <c r="B1483" s="110"/>
      <c r="D1483" s="409"/>
      <c r="E1483" s="13" t="s">
        <v>2878</v>
      </c>
      <c r="F1483" s="14"/>
      <c r="G1483" s="410" t="s">
        <v>74</v>
      </c>
      <c r="H1483" s="411">
        <v>3.5</v>
      </c>
      <c r="I1483" s="412">
        <f>'BAHAN '!G809</f>
        <v>0</v>
      </c>
      <c r="J1483" s="16">
        <f t="shared" si="18"/>
        <v>0</v>
      </c>
    </row>
    <row r="1484" spans="1:10" ht="13.5" thickBot="1">
      <c r="A1484" s="27"/>
      <c r="B1484" s="110"/>
      <c r="D1484" s="409"/>
      <c r="E1484" s="13" t="s">
        <v>471</v>
      </c>
      <c r="F1484" s="14"/>
      <c r="G1484" s="410" t="s">
        <v>55</v>
      </c>
      <c r="H1484" s="451">
        <v>20</v>
      </c>
      <c r="I1484" s="464">
        <f>'BAHAN '!G794</f>
        <v>0</v>
      </c>
      <c r="J1484" s="16">
        <f t="shared" si="18"/>
        <v>0</v>
      </c>
    </row>
    <row r="1485" spans="1:10" ht="13.5" thickBot="1">
      <c r="A1485" s="27"/>
      <c r="B1485" s="110"/>
      <c r="D1485" s="417"/>
      <c r="E1485" s="418"/>
      <c r="F1485" s="418"/>
      <c r="G1485" s="419"/>
      <c r="H1485" s="420" t="s">
        <v>64</v>
      </c>
      <c r="I1485" s="421"/>
      <c r="J1485" s="396">
        <f>SUM(J1474:J1484)</f>
        <v>0</v>
      </c>
    </row>
    <row r="1486" spans="1:10" ht="13.5" thickBot="1">
      <c r="A1486" s="27"/>
      <c r="B1486" s="110"/>
      <c r="D1486" s="406" t="s">
        <v>65</v>
      </c>
      <c r="E1486" s="13" t="s">
        <v>66</v>
      </c>
      <c r="F1486" s="14"/>
      <c r="G1486" s="15"/>
      <c r="H1486" s="451"/>
      <c r="I1486" s="412">
        <f>IF(AND(E1486&lt;&gt;"",G1486&lt;&gt;""),IF(D1486="",IF(G1486="OH",VLOOKUP(E1486,UPAH!$C$4:$H$31,7,0),VLOOKUP(E1486,#REF!,4,0)),0),0)</f>
        <v>0</v>
      </c>
      <c r="J1486" s="16">
        <f>H1486*I1486</f>
        <v>0</v>
      </c>
    </row>
    <row r="1487" spans="1:10" ht="13.5" thickBot="1">
      <c r="A1487" s="27"/>
      <c r="B1487" s="110"/>
      <c r="D1487" s="417"/>
      <c r="E1487" s="418"/>
      <c r="F1487" s="418"/>
      <c r="G1487" s="419"/>
      <c r="H1487" s="420" t="s">
        <v>67</v>
      </c>
      <c r="I1487" s="421"/>
      <c r="J1487" s="396">
        <f>J1486</f>
        <v>0</v>
      </c>
    </row>
    <row r="1488" spans="1:10" ht="13">
      <c r="A1488" s="27"/>
      <c r="B1488" s="110"/>
      <c r="D1488" s="444" t="s">
        <v>68</v>
      </c>
      <c r="E1488" s="445" t="s">
        <v>69</v>
      </c>
      <c r="F1488" s="446"/>
      <c r="G1488" s="447"/>
      <c r="H1488" s="448"/>
      <c r="I1488" s="449">
        <f>IF(AND(E1488&lt;&gt;"",G1488&lt;&gt;""),IF(D1488="",IF(G1488="OH",VLOOKUP(E1488,UPAH!$C$4:$H$31,7,0),VLOOKUP(E1488,#REF!,4,0)),0),0)</f>
        <v>0</v>
      </c>
      <c r="J1488" s="16">
        <f>SUM(J1465:J1487)/2</f>
        <v>0</v>
      </c>
    </row>
    <row r="1489" spans="1:10" ht="13.5" thickBot="1">
      <c r="A1489" s="27"/>
      <c r="B1489" s="110"/>
      <c r="D1489" s="431" t="s">
        <v>70</v>
      </c>
      <c r="E1489" s="432" t="s">
        <v>477</v>
      </c>
      <c r="F1489" s="433"/>
      <c r="G1489" s="434"/>
      <c r="H1489" s="22">
        <v>0.1</v>
      </c>
      <c r="I1489" s="436"/>
      <c r="J1489" s="430">
        <f>H1489*J1488</f>
        <v>0</v>
      </c>
    </row>
    <row r="1490" spans="1:10" ht="13.5" thickBot="1">
      <c r="A1490" s="27"/>
      <c r="B1490" s="110"/>
      <c r="D1490" s="401" t="s">
        <v>71</v>
      </c>
      <c r="E1490" s="402" t="s">
        <v>72</v>
      </c>
      <c r="F1490" s="418"/>
      <c r="G1490" s="419"/>
      <c r="H1490" s="442"/>
      <c r="I1490" s="421">
        <f>IF(AND(E1490&lt;&gt;"",G1490&lt;&gt;""),IF(D1490="",IF(G1490="OH",VLOOKUP(E1490,UPAH!$C$4:$H$31,7,0),VLOOKUP(E1490,#REF!,4,0)),0),0)</f>
        <v>0</v>
      </c>
      <c r="J1490" s="396">
        <f>ROUNDDOWN(J1488+J1489,0)</f>
        <v>0</v>
      </c>
    </row>
    <row r="1491" spans="1:10" ht="13">
      <c r="A1491" s="27"/>
      <c r="B1491" s="110"/>
      <c r="D1491" s="11"/>
      <c r="E1491" s="11"/>
      <c r="H1491" s="443"/>
      <c r="I1491" s="17"/>
      <c r="J1491" s="18"/>
    </row>
    <row r="1492" spans="1:10" ht="13.5" thickBot="1">
      <c r="A1492" s="27"/>
      <c r="B1492" s="110"/>
      <c r="C1492" s="11" t="s">
        <v>647</v>
      </c>
      <c r="D1492" s="10" t="s">
        <v>648</v>
      </c>
      <c r="H1492" s="443"/>
    </row>
    <row r="1493" spans="1:10" ht="13.5" thickBot="1">
      <c r="A1493" s="27"/>
      <c r="B1493" s="110"/>
      <c r="D1493" s="401" t="s">
        <v>40</v>
      </c>
      <c r="E1493" s="402" t="s">
        <v>41</v>
      </c>
      <c r="F1493" s="402" t="s">
        <v>42</v>
      </c>
      <c r="G1493" s="403" t="s">
        <v>43</v>
      </c>
      <c r="H1493" s="404" t="s">
        <v>44</v>
      </c>
      <c r="I1493" s="402" t="s">
        <v>474</v>
      </c>
      <c r="J1493" s="405" t="s">
        <v>475</v>
      </c>
    </row>
    <row r="1494" spans="1:10" ht="13">
      <c r="A1494" s="27"/>
      <c r="B1494" s="110"/>
      <c r="D1494" s="406" t="s">
        <v>45</v>
      </c>
      <c r="E1494" s="13" t="s">
        <v>46</v>
      </c>
      <c r="F1494" s="14"/>
      <c r="G1494" s="15"/>
      <c r="H1494" s="451"/>
      <c r="I1494" s="412"/>
      <c r="J1494" s="16"/>
    </row>
    <row r="1495" spans="1:10" ht="13">
      <c r="A1495" s="27"/>
      <c r="B1495" s="110"/>
      <c r="D1495" s="409"/>
      <c r="E1495" s="13" t="s">
        <v>47</v>
      </c>
      <c r="F1495" s="13" t="s">
        <v>1918</v>
      </c>
      <c r="G1495" s="410" t="s">
        <v>48</v>
      </c>
      <c r="H1495" s="411">
        <v>6.35</v>
      </c>
      <c r="I1495" s="412">
        <f>IF(AND(E1495&lt;&gt;"",G1495&lt;&gt;""),IF(D1495="",IF(G1495="OH",VLOOKUP(F1495,UPAH!$B$4:$H$101,7,0),VLOOKUP(F1495,#REF!,4,0)),0),0)</f>
        <v>0</v>
      </c>
      <c r="J1495" s="16">
        <f t="shared" ref="J1495:J1500" si="19">H1495*I1495</f>
        <v>0</v>
      </c>
    </row>
    <row r="1496" spans="1:10" ht="13">
      <c r="A1496" s="27"/>
      <c r="B1496" s="110"/>
      <c r="D1496" s="409"/>
      <c r="E1496" s="13" t="s">
        <v>81</v>
      </c>
      <c r="F1496" s="13" t="s">
        <v>1921</v>
      </c>
      <c r="G1496" s="410" t="s">
        <v>48</v>
      </c>
      <c r="H1496" s="411">
        <v>0.27500000000000002</v>
      </c>
      <c r="I1496" s="412">
        <f>IF(AND(E1496&lt;&gt;"",G1496&lt;&gt;""),IF(D1496="",IF(G1496="OH",VLOOKUP(F1496,UPAH!$B$4:$H$101,7,0),VLOOKUP(F1496,#REF!,4,0)),0),0)</f>
        <v>0</v>
      </c>
      <c r="J1496" s="16">
        <f t="shared" si="19"/>
        <v>0</v>
      </c>
    </row>
    <row r="1497" spans="1:10" ht="13">
      <c r="A1497" s="27"/>
      <c r="B1497" s="110"/>
      <c r="D1497" s="409"/>
      <c r="E1497" s="13" t="s">
        <v>49</v>
      </c>
      <c r="F1497" s="13" t="s">
        <v>1922</v>
      </c>
      <c r="G1497" s="410" t="s">
        <v>48</v>
      </c>
      <c r="H1497" s="411">
        <v>1.65</v>
      </c>
      <c r="I1497" s="412">
        <f>IF(AND(E1497&lt;&gt;"",G1497&lt;&gt;""),IF(D1497="",IF(G1497="OH",VLOOKUP(F1497,UPAH!$B$4:$H$101,7,0),VLOOKUP(F1497,#REF!,4,0)),0),0)</f>
        <v>0</v>
      </c>
      <c r="J1497" s="16">
        <f t="shared" si="19"/>
        <v>0</v>
      </c>
    </row>
    <row r="1498" spans="1:10" ht="13">
      <c r="A1498" s="27"/>
      <c r="B1498" s="110"/>
      <c r="D1498" s="409"/>
      <c r="E1498" s="13" t="s">
        <v>117</v>
      </c>
      <c r="F1498" s="13" t="s">
        <v>1923</v>
      </c>
      <c r="G1498" s="410" t="s">
        <v>48</v>
      </c>
      <c r="H1498" s="411">
        <v>1.4</v>
      </c>
      <c r="I1498" s="412">
        <f>IF(AND(E1498&lt;&gt;"",G1498&lt;&gt;""),IF(D1498="",IF(G1498="OH",VLOOKUP(F1498,UPAH!$B$4:$H$101,7,0),VLOOKUP(F1498,#REF!,4,0)),0),0)</f>
        <v>0</v>
      </c>
      <c r="J1498" s="16">
        <f t="shared" si="19"/>
        <v>0</v>
      </c>
    </row>
    <row r="1499" spans="1:10" ht="13">
      <c r="A1499" s="27"/>
      <c r="B1499" s="110"/>
      <c r="D1499" s="409"/>
      <c r="E1499" s="13" t="s">
        <v>50</v>
      </c>
      <c r="F1499" s="13" t="s">
        <v>1928</v>
      </c>
      <c r="G1499" s="410" t="s">
        <v>48</v>
      </c>
      <c r="H1499" s="411">
        <v>0.33300000000000002</v>
      </c>
      <c r="I1499" s="412">
        <f>IF(AND(E1499&lt;&gt;"",G1499&lt;&gt;""),IF(D1499="",IF(G1499="OH",VLOOKUP(F1499,UPAH!$B$4:$H$101,7,0),VLOOKUP(F1499,#REF!,4,0)),0),0)</f>
        <v>0</v>
      </c>
      <c r="J1499" s="16">
        <f t="shared" si="19"/>
        <v>0</v>
      </c>
    </row>
    <row r="1500" spans="1:10" ht="13.5" thickBot="1">
      <c r="A1500" s="27"/>
      <c r="B1500" s="110"/>
      <c r="D1500" s="409"/>
      <c r="E1500" s="13" t="s">
        <v>51</v>
      </c>
      <c r="F1500" s="13" t="s">
        <v>1929</v>
      </c>
      <c r="G1500" s="410" t="s">
        <v>48</v>
      </c>
      <c r="H1500" s="411">
        <v>0.318</v>
      </c>
      <c r="I1500" s="412">
        <f>IF(AND(E1500&lt;&gt;"",G1500&lt;&gt;""),IF(D1500="",IF(G1500="OH",VLOOKUP(F1500,UPAH!$B$4:$H$101,7,0),VLOOKUP(F1500,#REF!,4,0)),0),0)</f>
        <v>0</v>
      </c>
      <c r="J1500" s="16">
        <f t="shared" si="19"/>
        <v>0</v>
      </c>
    </row>
    <row r="1501" spans="1:10" ht="13.5" thickBot="1">
      <c r="A1501" s="27"/>
      <c r="B1501" s="110"/>
      <c r="D1501" s="417"/>
      <c r="E1501" s="418"/>
      <c r="F1501" s="418"/>
      <c r="G1501" s="419"/>
      <c r="H1501" s="420" t="s">
        <v>52</v>
      </c>
      <c r="I1501" s="421"/>
      <c r="J1501" s="396">
        <f>SUM(J1495:J1500)</f>
        <v>0</v>
      </c>
    </row>
    <row r="1502" spans="1:10" ht="13">
      <c r="A1502" s="27"/>
      <c r="B1502" s="110"/>
      <c r="D1502" s="406" t="s">
        <v>53</v>
      </c>
      <c r="E1502" s="13" t="s">
        <v>54</v>
      </c>
      <c r="F1502" s="14"/>
      <c r="G1502" s="15"/>
      <c r="H1502" s="451"/>
      <c r="I1502" s="412"/>
      <c r="J1502" s="16"/>
    </row>
    <row r="1503" spans="1:10" ht="13">
      <c r="A1503" s="27"/>
      <c r="B1503" s="110"/>
      <c r="D1503" s="409"/>
      <c r="E1503" s="13" t="s">
        <v>120</v>
      </c>
      <c r="F1503" s="14"/>
      <c r="G1503" s="410" t="s">
        <v>375</v>
      </c>
      <c r="H1503" s="411">
        <v>0.32</v>
      </c>
      <c r="I1503" s="412">
        <f>'BAHAN '!G200</f>
        <v>0</v>
      </c>
      <c r="J1503" s="16">
        <f t="shared" ref="J1503:J1513" si="20">H1503*I1503</f>
        <v>0</v>
      </c>
    </row>
    <row r="1504" spans="1:10" ht="13">
      <c r="A1504" s="27"/>
      <c r="B1504" s="110"/>
      <c r="D1504" s="409"/>
      <c r="E1504" s="13" t="s">
        <v>486</v>
      </c>
      <c r="F1504" s="14"/>
      <c r="G1504" s="410" t="s">
        <v>93</v>
      </c>
      <c r="H1504" s="411">
        <v>3.2</v>
      </c>
      <c r="I1504" s="412">
        <f>'BAHAN '!G127</f>
        <v>0</v>
      </c>
      <c r="J1504" s="16">
        <f t="shared" si="20"/>
        <v>0</v>
      </c>
    </row>
    <row r="1505" spans="1:10" ht="13">
      <c r="A1505" s="27"/>
      <c r="B1505" s="110"/>
      <c r="D1505" s="409"/>
      <c r="E1505" s="13" t="s">
        <v>122</v>
      </c>
      <c r="F1505" s="14"/>
      <c r="G1505" s="410" t="s">
        <v>63</v>
      </c>
      <c r="H1505" s="411">
        <v>1.6</v>
      </c>
      <c r="I1505" s="412">
        <f>'BAHAN '!G54</f>
        <v>0</v>
      </c>
      <c r="J1505" s="16">
        <f t="shared" si="20"/>
        <v>0</v>
      </c>
    </row>
    <row r="1506" spans="1:10" ht="13">
      <c r="A1506" s="27"/>
      <c r="B1506" s="110"/>
      <c r="D1506" s="409"/>
      <c r="E1506" s="13" t="s">
        <v>118</v>
      </c>
      <c r="F1506" s="14"/>
      <c r="G1506" s="410" t="s">
        <v>93</v>
      </c>
      <c r="H1506" s="411">
        <v>210</v>
      </c>
      <c r="I1506" s="412">
        <f>'BAHAN '!G148</f>
        <v>0</v>
      </c>
      <c r="J1506" s="16">
        <f t="shared" si="20"/>
        <v>0</v>
      </c>
    </row>
    <row r="1507" spans="1:10" ht="13">
      <c r="A1507" s="27"/>
      <c r="B1507" s="110"/>
      <c r="D1507" s="409"/>
      <c r="E1507" s="13" t="s">
        <v>107</v>
      </c>
      <c r="F1507" s="14"/>
      <c r="G1507" s="410" t="s">
        <v>93</v>
      </c>
      <c r="H1507" s="411">
        <v>3</v>
      </c>
      <c r="I1507" s="412">
        <f>'BAHAN '!G116</f>
        <v>0</v>
      </c>
      <c r="J1507" s="16">
        <f t="shared" si="20"/>
        <v>0</v>
      </c>
    </row>
    <row r="1508" spans="1:10" ht="13">
      <c r="A1508" s="27"/>
      <c r="B1508" s="110"/>
      <c r="D1508" s="409"/>
      <c r="E1508" s="13" t="s">
        <v>56</v>
      </c>
      <c r="F1508" s="14"/>
      <c r="G1508" s="410" t="s">
        <v>93</v>
      </c>
      <c r="H1508" s="411">
        <v>336</v>
      </c>
      <c r="I1508" s="412">
        <f>'BAHAN '!G72</f>
        <v>0</v>
      </c>
      <c r="J1508" s="16">
        <f t="shared" si="20"/>
        <v>0</v>
      </c>
    </row>
    <row r="1509" spans="1:10" ht="13">
      <c r="A1509" s="27"/>
      <c r="B1509" s="110"/>
      <c r="D1509" s="409"/>
      <c r="E1509" s="13" t="s">
        <v>126</v>
      </c>
      <c r="F1509" s="14"/>
      <c r="G1509" s="410" t="s">
        <v>375</v>
      </c>
      <c r="H1509" s="411">
        <v>0.54</v>
      </c>
      <c r="I1509" s="412">
        <f>'BAHAN '!G59</f>
        <v>0</v>
      </c>
      <c r="J1509" s="16">
        <f t="shared" si="20"/>
        <v>0</v>
      </c>
    </row>
    <row r="1510" spans="1:10" ht="13">
      <c r="A1510" s="27"/>
      <c r="B1510" s="110"/>
      <c r="D1510" s="409"/>
      <c r="E1510" s="13" t="s">
        <v>106</v>
      </c>
      <c r="F1510" s="14"/>
      <c r="G1510" s="410" t="s">
        <v>375</v>
      </c>
      <c r="H1510" s="411">
        <v>0.81</v>
      </c>
      <c r="I1510" s="412">
        <f>'BAHAN '!G49</f>
        <v>0</v>
      </c>
      <c r="J1510" s="16">
        <f t="shared" si="20"/>
        <v>0</v>
      </c>
    </row>
    <row r="1511" spans="1:10" ht="13">
      <c r="A1511" s="27"/>
      <c r="B1511" s="110"/>
      <c r="D1511" s="409"/>
      <c r="E1511" s="13" t="s">
        <v>398</v>
      </c>
      <c r="F1511" s="14"/>
      <c r="G1511" s="410" t="s">
        <v>375</v>
      </c>
      <c r="H1511" s="411">
        <v>0.14000000000000001</v>
      </c>
      <c r="I1511" s="412">
        <f>'BAHAN '!G199</f>
        <v>0</v>
      </c>
      <c r="J1511" s="16">
        <f t="shared" si="20"/>
        <v>0</v>
      </c>
    </row>
    <row r="1512" spans="1:10" ht="13">
      <c r="A1512" s="27"/>
      <c r="B1512" s="110"/>
      <c r="D1512" s="409"/>
      <c r="E1512" s="13" t="s">
        <v>2878</v>
      </c>
      <c r="F1512" s="14"/>
      <c r="G1512" s="410" t="s">
        <v>175</v>
      </c>
      <c r="H1512" s="411">
        <v>2.8</v>
      </c>
      <c r="I1512" s="412">
        <f>'BAHAN '!G809</f>
        <v>0</v>
      </c>
      <c r="J1512" s="16">
        <f t="shared" si="20"/>
        <v>0</v>
      </c>
    </row>
    <row r="1513" spans="1:10" ht="13.5" thickBot="1">
      <c r="A1513" s="27"/>
      <c r="B1513" s="110"/>
      <c r="D1513" s="409"/>
      <c r="E1513" s="13" t="s">
        <v>471</v>
      </c>
      <c r="F1513" s="14"/>
      <c r="G1513" s="410" t="s">
        <v>55</v>
      </c>
      <c r="H1513" s="411">
        <v>16</v>
      </c>
      <c r="I1513" s="464">
        <f>'BAHAN '!G794</f>
        <v>0</v>
      </c>
      <c r="J1513" s="16">
        <f t="shared" si="20"/>
        <v>0</v>
      </c>
    </row>
    <row r="1514" spans="1:10" ht="13.5" thickBot="1">
      <c r="A1514" s="27"/>
      <c r="B1514" s="110"/>
      <c r="D1514" s="417"/>
      <c r="E1514" s="418"/>
      <c r="F1514" s="418"/>
      <c r="G1514" s="419"/>
      <c r="H1514" s="420" t="s">
        <v>64</v>
      </c>
      <c r="I1514" s="421"/>
      <c r="J1514" s="396">
        <f>SUM(J1503:J1513)</f>
        <v>0</v>
      </c>
    </row>
    <row r="1515" spans="1:10" ht="13.5" thickBot="1">
      <c r="A1515" s="27"/>
      <c r="B1515" s="110"/>
      <c r="D1515" s="406" t="s">
        <v>65</v>
      </c>
      <c r="E1515" s="13" t="s">
        <v>66</v>
      </c>
      <c r="F1515" s="14"/>
      <c r="G1515" s="15"/>
      <c r="H1515" s="451"/>
      <c r="I1515" s="412">
        <f>IF(AND(E1515&lt;&gt;"",G1515&lt;&gt;""),IF(D1515="",IF(G1515="OH",VLOOKUP(E1515,UPAH!$C$4:$H$31,7,0),VLOOKUP(E1515,#REF!,4,0)),0),0)</f>
        <v>0</v>
      </c>
      <c r="J1515" s="16">
        <f>H1515*I1515</f>
        <v>0</v>
      </c>
    </row>
    <row r="1516" spans="1:10" ht="13.5" thickBot="1">
      <c r="A1516" s="27"/>
      <c r="B1516" s="110"/>
      <c r="D1516" s="417"/>
      <c r="E1516" s="418"/>
      <c r="F1516" s="418"/>
      <c r="G1516" s="419"/>
      <c r="H1516" s="420" t="s">
        <v>67</v>
      </c>
      <c r="I1516" s="421"/>
      <c r="J1516" s="396">
        <f>J1515</f>
        <v>0</v>
      </c>
    </row>
    <row r="1517" spans="1:10" ht="13">
      <c r="A1517" s="27"/>
      <c r="B1517" s="110"/>
      <c r="D1517" s="444" t="s">
        <v>68</v>
      </c>
      <c r="E1517" s="445" t="s">
        <v>69</v>
      </c>
      <c r="F1517" s="446"/>
      <c r="G1517" s="447"/>
      <c r="H1517" s="448"/>
      <c r="I1517" s="449">
        <f>IF(AND(E1517&lt;&gt;"",G1517&lt;&gt;""),IF(D1517="",IF(G1517="OH",VLOOKUP(E1517,UPAH!$C$4:$H$31,7,0),VLOOKUP(E1517,#REF!,4,0)),0),0)</f>
        <v>0</v>
      </c>
      <c r="J1517" s="16">
        <f>SUM(J1494:J1516)/2</f>
        <v>0</v>
      </c>
    </row>
    <row r="1518" spans="1:10" ht="13.5" thickBot="1">
      <c r="A1518" s="27"/>
      <c r="B1518" s="110"/>
      <c r="D1518" s="431" t="s">
        <v>70</v>
      </c>
      <c r="E1518" s="432" t="s">
        <v>477</v>
      </c>
      <c r="F1518" s="433"/>
      <c r="G1518" s="434"/>
      <c r="H1518" s="22">
        <v>0.1</v>
      </c>
      <c r="I1518" s="436"/>
      <c r="J1518" s="430">
        <f>H1518*J1517</f>
        <v>0</v>
      </c>
    </row>
    <row r="1519" spans="1:10" ht="13.5" thickBot="1">
      <c r="A1519" s="27"/>
      <c r="B1519" s="110"/>
      <c r="D1519" s="401" t="s">
        <v>71</v>
      </c>
      <c r="E1519" s="402" t="s">
        <v>72</v>
      </c>
      <c r="F1519" s="418"/>
      <c r="G1519" s="419"/>
      <c r="H1519" s="442"/>
      <c r="I1519" s="421">
        <f>IF(AND(E1519&lt;&gt;"",G1519&lt;&gt;""),IF(D1519="",IF(G1519="OH",VLOOKUP(E1519,UPAH!$C$4:$H$31,7,0),VLOOKUP(E1519,#REF!,4,0)),0),0)</f>
        <v>0</v>
      </c>
      <c r="J1519" s="396">
        <f>ROUNDDOWN(J1517+J1518,0)</f>
        <v>0</v>
      </c>
    </row>
    <row r="1520" spans="1:10" ht="13">
      <c r="A1520" s="27"/>
      <c r="B1520" s="110"/>
      <c r="D1520" s="11"/>
      <c r="E1520" s="11"/>
      <c r="H1520" s="443"/>
      <c r="I1520" s="17"/>
      <c r="J1520" s="18"/>
    </row>
    <row r="1521" spans="1:10" ht="13.5" thickBot="1">
      <c r="A1521" s="27"/>
      <c r="B1521" s="110"/>
      <c r="C1521" s="11" t="s">
        <v>645</v>
      </c>
      <c r="D1521" s="10" t="s">
        <v>646</v>
      </c>
      <c r="H1521" s="443"/>
    </row>
    <row r="1522" spans="1:10" ht="13.5" thickBot="1">
      <c r="A1522" s="27"/>
      <c r="B1522" s="110"/>
      <c r="D1522" s="401" t="s">
        <v>40</v>
      </c>
      <c r="E1522" s="402" t="s">
        <v>41</v>
      </c>
      <c r="F1522" s="402" t="s">
        <v>42</v>
      </c>
      <c r="G1522" s="403" t="s">
        <v>43</v>
      </c>
      <c r="H1522" s="404" t="s">
        <v>44</v>
      </c>
      <c r="I1522" s="402" t="s">
        <v>474</v>
      </c>
      <c r="J1522" s="405" t="s">
        <v>475</v>
      </c>
    </row>
    <row r="1523" spans="1:10" ht="13">
      <c r="A1523" s="27"/>
      <c r="B1523" s="110"/>
      <c r="D1523" s="406" t="s">
        <v>45</v>
      </c>
      <c r="E1523" s="13" t="s">
        <v>46</v>
      </c>
      <c r="F1523" s="14"/>
      <c r="G1523" s="15"/>
      <c r="H1523" s="451"/>
      <c r="I1523" s="412"/>
      <c r="J1523" s="16"/>
    </row>
    <row r="1524" spans="1:10" ht="13">
      <c r="A1524" s="27"/>
      <c r="B1524" s="110"/>
      <c r="D1524" s="409"/>
      <c r="E1524" s="13" t="s">
        <v>47</v>
      </c>
      <c r="F1524" s="13" t="s">
        <v>1918</v>
      </c>
      <c r="G1524" s="410" t="s">
        <v>48</v>
      </c>
      <c r="H1524" s="411">
        <v>5.3</v>
      </c>
      <c r="I1524" s="412">
        <f>IF(AND(E1524&lt;&gt;"",G1524&lt;&gt;""),IF(D1524="",IF(G1524="OH",VLOOKUP(F1524,UPAH!$B$4:$H$101,7,0),VLOOKUP(F1524,#REF!,4,0)),0),0)</f>
        <v>0</v>
      </c>
      <c r="J1524" s="16">
        <f t="shared" ref="J1524:J1529" si="21">H1524*I1524</f>
        <v>0</v>
      </c>
    </row>
    <row r="1525" spans="1:10" ht="13">
      <c r="A1525" s="27"/>
      <c r="B1525" s="110"/>
      <c r="D1525" s="409"/>
      <c r="E1525" s="13" t="s">
        <v>81</v>
      </c>
      <c r="F1525" s="13" t="s">
        <v>1921</v>
      </c>
      <c r="G1525" s="410" t="s">
        <v>48</v>
      </c>
      <c r="H1525" s="411">
        <v>0.27500000000000002</v>
      </c>
      <c r="I1525" s="412">
        <f>IF(AND(E1525&lt;&gt;"",G1525&lt;&gt;""),IF(D1525="",IF(G1525="OH",VLOOKUP(F1525,UPAH!$B$4:$H$101,7,0),VLOOKUP(F1525,#REF!,4,0)),0),0)</f>
        <v>0</v>
      </c>
      <c r="J1525" s="16">
        <f t="shared" si="21"/>
        <v>0</v>
      </c>
    </row>
    <row r="1526" spans="1:10" ht="13">
      <c r="A1526" s="27"/>
      <c r="B1526" s="110"/>
      <c r="D1526" s="409"/>
      <c r="E1526" s="13" t="s">
        <v>49</v>
      </c>
      <c r="F1526" s="13" t="s">
        <v>1922</v>
      </c>
      <c r="G1526" s="410" t="s">
        <v>48</v>
      </c>
      <c r="H1526" s="411">
        <v>1.3</v>
      </c>
      <c r="I1526" s="412">
        <f>IF(AND(E1526&lt;&gt;"",G1526&lt;&gt;""),IF(D1526="",IF(G1526="OH",VLOOKUP(F1526,UPAH!$B$4:$H$101,7,0),VLOOKUP(F1526,#REF!,4,0)),0),0)</f>
        <v>0</v>
      </c>
      <c r="J1526" s="16">
        <f t="shared" si="21"/>
        <v>0</v>
      </c>
    </row>
    <row r="1527" spans="1:10" ht="13">
      <c r="A1527" s="27"/>
      <c r="B1527" s="110"/>
      <c r="D1527" s="409"/>
      <c r="E1527" s="13" t="s">
        <v>117</v>
      </c>
      <c r="F1527" s="13" t="s">
        <v>1923</v>
      </c>
      <c r="G1527" s="410" t="s">
        <v>48</v>
      </c>
      <c r="H1527" s="411">
        <v>1.05</v>
      </c>
      <c r="I1527" s="412">
        <f>IF(AND(E1527&lt;&gt;"",G1527&lt;&gt;""),IF(D1527="",IF(G1527="OH",VLOOKUP(F1527,UPAH!$B$4:$H$101,7,0),VLOOKUP(F1527,#REF!,4,0)),0),0)</f>
        <v>0</v>
      </c>
      <c r="J1527" s="16">
        <f t="shared" si="21"/>
        <v>0</v>
      </c>
    </row>
    <row r="1528" spans="1:10" ht="13">
      <c r="A1528" s="27"/>
      <c r="B1528" s="110"/>
      <c r="D1528" s="409"/>
      <c r="E1528" s="13" t="s">
        <v>50</v>
      </c>
      <c r="F1528" s="13" t="s">
        <v>1928</v>
      </c>
      <c r="G1528" s="410" t="s">
        <v>48</v>
      </c>
      <c r="H1528" s="411">
        <v>0.26500000000000001</v>
      </c>
      <c r="I1528" s="412">
        <f>IF(AND(E1528&lt;&gt;"",G1528&lt;&gt;""),IF(D1528="",IF(G1528="OH",VLOOKUP(F1528,UPAH!$B$4:$H$101,7,0),VLOOKUP(F1528,#REF!,4,0)),0),0)</f>
        <v>0</v>
      </c>
      <c r="J1528" s="16">
        <f t="shared" si="21"/>
        <v>0</v>
      </c>
    </row>
    <row r="1529" spans="1:10" ht="13.5" thickBot="1">
      <c r="A1529" s="27"/>
      <c r="B1529" s="110"/>
      <c r="D1529" s="409"/>
      <c r="E1529" s="13" t="s">
        <v>51</v>
      </c>
      <c r="F1529" s="13" t="s">
        <v>1929</v>
      </c>
      <c r="G1529" s="410" t="s">
        <v>48</v>
      </c>
      <c r="H1529" s="411">
        <v>0.26500000000000001</v>
      </c>
      <c r="I1529" s="412">
        <f>IF(AND(E1529&lt;&gt;"",G1529&lt;&gt;""),IF(D1529="",IF(G1529="OH",VLOOKUP(F1529,UPAH!$B$4:$H$101,7,0),VLOOKUP(F1529,#REF!,4,0)),0),0)</f>
        <v>0</v>
      </c>
      <c r="J1529" s="16">
        <f t="shared" si="21"/>
        <v>0</v>
      </c>
    </row>
    <row r="1530" spans="1:10" ht="13.5" thickBot="1">
      <c r="A1530" s="27"/>
      <c r="B1530" s="110"/>
      <c r="D1530" s="417"/>
      <c r="E1530" s="418"/>
      <c r="F1530" s="418"/>
      <c r="G1530" s="419"/>
      <c r="H1530" s="420" t="s">
        <v>52</v>
      </c>
      <c r="I1530" s="421"/>
      <c r="J1530" s="396">
        <f>SUM(J1524:J1529)</f>
        <v>0</v>
      </c>
    </row>
    <row r="1531" spans="1:10" ht="13">
      <c r="A1531" s="27"/>
      <c r="B1531" s="110"/>
      <c r="D1531" s="406" t="s">
        <v>53</v>
      </c>
      <c r="E1531" s="13" t="s">
        <v>54</v>
      </c>
      <c r="F1531" s="14"/>
      <c r="G1531" s="15"/>
      <c r="H1531" s="451"/>
      <c r="I1531" s="412"/>
      <c r="J1531" s="16"/>
    </row>
    <row r="1532" spans="1:10" ht="13">
      <c r="A1532" s="27"/>
      <c r="B1532" s="110"/>
      <c r="D1532" s="409"/>
      <c r="E1532" s="13" t="s">
        <v>120</v>
      </c>
      <c r="F1532" s="14"/>
      <c r="G1532" s="410" t="s">
        <v>375</v>
      </c>
      <c r="H1532" s="411">
        <v>0.32</v>
      </c>
      <c r="I1532" s="412">
        <f>'BAHAN '!G200</f>
        <v>0</v>
      </c>
      <c r="J1532" s="16">
        <f t="shared" ref="J1532:J1542" si="22">H1532*I1532</f>
        <v>0</v>
      </c>
    </row>
    <row r="1533" spans="1:10" ht="13">
      <c r="A1533" s="27"/>
      <c r="B1533" s="110"/>
      <c r="D1533" s="409"/>
      <c r="E1533" s="13" t="s">
        <v>486</v>
      </c>
      <c r="F1533" s="14"/>
      <c r="G1533" s="410" t="s">
        <v>93</v>
      </c>
      <c r="H1533" s="411">
        <v>3.2</v>
      </c>
      <c r="I1533" s="412">
        <f>'BAHAN '!G127</f>
        <v>0</v>
      </c>
      <c r="J1533" s="16">
        <f t="shared" si="22"/>
        <v>0</v>
      </c>
    </row>
    <row r="1534" spans="1:10" ht="13">
      <c r="A1534" s="27"/>
      <c r="B1534" s="110"/>
      <c r="D1534" s="409"/>
      <c r="E1534" s="13" t="s">
        <v>122</v>
      </c>
      <c r="F1534" s="14"/>
      <c r="G1534" s="410" t="s">
        <v>63</v>
      </c>
      <c r="H1534" s="411">
        <v>1.6</v>
      </c>
      <c r="I1534" s="412">
        <f>'BAHAN '!G54</f>
        <v>0</v>
      </c>
      <c r="J1534" s="16">
        <f t="shared" si="22"/>
        <v>0</v>
      </c>
    </row>
    <row r="1535" spans="1:10" ht="13">
      <c r="A1535" s="27"/>
      <c r="B1535" s="110"/>
      <c r="D1535" s="409"/>
      <c r="E1535" s="13" t="s">
        <v>118</v>
      </c>
      <c r="F1535" s="14"/>
      <c r="G1535" s="410" t="s">
        <v>93</v>
      </c>
      <c r="H1535" s="411">
        <v>157.5</v>
      </c>
      <c r="I1535" s="412">
        <f>'BAHAN '!G148</f>
        <v>0</v>
      </c>
      <c r="J1535" s="16">
        <f t="shared" si="22"/>
        <v>0</v>
      </c>
    </row>
    <row r="1536" spans="1:10" ht="13">
      <c r="A1536" s="27"/>
      <c r="B1536" s="110"/>
      <c r="D1536" s="409"/>
      <c r="E1536" s="13" t="s">
        <v>107</v>
      </c>
      <c r="F1536" s="14"/>
      <c r="G1536" s="410" t="s">
        <v>93</v>
      </c>
      <c r="H1536" s="411">
        <v>2.25</v>
      </c>
      <c r="I1536" s="412">
        <f>'BAHAN '!G116</f>
        <v>0</v>
      </c>
      <c r="J1536" s="16">
        <f t="shared" si="22"/>
        <v>0</v>
      </c>
    </row>
    <row r="1537" spans="1:10" ht="13">
      <c r="A1537" s="27"/>
      <c r="B1537" s="110"/>
      <c r="D1537" s="409"/>
      <c r="E1537" s="13" t="s">
        <v>56</v>
      </c>
      <c r="F1537" s="14"/>
      <c r="G1537" s="410" t="s">
        <v>93</v>
      </c>
      <c r="H1537" s="411">
        <v>336</v>
      </c>
      <c r="I1537" s="412">
        <f>'BAHAN '!G72</f>
        <v>0</v>
      </c>
      <c r="J1537" s="16">
        <f t="shared" si="22"/>
        <v>0</v>
      </c>
    </row>
    <row r="1538" spans="1:10" ht="13">
      <c r="A1538" s="27"/>
      <c r="B1538" s="110"/>
      <c r="D1538" s="409"/>
      <c r="E1538" s="13" t="s">
        <v>126</v>
      </c>
      <c r="F1538" s="14"/>
      <c r="G1538" s="410" t="s">
        <v>375</v>
      </c>
      <c r="H1538" s="411">
        <v>0.54</v>
      </c>
      <c r="I1538" s="412">
        <f>'BAHAN '!G59</f>
        <v>0</v>
      </c>
      <c r="J1538" s="16">
        <f t="shared" si="22"/>
        <v>0</v>
      </c>
    </row>
    <row r="1539" spans="1:10" ht="13">
      <c r="A1539" s="27"/>
      <c r="B1539" s="110"/>
      <c r="D1539" s="409"/>
      <c r="E1539" s="13" t="s">
        <v>106</v>
      </c>
      <c r="F1539" s="14"/>
      <c r="G1539" s="410" t="s">
        <v>375</v>
      </c>
      <c r="H1539" s="411">
        <v>0.81</v>
      </c>
      <c r="I1539" s="412">
        <f>'BAHAN '!G49</f>
        <v>0</v>
      </c>
      <c r="J1539" s="16">
        <f t="shared" si="22"/>
        <v>0</v>
      </c>
    </row>
    <row r="1540" spans="1:10" ht="13">
      <c r="A1540" s="27"/>
      <c r="B1540" s="110"/>
      <c r="D1540" s="409"/>
      <c r="E1540" s="13" t="s">
        <v>398</v>
      </c>
      <c r="F1540" s="14"/>
      <c r="G1540" s="410" t="s">
        <v>375</v>
      </c>
      <c r="H1540" s="411">
        <v>0.12</v>
      </c>
      <c r="I1540" s="412">
        <f>'BAHAN '!G199</f>
        <v>0</v>
      </c>
      <c r="J1540" s="16">
        <f t="shared" si="22"/>
        <v>0</v>
      </c>
    </row>
    <row r="1541" spans="1:10" ht="13">
      <c r="A1541" s="27"/>
      <c r="B1541" s="110"/>
      <c r="D1541" s="409"/>
      <c r="E1541" s="13" t="s">
        <v>2878</v>
      </c>
      <c r="F1541" s="14"/>
      <c r="G1541" s="410" t="s">
        <v>175</v>
      </c>
      <c r="H1541" s="411">
        <v>2.8</v>
      </c>
      <c r="I1541" s="412">
        <f>'BAHAN '!G809</f>
        <v>0</v>
      </c>
      <c r="J1541" s="16">
        <f t="shared" si="22"/>
        <v>0</v>
      </c>
    </row>
    <row r="1542" spans="1:10" ht="13.5" thickBot="1">
      <c r="A1542" s="27"/>
      <c r="B1542" s="110"/>
      <c r="D1542" s="409"/>
      <c r="E1542" s="13" t="s">
        <v>471</v>
      </c>
      <c r="F1542" s="14"/>
      <c r="G1542" s="410" t="s">
        <v>55</v>
      </c>
      <c r="H1542" s="411">
        <v>32</v>
      </c>
      <c r="I1542" s="464">
        <f>'BAHAN '!G794</f>
        <v>0</v>
      </c>
      <c r="J1542" s="16">
        <f t="shared" si="22"/>
        <v>0</v>
      </c>
    </row>
    <row r="1543" spans="1:10" ht="13.5" thickBot="1">
      <c r="A1543" s="27"/>
      <c r="B1543" s="110"/>
      <c r="D1543" s="417"/>
      <c r="E1543" s="418"/>
      <c r="F1543" s="418"/>
      <c r="G1543" s="419"/>
      <c r="H1543" s="420" t="s">
        <v>64</v>
      </c>
      <c r="I1543" s="421"/>
      <c r="J1543" s="396">
        <f>SUM(J1532:J1542)</f>
        <v>0</v>
      </c>
    </row>
    <row r="1544" spans="1:10" ht="13.5" thickBot="1">
      <c r="A1544" s="27"/>
      <c r="B1544" s="110"/>
      <c r="D1544" s="406" t="s">
        <v>65</v>
      </c>
      <c r="E1544" s="13" t="s">
        <v>66</v>
      </c>
      <c r="F1544" s="14"/>
      <c r="G1544" s="15"/>
      <c r="H1544" s="451"/>
      <c r="I1544" s="412">
        <f>IF(AND(E1544&lt;&gt;"",G1544&lt;&gt;""),IF(D1544="",IF(G1544="OH",VLOOKUP(E1544,UPAH!$C$4:$H$31,7,0),VLOOKUP(E1544,#REF!,4,0)),0),0)</f>
        <v>0</v>
      </c>
      <c r="J1544" s="16">
        <f>H1544*I1544</f>
        <v>0</v>
      </c>
    </row>
    <row r="1545" spans="1:10" ht="13.5" thickBot="1">
      <c r="A1545" s="27"/>
      <c r="B1545" s="110"/>
      <c r="D1545" s="417"/>
      <c r="E1545" s="418"/>
      <c r="F1545" s="418"/>
      <c r="G1545" s="419"/>
      <c r="H1545" s="420" t="s">
        <v>67</v>
      </c>
      <c r="I1545" s="421"/>
      <c r="J1545" s="396">
        <f>J1544</f>
        <v>0</v>
      </c>
    </row>
    <row r="1546" spans="1:10" ht="13">
      <c r="A1546" s="27"/>
      <c r="B1546" s="110"/>
      <c r="D1546" s="444" t="s">
        <v>68</v>
      </c>
      <c r="E1546" s="445" t="s">
        <v>69</v>
      </c>
      <c r="F1546" s="446"/>
      <c r="G1546" s="447"/>
      <c r="H1546" s="448"/>
      <c r="I1546" s="449">
        <f>IF(AND(E1546&lt;&gt;"",G1546&lt;&gt;""),IF(D1546="",IF(G1546="OH",VLOOKUP(E1546,UPAH!$C$4:$H$31,7,0),VLOOKUP(E1546,#REF!,4,0)),0),0)</f>
        <v>0</v>
      </c>
      <c r="J1546" s="16">
        <f>SUM(J1522:J1545)/2</f>
        <v>0</v>
      </c>
    </row>
    <row r="1547" spans="1:10" ht="13.5" thickBot="1">
      <c r="A1547" s="27"/>
      <c r="B1547" s="110"/>
      <c r="D1547" s="431" t="s">
        <v>70</v>
      </c>
      <c r="E1547" s="432" t="s">
        <v>477</v>
      </c>
      <c r="F1547" s="433"/>
      <c r="G1547" s="434"/>
      <c r="H1547" s="22">
        <v>0.1</v>
      </c>
      <c r="I1547" s="436"/>
      <c r="J1547" s="430">
        <f>H1547*J1546</f>
        <v>0</v>
      </c>
    </row>
    <row r="1548" spans="1:10" ht="13.5" thickBot="1">
      <c r="A1548" s="27"/>
      <c r="B1548" s="110"/>
      <c r="D1548" s="401" t="s">
        <v>71</v>
      </c>
      <c r="E1548" s="402" t="s">
        <v>72</v>
      </c>
      <c r="F1548" s="418"/>
      <c r="G1548" s="419"/>
      <c r="H1548" s="442"/>
      <c r="I1548" s="421">
        <f>IF(AND(E1548&lt;&gt;"",G1548&lt;&gt;""),IF(D1548="",IF(G1548="OH",VLOOKUP(E1548,UPAH!$C$4:$H$31,7,0),VLOOKUP(E1548,#REF!,4,0)),0),0)</f>
        <v>0</v>
      </c>
      <c r="J1548" s="396">
        <f>ROUNDDOWN(J1546+J1547,0)</f>
        <v>0</v>
      </c>
    </row>
    <row r="1549" spans="1:10" ht="13">
      <c r="A1549" s="27"/>
      <c r="B1549" s="110"/>
      <c r="D1549" s="11"/>
      <c r="E1549" s="11"/>
      <c r="H1549" s="443"/>
      <c r="I1549" s="17"/>
      <c r="J1549" s="18"/>
    </row>
    <row r="1550" spans="1:10" ht="13.5" thickBot="1">
      <c r="A1550" s="27"/>
      <c r="B1550" s="110"/>
      <c r="C1550" s="11" t="s">
        <v>649</v>
      </c>
      <c r="D1550" s="10" t="s">
        <v>650</v>
      </c>
      <c r="H1550" s="443"/>
    </row>
    <row r="1551" spans="1:10" ht="13.5" thickBot="1">
      <c r="A1551" s="27"/>
      <c r="B1551" s="110"/>
      <c r="D1551" s="401" t="s">
        <v>40</v>
      </c>
      <c r="E1551" s="402" t="s">
        <v>41</v>
      </c>
      <c r="F1551" s="402" t="s">
        <v>42</v>
      </c>
      <c r="G1551" s="403" t="s">
        <v>43</v>
      </c>
      <c r="H1551" s="404" t="s">
        <v>44</v>
      </c>
      <c r="I1551" s="402" t="s">
        <v>474</v>
      </c>
      <c r="J1551" s="405" t="s">
        <v>475</v>
      </c>
    </row>
    <row r="1552" spans="1:10" ht="13">
      <c r="A1552" s="27"/>
      <c r="B1552" s="110"/>
      <c r="D1552" s="406" t="s">
        <v>45</v>
      </c>
      <c r="E1552" s="13" t="s">
        <v>46</v>
      </c>
      <c r="F1552" s="14"/>
      <c r="G1552" s="15"/>
      <c r="H1552" s="451"/>
      <c r="I1552" s="412"/>
      <c r="J1552" s="16"/>
    </row>
    <row r="1553" spans="1:10" ht="13">
      <c r="A1553" s="27"/>
      <c r="B1553" s="110"/>
      <c r="D1553" s="409"/>
      <c r="E1553" s="13" t="s">
        <v>47</v>
      </c>
      <c r="F1553" s="13" t="s">
        <v>1918</v>
      </c>
      <c r="G1553" s="410" t="s">
        <v>48</v>
      </c>
      <c r="H1553" s="411">
        <v>0.53</v>
      </c>
      <c r="I1553" s="412">
        <f>IF(AND(E1553&lt;&gt;"",G1553&lt;&gt;""),IF(D1553="",IF(G1553="OH",VLOOKUP(F1553,UPAH!$B$4:$H$101,7,0),VLOOKUP(F1553,#REF!,4,0)),0),0)</f>
        <v>0</v>
      </c>
      <c r="J1553" s="16">
        <f t="shared" ref="J1553:J1558" si="23">H1553*I1553</f>
        <v>0</v>
      </c>
    </row>
    <row r="1554" spans="1:10" ht="13">
      <c r="A1554" s="27"/>
      <c r="B1554" s="110"/>
      <c r="D1554" s="409"/>
      <c r="E1554" s="13" t="s">
        <v>81</v>
      </c>
      <c r="F1554" s="13" t="s">
        <v>1921</v>
      </c>
      <c r="G1554" s="410" t="s">
        <v>48</v>
      </c>
      <c r="H1554" s="411">
        <v>0.27500000000000002</v>
      </c>
      <c r="I1554" s="412">
        <f>IF(AND(E1554&lt;&gt;"",G1554&lt;&gt;""),IF(D1554="",IF(G1554="OH",VLOOKUP(F1554,UPAH!$B$4:$H$101,7,0),VLOOKUP(F1554,#REF!,4,0)),0),0)</f>
        <v>0</v>
      </c>
      <c r="J1554" s="16">
        <f t="shared" si="23"/>
        <v>0</v>
      </c>
    </row>
    <row r="1555" spans="1:10" ht="13">
      <c r="A1555" s="27"/>
      <c r="B1555" s="110"/>
      <c r="D1555" s="409"/>
      <c r="E1555" s="13" t="s">
        <v>49</v>
      </c>
      <c r="F1555" s="13" t="s">
        <v>1922</v>
      </c>
      <c r="G1555" s="410" t="s">
        <v>48</v>
      </c>
      <c r="H1555" s="411">
        <v>1.3</v>
      </c>
      <c r="I1555" s="412">
        <f>IF(AND(E1555&lt;&gt;"",G1555&lt;&gt;""),IF(D1555="",IF(G1555="OH",VLOOKUP(F1555,UPAH!$B$4:$H$101,7,0),VLOOKUP(F1555,#REF!,4,0)),0),0)</f>
        <v>0</v>
      </c>
      <c r="J1555" s="16">
        <f t="shared" si="23"/>
        <v>0</v>
      </c>
    </row>
    <row r="1556" spans="1:10" ht="13">
      <c r="A1556" s="27"/>
      <c r="B1556" s="110"/>
      <c r="D1556" s="409"/>
      <c r="E1556" s="13" t="s">
        <v>117</v>
      </c>
      <c r="F1556" s="13" t="s">
        <v>1923</v>
      </c>
      <c r="G1556" s="410" t="s">
        <v>48</v>
      </c>
      <c r="H1556" s="411">
        <v>1.05</v>
      </c>
      <c r="I1556" s="412">
        <f>IF(AND(E1556&lt;&gt;"",G1556&lt;&gt;""),IF(D1556="",IF(G1556="OH",VLOOKUP(F1556,UPAH!$B$4:$H$101,7,0),VLOOKUP(F1556,#REF!,4,0)),0),0)</f>
        <v>0</v>
      </c>
      <c r="J1556" s="16">
        <f t="shared" si="23"/>
        <v>0</v>
      </c>
    </row>
    <row r="1557" spans="1:10" ht="13">
      <c r="A1557" s="27"/>
      <c r="B1557" s="110"/>
      <c r="D1557" s="409"/>
      <c r="E1557" s="13" t="s">
        <v>50</v>
      </c>
      <c r="F1557" s="13" t="s">
        <v>1928</v>
      </c>
      <c r="G1557" s="410" t="s">
        <v>48</v>
      </c>
      <c r="H1557" s="411">
        <v>0.26200000000000001</v>
      </c>
      <c r="I1557" s="412">
        <f>IF(AND(E1557&lt;&gt;"",G1557&lt;&gt;""),IF(D1557="",IF(G1557="OH",VLOOKUP(F1557,UPAH!$B$4:$H$101,7,0),VLOOKUP(F1557,#REF!,4,0)),0),0)</f>
        <v>0</v>
      </c>
      <c r="J1557" s="16">
        <f t="shared" si="23"/>
        <v>0</v>
      </c>
    </row>
    <row r="1558" spans="1:10" ht="13.5" thickBot="1">
      <c r="A1558" s="27"/>
      <c r="B1558" s="110"/>
      <c r="D1558" s="409"/>
      <c r="E1558" s="13" t="s">
        <v>51</v>
      </c>
      <c r="F1558" s="13" t="s">
        <v>1929</v>
      </c>
      <c r="G1558" s="410" t="s">
        <v>48</v>
      </c>
      <c r="H1558" s="411">
        <v>0.26500000000000001</v>
      </c>
      <c r="I1558" s="412">
        <f>IF(AND(E1558&lt;&gt;"",G1558&lt;&gt;""),IF(D1558="",IF(G1558="OH",VLOOKUP(F1558,UPAH!$B$4:$H$101,7,0),VLOOKUP(F1558,#REF!,4,0)),0),0)</f>
        <v>0</v>
      </c>
      <c r="J1558" s="16">
        <f t="shared" si="23"/>
        <v>0</v>
      </c>
    </row>
    <row r="1559" spans="1:10" ht="13.5" thickBot="1">
      <c r="A1559" s="27"/>
      <c r="B1559" s="110"/>
      <c r="D1559" s="417"/>
      <c r="E1559" s="418"/>
      <c r="F1559" s="418"/>
      <c r="G1559" s="419"/>
      <c r="H1559" s="420" t="s">
        <v>52</v>
      </c>
      <c r="I1559" s="421"/>
      <c r="J1559" s="396">
        <f>SUM(J1553:J1558)</f>
        <v>0</v>
      </c>
    </row>
    <row r="1560" spans="1:10" ht="13">
      <c r="A1560" s="27"/>
      <c r="B1560" s="110"/>
      <c r="D1560" s="406" t="s">
        <v>53</v>
      </c>
      <c r="E1560" s="13" t="s">
        <v>54</v>
      </c>
      <c r="F1560" s="14"/>
      <c r="G1560" s="15"/>
      <c r="H1560" s="451"/>
      <c r="I1560" s="412"/>
      <c r="J1560" s="16"/>
    </row>
    <row r="1561" spans="1:10" ht="13">
      <c r="A1561" s="27"/>
      <c r="B1561" s="110"/>
      <c r="D1561" s="409"/>
      <c r="E1561" s="13" t="s">
        <v>120</v>
      </c>
      <c r="F1561" s="14"/>
      <c r="G1561" s="410" t="s">
        <v>375</v>
      </c>
      <c r="H1561" s="411">
        <v>0.24</v>
      </c>
      <c r="I1561" s="412">
        <f>'BAHAN '!G200</f>
        <v>0</v>
      </c>
      <c r="J1561" s="16">
        <f t="shared" ref="J1561:J1571" si="24">H1561*I1561</f>
        <v>0</v>
      </c>
    </row>
    <row r="1562" spans="1:10" ht="13">
      <c r="A1562" s="27"/>
      <c r="B1562" s="110"/>
      <c r="D1562" s="409"/>
      <c r="E1562" s="13" t="s">
        <v>486</v>
      </c>
      <c r="F1562" s="14"/>
      <c r="G1562" s="410" t="s">
        <v>93</v>
      </c>
      <c r="H1562" s="411">
        <v>3.2</v>
      </c>
      <c r="I1562" s="412">
        <f>'BAHAN '!G127</f>
        <v>0</v>
      </c>
      <c r="J1562" s="16">
        <f t="shared" si="24"/>
        <v>0</v>
      </c>
    </row>
    <row r="1563" spans="1:10" ht="13">
      <c r="A1563" s="27"/>
      <c r="B1563" s="110"/>
      <c r="D1563" s="409"/>
      <c r="E1563" s="13" t="s">
        <v>122</v>
      </c>
      <c r="F1563" s="14"/>
      <c r="G1563" s="410" t="s">
        <v>63</v>
      </c>
      <c r="H1563" s="411">
        <v>1.6</v>
      </c>
      <c r="I1563" s="412">
        <f>'BAHAN '!G54</f>
        <v>0</v>
      </c>
      <c r="J1563" s="16">
        <f t="shared" si="24"/>
        <v>0</v>
      </c>
    </row>
    <row r="1564" spans="1:10" ht="13">
      <c r="A1564" s="27"/>
      <c r="B1564" s="110"/>
      <c r="D1564" s="409"/>
      <c r="E1564" s="13" t="s">
        <v>118</v>
      </c>
      <c r="F1564" s="14"/>
      <c r="G1564" s="410" t="s">
        <v>93</v>
      </c>
      <c r="H1564" s="411">
        <v>157.5</v>
      </c>
      <c r="I1564" s="412">
        <f>'BAHAN '!G148</f>
        <v>0</v>
      </c>
      <c r="J1564" s="16">
        <f t="shared" si="24"/>
        <v>0</v>
      </c>
    </row>
    <row r="1565" spans="1:10" ht="13">
      <c r="A1565" s="27"/>
      <c r="B1565" s="110"/>
      <c r="D1565" s="409"/>
      <c r="E1565" s="13" t="s">
        <v>107</v>
      </c>
      <c r="F1565" s="14"/>
      <c r="G1565" s="410" t="s">
        <v>93</v>
      </c>
      <c r="H1565" s="411">
        <v>2.25</v>
      </c>
      <c r="I1565" s="412">
        <f>'BAHAN '!G116</f>
        <v>0</v>
      </c>
      <c r="J1565" s="16">
        <f t="shared" si="24"/>
        <v>0</v>
      </c>
    </row>
    <row r="1566" spans="1:10" ht="13">
      <c r="A1566" s="27"/>
      <c r="B1566" s="110"/>
      <c r="D1566" s="409"/>
      <c r="E1566" s="13" t="s">
        <v>56</v>
      </c>
      <c r="F1566" s="14"/>
      <c r="G1566" s="410" t="s">
        <v>93</v>
      </c>
      <c r="H1566" s="411">
        <v>336</v>
      </c>
      <c r="I1566" s="412">
        <f>'BAHAN '!G72</f>
        <v>0</v>
      </c>
      <c r="J1566" s="16">
        <f t="shared" si="24"/>
        <v>0</v>
      </c>
    </row>
    <row r="1567" spans="1:10" ht="13">
      <c r="A1567" s="27"/>
      <c r="B1567" s="110"/>
      <c r="D1567" s="409"/>
      <c r="E1567" s="13" t="s">
        <v>126</v>
      </c>
      <c r="F1567" s="14"/>
      <c r="G1567" s="410" t="s">
        <v>375</v>
      </c>
      <c r="H1567" s="411">
        <v>0.54</v>
      </c>
      <c r="I1567" s="412">
        <f>'BAHAN '!G59</f>
        <v>0</v>
      </c>
      <c r="J1567" s="16">
        <f t="shared" si="24"/>
        <v>0</v>
      </c>
    </row>
    <row r="1568" spans="1:10" ht="13">
      <c r="A1568" s="27"/>
      <c r="B1568" s="110"/>
      <c r="D1568" s="409"/>
      <c r="E1568" s="13" t="s">
        <v>106</v>
      </c>
      <c r="F1568" s="14"/>
      <c r="G1568" s="410" t="s">
        <v>375</v>
      </c>
      <c r="H1568" s="411">
        <v>0.81</v>
      </c>
      <c r="I1568" s="412">
        <f>'BAHAN '!G49</f>
        <v>0</v>
      </c>
      <c r="J1568" s="16">
        <f t="shared" si="24"/>
        <v>0</v>
      </c>
    </row>
    <row r="1569" spans="1:10" ht="13">
      <c r="A1569" s="27"/>
      <c r="B1569" s="110"/>
      <c r="D1569" s="409"/>
      <c r="E1569" s="13" t="s">
        <v>398</v>
      </c>
      <c r="F1569" s="14"/>
      <c r="G1569" s="410" t="s">
        <v>375</v>
      </c>
      <c r="H1569" s="411">
        <v>0.16</v>
      </c>
      <c r="I1569" s="412">
        <f>'BAHAN '!G199</f>
        <v>0</v>
      </c>
      <c r="J1569" s="16">
        <f t="shared" si="24"/>
        <v>0</v>
      </c>
    </row>
    <row r="1570" spans="1:10" ht="13">
      <c r="A1570" s="27"/>
      <c r="B1570" s="110"/>
      <c r="D1570" s="409"/>
      <c r="E1570" s="458" t="s">
        <v>487</v>
      </c>
      <c r="F1570" s="14"/>
      <c r="G1570" s="410" t="s">
        <v>175</v>
      </c>
      <c r="H1570" s="411">
        <v>2.8</v>
      </c>
      <c r="I1570" s="412">
        <f>'BAHAN '!G809</f>
        <v>0</v>
      </c>
      <c r="J1570" s="16">
        <f t="shared" si="24"/>
        <v>0</v>
      </c>
    </row>
    <row r="1571" spans="1:10" ht="13.5" thickBot="1">
      <c r="A1571" s="27"/>
      <c r="B1571" s="110"/>
      <c r="D1571" s="409"/>
      <c r="E1571" s="13" t="s">
        <v>471</v>
      </c>
      <c r="F1571" s="14"/>
      <c r="G1571" s="410" t="s">
        <v>55</v>
      </c>
      <c r="H1571" s="411">
        <v>24</v>
      </c>
      <c r="I1571" s="464">
        <f>'BAHAN '!G794</f>
        <v>0</v>
      </c>
      <c r="J1571" s="16">
        <f t="shared" si="24"/>
        <v>0</v>
      </c>
    </row>
    <row r="1572" spans="1:10" ht="13.5" thickBot="1">
      <c r="A1572" s="27"/>
      <c r="B1572" s="110"/>
      <c r="D1572" s="417"/>
      <c r="E1572" s="418"/>
      <c r="F1572" s="418"/>
      <c r="G1572" s="419"/>
      <c r="H1572" s="420" t="s">
        <v>64</v>
      </c>
      <c r="I1572" s="421"/>
      <c r="J1572" s="396">
        <f>SUM(J1561:J1571)</f>
        <v>0</v>
      </c>
    </row>
    <row r="1573" spans="1:10" ht="13.5" thickBot="1">
      <c r="A1573" s="27"/>
      <c r="B1573" s="110"/>
      <c r="D1573" s="406" t="s">
        <v>65</v>
      </c>
      <c r="E1573" s="13" t="s">
        <v>66</v>
      </c>
      <c r="F1573" s="14"/>
      <c r="G1573" s="15"/>
      <c r="H1573" s="451"/>
      <c r="I1573" s="412">
        <f>IF(AND(E1573&lt;&gt;"",G1573&lt;&gt;""),IF(D1573="",IF(G1573="OH",VLOOKUP(E1573,UPAH!$C$4:$H$31,7,0),VLOOKUP(E1573,#REF!,4,0)),0),0)</f>
        <v>0</v>
      </c>
      <c r="J1573" s="16">
        <f>H1573*I1573</f>
        <v>0</v>
      </c>
    </row>
    <row r="1574" spans="1:10" ht="13.5" thickBot="1">
      <c r="A1574" s="27"/>
      <c r="B1574" s="110"/>
      <c r="D1574" s="417"/>
      <c r="E1574" s="418"/>
      <c r="F1574" s="418"/>
      <c r="G1574" s="419"/>
      <c r="H1574" s="420" t="s">
        <v>67</v>
      </c>
      <c r="I1574" s="421"/>
      <c r="J1574" s="396">
        <f>J1573</f>
        <v>0</v>
      </c>
    </row>
    <row r="1575" spans="1:10" ht="13">
      <c r="A1575" s="27"/>
      <c r="B1575" s="110"/>
      <c r="D1575" s="444" t="s">
        <v>68</v>
      </c>
      <c r="E1575" s="445" t="s">
        <v>69</v>
      </c>
      <c r="F1575" s="446"/>
      <c r="G1575" s="447"/>
      <c r="H1575" s="448"/>
      <c r="I1575" s="449">
        <f>IF(AND(E1575&lt;&gt;"",G1575&lt;&gt;""),IF(D1575="",IF(G1575="OH",VLOOKUP(E1575,UPAH!$C$4:$H$31,7,0),VLOOKUP(E1575,#REF!,4,0)),0),0)</f>
        <v>0</v>
      </c>
      <c r="J1575" s="16">
        <f>SUM(J1553:J1574)/2</f>
        <v>0</v>
      </c>
    </row>
    <row r="1576" spans="1:10" ht="13.5" thickBot="1">
      <c r="A1576" s="27"/>
      <c r="B1576" s="110"/>
      <c r="D1576" s="431" t="s">
        <v>70</v>
      </c>
      <c r="E1576" s="432" t="s">
        <v>477</v>
      </c>
      <c r="F1576" s="433"/>
      <c r="G1576" s="434"/>
      <c r="H1576" s="22">
        <v>0.1</v>
      </c>
      <c r="I1576" s="436"/>
      <c r="J1576" s="430">
        <f>H1576*J1575</f>
        <v>0</v>
      </c>
    </row>
    <row r="1577" spans="1:10" ht="13.5" thickBot="1">
      <c r="A1577" s="27"/>
      <c r="B1577" s="110"/>
      <c r="D1577" s="401" t="s">
        <v>71</v>
      </c>
      <c r="E1577" s="402" t="s">
        <v>72</v>
      </c>
      <c r="F1577" s="418"/>
      <c r="G1577" s="419"/>
      <c r="H1577" s="442"/>
      <c r="I1577" s="421">
        <f>IF(AND(E1577&lt;&gt;"",G1577&lt;&gt;""),IF(D1577="",IF(G1577="OH",VLOOKUP(E1577,UPAH!$C$4:$H$31,7,0),VLOOKUP(E1577,#REF!,4,0)),0),0)</f>
        <v>0</v>
      </c>
      <c r="J1577" s="396">
        <f>ROUNDDOWN(J1575+J1576,0)</f>
        <v>0</v>
      </c>
    </row>
    <row r="1578" spans="1:10" ht="13">
      <c r="A1578" s="27"/>
      <c r="B1578" s="110"/>
      <c r="D1578" s="11"/>
      <c r="E1578" s="11"/>
      <c r="H1578" s="443"/>
    </row>
    <row r="1579" spans="1:10" ht="13.5" thickBot="1">
      <c r="A1579" s="27"/>
      <c r="B1579" s="110"/>
      <c r="C1579" s="11" t="s">
        <v>651</v>
      </c>
      <c r="D1579" s="10" t="s">
        <v>652</v>
      </c>
      <c r="H1579" s="443"/>
    </row>
    <row r="1580" spans="1:10" ht="13.5" thickBot="1">
      <c r="A1580" s="27"/>
      <c r="B1580" s="110"/>
      <c r="D1580" s="401" t="s">
        <v>40</v>
      </c>
      <c r="E1580" s="402" t="s">
        <v>41</v>
      </c>
      <c r="F1580" s="402" t="s">
        <v>42</v>
      </c>
      <c r="G1580" s="403" t="s">
        <v>43</v>
      </c>
      <c r="H1580" s="404" t="s">
        <v>44</v>
      </c>
      <c r="I1580" s="402" t="s">
        <v>474</v>
      </c>
      <c r="J1580" s="405" t="s">
        <v>475</v>
      </c>
    </row>
    <row r="1581" spans="1:10" ht="13">
      <c r="A1581" s="27"/>
      <c r="B1581" s="110"/>
      <c r="D1581" s="406" t="s">
        <v>45</v>
      </c>
      <c r="E1581" s="13" t="s">
        <v>46</v>
      </c>
      <c r="F1581" s="14"/>
      <c r="G1581" s="15"/>
      <c r="H1581" s="451"/>
      <c r="I1581" s="412"/>
      <c r="J1581" s="16"/>
    </row>
    <row r="1582" spans="1:10" ht="13">
      <c r="A1582" s="27"/>
      <c r="B1582" s="110"/>
      <c r="D1582" s="409"/>
      <c r="E1582" s="13" t="s">
        <v>47</v>
      </c>
      <c r="F1582" s="13" t="s">
        <v>1918</v>
      </c>
      <c r="G1582" s="410" t="s">
        <v>48</v>
      </c>
      <c r="H1582" s="411">
        <v>5.65</v>
      </c>
      <c r="I1582" s="412">
        <f>IF(AND(E1582&lt;&gt;"",G1582&lt;&gt;""),IF(D1582="",IF(G1582="OH",VLOOKUP(F1582,UPAH!$B$4:$H$101,7,0),VLOOKUP(F1582,#REF!,4,0)),0),0)</f>
        <v>0</v>
      </c>
      <c r="J1582" s="16">
        <f t="shared" ref="J1582:J1587" si="25">H1582*I1582</f>
        <v>0</v>
      </c>
    </row>
    <row r="1583" spans="1:10" ht="13">
      <c r="A1583" s="27"/>
      <c r="B1583" s="110"/>
      <c r="D1583" s="409"/>
      <c r="E1583" s="13" t="s">
        <v>81</v>
      </c>
      <c r="F1583" s="13" t="s">
        <v>1921</v>
      </c>
      <c r="G1583" s="410" t="s">
        <v>48</v>
      </c>
      <c r="H1583" s="411">
        <v>0.27500000000000002</v>
      </c>
      <c r="I1583" s="412">
        <f>IF(AND(E1583&lt;&gt;"",G1583&lt;&gt;""),IF(D1583="",IF(G1583="OH",VLOOKUP(F1583,UPAH!$B$4:$H$101,7,0),VLOOKUP(F1583,#REF!,4,0)),0),0)</f>
        <v>0</v>
      </c>
      <c r="J1583" s="16">
        <f t="shared" si="25"/>
        <v>0</v>
      </c>
    </row>
    <row r="1584" spans="1:10" ht="13">
      <c r="A1584" s="27"/>
      <c r="B1584" s="110"/>
      <c r="D1584" s="409"/>
      <c r="E1584" s="13" t="s">
        <v>49</v>
      </c>
      <c r="F1584" s="13" t="s">
        <v>1922</v>
      </c>
      <c r="G1584" s="410" t="s">
        <v>48</v>
      </c>
      <c r="H1584" s="411">
        <v>1.56</v>
      </c>
      <c r="I1584" s="412">
        <f>IF(AND(E1584&lt;&gt;"",G1584&lt;&gt;""),IF(D1584="",IF(G1584="OH",VLOOKUP(F1584,UPAH!$B$4:$H$101,7,0),VLOOKUP(F1584,#REF!,4,0)),0),0)</f>
        <v>0</v>
      </c>
      <c r="J1584" s="16">
        <f t="shared" si="25"/>
        <v>0</v>
      </c>
    </row>
    <row r="1585" spans="1:10" ht="13">
      <c r="A1585" s="27"/>
      <c r="B1585" s="110"/>
      <c r="D1585" s="409"/>
      <c r="E1585" s="13" t="s">
        <v>117</v>
      </c>
      <c r="F1585" s="13" t="s">
        <v>1923</v>
      </c>
      <c r="G1585" s="410" t="s">
        <v>48</v>
      </c>
      <c r="H1585" s="411">
        <v>1.4</v>
      </c>
      <c r="I1585" s="412">
        <f>IF(AND(E1585&lt;&gt;"",G1585&lt;&gt;""),IF(D1585="",IF(G1585="OH",VLOOKUP(F1585,UPAH!$B$4:$H$101,7,0),VLOOKUP(F1585,#REF!,4,0)),0),0)</f>
        <v>0</v>
      </c>
      <c r="J1585" s="16">
        <f t="shared" si="25"/>
        <v>0</v>
      </c>
    </row>
    <row r="1586" spans="1:10" ht="13">
      <c r="A1586" s="27"/>
      <c r="B1586" s="110"/>
      <c r="D1586" s="409"/>
      <c r="E1586" s="13" t="s">
        <v>50</v>
      </c>
      <c r="F1586" s="13" t="s">
        <v>1928</v>
      </c>
      <c r="G1586" s="410" t="s">
        <v>48</v>
      </c>
      <c r="H1586" s="411">
        <v>0.32300000000000001</v>
      </c>
      <c r="I1586" s="412">
        <f>IF(AND(E1586&lt;&gt;"",G1586&lt;&gt;""),IF(D1586="",IF(G1586="OH",VLOOKUP(F1586,UPAH!$B$4:$H$101,7,0),VLOOKUP(F1586,#REF!,4,0)),0),0)</f>
        <v>0</v>
      </c>
      <c r="J1586" s="16">
        <f t="shared" si="25"/>
        <v>0</v>
      </c>
    </row>
    <row r="1587" spans="1:10" ht="13.5" thickBot="1">
      <c r="A1587" s="27"/>
      <c r="B1587" s="110"/>
      <c r="D1587" s="409"/>
      <c r="E1587" s="13" t="s">
        <v>51</v>
      </c>
      <c r="F1587" s="13" t="s">
        <v>1929</v>
      </c>
      <c r="G1587" s="410" t="s">
        <v>48</v>
      </c>
      <c r="H1587" s="411">
        <v>0.28299999999999997</v>
      </c>
      <c r="I1587" s="412">
        <f>IF(AND(E1587&lt;&gt;"",G1587&lt;&gt;""),IF(D1587="",IF(G1587="OH",VLOOKUP(F1587,UPAH!$B$4:$H$101,7,0),VLOOKUP(F1587,#REF!,4,0)),0),0)</f>
        <v>0</v>
      </c>
      <c r="J1587" s="16">
        <f t="shared" si="25"/>
        <v>0</v>
      </c>
    </row>
    <row r="1588" spans="1:10" ht="13.5" thickBot="1">
      <c r="A1588" s="27"/>
      <c r="B1588" s="110"/>
      <c r="D1588" s="417"/>
      <c r="E1588" s="418"/>
      <c r="F1588" s="418"/>
      <c r="G1588" s="419"/>
      <c r="H1588" s="420" t="s">
        <v>52</v>
      </c>
      <c r="I1588" s="421"/>
      <c r="J1588" s="396">
        <f>SUM(J1582:J1587)</f>
        <v>0</v>
      </c>
    </row>
    <row r="1589" spans="1:10" ht="13">
      <c r="A1589" s="27"/>
      <c r="B1589" s="110"/>
      <c r="D1589" s="406" t="s">
        <v>53</v>
      </c>
      <c r="E1589" s="13" t="s">
        <v>54</v>
      </c>
      <c r="F1589" s="14"/>
      <c r="G1589" s="15"/>
      <c r="H1589" s="451"/>
      <c r="I1589" s="412"/>
      <c r="J1589" s="16"/>
    </row>
    <row r="1590" spans="1:10" ht="13">
      <c r="A1590" s="27"/>
      <c r="B1590" s="110"/>
      <c r="D1590" s="409"/>
      <c r="E1590" s="13" t="s">
        <v>120</v>
      </c>
      <c r="F1590" s="14"/>
      <c r="G1590" s="410" t="s">
        <v>375</v>
      </c>
      <c r="H1590" s="411">
        <v>0.25</v>
      </c>
      <c r="I1590" s="412">
        <f>'BAHAN '!G200</f>
        <v>0</v>
      </c>
      <c r="J1590" s="16">
        <f t="shared" ref="J1590:J1600" si="26">H1590*I1590</f>
        <v>0</v>
      </c>
    </row>
    <row r="1591" spans="1:10" ht="13">
      <c r="A1591" s="27"/>
      <c r="B1591" s="110"/>
      <c r="D1591" s="409"/>
      <c r="E1591" s="13" t="s">
        <v>486</v>
      </c>
      <c r="F1591" s="14"/>
      <c r="G1591" s="410" t="s">
        <v>93</v>
      </c>
      <c r="H1591" s="411">
        <v>3</v>
      </c>
      <c r="I1591" s="412">
        <f>'BAHAN '!G127</f>
        <v>0</v>
      </c>
      <c r="J1591" s="16">
        <f t="shared" si="26"/>
        <v>0</v>
      </c>
    </row>
    <row r="1592" spans="1:10" ht="13">
      <c r="A1592" s="27"/>
      <c r="B1592" s="110"/>
      <c r="D1592" s="409"/>
      <c r="E1592" s="13" t="s">
        <v>122</v>
      </c>
      <c r="F1592" s="14"/>
      <c r="G1592" s="410" t="s">
        <v>63</v>
      </c>
      <c r="H1592" s="411">
        <v>1.2</v>
      </c>
      <c r="I1592" s="412">
        <f>'BAHAN '!G54</f>
        <v>0</v>
      </c>
      <c r="J1592" s="16">
        <f t="shared" si="26"/>
        <v>0</v>
      </c>
    </row>
    <row r="1593" spans="1:10" ht="13">
      <c r="A1593" s="27"/>
      <c r="B1593" s="110"/>
      <c r="D1593" s="409"/>
      <c r="E1593" s="13" t="s">
        <v>118</v>
      </c>
      <c r="F1593" s="14"/>
      <c r="G1593" s="410" t="s">
        <v>93</v>
      </c>
      <c r="H1593" s="411">
        <v>210</v>
      </c>
      <c r="I1593" s="412">
        <f>'BAHAN '!G148</f>
        <v>0</v>
      </c>
      <c r="J1593" s="16">
        <f t="shared" si="26"/>
        <v>0</v>
      </c>
    </row>
    <row r="1594" spans="1:10" ht="13">
      <c r="A1594" s="27"/>
      <c r="B1594" s="110"/>
      <c r="D1594" s="409"/>
      <c r="E1594" s="13" t="s">
        <v>107</v>
      </c>
      <c r="F1594" s="14"/>
      <c r="G1594" s="410" t="s">
        <v>93</v>
      </c>
      <c r="H1594" s="411">
        <v>3</v>
      </c>
      <c r="I1594" s="412">
        <f>'BAHAN '!G116</f>
        <v>0</v>
      </c>
      <c r="J1594" s="16">
        <f t="shared" si="26"/>
        <v>0</v>
      </c>
    </row>
    <row r="1595" spans="1:10" ht="13">
      <c r="A1595" s="27"/>
      <c r="B1595" s="110"/>
      <c r="D1595" s="409"/>
      <c r="E1595" s="13" t="s">
        <v>56</v>
      </c>
      <c r="F1595" s="14"/>
      <c r="G1595" s="410" t="s">
        <v>93</v>
      </c>
      <c r="H1595" s="411">
        <v>336</v>
      </c>
      <c r="I1595" s="412">
        <f>'BAHAN '!G72</f>
        <v>0</v>
      </c>
      <c r="J1595" s="16">
        <f t="shared" si="26"/>
        <v>0</v>
      </c>
    </row>
    <row r="1596" spans="1:10" ht="13">
      <c r="A1596" s="27"/>
      <c r="B1596" s="110"/>
      <c r="D1596" s="409"/>
      <c r="E1596" s="13" t="s">
        <v>126</v>
      </c>
      <c r="F1596" s="14"/>
      <c r="G1596" s="410" t="s">
        <v>375</v>
      </c>
      <c r="H1596" s="411">
        <v>0.54</v>
      </c>
      <c r="I1596" s="412">
        <f>'BAHAN '!G59</f>
        <v>0</v>
      </c>
      <c r="J1596" s="16">
        <f t="shared" si="26"/>
        <v>0</v>
      </c>
    </row>
    <row r="1597" spans="1:10" ht="13">
      <c r="A1597" s="27"/>
      <c r="B1597" s="110"/>
      <c r="D1597" s="409"/>
      <c r="E1597" s="13" t="s">
        <v>106</v>
      </c>
      <c r="F1597" s="14"/>
      <c r="G1597" s="410" t="s">
        <v>375</v>
      </c>
      <c r="H1597" s="411">
        <v>0.81</v>
      </c>
      <c r="I1597" s="412">
        <f>'BAHAN '!G49</f>
        <v>0</v>
      </c>
      <c r="J1597" s="16">
        <f t="shared" si="26"/>
        <v>0</v>
      </c>
    </row>
    <row r="1598" spans="1:10" ht="13">
      <c r="A1598" s="27"/>
      <c r="B1598" s="110"/>
      <c r="D1598" s="409"/>
      <c r="E1598" s="13" t="s">
        <v>398</v>
      </c>
      <c r="F1598" s="14"/>
      <c r="G1598" s="410" t="s">
        <v>375</v>
      </c>
      <c r="H1598" s="411">
        <v>0.105</v>
      </c>
      <c r="I1598" s="412">
        <f>'BAHAN '!G199</f>
        <v>0</v>
      </c>
      <c r="J1598" s="16">
        <f t="shared" si="26"/>
        <v>0</v>
      </c>
    </row>
    <row r="1599" spans="1:10" ht="13">
      <c r="A1599" s="27"/>
      <c r="B1599" s="110"/>
      <c r="D1599" s="409"/>
      <c r="E1599" s="13" t="s">
        <v>2878</v>
      </c>
      <c r="F1599" s="14"/>
      <c r="G1599" s="410" t="s">
        <v>175</v>
      </c>
      <c r="H1599" s="411">
        <v>2.5</v>
      </c>
      <c r="I1599" s="412">
        <f t="shared" ref="I1599:I1600" si="27">I1570</f>
        <v>0</v>
      </c>
      <c r="J1599" s="16">
        <f t="shared" si="26"/>
        <v>0</v>
      </c>
    </row>
    <row r="1600" spans="1:10" ht="13.5" thickBot="1">
      <c r="A1600" s="27"/>
      <c r="B1600" s="110"/>
      <c r="D1600" s="409"/>
      <c r="E1600" s="13" t="s">
        <v>471</v>
      </c>
      <c r="F1600" s="14"/>
      <c r="G1600" s="410" t="s">
        <v>55</v>
      </c>
      <c r="H1600" s="411">
        <v>14</v>
      </c>
      <c r="I1600" s="412">
        <f t="shared" si="27"/>
        <v>0</v>
      </c>
      <c r="J1600" s="16">
        <f t="shared" si="26"/>
        <v>0</v>
      </c>
    </row>
    <row r="1601" spans="1:10" ht="13.5" thickBot="1">
      <c r="A1601" s="27"/>
      <c r="B1601" s="110"/>
      <c r="D1601" s="417"/>
      <c r="E1601" s="418"/>
      <c r="F1601" s="418"/>
      <c r="G1601" s="419"/>
      <c r="H1601" s="420" t="s">
        <v>64</v>
      </c>
      <c r="I1601" s="421"/>
      <c r="J1601" s="396">
        <f>SUM(J1590:J1600)</f>
        <v>0</v>
      </c>
    </row>
    <row r="1602" spans="1:10" ht="13.5" thickBot="1">
      <c r="A1602" s="27"/>
      <c r="B1602" s="110"/>
      <c r="D1602" s="406" t="s">
        <v>65</v>
      </c>
      <c r="E1602" s="13" t="s">
        <v>66</v>
      </c>
      <c r="F1602" s="14"/>
      <c r="G1602" s="15"/>
      <c r="H1602" s="451"/>
      <c r="I1602" s="412">
        <f>IF(AND(E1602&lt;&gt;"",G1602&lt;&gt;""),IF(D1602="",IF(G1602="OH",VLOOKUP(E1602,UPAH!$C$4:$H$31,7,0),VLOOKUP(E1602,#REF!,4,0)),0),0)</f>
        <v>0</v>
      </c>
      <c r="J1602" s="16">
        <f>H1602*I1602</f>
        <v>0</v>
      </c>
    </row>
    <row r="1603" spans="1:10" ht="13.5" thickBot="1">
      <c r="A1603" s="27"/>
      <c r="B1603" s="110"/>
      <c r="D1603" s="417"/>
      <c r="E1603" s="418"/>
      <c r="F1603" s="418"/>
      <c r="G1603" s="419"/>
      <c r="H1603" s="420" t="s">
        <v>67</v>
      </c>
      <c r="I1603" s="421"/>
      <c r="J1603" s="396">
        <f>J1602</f>
        <v>0</v>
      </c>
    </row>
    <row r="1604" spans="1:10" ht="13">
      <c r="A1604" s="27"/>
      <c r="B1604" s="110"/>
      <c r="D1604" s="444" t="s">
        <v>68</v>
      </c>
      <c r="E1604" s="445" t="s">
        <v>69</v>
      </c>
      <c r="F1604" s="446"/>
      <c r="G1604" s="447"/>
      <c r="H1604" s="448"/>
      <c r="I1604" s="449">
        <f>IF(AND(E1604&lt;&gt;"",G1604&lt;&gt;""),IF(D1604="",IF(G1604="OH",VLOOKUP(E1604,UPAH!$C$4:$H$31,7,0),VLOOKUP(E1604,#REF!,4,0)),0),0)</f>
        <v>0</v>
      </c>
      <c r="J1604" s="16">
        <f>SUM(J1581:J1603)/2</f>
        <v>0</v>
      </c>
    </row>
    <row r="1605" spans="1:10" ht="13.5" thickBot="1">
      <c r="A1605" s="27"/>
      <c r="B1605" s="110"/>
      <c r="D1605" s="431" t="s">
        <v>70</v>
      </c>
      <c r="E1605" s="432" t="s">
        <v>477</v>
      </c>
      <c r="F1605" s="433"/>
      <c r="G1605" s="434"/>
      <c r="H1605" s="22">
        <v>0.1</v>
      </c>
      <c r="I1605" s="436"/>
      <c r="J1605" s="430">
        <f>H1605*J1604</f>
        <v>0</v>
      </c>
    </row>
    <row r="1606" spans="1:10" ht="13.5" thickBot="1">
      <c r="A1606" s="27"/>
      <c r="B1606" s="110"/>
      <c r="D1606" s="401" t="s">
        <v>71</v>
      </c>
      <c r="E1606" s="402" t="s">
        <v>72</v>
      </c>
      <c r="F1606" s="418"/>
      <c r="G1606" s="419"/>
      <c r="H1606" s="442"/>
      <c r="I1606" s="421">
        <f>IF(AND(E1606&lt;&gt;"",G1606&lt;&gt;""),IF(D1606="",IF(G1606="OH",VLOOKUP(E1606,UPAH!$C$4:$H$31,7,0),VLOOKUP(E1606,#REF!,4,0)),0),0)</f>
        <v>0</v>
      </c>
      <c r="J1606" s="396">
        <f>ROUNDDOWN(J1604+J1605,0)</f>
        <v>0</v>
      </c>
    </row>
    <row r="1607" spans="1:10" ht="13">
      <c r="A1607" s="27"/>
      <c r="B1607" s="110"/>
      <c r="D1607" s="11"/>
      <c r="E1607" s="11"/>
      <c r="H1607" s="443"/>
    </row>
    <row r="1608" spans="1:10" ht="13.5" thickBot="1">
      <c r="A1608" s="27"/>
      <c r="B1608" s="110"/>
      <c r="C1608" s="11" t="s">
        <v>653</v>
      </c>
      <c r="D1608" s="10" t="s">
        <v>654</v>
      </c>
      <c r="H1608" s="443"/>
    </row>
    <row r="1609" spans="1:10" ht="13.5" thickBot="1">
      <c r="A1609" s="27"/>
      <c r="B1609" s="110"/>
      <c r="D1609" s="401" t="s">
        <v>40</v>
      </c>
      <c r="E1609" s="402" t="s">
        <v>41</v>
      </c>
      <c r="F1609" s="402" t="s">
        <v>42</v>
      </c>
      <c r="G1609" s="403" t="s">
        <v>43</v>
      </c>
      <c r="H1609" s="404" t="s">
        <v>44</v>
      </c>
      <c r="I1609" s="402" t="s">
        <v>474</v>
      </c>
      <c r="J1609" s="405" t="s">
        <v>475</v>
      </c>
    </row>
    <row r="1610" spans="1:10" ht="13">
      <c r="A1610" s="27"/>
      <c r="B1610" s="110"/>
      <c r="D1610" s="406" t="s">
        <v>45</v>
      </c>
      <c r="E1610" s="13" t="s">
        <v>46</v>
      </c>
      <c r="F1610" s="14"/>
      <c r="G1610" s="15"/>
      <c r="H1610" s="451"/>
      <c r="I1610" s="412"/>
      <c r="J1610" s="16"/>
    </row>
    <row r="1611" spans="1:10" ht="13">
      <c r="A1611" s="27"/>
      <c r="B1611" s="110"/>
      <c r="D1611" s="409"/>
      <c r="E1611" s="13" t="s">
        <v>47</v>
      </c>
      <c r="F1611" s="13" t="s">
        <v>1918</v>
      </c>
      <c r="G1611" s="410" t="s">
        <v>48</v>
      </c>
      <c r="H1611" s="411">
        <v>0.18</v>
      </c>
      <c r="I1611" s="412">
        <f>IF(AND(E1611&lt;&gt;"",G1611&lt;&gt;""),IF(D1611="",IF(G1611="OH",VLOOKUP(F1611,UPAH!$B$4:$H$101,7,0),VLOOKUP(F1611,#REF!,4,0)),0),0)</f>
        <v>0</v>
      </c>
      <c r="J1611" s="16">
        <f t="shared" ref="J1611:J1616" si="28">H1611*I1611</f>
        <v>0</v>
      </c>
    </row>
    <row r="1612" spans="1:10" ht="13">
      <c r="A1612" s="27"/>
      <c r="B1612" s="110"/>
      <c r="D1612" s="409"/>
      <c r="E1612" s="13" t="s">
        <v>81</v>
      </c>
      <c r="F1612" s="13" t="s">
        <v>1921</v>
      </c>
      <c r="G1612" s="410" t="s">
        <v>48</v>
      </c>
      <c r="H1612" s="411">
        <v>0.02</v>
      </c>
      <c r="I1612" s="412">
        <f>IF(AND(E1612&lt;&gt;"",G1612&lt;&gt;""),IF(D1612="",IF(G1612="OH",VLOOKUP(F1612,UPAH!$B$4:$H$101,7,0),VLOOKUP(F1612,#REF!,4,0)),0),0)</f>
        <v>0</v>
      </c>
      <c r="J1612" s="16">
        <f t="shared" si="28"/>
        <v>0</v>
      </c>
    </row>
    <row r="1613" spans="1:10" ht="13">
      <c r="A1613" s="27"/>
      <c r="B1613" s="110"/>
      <c r="D1613" s="409"/>
      <c r="E1613" s="13" t="s">
        <v>49</v>
      </c>
      <c r="F1613" s="13" t="s">
        <v>1922</v>
      </c>
      <c r="G1613" s="410" t="s">
        <v>48</v>
      </c>
      <c r="H1613" s="411">
        <v>0.02</v>
      </c>
      <c r="I1613" s="412">
        <f>IF(AND(E1613&lt;&gt;"",G1613&lt;&gt;""),IF(D1613="",IF(G1613="OH",VLOOKUP(F1613,UPAH!$B$4:$H$101,7,0),VLOOKUP(F1613,#REF!,4,0)),0),0)</f>
        <v>0</v>
      </c>
      <c r="J1613" s="16">
        <f t="shared" si="28"/>
        <v>0</v>
      </c>
    </row>
    <row r="1614" spans="1:10" ht="13">
      <c r="A1614" s="27"/>
      <c r="B1614" s="110"/>
      <c r="D1614" s="409"/>
      <c r="E1614" s="13" t="s">
        <v>117</v>
      </c>
      <c r="F1614" s="13" t="s">
        <v>1923</v>
      </c>
      <c r="G1614" s="410" t="s">
        <v>48</v>
      </c>
      <c r="H1614" s="411">
        <v>0.02</v>
      </c>
      <c r="I1614" s="412">
        <f>IF(AND(E1614&lt;&gt;"",G1614&lt;&gt;""),IF(D1614="",IF(G1614="OH",VLOOKUP(F1614,UPAH!$B$4:$H$101,7,0),VLOOKUP(F1614,#REF!,4,0)),0),0)</f>
        <v>0</v>
      </c>
      <c r="J1614" s="16">
        <f t="shared" si="28"/>
        <v>0</v>
      </c>
    </row>
    <row r="1615" spans="1:10" ht="13">
      <c r="A1615" s="27"/>
      <c r="B1615" s="110"/>
      <c r="D1615" s="409"/>
      <c r="E1615" s="13" t="s">
        <v>50</v>
      </c>
      <c r="F1615" s="13" t="s">
        <v>1928</v>
      </c>
      <c r="G1615" s="410" t="s">
        <v>48</v>
      </c>
      <c r="H1615" s="411">
        <v>6.0000000000000001E-3</v>
      </c>
      <c r="I1615" s="412">
        <f>IF(AND(E1615&lt;&gt;"",G1615&lt;&gt;""),IF(D1615="",IF(G1615="OH",VLOOKUP(F1615,UPAH!$B$4:$H$101,7,0),VLOOKUP(F1615,#REF!,4,0)),0),0)</f>
        <v>0</v>
      </c>
      <c r="J1615" s="16">
        <f t="shared" si="28"/>
        <v>0</v>
      </c>
    </row>
    <row r="1616" spans="1:10" ht="13.5" thickBot="1">
      <c r="A1616" s="27"/>
      <c r="B1616" s="110"/>
      <c r="D1616" s="409"/>
      <c r="E1616" s="13" t="s">
        <v>51</v>
      </c>
      <c r="F1616" s="13" t="s">
        <v>1929</v>
      </c>
      <c r="G1616" s="410" t="s">
        <v>48</v>
      </c>
      <c r="H1616" s="411">
        <v>8.9999999999999993E-3</v>
      </c>
      <c r="I1616" s="412">
        <f>IF(AND(E1616&lt;&gt;"",G1616&lt;&gt;""),IF(D1616="",IF(G1616="OH",VLOOKUP(F1616,UPAH!$B$4:$H$101,7,0),VLOOKUP(F1616,#REF!,4,0)),0),0)</f>
        <v>0</v>
      </c>
      <c r="J1616" s="16">
        <f t="shared" si="28"/>
        <v>0</v>
      </c>
    </row>
    <row r="1617" spans="1:10" ht="13.5" thickBot="1">
      <c r="A1617" s="27"/>
      <c r="B1617" s="110"/>
      <c r="D1617" s="417"/>
      <c r="E1617" s="418"/>
      <c r="F1617" s="418"/>
      <c r="G1617" s="419"/>
      <c r="H1617" s="420" t="s">
        <v>52</v>
      </c>
      <c r="I1617" s="421"/>
      <c r="J1617" s="396">
        <f>SUM(J1611:J1616)</f>
        <v>0</v>
      </c>
    </row>
    <row r="1618" spans="1:10" ht="13">
      <c r="A1618" s="27"/>
      <c r="B1618" s="110"/>
      <c r="D1618" s="406" t="s">
        <v>53</v>
      </c>
      <c r="E1618" s="13" t="s">
        <v>54</v>
      </c>
      <c r="F1618" s="14"/>
      <c r="G1618" s="15"/>
      <c r="H1618" s="451"/>
      <c r="I1618" s="412"/>
      <c r="J1618" s="16"/>
    </row>
    <row r="1619" spans="1:10" ht="13">
      <c r="A1619" s="27"/>
      <c r="B1619" s="110"/>
      <c r="D1619" s="409"/>
      <c r="E1619" s="13" t="s">
        <v>120</v>
      </c>
      <c r="F1619" s="14"/>
      <c r="G1619" s="410" t="s">
        <v>375</v>
      </c>
      <c r="H1619" s="411">
        <v>2E-3</v>
      </c>
      <c r="I1619" s="412">
        <f>'BAHAN '!G200</f>
        <v>0</v>
      </c>
      <c r="J1619" s="16">
        <f t="shared" ref="J1619:J1626" si="29">H1619*I1619</f>
        <v>0</v>
      </c>
    </row>
    <row r="1620" spans="1:10" ht="13">
      <c r="A1620" s="27"/>
      <c r="B1620" s="110"/>
      <c r="D1620" s="409"/>
      <c r="E1620" s="13" t="s">
        <v>486</v>
      </c>
      <c r="F1620" s="14"/>
      <c r="G1620" s="410" t="s">
        <v>93</v>
      </c>
      <c r="H1620" s="411">
        <v>0.01</v>
      </c>
      <c r="I1620" s="412">
        <f>'BAHAN '!G127</f>
        <v>0</v>
      </c>
      <c r="J1620" s="16">
        <f t="shared" si="29"/>
        <v>0</v>
      </c>
    </row>
    <row r="1621" spans="1:10" ht="13">
      <c r="A1621" s="27"/>
      <c r="B1621" s="110"/>
      <c r="D1621" s="409"/>
      <c r="E1621" s="13" t="s">
        <v>122</v>
      </c>
      <c r="F1621" s="14"/>
      <c r="G1621" s="410" t="s">
        <v>63</v>
      </c>
      <c r="H1621" s="451">
        <v>1.2</v>
      </c>
      <c r="I1621" s="412">
        <f>'BAHAN '!G54</f>
        <v>0</v>
      </c>
      <c r="J1621" s="16">
        <f t="shared" si="29"/>
        <v>0</v>
      </c>
    </row>
    <row r="1622" spans="1:10" ht="13">
      <c r="A1622" s="27"/>
      <c r="B1622" s="110"/>
      <c r="D1622" s="409"/>
      <c r="E1622" s="13" t="s">
        <v>118</v>
      </c>
      <c r="F1622" s="14"/>
      <c r="G1622" s="410" t="s">
        <v>93</v>
      </c>
      <c r="H1622" s="411">
        <v>3</v>
      </c>
      <c r="I1622" s="412">
        <f>'BAHAN '!G148</f>
        <v>0</v>
      </c>
      <c r="J1622" s="16">
        <f t="shared" si="29"/>
        <v>0</v>
      </c>
    </row>
    <row r="1623" spans="1:10" ht="13">
      <c r="A1623" s="27"/>
      <c r="B1623" s="110"/>
      <c r="D1623" s="409"/>
      <c r="E1623" s="13" t="s">
        <v>107</v>
      </c>
      <c r="F1623" s="14"/>
      <c r="G1623" s="410" t="s">
        <v>93</v>
      </c>
      <c r="H1623" s="411">
        <v>0.45</v>
      </c>
      <c r="I1623" s="412">
        <f>'BAHAN '!G116</f>
        <v>0</v>
      </c>
      <c r="J1623" s="16">
        <f t="shared" si="29"/>
        <v>0</v>
      </c>
    </row>
    <row r="1624" spans="1:10" ht="13">
      <c r="A1624" s="27"/>
      <c r="B1624" s="110"/>
      <c r="D1624" s="409"/>
      <c r="E1624" s="13" t="s">
        <v>56</v>
      </c>
      <c r="F1624" s="14"/>
      <c r="G1624" s="410" t="s">
        <v>93</v>
      </c>
      <c r="H1624" s="411">
        <v>4</v>
      </c>
      <c r="I1624" s="412">
        <f>'BAHAN '!G72</f>
        <v>0</v>
      </c>
      <c r="J1624" s="16">
        <f t="shared" si="29"/>
        <v>0</v>
      </c>
    </row>
    <row r="1625" spans="1:10" ht="13">
      <c r="A1625" s="27"/>
      <c r="B1625" s="110"/>
      <c r="D1625" s="409"/>
      <c r="E1625" s="13" t="s">
        <v>126</v>
      </c>
      <c r="F1625" s="14"/>
      <c r="G1625" s="410" t="s">
        <v>375</v>
      </c>
      <c r="H1625" s="411">
        <v>6.0000000000000001E-3</v>
      </c>
      <c r="I1625" s="412">
        <f>'BAHAN '!G59</f>
        <v>0</v>
      </c>
      <c r="J1625" s="16">
        <f t="shared" si="29"/>
        <v>0</v>
      </c>
    </row>
    <row r="1626" spans="1:10" ht="13.5" thickBot="1">
      <c r="A1626" s="27"/>
      <c r="B1626" s="110"/>
      <c r="D1626" s="409"/>
      <c r="E1626" s="13" t="s">
        <v>106</v>
      </c>
      <c r="F1626" s="14"/>
      <c r="G1626" s="410" t="s">
        <v>375</v>
      </c>
      <c r="H1626" s="411">
        <v>8.9999999999999993E-3</v>
      </c>
      <c r="I1626" s="412">
        <f>'BAHAN '!G49</f>
        <v>0</v>
      </c>
      <c r="J1626" s="16">
        <f t="shared" si="29"/>
        <v>0</v>
      </c>
    </row>
    <row r="1627" spans="1:10" ht="13.5" thickBot="1">
      <c r="A1627" s="27"/>
      <c r="B1627" s="110"/>
      <c r="D1627" s="417"/>
      <c r="E1627" s="418"/>
      <c r="F1627" s="418"/>
      <c r="G1627" s="419"/>
      <c r="H1627" s="420" t="s">
        <v>64</v>
      </c>
      <c r="I1627" s="421"/>
      <c r="J1627" s="396">
        <f>SUM(J1619:J1626)</f>
        <v>0</v>
      </c>
    </row>
    <row r="1628" spans="1:10" ht="13.5" thickBot="1">
      <c r="A1628" s="27"/>
      <c r="B1628" s="110"/>
      <c r="D1628" s="406" t="s">
        <v>65</v>
      </c>
      <c r="E1628" s="13" t="s">
        <v>66</v>
      </c>
      <c r="F1628" s="14"/>
      <c r="G1628" s="15"/>
      <c r="H1628" s="451"/>
      <c r="I1628" s="412">
        <f>IF(AND(E1628&lt;&gt;"",G1628&lt;&gt;""),IF(D1628="",IF(G1628="OH",VLOOKUP(E1628,UPAH!$C$4:$H$31,7,0),VLOOKUP(E1628,#REF!,4,0)),0),0)</f>
        <v>0</v>
      </c>
      <c r="J1628" s="16">
        <f>H1628*I1628</f>
        <v>0</v>
      </c>
    </row>
    <row r="1629" spans="1:10" ht="13.5" thickBot="1">
      <c r="A1629" s="27"/>
      <c r="B1629" s="110"/>
      <c r="D1629" s="417"/>
      <c r="E1629" s="418"/>
      <c r="F1629" s="418"/>
      <c r="G1629" s="419"/>
      <c r="H1629" s="420" t="s">
        <v>67</v>
      </c>
      <c r="I1629" s="421"/>
      <c r="J1629" s="396">
        <f>J1628</f>
        <v>0</v>
      </c>
    </row>
    <row r="1630" spans="1:10" ht="13">
      <c r="A1630" s="27"/>
      <c r="B1630" s="110"/>
      <c r="D1630" s="444" t="s">
        <v>68</v>
      </c>
      <c r="E1630" s="445" t="s">
        <v>69</v>
      </c>
      <c r="F1630" s="446"/>
      <c r="G1630" s="447"/>
      <c r="H1630" s="448"/>
      <c r="I1630" s="449">
        <f>IF(AND(E1630&lt;&gt;"",G1630&lt;&gt;""),IF(D1630="",IF(G1630="OH",VLOOKUP(E1630,UPAH!$C$4:$H$31,7,0),VLOOKUP(E1630,#REF!,4,0)),0),0)</f>
        <v>0</v>
      </c>
      <c r="J1630" s="16">
        <f>SUM(J1610:J1629)/2</f>
        <v>0</v>
      </c>
    </row>
    <row r="1631" spans="1:10" ht="13.5" thickBot="1">
      <c r="A1631" s="27"/>
      <c r="B1631" s="110"/>
      <c r="D1631" s="431" t="s">
        <v>70</v>
      </c>
      <c r="E1631" s="432" t="s">
        <v>477</v>
      </c>
      <c r="F1631" s="433"/>
      <c r="G1631" s="434"/>
      <c r="H1631" s="22">
        <v>0.1</v>
      </c>
      <c r="I1631" s="436"/>
      <c r="J1631" s="430">
        <f>H1631*J1630</f>
        <v>0</v>
      </c>
    </row>
    <row r="1632" spans="1:10" ht="13.5" thickBot="1">
      <c r="A1632" s="27"/>
      <c r="B1632" s="110"/>
      <c r="D1632" s="401" t="s">
        <v>71</v>
      </c>
      <c r="E1632" s="402" t="s">
        <v>72</v>
      </c>
      <c r="F1632" s="418"/>
      <c r="G1632" s="419"/>
      <c r="H1632" s="442"/>
      <c r="I1632" s="421">
        <f>IF(AND(E1632&lt;&gt;"",G1632&lt;&gt;""),IF(D1632="",IF(G1632="OH",VLOOKUP(E1632,UPAH!$C$4:$H$31,7,0),VLOOKUP(E1632,#REF!,4,0)),0),0)</f>
        <v>0</v>
      </c>
      <c r="J1632" s="396">
        <f>ROUNDDOWN(J1630+J1631,0)</f>
        <v>0</v>
      </c>
    </row>
    <row r="1633" spans="1:10" ht="13">
      <c r="A1633" s="27"/>
      <c r="B1633" s="110"/>
      <c r="D1633" s="11"/>
      <c r="E1633" s="11"/>
      <c r="H1633" s="443"/>
      <c r="I1633" s="17"/>
      <c r="J1633" s="18"/>
    </row>
    <row r="1634" spans="1:10" ht="13.5" thickBot="1">
      <c r="A1634" s="27"/>
      <c r="B1634" s="110"/>
      <c r="C1634" s="11" t="s">
        <v>655</v>
      </c>
      <c r="D1634" s="10" t="s">
        <v>656</v>
      </c>
      <c r="H1634" s="443"/>
    </row>
    <row r="1635" spans="1:10" ht="13.5" thickBot="1">
      <c r="A1635" s="27"/>
      <c r="B1635" s="110"/>
      <c r="D1635" s="401" t="s">
        <v>40</v>
      </c>
      <c r="E1635" s="402" t="s">
        <v>41</v>
      </c>
      <c r="F1635" s="402" t="s">
        <v>42</v>
      </c>
      <c r="G1635" s="403" t="s">
        <v>43</v>
      </c>
      <c r="H1635" s="404" t="s">
        <v>44</v>
      </c>
      <c r="I1635" s="402" t="s">
        <v>474</v>
      </c>
      <c r="J1635" s="405" t="s">
        <v>475</v>
      </c>
    </row>
    <row r="1636" spans="1:10" ht="13">
      <c r="A1636" s="27"/>
      <c r="B1636" s="110"/>
      <c r="D1636" s="406" t="s">
        <v>45</v>
      </c>
      <c r="E1636" s="13" t="s">
        <v>46</v>
      </c>
      <c r="F1636" s="14"/>
      <c r="G1636" s="15"/>
      <c r="H1636" s="451"/>
      <c r="I1636" s="412"/>
      <c r="J1636" s="16"/>
    </row>
    <row r="1637" spans="1:10" ht="13">
      <c r="A1637" s="27"/>
      <c r="B1637" s="110"/>
      <c r="D1637" s="409"/>
      <c r="E1637" s="13" t="s">
        <v>47</v>
      </c>
      <c r="F1637" s="13" t="s">
        <v>1918</v>
      </c>
      <c r="G1637" s="410" t="s">
        <v>48</v>
      </c>
      <c r="H1637" s="411">
        <v>0.29699999999999999</v>
      </c>
      <c r="I1637" s="412">
        <f>IF(AND(E1637&lt;&gt;"",G1637&lt;&gt;""),IF(D1637="",IF(G1637="OH",VLOOKUP(F1637,UPAH!$B$4:$H$101,7,0),VLOOKUP(F1637,#REF!,4,0)),0),0)</f>
        <v>0</v>
      </c>
      <c r="J1637" s="16">
        <f t="shared" ref="J1637:J1642" si="30">H1637*I1637</f>
        <v>0</v>
      </c>
    </row>
    <row r="1638" spans="1:10" ht="13">
      <c r="A1638" s="27"/>
      <c r="B1638" s="110"/>
      <c r="D1638" s="409"/>
      <c r="E1638" s="13" t="s">
        <v>81</v>
      </c>
      <c r="F1638" s="13" t="s">
        <v>1921</v>
      </c>
      <c r="G1638" s="410" t="s">
        <v>48</v>
      </c>
      <c r="H1638" s="411">
        <v>3.3000000000000002E-2</v>
      </c>
      <c r="I1638" s="412">
        <f>IF(AND(E1638&lt;&gt;"",G1638&lt;&gt;""),IF(D1638="",IF(G1638="OH",VLOOKUP(F1638,UPAH!$B$4:$H$101,7,0),VLOOKUP(F1638,#REF!,4,0)),0),0)</f>
        <v>0</v>
      </c>
      <c r="J1638" s="16">
        <f t="shared" si="30"/>
        <v>0</v>
      </c>
    </row>
    <row r="1639" spans="1:10" ht="13">
      <c r="A1639" s="27"/>
      <c r="B1639" s="110"/>
      <c r="D1639" s="409"/>
      <c r="E1639" s="13" t="s">
        <v>49</v>
      </c>
      <c r="F1639" s="13" t="s">
        <v>1922</v>
      </c>
      <c r="G1639" s="410" t="s">
        <v>48</v>
      </c>
      <c r="H1639" s="411">
        <v>3.3000000000000002E-2</v>
      </c>
      <c r="I1639" s="412">
        <f>IF(AND(E1639&lt;&gt;"",G1639&lt;&gt;""),IF(D1639="",IF(G1639="OH",VLOOKUP(F1639,UPAH!$B$4:$H$101,7,0),VLOOKUP(F1639,#REF!,4,0)),0),0)</f>
        <v>0</v>
      </c>
      <c r="J1639" s="16">
        <f t="shared" si="30"/>
        <v>0</v>
      </c>
    </row>
    <row r="1640" spans="1:10" ht="13">
      <c r="A1640" s="27"/>
      <c r="B1640" s="110"/>
      <c r="D1640" s="409"/>
      <c r="E1640" s="13" t="s">
        <v>117</v>
      </c>
      <c r="F1640" s="13" t="s">
        <v>1923</v>
      </c>
      <c r="G1640" s="410" t="s">
        <v>48</v>
      </c>
      <c r="H1640" s="411">
        <v>3.3000000000000002E-2</v>
      </c>
      <c r="I1640" s="412">
        <f>IF(AND(E1640&lt;&gt;"",G1640&lt;&gt;""),IF(D1640="",IF(G1640="OH",VLOOKUP(F1640,UPAH!$B$4:$H$101,7,0),VLOOKUP(F1640,#REF!,4,0)),0),0)</f>
        <v>0</v>
      </c>
      <c r="J1640" s="16">
        <f t="shared" si="30"/>
        <v>0</v>
      </c>
    </row>
    <row r="1641" spans="1:10" ht="13">
      <c r="A1641" s="27"/>
      <c r="B1641" s="110"/>
      <c r="D1641" s="409"/>
      <c r="E1641" s="13" t="s">
        <v>50</v>
      </c>
      <c r="F1641" s="13" t="s">
        <v>1928</v>
      </c>
      <c r="G1641" s="410" t="s">
        <v>48</v>
      </c>
      <c r="H1641" s="411">
        <v>0.01</v>
      </c>
      <c r="I1641" s="412">
        <f>IF(AND(E1641&lt;&gt;"",G1641&lt;&gt;""),IF(D1641="",IF(G1641="OH",VLOOKUP(F1641,UPAH!$B$4:$H$101,7,0),VLOOKUP(F1641,#REF!,4,0)),0),0)</f>
        <v>0</v>
      </c>
      <c r="J1641" s="16">
        <f t="shared" si="30"/>
        <v>0</v>
      </c>
    </row>
    <row r="1642" spans="1:10" ht="13.5" thickBot="1">
      <c r="A1642" s="27"/>
      <c r="B1642" s="110"/>
      <c r="D1642" s="409"/>
      <c r="E1642" s="13" t="s">
        <v>51</v>
      </c>
      <c r="F1642" s="13" t="s">
        <v>1929</v>
      </c>
      <c r="G1642" s="410" t="s">
        <v>48</v>
      </c>
      <c r="H1642" s="411">
        <v>1.4999999999999999E-2</v>
      </c>
      <c r="I1642" s="412">
        <f>IF(AND(E1642&lt;&gt;"",G1642&lt;&gt;""),IF(D1642="",IF(G1642="OH",VLOOKUP(F1642,UPAH!$B$4:$H$101,7,0),VLOOKUP(F1642,#REF!,4,0)),0),0)</f>
        <v>0</v>
      </c>
      <c r="J1642" s="16">
        <f t="shared" si="30"/>
        <v>0</v>
      </c>
    </row>
    <row r="1643" spans="1:10" ht="13.5" thickBot="1">
      <c r="A1643" s="27"/>
      <c r="B1643" s="110"/>
      <c r="D1643" s="417"/>
      <c r="E1643" s="418"/>
      <c r="F1643" s="418"/>
      <c r="G1643" s="419"/>
      <c r="H1643" s="420" t="s">
        <v>52</v>
      </c>
      <c r="I1643" s="421"/>
      <c r="J1643" s="396">
        <f>SUM(J1637:J1642)</f>
        <v>0</v>
      </c>
    </row>
    <row r="1644" spans="1:10" ht="13">
      <c r="A1644" s="27"/>
      <c r="B1644" s="110"/>
      <c r="D1644" s="406" t="s">
        <v>53</v>
      </c>
      <c r="E1644" s="13" t="s">
        <v>54</v>
      </c>
      <c r="F1644" s="14"/>
      <c r="G1644" s="15"/>
      <c r="H1644" s="451"/>
      <c r="I1644" s="412"/>
      <c r="J1644" s="16"/>
    </row>
    <row r="1645" spans="1:10" ht="13">
      <c r="A1645" s="27"/>
      <c r="B1645" s="110"/>
      <c r="D1645" s="409"/>
      <c r="E1645" s="13" t="s">
        <v>120</v>
      </c>
      <c r="F1645" s="14"/>
      <c r="G1645" s="410" t="s">
        <v>375</v>
      </c>
      <c r="H1645" s="411">
        <v>3.0000000000000001E-3</v>
      </c>
      <c r="I1645" s="412">
        <f>'BAHAN '!G200</f>
        <v>0</v>
      </c>
      <c r="J1645" s="16">
        <f t="shared" ref="J1645:J1652" si="31">H1645*I1645</f>
        <v>0</v>
      </c>
    </row>
    <row r="1646" spans="1:10" ht="13">
      <c r="A1646" s="27"/>
      <c r="B1646" s="110"/>
      <c r="D1646" s="409"/>
      <c r="E1646" s="13" t="s">
        <v>486</v>
      </c>
      <c r="F1646" s="14"/>
      <c r="G1646" s="410" t="s">
        <v>93</v>
      </c>
      <c r="H1646" s="411">
        <v>0.02</v>
      </c>
      <c r="I1646" s="412">
        <f>'BAHAN '!G127</f>
        <v>0</v>
      </c>
      <c r="J1646" s="16">
        <f t="shared" si="31"/>
        <v>0</v>
      </c>
    </row>
    <row r="1647" spans="1:10" ht="13">
      <c r="A1647" s="27"/>
      <c r="B1647" s="110"/>
      <c r="D1647" s="409"/>
      <c r="E1647" s="13" t="s">
        <v>122</v>
      </c>
      <c r="F1647" s="14"/>
      <c r="G1647" s="410" t="s">
        <v>63</v>
      </c>
      <c r="H1647" s="451">
        <v>1.2</v>
      </c>
      <c r="I1647" s="412">
        <f>'BAHAN '!G54</f>
        <v>0</v>
      </c>
      <c r="J1647" s="16">
        <f t="shared" si="31"/>
        <v>0</v>
      </c>
    </row>
    <row r="1648" spans="1:10" ht="13">
      <c r="A1648" s="27"/>
      <c r="B1648" s="110"/>
      <c r="D1648" s="409"/>
      <c r="E1648" s="13" t="s">
        <v>118</v>
      </c>
      <c r="F1648" s="14"/>
      <c r="G1648" s="410" t="s">
        <v>93</v>
      </c>
      <c r="H1648" s="411">
        <v>3.6</v>
      </c>
      <c r="I1648" s="412">
        <f>'BAHAN '!G148</f>
        <v>0</v>
      </c>
      <c r="J1648" s="16">
        <f t="shared" si="31"/>
        <v>0</v>
      </c>
    </row>
    <row r="1649" spans="1:10" ht="13">
      <c r="A1649" s="27"/>
      <c r="B1649" s="110"/>
      <c r="D1649" s="409"/>
      <c r="E1649" s="13" t="s">
        <v>107</v>
      </c>
      <c r="F1649" s="14"/>
      <c r="G1649" s="410" t="s">
        <v>93</v>
      </c>
      <c r="H1649" s="411">
        <v>0.05</v>
      </c>
      <c r="I1649" s="412">
        <f>'BAHAN '!G116</f>
        <v>0</v>
      </c>
      <c r="J1649" s="16">
        <f t="shared" si="31"/>
        <v>0</v>
      </c>
    </row>
    <row r="1650" spans="1:10" ht="13">
      <c r="A1650" s="27"/>
      <c r="B1650" s="110"/>
      <c r="D1650" s="409"/>
      <c r="E1650" s="13" t="s">
        <v>56</v>
      </c>
      <c r="F1650" s="14"/>
      <c r="G1650" s="410" t="s">
        <v>93</v>
      </c>
      <c r="H1650" s="411">
        <v>5.5</v>
      </c>
      <c r="I1650" s="412">
        <f>'BAHAN '!G72</f>
        <v>0</v>
      </c>
      <c r="J1650" s="16">
        <f t="shared" si="31"/>
        <v>0</v>
      </c>
    </row>
    <row r="1651" spans="1:10" ht="13">
      <c r="A1651" s="27"/>
      <c r="B1651" s="110"/>
      <c r="D1651" s="409"/>
      <c r="E1651" s="13" t="s">
        <v>126</v>
      </c>
      <c r="F1651" s="14"/>
      <c r="G1651" s="410" t="s">
        <v>375</v>
      </c>
      <c r="H1651" s="411">
        <v>8.9999999999999993E-3</v>
      </c>
      <c r="I1651" s="412">
        <f>'BAHAN '!G59</f>
        <v>0</v>
      </c>
      <c r="J1651" s="16">
        <f t="shared" si="31"/>
        <v>0</v>
      </c>
    </row>
    <row r="1652" spans="1:10" ht="13.5" thickBot="1">
      <c r="A1652" s="27"/>
      <c r="B1652" s="110"/>
      <c r="D1652" s="409"/>
      <c r="E1652" s="13" t="s">
        <v>106</v>
      </c>
      <c r="F1652" s="14"/>
      <c r="G1652" s="410" t="s">
        <v>375</v>
      </c>
      <c r="H1652" s="411">
        <v>1.4999999999999999E-2</v>
      </c>
      <c r="I1652" s="412">
        <f>'BAHAN '!G49</f>
        <v>0</v>
      </c>
      <c r="J1652" s="16">
        <f t="shared" si="31"/>
        <v>0</v>
      </c>
    </row>
    <row r="1653" spans="1:10" ht="13.5" thickBot="1">
      <c r="A1653" s="27"/>
      <c r="B1653" s="110"/>
      <c r="D1653" s="417"/>
      <c r="E1653" s="418"/>
      <c r="F1653" s="418"/>
      <c r="G1653" s="419"/>
      <c r="H1653" s="420" t="s">
        <v>64</v>
      </c>
      <c r="I1653" s="421"/>
      <c r="J1653" s="396">
        <f>SUM(J1645:J1652)</f>
        <v>0</v>
      </c>
    </row>
    <row r="1654" spans="1:10" ht="13.5" thickBot="1">
      <c r="A1654" s="27"/>
      <c r="B1654" s="110"/>
      <c r="D1654" s="406" t="s">
        <v>65</v>
      </c>
      <c r="E1654" s="13" t="s">
        <v>66</v>
      </c>
      <c r="F1654" s="14"/>
      <c r="G1654" s="15"/>
      <c r="H1654" s="451"/>
      <c r="I1654" s="412">
        <f>IF(AND(E1654&lt;&gt;"",G1654&lt;&gt;""),IF(D1654="",IF(G1654="OH",VLOOKUP(E1654,UPAH!$C$4:$H$31,7,0),VLOOKUP(E1654,#REF!,4,0)),0),0)</f>
        <v>0</v>
      </c>
      <c r="J1654" s="16">
        <f>H1654*I1654</f>
        <v>0</v>
      </c>
    </row>
    <row r="1655" spans="1:10" ht="13.5" thickBot="1">
      <c r="A1655" s="27"/>
      <c r="B1655" s="110"/>
      <c r="D1655" s="417"/>
      <c r="E1655" s="418"/>
      <c r="F1655" s="418"/>
      <c r="G1655" s="419"/>
      <c r="H1655" s="420" t="s">
        <v>67</v>
      </c>
      <c r="I1655" s="421"/>
      <c r="J1655" s="396">
        <f>J1654</f>
        <v>0</v>
      </c>
    </row>
    <row r="1656" spans="1:10" ht="13">
      <c r="A1656" s="27"/>
      <c r="B1656" s="110"/>
      <c r="D1656" s="444" t="s">
        <v>68</v>
      </c>
      <c r="E1656" s="445" t="s">
        <v>69</v>
      </c>
      <c r="F1656" s="446"/>
      <c r="G1656" s="447"/>
      <c r="H1656" s="448"/>
      <c r="I1656" s="449">
        <f>IF(AND(E1656&lt;&gt;"",G1656&lt;&gt;""),IF(D1656="",IF(G1656="OH",VLOOKUP(E1656,UPAH!$C$4:$H$31,7,0),VLOOKUP(E1656,#REF!,4,0)),0),0)</f>
        <v>0</v>
      </c>
      <c r="J1656" s="16">
        <f>SUM(J1635:J1655)/2</f>
        <v>0</v>
      </c>
    </row>
    <row r="1657" spans="1:10" ht="13.5" thickBot="1">
      <c r="A1657" s="27"/>
      <c r="B1657" s="110"/>
      <c r="D1657" s="431" t="s">
        <v>70</v>
      </c>
      <c r="E1657" s="432" t="s">
        <v>477</v>
      </c>
      <c r="F1657" s="433"/>
      <c r="G1657" s="434"/>
      <c r="H1657" s="22">
        <v>0.1</v>
      </c>
      <c r="I1657" s="436"/>
      <c r="J1657" s="430">
        <f>H1657*J1656</f>
        <v>0</v>
      </c>
    </row>
    <row r="1658" spans="1:10" ht="13.5" thickBot="1">
      <c r="A1658" s="27"/>
      <c r="B1658" s="110"/>
      <c r="D1658" s="401" t="s">
        <v>71</v>
      </c>
      <c r="E1658" s="402" t="s">
        <v>72</v>
      </c>
      <c r="F1658" s="418"/>
      <c r="G1658" s="419"/>
      <c r="H1658" s="442"/>
      <c r="I1658" s="421">
        <f>IF(AND(E1658&lt;&gt;"",G1658&lt;&gt;""),IF(D1658="",IF(G1658="OH",VLOOKUP(E1658,UPAH!$C$4:$H$31,7,0),VLOOKUP(E1658,#REF!,4,0)),0),0)</f>
        <v>0</v>
      </c>
      <c r="J1658" s="396">
        <f>ROUNDDOWN(J1656+J1657,0)</f>
        <v>0</v>
      </c>
    </row>
    <row r="1659" spans="1:10" ht="13">
      <c r="A1659" s="27"/>
      <c r="B1659" s="110"/>
      <c r="D1659" s="11"/>
      <c r="E1659" s="11"/>
      <c r="H1659" s="443"/>
    </row>
    <row r="1660" spans="1:10" s="27" customFormat="1" ht="13">
      <c r="B1660" s="110"/>
      <c r="C1660" s="452" t="s">
        <v>489</v>
      </c>
      <c r="G1660" s="399"/>
      <c r="H1660" s="453"/>
    </row>
    <row r="1661" spans="1:10" ht="13.5" thickBot="1">
      <c r="A1661" s="27"/>
      <c r="B1661" s="110"/>
      <c r="C1661" s="11" t="s">
        <v>657</v>
      </c>
      <c r="D1661" s="10" t="s">
        <v>658</v>
      </c>
      <c r="H1661" s="443"/>
    </row>
    <row r="1662" spans="1:10" ht="13.5" thickBot="1">
      <c r="A1662" s="27"/>
      <c r="B1662" s="110"/>
      <c r="D1662" s="401" t="s">
        <v>40</v>
      </c>
      <c r="E1662" s="402" t="s">
        <v>41</v>
      </c>
      <c r="F1662" s="402" t="s">
        <v>42</v>
      </c>
      <c r="G1662" s="403" t="s">
        <v>43</v>
      </c>
      <c r="H1662" s="404" t="s">
        <v>44</v>
      </c>
      <c r="I1662" s="402" t="s">
        <v>474</v>
      </c>
      <c r="J1662" s="405" t="s">
        <v>475</v>
      </c>
    </row>
    <row r="1663" spans="1:10" ht="13">
      <c r="A1663" s="27"/>
      <c r="B1663" s="110"/>
      <c r="D1663" s="406" t="s">
        <v>45</v>
      </c>
      <c r="E1663" s="13" t="s">
        <v>46</v>
      </c>
      <c r="F1663" s="14"/>
      <c r="G1663" s="15"/>
      <c r="H1663" s="451"/>
      <c r="I1663" s="412"/>
      <c r="J1663" s="16"/>
    </row>
    <row r="1664" spans="1:10" ht="13">
      <c r="A1664" s="27"/>
      <c r="B1664" s="110"/>
      <c r="D1664" s="409"/>
      <c r="E1664" s="13" t="s">
        <v>47</v>
      </c>
      <c r="F1664" s="13" t="s">
        <v>1918</v>
      </c>
      <c r="G1664" s="410" t="s">
        <v>48</v>
      </c>
      <c r="H1664" s="411">
        <v>0.13200000000000001</v>
      </c>
      <c r="I1664" s="412">
        <f>IF(AND(E1664&lt;&gt;"",G1664&lt;&gt;""),IF(D1664="",IF(G1664="OH",VLOOKUP(F1664,UPAH!$B$4:$H$101,7,0),VLOOKUP(F1664,#REF!,4,0)),0),0)</f>
        <v>0</v>
      </c>
      <c r="J1664" s="16">
        <f>H1664*I1664</f>
        <v>0</v>
      </c>
    </row>
    <row r="1665" spans="1:10" ht="13">
      <c r="A1665" s="27"/>
      <c r="B1665" s="110"/>
      <c r="D1665" s="409"/>
      <c r="E1665" s="13" t="s">
        <v>81</v>
      </c>
      <c r="F1665" s="13" t="s">
        <v>1921</v>
      </c>
      <c r="G1665" s="410" t="s">
        <v>48</v>
      </c>
      <c r="H1665" s="411">
        <v>2.1999999999999999E-2</v>
      </c>
      <c r="I1665" s="412">
        <f>IF(AND(E1665&lt;&gt;"",G1665&lt;&gt;""),IF(D1665="",IF(G1665="OH",VLOOKUP(F1665,UPAH!$B$4:$H$101,7,0),VLOOKUP(F1665,#REF!,4,0)),0),0)</f>
        <v>0</v>
      </c>
      <c r="J1665" s="16">
        <f>H1665*I1665</f>
        <v>0</v>
      </c>
    </row>
    <row r="1666" spans="1:10" ht="13">
      <c r="A1666" s="27"/>
      <c r="B1666" s="110"/>
      <c r="D1666" s="409"/>
      <c r="E1666" s="13" t="s">
        <v>50</v>
      </c>
      <c r="F1666" s="13" t="s">
        <v>1928</v>
      </c>
      <c r="G1666" s="410" t="s">
        <v>48</v>
      </c>
      <c r="H1666" s="411">
        <v>2E-3</v>
      </c>
      <c r="I1666" s="412">
        <f>IF(AND(E1666&lt;&gt;"",G1666&lt;&gt;""),IF(D1666="",IF(G1666="OH",VLOOKUP(F1666,UPAH!$B$4:$H$101,7,0),VLOOKUP(F1666,#REF!,4,0)),0),0)</f>
        <v>0</v>
      </c>
      <c r="J1666" s="16">
        <f>H1666*I1666</f>
        <v>0</v>
      </c>
    </row>
    <row r="1667" spans="1:10" ht="13.5" thickBot="1">
      <c r="A1667" s="27"/>
      <c r="B1667" s="110"/>
      <c r="D1667" s="409"/>
      <c r="E1667" s="13" t="s">
        <v>51</v>
      </c>
      <c r="F1667" s="13" t="s">
        <v>1929</v>
      </c>
      <c r="G1667" s="410" t="s">
        <v>48</v>
      </c>
      <c r="H1667" s="411">
        <v>7.0000000000000001E-3</v>
      </c>
      <c r="I1667" s="412">
        <f>IF(AND(E1667&lt;&gt;"",G1667&lt;&gt;""),IF(D1667="",IF(G1667="OH",VLOOKUP(F1667,UPAH!$B$4:$H$101,7,0),VLOOKUP(F1667,#REF!,4,0)),0),0)</f>
        <v>0</v>
      </c>
      <c r="J1667" s="16">
        <f>H1667*I1667</f>
        <v>0</v>
      </c>
    </row>
    <row r="1668" spans="1:10" ht="13.5" thickBot="1">
      <c r="A1668" s="27"/>
      <c r="B1668" s="110"/>
      <c r="D1668" s="417"/>
      <c r="E1668" s="418"/>
      <c r="F1668" s="418"/>
      <c r="G1668" s="419"/>
      <c r="H1668" s="420" t="s">
        <v>52</v>
      </c>
      <c r="I1668" s="421"/>
      <c r="J1668" s="396">
        <f>SUM(J1664:J1667)</f>
        <v>0</v>
      </c>
    </row>
    <row r="1669" spans="1:10" ht="13">
      <c r="A1669" s="27"/>
      <c r="B1669" s="110"/>
      <c r="D1669" s="406" t="s">
        <v>53</v>
      </c>
      <c r="E1669" s="13" t="s">
        <v>54</v>
      </c>
      <c r="F1669" s="14"/>
      <c r="G1669" s="15"/>
      <c r="H1669" s="451"/>
      <c r="I1669" s="412"/>
      <c r="J1669" s="16"/>
    </row>
    <row r="1670" spans="1:10" ht="13">
      <c r="A1670" s="27"/>
      <c r="B1670" s="110"/>
      <c r="D1670" s="409"/>
      <c r="E1670" s="13" t="s">
        <v>56</v>
      </c>
      <c r="F1670" s="14"/>
      <c r="G1670" s="410" t="s">
        <v>57</v>
      </c>
      <c r="H1670" s="411">
        <v>26.08</v>
      </c>
      <c r="I1670" s="412">
        <f>'BAHAN '!G72</f>
        <v>0</v>
      </c>
      <c r="J1670" s="16">
        <f>H1670*I1670</f>
        <v>0</v>
      </c>
    </row>
    <row r="1671" spans="1:10" ht="13">
      <c r="A1671" s="27"/>
      <c r="B1671" s="110"/>
      <c r="D1671" s="409"/>
      <c r="E1671" s="13" t="s">
        <v>58</v>
      </c>
      <c r="F1671" s="14"/>
      <c r="G1671" s="410" t="s">
        <v>57</v>
      </c>
      <c r="H1671" s="411">
        <v>60.8</v>
      </c>
      <c r="I1671" s="412">
        <f>'BAHAN '!G60</f>
        <v>0</v>
      </c>
      <c r="J1671" s="16">
        <f>H1671*I1671</f>
        <v>0</v>
      </c>
    </row>
    <row r="1672" spans="1:10" ht="13">
      <c r="A1672" s="27"/>
      <c r="B1672" s="110"/>
      <c r="D1672" s="409"/>
      <c r="E1672" s="13" t="s">
        <v>399</v>
      </c>
      <c r="F1672" s="14"/>
      <c r="G1672" s="410" t="s">
        <v>57</v>
      </c>
      <c r="H1672" s="411">
        <v>82.32</v>
      </c>
      <c r="I1672" s="412">
        <f>'BAHAN '!G50</f>
        <v>0</v>
      </c>
      <c r="J1672" s="16">
        <f>H1672*I1672</f>
        <v>0</v>
      </c>
    </row>
    <row r="1673" spans="1:10" ht="13.5" thickBot="1">
      <c r="A1673" s="27"/>
      <c r="B1673" s="110"/>
      <c r="D1673" s="409"/>
      <c r="E1673" s="13" t="s">
        <v>108</v>
      </c>
      <c r="F1673" s="14"/>
      <c r="G1673" s="410" t="s">
        <v>127</v>
      </c>
      <c r="H1673" s="411">
        <v>17.2</v>
      </c>
      <c r="I1673" s="412">
        <f>'BAHAN '!G11</f>
        <v>0</v>
      </c>
      <c r="J1673" s="16">
        <f>H1673*I1673</f>
        <v>0</v>
      </c>
    </row>
    <row r="1674" spans="1:10" ht="13.5" thickBot="1">
      <c r="A1674" s="27"/>
      <c r="B1674" s="110"/>
      <c r="D1674" s="417"/>
      <c r="E1674" s="418"/>
      <c r="F1674" s="418"/>
      <c r="G1674" s="419"/>
      <c r="H1674" s="420" t="s">
        <v>64</v>
      </c>
      <c r="I1674" s="421"/>
      <c r="J1674" s="396">
        <f>SUM(J1670:J1673)</f>
        <v>0</v>
      </c>
    </row>
    <row r="1675" spans="1:10" ht="13.5" thickBot="1">
      <c r="A1675" s="27"/>
      <c r="B1675" s="110"/>
      <c r="D1675" s="406" t="s">
        <v>65</v>
      </c>
      <c r="E1675" s="13" t="s">
        <v>66</v>
      </c>
      <c r="F1675" s="14"/>
      <c r="G1675" s="15"/>
      <c r="H1675" s="451"/>
      <c r="I1675" s="412">
        <f>IF(AND(E1675&lt;&gt;"",G1675&lt;&gt;""),IF(D1675="",IF(G1675="OH",VLOOKUP(E1675,UPAH!$C$4:$H$31,7,0),VLOOKUP(E1675,#REF!,4,0)),0),0)</f>
        <v>0</v>
      </c>
      <c r="J1675" s="16">
        <f>H1675*I1675</f>
        <v>0</v>
      </c>
    </row>
    <row r="1676" spans="1:10" ht="13.5" thickBot="1">
      <c r="A1676" s="27"/>
      <c r="B1676" s="110"/>
      <c r="D1676" s="417"/>
      <c r="E1676" s="418"/>
      <c r="F1676" s="418"/>
      <c r="G1676" s="419"/>
      <c r="H1676" s="420" t="s">
        <v>67</v>
      </c>
      <c r="I1676" s="421"/>
      <c r="J1676" s="396">
        <f>J1675</f>
        <v>0</v>
      </c>
    </row>
    <row r="1677" spans="1:10" ht="13">
      <c r="A1677" s="27"/>
      <c r="B1677" s="110"/>
      <c r="D1677" s="444" t="s">
        <v>68</v>
      </c>
      <c r="E1677" s="445" t="s">
        <v>69</v>
      </c>
      <c r="F1677" s="446"/>
      <c r="G1677" s="447"/>
      <c r="H1677" s="448"/>
      <c r="I1677" s="449">
        <f>IF(AND(E1677&lt;&gt;"",G1677&lt;&gt;""),IF(D1677="",IF(G1677="OH",VLOOKUP(E1677,UPAH!$C$4:$H$31,7,0),VLOOKUP(E1677,#REF!,4,0)),0),0)</f>
        <v>0</v>
      </c>
      <c r="J1677" s="16">
        <f>SUM(J1663:J1676)/2</f>
        <v>0</v>
      </c>
    </row>
    <row r="1678" spans="1:10" ht="13.5" thickBot="1">
      <c r="A1678" s="27"/>
      <c r="B1678" s="110"/>
      <c r="D1678" s="431" t="s">
        <v>70</v>
      </c>
      <c r="E1678" s="432" t="s">
        <v>477</v>
      </c>
      <c r="F1678" s="433"/>
      <c r="G1678" s="434"/>
      <c r="H1678" s="22">
        <v>0.1</v>
      </c>
      <c r="I1678" s="436"/>
      <c r="J1678" s="430">
        <f>H1678*J1677</f>
        <v>0</v>
      </c>
    </row>
    <row r="1679" spans="1:10" ht="13.5" thickBot="1">
      <c r="A1679" s="27"/>
      <c r="B1679" s="110"/>
      <c r="D1679" s="401" t="s">
        <v>71</v>
      </c>
      <c r="E1679" s="402" t="s">
        <v>72</v>
      </c>
      <c r="F1679" s="418"/>
      <c r="G1679" s="419"/>
      <c r="H1679" s="442"/>
      <c r="I1679" s="421">
        <f>IF(AND(E1679&lt;&gt;"",G1679&lt;&gt;""),IF(D1679="",IF(G1679="OH",VLOOKUP(E1679,UPAH!$C$4:$H$31,7,0),VLOOKUP(E1679,#REF!,4,0)),0),0)</f>
        <v>0</v>
      </c>
      <c r="J1679" s="396">
        <f>ROUNDDOWN(J1677+J1678,0)</f>
        <v>0</v>
      </c>
    </row>
    <row r="1680" spans="1:10" ht="13">
      <c r="A1680" s="27"/>
      <c r="B1680" s="110"/>
      <c r="D1680" s="11"/>
      <c r="E1680" s="11"/>
      <c r="H1680" s="443"/>
    </row>
    <row r="1681" spans="1:10" ht="13.5" thickBot="1">
      <c r="A1681" s="27"/>
      <c r="B1681" s="110"/>
      <c r="C1681" s="10" t="s">
        <v>659</v>
      </c>
      <c r="D1681" s="11" t="s">
        <v>660</v>
      </c>
      <c r="H1681" s="443"/>
    </row>
    <row r="1682" spans="1:10" ht="13.5" thickBot="1">
      <c r="A1682" s="27"/>
      <c r="B1682" s="110"/>
      <c r="D1682" s="401" t="s">
        <v>40</v>
      </c>
      <c r="E1682" s="402" t="s">
        <v>41</v>
      </c>
      <c r="F1682" s="402" t="s">
        <v>42</v>
      </c>
      <c r="G1682" s="403" t="s">
        <v>43</v>
      </c>
      <c r="H1682" s="404" t="s">
        <v>44</v>
      </c>
      <c r="I1682" s="402" t="s">
        <v>474</v>
      </c>
      <c r="J1682" s="405" t="s">
        <v>475</v>
      </c>
    </row>
    <row r="1683" spans="1:10" ht="13">
      <c r="A1683" s="27"/>
      <c r="B1683" s="110"/>
      <c r="D1683" s="406" t="s">
        <v>45</v>
      </c>
      <c r="E1683" s="13" t="s">
        <v>46</v>
      </c>
      <c r="F1683" s="14"/>
      <c r="G1683" s="15"/>
      <c r="H1683" s="451"/>
      <c r="I1683" s="412"/>
      <c r="J1683" s="16"/>
    </row>
    <row r="1684" spans="1:10" ht="13">
      <c r="A1684" s="27"/>
      <c r="B1684" s="110"/>
      <c r="D1684" s="409"/>
      <c r="E1684" s="13" t="s">
        <v>47</v>
      </c>
      <c r="F1684" s="13" t="s">
        <v>1918</v>
      </c>
      <c r="G1684" s="410" t="s">
        <v>48</v>
      </c>
      <c r="H1684" s="411">
        <v>0.16500000000000001</v>
      </c>
      <c r="I1684" s="412">
        <f>IF(AND(E1684&lt;&gt;"",G1684&lt;&gt;""),IF(D1684="",IF(G1684="OH",VLOOKUP(F1684,UPAH!$B$4:$H$101,7,0),VLOOKUP(F1684,#REF!,4,0)),0),0)</f>
        <v>0</v>
      </c>
      <c r="J1684" s="16">
        <f>H1684*I1684</f>
        <v>0</v>
      </c>
    </row>
    <row r="1685" spans="1:10" ht="13">
      <c r="A1685" s="27"/>
      <c r="B1685" s="110"/>
      <c r="D1685" s="409"/>
      <c r="E1685" s="13" t="s">
        <v>81</v>
      </c>
      <c r="F1685" s="13" t="s">
        <v>1921</v>
      </c>
      <c r="G1685" s="410" t="s">
        <v>48</v>
      </c>
      <c r="H1685" s="411">
        <v>2.8000000000000001E-2</v>
      </c>
      <c r="I1685" s="412">
        <f>IF(AND(E1685&lt;&gt;"",G1685&lt;&gt;""),IF(D1685="",IF(G1685="OH",VLOOKUP(F1685,UPAH!$B$4:$H$101,7,0),VLOOKUP(F1685,#REF!,4,0)),0),0)</f>
        <v>0</v>
      </c>
      <c r="J1685" s="16">
        <f>H1685*I1685</f>
        <v>0</v>
      </c>
    </row>
    <row r="1686" spans="1:10" ht="13">
      <c r="A1686" s="27"/>
      <c r="B1686" s="110"/>
      <c r="D1686" s="409"/>
      <c r="E1686" s="13" t="s">
        <v>50</v>
      </c>
      <c r="F1686" s="13" t="s">
        <v>1928</v>
      </c>
      <c r="G1686" s="410" t="s">
        <v>48</v>
      </c>
      <c r="H1686" s="411">
        <v>3.0000000000000001E-3</v>
      </c>
      <c r="I1686" s="412">
        <f>IF(AND(E1686&lt;&gt;"",G1686&lt;&gt;""),IF(D1686="",IF(G1686="OH",VLOOKUP(F1686,UPAH!$B$4:$H$101,7,0),VLOOKUP(F1686,#REF!,4,0)),0),0)</f>
        <v>0</v>
      </c>
      <c r="J1686" s="16">
        <f>H1686*I1686</f>
        <v>0</v>
      </c>
    </row>
    <row r="1687" spans="1:10" ht="13.5" thickBot="1">
      <c r="A1687" s="27"/>
      <c r="B1687" s="110"/>
      <c r="D1687" s="409"/>
      <c r="E1687" s="13" t="s">
        <v>51</v>
      </c>
      <c r="F1687" s="13" t="s">
        <v>1929</v>
      </c>
      <c r="G1687" s="410" t="s">
        <v>48</v>
      </c>
      <c r="H1687" s="411">
        <v>8.0000000000000002E-3</v>
      </c>
      <c r="I1687" s="412">
        <f>IF(AND(E1687&lt;&gt;"",G1687&lt;&gt;""),IF(D1687="",IF(G1687="OH",VLOOKUP(F1687,UPAH!$B$4:$H$101,7,0),VLOOKUP(F1687,#REF!,4,0)),0),0)</f>
        <v>0</v>
      </c>
      <c r="J1687" s="16">
        <f>H1687*I1687</f>
        <v>0</v>
      </c>
    </row>
    <row r="1688" spans="1:10" ht="13.5" thickBot="1">
      <c r="A1688" s="27"/>
      <c r="B1688" s="110"/>
      <c r="D1688" s="417"/>
      <c r="E1688" s="418"/>
      <c r="F1688" s="418"/>
      <c r="G1688" s="419"/>
      <c r="H1688" s="420" t="s">
        <v>52</v>
      </c>
      <c r="I1688" s="421"/>
      <c r="J1688" s="396">
        <f>SUM(J1684:J1687)</f>
        <v>0</v>
      </c>
    </row>
    <row r="1689" spans="1:10" ht="13">
      <c r="A1689" s="27"/>
      <c r="B1689" s="110"/>
      <c r="D1689" s="406" t="s">
        <v>53</v>
      </c>
      <c r="E1689" s="13" t="s">
        <v>54</v>
      </c>
      <c r="F1689" s="14"/>
      <c r="G1689" s="15"/>
      <c r="H1689" s="451"/>
      <c r="I1689" s="412"/>
      <c r="J1689" s="16"/>
    </row>
    <row r="1690" spans="1:10" ht="13">
      <c r="A1690" s="27"/>
      <c r="B1690" s="110"/>
      <c r="D1690" s="409"/>
      <c r="E1690" s="13" t="s">
        <v>56</v>
      </c>
      <c r="F1690" s="14"/>
      <c r="G1690" s="410" t="s">
        <v>57</v>
      </c>
      <c r="H1690" s="411">
        <v>32.6</v>
      </c>
      <c r="I1690" s="412">
        <f>'BAHAN '!G72</f>
        <v>0</v>
      </c>
      <c r="J1690" s="16">
        <f>H1690*I1690</f>
        <v>0</v>
      </c>
    </row>
    <row r="1691" spans="1:10" ht="13">
      <c r="A1691" s="27"/>
      <c r="B1691" s="110"/>
      <c r="D1691" s="409"/>
      <c r="E1691" s="13" t="s">
        <v>58</v>
      </c>
      <c r="F1691" s="14"/>
      <c r="G1691" s="410" t="s">
        <v>57</v>
      </c>
      <c r="H1691" s="411">
        <v>76</v>
      </c>
      <c r="I1691" s="412">
        <f>'BAHAN '!G60</f>
        <v>0</v>
      </c>
      <c r="J1691" s="16">
        <f>H1691*I1691</f>
        <v>0</v>
      </c>
    </row>
    <row r="1692" spans="1:10" ht="13">
      <c r="A1692" s="27"/>
      <c r="B1692" s="110"/>
      <c r="D1692" s="409"/>
      <c r="E1692" s="13" t="s">
        <v>399</v>
      </c>
      <c r="F1692" s="14"/>
      <c r="G1692" s="410" t="s">
        <v>57</v>
      </c>
      <c r="H1692" s="411">
        <v>102.9</v>
      </c>
      <c r="I1692" s="412">
        <f>'BAHAN '!G50</f>
        <v>0</v>
      </c>
      <c r="J1692" s="16">
        <f>H1692*I1692</f>
        <v>0</v>
      </c>
    </row>
    <row r="1693" spans="1:10" ht="13.5" thickBot="1">
      <c r="A1693" s="27"/>
      <c r="B1693" s="110"/>
      <c r="D1693" s="409"/>
      <c r="E1693" s="13" t="s">
        <v>108</v>
      </c>
      <c r="F1693" s="14"/>
      <c r="G1693" s="410" t="s">
        <v>127</v>
      </c>
      <c r="H1693" s="411">
        <v>21.5</v>
      </c>
      <c r="I1693" s="412">
        <f>'BAHAN '!G11</f>
        <v>0</v>
      </c>
      <c r="J1693" s="16">
        <f>H1693*I1693</f>
        <v>0</v>
      </c>
    </row>
    <row r="1694" spans="1:10" ht="13.5" thickBot="1">
      <c r="A1694" s="27"/>
      <c r="B1694" s="110"/>
      <c r="D1694" s="417"/>
      <c r="E1694" s="418"/>
      <c r="F1694" s="418"/>
      <c r="G1694" s="419"/>
      <c r="H1694" s="420" t="s">
        <v>64</v>
      </c>
      <c r="I1694" s="421"/>
      <c r="J1694" s="396">
        <f>SUM(J1690:J1693)</f>
        <v>0</v>
      </c>
    </row>
    <row r="1695" spans="1:10" ht="13.5" thickBot="1">
      <c r="A1695" s="27"/>
      <c r="B1695" s="110"/>
      <c r="D1695" s="406" t="s">
        <v>65</v>
      </c>
      <c r="E1695" s="13" t="s">
        <v>66</v>
      </c>
      <c r="F1695" s="14"/>
      <c r="G1695" s="15"/>
      <c r="H1695" s="451"/>
      <c r="I1695" s="412">
        <f>IF(AND(E1695&lt;&gt;"",G1695&lt;&gt;""),IF(D1695="",IF(G1695="OH",VLOOKUP(E1695,UPAH!$C$4:$H$31,7,0),VLOOKUP(E1695,#REF!,4,0)),0),0)</f>
        <v>0</v>
      </c>
      <c r="J1695" s="16">
        <f>H1695*I1695</f>
        <v>0</v>
      </c>
    </row>
    <row r="1696" spans="1:10" ht="13.5" thickBot="1">
      <c r="A1696" s="27"/>
      <c r="B1696" s="110"/>
      <c r="D1696" s="417"/>
      <c r="E1696" s="418"/>
      <c r="F1696" s="418"/>
      <c r="G1696" s="419"/>
      <c r="H1696" s="420" t="s">
        <v>67</v>
      </c>
      <c r="I1696" s="421"/>
      <c r="J1696" s="396">
        <f>J1695</f>
        <v>0</v>
      </c>
    </row>
    <row r="1697" spans="1:10" ht="13">
      <c r="A1697" s="27"/>
      <c r="B1697" s="110"/>
      <c r="D1697" s="444" t="s">
        <v>68</v>
      </c>
      <c r="E1697" s="445" t="s">
        <v>69</v>
      </c>
      <c r="F1697" s="446"/>
      <c r="G1697" s="447"/>
      <c r="H1697" s="448"/>
      <c r="I1697" s="449">
        <f>IF(AND(E1697&lt;&gt;"",G1697&lt;&gt;""),IF(D1697="",IF(G1697="OH",VLOOKUP(E1697,UPAH!$C$4:$H$31,7,0),VLOOKUP(E1697,#REF!,4,0)),0),0)</f>
        <v>0</v>
      </c>
      <c r="J1697" s="16">
        <f>SUM(J1683:J1696)/2</f>
        <v>0</v>
      </c>
    </row>
    <row r="1698" spans="1:10" ht="13.5" thickBot="1">
      <c r="A1698" s="27"/>
      <c r="B1698" s="110"/>
      <c r="D1698" s="431" t="s">
        <v>70</v>
      </c>
      <c r="E1698" s="432" t="s">
        <v>477</v>
      </c>
      <c r="F1698" s="433"/>
      <c r="G1698" s="434"/>
      <c r="H1698" s="22">
        <v>0.1</v>
      </c>
      <c r="I1698" s="436"/>
      <c r="J1698" s="430">
        <f>H1698*J1697</f>
        <v>0</v>
      </c>
    </row>
    <row r="1699" spans="1:10" ht="13.5" thickBot="1">
      <c r="A1699" s="27"/>
      <c r="B1699" s="110"/>
      <c r="D1699" s="401" t="s">
        <v>71</v>
      </c>
      <c r="E1699" s="402" t="s">
        <v>72</v>
      </c>
      <c r="F1699" s="418"/>
      <c r="G1699" s="419"/>
      <c r="H1699" s="442"/>
      <c r="I1699" s="421">
        <f>IF(AND(E1699&lt;&gt;"",G1699&lt;&gt;""),IF(D1699="",IF(G1699="OH",VLOOKUP(E1699,UPAH!$C$4:$H$31,7,0),VLOOKUP(E1699,#REF!,4,0)),0),0)</f>
        <v>0</v>
      </c>
      <c r="J1699" s="396">
        <f>ROUNDDOWN(J1697+J1698,0)</f>
        <v>0</v>
      </c>
    </row>
    <row r="1700" spans="1:10" ht="13">
      <c r="A1700" s="27"/>
      <c r="B1700" s="110"/>
      <c r="D1700" s="11"/>
      <c r="E1700" s="11"/>
      <c r="H1700" s="443"/>
      <c r="I1700" s="17"/>
      <c r="J1700" s="18"/>
    </row>
    <row r="1701" spans="1:10" ht="13.5" thickBot="1">
      <c r="A1701" s="27"/>
      <c r="B1701" s="110"/>
      <c r="C1701" s="10" t="s">
        <v>662</v>
      </c>
      <c r="D1701" s="11" t="s">
        <v>661</v>
      </c>
      <c r="H1701" s="443"/>
    </row>
    <row r="1702" spans="1:10" ht="13.5" thickBot="1">
      <c r="A1702" s="27"/>
      <c r="B1702" s="110"/>
      <c r="D1702" s="401" t="s">
        <v>40</v>
      </c>
      <c r="E1702" s="402" t="s">
        <v>41</v>
      </c>
      <c r="F1702" s="402" t="s">
        <v>42</v>
      </c>
      <c r="G1702" s="403" t="s">
        <v>43</v>
      </c>
      <c r="H1702" s="404" t="s">
        <v>44</v>
      </c>
      <c r="I1702" s="402" t="s">
        <v>474</v>
      </c>
      <c r="J1702" s="405" t="s">
        <v>475</v>
      </c>
    </row>
    <row r="1703" spans="1:10" ht="13">
      <c r="A1703" s="27"/>
      <c r="B1703" s="110"/>
      <c r="D1703" s="406" t="s">
        <v>45</v>
      </c>
      <c r="E1703" s="13" t="s">
        <v>46</v>
      </c>
      <c r="F1703" s="14"/>
      <c r="G1703" s="15"/>
      <c r="H1703" s="451"/>
      <c r="I1703" s="412"/>
      <c r="J1703" s="16"/>
    </row>
    <row r="1704" spans="1:10" ht="13">
      <c r="A1704" s="27"/>
      <c r="B1704" s="110"/>
      <c r="D1704" s="409"/>
      <c r="E1704" s="13" t="s">
        <v>47</v>
      </c>
      <c r="F1704" s="13" t="s">
        <v>1918</v>
      </c>
      <c r="G1704" s="410" t="s">
        <v>48</v>
      </c>
      <c r="H1704" s="411">
        <v>0.19800000000000001</v>
      </c>
      <c r="I1704" s="412">
        <f>IF(AND(E1704&lt;&gt;"",G1704&lt;&gt;""),IF(D1704="",IF(G1704="OH",VLOOKUP(F1704,UPAH!$B$4:$H$101,7,0),VLOOKUP(F1704,#REF!,4,0)),0),0)</f>
        <v>0</v>
      </c>
      <c r="J1704" s="16">
        <f>H1704*I1704</f>
        <v>0</v>
      </c>
    </row>
    <row r="1705" spans="1:10" ht="13">
      <c r="A1705" s="27"/>
      <c r="B1705" s="110"/>
      <c r="D1705" s="409"/>
      <c r="E1705" s="13" t="s">
        <v>81</v>
      </c>
      <c r="F1705" s="13" t="s">
        <v>1921</v>
      </c>
      <c r="G1705" s="410" t="s">
        <v>48</v>
      </c>
      <c r="H1705" s="411">
        <v>3.3000000000000002E-2</v>
      </c>
      <c r="I1705" s="412">
        <f>IF(AND(E1705&lt;&gt;"",G1705&lt;&gt;""),IF(D1705="",IF(G1705="OH",VLOOKUP(F1705,UPAH!$B$4:$H$101,7,0),VLOOKUP(F1705,#REF!,4,0)),0),0)</f>
        <v>0</v>
      </c>
      <c r="J1705" s="16">
        <f>H1705*I1705</f>
        <v>0</v>
      </c>
    </row>
    <row r="1706" spans="1:10" ht="13">
      <c r="A1706" s="27"/>
      <c r="B1706" s="110"/>
      <c r="D1706" s="409"/>
      <c r="E1706" s="13" t="s">
        <v>50</v>
      </c>
      <c r="F1706" s="13" t="s">
        <v>1928</v>
      </c>
      <c r="G1706" s="410" t="s">
        <v>48</v>
      </c>
      <c r="H1706" s="411">
        <v>3.0000000000000001E-3</v>
      </c>
      <c r="I1706" s="412">
        <f>IF(AND(E1706&lt;&gt;"",G1706&lt;&gt;""),IF(D1706="",IF(G1706="OH",VLOOKUP(F1706,UPAH!$B$4:$H$101,7,0),VLOOKUP(F1706,#REF!,4,0)),0),0)</f>
        <v>0</v>
      </c>
      <c r="J1706" s="16">
        <f>H1706*I1706</f>
        <v>0</v>
      </c>
    </row>
    <row r="1707" spans="1:10" ht="13.5" thickBot="1">
      <c r="A1707" s="27"/>
      <c r="B1707" s="110"/>
      <c r="D1707" s="409"/>
      <c r="E1707" s="13" t="s">
        <v>51</v>
      </c>
      <c r="F1707" s="13" t="s">
        <v>1929</v>
      </c>
      <c r="G1707" s="410" t="s">
        <v>48</v>
      </c>
      <c r="H1707" s="411">
        <v>0.01</v>
      </c>
      <c r="I1707" s="412">
        <f>IF(AND(E1707&lt;&gt;"",G1707&lt;&gt;""),IF(D1707="",IF(G1707="OH",VLOOKUP(F1707,UPAH!$B$4:$H$101,7,0),VLOOKUP(F1707,#REF!,4,0)),0),0)</f>
        <v>0</v>
      </c>
      <c r="J1707" s="16">
        <f>H1707*I1707</f>
        <v>0</v>
      </c>
    </row>
    <row r="1708" spans="1:10" ht="13.5" thickBot="1">
      <c r="A1708" s="27"/>
      <c r="B1708" s="110"/>
      <c r="D1708" s="417"/>
      <c r="E1708" s="418"/>
      <c r="F1708" s="418"/>
      <c r="G1708" s="419"/>
      <c r="H1708" s="420" t="s">
        <v>52</v>
      </c>
      <c r="I1708" s="421"/>
      <c r="J1708" s="396">
        <f>SUM(J1704:J1707)</f>
        <v>0</v>
      </c>
    </row>
    <row r="1709" spans="1:10" ht="13">
      <c r="A1709" s="27"/>
      <c r="B1709" s="110"/>
      <c r="D1709" s="406" t="s">
        <v>53</v>
      </c>
      <c r="E1709" s="13" t="s">
        <v>54</v>
      </c>
      <c r="F1709" s="14"/>
      <c r="G1709" s="15"/>
      <c r="H1709" s="451"/>
      <c r="I1709" s="412"/>
      <c r="J1709" s="16"/>
    </row>
    <row r="1710" spans="1:10" ht="13">
      <c r="A1710" s="27"/>
      <c r="B1710" s="110"/>
      <c r="D1710" s="409"/>
      <c r="E1710" s="13" t="s">
        <v>56</v>
      </c>
      <c r="F1710" s="14"/>
      <c r="G1710" s="410" t="s">
        <v>57</v>
      </c>
      <c r="H1710" s="411">
        <v>32.119999999999997</v>
      </c>
      <c r="I1710" s="412">
        <f>'BAHAN '!G72</f>
        <v>0</v>
      </c>
      <c r="J1710" s="16">
        <f>H1710*I1710</f>
        <v>0</v>
      </c>
    </row>
    <row r="1711" spans="1:10" ht="13">
      <c r="A1711" s="27"/>
      <c r="B1711" s="110"/>
      <c r="D1711" s="409"/>
      <c r="E1711" s="13" t="s">
        <v>58</v>
      </c>
      <c r="F1711" s="14"/>
      <c r="G1711" s="410" t="s">
        <v>57</v>
      </c>
      <c r="H1711" s="411">
        <v>91.2</v>
      </c>
      <c r="I1711" s="412">
        <f>'BAHAN '!G60</f>
        <v>0</v>
      </c>
      <c r="J1711" s="16">
        <f>H1711*I1711</f>
        <v>0</v>
      </c>
    </row>
    <row r="1712" spans="1:10" ht="13">
      <c r="A1712" s="27"/>
      <c r="B1712" s="110"/>
      <c r="D1712" s="409"/>
      <c r="E1712" s="13" t="s">
        <v>399</v>
      </c>
      <c r="F1712" s="14"/>
      <c r="G1712" s="410" t="s">
        <v>57</v>
      </c>
      <c r="H1712" s="411">
        <v>123.48</v>
      </c>
      <c r="I1712" s="412">
        <f>'BAHAN '!G50</f>
        <v>0</v>
      </c>
      <c r="J1712" s="16">
        <f>H1712*I1712</f>
        <v>0</v>
      </c>
    </row>
    <row r="1713" spans="1:10" ht="13.5" thickBot="1">
      <c r="A1713" s="27"/>
      <c r="B1713" s="110"/>
      <c r="D1713" s="409"/>
      <c r="E1713" s="13" t="s">
        <v>108</v>
      </c>
      <c r="F1713" s="14"/>
      <c r="G1713" s="410" t="s">
        <v>127</v>
      </c>
      <c r="H1713" s="411">
        <v>25.8</v>
      </c>
      <c r="I1713" s="412">
        <f>'BAHAN '!G11</f>
        <v>0</v>
      </c>
      <c r="J1713" s="16">
        <f>H1713*I1713</f>
        <v>0</v>
      </c>
    </row>
    <row r="1714" spans="1:10" ht="13.5" thickBot="1">
      <c r="A1714" s="27"/>
      <c r="B1714" s="110"/>
      <c r="D1714" s="417"/>
      <c r="E1714" s="418"/>
      <c r="F1714" s="418"/>
      <c r="G1714" s="419"/>
      <c r="H1714" s="420" t="s">
        <v>64</v>
      </c>
      <c r="I1714" s="421"/>
      <c r="J1714" s="396">
        <f>SUM(J1710:J1713)</f>
        <v>0</v>
      </c>
    </row>
    <row r="1715" spans="1:10" ht="13.5" thickBot="1">
      <c r="A1715" s="27"/>
      <c r="B1715" s="110"/>
      <c r="D1715" s="406" t="s">
        <v>65</v>
      </c>
      <c r="E1715" s="13" t="s">
        <v>66</v>
      </c>
      <c r="F1715" s="14"/>
      <c r="G1715" s="15"/>
      <c r="H1715" s="451"/>
      <c r="I1715" s="412">
        <f>IF(AND(E1715&lt;&gt;"",G1715&lt;&gt;""),IF(D1715="",IF(G1715="OH",VLOOKUP(E1715,UPAH!$C$4:$H$31,7,0),VLOOKUP(E1715,#REF!,4,0)),0),0)</f>
        <v>0</v>
      </c>
      <c r="J1715" s="16">
        <f>H1715*I1715</f>
        <v>0</v>
      </c>
    </row>
    <row r="1716" spans="1:10" ht="13.5" thickBot="1">
      <c r="A1716" s="27"/>
      <c r="B1716" s="110"/>
      <c r="D1716" s="417"/>
      <c r="E1716" s="418"/>
      <c r="F1716" s="418"/>
      <c r="G1716" s="419"/>
      <c r="H1716" s="420" t="s">
        <v>67</v>
      </c>
      <c r="I1716" s="421"/>
      <c r="J1716" s="396">
        <f>J1715</f>
        <v>0</v>
      </c>
    </row>
    <row r="1717" spans="1:10" ht="13">
      <c r="A1717" s="27"/>
      <c r="B1717" s="110"/>
      <c r="D1717" s="444" t="s">
        <v>68</v>
      </c>
      <c r="E1717" s="445" t="s">
        <v>69</v>
      </c>
      <c r="F1717" s="446"/>
      <c r="G1717" s="447"/>
      <c r="H1717" s="448"/>
      <c r="I1717" s="449">
        <f>IF(AND(E1717&lt;&gt;"",G1717&lt;&gt;""),IF(D1717="",IF(G1717="OH",VLOOKUP(E1717,UPAH!$C$4:$H$31,7,0),VLOOKUP(E1717,#REF!,4,0)),0),0)</f>
        <v>0</v>
      </c>
      <c r="J1717" s="16">
        <f>SUM(J1703:J1716)/2</f>
        <v>0</v>
      </c>
    </row>
    <row r="1718" spans="1:10" ht="13.5" thickBot="1">
      <c r="A1718" s="27"/>
      <c r="B1718" s="110"/>
      <c r="D1718" s="431" t="s">
        <v>70</v>
      </c>
      <c r="E1718" s="432" t="s">
        <v>477</v>
      </c>
      <c r="F1718" s="433"/>
      <c r="G1718" s="434"/>
      <c r="H1718" s="22">
        <v>0.1</v>
      </c>
      <c r="I1718" s="436"/>
      <c r="J1718" s="430">
        <f>H1718*J1717</f>
        <v>0</v>
      </c>
    </row>
    <row r="1719" spans="1:10" ht="13.5" thickBot="1">
      <c r="A1719" s="27"/>
      <c r="B1719" s="110"/>
      <c r="D1719" s="401" t="s">
        <v>71</v>
      </c>
      <c r="E1719" s="402" t="s">
        <v>72</v>
      </c>
      <c r="F1719" s="418"/>
      <c r="G1719" s="419"/>
      <c r="H1719" s="442"/>
      <c r="I1719" s="421">
        <f>IF(AND(E1719&lt;&gt;"",G1719&lt;&gt;""),IF(D1719="",IF(G1719="OH",VLOOKUP(E1719,UPAH!$C$4:$H$31,7,0),VLOOKUP(E1719,#REF!,4,0)),0),0)</f>
        <v>0</v>
      </c>
      <c r="J1719" s="396">
        <f>ROUNDDOWN(J1717+J1718,0)</f>
        <v>0</v>
      </c>
    </row>
    <row r="1720" spans="1:10" ht="13">
      <c r="A1720" s="27"/>
      <c r="B1720" s="110"/>
      <c r="D1720" s="11"/>
      <c r="E1720" s="11"/>
      <c r="H1720" s="443"/>
      <c r="I1720" s="17"/>
      <c r="J1720" s="18"/>
    </row>
    <row r="1721" spans="1:10" ht="13.5" thickBot="1">
      <c r="A1721" s="27"/>
      <c r="B1721" s="110"/>
      <c r="C1721" s="10" t="s">
        <v>664</v>
      </c>
      <c r="D1721" s="11" t="s">
        <v>663</v>
      </c>
      <c r="H1721" s="443"/>
    </row>
    <row r="1722" spans="1:10" ht="13.5" thickBot="1">
      <c r="A1722" s="27"/>
      <c r="B1722" s="110"/>
      <c r="D1722" s="401" t="s">
        <v>40</v>
      </c>
      <c r="E1722" s="402" t="s">
        <v>41</v>
      </c>
      <c r="F1722" s="402" t="s">
        <v>42</v>
      </c>
      <c r="G1722" s="403" t="s">
        <v>43</v>
      </c>
      <c r="H1722" s="404" t="s">
        <v>44</v>
      </c>
      <c r="I1722" s="402" t="s">
        <v>474</v>
      </c>
      <c r="J1722" s="405" t="s">
        <v>475</v>
      </c>
    </row>
    <row r="1723" spans="1:10" ht="13">
      <c r="A1723" s="27"/>
      <c r="B1723" s="110"/>
      <c r="D1723" s="406" t="s">
        <v>45</v>
      </c>
      <c r="E1723" s="13" t="s">
        <v>46</v>
      </c>
      <c r="F1723" s="14"/>
      <c r="G1723" s="15"/>
      <c r="H1723" s="451"/>
      <c r="I1723" s="412"/>
      <c r="J1723" s="16"/>
    </row>
    <row r="1724" spans="1:10" ht="13">
      <c r="A1724" s="27"/>
      <c r="B1724" s="110"/>
      <c r="D1724" s="409"/>
      <c r="E1724" s="13" t="s">
        <v>47</v>
      </c>
      <c r="F1724" s="13" t="s">
        <v>1918</v>
      </c>
      <c r="G1724" s="410" t="s">
        <v>48</v>
      </c>
      <c r="H1724" s="411">
        <v>0.248</v>
      </c>
      <c r="I1724" s="412">
        <f>IF(AND(E1724&lt;&gt;"",G1724&lt;&gt;""),IF(D1724="",IF(G1724="OH",VLOOKUP(F1724,UPAH!$B$4:$H$101,7,0),VLOOKUP(F1724,#REF!,4,0)),0),0)</f>
        <v>0</v>
      </c>
      <c r="J1724" s="16">
        <f>H1724*I1724</f>
        <v>0</v>
      </c>
    </row>
    <row r="1725" spans="1:10" ht="13">
      <c r="A1725" s="27"/>
      <c r="B1725" s="110"/>
      <c r="D1725" s="409"/>
      <c r="E1725" s="13" t="s">
        <v>81</v>
      </c>
      <c r="F1725" s="13" t="s">
        <v>1921</v>
      </c>
      <c r="G1725" s="410" t="s">
        <v>48</v>
      </c>
      <c r="H1725" s="411">
        <v>4.1000000000000002E-2</v>
      </c>
      <c r="I1725" s="412">
        <f>IF(AND(E1725&lt;&gt;"",G1725&lt;&gt;""),IF(D1725="",IF(G1725="OH",VLOOKUP(F1725,UPAH!$B$4:$H$101,7,0),VLOOKUP(F1725,#REF!,4,0)),0),0)</f>
        <v>0</v>
      </c>
      <c r="J1725" s="16">
        <f>H1725*I1725</f>
        <v>0</v>
      </c>
    </row>
    <row r="1726" spans="1:10" ht="13">
      <c r="A1726" s="27"/>
      <c r="B1726" s="110"/>
      <c r="D1726" s="409"/>
      <c r="E1726" s="13" t="s">
        <v>50</v>
      </c>
      <c r="F1726" s="13" t="s">
        <v>1928</v>
      </c>
      <c r="G1726" s="410" t="s">
        <v>48</v>
      </c>
      <c r="H1726" s="411">
        <v>4.0000000000000001E-3</v>
      </c>
      <c r="I1726" s="412">
        <f>IF(AND(E1726&lt;&gt;"",G1726&lt;&gt;""),IF(D1726="",IF(G1726="OH",VLOOKUP(F1726,UPAH!$B$4:$H$101,7,0),VLOOKUP(F1726,#REF!,4,0)),0),0)</f>
        <v>0</v>
      </c>
      <c r="J1726" s="16">
        <f>H1726*I1726</f>
        <v>0</v>
      </c>
    </row>
    <row r="1727" spans="1:10" ht="13.5" thickBot="1">
      <c r="A1727" s="27"/>
      <c r="B1727" s="110"/>
      <c r="D1727" s="409"/>
      <c r="E1727" s="13" t="s">
        <v>51</v>
      </c>
      <c r="F1727" s="13" t="s">
        <v>1929</v>
      </c>
      <c r="G1727" s="410" t="s">
        <v>48</v>
      </c>
      <c r="H1727" s="411">
        <v>1.2999999999999999E-2</v>
      </c>
      <c r="I1727" s="412">
        <f>IF(AND(E1727&lt;&gt;"",G1727&lt;&gt;""),IF(D1727="",IF(G1727="OH",VLOOKUP(F1727,UPAH!$B$4:$H$101,7,0),VLOOKUP(F1727,#REF!,4,0)),0),0)</f>
        <v>0</v>
      </c>
      <c r="J1727" s="16">
        <f>H1727*I1727</f>
        <v>0</v>
      </c>
    </row>
    <row r="1728" spans="1:10" ht="13.5" thickBot="1">
      <c r="A1728" s="27"/>
      <c r="B1728" s="110"/>
      <c r="D1728" s="417"/>
      <c r="E1728" s="418"/>
      <c r="F1728" s="418"/>
      <c r="G1728" s="419"/>
      <c r="H1728" s="420" t="s">
        <v>52</v>
      </c>
      <c r="I1728" s="421"/>
      <c r="J1728" s="396">
        <f>SUM(J1724:J1727)</f>
        <v>0</v>
      </c>
    </row>
    <row r="1729" spans="1:10" ht="13">
      <c r="A1729" s="27"/>
      <c r="B1729" s="110"/>
      <c r="D1729" s="406" t="s">
        <v>53</v>
      </c>
      <c r="E1729" s="13" t="s">
        <v>54</v>
      </c>
      <c r="F1729" s="14"/>
      <c r="G1729" s="15"/>
      <c r="H1729" s="451"/>
      <c r="I1729" s="412"/>
      <c r="J1729" s="16"/>
    </row>
    <row r="1730" spans="1:10" ht="13">
      <c r="A1730" s="27"/>
      <c r="B1730" s="110"/>
      <c r="D1730" s="409"/>
      <c r="E1730" s="13" t="s">
        <v>56</v>
      </c>
      <c r="F1730" s="14"/>
      <c r="G1730" s="410" t="s">
        <v>57</v>
      </c>
      <c r="H1730" s="411">
        <v>48.9</v>
      </c>
      <c r="I1730" s="412">
        <f>'BAHAN '!G72</f>
        <v>0</v>
      </c>
      <c r="J1730" s="16">
        <f>H1730*I1730</f>
        <v>0</v>
      </c>
    </row>
    <row r="1731" spans="1:10" ht="13">
      <c r="A1731" s="27"/>
      <c r="B1731" s="110"/>
      <c r="D1731" s="409"/>
      <c r="E1731" s="13" t="s">
        <v>58</v>
      </c>
      <c r="F1731" s="14"/>
      <c r="G1731" s="410" t="s">
        <v>57</v>
      </c>
      <c r="H1731" s="411">
        <v>114</v>
      </c>
      <c r="I1731" s="412">
        <f>'BAHAN '!G60</f>
        <v>0</v>
      </c>
      <c r="J1731" s="16">
        <f>H1731*I1731</f>
        <v>0</v>
      </c>
    </row>
    <row r="1732" spans="1:10" ht="13">
      <c r="A1732" s="27"/>
      <c r="B1732" s="110"/>
      <c r="D1732" s="409"/>
      <c r="E1732" s="13" t="s">
        <v>399</v>
      </c>
      <c r="F1732" s="14"/>
      <c r="G1732" s="410" t="s">
        <v>57</v>
      </c>
      <c r="H1732" s="411">
        <v>154.35</v>
      </c>
      <c r="I1732" s="412">
        <f>'BAHAN '!G50</f>
        <v>0</v>
      </c>
      <c r="J1732" s="16">
        <f>H1732*I1732</f>
        <v>0</v>
      </c>
    </row>
    <row r="1733" spans="1:10" ht="13.5" thickBot="1">
      <c r="A1733" s="27"/>
      <c r="B1733" s="110"/>
      <c r="D1733" s="409"/>
      <c r="E1733" s="13" t="s">
        <v>108</v>
      </c>
      <c r="F1733" s="14"/>
      <c r="G1733" s="410" t="s">
        <v>127</v>
      </c>
      <c r="H1733" s="411">
        <v>32.25</v>
      </c>
      <c r="I1733" s="412">
        <f>'BAHAN '!G11</f>
        <v>0</v>
      </c>
      <c r="J1733" s="16">
        <f>H1733*I1733</f>
        <v>0</v>
      </c>
    </row>
    <row r="1734" spans="1:10" ht="13.5" thickBot="1">
      <c r="A1734" s="27"/>
      <c r="B1734" s="110"/>
      <c r="D1734" s="417"/>
      <c r="E1734" s="418"/>
      <c r="F1734" s="418"/>
      <c r="G1734" s="419"/>
      <c r="H1734" s="420" t="s">
        <v>64</v>
      </c>
      <c r="I1734" s="421"/>
      <c r="J1734" s="396">
        <f>SUM(J1730:J1733)</f>
        <v>0</v>
      </c>
    </row>
    <row r="1735" spans="1:10" ht="13.5" thickBot="1">
      <c r="A1735" s="27"/>
      <c r="B1735" s="110"/>
      <c r="D1735" s="406" t="s">
        <v>65</v>
      </c>
      <c r="E1735" s="13" t="s">
        <v>66</v>
      </c>
      <c r="F1735" s="14"/>
      <c r="G1735" s="15"/>
      <c r="H1735" s="451"/>
      <c r="I1735" s="412">
        <f>IF(AND(E1735&lt;&gt;"",G1735&lt;&gt;""),IF(D1735="",IF(G1735="OH",VLOOKUP(E1735,UPAH!$C$4:$H$31,7,0),VLOOKUP(E1735,#REF!,4,0)),0),0)</f>
        <v>0</v>
      </c>
      <c r="J1735" s="16">
        <f>H1735*I1735</f>
        <v>0</v>
      </c>
    </row>
    <row r="1736" spans="1:10" ht="13.5" thickBot="1">
      <c r="A1736" s="27"/>
      <c r="B1736" s="110"/>
      <c r="D1736" s="417"/>
      <c r="E1736" s="418"/>
      <c r="F1736" s="418"/>
      <c r="G1736" s="419"/>
      <c r="H1736" s="420" t="s">
        <v>67</v>
      </c>
      <c r="I1736" s="421"/>
      <c r="J1736" s="396">
        <f>J1735</f>
        <v>0</v>
      </c>
    </row>
    <row r="1737" spans="1:10" ht="13">
      <c r="A1737" s="27"/>
      <c r="B1737" s="110"/>
      <c r="D1737" s="444" t="s">
        <v>68</v>
      </c>
      <c r="E1737" s="445" t="s">
        <v>69</v>
      </c>
      <c r="F1737" s="446"/>
      <c r="G1737" s="447"/>
      <c r="H1737" s="448"/>
      <c r="I1737" s="449">
        <f>IF(AND(E1737&lt;&gt;"",G1737&lt;&gt;""),IF(D1737="",IF(G1737="OH",VLOOKUP(E1737,UPAH!$C$4:$H$31,7,0),VLOOKUP(E1737,#REF!,4,0)),0),0)</f>
        <v>0</v>
      </c>
      <c r="J1737" s="16">
        <f>SUM(J1723:J1736)/2</f>
        <v>0</v>
      </c>
    </row>
    <row r="1738" spans="1:10" ht="13.5" thickBot="1">
      <c r="A1738" s="27"/>
      <c r="B1738" s="110"/>
      <c r="D1738" s="431" t="s">
        <v>70</v>
      </c>
      <c r="E1738" s="432" t="s">
        <v>477</v>
      </c>
      <c r="F1738" s="433"/>
      <c r="G1738" s="434"/>
      <c r="H1738" s="22">
        <v>0.1</v>
      </c>
      <c r="I1738" s="436"/>
      <c r="J1738" s="430">
        <f>H1738*J1737</f>
        <v>0</v>
      </c>
    </row>
    <row r="1739" spans="1:10" ht="13.5" thickBot="1">
      <c r="A1739" s="27"/>
      <c r="B1739" s="110"/>
      <c r="D1739" s="401" t="s">
        <v>71</v>
      </c>
      <c r="E1739" s="402" t="s">
        <v>72</v>
      </c>
      <c r="F1739" s="418"/>
      <c r="G1739" s="419"/>
      <c r="H1739" s="442"/>
      <c r="I1739" s="421">
        <f>IF(AND(E1739&lt;&gt;"",G1739&lt;&gt;""),IF(D1739="",IF(G1739="OH",VLOOKUP(E1739,UPAH!$C$4:$H$31,7,0),VLOOKUP(E1739,#REF!,4,0)),0),0)</f>
        <v>0</v>
      </c>
      <c r="J1739" s="396">
        <f>ROUNDDOWN(J1737+J1738,0)</f>
        <v>0</v>
      </c>
    </row>
    <row r="1740" spans="1:10" ht="13">
      <c r="A1740" s="27"/>
      <c r="B1740" s="110"/>
      <c r="D1740" s="11"/>
      <c r="E1740" s="11"/>
      <c r="H1740" s="443"/>
      <c r="I1740" s="17"/>
      <c r="J1740" s="18"/>
    </row>
    <row r="1741" spans="1:10" ht="13.5" thickBot="1">
      <c r="A1741" s="27"/>
      <c r="B1741" s="110"/>
      <c r="C1741" s="10" t="s">
        <v>666</v>
      </c>
      <c r="D1741" s="11" t="s">
        <v>665</v>
      </c>
      <c r="H1741" s="443"/>
    </row>
    <row r="1742" spans="1:10" ht="13.5" thickBot="1">
      <c r="A1742" s="27"/>
      <c r="B1742" s="110"/>
      <c r="D1742" s="401" t="s">
        <v>40</v>
      </c>
      <c r="E1742" s="402" t="s">
        <v>41</v>
      </c>
      <c r="F1742" s="402" t="s">
        <v>42</v>
      </c>
      <c r="G1742" s="403" t="s">
        <v>43</v>
      </c>
      <c r="H1742" s="404" t="s">
        <v>44</v>
      </c>
      <c r="I1742" s="402" t="s">
        <v>474</v>
      </c>
      <c r="J1742" s="405" t="s">
        <v>475</v>
      </c>
    </row>
    <row r="1743" spans="1:10" ht="13">
      <c r="A1743" s="27"/>
      <c r="B1743" s="110"/>
      <c r="D1743" s="406" t="s">
        <v>45</v>
      </c>
      <c r="E1743" s="13" t="s">
        <v>46</v>
      </c>
      <c r="F1743" s="14"/>
      <c r="G1743" s="15"/>
      <c r="H1743" s="451"/>
      <c r="I1743" s="412"/>
      <c r="J1743" s="16"/>
    </row>
    <row r="1744" spans="1:10" ht="13">
      <c r="A1744" s="27"/>
      <c r="B1744" s="110"/>
      <c r="D1744" s="409"/>
      <c r="E1744" s="13" t="s">
        <v>47</v>
      </c>
      <c r="F1744" s="13" t="s">
        <v>1918</v>
      </c>
      <c r="G1744" s="410" t="s">
        <v>48</v>
      </c>
      <c r="H1744" s="411">
        <v>7.0000000000000001E-3</v>
      </c>
      <c r="I1744" s="412">
        <f>IF(AND(E1744&lt;&gt;"",G1744&lt;&gt;""),IF(D1744="",IF(G1744="OH",VLOOKUP(F1744,UPAH!$B$4:$H$101,7,0),VLOOKUP(F1744,#REF!,4,0)),0),0)</f>
        <v>0</v>
      </c>
      <c r="J1744" s="16">
        <f>H1744*I1744</f>
        <v>0</v>
      </c>
    </row>
    <row r="1745" spans="1:10" ht="13">
      <c r="A1745" s="27"/>
      <c r="B1745" s="110"/>
      <c r="D1745" s="409"/>
      <c r="E1745" s="13" t="s">
        <v>81</v>
      </c>
      <c r="F1745" s="13" t="s">
        <v>1921</v>
      </c>
      <c r="G1745" s="410" t="s">
        <v>48</v>
      </c>
      <c r="H1745" s="411">
        <v>7.5999999999999998E-2</v>
      </c>
      <c r="I1745" s="412">
        <f>IF(AND(E1745&lt;&gt;"",G1745&lt;&gt;""),IF(D1745="",IF(G1745="OH",VLOOKUP(F1745,UPAH!$B$4:$H$101,7,0),VLOOKUP(F1745,#REF!,4,0)),0),0)</f>
        <v>0</v>
      </c>
      <c r="J1745" s="16">
        <f>H1745*I1745</f>
        <v>0</v>
      </c>
    </row>
    <row r="1746" spans="1:10" ht="13">
      <c r="A1746" s="27"/>
      <c r="B1746" s="110"/>
      <c r="D1746" s="409"/>
      <c r="E1746" s="13" t="s">
        <v>50</v>
      </c>
      <c r="F1746" s="13" t="s">
        <v>1928</v>
      </c>
      <c r="G1746" s="410" t="s">
        <v>48</v>
      </c>
      <c r="H1746" s="411">
        <v>8.0000000000000002E-3</v>
      </c>
      <c r="I1746" s="412">
        <f>IF(AND(E1746&lt;&gt;"",G1746&lt;&gt;""),IF(D1746="",IF(G1746="OH",VLOOKUP(F1746,UPAH!$B$4:$H$101,7,0),VLOOKUP(F1746,#REF!,4,0)),0),0)</f>
        <v>0</v>
      </c>
      <c r="J1746" s="16">
        <f>H1746*I1746</f>
        <v>0</v>
      </c>
    </row>
    <row r="1747" spans="1:10" ht="13.5" thickBot="1">
      <c r="A1747" s="27"/>
      <c r="B1747" s="110"/>
      <c r="D1747" s="409"/>
      <c r="E1747" s="13" t="s">
        <v>51</v>
      </c>
      <c r="F1747" s="13" t="s">
        <v>1929</v>
      </c>
      <c r="G1747" s="410" t="s">
        <v>48</v>
      </c>
      <c r="H1747" s="411">
        <v>1E-3</v>
      </c>
      <c r="I1747" s="412">
        <f>IF(AND(E1747&lt;&gt;"",G1747&lt;&gt;""),IF(D1747="",IF(G1747="OH",VLOOKUP(F1747,UPAH!$B$4:$H$101,7,0),VLOOKUP(F1747,#REF!,4,0)),0),0)</f>
        <v>0</v>
      </c>
      <c r="J1747" s="16">
        <f>H1747*I1747</f>
        <v>0</v>
      </c>
    </row>
    <row r="1748" spans="1:10" ht="13.5" thickBot="1">
      <c r="A1748" s="27"/>
      <c r="B1748" s="110"/>
      <c r="D1748" s="417"/>
      <c r="E1748" s="418"/>
      <c r="F1748" s="418"/>
      <c r="G1748" s="419"/>
      <c r="H1748" s="420" t="s">
        <v>52</v>
      </c>
      <c r="I1748" s="421"/>
      <c r="J1748" s="396">
        <f>SUM(J1744:J1747)</f>
        <v>0</v>
      </c>
    </row>
    <row r="1749" spans="1:10" ht="13">
      <c r="A1749" s="27"/>
      <c r="B1749" s="110"/>
      <c r="D1749" s="406" t="s">
        <v>53</v>
      </c>
      <c r="E1749" s="13" t="s">
        <v>54</v>
      </c>
      <c r="F1749" s="14"/>
      <c r="G1749" s="15"/>
      <c r="H1749" s="451"/>
      <c r="I1749" s="412"/>
      <c r="J1749" s="16"/>
    </row>
    <row r="1750" spans="1:10" ht="13">
      <c r="A1750" s="27"/>
      <c r="B1750" s="110"/>
      <c r="D1750" s="409"/>
      <c r="E1750" s="13" t="s">
        <v>401</v>
      </c>
      <c r="F1750" s="14"/>
      <c r="G1750" s="410" t="s">
        <v>375</v>
      </c>
      <c r="H1750" s="411">
        <v>0.08</v>
      </c>
      <c r="I1750" s="412">
        <f>J910</f>
        <v>0</v>
      </c>
      <c r="J1750" s="16">
        <f t="shared" ref="J1750:J1755" si="32">H1750*I1750</f>
        <v>0</v>
      </c>
    </row>
    <row r="1751" spans="1:10" ht="13">
      <c r="A1751" s="27"/>
      <c r="B1751" s="110"/>
      <c r="D1751" s="409"/>
      <c r="E1751" s="13" t="s">
        <v>2879</v>
      </c>
      <c r="F1751" s="14"/>
      <c r="G1751" s="410" t="s">
        <v>57</v>
      </c>
      <c r="H1751" s="411">
        <v>9.3940000000000001</v>
      </c>
      <c r="I1751" s="412">
        <f>'BAHAN '!G142</f>
        <v>0</v>
      </c>
      <c r="J1751" s="16">
        <f t="shared" si="32"/>
        <v>0</v>
      </c>
    </row>
    <row r="1752" spans="1:10" ht="13">
      <c r="A1752" s="27"/>
      <c r="B1752" s="110"/>
      <c r="D1752" s="409"/>
      <c r="E1752" s="13" t="s">
        <v>397</v>
      </c>
      <c r="F1752" s="14"/>
      <c r="G1752" s="410" t="s">
        <v>375</v>
      </c>
      <c r="H1752" s="411">
        <v>5.0000000000000001E-3</v>
      </c>
      <c r="I1752" s="412">
        <f>'BAHAN '!G200</f>
        <v>0</v>
      </c>
      <c r="J1752" s="16">
        <f t="shared" si="32"/>
        <v>0</v>
      </c>
    </row>
    <row r="1753" spans="1:10" ht="13">
      <c r="A1753" s="27"/>
      <c r="B1753" s="110"/>
      <c r="D1753" s="409"/>
      <c r="E1753" s="13" t="s">
        <v>412</v>
      </c>
      <c r="F1753" s="14"/>
      <c r="G1753" s="410" t="s">
        <v>74</v>
      </c>
      <c r="H1753" s="411">
        <v>0.08</v>
      </c>
      <c r="I1753" s="412">
        <f>'BAHAN '!G973</f>
        <v>0</v>
      </c>
      <c r="J1753" s="16">
        <f t="shared" si="32"/>
        <v>0</v>
      </c>
    </row>
    <row r="1754" spans="1:10" ht="13">
      <c r="A1754" s="27"/>
      <c r="B1754" s="110"/>
      <c r="D1754" s="409"/>
      <c r="E1754" s="13" t="s">
        <v>122</v>
      </c>
      <c r="F1754" s="14"/>
      <c r="G1754" s="410" t="s">
        <v>127</v>
      </c>
      <c r="H1754" s="411">
        <v>0.2</v>
      </c>
      <c r="I1754" s="412">
        <f>'BAHAN '!G54</f>
        <v>0</v>
      </c>
      <c r="J1754" s="16">
        <f t="shared" si="32"/>
        <v>0</v>
      </c>
    </row>
    <row r="1755" spans="1:10" ht="13.5" thickBot="1">
      <c r="A1755" s="27"/>
      <c r="B1755" s="110"/>
      <c r="D1755" s="409"/>
      <c r="E1755" s="13" t="s">
        <v>388</v>
      </c>
      <c r="F1755" s="14"/>
      <c r="G1755" s="410" t="s">
        <v>87</v>
      </c>
      <c r="H1755" s="411">
        <v>3.8820000000000001</v>
      </c>
      <c r="I1755" s="412">
        <f>'BAHAN '!G972</f>
        <v>0</v>
      </c>
      <c r="J1755" s="16">
        <f t="shared" si="32"/>
        <v>0</v>
      </c>
    </row>
    <row r="1756" spans="1:10" ht="13.5" thickBot="1">
      <c r="A1756" s="27"/>
      <c r="B1756" s="110"/>
      <c r="D1756" s="417"/>
      <c r="E1756" s="418"/>
      <c r="F1756" s="418"/>
      <c r="G1756" s="419"/>
      <c r="H1756" s="420" t="s">
        <v>64</v>
      </c>
      <c r="I1756" s="421"/>
      <c r="J1756" s="396">
        <f>SUM(J1750:J1755)</f>
        <v>0</v>
      </c>
    </row>
    <row r="1757" spans="1:10" ht="13.5" thickBot="1">
      <c r="A1757" s="27"/>
      <c r="B1757" s="110"/>
      <c r="D1757" s="406" t="s">
        <v>65</v>
      </c>
      <c r="E1757" s="13" t="s">
        <v>66</v>
      </c>
      <c r="F1757" s="14"/>
      <c r="G1757" s="15"/>
      <c r="H1757" s="451"/>
      <c r="I1757" s="412">
        <f>IF(AND(E1757&lt;&gt;"",G1757&lt;&gt;""),IF(D1757="",IF(G1757="OH",VLOOKUP(E1757,UPAH!$C$4:$H$31,7,0),VLOOKUP(E1757,#REF!,4,0)),0),0)</f>
        <v>0</v>
      </c>
      <c r="J1757" s="16">
        <f>H1757*I1757</f>
        <v>0</v>
      </c>
    </row>
    <row r="1758" spans="1:10" ht="13.5" thickBot="1">
      <c r="A1758" s="27"/>
      <c r="B1758" s="110"/>
      <c r="D1758" s="417"/>
      <c r="E1758" s="418"/>
      <c r="F1758" s="418"/>
      <c r="G1758" s="419"/>
      <c r="H1758" s="420" t="s">
        <v>67</v>
      </c>
      <c r="I1758" s="421"/>
      <c r="J1758" s="396">
        <f>J1757</f>
        <v>0</v>
      </c>
    </row>
    <row r="1759" spans="1:10" ht="13">
      <c r="A1759" s="27"/>
      <c r="B1759" s="110"/>
      <c r="D1759" s="444" t="s">
        <v>68</v>
      </c>
      <c r="E1759" s="445" t="s">
        <v>69</v>
      </c>
      <c r="F1759" s="446"/>
      <c r="G1759" s="447"/>
      <c r="H1759" s="448"/>
      <c r="I1759" s="449">
        <f>IF(AND(E1759&lt;&gt;"",G1759&lt;&gt;""),IF(D1759="",IF(G1759="OH",VLOOKUP(E1759,UPAH!$C$4:$H$31,7,0),VLOOKUP(E1759,#REF!,4,0)),0),0)</f>
        <v>0</v>
      </c>
      <c r="J1759" s="16">
        <f>SUM(J1743:J1758)/2</f>
        <v>0</v>
      </c>
    </row>
    <row r="1760" spans="1:10" ht="13.5" thickBot="1">
      <c r="A1760" s="27"/>
      <c r="B1760" s="110"/>
      <c r="D1760" s="431" t="s">
        <v>70</v>
      </c>
      <c r="E1760" s="432" t="s">
        <v>477</v>
      </c>
      <c r="F1760" s="433"/>
      <c r="G1760" s="434"/>
      <c r="H1760" s="22">
        <v>0.1</v>
      </c>
      <c r="I1760" s="436"/>
      <c r="J1760" s="430">
        <f>H1760*J1759</f>
        <v>0</v>
      </c>
    </row>
    <row r="1761" spans="1:10" ht="13.5" thickBot="1">
      <c r="A1761" s="27"/>
      <c r="B1761" s="110"/>
      <c r="D1761" s="401" t="s">
        <v>71</v>
      </c>
      <c r="E1761" s="402" t="s">
        <v>72</v>
      </c>
      <c r="F1761" s="418"/>
      <c r="G1761" s="419"/>
      <c r="H1761" s="442"/>
      <c r="I1761" s="421">
        <f>IF(AND(E1761&lt;&gt;"",G1761&lt;&gt;""),IF(D1761="",IF(G1761="OH",VLOOKUP(E1761,UPAH!$C$4:$H$31,7,0),VLOOKUP(E1761,#REF!,4,0)),0),0)</f>
        <v>0</v>
      </c>
      <c r="J1761" s="396">
        <f>ROUNDDOWN(J1759+J1760,0)</f>
        <v>0</v>
      </c>
    </row>
    <row r="1762" spans="1:10" ht="13">
      <c r="A1762" s="27"/>
      <c r="B1762" s="110"/>
      <c r="D1762" s="11"/>
      <c r="E1762" s="11"/>
      <c r="H1762" s="443"/>
      <c r="I1762" s="17"/>
      <c r="J1762" s="18"/>
    </row>
    <row r="1763" spans="1:10" ht="13.5" thickBot="1">
      <c r="A1763" s="27"/>
      <c r="B1763" s="110"/>
      <c r="C1763" s="10" t="s">
        <v>668</v>
      </c>
      <c r="D1763" s="11" t="s">
        <v>667</v>
      </c>
      <c r="H1763" s="443"/>
    </row>
    <row r="1764" spans="1:10" ht="13.5" thickBot="1">
      <c r="A1764" s="27"/>
      <c r="B1764" s="110"/>
      <c r="D1764" s="401" t="s">
        <v>40</v>
      </c>
      <c r="E1764" s="402" t="s">
        <v>41</v>
      </c>
      <c r="F1764" s="402" t="s">
        <v>42</v>
      </c>
      <c r="G1764" s="403" t="s">
        <v>43</v>
      </c>
      <c r="H1764" s="404" t="s">
        <v>44</v>
      </c>
      <c r="I1764" s="402" t="s">
        <v>474</v>
      </c>
      <c r="J1764" s="405" t="s">
        <v>475</v>
      </c>
    </row>
    <row r="1765" spans="1:10" ht="13">
      <c r="A1765" s="27"/>
      <c r="B1765" s="110"/>
      <c r="D1765" s="406" t="s">
        <v>45</v>
      </c>
      <c r="E1765" s="13" t="s">
        <v>46</v>
      </c>
      <c r="F1765" s="14"/>
      <c r="G1765" s="15"/>
      <c r="H1765" s="451"/>
      <c r="I1765" s="412"/>
      <c r="J1765" s="16"/>
    </row>
    <row r="1766" spans="1:10" ht="13">
      <c r="A1766" s="27"/>
      <c r="B1766" s="110"/>
      <c r="D1766" s="409"/>
      <c r="E1766" s="13" t="s">
        <v>47</v>
      </c>
      <c r="F1766" s="13" t="s">
        <v>1918</v>
      </c>
      <c r="G1766" s="410" t="s">
        <v>48</v>
      </c>
      <c r="H1766" s="411">
        <v>4.0000000000000001E-3</v>
      </c>
      <c r="I1766" s="412">
        <f>IF(AND(E1766&lt;&gt;"",G1766&lt;&gt;""),IF(D1766="",IF(G1766="OH",VLOOKUP(F1766,UPAH!$B$4:$H$101,7,0),VLOOKUP(F1766,#REF!,4,0)),0),0)</f>
        <v>0</v>
      </c>
      <c r="J1766" s="16">
        <f>H1766*I1766</f>
        <v>0</v>
      </c>
    </row>
    <row r="1767" spans="1:10" ht="13">
      <c r="A1767" s="27"/>
      <c r="B1767" s="110"/>
      <c r="D1767" s="409"/>
      <c r="E1767" s="13" t="s">
        <v>81</v>
      </c>
      <c r="F1767" s="13" t="s">
        <v>1921</v>
      </c>
      <c r="G1767" s="410" t="s">
        <v>48</v>
      </c>
      <c r="H1767" s="411">
        <v>3.7999999999999999E-2</v>
      </c>
      <c r="I1767" s="412">
        <f>IF(AND(E1767&lt;&gt;"",G1767&lt;&gt;""),IF(D1767="",IF(G1767="OH",VLOOKUP(F1767,UPAH!$B$4:$H$101,7,0),VLOOKUP(F1767,#REF!,4,0)),0),0)</f>
        <v>0</v>
      </c>
      <c r="J1767" s="16">
        <f>H1767*I1767</f>
        <v>0</v>
      </c>
    </row>
    <row r="1768" spans="1:10" ht="13">
      <c r="A1768" s="27"/>
      <c r="B1768" s="110"/>
      <c r="D1768" s="409"/>
      <c r="E1768" s="13" t="s">
        <v>50</v>
      </c>
      <c r="F1768" s="13" t="s">
        <v>1928</v>
      </c>
      <c r="G1768" s="410" t="s">
        <v>48</v>
      </c>
      <c r="H1768" s="411">
        <v>4.0000000000000001E-3</v>
      </c>
      <c r="I1768" s="412">
        <f>IF(AND(E1768&lt;&gt;"",G1768&lt;&gt;""),IF(D1768="",IF(G1768="OH",VLOOKUP(F1768,UPAH!$B$4:$H$101,7,0),VLOOKUP(F1768,#REF!,4,0)),0),0)</f>
        <v>0</v>
      </c>
      <c r="J1768" s="16">
        <f>H1768*I1768</f>
        <v>0</v>
      </c>
    </row>
    <row r="1769" spans="1:10" ht="13.5" thickBot="1">
      <c r="A1769" s="27"/>
      <c r="B1769" s="110"/>
      <c r="D1769" s="409"/>
      <c r="E1769" s="13" t="s">
        <v>51</v>
      </c>
      <c r="F1769" s="13" t="s">
        <v>1929</v>
      </c>
      <c r="G1769" s="410" t="s">
        <v>48</v>
      </c>
      <c r="H1769" s="411">
        <v>1E-3</v>
      </c>
      <c r="I1769" s="412">
        <f>IF(AND(E1769&lt;&gt;"",G1769&lt;&gt;""),IF(D1769="",IF(G1769="OH",VLOOKUP(F1769,UPAH!$B$4:$H$101,7,0),VLOOKUP(F1769,#REF!,4,0)),0),0)</f>
        <v>0</v>
      </c>
      <c r="J1769" s="16">
        <f>H1769*I1769</f>
        <v>0</v>
      </c>
    </row>
    <row r="1770" spans="1:10" ht="13.5" thickBot="1">
      <c r="A1770" s="27"/>
      <c r="B1770" s="110"/>
      <c r="D1770" s="417"/>
      <c r="E1770" s="418"/>
      <c r="F1770" s="418"/>
      <c r="G1770" s="419"/>
      <c r="H1770" s="420" t="s">
        <v>52</v>
      </c>
      <c r="I1770" s="421"/>
      <c r="J1770" s="396">
        <f>SUM(J1766:J1769)</f>
        <v>0</v>
      </c>
    </row>
    <row r="1771" spans="1:10" ht="13">
      <c r="A1771" s="27"/>
      <c r="B1771" s="110"/>
      <c r="D1771" s="406" t="s">
        <v>53</v>
      </c>
      <c r="E1771" s="13" t="s">
        <v>54</v>
      </c>
      <c r="F1771" s="14"/>
      <c r="G1771" s="15"/>
      <c r="H1771" s="451"/>
      <c r="I1771" s="412"/>
      <c r="J1771" s="16"/>
    </row>
    <row r="1772" spans="1:10" ht="13">
      <c r="A1772" s="27"/>
      <c r="B1772" s="110"/>
      <c r="D1772" s="409"/>
      <c r="E1772" s="13" t="s">
        <v>397</v>
      </c>
      <c r="F1772" s="14"/>
      <c r="G1772" s="410" t="s">
        <v>375</v>
      </c>
      <c r="H1772" s="411">
        <v>5.0000000000000001E-3</v>
      </c>
      <c r="I1772" s="412">
        <f>$I$1752</f>
        <v>0</v>
      </c>
      <c r="J1772" s="16">
        <f>H1772*I1772</f>
        <v>0</v>
      </c>
    </row>
    <row r="1773" spans="1:10" ht="13">
      <c r="A1773" s="27"/>
      <c r="B1773" s="110"/>
      <c r="D1773" s="409"/>
      <c r="E1773" s="13" t="s">
        <v>412</v>
      </c>
      <c r="F1773" s="14"/>
      <c r="G1773" s="410" t="s">
        <v>74</v>
      </c>
      <c r="H1773" s="411">
        <v>4.2999999999999997E-2</v>
      </c>
      <c r="I1773" s="412">
        <f>'BAHAN '!G973</f>
        <v>0</v>
      </c>
      <c r="J1773" s="16">
        <f>H1773*I1773</f>
        <v>0</v>
      </c>
    </row>
    <row r="1774" spans="1:10" ht="13">
      <c r="A1774" s="27"/>
      <c r="B1774" s="110"/>
      <c r="D1774" s="409"/>
      <c r="E1774" s="13" t="s">
        <v>122</v>
      </c>
      <c r="F1774" s="14"/>
      <c r="G1774" s="410" t="s">
        <v>127</v>
      </c>
      <c r="H1774" s="411">
        <v>0.2</v>
      </c>
      <c r="I1774" s="412">
        <f>'BAHAN '!G54</f>
        <v>0</v>
      </c>
      <c r="J1774" s="16">
        <f>H1774*I1774</f>
        <v>0</v>
      </c>
    </row>
    <row r="1775" spans="1:10" ht="13.5" thickBot="1">
      <c r="A1775" s="27"/>
      <c r="B1775" s="110"/>
      <c r="D1775" s="409"/>
      <c r="E1775" s="10" t="s">
        <v>388</v>
      </c>
      <c r="F1775" s="14"/>
      <c r="G1775" s="410" t="s">
        <v>87</v>
      </c>
      <c r="H1775" s="411">
        <v>0.69299999999999995</v>
      </c>
      <c r="I1775" s="412">
        <f>'BAHAN '!G972</f>
        <v>0</v>
      </c>
      <c r="J1775" s="16">
        <f>H1775*I1775</f>
        <v>0</v>
      </c>
    </row>
    <row r="1776" spans="1:10" ht="13.5" thickBot="1">
      <c r="A1776" s="27"/>
      <c r="B1776" s="110"/>
      <c r="D1776" s="417"/>
      <c r="E1776" s="418"/>
      <c r="F1776" s="418"/>
      <c r="G1776" s="419"/>
      <c r="H1776" s="420" t="s">
        <v>64</v>
      </c>
      <c r="I1776" s="421"/>
      <c r="J1776" s="396">
        <f>SUM(J1772:J1775)</f>
        <v>0</v>
      </c>
    </row>
    <row r="1777" spans="1:10" ht="13.5" thickBot="1">
      <c r="A1777" s="27"/>
      <c r="B1777" s="110"/>
      <c r="D1777" s="406" t="s">
        <v>65</v>
      </c>
      <c r="E1777" s="13" t="s">
        <v>66</v>
      </c>
      <c r="F1777" s="14"/>
      <c r="G1777" s="15"/>
      <c r="H1777" s="451"/>
      <c r="I1777" s="412">
        <f>IF(AND(E1777&lt;&gt;"",G1777&lt;&gt;""),IF(D1777="",IF(G1777="OH",VLOOKUP(E1777,UPAH!$C$4:$H$31,7,0),VLOOKUP(E1777,#REF!,4,0)),0),0)</f>
        <v>0</v>
      </c>
      <c r="J1777" s="16">
        <f>H1777*I1777</f>
        <v>0</v>
      </c>
    </row>
    <row r="1778" spans="1:10" ht="13.5" thickBot="1">
      <c r="A1778" s="27"/>
      <c r="B1778" s="110"/>
      <c r="D1778" s="417"/>
      <c r="E1778" s="418"/>
      <c r="F1778" s="418"/>
      <c r="G1778" s="419"/>
      <c r="H1778" s="420" t="s">
        <v>67</v>
      </c>
      <c r="I1778" s="421"/>
      <c r="J1778" s="396">
        <f>J1777</f>
        <v>0</v>
      </c>
    </row>
    <row r="1779" spans="1:10" ht="13">
      <c r="A1779" s="27"/>
      <c r="B1779" s="110"/>
      <c r="D1779" s="444" t="s">
        <v>68</v>
      </c>
      <c r="E1779" s="445" t="s">
        <v>69</v>
      </c>
      <c r="F1779" s="446"/>
      <c r="G1779" s="447"/>
      <c r="H1779" s="448"/>
      <c r="I1779" s="449">
        <f>IF(AND(E1779&lt;&gt;"",G1779&lt;&gt;""),IF(D1779="",IF(G1779="OH",VLOOKUP(E1779,UPAH!$C$4:$H$31,7,0),VLOOKUP(E1779,#REF!,4,0)),0),0)</f>
        <v>0</v>
      </c>
      <c r="J1779" s="16">
        <f>SUM(J1765:J1778)/2</f>
        <v>0</v>
      </c>
    </row>
    <row r="1780" spans="1:10" ht="13.5" thickBot="1">
      <c r="A1780" s="27"/>
      <c r="B1780" s="110"/>
      <c r="D1780" s="431" t="s">
        <v>70</v>
      </c>
      <c r="E1780" s="432" t="s">
        <v>477</v>
      </c>
      <c r="F1780" s="433"/>
      <c r="G1780" s="434"/>
      <c r="H1780" s="22">
        <v>0.1</v>
      </c>
      <c r="I1780" s="436"/>
      <c r="J1780" s="430">
        <f>H1780*J1779</f>
        <v>0</v>
      </c>
    </row>
    <row r="1781" spans="1:10" ht="13.5" thickBot="1">
      <c r="A1781" s="27"/>
      <c r="B1781" s="110"/>
      <c r="D1781" s="401" t="s">
        <v>71</v>
      </c>
      <c r="E1781" s="402" t="s">
        <v>72</v>
      </c>
      <c r="F1781" s="418"/>
      <c r="G1781" s="419"/>
      <c r="H1781" s="442"/>
      <c r="I1781" s="421">
        <f>IF(AND(E1781&lt;&gt;"",G1781&lt;&gt;""),IF(D1781="",IF(G1781="OH",VLOOKUP(E1781,UPAH!$C$4:$H$31,7,0),VLOOKUP(E1781,#REF!,4,0)),0),0)</f>
        <v>0</v>
      </c>
      <c r="J1781" s="396">
        <f>ROUNDDOWN(J1779+J1780,0)</f>
        <v>0</v>
      </c>
    </row>
    <row r="1782" spans="1:10" ht="13">
      <c r="A1782" s="27"/>
      <c r="B1782" s="110"/>
      <c r="D1782" s="11"/>
      <c r="E1782" s="11"/>
      <c r="H1782" s="443"/>
    </row>
    <row r="1783" spans="1:10" ht="13.5" thickBot="1">
      <c r="A1783" s="27"/>
      <c r="B1783" s="110"/>
      <c r="C1783" s="10" t="s">
        <v>670</v>
      </c>
      <c r="D1783" s="11" t="s">
        <v>669</v>
      </c>
      <c r="H1783" s="443"/>
    </row>
    <row r="1784" spans="1:10" ht="13.5" thickBot="1">
      <c r="A1784" s="27"/>
      <c r="B1784" s="110"/>
      <c r="D1784" s="401" t="s">
        <v>40</v>
      </c>
      <c r="E1784" s="402" t="s">
        <v>41</v>
      </c>
      <c r="F1784" s="402" t="s">
        <v>42</v>
      </c>
      <c r="G1784" s="403" t="s">
        <v>43</v>
      </c>
      <c r="H1784" s="404" t="s">
        <v>44</v>
      </c>
      <c r="I1784" s="402" t="s">
        <v>474</v>
      </c>
      <c r="J1784" s="405" t="s">
        <v>475</v>
      </c>
    </row>
    <row r="1785" spans="1:10" ht="13">
      <c r="A1785" s="27"/>
      <c r="B1785" s="110"/>
      <c r="D1785" s="406" t="s">
        <v>45</v>
      </c>
      <c r="E1785" s="13" t="s">
        <v>46</v>
      </c>
      <c r="F1785" s="14"/>
      <c r="G1785" s="15"/>
      <c r="H1785" s="451"/>
      <c r="I1785" s="412"/>
      <c r="J1785" s="16"/>
    </row>
    <row r="1786" spans="1:10" ht="13">
      <c r="A1786" s="27"/>
      <c r="B1786" s="110"/>
      <c r="D1786" s="409"/>
      <c r="E1786" s="13" t="s">
        <v>47</v>
      </c>
      <c r="F1786" s="13" t="s">
        <v>1918</v>
      </c>
      <c r="G1786" s="410" t="s">
        <v>48</v>
      </c>
      <c r="H1786" s="411">
        <v>4.0000000000000001E-3</v>
      </c>
      <c r="I1786" s="412">
        <f>IF(AND(E1786&lt;&gt;"",G1786&lt;&gt;""),IF(D1786="",IF(G1786="OH",VLOOKUP(F1786,UPAH!$B$4:$H$101,7,0),VLOOKUP(F1786,#REF!,4,0)),0),0)</f>
        <v>0</v>
      </c>
      <c r="J1786" s="16">
        <f>H1786*I1786</f>
        <v>0</v>
      </c>
    </row>
    <row r="1787" spans="1:10" ht="13">
      <c r="A1787" s="27"/>
      <c r="B1787" s="110"/>
      <c r="D1787" s="409"/>
      <c r="E1787" s="13" t="s">
        <v>81</v>
      </c>
      <c r="F1787" s="13" t="s">
        <v>1921</v>
      </c>
      <c r="G1787" s="410" t="s">
        <v>48</v>
      </c>
      <c r="H1787" s="411">
        <v>3.7999999999999999E-2</v>
      </c>
      <c r="I1787" s="412">
        <f>IF(AND(E1787&lt;&gt;"",G1787&lt;&gt;""),IF(D1787="",IF(G1787="OH",VLOOKUP(F1787,UPAH!$B$4:$H$101,7,0),VLOOKUP(F1787,#REF!,4,0)),0),0)</f>
        <v>0</v>
      </c>
      <c r="J1787" s="16">
        <f>H1787*I1787</f>
        <v>0</v>
      </c>
    </row>
    <row r="1788" spans="1:10" ht="13">
      <c r="A1788" s="27"/>
      <c r="B1788" s="110"/>
      <c r="D1788" s="409"/>
      <c r="E1788" s="13" t="s">
        <v>50</v>
      </c>
      <c r="F1788" s="13" t="s">
        <v>1928</v>
      </c>
      <c r="G1788" s="410" t="s">
        <v>48</v>
      </c>
      <c r="H1788" s="411">
        <v>4.0000000000000001E-3</v>
      </c>
      <c r="I1788" s="412">
        <f>IF(AND(E1788&lt;&gt;"",G1788&lt;&gt;""),IF(D1788="",IF(G1788="OH",VLOOKUP(F1788,UPAH!$B$4:$H$101,7,0),VLOOKUP(F1788,#REF!,4,0)),0),0)</f>
        <v>0</v>
      </c>
      <c r="J1788" s="16">
        <f>H1788*I1788</f>
        <v>0</v>
      </c>
    </row>
    <row r="1789" spans="1:10" ht="13.5" thickBot="1">
      <c r="A1789" s="27"/>
      <c r="B1789" s="110"/>
      <c r="D1789" s="409"/>
      <c r="E1789" s="13" t="s">
        <v>51</v>
      </c>
      <c r="F1789" s="13" t="s">
        <v>1929</v>
      </c>
      <c r="G1789" s="410" t="s">
        <v>48</v>
      </c>
      <c r="H1789" s="411">
        <v>1E-3</v>
      </c>
      <c r="I1789" s="412">
        <f>IF(AND(E1789&lt;&gt;"",G1789&lt;&gt;""),IF(D1789="",IF(G1789="OH",VLOOKUP(F1789,UPAH!$B$4:$H$101,7,0),VLOOKUP(F1789,#REF!,4,0)),0),0)</f>
        <v>0</v>
      </c>
      <c r="J1789" s="16">
        <f>H1789*I1789</f>
        <v>0</v>
      </c>
    </row>
    <row r="1790" spans="1:10" ht="13.5" thickBot="1">
      <c r="A1790" s="27"/>
      <c r="B1790" s="110"/>
      <c r="D1790" s="417"/>
      <c r="E1790" s="418"/>
      <c r="F1790" s="418"/>
      <c r="G1790" s="419"/>
      <c r="H1790" s="420" t="s">
        <v>52</v>
      </c>
      <c r="I1790" s="421"/>
      <c r="J1790" s="396">
        <f>SUM(J1786:J1789)</f>
        <v>0</v>
      </c>
    </row>
    <row r="1791" spans="1:10" ht="13">
      <c r="A1791" s="27"/>
      <c r="B1791" s="110"/>
      <c r="D1791" s="406" t="s">
        <v>53</v>
      </c>
      <c r="E1791" s="13" t="s">
        <v>54</v>
      </c>
      <c r="F1791" s="14"/>
      <c r="G1791" s="15"/>
      <c r="H1791" s="451"/>
      <c r="I1791" s="412"/>
      <c r="J1791" s="16"/>
    </row>
    <row r="1792" spans="1:10" ht="13">
      <c r="A1792" s="27"/>
      <c r="B1792" s="110"/>
      <c r="D1792" s="409"/>
      <c r="E1792" s="13" t="s">
        <v>397</v>
      </c>
      <c r="F1792" s="14"/>
      <c r="G1792" s="410" t="s">
        <v>375</v>
      </c>
      <c r="H1792" s="411">
        <v>4.0000000000000001E-3</v>
      </c>
      <c r="I1792" s="412">
        <f>$I$1752</f>
        <v>0</v>
      </c>
      <c r="J1792" s="16">
        <f>H1792*I1792</f>
        <v>0</v>
      </c>
    </row>
    <row r="1793" spans="1:10" ht="13">
      <c r="A1793" s="27"/>
      <c r="B1793" s="110"/>
      <c r="D1793" s="409"/>
      <c r="E1793" s="13" t="s">
        <v>412</v>
      </c>
      <c r="F1793" s="14"/>
      <c r="G1793" s="410" t="s">
        <v>74</v>
      </c>
      <c r="H1793" s="411">
        <v>4.8000000000000001E-2</v>
      </c>
      <c r="I1793" s="412">
        <f>'BAHAN '!G973</f>
        <v>0</v>
      </c>
      <c r="J1793" s="16">
        <f>H1793*I1793</f>
        <v>0</v>
      </c>
    </row>
    <row r="1794" spans="1:10" ht="13">
      <c r="A1794" s="27"/>
      <c r="B1794" s="110"/>
      <c r="D1794" s="409"/>
      <c r="E1794" s="13" t="s">
        <v>122</v>
      </c>
      <c r="F1794" s="14"/>
      <c r="G1794" s="410" t="s">
        <v>127</v>
      </c>
      <c r="H1794" s="411">
        <v>0.2</v>
      </c>
      <c r="I1794" s="412">
        <f>'BAHAN '!G54</f>
        <v>0</v>
      </c>
      <c r="J1794" s="16">
        <f>H1794*I1794</f>
        <v>0</v>
      </c>
    </row>
    <row r="1795" spans="1:10" ht="13">
      <c r="A1795" s="27"/>
      <c r="B1795" s="110"/>
      <c r="D1795" s="409"/>
      <c r="E1795" s="13" t="s">
        <v>486</v>
      </c>
      <c r="F1795" s="14"/>
      <c r="G1795" s="410" t="s">
        <v>57</v>
      </c>
      <c r="H1795" s="411">
        <v>4.5999999999999999E-2</v>
      </c>
      <c r="I1795" s="412">
        <f>'BAHAN '!G127</f>
        <v>0</v>
      </c>
      <c r="J1795" s="16">
        <f>H1795*I1795</f>
        <v>0</v>
      </c>
    </row>
    <row r="1796" spans="1:10" ht="13.5" thickBot="1">
      <c r="A1796" s="27"/>
      <c r="B1796" s="110"/>
      <c r="D1796" s="409"/>
      <c r="E1796" s="10" t="s">
        <v>388</v>
      </c>
      <c r="F1796" s="14"/>
      <c r="G1796" s="410" t="s">
        <v>87</v>
      </c>
      <c r="H1796" s="411">
        <v>0.69299999999999995</v>
      </c>
      <c r="I1796" s="412">
        <f>'BAHAN '!G972</f>
        <v>0</v>
      </c>
      <c r="J1796" s="16">
        <f>H1796*I1796</f>
        <v>0</v>
      </c>
    </row>
    <row r="1797" spans="1:10" ht="13.5" thickBot="1">
      <c r="A1797" s="27"/>
      <c r="B1797" s="110"/>
      <c r="D1797" s="417"/>
      <c r="E1797" s="418"/>
      <c r="F1797" s="418"/>
      <c r="G1797" s="419"/>
      <c r="H1797" s="420" t="s">
        <v>64</v>
      </c>
      <c r="I1797" s="421"/>
      <c r="J1797" s="396">
        <f>SUM(J1792:J1796)</f>
        <v>0</v>
      </c>
    </row>
    <row r="1798" spans="1:10" ht="13.5" thickBot="1">
      <c r="A1798" s="27"/>
      <c r="B1798" s="110"/>
      <c r="D1798" s="406" t="s">
        <v>65</v>
      </c>
      <c r="E1798" s="13" t="s">
        <v>66</v>
      </c>
      <c r="F1798" s="14"/>
      <c r="G1798" s="15"/>
      <c r="H1798" s="451"/>
      <c r="I1798" s="412">
        <f>IF(AND(E1798&lt;&gt;"",G1798&lt;&gt;""),IF(D1798="",IF(G1798="OH",VLOOKUP(E1798,UPAH!$C$4:$H$31,7,0),VLOOKUP(E1798,#REF!,4,0)),0),0)</f>
        <v>0</v>
      </c>
      <c r="J1798" s="16">
        <f>H1798*I1798</f>
        <v>0</v>
      </c>
    </row>
    <row r="1799" spans="1:10" ht="13.5" thickBot="1">
      <c r="A1799" s="27"/>
      <c r="B1799" s="110"/>
      <c r="D1799" s="417"/>
      <c r="E1799" s="418"/>
      <c r="F1799" s="418"/>
      <c r="G1799" s="419"/>
      <c r="H1799" s="420" t="s">
        <v>67</v>
      </c>
      <c r="I1799" s="421"/>
      <c r="J1799" s="396">
        <f>J1798</f>
        <v>0</v>
      </c>
    </row>
    <row r="1800" spans="1:10" ht="13">
      <c r="A1800" s="27"/>
      <c r="B1800" s="110"/>
      <c r="D1800" s="444" t="s">
        <v>68</v>
      </c>
      <c r="E1800" s="445" t="s">
        <v>69</v>
      </c>
      <c r="F1800" s="446"/>
      <c r="G1800" s="447"/>
      <c r="H1800" s="448"/>
      <c r="I1800" s="449">
        <f>IF(AND(E1800&lt;&gt;"",G1800&lt;&gt;""),IF(D1800="",IF(G1800="OH",VLOOKUP(E1800,UPAH!$C$4:$H$31,7,0),VLOOKUP(E1800,#REF!,4,0)),0),0)</f>
        <v>0</v>
      </c>
      <c r="J1800" s="16">
        <f>SUM(J1786:J1799)/2</f>
        <v>0</v>
      </c>
    </row>
    <row r="1801" spans="1:10" ht="13.5" thickBot="1">
      <c r="A1801" s="27"/>
      <c r="B1801" s="110"/>
      <c r="D1801" s="431" t="s">
        <v>70</v>
      </c>
      <c r="E1801" s="432" t="s">
        <v>477</v>
      </c>
      <c r="F1801" s="433"/>
      <c r="G1801" s="434"/>
      <c r="H1801" s="22">
        <v>0.1</v>
      </c>
      <c r="I1801" s="436"/>
      <c r="J1801" s="430">
        <f>H1801*J1800</f>
        <v>0</v>
      </c>
    </row>
    <row r="1802" spans="1:10" ht="13.5" thickBot="1">
      <c r="A1802" s="27"/>
      <c r="B1802" s="110"/>
      <c r="D1802" s="401" t="s">
        <v>71</v>
      </c>
      <c r="E1802" s="402" t="s">
        <v>72</v>
      </c>
      <c r="F1802" s="418"/>
      <c r="G1802" s="419"/>
      <c r="H1802" s="442"/>
      <c r="I1802" s="421">
        <f>IF(AND(E1802&lt;&gt;"",G1802&lt;&gt;""),IF(D1802="",IF(G1802="OH",VLOOKUP(E1802,UPAH!$C$4:$H$31,7,0),VLOOKUP(E1802,#REF!,4,0)),0),0)</f>
        <v>0</v>
      </c>
      <c r="J1802" s="396">
        <f>ROUNDDOWN(J1800+J1801,0)</f>
        <v>0</v>
      </c>
    </row>
    <row r="1803" spans="1:10" ht="13">
      <c r="A1803" s="27"/>
      <c r="B1803" s="110"/>
      <c r="D1803" s="11"/>
      <c r="E1803" s="11"/>
      <c r="H1803" s="443"/>
      <c r="I1803" s="17"/>
      <c r="J1803" s="18"/>
    </row>
    <row r="1804" spans="1:10" ht="13.5" thickBot="1">
      <c r="A1804" s="27"/>
      <c r="B1804" s="110"/>
      <c r="C1804" s="11" t="s">
        <v>671</v>
      </c>
      <c r="D1804" s="10" t="s">
        <v>672</v>
      </c>
      <c r="H1804" s="443"/>
    </row>
    <row r="1805" spans="1:10" ht="13.5" thickBot="1">
      <c r="A1805" s="27"/>
      <c r="B1805" s="110"/>
      <c r="D1805" s="401" t="s">
        <v>40</v>
      </c>
      <c r="E1805" s="402" t="s">
        <v>41</v>
      </c>
      <c r="F1805" s="402" t="s">
        <v>42</v>
      </c>
      <c r="G1805" s="403" t="s">
        <v>43</v>
      </c>
      <c r="H1805" s="404" t="s">
        <v>44</v>
      </c>
      <c r="I1805" s="402" t="s">
        <v>474</v>
      </c>
      <c r="J1805" s="405" t="s">
        <v>475</v>
      </c>
    </row>
    <row r="1806" spans="1:10" ht="13">
      <c r="A1806" s="27"/>
      <c r="B1806" s="110"/>
      <c r="D1806" s="406" t="s">
        <v>45</v>
      </c>
      <c r="E1806" s="13" t="s">
        <v>46</v>
      </c>
      <c r="F1806" s="14"/>
      <c r="G1806" s="15"/>
      <c r="H1806" s="451"/>
      <c r="I1806" s="412"/>
      <c r="J1806" s="16"/>
    </row>
    <row r="1807" spans="1:10" ht="13">
      <c r="A1807" s="27"/>
      <c r="B1807" s="110"/>
      <c r="D1807" s="409"/>
      <c r="E1807" s="13" t="s">
        <v>47</v>
      </c>
      <c r="F1807" s="13" t="s">
        <v>1918</v>
      </c>
      <c r="G1807" s="410" t="s">
        <v>48</v>
      </c>
      <c r="H1807" s="411">
        <v>5.2999999999999999E-2</v>
      </c>
      <c r="I1807" s="412">
        <f>IF(AND(E1807&lt;&gt;"",G1807&lt;&gt;""),IF(D1807="",IF(G1807="OH",VLOOKUP(F1807,UPAH!$B$4:$H$101,7,0),VLOOKUP(F1807,#REF!,4,0)),0),0)</f>
        <v>0</v>
      </c>
      <c r="J1807" s="16">
        <f>H1807*I1807</f>
        <v>0</v>
      </c>
    </row>
    <row r="1808" spans="1:10" ht="13">
      <c r="A1808" s="27"/>
      <c r="B1808" s="110"/>
      <c r="D1808" s="409"/>
      <c r="E1808" s="13" t="s">
        <v>49</v>
      </c>
      <c r="F1808" s="14" t="s">
        <v>1922</v>
      </c>
      <c r="G1808" s="410" t="s">
        <v>48</v>
      </c>
      <c r="H1808" s="411">
        <v>1.7999999999999999E-2</v>
      </c>
      <c r="I1808" s="412">
        <f>IF(AND(E1808&lt;&gt;"",G1808&lt;&gt;""),IF(D1808="",IF(G1808="OH",VLOOKUP(F1808,UPAH!$B$4:$H$101,7,0),VLOOKUP(F1808,#REF!,4,0)),0),0)</f>
        <v>0</v>
      </c>
      <c r="J1808" s="16">
        <f>H1808*I1808</f>
        <v>0</v>
      </c>
    </row>
    <row r="1809" spans="1:10" ht="13.5" thickBot="1">
      <c r="A1809" s="27"/>
      <c r="B1809" s="110"/>
      <c r="D1809" s="409"/>
      <c r="E1809" s="13" t="s">
        <v>51</v>
      </c>
      <c r="F1809" s="13" t="s">
        <v>1929</v>
      </c>
      <c r="G1809" s="410" t="s">
        <v>48</v>
      </c>
      <c r="H1809" s="411">
        <v>5.0000000000000001E-3</v>
      </c>
      <c r="I1809" s="412">
        <f>IF(AND(E1809&lt;&gt;"",G1809&lt;&gt;""),IF(D1809="",IF(G1809="OH",VLOOKUP(F1809,UPAH!$B$4:$H$101,7,0),VLOOKUP(F1809,#REF!,4,0)),0),0)</f>
        <v>0</v>
      </c>
      <c r="J1809" s="16">
        <f>H1809*I1809</f>
        <v>0</v>
      </c>
    </row>
    <row r="1810" spans="1:10" ht="13.5" thickBot="1">
      <c r="A1810" s="27"/>
      <c r="B1810" s="110"/>
      <c r="D1810" s="417"/>
      <c r="E1810" s="418"/>
      <c r="F1810" s="418"/>
      <c r="G1810" s="419"/>
      <c r="H1810" s="420" t="s">
        <v>52</v>
      </c>
      <c r="I1810" s="421"/>
      <c r="J1810" s="396">
        <f>SUM(J1806:J1809)</f>
        <v>0</v>
      </c>
    </row>
    <row r="1811" spans="1:10" ht="13.5" thickBot="1">
      <c r="A1811" s="27"/>
      <c r="B1811" s="110"/>
      <c r="D1811" s="406" t="s">
        <v>53</v>
      </c>
      <c r="E1811" s="13" t="s">
        <v>54</v>
      </c>
      <c r="F1811" s="14"/>
      <c r="G1811" s="15"/>
      <c r="H1811" s="451"/>
      <c r="I1811" s="412"/>
      <c r="J1811" s="16"/>
    </row>
    <row r="1812" spans="1:10" ht="13.5" thickBot="1">
      <c r="A1812" s="27"/>
      <c r="B1812" s="110"/>
      <c r="D1812" s="417"/>
      <c r="E1812" s="418"/>
      <c r="F1812" s="418"/>
      <c r="G1812" s="419"/>
      <c r="H1812" s="420" t="s">
        <v>64</v>
      </c>
      <c r="I1812" s="421"/>
      <c r="J1812" s="396">
        <f>SUM(J1811)</f>
        <v>0</v>
      </c>
    </row>
    <row r="1813" spans="1:10" ht="13.5" thickBot="1">
      <c r="A1813" s="27"/>
      <c r="B1813" s="110"/>
      <c r="D1813" s="406" t="s">
        <v>65</v>
      </c>
      <c r="E1813" s="13" t="s">
        <v>66</v>
      </c>
      <c r="F1813" s="14"/>
      <c r="G1813" s="15"/>
      <c r="H1813" s="451"/>
      <c r="I1813" s="412">
        <f>IF(AND(E1813&lt;&gt;"",G1813&lt;&gt;""),IF(D1813="",IF(G1813="OH",VLOOKUP(E1813,UPAH!$C$4:$H$31,7,0),VLOOKUP(E1813,#REF!,4,0)),0),0)</f>
        <v>0</v>
      </c>
      <c r="J1813" s="16">
        <f>H1813*I1813</f>
        <v>0</v>
      </c>
    </row>
    <row r="1814" spans="1:10" ht="13.5" thickBot="1">
      <c r="A1814" s="27"/>
      <c r="B1814" s="110"/>
      <c r="D1814" s="417"/>
      <c r="E1814" s="418"/>
      <c r="F1814" s="418"/>
      <c r="G1814" s="419"/>
      <c r="H1814" s="420" t="s">
        <v>67</v>
      </c>
      <c r="I1814" s="421"/>
      <c r="J1814" s="396">
        <f>J1813</f>
        <v>0</v>
      </c>
    </row>
    <row r="1815" spans="1:10" ht="13">
      <c r="A1815" s="27"/>
      <c r="B1815" s="110"/>
      <c r="D1815" s="444" t="s">
        <v>68</v>
      </c>
      <c r="E1815" s="445" t="s">
        <v>69</v>
      </c>
      <c r="F1815" s="446"/>
      <c r="G1815" s="447"/>
      <c r="H1815" s="448"/>
      <c r="I1815" s="449">
        <f>IF(AND(E1815&lt;&gt;"",G1815&lt;&gt;""),IF(D1815="",IF(G1815="OH",VLOOKUP(E1815,UPAH!$C$4:$H$31,7,0),VLOOKUP(E1815,#REF!,4,0)),0),0)</f>
        <v>0</v>
      </c>
      <c r="J1815" s="16">
        <f>SUM(J1805:J1814)/2</f>
        <v>0</v>
      </c>
    </row>
    <row r="1816" spans="1:10" ht="13.5" thickBot="1">
      <c r="A1816" s="27"/>
      <c r="B1816" s="110"/>
      <c r="D1816" s="431" t="s">
        <v>70</v>
      </c>
      <c r="E1816" s="432" t="s">
        <v>477</v>
      </c>
      <c r="F1816" s="433"/>
      <c r="G1816" s="434"/>
      <c r="H1816" s="22">
        <v>0.1</v>
      </c>
      <c r="I1816" s="436"/>
      <c r="J1816" s="430">
        <f>H1816*J1815</f>
        <v>0</v>
      </c>
    </row>
    <row r="1817" spans="1:10" ht="13.5" thickBot="1">
      <c r="A1817" s="27"/>
      <c r="B1817" s="110"/>
      <c r="D1817" s="401" t="s">
        <v>71</v>
      </c>
      <c r="E1817" s="402" t="s">
        <v>72</v>
      </c>
      <c r="F1817" s="418"/>
      <c r="G1817" s="419"/>
      <c r="H1817" s="442"/>
      <c r="I1817" s="421">
        <f>IF(AND(E1817&lt;&gt;"",G1817&lt;&gt;""),IF(D1817="",IF(G1817="OH",VLOOKUP(E1817,UPAH!$C$4:$H$31,7,0),VLOOKUP(E1817,#REF!,4,0)),0),0)</f>
        <v>0</v>
      </c>
      <c r="J1817" s="396">
        <f>ROUNDDOWN(J1815+J1816,0)</f>
        <v>0</v>
      </c>
    </row>
    <row r="1818" spans="1:10" ht="13">
      <c r="A1818" s="27"/>
      <c r="B1818" s="110"/>
      <c r="D1818" s="11"/>
      <c r="E1818" s="11"/>
      <c r="H1818" s="443"/>
    </row>
    <row r="1819" spans="1:10" ht="13.5" thickBot="1">
      <c r="A1819" s="27"/>
      <c r="B1819" s="110"/>
      <c r="C1819" s="11" t="s">
        <v>673</v>
      </c>
      <c r="D1819" s="10" t="s">
        <v>674</v>
      </c>
      <c r="H1819" s="443"/>
    </row>
    <row r="1820" spans="1:10" ht="13.5" thickBot="1">
      <c r="A1820" s="27"/>
      <c r="B1820" s="110"/>
      <c r="D1820" s="401" t="s">
        <v>40</v>
      </c>
      <c r="E1820" s="402" t="s">
        <v>41</v>
      </c>
      <c r="F1820" s="402" t="s">
        <v>42</v>
      </c>
      <c r="G1820" s="403" t="s">
        <v>43</v>
      </c>
      <c r="H1820" s="404" t="s">
        <v>44</v>
      </c>
      <c r="I1820" s="402" t="s">
        <v>474</v>
      </c>
      <c r="J1820" s="405" t="s">
        <v>475</v>
      </c>
    </row>
    <row r="1821" spans="1:10" ht="13">
      <c r="A1821" s="27"/>
      <c r="B1821" s="110"/>
      <c r="D1821" s="406" t="s">
        <v>45</v>
      </c>
      <c r="E1821" s="13" t="s">
        <v>46</v>
      </c>
      <c r="F1821" s="14"/>
      <c r="G1821" s="15"/>
      <c r="H1821" s="451"/>
      <c r="I1821" s="412"/>
      <c r="J1821" s="16"/>
    </row>
    <row r="1822" spans="1:10" ht="13">
      <c r="A1822" s="27"/>
      <c r="B1822" s="110"/>
      <c r="D1822" s="409"/>
      <c r="E1822" s="13" t="s">
        <v>47</v>
      </c>
      <c r="F1822" s="13" t="s">
        <v>1918</v>
      </c>
      <c r="G1822" s="410" t="s">
        <v>48</v>
      </c>
      <c r="H1822" s="411">
        <v>8.8999999999999996E-2</v>
      </c>
      <c r="I1822" s="412">
        <f>IF(AND(E1822&lt;&gt;"",G1822&lt;&gt;""),IF(D1822="",IF(G1822="OH",VLOOKUP(F1822,UPAH!$B$4:$H$101,7,0),VLOOKUP(F1822,#REF!,4,0)),0),0)</f>
        <v>0</v>
      </c>
      <c r="J1822" s="16">
        <f>H1822*I1822</f>
        <v>0</v>
      </c>
    </row>
    <row r="1823" spans="1:10" ht="13">
      <c r="A1823" s="27"/>
      <c r="B1823" s="110"/>
      <c r="D1823" s="409"/>
      <c r="E1823" s="13" t="s">
        <v>49</v>
      </c>
      <c r="F1823" s="14" t="s">
        <v>1922</v>
      </c>
      <c r="G1823" s="410" t="s">
        <v>48</v>
      </c>
      <c r="H1823" s="411">
        <v>0.03</v>
      </c>
      <c r="I1823" s="412">
        <f>IF(AND(E1823&lt;&gt;"",G1823&lt;&gt;""),IF(D1823="",IF(G1823="OH",VLOOKUP(F1823,UPAH!$B$4:$H$101,7,0),VLOOKUP(F1823,#REF!,4,0)),0),0)</f>
        <v>0</v>
      </c>
      <c r="J1823" s="16">
        <f>H1823*I1823</f>
        <v>0</v>
      </c>
    </row>
    <row r="1824" spans="1:10" ht="13.5" thickBot="1">
      <c r="A1824" s="27"/>
      <c r="B1824" s="110"/>
      <c r="D1824" s="409"/>
      <c r="E1824" s="13" t="s">
        <v>51</v>
      </c>
      <c r="F1824" s="13" t="s">
        <v>1929</v>
      </c>
      <c r="G1824" s="410" t="s">
        <v>48</v>
      </c>
      <c r="H1824" s="411">
        <v>5.0000000000000001E-3</v>
      </c>
      <c r="I1824" s="412">
        <f>IF(AND(E1824&lt;&gt;"",G1824&lt;&gt;""),IF(D1824="",IF(G1824="OH",VLOOKUP(F1824,UPAH!$B$4:$H$101,7,0),VLOOKUP(F1824,#REF!,4,0)),0),0)</f>
        <v>0</v>
      </c>
      <c r="J1824" s="16">
        <f>H1824*I1824</f>
        <v>0</v>
      </c>
    </row>
    <row r="1825" spans="1:10" ht="13.5" thickBot="1">
      <c r="A1825" s="27"/>
      <c r="B1825" s="110"/>
      <c r="D1825" s="417"/>
      <c r="E1825" s="418"/>
      <c r="F1825" s="418"/>
      <c r="G1825" s="419"/>
      <c r="H1825" s="420" t="s">
        <v>52</v>
      </c>
      <c r="I1825" s="421"/>
      <c r="J1825" s="396">
        <f>SUM(J1821:J1824)</f>
        <v>0</v>
      </c>
    </row>
    <row r="1826" spans="1:10" ht="13.5" thickBot="1">
      <c r="A1826" s="27"/>
      <c r="B1826" s="110"/>
      <c r="D1826" s="406" t="s">
        <v>53</v>
      </c>
      <c r="E1826" s="13" t="s">
        <v>54</v>
      </c>
      <c r="F1826" s="14"/>
      <c r="G1826" s="15"/>
      <c r="H1826" s="451"/>
      <c r="I1826" s="412"/>
      <c r="J1826" s="16"/>
    </row>
    <row r="1827" spans="1:10" ht="13.5" thickBot="1">
      <c r="A1827" s="27"/>
      <c r="B1827" s="110"/>
      <c r="D1827" s="417"/>
      <c r="E1827" s="418"/>
      <c r="F1827" s="418"/>
      <c r="G1827" s="419"/>
      <c r="H1827" s="420" t="s">
        <v>64</v>
      </c>
      <c r="I1827" s="421"/>
      <c r="J1827" s="396">
        <f>SUM(J1826)</f>
        <v>0</v>
      </c>
    </row>
    <row r="1828" spans="1:10" ht="13.5" thickBot="1">
      <c r="A1828" s="27"/>
      <c r="B1828" s="110"/>
      <c r="D1828" s="406" t="s">
        <v>65</v>
      </c>
      <c r="E1828" s="13" t="s">
        <v>66</v>
      </c>
      <c r="F1828" s="14"/>
      <c r="G1828" s="15"/>
      <c r="H1828" s="451"/>
      <c r="I1828" s="412">
        <f>IF(AND(E1828&lt;&gt;"",G1828&lt;&gt;""),IF(D1828="",IF(G1828="OH",VLOOKUP(E1828,UPAH!$C$4:$H$31,7,0),VLOOKUP(E1828,#REF!,4,0)),0),0)</f>
        <v>0</v>
      </c>
      <c r="J1828" s="16">
        <f>H1828*I1828</f>
        <v>0</v>
      </c>
    </row>
    <row r="1829" spans="1:10" ht="13.5" thickBot="1">
      <c r="A1829" s="27"/>
      <c r="B1829" s="110"/>
      <c r="D1829" s="417"/>
      <c r="E1829" s="418"/>
      <c r="F1829" s="418"/>
      <c r="G1829" s="419"/>
      <c r="H1829" s="420" t="s">
        <v>67</v>
      </c>
      <c r="I1829" s="421"/>
      <c r="J1829" s="396">
        <f>J1828</f>
        <v>0</v>
      </c>
    </row>
    <row r="1830" spans="1:10" ht="13">
      <c r="A1830" s="27"/>
      <c r="B1830" s="110"/>
      <c r="D1830" s="444" t="s">
        <v>68</v>
      </c>
      <c r="E1830" s="445" t="s">
        <v>69</v>
      </c>
      <c r="F1830" s="446"/>
      <c r="G1830" s="447"/>
      <c r="H1830" s="448"/>
      <c r="I1830" s="449">
        <f>IF(AND(E1830&lt;&gt;"",G1830&lt;&gt;""),IF(D1830="",IF(G1830="OH",VLOOKUP(E1830,UPAH!$C$4:$H$31,7,0),VLOOKUP(E1830,#REF!,4,0)),0),0)</f>
        <v>0</v>
      </c>
      <c r="J1830" s="16">
        <f>SUM(J1820:J1829)/2</f>
        <v>0</v>
      </c>
    </row>
    <row r="1831" spans="1:10" ht="13.5" thickBot="1">
      <c r="A1831" s="27"/>
      <c r="B1831" s="110"/>
      <c r="D1831" s="431" t="s">
        <v>70</v>
      </c>
      <c r="E1831" s="432" t="s">
        <v>477</v>
      </c>
      <c r="F1831" s="433"/>
      <c r="G1831" s="434"/>
      <c r="H1831" s="22">
        <v>0.1</v>
      </c>
      <c r="I1831" s="436"/>
      <c r="J1831" s="430">
        <f>H1831*J1830</f>
        <v>0</v>
      </c>
    </row>
    <row r="1832" spans="1:10" ht="13.5" thickBot="1">
      <c r="A1832" s="27"/>
      <c r="B1832" s="110"/>
      <c r="D1832" s="401" t="s">
        <v>71</v>
      </c>
      <c r="E1832" s="402" t="s">
        <v>72</v>
      </c>
      <c r="F1832" s="418"/>
      <c r="G1832" s="419"/>
      <c r="H1832" s="442"/>
      <c r="I1832" s="421">
        <f>IF(AND(E1832&lt;&gt;"",G1832&lt;&gt;""),IF(D1832="",IF(G1832="OH",VLOOKUP(E1832,UPAH!$C$4:$H$31,7,0),VLOOKUP(E1832,#REF!,4,0)),0),0)</f>
        <v>0</v>
      </c>
      <c r="J1832" s="396">
        <f>ROUNDDOWN(J1830+J1831,0)</f>
        <v>0</v>
      </c>
    </row>
    <row r="1833" spans="1:10" ht="13">
      <c r="A1833" s="27"/>
      <c r="B1833" s="110"/>
      <c r="D1833" s="11"/>
      <c r="E1833" s="11"/>
      <c r="H1833" s="443"/>
    </row>
    <row r="1834" spans="1:10" ht="13.5" thickBot="1">
      <c r="A1834" s="27"/>
      <c r="B1834" s="110"/>
      <c r="C1834" s="11" t="s">
        <v>675</v>
      </c>
      <c r="D1834" s="10" t="s">
        <v>676</v>
      </c>
      <c r="H1834" s="443"/>
    </row>
    <row r="1835" spans="1:10" ht="13.5" thickBot="1">
      <c r="A1835" s="27"/>
      <c r="B1835" s="110"/>
      <c r="D1835" s="401" t="s">
        <v>40</v>
      </c>
      <c r="E1835" s="402" t="s">
        <v>41</v>
      </c>
      <c r="F1835" s="402" t="s">
        <v>42</v>
      </c>
      <c r="G1835" s="403" t="s">
        <v>43</v>
      </c>
      <c r="H1835" s="404" t="s">
        <v>44</v>
      </c>
      <c r="I1835" s="402" t="s">
        <v>474</v>
      </c>
      <c r="J1835" s="405" t="s">
        <v>475</v>
      </c>
    </row>
    <row r="1836" spans="1:10" ht="13">
      <c r="A1836" s="27"/>
      <c r="B1836" s="110"/>
      <c r="D1836" s="406" t="s">
        <v>45</v>
      </c>
      <c r="E1836" s="13" t="s">
        <v>46</v>
      </c>
      <c r="F1836" s="14"/>
      <c r="G1836" s="15"/>
      <c r="H1836" s="451"/>
      <c r="I1836" s="412"/>
      <c r="J1836" s="16"/>
    </row>
    <row r="1837" spans="1:10" ht="13">
      <c r="A1837" s="27"/>
      <c r="B1837" s="110"/>
      <c r="D1837" s="409"/>
      <c r="E1837" s="13" t="s">
        <v>47</v>
      </c>
      <c r="F1837" s="13" t="s">
        <v>1918</v>
      </c>
      <c r="G1837" s="410" t="s">
        <v>48</v>
      </c>
      <c r="H1837" s="411">
        <v>7.0999999999999994E-2</v>
      </c>
      <c r="I1837" s="412">
        <f>IF(AND(E1837&lt;&gt;"",G1837&lt;&gt;""),IF(D1837="",IF(G1837="OH",VLOOKUP(F1837,UPAH!$B$4:$H$101,7,0),VLOOKUP(F1837,#REF!,4,0)),0),0)</f>
        <v>0</v>
      </c>
      <c r="J1837" s="16">
        <f>H1837*I1837</f>
        <v>0</v>
      </c>
    </row>
    <row r="1838" spans="1:10" ht="13">
      <c r="A1838" s="27"/>
      <c r="B1838" s="110"/>
      <c r="D1838" s="409"/>
      <c r="E1838" s="13" t="s">
        <v>49</v>
      </c>
      <c r="F1838" s="14" t="s">
        <v>1922</v>
      </c>
      <c r="G1838" s="410" t="s">
        <v>48</v>
      </c>
      <c r="H1838" s="411">
        <v>2.4E-2</v>
      </c>
      <c r="I1838" s="412">
        <f>IF(AND(E1838&lt;&gt;"",G1838&lt;&gt;""),IF(D1838="",IF(G1838="OH",VLOOKUP(F1838,UPAH!$B$4:$H$101,7,0),VLOOKUP(F1838,#REF!,4,0)),0),0)</f>
        <v>0</v>
      </c>
      <c r="J1838" s="16">
        <f>H1838*I1838</f>
        <v>0</v>
      </c>
    </row>
    <row r="1839" spans="1:10" ht="13.5" thickBot="1">
      <c r="A1839" s="27"/>
      <c r="B1839" s="110"/>
      <c r="D1839" s="409"/>
      <c r="E1839" s="13" t="s">
        <v>51</v>
      </c>
      <c r="F1839" s="13" t="s">
        <v>1929</v>
      </c>
      <c r="G1839" s="410" t="s">
        <v>48</v>
      </c>
      <c r="H1839" s="411">
        <v>5.0000000000000001E-3</v>
      </c>
      <c r="I1839" s="412">
        <f>IF(AND(E1839&lt;&gt;"",G1839&lt;&gt;""),IF(D1839="",IF(G1839="OH",VLOOKUP(F1839,UPAH!$B$4:$H$101,7,0),VLOOKUP(F1839,#REF!,4,0)),0),0)</f>
        <v>0</v>
      </c>
      <c r="J1839" s="16">
        <f>H1839*I1839</f>
        <v>0</v>
      </c>
    </row>
    <row r="1840" spans="1:10" ht="13.5" thickBot="1">
      <c r="A1840" s="27"/>
      <c r="B1840" s="110"/>
      <c r="D1840" s="417"/>
      <c r="E1840" s="418"/>
      <c r="F1840" s="418"/>
      <c r="G1840" s="419"/>
      <c r="H1840" s="420" t="s">
        <v>52</v>
      </c>
      <c r="I1840" s="421"/>
      <c r="J1840" s="396">
        <f>SUM(J1837:J1839)</f>
        <v>0</v>
      </c>
    </row>
    <row r="1841" spans="1:10" ht="13.5" thickBot="1">
      <c r="A1841" s="27"/>
      <c r="B1841" s="110"/>
      <c r="D1841" s="406" t="s">
        <v>53</v>
      </c>
      <c r="E1841" s="13" t="s">
        <v>54</v>
      </c>
      <c r="F1841" s="14"/>
      <c r="G1841" s="15"/>
      <c r="H1841" s="451"/>
      <c r="I1841" s="412"/>
      <c r="J1841" s="16"/>
    </row>
    <row r="1842" spans="1:10" ht="13.5" thickBot="1">
      <c r="A1842" s="27"/>
      <c r="B1842" s="110"/>
      <c r="D1842" s="417"/>
      <c r="E1842" s="418"/>
      <c r="F1842" s="418"/>
      <c r="G1842" s="419"/>
      <c r="H1842" s="420" t="s">
        <v>64</v>
      </c>
      <c r="I1842" s="421"/>
      <c r="J1842" s="396">
        <f>SUM(J1841)</f>
        <v>0</v>
      </c>
    </row>
    <row r="1843" spans="1:10" ht="13.5" thickBot="1">
      <c r="A1843" s="27"/>
      <c r="B1843" s="110"/>
      <c r="D1843" s="406" t="s">
        <v>65</v>
      </c>
      <c r="E1843" s="13" t="s">
        <v>66</v>
      </c>
      <c r="F1843" s="14"/>
      <c r="G1843" s="15"/>
      <c r="H1843" s="451"/>
      <c r="I1843" s="412">
        <f>IF(AND(E1843&lt;&gt;"",G1843&lt;&gt;""),IF(D1843="",IF(G1843="OH",VLOOKUP(E1843,UPAH!$C$4:$H$31,7,0),VLOOKUP(E1843,#REF!,4,0)),0),0)</f>
        <v>0</v>
      </c>
      <c r="J1843" s="16">
        <f>H1843*I1843</f>
        <v>0</v>
      </c>
    </row>
    <row r="1844" spans="1:10" ht="13.5" thickBot="1">
      <c r="A1844" s="27"/>
      <c r="B1844" s="110"/>
      <c r="D1844" s="417"/>
      <c r="E1844" s="418"/>
      <c r="F1844" s="418"/>
      <c r="G1844" s="419"/>
      <c r="H1844" s="420" t="s">
        <v>67</v>
      </c>
      <c r="I1844" s="421"/>
      <c r="J1844" s="396">
        <f>J1843</f>
        <v>0</v>
      </c>
    </row>
    <row r="1845" spans="1:10" ht="13">
      <c r="A1845" s="27"/>
      <c r="B1845" s="110"/>
      <c r="D1845" s="444" t="s">
        <v>68</v>
      </c>
      <c r="E1845" s="445" t="s">
        <v>69</v>
      </c>
      <c r="F1845" s="446"/>
      <c r="G1845" s="447"/>
      <c r="H1845" s="448"/>
      <c r="I1845" s="449">
        <f>IF(AND(E1845&lt;&gt;"",G1845&lt;&gt;""),IF(D1845="",IF(G1845="OH",VLOOKUP(E1845,UPAH!$C$4:$H$31,7,0),VLOOKUP(E1845,#REF!,4,0)),0),0)</f>
        <v>0</v>
      </c>
      <c r="J1845" s="16">
        <f>SUM(J1835:J1844)/2</f>
        <v>0</v>
      </c>
    </row>
    <row r="1846" spans="1:10" ht="13.5" thickBot="1">
      <c r="A1846" s="27"/>
      <c r="B1846" s="110"/>
      <c r="D1846" s="431" t="s">
        <v>70</v>
      </c>
      <c r="E1846" s="432" t="s">
        <v>477</v>
      </c>
      <c r="F1846" s="433"/>
      <c r="G1846" s="434"/>
      <c r="H1846" s="22">
        <v>0.1</v>
      </c>
      <c r="I1846" s="436"/>
      <c r="J1846" s="430">
        <f>H1846*J1845</f>
        <v>0</v>
      </c>
    </row>
    <row r="1847" spans="1:10" ht="13.5" thickBot="1">
      <c r="A1847" s="27"/>
      <c r="B1847" s="110"/>
      <c r="D1847" s="401" t="s">
        <v>71</v>
      </c>
      <c r="E1847" s="402" t="s">
        <v>72</v>
      </c>
      <c r="F1847" s="418"/>
      <c r="G1847" s="419"/>
      <c r="H1847" s="442"/>
      <c r="I1847" s="421">
        <f>IF(AND(E1847&lt;&gt;"",G1847&lt;&gt;""),IF(D1847="",IF(G1847="OH",VLOOKUP(E1847,UPAH!$C$4:$H$31,7,0),VLOOKUP(E1847,#REF!,4,0)),0),0)</f>
        <v>0</v>
      </c>
      <c r="J1847" s="396">
        <f>ROUNDDOWN(J1845+J1846,0)</f>
        <v>0</v>
      </c>
    </row>
    <row r="1848" spans="1:10" ht="13">
      <c r="A1848" s="27"/>
      <c r="B1848" s="110"/>
      <c r="D1848" s="11"/>
      <c r="E1848" s="11"/>
      <c r="H1848" s="443"/>
      <c r="I1848" s="17"/>
      <c r="J1848" s="18"/>
    </row>
    <row r="1849" spans="1:10" ht="13.5" thickBot="1">
      <c r="A1849" s="27"/>
      <c r="B1849" s="110"/>
      <c r="C1849" s="11" t="s">
        <v>677</v>
      </c>
      <c r="D1849" s="10" t="s">
        <v>678</v>
      </c>
      <c r="H1849" s="443"/>
    </row>
    <row r="1850" spans="1:10" ht="13.5" thickBot="1">
      <c r="A1850" s="27"/>
      <c r="B1850" s="110"/>
      <c r="D1850" s="401" t="s">
        <v>40</v>
      </c>
      <c r="E1850" s="402" t="s">
        <v>41</v>
      </c>
      <c r="F1850" s="402" t="s">
        <v>42</v>
      </c>
      <c r="G1850" s="403" t="s">
        <v>43</v>
      </c>
      <c r="H1850" s="404" t="s">
        <v>44</v>
      </c>
      <c r="I1850" s="402" t="s">
        <v>474</v>
      </c>
      <c r="J1850" s="405" t="s">
        <v>475</v>
      </c>
    </row>
    <row r="1851" spans="1:10" ht="13">
      <c r="A1851" s="27"/>
      <c r="B1851" s="110"/>
      <c r="D1851" s="406" t="s">
        <v>45</v>
      </c>
      <c r="E1851" s="13" t="s">
        <v>46</v>
      </c>
      <c r="F1851" s="14"/>
      <c r="G1851" s="15"/>
      <c r="H1851" s="451"/>
      <c r="I1851" s="412"/>
      <c r="J1851" s="16"/>
    </row>
    <row r="1852" spans="1:10" ht="13">
      <c r="A1852" s="27"/>
      <c r="B1852" s="110"/>
      <c r="D1852" s="409"/>
      <c r="E1852" s="13" t="s">
        <v>47</v>
      </c>
      <c r="F1852" s="13" t="s">
        <v>1918</v>
      </c>
      <c r="G1852" s="410" t="s">
        <v>48</v>
      </c>
      <c r="H1852" s="411">
        <v>6.4000000000000001E-2</v>
      </c>
      <c r="I1852" s="412">
        <f>IF(AND(E1852&lt;&gt;"",G1852&lt;&gt;""),IF(D1852="",IF(G1852="OH",VLOOKUP(F1852,UPAH!$B$4:$H$101,7,0),VLOOKUP(F1852,#REF!,4,0)),0),0)</f>
        <v>0</v>
      </c>
      <c r="J1852" s="16">
        <f>H1852*I1852</f>
        <v>0</v>
      </c>
    </row>
    <row r="1853" spans="1:10" ht="13">
      <c r="A1853" s="27"/>
      <c r="B1853" s="110"/>
      <c r="D1853" s="409"/>
      <c r="E1853" s="13" t="s">
        <v>81</v>
      </c>
      <c r="F1853" s="13" t="s">
        <v>1921</v>
      </c>
      <c r="G1853" s="410" t="s">
        <v>48</v>
      </c>
      <c r="H1853" s="411">
        <v>0.24399999999999999</v>
      </c>
      <c r="I1853" s="412">
        <f>IF(AND(E1853&lt;&gt;"",G1853&lt;&gt;""),IF(D1853="",IF(G1853="OH",VLOOKUP(F1853,UPAH!$B$4:$H$101,7,0),VLOOKUP(F1853,#REF!,4,0)),0),0)</f>
        <v>0</v>
      </c>
      <c r="J1853" s="16">
        <f>H1853*I1853</f>
        <v>0</v>
      </c>
    </row>
    <row r="1854" spans="1:10" ht="13">
      <c r="A1854" s="27"/>
      <c r="B1854" s="110"/>
      <c r="D1854" s="409"/>
      <c r="E1854" s="13" t="s">
        <v>129</v>
      </c>
      <c r="F1854" s="13" t="s">
        <v>1914</v>
      </c>
      <c r="G1854" s="410" t="s">
        <v>48</v>
      </c>
      <c r="H1854" s="411">
        <v>0.128</v>
      </c>
      <c r="I1854" s="412">
        <f>IF(AND(E1854&lt;&gt;"",G1854&lt;&gt;""),IF(D1854="",IF(G1854="OH",VLOOKUP(F1854,UPAH!$B$4:$H$101,7,0),VLOOKUP(F1854,#REF!,4,0)),0),0)</f>
        <v>0</v>
      </c>
      <c r="J1854" s="16">
        <f>H1854*I1854</f>
        <v>0</v>
      </c>
    </row>
    <row r="1855" spans="1:10" ht="13">
      <c r="A1855" s="27"/>
      <c r="B1855" s="110"/>
      <c r="D1855" s="409"/>
      <c r="E1855" s="13" t="s">
        <v>97</v>
      </c>
      <c r="F1855" s="13" t="s">
        <v>1928</v>
      </c>
      <c r="G1855" s="410" t="s">
        <v>48</v>
      </c>
      <c r="H1855" s="411">
        <v>3.4000000000000002E-2</v>
      </c>
      <c r="I1855" s="412">
        <f>IF(AND(E1855&lt;&gt;"",G1855&lt;&gt;""),IF(D1855="",IF(G1855="OH",VLOOKUP(F1855,UPAH!$B$4:$H$101,7,0),VLOOKUP(F1855,#REF!,4,0)),0),0)</f>
        <v>0</v>
      </c>
      <c r="J1855" s="16">
        <f>H1855*I1855</f>
        <v>0</v>
      </c>
    </row>
    <row r="1856" spans="1:10" ht="13.5" thickBot="1">
      <c r="A1856" s="27"/>
      <c r="B1856" s="110"/>
      <c r="D1856" s="409"/>
      <c r="E1856" s="13" t="s">
        <v>51</v>
      </c>
      <c r="F1856" s="13" t="s">
        <v>1929</v>
      </c>
      <c r="G1856" s="410" t="s">
        <v>48</v>
      </c>
      <c r="H1856" s="411">
        <v>7.2999999999999995E-2</v>
      </c>
      <c r="I1856" s="412">
        <f>IF(AND(E1856&lt;&gt;"",G1856&lt;&gt;""),IF(D1856="",IF(G1856="OH",VLOOKUP(F1856,UPAH!$B$4:$H$101,7,0),VLOOKUP(F1856,#REF!,4,0)),0),0)</f>
        <v>0</v>
      </c>
      <c r="J1856" s="16">
        <f>H1856*I1856</f>
        <v>0</v>
      </c>
    </row>
    <row r="1857" spans="1:10" ht="13.5" thickBot="1">
      <c r="A1857" s="27"/>
      <c r="B1857" s="110"/>
      <c r="D1857" s="417"/>
      <c r="E1857" s="418"/>
      <c r="F1857" s="418"/>
      <c r="G1857" s="419"/>
      <c r="H1857" s="420" t="s">
        <v>52</v>
      </c>
      <c r="I1857" s="421"/>
      <c r="J1857" s="396">
        <f>SUM(J1852:J1856)</f>
        <v>0</v>
      </c>
    </row>
    <row r="1858" spans="1:10" ht="13.5" thickBot="1">
      <c r="A1858" s="27"/>
      <c r="B1858" s="110"/>
      <c r="D1858" s="406" t="s">
        <v>53</v>
      </c>
      <c r="E1858" s="13" t="s">
        <v>54</v>
      </c>
      <c r="F1858" s="14"/>
      <c r="G1858" s="15"/>
      <c r="H1858" s="451"/>
      <c r="I1858" s="412"/>
      <c r="J1858" s="16"/>
    </row>
    <row r="1859" spans="1:10" ht="13.5" thickBot="1">
      <c r="A1859" s="27"/>
      <c r="B1859" s="110"/>
      <c r="D1859" s="417"/>
      <c r="E1859" s="418"/>
      <c r="F1859" s="418"/>
      <c r="G1859" s="419"/>
      <c r="H1859" s="420" t="s">
        <v>64</v>
      </c>
      <c r="I1859" s="421"/>
      <c r="J1859" s="396">
        <f>SUM(J1858)</f>
        <v>0</v>
      </c>
    </row>
    <row r="1860" spans="1:10" ht="13.5" thickBot="1">
      <c r="A1860" s="27"/>
      <c r="B1860" s="110"/>
      <c r="D1860" s="406" t="s">
        <v>65</v>
      </c>
      <c r="E1860" s="13" t="s">
        <v>66</v>
      </c>
      <c r="F1860" s="14"/>
      <c r="G1860" s="15"/>
      <c r="H1860" s="451"/>
      <c r="I1860" s="412">
        <f>IF(AND(E1860&lt;&gt;"",G1860&lt;&gt;""),IF(D1860="",IF(G1860="OH",VLOOKUP(E1860,UPAH!$C$4:$H$31,7,0),VLOOKUP(E1860,#REF!,4,0)),0),0)</f>
        <v>0</v>
      </c>
      <c r="J1860" s="16">
        <f>H1860*I1860</f>
        <v>0</v>
      </c>
    </row>
    <row r="1861" spans="1:10" ht="13.5" thickBot="1">
      <c r="A1861" s="27"/>
      <c r="B1861" s="110"/>
      <c r="D1861" s="417"/>
      <c r="E1861" s="418"/>
      <c r="F1861" s="418"/>
      <c r="G1861" s="419"/>
      <c r="H1861" s="420" t="s">
        <v>67</v>
      </c>
      <c r="I1861" s="421"/>
      <c r="J1861" s="396">
        <f>J1860</f>
        <v>0</v>
      </c>
    </row>
    <row r="1862" spans="1:10" ht="13">
      <c r="A1862" s="27"/>
      <c r="B1862" s="110"/>
      <c r="D1862" s="444" t="s">
        <v>68</v>
      </c>
      <c r="E1862" s="445" t="s">
        <v>69</v>
      </c>
      <c r="F1862" s="446"/>
      <c r="G1862" s="447"/>
      <c r="H1862" s="448"/>
      <c r="I1862" s="449">
        <f>IF(AND(E1862&lt;&gt;"",G1862&lt;&gt;""),IF(D1862="",IF(G1862="OH",VLOOKUP(E1862,UPAH!$C$4:$H$31,7,0),VLOOKUP(E1862,#REF!,4,0)),0),0)</f>
        <v>0</v>
      </c>
      <c r="J1862" s="16">
        <f>SUM(J1851:J1861)/2</f>
        <v>0</v>
      </c>
    </row>
    <row r="1863" spans="1:10" ht="13.5" thickBot="1">
      <c r="A1863" s="27"/>
      <c r="B1863" s="110"/>
      <c r="D1863" s="431" t="s">
        <v>70</v>
      </c>
      <c r="E1863" s="432" t="s">
        <v>477</v>
      </c>
      <c r="F1863" s="433"/>
      <c r="G1863" s="434"/>
      <c r="H1863" s="22">
        <v>0.1</v>
      </c>
      <c r="I1863" s="436"/>
      <c r="J1863" s="430">
        <f>H1863*J1862</f>
        <v>0</v>
      </c>
    </row>
    <row r="1864" spans="1:10" ht="13.5" thickBot="1">
      <c r="A1864" s="27"/>
      <c r="B1864" s="110"/>
      <c r="D1864" s="401" t="s">
        <v>71</v>
      </c>
      <c r="E1864" s="402" t="s">
        <v>72</v>
      </c>
      <c r="F1864" s="418"/>
      <c r="G1864" s="419"/>
      <c r="H1864" s="442"/>
      <c r="I1864" s="421">
        <f>IF(AND(E1864&lt;&gt;"",G1864&lt;&gt;""),IF(D1864="",IF(G1864="OH",VLOOKUP(E1864,UPAH!$C$4:$H$31,7,0),VLOOKUP(E1864,#REF!,4,0)),0),0)</f>
        <v>0</v>
      </c>
      <c r="J1864" s="396">
        <f>ROUNDDOWN(J1862+J1863,0)</f>
        <v>0</v>
      </c>
    </row>
    <row r="1865" spans="1:10" ht="13">
      <c r="A1865" s="27"/>
      <c r="B1865" s="110"/>
      <c r="D1865" s="11"/>
      <c r="E1865" s="11"/>
      <c r="H1865" s="443"/>
      <c r="I1865" s="17"/>
      <c r="J1865" s="18"/>
    </row>
    <row r="1866" spans="1:10" ht="13.5" thickBot="1">
      <c r="A1866" s="27"/>
      <c r="B1866" s="110"/>
      <c r="C1866" s="11" t="s">
        <v>679</v>
      </c>
      <c r="D1866" s="10" t="s">
        <v>680</v>
      </c>
      <c r="H1866" s="443"/>
    </row>
    <row r="1867" spans="1:10" ht="13.5" thickBot="1">
      <c r="A1867" s="27"/>
      <c r="B1867" s="110"/>
      <c r="D1867" s="401" t="s">
        <v>40</v>
      </c>
      <c r="E1867" s="402" t="s">
        <v>41</v>
      </c>
      <c r="F1867" s="402" t="s">
        <v>42</v>
      </c>
      <c r="G1867" s="403" t="s">
        <v>43</v>
      </c>
      <c r="H1867" s="404" t="s">
        <v>44</v>
      </c>
      <c r="I1867" s="402" t="s">
        <v>474</v>
      </c>
      <c r="J1867" s="405" t="s">
        <v>475</v>
      </c>
    </row>
    <row r="1868" spans="1:10" ht="13">
      <c r="A1868" s="27"/>
      <c r="B1868" s="110"/>
      <c r="D1868" s="406" t="s">
        <v>45</v>
      </c>
      <c r="E1868" s="13" t="s">
        <v>46</v>
      </c>
      <c r="F1868" s="14"/>
      <c r="G1868" s="15"/>
      <c r="H1868" s="451"/>
      <c r="I1868" s="412"/>
      <c r="J1868" s="16"/>
    </row>
    <row r="1869" spans="1:10" ht="13">
      <c r="A1869" s="27"/>
      <c r="B1869" s="110"/>
      <c r="D1869" s="409"/>
      <c r="E1869" s="13" t="s">
        <v>47</v>
      </c>
      <c r="F1869" s="13" t="s">
        <v>1918</v>
      </c>
      <c r="G1869" s="410" t="s">
        <v>48</v>
      </c>
      <c r="H1869" s="411">
        <v>6.9000000000000006E-2</v>
      </c>
      <c r="I1869" s="412">
        <f>IF(AND(E1869&lt;&gt;"",G1869&lt;&gt;""),IF(D1869="",IF(G1869="OH",VLOOKUP(F1869,UPAH!$B$4:$H$101,7,0),VLOOKUP(F1869,#REF!,4,0)),0),0)</f>
        <v>0</v>
      </c>
      <c r="J1869" s="16">
        <f>H1869*I1869</f>
        <v>0</v>
      </c>
    </row>
    <row r="1870" spans="1:10" ht="13">
      <c r="A1870" s="27"/>
      <c r="B1870" s="110"/>
      <c r="D1870" s="409"/>
      <c r="E1870" s="13" t="s">
        <v>81</v>
      </c>
      <c r="F1870" s="13" t="s">
        <v>1921</v>
      </c>
      <c r="G1870" s="410" t="s">
        <v>48</v>
      </c>
      <c r="H1870" s="411">
        <v>0.24199999999999999</v>
      </c>
      <c r="I1870" s="412">
        <f>IF(AND(E1870&lt;&gt;"",G1870&lt;&gt;""),IF(D1870="",IF(G1870="OH",VLOOKUP(F1870,UPAH!$B$4:$H$101,7,0),VLOOKUP(F1870,#REF!,4,0)),0),0)</f>
        <v>0</v>
      </c>
      <c r="J1870" s="16">
        <f>H1870*I1870</f>
        <v>0</v>
      </c>
    </row>
    <row r="1871" spans="1:10" ht="13">
      <c r="A1871" s="27"/>
      <c r="B1871" s="110"/>
      <c r="D1871" s="409"/>
      <c r="E1871" s="13" t="s">
        <v>129</v>
      </c>
      <c r="F1871" s="13" t="s">
        <v>1914</v>
      </c>
      <c r="G1871" s="410" t="s">
        <v>48</v>
      </c>
      <c r="H1871" s="411">
        <v>0.13800000000000001</v>
      </c>
      <c r="I1871" s="412">
        <f>IF(AND(E1871&lt;&gt;"",G1871&lt;&gt;""),IF(D1871="",IF(G1871="OH",VLOOKUP(F1871,UPAH!$B$4:$H$101,7,0),VLOOKUP(F1871,#REF!,4,0)),0),0)</f>
        <v>0</v>
      </c>
      <c r="J1871" s="16">
        <f>H1871*I1871</f>
        <v>0</v>
      </c>
    </row>
    <row r="1872" spans="1:10" ht="13">
      <c r="A1872" s="27"/>
      <c r="B1872" s="110"/>
      <c r="D1872" s="409"/>
      <c r="E1872" s="13" t="s">
        <v>97</v>
      </c>
      <c r="F1872" s="13" t="s">
        <v>1928</v>
      </c>
      <c r="G1872" s="410" t="s">
        <v>48</v>
      </c>
      <c r="H1872" s="411">
        <v>3.6999999999999998E-2</v>
      </c>
      <c r="I1872" s="412">
        <f>IF(AND(E1872&lt;&gt;"",G1872&lt;&gt;""),IF(D1872="",IF(G1872="OH",VLOOKUP(F1872,UPAH!$B$4:$H$101,7,0),VLOOKUP(F1872,#REF!,4,0)),0),0)</f>
        <v>0</v>
      </c>
      <c r="J1872" s="16">
        <f>H1872*I1872</f>
        <v>0</v>
      </c>
    </row>
    <row r="1873" spans="1:10" ht="13.5" thickBot="1">
      <c r="A1873" s="27"/>
      <c r="B1873" s="110"/>
      <c r="D1873" s="409"/>
      <c r="E1873" s="13" t="s">
        <v>51</v>
      </c>
      <c r="F1873" s="13" t="s">
        <v>1929</v>
      </c>
      <c r="G1873" s="410" t="s">
        <v>48</v>
      </c>
      <c r="H1873" s="411">
        <v>7.2999999999999995E-2</v>
      </c>
      <c r="I1873" s="412">
        <f>IF(AND(E1873&lt;&gt;"",G1873&lt;&gt;""),IF(D1873="",IF(G1873="OH",VLOOKUP(F1873,UPAH!$B$4:$H$101,7,0),VLOOKUP(F1873,#REF!,4,0)),0),0)</f>
        <v>0</v>
      </c>
      <c r="J1873" s="16">
        <f>H1873*I1873</f>
        <v>0</v>
      </c>
    </row>
    <row r="1874" spans="1:10" ht="13.5" thickBot="1">
      <c r="A1874" s="27"/>
      <c r="B1874" s="110"/>
      <c r="D1874" s="417"/>
      <c r="E1874" s="418"/>
      <c r="F1874" s="418"/>
      <c r="G1874" s="419"/>
      <c r="H1874" s="420" t="s">
        <v>52</v>
      </c>
      <c r="I1874" s="421"/>
      <c r="J1874" s="396">
        <f>SUM(J1869:J1873)</f>
        <v>0</v>
      </c>
    </row>
    <row r="1875" spans="1:10" ht="13.5" thickBot="1">
      <c r="A1875" s="27"/>
      <c r="B1875" s="110"/>
      <c r="D1875" s="406" t="s">
        <v>53</v>
      </c>
      <c r="E1875" s="13" t="s">
        <v>54</v>
      </c>
      <c r="F1875" s="14"/>
      <c r="G1875" s="15"/>
      <c r="H1875" s="451"/>
      <c r="I1875" s="412"/>
      <c r="J1875" s="16"/>
    </row>
    <row r="1876" spans="1:10" ht="13.5" thickBot="1">
      <c r="A1876" s="27"/>
      <c r="B1876" s="110"/>
      <c r="D1876" s="417"/>
      <c r="E1876" s="418"/>
      <c r="F1876" s="418"/>
      <c r="G1876" s="419"/>
      <c r="H1876" s="420" t="s">
        <v>64</v>
      </c>
      <c r="I1876" s="421"/>
      <c r="J1876" s="396">
        <f>SUM(J1875)</f>
        <v>0</v>
      </c>
    </row>
    <row r="1877" spans="1:10" ht="13.5" thickBot="1">
      <c r="A1877" s="27"/>
      <c r="B1877" s="110"/>
      <c r="D1877" s="406" t="s">
        <v>65</v>
      </c>
      <c r="E1877" s="13" t="s">
        <v>66</v>
      </c>
      <c r="F1877" s="14"/>
      <c r="G1877" s="15"/>
      <c r="H1877" s="451"/>
      <c r="I1877" s="412">
        <f>IF(AND(E1877&lt;&gt;"",G1877&lt;&gt;""),IF(D1877="",IF(G1877="OH",VLOOKUP(E1877,UPAH!$C$4:$H$31,7,0),VLOOKUP(E1877,#REF!,4,0)),0),0)</f>
        <v>0</v>
      </c>
      <c r="J1877" s="16">
        <f>H1877*I1877</f>
        <v>0</v>
      </c>
    </row>
    <row r="1878" spans="1:10" ht="13.5" thickBot="1">
      <c r="A1878" s="27"/>
      <c r="B1878" s="110"/>
      <c r="D1878" s="417"/>
      <c r="E1878" s="418"/>
      <c r="F1878" s="418"/>
      <c r="G1878" s="419"/>
      <c r="H1878" s="420" t="s">
        <v>67</v>
      </c>
      <c r="I1878" s="421"/>
      <c r="J1878" s="396">
        <f>J1877</f>
        <v>0</v>
      </c>
    </row>
    <row r="1879" spans="1:10" ht="13">
      <c r="A1879" s="27"/>
      <c r="B1879" s="110"/>
      <c r="D1879" s="444" t="s">
        <v>68</v>
      </c>
      <c r="E1879" s="445" t="s">
        <v>69</v>
      </c>
      <c r="F1879" s="446"/>
      <c r="G1879" s="447"/>
      <c r="H1879" s="448"/>
      <c r="I1879" s="449">
        <f>IF(AND(E1879&lt;&gt;"",G1879&lt;&gt;""),IF(D1879="",IF(G1879="OH",VLOOKUP(E1879,UPAH!$C$4:$H$31,7,0),VLOOKUP(E1879,#REF!,4,0)),0),0)</f>
        <v>0</v>
      </c>
      <c r="J1879" s="16">
        <f>SUM(J1868:J1878)/2</f>
        <v>0</v>
      </c>
    </row>
    <row r="1880" spans="1:10" ht="13.5" thickBot="1">
      <c r="A1880" s="27"/>
      <c r="B1880" s="110"/>
      <c r="D1880" s="431" t="s">
        <v>70</v>
      </c>
      <c r="E1880" s="432" t="s">
        <v>477</v>
      </c>
      <c r="F1880" s="433"/>
      <c r="G1880" s="434"/>
      <c r="H1880" s="22">
        <v>0.1</v>
      </c>
      <c r="I1880" s="436"/>
      <c r="J1880" s="430">
        <f>H1880*J1879</f>
        <v>0</v>
      </c>
    </row>
    <row r="1881" spans="1:10" ht="13.5" thickBot="1">
      <c r="A1881" s="27"/>
      <c r="B1881" s="110"/>
      <c r="D1881" s="401" t="s">
        <v>71</v>
      </c>
      <c r="E1881" s="402" t="s">
        <v>72</v>
      </c>
      <c r="F1881" s="418"/>
      <c r="G1881" s="419"/>
      <c r="H1881" s="442"/>
      <c r="I1881" s="421">
        <f>IF(AND(E1881&lt;&gt;"",G1881&lt;&gt;""),IF(D1881="",IF(G1881="OH",VLOOKUP(E1881,UPAH!$C$4:$H$31,7,0),VLOOKUP(E1881,#REF!,4,0)),0),0)</f>
        <v>0</v>
      </c>
      <c r="J1881" s="396">
        <f>ROUNDDOWN(J1879+J1880,0)</f>
        <v>0</v>
      </c>
    </row>
    <row r="1882" spans="1:10" ht="13">
      <c r="A1882" s="27"/>
      <c r="B1882" s="110"/>
      <c r="D1882" s="11"/>
      <c r="E1882" s="11"/>
      <c r="H1882" s="443"/>
      <c r="I1882" s="17"/>
      <c r="J1882" s="18"/>
    </row>
    <row r="1883" spans="1:10" ht="13.5" thickBot="1">
      <c r="A1883" s="27"/>
      <c r="B1883" s="110"/>
      <c r="C1883" s="11" t="s">
        <v>681</v>
      </c>
      <c r="D1883" s="10" t="s">
        <v>682</v>
      </c>
      <c r="H1883" s="443"/>
    </row>
    <row r="1884" spans="1:10" ht="13.5" thickBot="1">
      <c r="A1884" s="27"/>
      <c r="B1884" s="110"/>
      <c r="D1884" s="401" t="s">
        <v>40</v>
      </c>
      <c r="E1884" s="402" t="s">
        <v>41</v>
      </c>
      <c r="F1884" s="402" t="s">
        <v>42</v>
      </c>
      <c r="G1884" s="403" t="s">
        <v>43</v>
      </c>
      <c r="H1884" s="404" t="s">
        <v>44</v>
      </c>
      <c r="I1884" s="402" t="s">
        <v>474</v>
      </c>
      <c r="J1884" s="405" t="s">
        <v>475</v>
      </c>
    </row>
    <row r="1885" spans="1:10" ht="13">
      <c r="A1885" s="27"/>
      <c r="B1885" s="110"/>
      <c r="D1885" s="406" t="s">
        <v>45</v>
      </c>
      <c r="E1885" s="13" t="s">
        <v>46</v>
      </c>
      <c r="F1885" s="14"/>
      <c r="G1885" s="15"/>
      <c r="H1885" s="451"/>
      <c r="I1885" s="412"/>
      <c r="J1885" s="16"/>
    </row>
    <row r="1886" spans="1:10" ht="13">
      <c r="A1886" s="27"/>
      <c r="B1886" s="110"/>
      <c r="D1886" s="409"/>
      <c r="E1886" s="13" t="s">
        <v>47</v>
      </c>
      <c r="F1886" s="13" t="s">
        <v>1918</v>
      </c>
      <c r="G1886" s="410" t="s">
        <v>48</v>
      </c>
      <c r="H1886" s="411">
        <v>6.0999999999999999E-2</v>
      </c>
      <c r="I1886" s="412">
        <f>IF(AND(E1886&lt;&gt;"",G1886&lt;&gt;""),IF(D1886="",IF(G1886="OH",VLOOKUP(F1886,UPAH!$B$4:$H$101,7,0),VLOOKUP(F1886,#REF!,4,0)),0),0)</f>
        <v>0</v>
      </c>
      <c r="J1886" s="16">
        <f>H1886*I1886</f>
        <v>0</v>
      </c>
    </row>
    <row r="1887" spans="1:10" ht="13">
      <c r="A1887" s="27"/>
      <c r="B1887" s="110"/>
      <c r="D1887" s="409"/>
      <c r="E1887" s="13" t="s">
        <v>81</v>
      </c>
      <c r="F1887" s="13" t="s">
        <v>1921</v>
      </c>
      <c r="G1887" s="410" t="s">
        <v>48</v>
      </c>
      <c r="H1887" s="411">
        <v>0.21299999999999999</v>
      </c>
      <c r="I1887" s="412">
        <f>IF(AND(E1887&lt;&gt;"",G1887&lt;&gt;""),IF(D1887="",IF(G1887="OH",VLOOKUP(F1887,UPAH!$B$4:$H$101,7,0),VLOOKUP(F1887,#REF!,4,0)),0),0)</f>
        <v>0</v>
      </c>
      <c r="J1887" s="16">
        <f>H1887*I1887</f>
        <v>0</v>
      </c>
    </row>
    <row r="1888" spans="1:10" ht="13">
      <c r="A1888" s="27"/>
      <c r="B1888" s="110"/>
      <c r="D1888" s="409"/>
      <c r="E1888" s="13" t="s">
        <v>129</v>
      </c>
      <c r="F1888" s="13" t="s">
        <v>1914</v>
      </c>
      <c r="G1888" s="410" t="s">
        <v>48</v>
      </c>
      <c r="H1888" s="411">
        <v>0.122</v>
      </c>
      <c r="I1888" s="412">
        <f>IF(AND(E1888&lt;&gt;"",G1888&lt;&gt;""),IF(D1888="",IF(G1888="OH",VLOOKUP(F1888,UPAH!$B$4:$H$101,7,0),VLOOKUP(F1888,#REF!,4,0)),0),0)</f>
        <v>0</v>
      </c>
      <c r="J1888" s="16">
        <f>H1888*I1888</f>
        <v>0</v>
      </c>
    </row>
    <row r="1889" spans="1:10" ht="13">
      <c r="A1889" s="27"/>
      <c r="B1889" s="110"/>
      <c r="D1889" s="409"/>
      <c r="E1889" s="13" t="s">
        <v>97</v>
      </c>
      <c r="F1889" s="13" t="s">
        <v>1928</v>
      </c>
      <c r="G1889" s="410" t="s">
        <v>48</v>
      </c>
      <c r="H1889" s="411">
        <v>3.3000000000000002E-2</v>
      </c>
      <c r="I1889" s="412">
        <f>IF(AND(E1889&lt;&gt;"",G1889&lt;&gt;""),IF(D1889="",IF(G1889="OH",VLOOKUP(F1889,UPAH!$B$4:$H$101,7,0),VLOOKUP(F1889,#REF!,4,0)),0),0)</f>
        <v>0</v>
      </c>
      <c r="J1889" s="16">
        <f>H1889*I1889</f>
        <v>0</v>
      </c>
    </row>
    <row r="1890" spans="1:10" ht="13.5" thickBot="1">
      <c r="A1890" s="27"/>
      <c r="B1890" s="110"/>
      <c r="D1890" s="409"/>
      <c r="E1890" s="13" t="s">
        <v>51</v>
      </c>
      <c r="F1890" s="13" t="s">
        <v>1929</v>
      </c>
      <c r="G1890" s="410" t="s">
        <v>48</v>
      </c>
      <c r="H1890" s="411">
        <v>7.2999999999999995E-2</v>
      </c>
      <c r="I1890" s="412">
        <f>IF(AND(E1890&lt;&gt;"",G1890&lt;&gt;""),IF(D1890="",IF(G1890="OH",VLOOKUP(F1890,UPAH!$B$4:$H$101,7,0),VLOOKUP(F1890,#REF!,4,0)),0),0)</f>
        <v>0</v>
      </c>
      <c r="J1890" s="16">
        <f>H1890*I1890</f>
        <v>0</v>
      </c>
    </row>
    <row r="1891" spans="1:10" ht="13.5" thickBot="1">
      <c r="A1891" s="27"/>
      <c r="B1891" s="110"/>
      <c r="D1891" s="417"/>
      <c r="E1891" s="418"/>
      <c r="F1891" s="418"/>
      <c r="G1891" s="419"/>
      <c r="H1891" s="420" t="s">
        <v>52</v>
      </c>
      <c r="I1891" s="421"/>
      <c r="J1891" s="396">
        <f>SUM(J1886:J1890)</f>
        <v>0</v>
      </c>
    </row>
    <row r="1892" spans="1:10" ht="13.5" thickBot="1">
      <c r="A1892" s="27"/>
      <c r="B1892" s="110"/>
      <c r="D1892" s="406" t="s">
        <v>53</v>
      </c>
      <c r="E1892" s="13" t="s">
        <v>54</v>
      </c>
      <c r="F1892" s="14"/>
      <c r="G1892" s="15"/>
      <c r="H1892" s="451"/>
      <c r="I1892" s="412"/>
      <c r="J1892" s="16"/>
    </row>
    <row r="1893" spans="1:10" ht="13.5" thickBot="1">
      <c r="A1893" s="27"/>
      <c r="B1893" s="110"/>
      <c r="D1893" s="417"/>
      <c r="E1893" s="418"/>
      <c r="F1893" s="418"/>
      <c r="G1893" s="419"/>
      <c r="H1893" s="420" t="s">
        <v>64</v>
      </c>
      <c r="I1893" s="421"/>
      <c r="J1893" s="396">
        <f>SUM(J1892)</f>
        <v>0</v>
      </c>
    </row>
    <row r="1894" spans="1:10" ht="13.5" thickBot="1">
      <c r="A1894" s="27"/>
      <c r="B1894" s="110"/>
      <c r="D1894" s="406" t="s">
        <v>65</v>
      </c>
      <c r="E1894" s="13" t="s">
        <v>66</v>
      </c>
      <c r="F1894" s="14"/>
      <c r="G1894" s="15"/>
      <c r="H1894" s="451"/>
      <c r="I1894" s="412"/>
      <c r="J1894" s="16"/>
    </row>
    <row r="1895" spans="1:10" ht="13.5" thickBot="1">
      <c r="A1895" s="27"/>
      <c r="B1895" s="110"/>
      <c r="D1895" s="417"/>
      <c r="E1895" s="418"/>
      <c r="F1895" s="418"/>
      <c r="G1895" s="419"/>
      <c r="H1895" s="420" t="s">
        <v>67</v>
      </c>
      <c r="I1895" s="421"/>
      <c r="J1895" s="396">
        <f>J1894</f>
        <v>0</v>
      </c>
    </row>
    <row r="1896" spans="1:10" ht="13">
      <c r="A1896" s="27"/>
      <c r="B1896" s="110"/>
      <c r="D1896" s="444" t="s">
        <v>68</v>
      </c>
      <c r="E1896" s="445" t="s">
        <v>69</v>
      </c>
      <c r="F1896" s="446"/>
      <c r="G1896" s="447"/>
      <c r="H1896" s="448"/>
      <c r="I1896" s="449">
        <f>IF(AND(E1896&lt;&gt;"",G1896&lt;&gt;""),IF(D1896="",IF(G1896="OH",VLOOKUP(E1896,UPAH!$C$4:$H$31,7,0),VLOOKUP(E1896,#REF!,4,0)),0),0)</f>
        <v>0</v>
      </c>
      <c r="J1896" s="16">
        <f>SUM(J1885:J1895)/2</f>
        <v>0</v>
      </c>
    </row>
    <row r="1897" spans="1:10" ht="13.5" thickBot="1">
      <c r="A1897" s="27"/>
      <c r="B1897" s="110"/>
      <c r="D1897" s="431" t="s">
        <v>70</v>
      </c>
      <c r="E1897" s="432" t="s">
        <v>477</v>
      </c>
      <c r="F1897" s="433"/>
      <c r="G1897" s="434"/>
      <c r="H1897" s="22">
        <v>0.1</v>
      </c>
      <c r="I1897" s="436"/>
      <c r="J1897" s="430">
        <f>H1897*J1896</f>
        <v>0</v>
      </c>
    </row>
    <row r="1898" spans="1:10" ht="13.5" thickBot="1">
      <c r="A1898" s="27"/>
      <c r="B1898" s="110"/>
      <c r="D1898" s="401" t="s">
        <v>71</v>
      </c>
      <c r="E1898" s="402" t="s">
        <v>72</v>
      </c>
      <c r="F1898" s="418"/>
      <c r="G1898" s="419"/>
      <c r="H1898" s="442"/>
      <c r="I1898" s="421">
        <f>IF(AND(E1898&lt;&gt;"",G1898&lt;&gt;""),IF(D1898="",IF(G1898="OH",VLOOKUP(E1898,UPAH!$C$4:$H$31,7,0),VLOOKUP(E1898,#REF!,4,0)),0),0)</f>
        <v>0</v>
      </c>
      <c r="J1898" s="396">
        <f>ROUNDDOWN(J1896+J1897,0)</f>
        <v>0</v>
      </c>
    </row>
    <row r="1899" spans="1:10" ht="13">
      <c r="A1899" s="27"/>
      <c r="B1899" s="110"/>
      <c r="D1899" s="11"/>
      <c r="E1899" s="11"/>
      <c r="H1899" s="443"/>
      <c r="I1899" s="17"/>
      <c r="J1899" s="18"/>
    </row>
    <row r="1900" spans="1:10" ht="13.5" thickBot="1">
      <c r="A1900" s="27"/>
      <c r="B1900" s="110"/>
      <c r="C1900" s="10" t="s">
        <v>684</v>
      </c>
      <c r="D1900" s="456" t="s">
        <v>683</v>
      </c>
      <c r="E1900" s="11"/>
      <c r="H1900" s="443"/>
      <c r="I1900" s="17"/>
      <c r="J1900" s="18"/>
    </row>
    <row r="1901" spans="1:10" ht="13.5" thickBot="1">
      <c r="A1901" s="27"/>
      <c r="B1901" s="110"/>
      <c r="D1901" s="401" t="s">
        <v>40</v>
      </c>
      <c r="E1901" s="402" t="s">
        <v>41</v>
      </c>
      <c r="F1901" s="402" t="s">
        <v>42</v>
      </c>
      <c r="G1901" s="403" t="s">
        <v>43</v>
      </c>
      <c r="H1901" s="404" t="s">
        <v>44</v>
      </c>
      <c r="I1901" s="402" t="s">
        <v>474</v>
      </c>
      <c r="J1901" s="405" t="s">
        <v>475</v>
      </c>
    </row>
    <row r="1902" spans="1:10" ht="13">
      <c r="A1902" s="27"/>
      <c r="B1902" s="110"/>
      <c r="D1902" s="422" t="s">
        <v>45</v>
      </c>
      <c r="E1902" s="423" t="s">
        <v>46</v>
      </c>
      <c r="F1902" s="424"/>
      <c r="G1902" s="425"/>
      <c r="H1902" s="426"/>
      <c r="I1902" s="427"/>
      <c r="J1902" s="428"/>
    </row>
    <row r="1903" spans="1:10" ht="13">
      <c r="A1903" s="27"/>
      <c r="B1903" s="110"/>
      <c r="D1903" s="466"/>
      <c r="E1903" s="467" t="s">
        <v>372</v>
      </c>
      <c r="F1903" s="8" t="s">
        <v>1934</v>
      </c>
      <c r="G1903" s="468" t="s">
        <v>48</v>
      </c>
      <c r="H1903" s="469">
        <v>6.7000000000000004E-2</v>
      </c>
      <c r="I1903" s="412">
        <f>IF(AND(E1903&lt;&gt;"",G1903&lt;&gt;""),IF(D1903="",IF(G1903="OH",VLOOKUP(F1903,UPAH!$B$4:$H$101,7,0),VLOOKUP(F1903,#REF!,4,0)),0),0)</f>
        <v>0</v>
      </c>
      <c r="J1903" s="16">
        <f t="shared" ref="J1903:J1909" si="33">H1903*I1903</f>
        <v>0</v>
      </c>
    </row>
    <row r="1904" spans="1:10" ht="13">
      <c r="A1904" s="27"/>
      <c r="B1904" s="110"/>
      <c r="D1904" s="466"/>
      <c r="E1904" s="467" t="s">
        <v>373</v>
      </c>
      <c r="F1904" s="8" t="s">
        <v>1935</v>
      </c>
      <c r="G1904" s="468" t="s">
        <v>48</v>
      </c>
      <c r="H1904" s="469">
        <v>6.7000000000000004E-2</v>
      </c>
      <c r="I1904" s="412">
        <f>IF(AND(E1904&lt;&gt;"",G1904&lt;&gt;""),IF(D1904="",IF(G1904="OH",VLOOKUP(F1904,UPAH!$B$4:$H$101,7,0),VLOOKUP(F1904,#REF!,4,0)),0),0)</f>
        <v>0</v>
      </c>
      <c r="J1904" s="16">
        <f t="shared" si="33"/>
        <v>0</v>
      </c>
    </row>
    <row r="1905" spans="1:10" ht="13">
      <c r="A1905" s="27"/>
      <c r="B1905" s="110"/>
      <c r="D1905" s="466"/>
      <c r="E1905" s="467" t="s">
        <v>47</v>
      </c>
      <c r="F1905" s="8" t="s">
        <v>1918</v>
      </c>
      <c r="G1905" s="468" t="s">
        <v>48</v>
      </c>
      <c r="H1905" s="469">
        <v>6.7000000000000004E-2</v>
      </c>
      <c r="I1905" s="412">
        <f>IF(AND(E1905&lt;&gt;"",G1905&lt;&gt;""),IF(D1905="",IF(G1905="OH",VLOOKUP(F1905,UPAH!$B$4:$H$101,7,0),VLOOKUP(F1905,#REF!,4,0)),0),0)</f>
        <v>0</v>
      </c>
      <c r="J1905" s="16">
        <f t="shared" si="33"/>
        <v>0</v>
      </c>
    </row>
    <row r="1906" spans="1:10" ht="13">
      <c r="A1906" s="27"/>
      <c r="B1906" s="110"/>
      <c r="D1906" s="466"/>
      <c r="E1906" s="467" t="s">
        <v>81</v>
      </c>
      <c r="F1906" s="8" t="s">
        <v>1921</v>
      </c>
      <c r="G1906" s="468" t="s">
        <v>48</v>
      </c>
      <c r="H1906" s="469">
        <v>6.7000000000000004E-2</v>
      </c>
      <c r="I1906" s="412">
        <f>IF(AND(E1906&lt;&gt;"",G1906&lt;&gt;""),IF(D1906="",IF(G1906="OH",VLOOKUP(F1906,UPAH!$B$4:$H$101,7,0),VLOOKUP(F1906,#REF!,4,0)),0),0)</f>
        <v>0</v>
      </c>
      <c r="J1906" s="16">
        <f t="shared" si="33"/>
        <v>0</v>
      </c>
    </row>
    <row r="1907" spans="1:10" ht="13">
      <c r="A1907" s="27"/>
      <c r="B1907" s="110"/>
      <c r="D1907" s="466"/>
      <c r="E1907" s="467" t="s">
        <v>130</v>
      </c>
      <c r="F1907" s="8" t="s">
        <v>1927</v>
      </c>
      <c r="G1907" s="468" t="s">
        <v>48</v>
      </c>
      <c r="H1907" s="469">
        <v>0.13400000000000001</v>
      </c>
      <c r="I1907" s="412">
        <f>IF(AND(E1907&lt;&gt;"",G1907&lt;&gt;""),IF(D1907="",IF(G1907="OH",VLOOKUP(F1907,UPAH!$B$4:$H$101,7,0),VLOOKUP(F1907,#REF!,4,0)),0),0)</f>
        <v>0</v>
      </c>
      <c r="J1907" s="16">
        <f t="shared" si="33"/>
        <v>0</v>
      </c>
    </row>
    <row r="1908" spans="1:10" ht="13">
      <c r="A1908" s="27"/>
      <c r="B1908" s="110"/>
      <c r="D1908" s="466"/>
      <c r="E1908" s="467" t="s">
        <v>50</v>
      </c>
      <c r="F1908" s="8" t="s">
        <v>1928</v>
      </c>
      <c r="G1908" s="468" t="s">
        <v>48</v>
      </c>
      <c r="H1908" s="469">
        <v>6.7000000000000004E-2</v>
      </c>
      <c r="I1908" s="412">
        <f>IF(AND(E1908&lt;&gt;"",G1908&lt;&gt;""),IF(D1908="",IF(G1908="OH",VLOOKUP(F1908,UPAH!$B$4:$H$101,7,0),VLOOKUP(F1908,#REF!,4,0)),0),0)</f>
        <v>0</v>
      </c>
      <c r="J1908" s="16">
        <f t="shared" si="33"/>
        <v>0</v>
      </c>
    </row>
    <row r="1909" spans="1:10" ht="13.5" thickBot="1">
      <c r="A1909" s="27"/>
      <c r="B1909" s="110"/>
      <c r="D1909" s="470"/>
      <c r="E1909" s="471" t="s">
        <v>51</v>
      </c>
      <c r="F1909" s="472" t="s">
        <v>1929</v>
      </c>
      <c r="G1909" s="473" t="s">
        <v>48</v>
      </c>
      <c r="H1909" s="474">
        <v>6.7000000000000004E-2</v>
      </c>
      <c r="I1909" s="412">
        <f>IF(AND(E1909&lt;&gt;"",G1909&lt;&gt;""),IF(D1909="",IF(G1909="OH",VLOOKUP(F1909,UPAH!$B$4:$H$101,7,0),VLOOKUP(F1909,#REF!,4,0)),0),0)</f>
        <v>0</v>
      </c>
      <c r="J1909" s="430">
        <f t="shared" si="33"/>
        <v>0</v>
      </c>
    </row>
    <row r="1910" spans="1:10" ht="13.5" thickBot="1">
      <c r="A1910" s="27"/>
      <c r="B1910" s="110"/>
      <c r="D1910" s="417"/>
      <c r="E1910" s="418"/>
      <c r="F1910" s="418"/>
      <c r="G1910" s="419"/>
      <c r="H1910" s="420" t="s">
        <v>52</v>
      </c>
      <c r="I1910" s="421"/>
      <c r="J1910" s="396">
        <f>SUM(J1905:J1909)</f>
        <v>0</v>
      </c>
    </row>
    <row r="1911" spans="1:10" ht="13">
      <c r="A1911" s="27"/>
      <c r="B1911" s="110"/>
      <c r="D1911" s="422" t="s">
        <v>53</v>
      </c>
      <c r="E1911" s="423" t="s">
        <v>54</v>
      </c>
      <c r="F1911" s="424"/>
      <c r="G1911" s="425"/>
      <c r="H1911" s="426"/>
      <c r="I1911" s="427"/>
      <c r="J1911" s="428"/>
    </row>
    <row r="1912" spans="1:10" ht="13.5" thickBot="1">
      <c r="A1912" s="27"/>
      <c r="B1912" s="110"/>
      <c r="D1912" s="470"/>
      <c r="E1912" s="472" t="s">
        <v>131</v>
      </c>
      <c r="F1912" s="471"/>
      <c r="G1912" s="473" t="s">
        <v>127</v>
      </c>
      <c r="H1912" s="474">
        <v>6.6760000000000002</v>
      </c>
      <c r="I1912" s="441">
        <f>'BAHAN '!G71</f>
        <v>0</v>
      </c>
      <c r="J1912" s="430">
        <f>H1912*I1912</f>
        <v>0</v>
      </c>
    </row>
    <row r="1913" spans="1:10" ht="13.5" thickBot="1">
      <c r="A1913" s="27"/>
      <c r="B1913" s="110"/>
      <c r="D1913" s="417"/>
      <c r="E1913" s="418"/>
      <c r="F1913" s="418"/>
      <c r="G1913" s="419"/>
      <c r="H1913" s="420" t="s">
        <v>64</v>
      </c>
      <c r="I1913" s="421"/>
      <c r="J1913" s="396">
        <f>SUM(J1912)</f>
        <v>0</v>
      </c>
    </row>
    <row r="1914" spans="1:10" ht="13">
      <c r="A1914" s="27"/>
      <c r="B1914" s="110"/>
      <c r="D1914" s="422" t="s">
        <v>65</v>
      </c>
      <c r="E1914" s="423" t="s">
        <v>66</v>
      </c>
      <c r="F1914" s="424"/>
      <c r="G1914" s="425"/>
      <c r="H1914" s="426"/>
      <c r="I1914" s="427"/>
      <c r="J1914" s="428"/>
    </row>
    <row r="1915" spans="1:10" ht="13">
      <c r="A1915" s="27"/>
      <c r="B1915" s="110"/>
      <c r="D1915" s="466"/>
      <c r="E1915" s="467" t="s">
        <v>374</v>
      </c>
      <c r="F1915" s="475"/>
      <c r="G1915" s="468" t="s">
        <v>132</v>
      </c>
      <c r="H1915" s="469">
        <v>6.7000000000000004E-2</v>
      </c>
      <c r="I1915" s="412">
        <f>Alat!H$27</f>
        <v>0</v>
      </c>
      <c r="J1915" s="16">
        <f>H1915*I1915</f>
        <v>0</v>
      </c>
    </row>
    <row r="1916" spans="1:10" ht="13.5" thickBot="1">
      <c r="A1916" s="27"/>
      <c r="B1916" s="110"/>
      <c r="D1916" s="470"/>
      <c r="E1916" s="471" t="s">
        <v>3188</v>
      </c>
      <c r="F1916" s="476"/>
      <c r="G1916" s="473" t="s">
        <v>133</v>
      </c>
      <c r="H1916" s="474">
        <v>1.1000000000000001</v>
      </c>
      <c r="I1916" s="441">
        <f>Alat!H106</f>
        <v>0</v>
      </c>
      <c r="J1916" s="430">
        <f>H1916*I1916</f>
        <v>0</v>
      </c>
    </row>
    <row r="1917" spans="1:10" ht="13.5" thickBot="1">
      <c r="A1917" s="27"/>
      <c r="B1917" s="110"/>
      <c r="D1917" s="417"/>
      <c r="E1917" s="418"/>
      <c r="F1917" s="418"/>
      <c r="G1917" s="419"/>
      <c r="H1917" s="420" t="s">
        <v>67</v>
      </c>
      <c r="I1917" s="421"/>
      <c r="J1917" s="396">
        <f>SUM(J1915:J1916)</f>
        <v>0</v>
      </c>
    </row>
    <row r="1918" spans="1:10" ht="13.5" thickBot="1">
      <c r="A1918" s="27"/>
      <c r="B1918" s="110"/>
      <c r="D1918" s="431" t="s">
        <v>68</v>
      </c>
      <c r="E1918" s="432" t="s">
        <v>69</v>
      </c>
      <c r="F1918" s="433"/>
      <c r="G1918" s="434"/>
      <c r="H1918" s="435"/>
      <c r="I1918" s="436">
        <f>IF(AND(E1918&lt;&gt;"",G1918&lt;&gt;""),IF(D1918="",IF(G1918="OH",VLOOKUP(E1918,UPAH!$C$4:$H$31,7,0),VLOOKUP(E1918,#REF!,4,0)),0),0)</f>
        <v>0</v>
      </c>
      <c r="J1918" s="437">
        <f>SUM(J1907:J1917)/2</f>
        <v>0</v>
      </c>
    </row>
    <row r="1919" spans="1:10" ht="13.5" thickBot="1">
      <c r="A1919" s="27"/>
      <c r="B1919" s="110"/>
      <c r="D1919" s="401" t="s">
        <v>70</v>
      </c>
      <c r="E1919" s="402" t="s">
        <v>477</v>
      </c>
      <c r="F1919" s="418"/>
      <c r="G1919" s="419"/>
      <c r="H1919" s="477">
        <v>0.1</v>
      </c>
      <c r="I1919" s="421"/>
      <c r="J1919" s="396">
        <f>H1919*J1918</f>
        <v>0</v>
      </c>
    </row>
    <row r="1920" spans="1:10" ht="13.5" thickBot="1">
      <c r="A1920" s="27"/>
      <c r="B1920" s="110"/>
      <c r="D1920" s="478" t="s">
        <v>71</v>
      </c>
      <c r="E1920" s="479" t="s">
        <v>72</v>
      </c>
      <c r="F1920" s="480"/>
      <c r="G1920" s="481"/>
      <c r="H1920" s="482"/>
      <c r="I1920" s="483">
        <f>IF(AND(E1920&lt;&gt;"",G1920&lt;&gt;""),IF(D1920="",IF(G1920="OH",VLOOKUP(E1920,UPAH!$C$4:$H$31,7,0),VLOOKUP(E1920,#REF!,4,0)),0),0)</f>
        <v>0</v>
      </c>
      <c r="J1920" s="484">
        <f>ROUNDDOWN(J1918+J1919,0)</f>
        <v>0</v>
      </c>
    </row>
    <row r="1921" spans="1:10" ht="13">
      <c r="A1921" s="27"/>
      <c r="B1921" s="110"/>
      <c r="D1921" s="11"/>
      <c r="E1921" s="11"/>
      <c r="H1921" s="443"/>
      <c r="I1921" s="17"/>
      <c r="J1921" s="18"/>
    </row>
    <row r="1922" spans="1:10" ht="13" hidden="1">
      <c r="A1922" s="27"/>
      <c r="B1922" s="110"/>
      <c r="D1922" s="456" t="s">
        <v>685</v>
      </c>
      <c r="E1922" s="11"/>
      <c r="H1922" s="443"/>
      <c r="I1922" s="17"/>
      <c r="J1922" s="18"/>
    </row>
    <row r="1923" spans="1:10" ht="13">
      <c r="A1923" s="27"/>
      <c r="B1923" s="110"/>
      <c r="D1923" s="11"/>
      <c r="H1923" s="443"/>
      <c r="I1923" s="17"/>
      <c r="J1923" s="18"/>
    </row>
    <row r="1924" spans="1:10" ht="13" hidden="1">
      <c r="A1924" s="27"/>
      <c r="B1924" s="110"/>
      <c r="D1924" s="11"/>
      <c r="H1924" s="443"/>
      <c r="I1924" s="17"/>
      <c r="J1924" s="18"/>
    </row>
    <row r="1925" spans="1:10" ht="13" hidden="1">
      <c r="A1925" s="27"/>
      <c r="B1925" s="110"/>
      <c r="D1925" s="11"/>
      <c r="E1925" s="485" t="s">
        <v>686</v>
      </c>
      <c r="F1925" s="456" t="s">
        <v>688</v>
      </c>
      <c r="H1925" s="443"/>
      <c r="I1925" s="17"/>
      <c r="J1925" s="18"/>
    </row>
    <row r="1926" spans="1:10" ht="13" hidden="1">
      <c r="A1926" s="27"/>
      <c r="B1926" s="110"/>
      <c r="D1926" s="11"/>
      <c r="F1926" s="10" t="s">
        <v>687</v>
      </c>
      <c r="H1926" s="443"/>
      <c r="I1926" s="17"/>
      <c r="J1926" s="18"/>
    </row>
    <row r="1927" spans="1:10" ht="13" hidden="1">
      <c r="A1927" s="27"/>
      <c r="B1927" s="110"/>
      <c r="D1927" s="11"/>
      <c r="E1927" s="485">
        <v>1</v>
      </c>
      <c r="F1927" s="486">
        <v>1</v>
      </c>
      <c r="H1927" s="443"/>
      <c r="I1927" s="17"/>
      <c r="J1927" s="18"/>
    </row>
    <row r="1928" spans="1:10" ht="13" hidden="1">
      <c r="A1928" s="27"/>
      <c r="B1928" s="110"/>
      <c r="D1928" s="11"/>
      <c r="E1928" s="485">
        <v>2</v>
      </c>
      <c r="F1928" s="486">
        <v>1</v>
      </c>
      <c r="H1928" s="443"/>
      <c r="I1928" s="17"/>
      <c r="J1928" s="18"/>
    </row>
    <row r="1929" spans="1:10" ht="13" hidden="1">
      <c r="A1929" s="27"/>
      <c r="B1929" s="110"/>
      <c r="D1929" s="11"/>
      <c r="E1929" s="485">
        <v>3</v>
      </c>
      <c r="F1929" s="486">
        <v>1</v>
      </c>
      <c r="H1929" s="443"/>
      <c r="I1929" s="17"/>
      <c r="J1929" s="18"/>
    </row>
    <row r="1930" spans="1:10" ht="13" hidden="1">
      <c r="A1930" s="27"/>
      <c r="B1930" s="110"/>
      <c r="D1930" s="11"/>
      <c r="E1930" s="485">
        <v>4</v>
      </c>
      <c r="F1930" s="486">
        <v>1</v>
      </c>
      <c r="H1930" s="443"/>
      <c r="I1930" s="17"/>
      <c r="J1930" s="18"/>
    </row>
    <row r="1931" spans="1:10" ht="13" hidden="1">
      <c r="A1931" s="27"/>
      <c r="B1931" s="110"/>
      <c r="D1931" s="11"/>
      <c r="E1931" s="485">
        <v>5</v>
      </c>
      <c r="F1931" s="486">
        <v>1</v>
      </c>
      <c r="H1931" s="443"/>
      <c r="I1931" s="17"/>
      <c r="J1931" s="18"/>
    </row>
    <row r="1932" spans="1:10" ht="13" hidden="1">
      <c r="A1932" s="27"/>
      <c r="B1932" s="110"/>
      <c r="D1932" s="11"/>
      <c r="E1932" s="485">
        <v>6</v>
      </c>
      <c r="F1932" s="486">
        <v>1</v>
      </c>
      <c r="H1932" s="443"/>
      <c r="I1932" s="17"/>
      <c r="J1932" s="18"/>
    </row>
    <row r="1933" spans="1:10" ht="13" hidden="1">
      <c r="A1933" s="27"/>
      <c r="B1933" s="110"/>
      <c r="D1933" s="11"/>
      <c r="E1933" s="485">
        <v>7</v>
      </c>
      <c r="F1933" s="486">
        <v>1</v>
      </c>
      <c r="H1933" s="443"/>
      <c r="I1933" s="17"/>
      <c r="J1933" s="18"/>
    </row>
    <row r="1934" spans="1:10" ht="13" hidden="1">
      <c r="A1934" s="27"/>
      <c r="B1934" s="110"/>
      <c r="D1934" s="11"/>
      <c r="E1934" s="485">
        <v>8</v>
      </c>
      <c r="F1934" s="486">
        <v>1.018</v>
      </c>
      <c r="H1934" s="443"/>
      <c r="I1934" s="17"/>
      <c r="J1934" s="18"/>
    </row>
    <row r="1935" spans="1:10" ht="13" hidden="1">
      <c r="A1935" s="27"/>
      <c r="B1935" s="110"/>
      <c r="D1935" s="11"/>
      <c r="E1935" s="485">
        <v>9</v>
      </c>
      <c r="F1935" s="486">
        <v>1.0369999999999999</v>
      </c>
      <c r="H1935" s="443"/>
      <c r="I1935" s="17"/>
      <c r="J1935" s="18"/>
    </row>
    <row r="1936" spans="1:10" ht="13" hidden="1">
      <c r="A1936" s="27"/>
      <c r="B1936" s="110"/>
      <c r="D1936" s="11"/>
      <c r="E1936" s="485">
        <v>10</v>
      </c>
      <c r="F1936" s="486">
        <v>1.0549999999999999</v>
      </c>
      <c r="H1936" s="443"/>
      <c r="I1936" s="17"/>
      <c r="J1936" s="18"/>
    </row>
    <row r="1937" spans="1:10" ht="13" hidden="1">
      <c r="A1937" s="27"/>
      <c r="B1937" s="110"/>
      <c r="D1937" s="11"/>
      <c r="E1937" s="485">
        <v>11</v>
      </c>
      <c r="F1937" s="486">
        <v>1.075</v>
      </c>
      <c r="H1937" s="443"/>
      <c r="I1937" s="17"/>
      <c r="J1937" s="18"/>
    </row>
    <row r="1938" spans="1:10" ht="13" hidden="1">
      <c r="A1938" s="27"/>
      <c r="B1938" s="110"/>
      <c r="D1938" s="11"/>
      <c r="E1938" s="485">
        <v>12</v>
      </c>
      <c r="F1938" s="486">
        <v>1.0940000000000001</v>
      </c>
      <c r="H1938" s="443"/>
      <c r="I1938" s="17"/>
      <c r="J1938" s="18"/>
    </row>
    <row r="1939" spans="1:10" ht="13" hidden="1">
      <c r="A1939" s="27"/>
      <c r="B1939" s="110"/>
      <c r="D1939" s="11"/>
      <c r="E1939" s="485">
        <v>13</v>
      </c>
      <c r="F1939" s="486">
        <v>1.1140000000000001</v>
      </c>
      <c r="H1939" s="443"/>
      <c r="I1939" s="17"/>
      <c r="J1939" s="18"/>
    </row>
    <row r="1940" spans="1:10" ht="13" hidden="1">
      <c r="A1940" s="27"/>
      <c r="B1940" s="110"/>
      <c r="D1940" s="11"/>
      <c r="E1940" s="485">
        <v>14</v>
      </c>
      <c r="F1940" s="486">
        <v>1.1339999999999999</v>
      </c>
      <c r="H1940" s="443"/>
      <c r="I1940" s="17"/>
      <c r="J1940" s="18"/>
    </row>
    <row r="1941" spans="1:10" ht="13" hidden="1">
      <c r="A1941" s="27"/>
      <c r="B1941" s="110"/>
      <c r="D1941" s="11"/>
      <c r="E1941" s="485">
        <v>15</v>
      </c>
      <c r="F1941" s="486">
        <v>1.155</v>
      </c>
      <c r="H1941" s="443"/>
      <c r="I1941" s="17"/>
      <c r="J1941" s="18"/>
    </row>
    <row r="1942" spans="1:10" ht="13" hidden="1">
      <c r="A1942" s="27"/>
      <c r="B1942" s="110"/>
      <c r="D1942" s="11"/>
      <c r="E1942" s="485">
        <v>16</v>
      </c>
      <c r="F1942" s="486">
        <v>1.1759999999999999</v>
      </c>
      <c r="H1942" s="443"/>
      <c r="I1942" s="17"/>
      <c r="J1942" s="18"/>
    </row>
    <row r="1943" spans="1:10" ht="13" hidden="1">
      <c r="A1943" s="27"/>
      <c r="B1943" s="110"/>
      <c r="D1943" s="11"/>
      <c r="E1943" s="485">
        <v>17</v>
      </c>
      <c r="F1943" s="486">
        <v>1.1970000000000001</v>
      </c>
      <c r="H1943" s="443"/>
      <c r="I1943" s="17"/>
      <c r="J1943" s="18"/>
    </row>
    <row r="1944" spans="1:10" ht="13" hidden="1">
      <c r="A1944" s="27"/>
      <c r="B1944" s="110"/>
      <c r="D1944" s="11"/>
      <c r="E1944" s="485">
        <v>18</v>
      </c>
      <c r="F1944" s="486">
        <v>1.2190000000000001</v>
      </c>
      <c r="H1944" s="443"/>
      <c r="I1944" s="17"/>
      <c r="J1944" s="18"/>
    </row>
    <row r="1945" spans="1:10" ht="13" hidden="1">
      <c r="A1945" s="27"/>
      <c r="B1945" s="110"/>
      <c r="D1945" s="11"/>
      <c r="E1945" s="485">
        <v>19</v>
      </c>
      <c r="F1945" s="486">
        <v>1.2410000000000001</v>
      </c>
      <c r="H1945" s="443"/>
      <c r="I1945" s="17"/>
      <c r="J1945" s="18"/>
    </row>
    <row r="1946" spans="1:10" ht="13" hidden="1">
      <c r="A1946" s="27"/>
      <c r="B1946" s="110"/>
      <c r="D1946" s="11"/>
      <c r="E1946" s="485">
        <v>20</v>
      </c>
      <c r="F1946" s="486">
        <v>1.264</v>
      </c>
      <c r="H1946" s="443"/>
      <c r="I1946" s="17"/>
      <c r="J1946" s="18"/>
    </row>
    <row r="1947" spans="1:10" ht="13" hidden="1">
      <c r="A1947" s="27"/>
      <c r="B1947" s="110"/>
      <c r="D1947" s="11"/>
      <c r="E1947" s="485">
        <v>21</v>
      </c>
      <c r="F1947" s="12">
        <v>1.2869999999999999</v>
      </c>
      <c r="H1947" s="443"/>
      <c r="I1947" s="17"/>
      <c r="J1947" s="18"/>
    </row>
    <row r="1948" spans="1:10" ht="13" hidden="1">
      <c r="A1948" s="27"/>
      <c r="B1948" s="110"/>
      <c r="D1948" s="11"/>
      <c r="E1948" s="485">
        <v>22</v>
      </c>
      <c r="F1948" s="12">
        <v>1.31</v>
      </c>
      <c r="H1948" s="443"/>
      <c r="I1948" s="17"/>
      <c r="J1948" s="18"/>
    </row>
    <row r="1949" spans="1:10" ht="13" hidden="1">
      <c r="A1949" s="27"/>
      <c r="B1949" s="110"/>
      <c r="D1949" s="11"/>
      <c r="E1949" s="485">
        <v>23</v>
      </c>
      <c r="F1949" s="12">
        <v>1.3340000000000001</v>
      </c>
      <c r="H1949" s="443"/>
      <c r="I1949" s="17"/>
      <c r="J1949" s="18"/>
    </row>
    <row r="1950" spans="1:10" ht="13" hidden="1">
      <c r="A1950" s="27"/>
      <c r="B1950" s="110"/>
      <c r="D1950" s="11"/>
      <c r="E1950" s="485">
        <v>24</v>
      </c>
      <c r="F1950" s="12">
        <v>1.3580000000000001</v>
      </c>
      <c r="H1950" s="443"/>
      <c r="I1950" s="17"/>
      <c r="J1950" s="18"/>
    </row>
    <row r="1951" spans="1:10" ht="13" hidden="1">
      <c r="A1951" s="27"/>
      <c r="B1951" s="110"/>
      <c r="D1951" s="11"/>
      <c r="E1951" s="11"/>
      <c r="H1951" s="443"/>
      <c r="I1951" s="17"/>
      <c r="J1951" s="18"/>
    </row>
    <row r="1952" spans="1:10" ht="13" hidden="1">
      <c r="A1952" s="27"/>
      <c r="B1952" s="110"/>
      <c r="D1952" s="11"/>
      <c r="E1952" s="11"/>
      <c r="H1952" s="443"/>
      <c r="I1952" s="17"/>
      <c r="J1952" s="18"/>
    </row>
    <row r="1953" spans="1:10" ht="13.5" thickBot="1">
      <c r="A1953" s="27"/>
      <c r="B1953" s="110"/>
      <c r="C1953" s="456" t="s">
        <v>689</v>
      </c>
      <c r="D1953" s="11" t="s">
        <v>690</v>
      </c>
      <c r="E1953" s="11"/>
      <c r="H1953" s="443"/>
      <c r="I1953" s="17"/>
      <c r="J1953" s="18"/>
    </row>
    <row r="1954" spans="1:10" ht="13.5" thickBot="1">
      <c r="A1954" s="27"/>
      <c r="B1954" s="110"/>
      <c r="D1954" s="401" t="s">
        <v>40</v>
      </c>
      <c r="E1954" s="402" t="s">
        <v>41</v>
      </c>
      <c r="F1954" s="402" t="s">
        <v>42</v>
      </c>
      <c r="G1954" s="403" t="s">
        <v>43</v>
      </c>
      <c r="H1954" s="404" t="s">
        <v>44</v>
      </c>
      <c r="I1954" s="402" t="s">
        <v>474</v>
      </c>
      <c r="J1954" s="405" t="s">
        <v>475</v>
      </c>
    </row>
    <row r="1955" spans="1:10" ht="13">
      <c r="A1955" s="27"/>
      <c r="B1955" s="110"/>
      <c r="D1955" s="422" t="s">
        <v>45</v>
      </c>
      <c r="E1955" s="423" t="s">
        <v>46</v>
      </c>
      <c r="F1955" s="424"/>
      <c r="G1955" s="425"/>
      <c r="H1955" s="426"/>
      <c r="I1955" s="427"/>
      <c r="J1955" s="428"/>
    </row>
    <row r="1956" spans="1:10" ht="13">
      <c r="A1956" s="27"/>
      <c r="B1956" s="110"/>
      <c r="D1956" s="466"/>
      <c r="E1956" s="467" t="s">
        <v>372</v>
      </c>
      <c r="F1956" s="8" t="s">
        <v>1934</v>
      </c>
      <c r="G1956" s="468" t="s">
        <v>48</v>
      </c>
      <c r="H1956" s="469">
        <v>6.0999999999999999E-2</v>
      </c>
      <c r="I1956" s="412">
        <f>IF(AND(E1956&lt;&gt;"",G1956&lt;&gt;""),IF(D1956="",IF(G1956="OH",VLOOKUP(F1956,UPAH!$B$4:$H$101,7,0),VLOOKUP(F1956,#REF!,4,0)),0),0)</f>
        <v>0</v>
      </c>
      <c r="J1956" s="16">
        <f t="shared" ref="J1956:J1962" si="34">H1956*I1956</f>
        <v>0</v>
      </c>
    </row>
    <row r="1957" spans="1:10" ht="13">
      <c r="A1957" s="27"/>
      <c r="B1957" s="110"/>
      <c r="D1957" s="466"/>
      <c r="E1957" s="467" t="s">
        <v>373</v>
      </c>
      <c r="F1957" s="8" t="s">
        <v>1935</v>
      </c>
      <c r="G1957" s="468" t="s">
        <v>48</v>
      </c>
      <c r="H1957" s="469">
        <v>6.0999999999999999E-2</v>
      </c>
      <c r="I1957" s="412">
        <f>IF(AND(E1957&lt;&gt;"",G1957&lt;&gt;""),IF(D1957="",IF(G1957="OH",VLOOKUP(F1957,UPAH!$B$4:$H$101,7,0),VLOOKUP(F1957,#REF!,4,0)),0),0)</f>
        <v>0</v>
      </c>
      <c r="J1957" s="16">
        <f t="shared" si="34"/>
        <v>0</v>
      </c>
    </row>
    <row r="1958" spans="1:10" ht="13">
      <c r="A1958" s="27"/>
      <c r="B1958" s="110"/>
      <c r="D1958" s="466"/>
      <c r="E1958" s="467" t="s">
        <v>47</v>
      </c>
      <c r="F1958" s="8" t="s">
        <v>1918</v>
      </c>
      <c r="G1958" s="468" t="s">
        <v>48</v>
      </c>
      <c r="H1958" s="469">
        <v>6.0999999999999999E-2</v>
      </c>
      <c r="I1958" s="412">
        <f>IF(AND(E1958&lt;&gt;"",G1958&lt;&gt;""),IF(D1958="",IF(G1958="OH",VLOOKUP(F1958,UPAH!$B$4:$H$101,7,0),VLOOKUP(F1958,#REF!,4,0)),0),0)</f>
        <v>0</v>
      </c>
      <c r="J1958" s="16">
        <f t="shared" si="34"/>
        <v>0</v>
      </c>
    </row>
    <row r="1959" spans="1:10" ht="13">
      <c r="A1959" s="27"/>
      <c r="B1959" s="110"/>
      <c r="D1959" s="466"/>
      <c r="E1959" s="467" t="s">
        <v>81</v>
      </c>
      <c r="F1959" s="8" t="s">
        <v>1921</v>
      </c>
      <c r="G1959" s="468" t="s">
        <v>48</v>
      </c>
      <c r="H1959" s="469">
        <v>6.0999999999999999E-2</v>
      </c>
      <c r="I1959" s="412">
        <f>IF(AND(E1959&lt;&gt;"",G1959&lt;&gt;""),IF(D1959="",IF(G1959="OH",VLOOKUP(F1959,UPAH!$B$4:$H$101,7,0),VLOOKUP(F1959,#REF!,4,0)),0),0)</f>
        <v>0</v>
      </c>
      <c r="J1959" s="16">
        <f t="shared" si="34"/>
        <v>0</v>
      </c>
    </row>
    <row r="1960" spans="1:10" ht="13">
      <c r="A1960" s="27"/>
      <c r="B1960" s="110"/>
      <c r="D1960" s="466"/>
      <c r="E1960" s="467" t="s">
        <v>130</v>
      </c>
      <c r="F1960" s="8" t="s">
        <v>1927</v>
      </c>
      <c r="G1960" s="468" t="s">
        <v>48</v>
      </c>
      <c r="H1960" s="469">
        <v>0.122</v>
      </c>
      <c r="I1960" s="412">
        <f>IF(AND(E1960&lt;&gt;"",G1960&lt;&gt;""),IF(D1960="",IF(G1960="OH",VLOOKUP(F1960,UPAH!$B$4:$H$101,7,0),VLOOKUP(F1960,#REF!,4,0)),0),0)</f>
        <v>0</v>
      </c>
      <c r="J1960" s="16">
        <f t="shared" si="34"/>
        <v>0</v>
      </c>
    </row>
    <row r="1961" spans="1:10" ht="13">
      <c r="A1961" s="27"/>
      <c r="B1961" s="110"/>
      <c r="D1961" s="466"/>
      <c r="E1961" s="467" t="s">
        <v>50</v>
      </c>
      <c r="F1961" s="8" t="s">
        <v>1928</v>
      </c>
      <c r="G1961" s="468" t="s">
        <v>48</v>
      </c>
      <c r="H1961" s="469">
        <v>6.0999999999999999E-2</v>
      </c>
      <c r="I1961" s="412">
        <f>IF(AND(E1961&lt;&gt;"",G1961&lt;&gt;""),IF(D1961="",IF(G1961="OH",VLOOKUP(F1961,UPAH!$B$4:$H$101,7,0),VLOOKUP(F1961,#REF!,4,0)),0),0)</f>
        <v>0</v>
      </c>
      <c r="J1961" s="16">
        <f t="shared" si="34"/>
        <v>0</v>
      </c>
    </row>
    <row r="1962" spans="1:10" ht="13.5" thickBot="1">
      <c r="A1962" s="27"/>
      <c r="B1962" s="110"/>
      <c r="D1962" s="470"/>
      <c r="E1962" s="471" t="s">
        <v>51</v>
      </c>
      <c r="F1962" s="472" t="s">
        <v>1929</v>
      </c>
      <c r="G1962" s="473" t="s">
        <v>48</v>
      </c>
      <c r="H1962" s="474">
        <v>6.0999999999999999E-2</v>
      </c>
      <c r="I1962" s="412">
        <f>IF(AND(E1962&lt;&gt;"",G1962&lt;&gt;""),IF(D1962="",IF(G1962="OH",VLOOKUP(F1962,UPAH!$B$4:$H$101,7,0),VLOOKUP(F1962,#REF!,4,0)),0),0)</f>
        <v>0</v>
      </c>
      <c r="J1962" s="430">
        <f t="shared" si="34"/>
        <v>0</v>
      </c>
    </row>
    <row r="1963" spans="1:10" ht="13.5" thickBot="1">
      <c r="A1963" s="27"/>
      <c r="B1963" s="110"/>
      <c r="D1963" s="417"/>
      <c r="E1963" s="418"/>
      <c r="F1963" s="418"/>
      <c r="G1963" s="419"/>
      <c r="H1963" s="420" t="s">
        <v>52</v>
      </c>
      <c r="I1963" s="421"/>
      <c r="J1963" s="396">
        <f>SUM(J1958:J1962)</f>
        <v>0</v>
      </c>
    </row>
    <row r="1964" spans="1:10" ht="13">
      <c r="A1964" s="27"/>
      <c r="B1964" s="110"/>
      <c r="D1964" s="422" t="s">
        <v>53</v>
      </c>
      <c r="E1964" s="423" t="s">
        <v>54</v>
      </c>
      <c r="F1964" s="424"/>
      <c r="G1964" s="425"/>
      <c r="H1964" s="426"/>
      <c r="I1964" s="427"/>
      <c r="J1964" s="428"/>
    </row>
    <row r="1965" spans="1:10" ht="13.5" thickBot="1">
      <c r="A1965" s="27"/>
      <c r="B1965" s="110"/>
      <c r="D1965" s="470"/>
      <c r="E1965" s="472" t="s">
        <v>131</v>
      </c>
      <c r="F1965" s="471"/>
      <c r="G1965" s="473" t="s">
        <v>127</v>
      </c>
      <c r="H1965" s="474">
        <v>6.11</v>
      </c>
      <c r="I1965" s="441">
        <f>'BAHAN '!G71</f>
        <v>0</v>
      </c>
      <c r="J1965" s="430">
        <f>H1965*I1965</f>
        <v>0</v>
      </c>
    </row>
    <row r="1966" spans="1:10" ht="13.5" thickBot="1">
      <c r="A1966" s="27"/>
      <c r="B1966" s="110"/>
      <c r="D1966" s="417"/>
      <c r="E1966" s="418"/>
      <c r="F1966" s="418"/>
      <c r="G1966" s="419"/>
      <c r="H1966" s="420" t="s">
        <v>64</v>
      </c>
      <c r="I1966" s="421"/>
      <c r="J1966" s="396">
        <f>SUM(J1965)</f>
        <v>0</v>
      </c>
    </row>
    <row r="1967" spans="1:10" ht="13">
      <c r="A1967" s="27"/>
      <c r="B1967" s="110"/>
      <c r="D1967" s="422" t="s">
        <v>65</v>
      </c>
      <c r="E1967" s="423" t="s">
        <v>66</v>
      </c>
      <c r="F1967" s="424"/>
      <c r="G1967" s="425"/>
      <c r="H1967" s="426"/>
      <c r="I1967" s="427"/>
      <c r="J1967" s="428"/>
    </row>
    <row r="1968" spans="1:10" ht="13">
      <c r="A1968" s="27"/>
      <c r="B1968" s="110"/>
      <c r="D1968" s="466"/>
      <c r="E1968" s="467" t="s">
        <v>374</v>
      </c>
      <c r="F1968" s="475"/>
      <c r="G1968" s="468" t="s">
        <v>132</v>
      </c>
      <c r="H1968" s="469">
        <v>6.0999999999999999E-2</v>
      </c>
      <c r="I1968" s="412">
        <f>Alat!H27</f>
        <v>0</v>
      </c>
      <c r="J1968" s="16">
        <f>H1968*I1968</f>
        <v>0</v>
      </c>
    </row>
    <row r="1969" spans="1:10" ht="13.5" thickBot="1">
      <c r="A1969" s="27"/>
      <c r="B1969" s="110"/>
      <c r="D1969" s="470"/>
      <c r="E1969" s="471" t="s">
        <v>3188</v>
      </c>
      <c r="F1969" s="476"/>
      <c r="G1969" s="468" t="s">
        <v>132</v>
      </c>
      <c r="H1969" s="474">
        <v>1.1000000000000001</v>
      </c>
      <c r="I1969" s="441">
        <f>Alat!H106</f>
        <v>0</v>
      </c>
      <c r="J1969" s="430">
        <f>H1969*I1969</f>
        <v>0</v>
      </c>
    </row>
    <row r="1970" spans="1:10" ht="13.5" thickBot="1">
      <c r="A1970" s="27"/>
      <c r="B1970" s="110"/>
      <c r="D1970" s="417"/>
      <c r="E1970" s="418"/>
      <c r="F1970" s="418"/>
      <c r="G1970" s="419"/>
      <c r="H1970" s="420" t="s">
        <v>67</v>
      </c>
      <c r="I1970" s="421"/>
      <c r="J1970" s="396">
        <f>SUM(J1968:J1969)</f>
        <v>0</v>
      </c>
    </row>
    <row r="1971" spans="1:10" ht="13.5" thickBot="1">
      <c r="A1971" s="27"/>
      <c r="B1971" s="110"/>
      <c r="D1971" s="431" t="s">
        <v>68</v>
      </c>
      <c r="E1971" s="432" t="s">
        <v>69</v>
      </c>
      <c r="F1971" s="433"/>
      <c r="G1971" s="434"/>
      <c r="H1971" s="435"/>
      <c r="I1971" s="436">
        <f>IF(AND(E1971&lt;&gt;"",G1971&lt;&gt;""),IF(D1971="",IF(G1971="OH",VLOOKUP(E1971,UPAH!$C$4:$H$31,7,0),VLOOKUP(E1971,#REF!,4,0)),0),0)</f>
        <v>0</v>
      </c>
      <c r="J1971" s="437">
        <f>SUM(J1960:J1970)/2</f>
        <v>0</v>
      </c>
    </row>
    <row r="1972" spans="1:10" ht="13.5" thickBot="1">
      <c r="A1972" s="27"/>
      <c r="B1972" s="110"/>
      <c r="D1972" s="401" t="s">
        <v>70</v>
      </c>
      <c r="E1972" s="402" t="s">
        <v>477</v>
      </c>
      <c r="F1972" s="418"/>
      <c r="G1972" s="419"/>
      <c r="H1972" s="477">
        <v>0.1</v>
      </c>
      <c r="I1972" s="421"/>
      <c r="J1972" s="396">
        <f>H1972*J1971</f>
        <v>0</v>
      </c>
    </row>
    <row r="1973" spans="1:10" ht="13.5" thickBot="1">
      <c r="A1973" s="27"/>
      <c r="B1973" s="110"/>
      <c r="D1973" s="478" t="s">
        <v>71</v>
      </c>
      <c r="E1973" s="479" t="s">
        <v>72</v>
      </c>
      <c r="F1973" s="480"/>
      <c r="G1973" s="481"/>
      <c r="H1973" s="482"/>
      <c r="I1973" s="483">
        <f>IF(AND(E1973&lt;&gt;"",G1973&lt;&gt;""),IF(D1973="",IF(G1973="OH",VLOOKUP(E1973,UPAH!$C$4:$H$31,7,0),VLOOKUP(E1973,#REF!,4,0)),0),0)</f>
        <v>0</v>
      </c>
      <c r="J1973" s="484">
        <f>ROUNDDOWN(J1971+J1972,0)</f>
        <v>0</v>
      </c>
    </row>
    <row r="1974" spans="1:10" ht="13">
      <c r="A1974" s="27"/>
      <c r="B1974" s="110"/>
      <c r="D1974" s="11"/>
      <c r="E1974" s="11"/>
      <c r="H1974" s="443"/>
      <c r="I1974" s="17"/>
      <c r="J1974" s="18"/>
    </row>
    <row r="1975" spans="1:10" ht="13" hidden="1">
      <c r="A1975" s="27"/>
      <c r="B1975" s="110"/>
      <c r="D1975" s="487" t="s">
        <v>691</v>
      </c>
      <c r="E1975" s="488"/>
      <c r="F1975" s="489"/>
      <c r="H1975" s="443"/>
      <c r="I1975" s="17"/>
      <c r="J1975" s="18"/>
    </row>
    <row r="1976" spans="1:10" ht="13" hidden="1">
      <c r="A1976" s="27"/>
      <c r="B1976" s="110"/>
      <c r="D1976" s="488"/>
      <c r="E1976" s="489"/>
      <c r="F1976" s="489"/>
      <c r="H1976" s="443"/>
      <c r="I1976" s="17"/>
      <c r="J1976" s="18"/>
    </row>
    <row r="1977" spans="1:10" ht="13" hidden="1">
      <c r="A1977" s="27"/>
      <c r="B1977" s="110"/>
      <c r="D1977" s="488"/>
      <c r="E1977" s="489"/>
      <c r="F1977" s="489"/>
      <c r="H1977" s="443"/>
      <c r="I1977" s="17"/>
      <c r="J1977" s="18"/>
    </row>
    <row r="1978" spans="1:10" ht="13" hidden="1">
      <c r="A1978" s="27"/>
      <c r="B1978" s="110"/>
      <c r="D1978" s="488"/>
      <c r="E1978" s="490" t="s">
        <v>686</v>
      </c>
      <c r="F1978" s="487" t="s">
        <v>688</v>
      </c>
      <c r="H1978" s="443"/>
      <c r="I1978" s="17"/>
      <c r="J1978" s="18"/>
    </row>
    <row r="1979" spans="1:10" ht="13" hidden="1">
      <c r="A1979" s="27"/>
      <c r="B1979" s="110"/>
      <c r="D1979" s="488"/>
      <c r="E1979" s="489"/>
      <c r="F1979" s="489" t="s">
        <v>693</v>
      </c>
      <c r="H1979" s="443"/>
      <c r="I1979" s="17"/>
      <c r="J1979" s="18"/>
    </row>
    <row r="1980" spans="1:10" ht="13" hidden="1">
      <c r="A1980" s="27"/>
      <c r="B1980" s="110"/>
      <c r="D1980" s="488"/>
      <c r="E1980" s="491">
        <v>1</v>
      </c>
      <c r="F1980" s="492">
        <v>1</v>
      </c>
      <c r="H1980" s="443"/>
      <c r="I1980" s="17"/>
      <c r="J1980" s="18"/>
    </row>
    <row r="1981" spans="1:10" ht="13" hidden="1">
      <c r="A1981" s="27"/>
      <c r="B1981" s="110"/>
      <c r="D1981" s="488"/>
      <c r="E1981" s="491">
        <v>2</v>
      </c>
      <c r="F1981" s="492">
        <v>1</v>
      </c>
      <c r="H1981" s="443"/>
      <c r="I1981" s="17"/>
      <c r="J1981" s="18"/>
    </row>
    <row r="1982" spans="1:10" ht="13" hidden="1">
      <c r="A1982" s="27"/>
      <c r="B1982" s="110"/>
      <c r="D1982" s="488"/>
      <c r="E1982" s="491">
        <v>3</v>
      </c>
      <c r="F1982" s="492">
        <v>1</v>
      </c>
      <c r="H1982" s="443"/>
      <c r="I1982" s="17"/>
      <c r="J1982" s="18"/>
    </row>
    <row r="1983" spans="1:10" ht="13" hidden="1">
      <c r="A1983" s="27"/>
      <c r="B1983" s="110"/>
      <c r="D1983" s="488"/>
      <c r="E1983" s="491">
        <v>4</v>
      </c>
      <c r="F1983" s="492">
        <v>1</v>
      </c>
      <c r="H1983" s="443"/>
      <c r="I1983" s="17"/>
      <c r="J1983" s="18"/>
    </row>
    <row r="1984" spans="1:10" ht="13" hidden="1">
      <c r="A1984" s="27"/>
      <c r="B1984" s="110"/>
      <c r="D1984" s="488"/>
      <c r="E1984" s="491">
        <v>5</v>
      </c>
      <c r="F1984" s="492">
        <v>1</v>
      </c>
      <c r="H1984" s="443"/>
      <c r="I1984" s="17"/>
      <c r="J1984" s="18"/>
    </row>
    <row r="1985" spans="1:10" ht="13" hidden="1">
      <c r="A1985" s="27"/>
      <c r="B1985" s="110"/>
      <c r="D1985" s="488"/>
      <c r="E1985" s="491">
        <v>6</v>
      </c>
      <c r="F1985" s="492">
        <v>1</v>
      </c>
      <c r="H1985" s="443"/>
      <c r="I1985" s="17"/>
      <c r="J1985" s="18"/>
    </row>
    <row r="1986" spans="1:10" ht="13" hidden="1">
      <c r="A1986" s="27"/>
      <c r="B1986" s="110"/>
      <c r="D1986" s="488"/>
      <c r="E1986" s="491">
        <v>7</v>
      </c>
      <c r="F1986" s="492">
        <v>1</v>
      </c>
      <c r="H1986" s="443"/>
      <c r="I1986" s="17"/>
      <c r="J1986" s="18"/>
    </row>
    <row r="1987" spans="1:10" ht="13" hidden="1">
      <c r="A1987" s="27"/>
      <c r="B1987" s="110"/>
      <c r="D1987" s="488"/>
      <c r="E1987" s="491">
        <v>8</v>
      </c>
      <c r="F1987" s="492">
        <v>1.0109999999999999</v>
      </c>
      <c r="H1987" s="443"/>
      <c r="I1987" s="17"/>
      <c r="J1987" s="18"/>
    </row>
    <row r="1988" spans="1:10" ht="13" hidden="1">
      <c r="A1988" s="27"/>
      <c r="B1988" s="110"/>
      <c r="D1988" s="488"/>
      <c r="E1988" s="491">
        <v>9</v>
      </c>
      <c r="F1988" s="492">
        <v>1.022</v>
      </c>
      <c r="H1988" s="443"/>
      <c r="I1988" s="17"/>
      <c r="J1988" s="18"/>
    </row>
    <row r="1989" spans="1:10" ht="13" hidden="1">
      <c r="A1989" s="27"/>
      <c r="B1989" s="110"/>
      <c r="D1989" s="488"/>
      <c r="E1989" s="491">
        <v>10</v>
      </c>
      <c r="F1989" s="492">
        <v>1.034</v>
      </c>
      <c r="H1989" s="443"/>
      <c r="I1989" s="17"/>
      <c r="J1989" s="18"/>
    </row>
    <row r="1990" spans="1:10" ht="13" hidden="1">
      <c r="A1990" s="27"/>
      <c r="B1990" s="110"/>
      <c r="D1990" s="488"/>
      <c r="E1990" s="491">
        <v>11</v>
      </c>
      <c r="F1990" s="492">
        <v>1.0449999999999999</v>
      </c>
    </row>
    <row r="1991" spans="1:10" ht="13" hidden="1">
      <c r="A1991" s="27"/>
      <c r="B1991" s="110"/>
      <c r="D1991" s="488"/>
      <c r="E1991" s="491">
        <v>12</v>
      </c>
      <c r="F1991" s="492">
        <v>1.0569999999999999</v>
      </c>
    </row>
    <row r="1992" spans="1:10" ht="13" hidden="1">
      <c r="A1992" s="27"/>
      <c r="B1992" s="110"/>
      <c r="D1992" s="488"/>
      <c r="E1992" s="491">
        <v>13</v>
      </c>
      <c r="F1992" s="492">
        <v>1.0680000000000001</v>
      </c>
    </row>
    <row r="1993" spans="1:10" ht="13" hidden="1">
      <c r="A1993" s="27"/>
      <c r="B1993" s="110"/>
      <c r="D1993" s="488"/>
      <c r="E1993" s="491">
        <v>14</v>
      </c>
      <c r="F1993" s="492">
        <v>1.08</v>
      </c>
    </row>
    <row r="1994" spans="1:10" ht="13" hidden="1">
      <c r="A1994" s="27"/>
      <c r="B1994" s="110"/>
      <c r="D1994" s="488"/>
      <c r="E1994" s="491">
        <v>15</v>
      </c>
      <c r="F1994" s="492">
        <v>1.0920000000000001</v>
      </c>
    </row>
    <row r="1995" spans="1:10" ht="13" hidden="1">
      <c r="A1995" s="27"/>
      <c r="B1995" s="110"/>
      <c r="D1995" s="488"/>
      <c r="E1995" s="491">
        <v>16</v>
      </c>
      <c r="F1995" s="492">
        <v>1.1040000000000001</v>
      </c>
    </row>
    <row r="1996" spans="1:10" ht="13" hidden="1">
      <c r="A1996" s="27"/>
      <c r="B1996" s="110"/>
      <c r="D1996" s="488"/>
      <c r="E1996" s="491">
        <v>17</v>
      </c>
      <c r="F1996" s="492">
        <v>1.1160000000000001</v>
      </c>
    </row>
    <row r="1997" spans="1:10" ht="13" hidden="1">
      <c r="A1997" s="27"/>
      <c r="B1997" s="110"/>
      <c r="D1997" s="488"/>
      <c r="E1997" s="491">
        <v>18</v>
      </c>
      <c r="F1997" s="492">
        <v>1.129</v>
      </c>
    </row>
    <row r="1998" spans="1:10" ht="13" hidden="1">
      <c r="A1998" s="27"/>
      <c r="B1998" s="110"/>
      <c r="D1998" s="488"/>
      <c r="E1998" s="491">
        <v>19</v>
      </c>
      <c r="F1998" s="492">
        <v>1.141</v>
      </c>
    </row>
    <row r="1999" spans="1:10" ht="13" hidden="1">
      <c r="A1999" s="27"/>
      <c r="B1999" s="110"/>
      <c r="D1999" s="488"/>
      <c r="E1999" s="491">
        <v>20</v>
      </c>
      <c r="F1999" s="492">
        <v>1.1539999999999999</v>
      </c>
    </row>
    <row r="2000" spans="1:10" ht="13" hidden="1">
      <c r="A2000" s="27"/>
      <c r="B2000" s="110"/>
      <c r="D2000" s="488"/>
      <c r="E2000" s="491">
        <v>21</v>
      </c>
      <c r="F2000" s="492">
        <v>1.1659999999999999</v>
      </c>
    </row>
    <row r="2001" spans="1:10" ht="13" hidden="1">
      <c r="A2001" s="27"/>
      <c r="B2001" s="110"/>
      <c r="D2001" s="488"/>
      <c r="E2001" s="491">
        <v>22</v>
      </c>
      <c r="F2001" s="492">
        <v>1.179</v>
      </c>
    </row>
    <row r="2002" spans="1:10" ht="13" hidden="1">
      <c r="A2002" s="27"/>
      <c r="B2002" s="110"/>
      <c r="D2002" s="488"/>
      <c r="E2002" s="491">
        <v>23</v>
      </c>
      <c r="F2002" s="492">
        <v>1.1919999999999999</v>
      </c>
    </row>
    <row r="2003" spans="1:10" ht="13" hidden="1">
      <c r="A2003" s="27"/>
      <c r="B2003" s="110"/>
      <c r="D2003" s="488"/>
      <c r="E2003" s="491">
        <v>24</v>
      </c>
      <c r="F2003" s="493">
        <v>1.206</v>
      </c>
    </row>
    <row r="2004" spans="1:10" ht="13" hidden="1">
      <c r="A2004" s="27"/>
      <c r="B2004" s="110"/>
    </row>
    <row r="2005" spans="1:10" ht="13">
      <c r="A2005" s="27"/>
      <c r="B2005" s="110"/>
    </row>
    <row r="2006" spans="1:10" ht="13.5" thickBot="1">
      <c r="A2006" s="27"/>
      <c r="B2006" s="110"/>
      <c r="C2006" s="456" t="s">
        <v>692</v>
      </c>
      <c r="D2006" s="11" t="s">
        <v>696</v>
      </c>
      <c r="E2006" s="11"/>
      <c r="H2006" s="443"/>
      <c r="I2006" s="17"/>
      <c r="J2006" s="18"/>
    </row>
    <row r="2007" spans="1:10" ht="13.5" thickBot="1">
      <c r="A2007" s="27"/>
      <c r="B2007" s="110"/>
      <c r="D2007" s="401" t="s">
        <v>40</v>
      </c>
      <c r="E2007" s="402" t="s">
        <v>41</v>
      </c>
      <c r="F2007" s="402" t="s">
        <v>42</v>
      </c>
      <c r="G2007" s="403" t="s">
        <v>43</v>
      </c>
      <c r="H2007" s="404" t="s">
        <v>44</v>
      </c>
      <c r="I2007" s="402" t="s">
        <v>474</v>
      </c>
      <c r="J2007" s="405" t="s">
        <v>475</v>
      </c>
    </row>
    <row r="2008" spans="1:10" ht="13">
      <c r="A2008" s="27"/>
      <c r="B2008" s="110"/>
      <c r="D2008" s="422" t="s">
        <v>45</v>
      </c>
      <c r="E2008" s="423" t="s">
        <v>46</v>
      </c>
      <c r="F2008" s="424"/>
      <c r="G2008" s="425"/>
      <c r="H2008" s="426"/>
      <c r="I2008" s="427"/>
      <c r="J2008" s="428"/>
    </row>
    <row r="2009" spans="1:10" ht="13">
      <c r="A2009" s="27"/>
      <c r="B2009" s="110"/>
      <c r="D2009" s="466"/>
      <c r="E2009" s="467" t="s">
        <v>372</v>
      </c>
      <c r="F2009" s="8" t="s">
        <v>1934</v>
      </c>
      <c r="G2009" s="468" t="s">
        <v>48</v>
      </c>
      <c r="H2009" s="469">
        <v>8.3000000000000004E-2</v>
      </c>
      <c r="I2009" s="412">
        <f>IF(AND(E2009&lt;&gt;"",G2009&lt;&gt;""),IF(D2009="",IF(G2009="OH",VLOOKUP(F2009,UPAH!$B$4:$H$101,7,0),VLOOKUP(F2009,#REF!,4,0)),0),0)</f>
        <v>0</v>
      </c>
      <c r="J2009" s="16">
        <f t="shared" ref="J2009:J2015" si="35">H2009*I2009</f>
        <v>0</v>
      </c>
    </row>
    <row r="2010" spans="1:10" ht="13">
      <c r="A2010" s="27"/>
      <c r="B2010" s="110"/>
      <c r="D2010" s="466"/>
      <c r="E2010" s="467" t="s">
        <v>373</v>
      </c>
      <c r="F2010" s="8" t="s">
        <v>1935</v>
      </c>
      <c r="G2010" s="468" t="s">
        <v>48</v>
      </c>
      <c r="H2010" s="469">
        <v>8.3000000000000004E-2</v>
      </c>
      <c r="I2010" s="412">
        <f>IF(AND(E2010&lt;&gt;"",G2010&lt;&gt;""),IF(D2010="",IF(G2010="OH",VLOOKUP(F2010,UPAH!$B$4:$H$101,7,0),VLOOKUP(F2010,#REF!,4,0)),0),0)</f>
        <v>0</v>
      </c>
      <c r="J2010" s="16">
        <f t="shared" si="35"/>
        <v>0</v>
      </c>
    </row>
    <row r="2011" spans="1:10" ht="13">
      <c r="A2011" s="27"/>
      <c r="B2011" s="110"/>
      <c r="D2011" s="466"/>
      <c r="E2011" s="467" t="s">
        <v>47</v>
      </c>
      <c r="F2011" s="8" t="s">
        <v>1918</v>
      </c>
      <c r="G2011" s="468" t="s">
        <v>48</v>
      </c>
      <c r="H2011" s="469">
        <v>8.3000000000000004E-2</v>
      </c>
      <c r="I2011" s="412">
        <f>IF(AND(E2011&lt;&gt;"",G2011&lt;&gt;""),IF(D2011="",IF(G2011="OH",VLOOKUP(F2011,UPAH!$B$4:$H$101,7,0),VLOOKUP(F2011,#REF!,4,0)),0),0)</f>
        <v>0</v>
      </c>
      <c r="J2011" s="16">
        <f t="shared" si="35"/>
        <v>0</v>
      </c>
    </row>
    <row r="2012" spans="1:10" ht="13">
      <c r="A2012" s="27"/>
      <c r="B2012" s="110"/>
      <c r="D2012" s="466"/>
      <c r="E2012" s="467" t="s">
        <v>81</v>
      </c>
      <c r="F2012" s="8" t="s">
        <v>1921</v>
      </c>
      <c r="G2012" s="468" t="s">
        <v>48</v>
      </c>
      <c r="H2012" s="469">
        <v>8.3000000000000004E-2</v>
      </c>
      <c r="I2012" s="412">
        <f>IF(AND(E2012&lt;&gt;"",G2012&lt;&gt;""),IF(D2012="",IF(G2012="OH",VLOOKUP(F2012,UPAH!$B$4:$H$101,7,0),VLOOKUP(F2012,#REF!,4,0)),0),0)</f>
        <v>0</v>
      </c>
      <c r="J2012" s="16">
        <f t="shared" si="35"/>
        <v>0</v>
      </c>
    </row>
    <row r="2013" spans="1:10" ht="13">
      <c r="A2013" s="27"/>
      <c r="B2013" s="110"/>
      <c r="D2013" s="466"/>
      <c r="E2013" s="467" t="s">
        <v>130</v>
      </c>
      <c r="F2013" s="8" t="s">
        <v>1927</v>
      </c>
      <c r="G2013" s="468" t="s">
        <v>48</v>
      </c>
      <c r="H2013" s="469">
        <v>0.16600000000000001</v>
      </c>
      <c r="I2013" s="412">
        <f>IF(AND(E2013&lt;&gt;"",G2013&lt;&gt;""),IF(D2013="",IF(G2013="OH",VLOOKUP(F2013,UPAH!$B$4:$H$101,7,0),VLOOKUP(F2013,#REF!,4,0)),0),0)</f>
        <v>0</v>
      </c>
      <c r="J2013" s="16">
        <f t="shared" si="35"/>
        <v>0</v>
      </c>
    </row>
    <row r="2014" spans="1:10" ht="13">
      <c r="A2014" s="27"/>
      <c r="B2014" s="110"/>
      <c r="D2014" s="466"/>
      <c r="E2014" s="467" t="s">
        <v>50</v>
      </c>
      <c r="F2014" s="8" t="s">
        <v>1928</v>
      </c>
      <c r="G2014" s="468" t="s">
        <v>48</v>
      </c>
      <c r="H2014" s="469">
        <v>8.3000000000000004E-2</v>
      </c>
      <c r="I2014" s="412">
        <f>IF(AND(E2014&lt;&gt;"",G2014&lt;&gt;""),IF(D2014="",IF(G2014="OH",VLOOKUP(F2014,UPAH!$B$4:$H$101,7,0),VLOOKUP(F2014,#REF!,4,0)),0),0)</f>
        <v>0</v>
      </c>
      <c r="J2014" s="16">
        <f t="shared" si="35"/>
        <v>0</v>
      </c>
    </row>
    <row r="2015" spans="1:10" ht="13.5" thickBot="1">
      <c r="A2015" s="27"/>
      <c r="B2015" s="110"/>
      <c r="D2015" s="470"/>
      <c r="E2015" s="471" t="s">
        <v>51</v>
      </c>
      <c r="F2015" s="472" t="s">
        <v>1929</v>
      </c>
      <c r="G2015" s="473" t="s">
        <v>48</v>
      </c>
      <c r="H2015" s="474">
        <v>8.3000000000000004E-2</v>
      </c>
      <c r="I2015" s="412">
        <f>IF(AND(E2015&lt;&gt;"",G2015&lt;&gt;""),IF(D2015="",IF(G2015="OH",VLOOKUP(F2015,UPAH!$B$4:$H$101,7,0),VLOOKUP(F2015,#REF!,4,0)),0),0)</f>
        <v>0</v>
      </c>
      <c r="J2015" s="430">
        <f t="shared" si="35"/>
        <v>0</v>
      </c>
    </row>
    <row r="2016" spans="1:10" ht="13.5" thickBot="1">
      <c r="A2016" s="27"/>
      <c r="B2016" s="110"/>
      <c r="D2016" s="417"/>
      <c r="E2016" s="418"/>
      <c r="F2016" s="418"/>
      <c r="G2016" s="419"/>
      <c r="H2016" s="420" t="s">
        <v>52</v>
      </c>
      <c r="I2016" s="421"/>
      <c r="J2016" s="396">
        <f>SUM(J2011:J2015)</f>
        <v>0</v>
      </c>
    </row>
    <row r="2017" spans="1:10" ht="13">
      <c r="A2017" s="27"/>
      <c r="B2017" s="110"/>
      <c r="D2017" s="422" t="s">
        <v>53</v>
      </c>
      <c r="E2017" s="423" t="s">
        <v>54</v>
      </c>
      <c r="F2017" s="424"/>
      <c r="G2017" s="425"/>
      <c r="H2017" s="426"/>
      <c r="I2017" s="427"/>
      <c r="J2017" s="428"/>
    </row>
    <row r="2018" spans="1:10" ht="13.5" thickBot="1">
      <c r="A2018" s="27"/>
      <c r="B2018" s="110"/>
      <c r="D2018" s="470"/>
      <c r="E2018" s="472" t="s">
        <v>131</v>
      </c>
      <c r="F2018" s="471"/>
      <c r="G2018" s="473" t="s">
        <v>127</v>
      </c>
      <c r="H2018" s="474">
        <v>8.2769999999999992</v>
      </c>
      <c r="I2018" s="441">
        <f>'BAHAN '!G71</f>
        <v>0</v>
      </c>
      <c r="J2018" s="430">
        <f>H2018*I2018</f>
        <v>0</v>
      </c>
    </row>
    <row r="2019" spans="1:10" ht="13.5" thickBot="1">
      <c r="A2019" s="27"/>
      <c r="B2019" s="110"/>
      <c r="D2019" s="417"/>
      <c r="E2019" s="418"/>
      <c r="F2019" s="418"/>
      <c r="G2019" s="419"/>
      <c r="H2019" s="420" t="s">
        <v>64</v>
      </c>
      <c r="I2019" s="421"/>
      <c r="J2019" s="396">
        <f>SUM(J2018)</f>
        <v>0</v>
      </c>
    </row>
    <row r="2020" spans="1:10" ht="13">
      <c r="A2020" s="27"/>
      <c r="B2020" s="110"/>
      <c r="D2020" s="422" t="s">
        <v>65</v>
      </c>
      <c r="E2020" s="423" t="s">
        <v>66</v>
      </c>
      <c r="F2020" s="424"/>
      <c r="G2020" s="425"/>
      <c r="H2020" s="426"/>
      <c r="I2020" s="427"/>
      <c r="J2020" s="428"/>
    </row>
    <row r="2021" spans="1:10" ht="13">
      <c r="A2021" s="27"/>
      <c r="B2021" s="110"/>
      <c r="D2021" s="466"/>
      <c r="E2021" s="467" t="s">
        <v>374</v>
      </c>
      <c r="F2021" s="475"/>
      <c r="G2021" s="468" t="s">
        <v>132</v>
      </c>
      <c r="H2021" s="469">
        <v>8.3000000000000004E-2</v>
      </c>
      <c r="I2021" s="494">
        <f>Alat!H27</f>
        <v>0</v>
      </c>
      <c r="J2021" s="16">
        <f>H2021*I2021</f>
        <v>0</v>
      </c>
    </row>
    <row r="2022" spans="1:10" ht="13.5" thickBot="1">
      <c r="A2022" s="27"/>
      <c r="B2022" s="110"/>
      <c r="D2022" s="470"/>
      <c r="E2022" s="471" t="s">
        <v>3188</v>
      </c>
      <c r="F2022" s="476"/>
      <c r="G2022" s="468" t="s">
        <v>132</v>
      </c>
      <c r="H2022" s="474">
        <v>1.1000000000000001</v>
      </c>
      <c r="I2022" s="495">
        <f>Alat!H106</f>
        <v>0</v>
      </c>
      <c r="J2022" s="430">
        <f>H2022*I2022</f>
        <v>0</v>
      </c>
    </row>
    <row r="2023" spans="1:10" ht="13.5" thickBot="1">
      <c r="A2023" s="27"/>
      <c r="B2023" s="110"/>
      <c r="D2023" s="417"/>
      <c r="E2023" s="418"/>
      <c r="F2023" s="418"/>
      <c r="G2023" s="419"/>
      <c r="H2023" s="420" t="s">
        <v>67</v>
      </c>
      <c r="I2023" s="421"/>
      <c r="J2023" s="396">
        <f>SUM(J2021:J2022)</f>
        <v>0</v>
      </c>
    </row>
    <row r="2024" spans="1:10" ht="13.5" thickBot="1">
      <c r="A2024" s="27"/>
      <c r="B2024" s="110"/>
      <c r="D2024" s="431" t="s">
        <v>68</v>
      </c>
      <c r="E2024" s="432" t="s">
        <v>69</v>
      </c>
      <c r="F2024" s="433"/>
      <c r="G2024" s="434"/>
      <c r="H2024" s="435"/>
      <c r="I2024" s="436">
        <f>IF(AND(E2024&lt;&gt;"",G2024&lt;&gt;""),IF(D2024="",IF(G2024="OH",VLOOKUP(E2024,UPAH!$C$4:$H$31,7,0),VLOOKUP(E2024,#REF!,4,0)),0),0)</f>
        <v>0</v>
      </c>
      <c r="J2024" s="437">
        <f>SUM(J2013:J2023)/2</f>
        <v>0</v>
      </c>
    </row>
    <row r="2025" spans="1:10" ht="13.5" thickBot="1">
      <c r="A2025" s="27"/>
      <c r="B2025" s="110"/>
      <c r="D2025" s="401" t="s">
        <v>70</v>
      </c>
      <c r="E2025" s="402" t="s">
        <v>477</v>
      </c>
      <c r="F2025" s="418"/>
      <c r="G2025" s="419"/>
      <c r="H2025" s="477">
        <v>0.1</v>
      </c>
      <c r="I2025" s="421"/>
      <c r="J2025" s="396">
        <f>H2025*J2024</f>
        <v>0</v>
      </c>
    </row>
    <row r="2026" spans="1:10" ht="13.5" thickBot="1">
      <c r="A2026" s="27"/>
      <c r="B2026" s="110"/>
      <c r="D2026" s="478" t="s">
        <v>71</v>
      </c>
      <c r="E2026" s="479" t="s">
        <v>72</v>
      </c>
      <c r="F2026" s="480"/>
      <c r="G2026" s="481"/>
      <c r="H2026" s="482"/>
      <c r="I2026" s="483">
        <f>IF(AND(E2026&lt;&gt;"",G2026&lt;&gt;""),IF(D2026="",IF(G2026="OH",VLOOKUP(E2026,UPAH!$C$4:$H$31,7,0),VLOOKUP(E2026,#REF!,4,0)),0),0)</f>
        <v>0</v>
      </c>
      <c r="J2026" s="484">
        <f>ROUNDDOWN(J2024+J2025,0)</f>
        <v>0</v>
      </c>
    </row>
    <row r="2027" spans="1:10" ht="13">
      <c r="A2027" s="27"/>
      <c r="B2027" s="110"/>
      <c r="D2027" s="11"/>
      <c r="E2027" s="11"/>
      <c r="H2027" s="443"/>
      <c r="I2027" s="17"/>
      <c r="J2027" s="18"/>
    </row>
    <row r="2028" spans="1:10" ht="13" hidden="1">
      <c r="A2028" s="27"/>
      <c r="B2028" s="110"/>
      <c r="D2028" s="487" t="s">
        <v>695</v>
      </c>
      <c r="E2028" s="488"/>
      <c r="F2028" s="489"/>
      <c r="H2028" s="443"/>
      <c r="I2028" s="17"/>
      <c r="J2028" s="18"/>
    </row>
    <row r="2029" spans="1:10" ht="13" hidden="1">
      <c r="A2029" s="27"/>
      <c r="B2029" s="110"/>
      <c r="D2029" s="488"/>
      <c r="E2029" s="489"/>
      <c r="F2029" s="489"/>
      <c r="H2029" s="443"/>
      <c r="I2029" s="17"/>
      <c r="J2029" s="18"/>
    </row>
    <row r="2030" spans="1:10" ht="13" hidden="1">
      <c r="A2030" s="27"/>
      <c r="B2030" s="110"/>
      <c r="D2030" s="488"/>
      <c r="E2030" s="489"/>
      <c r="F2030" s="489"/>
      <c r="H2030" s="443"/>
      <c r="I2030" s="17"/>
      <c r="J2030" s="18"/>
    </row>
    <row r="2031" spans="1:10" ht="13" hidden="1">
      <c r="A2031" s="27"/>
      <c r="B2031" s="110"/>
      <c r="D2031" s="488"/>
      <c r="E2031" s="490" t="s">
        <v>686</v>
      </c>
      <c r="F2031" s="487" t="s">
        <v>688</v>
      </c>
      <c r="H2031" s="443"/>
      <c r="I2031" s="17"/>
      <c r="J2031" s="18"/>
    </row>
    <row r="2032" spans="1:10" ht="13" hidden="1">
      <c r="A2032" s="27"/>
      <c r="B2032" s="110"/>
      <c r="D2032" s="488"/>
      <c r="E2032" s="489"/>
      <c r="F2032" s="489" t="s">
        <v>694</v>
      </c>
      <c r="H2032" s="443"/>
      <c r="I2032" s="17"/>
      <c r="J2032" s="18"/>
    </row>
    <row r="2033" spans="1:10" ht="13" hidden="1">
      <c r="A2033" s="27"/>
      <c r="B2033" s="110"/>
      <c r="D2033" s="488"/>
      <c r="E2033" s="491">
        <v>1</v>
      </c>
      <c r="F2033" s="492">
        <v>1</v>
      </c>
      <c r="H2033" s="443"/>
      <c r="I2033" s="17"/>
      <c r="J2033" s="18"/>
    </row>
    <row r="2034" spans="1:10" ht="13" hidden="1">
      <c r="A2034" s="27"/>
      <c r="B2034" s="110"/>
      <c r="D2034" s="488"/>
      <c r="E2034" s="491">
        <v>2</v>
      </c>
      <c r="F2034" s="492">
        <v>1</v>
      </c>
      <c r="H2034" s="443"/>
      <c r="I2034" s="17"/>
      <c r="J2034" s="18"/>
    </row>
    <row r="2035" spans="1:10" ht="13" hidden="1">
      <c r="A2035" s="27"/>
      <c r="B2035" s="110"/>
      <c r="D2035" s="488"/>
      <c r="E2035" s="491">
        <v>3</v>
      </c>
      <c r="F2035" s="492">
        <v>1</v>
      </c>
      <c r="H2035" s="443"/>
      <c r="I2035" s="17"/>
      <c r="J2035" s="18"/>
    </row>
    <row r="2036" spans="1:10" ht="13" hidden="1">
      <c r="A2036" s="27"/>
      <c r="B2036" s="110"/>
      <c r="D2036" s="488"/>
      <c r="E2036" s="491">
        <v>4</v>
      </c>
      <c r="F2036" s="492">
        <v>1</v>
      </c>
      <c r="H2036" s="443"/>
      <c r="I2036" s="17"/>
      <c r="J2036" s="18"/>
    </row>
    <row r="2037" spans="1:10" ht="13" hidden="1">
      <c r="A2037" s="27"/>
      <c r="B2037" s="110"/>
      <c r="D2037" s="488"/>
      <c r="E2037" s="491">
        <v>5</v>
      </c>
      <c r="F2037" s="492">
        <v>1</v>
      </c>
      <c r="H2037" s="443"/>
      <c r="I2037" s="17"/>
      <c r="J2037" s="18"/>
    </row>
    <row r="2038" spans="1:10" ht="13" hidden="1">
      <c r="A2038" s="27"/>
      <c r="B2038" s="110"/>
      <c r="D2038" s="488"/>
      <c r="E2038" s="491">
        <v>6</v>
      </c>
      <c r="F2038" s="492">
        <v>1</v>
      </c>
      <c r="H2038" s="443"/>
      <c r="I2038" s="17"/>
      <c r="J2038" s="18"/>
    </row>
    <row r="2039" spans="1:10" ht="13" hidden="1">
      <c r="A2039" s="27"/>
      <c r="B2039" s="110"/>
      <c r="D2039" s="488"/>
      <c r="E2039" s="491">
        <v>7</v>
      </c>
      <c r="F2039" s="492">
        <v>1</v>
      </c>
      <c r="H2039" s="443"/>
      <c r="I2039" s="17"/>
      <c r="J2039" s="18"/>
    </row>
    <row r="2040" spans="1:10" ht="13" hidden="1">
      <c r="A2040" s="27"/>
      <c r="B2040" s="110"/>
      <c r="D2040" s="488"/>
      <c r="E2040" s="491">
        <v>8</v>
      </c>
      <c r="F2040" s="492">
        <v>1.0109999999999999</v>
      </c>
      <c r="H2040" s="443"/>
      <c r="I2040" s="17"/>
      <c r="J2040" s="18"/>
    </row>
    <row r="2041" spans="1:10" ht="13" hidden="1">
      <c r="A2041" s="27"/>
      <c r="B2041" s="110"/>
      <c r="D2041" s="488"/>
      <c r="E2041" s="491">
        <v>9</v>
      </c>
      <c r="F2041" s="492">
        <v>1.022</v>
      </c>
      <c r="H2041" s="443"/>
      <c r="I2041" s="17"/>
      <c r="J2041" s="18"/>
    </row>
    <row r="2042" spans="1:10" ht="13" hidden="1">
      <c r="A2042" s="27"/>
      <c r="B2042" s="110"/>
      <c r="D2042" s="488"/>
      <c r="E2042" s="491">
        <v>10</v>
      </c>
      <c r="F2042" s="492">
        <v>1.034</v>
      </c>
      <c r="H2042" s="443"/>
      <c r="I2042" s="17"/>
      <c r="J2042" s="18"/>
    </row>
    <row r="2043" spans="1:10" ht="13" hidden="1">
      <c r="A2043" s="27"/>
      <c r="B2043" s="110"/>
      <c r="D2043" s="488"/>
      <c r="E2043" s="491">
        <v>11</v>
      </c>
      <c r="F2043" s="492">
        <v>1.0449999999999999</v>
      </c>
    </row>
    <row r="2044" spans="1:10" ht="13" hidden="1">
      <c r="A2044" s="27"/>
      <c r="B2044" s="110"/>
      <c r="D2044" s="488"/>
      <c r="E2044" s="491">
        <v>12</v>
      </c>
      <c r="F2044" s="492">
        <v>1.0569999999999999</v>
      </c>
    </row>
    <row r="2045" spans="1:10" ht="13" hidden="1">
      <c r="A2045" s="27"/>
      <c r="B2045" s="110"/>
      <c r="D2045" s="488"/>
      <c r="E2045" s="491">
        <v>13</v>
      </c>
      <c r="F2045" s="492">
        <v>1.0680000000000001</v>
      </c>
    </row>
    <row r="2046" spans="1:10" ht="13" hidden="1">
      <c r="A2046" s="27"/>
      <c r="B2046" s="110"/>
      <c r="D2046" s="488"/>
      <c r="E2046" s="491">
        <v>14</v>
      </c>
      <c r="F2046" s="492">
        <v>1.08</v>
      </c>
    </row>
    <row r="2047" spans="1:10" ht="13" hidden="1">
      <c r="A2047" s="27"/>
      <c r="B2047" s="110"/>
      <c r="D2047" s="488"/>
      <c r="E2047" s="491">
        <v>15</v>
      </c>
      <c r="F2047" s="492">
        <v>1.0920000000000001</v>
      </c>
    </row>
    <row r="2048" spans="1:10" ht="13" hidden="1">
      <c r="A2048" s="27"/>
      <c r="B2048" s="110"/>
      <c r="D2048" s="488"/>
      <c r="E2048" s="491">
        <v>16</v>
      </c>
      <c r="F2048" s="492">
        <v>1.1040000000000001</v>
      </c>
    </row>
    <row r="2049" spans="1:10" ht="13" hidden="1">
      <c r="A2049" s="27"/>
      <c r="B2049" s="110"/>
      <c r="D2049" s="488"/>
      <c r="E2049" s="491">
        <v>17</v>
      </c>
      <c r="F2049" s="492">
        <v>1.1160000000000001</v>
      </c>
    </row>
    <row r="2050" spans="1:10" ht="13" hidden="1">
      <c r="A2050" s="27"/>
      <c r="B2050" s="110"/>
      <c r="D2050" s="488"/>
      <c r="E2050" s="491">
        <v>18</v>
      </c>
      <c r="F2050" s="492">
        <v>1.129</v>
      </c>
    </row>
    <row r="2051" spans="1:10" ht="13" hidden="1">
      <c r="A2051" s="27"/>
      <c r="B2051" s="110"/>
      <c r="D2051" s="488"/>
      <c r="E2051" s="491">
        <v>19</v>
      </c>
      <c r="F2051" s="492">
        <v>1.141</v>
      </c>
    </row>
    <row r="2052" spans="1:10" ht="13" hidden="1">
      <c r="A2052" s="27"/>
      <c r="B2052" s="110"/>
      <c r="D2052" s="488"/>
      <c r="E2052" s="491">
        <v>20</v>
      </c>
      <c r="F2052" s="492">
        <v>1.1539999999999999</v>
      </c>
    </row>
    <row r="2053" spans="1:10" ht="13" hidden="1">
      <c r="A2053" s="27"/>
      <c r="B2053" s="110"/>
      <c r="D2053" s="488"/>
      <c r="E2053" s="491">
        <v>21</v>
      </c>
      <c r="F2053" s="492">
        <v>1.1659999999999999</v>
      </c>
    </row>
    <row r="2054" spans="1:10" ht="13" hidden="1">
      <c r="A2054" s="27"/>
      <c r="B2054" s="110"/>
      <c r="D2054" s="488"/>
      <c r="E2054" s="491">
        <v>22</v>
      </c>
      <c r="F2054" s="492">
        <v>1.179</v>
      </c>
    </row>
    <row r="2055" spans="1:10" ht="13" hidden="1">
      <c r="A2055" s="27"/>
      <c r="B2055" s="110"/>
      <c r="D2055" s="488"/>
      <c r="E2055" s="491">
        <v>23</v>
      </c>
      <c r="F2055" s="492">
        <v>1.1919999999999999</v>
      </c>
    </row>
    <row r="2056" spans="1:10" ht="13" hidden="1">
      <c r="A2056" s="27"/>
      <c r="B2056" s="110"/>
      <c r="D2056" s="488"/>
      <c r="E2056" s="491">
        <v>24</v>
      </c>
      <c r="F2056" s="493">
        <v>1.206</v>
      </c>
    </row>
    <row r="2057" spans="1:10" ht="13" hidden="1">
      <c r="A2057" s="27"/>
      <c r="B2057" s="110"/>
    </row>
    <row r="2058" spans="1:10" ht="13">
      <c r="A2058" s="27"/>
      <c r="B2058" s="110"/>
    </row>
    <row r="2059" spans="1:10" ht="13.5" thickBot="1">
      <c r="A2059" s="27"/>
      <c r="B2059" s="110"/>
      <c r="C2059" s="11" t="s">
        <v>697</v>
      </c>
      <c r="D2059" s="10" t="s">
        <v>698</v>
      </c>
      <c r="H2059" s="443"/>
    </row>
    <row r="2060" spans="1:10" ht="13.5" thickBot="1">
      <c r="A2060" s="27"/>
      <c r="B2060" s="110"/>
      <c r="D2060" s="401" t="s">
        <v>40</v>
      </c>
      <c r="E2060" s="402" t="s">
        <v>41</v>
      </c>
      <c r="F2060" s="402" t="s">
        <v>42</v>
      </c>
      <c r="G2060" s="403" t="s">
        <v>43</v>
      </c>
      <c r="H2060" s="404" t="s">
        <v>44</v>
      </c>
      <c r="I2060" s="402" t="s">
        <v>474</v>
      </c>
      <c r="J2060" s="405" t="s">
        <v>475</v>
      </c>
    </row>
    <row r="2061" spans="1:10" ht="13">
      <c r="A2061" s="27"/>
      <c r="B2061" s="110"/>
      <c r="D2061" s="406" t="s">
        <v>45</v>
      </c>
      <c r="E2061" s="13" t="s">
        <v>46</v>
      </c>
      <c r="F2061" s="14"/>
      <c r="G2061" s="15"/>
      <c r="H2061" s="451"/>
      <c r="I2061" s="412"/>
      <c r="J2061" s="16"/>
    </row>
    <row r="2062" spans="1:10" ht="13">
      <c r="A2062" s="27"/>
      <c r="B2062" s="110"/>
      <c r="D2062" s="409"/>
      <c r="E2062" s="13" t="s">
        <v>47</v>
      </c>
      <c r="F2062" s="13" t="s">
        <v>1918</v>
      </c>
      <c r="G2062" s="410" t="s">
        <v>48</v>
      </c>
      <c r="H2062" s="411">
        <v>1.9E-2</v>
      </c>
      <c r="I2062" s="412">
        <f>IF(AND(E2062&lt;&gt;"",G2062&lt;&gt;""),IF(D2062="",IF(G2062="OH",VLOOKUP(F2062,UPAH!$B$4:$H$101,7,0),VLOOKUP(F2062,#REF!,4,0)),0),0)</f>
        <v>0</v>
      </c>
      <c r="J2062" s="16">
        <f>H2062*I2062</f>
        <v>0</v>
      </c>
    </row>
    <row r="2063" spans="1:10" ht="13">
      <c r="A2063" s="27"/>
      <c r="B2063" s="110"/>
      <c r="D2063" s="409"/>
      <c r="E2063" s="13" t="s">
        <v>81</v>
      </c>
      <c r="F2063" s="13" t="s">
        <v>1921</v>
      </c>
      <c r="G2063" s="410" t="s">
        <v>48</v>
      </c>
      <c r="H2063" s="411">
        <v>3.7999999999999999E-2</v>
      </c>
      <c r="I2063" s="412">
        <f>IF(AND(E2063&lt;&gt;"",G2063&lt;&gt;""),IF(D2063="",IF(G2063="OH",VLOOKUP(F2063,UPAH!$B$4:$H$101,7,0),VLOOKUP(F2063,#REF!,4,0)),0),0)</f>
        <v>0</v>
      </c>
      <c r="J2063" s="16">
        <f>H2063*I2063</f>
        <v>0</v>
      </c>
    </row>
    <row r="2064" spans="1:10" ht="13">
      <c r="A2064" s="27"/>
      <c r="B2064" s="110"/>
      <c r="D2064" s="409"/>
      <c r="E2064" s="13" t="s">
        <v>467</v>
      </c>
      <c r="F2064" s="14" t="s">
        <v>1934</v>
      </c>
      <c r="G2064" s="410" t="s">
        <v>48</v>
      </c>
      <c r="H2064" s="411">
        <v>1.9E-2</v>
      </c>
      <c r="I2064" s="412">
        <f>IF(AND(E2064&lt;&gt;"",G2064&lt;&gt;""),IF(D2064="",IF(G2064="OH",VLOOKUP(F2064,UPAH!$B$4:$H$101,7,0),VLOOKUP(F2064,#REF!,4,0)),0),0)</f>
        <v>0</v>
      </c>
      <c r="J2064" s="16">
        <f>H2064*I2064</f>
        <v>0</v>
      </c>
    </row>
    <row r="2065" spans="1:10" ht="13.5" thickBot="1">
      <c r="A2065" s="27"/>
      <c r="B2065" s="110"/>
      <c r="D2065" s="409"/>
      <c r="E2065" s="13" t="s">
        <v>468</v>
      </c>
      <c r="F2065" s="14" t="s">
        <v>1935</v>
      </c>
      <c r="G2065" s="410" t="s">
        <v>48</v>
      </c>
      <c r="H2065" s="411">
        <v>1.9E-2</v>
      </c>
      <c r="I2065" s="412">
        <f>IF(AND(E2065&lt;&gt;"",G2065&lt;&gt;""),IF(D2065="",IF(G2065="OH",VLOOKUP(F2065,UPAH!$B$4:$H$101,7,0),VLOOKUP(F2065,#REF!,4,0)),0),0)</f>
        <v>0</v>
      </c>
      <c r="J2065" s="16">
        <f>H2065*I2065</f>
        <v>0</v>
      </c>
    </row>
    <row r="2066" spans="1:10" ht="13.5" thickBot="1">
      <c r="A2066" s="27"/>
      <c r="B2066" s="110"/>
      <c r="D2066" s="417"/>
      <c r="E2066" s="418"/>
      <c r="F2066" s="418"/>
      <c r="G2066" s="419"/>
      <c r="H2066" s="420" t="s">
        <v>52</v>
      </c>
      <c r="I2066" s="421"/>
      <c r="J2066" s="396">
        <f>SUM(J2062:J2065)</f>
        <v>0</v>
      </c>
    </row>
    <row r="2067" spans="1:10" ht="13">
      <c r="A2067" s="27"/>
      <c r="B2067" s="110"/>
      <c r="D2067" s="406" t="s">
        <v>53</v>
      </c>
      <c r="E2067" s="13" t="s">
        <v>54</v>
      </c>
      <c r="F2067" s="14"/>
      <c r="G2067" s="15"/>
      <c r="H2067" s="451"/>
      <c r="I2067" s="412"/>
      <c r="J2067" s="16"/>
    </row>
    <row r="2068" spans="1:10" ht="13.5" thickBot="1">
      <c r="A2068" s="27"/>
      <c r="B2068" s="110"/>
      <c r="D2068" s="409"/>
      <c r="E2068" s="13" t="s">
        <v>131</v>
      </c>
      <c r="F2068" s="14"/>
      <c r="G2068" s="410" t="s">
        <v>127</v>
      </c>
      <c r="H2068" s="411">
        <v>1.897</v>
      </c>
      <c r="I2068" s="412">
        <f>'BAHAN '!G71</f>
        <v>0</v>
      </c>
      <c r="J2068" s="16">
        <f>H2068*I2068</f>
        <v>0</v>
      </c>
    </row>
    <row r="2069" spans="1:10" ht="13.5" thickBot="1">
      <c r="A2069" s="27"/>
      <c r="B2069" s="110"/>
      <c r="D2069" s="417"/>
      <c r="E2069" s="418"/>
      <c r="F2069" s="418"/>
      <c r="G2069" s="419"/>
      <c r="H2069" s="420" t="s">
        <v>64</v>
      </c>
      <c r="I2069" s="421"/>
      <c r="J2069" s="396">
        <f>SUM(J2068)</f>
        <v>0</v>
      </c>
    </row>
    <row r="2070" spans="1:10" ht="13">
      <c r="A2070" s="27"/>
      <c r="B2070" s="110"/>
      <c r="D2070" s="406" t="s">
        <v>65</v>
      </c>
      <c r="E2070" s="13" t="s">
        <v>66</v>
      </c>
      <c r="F2070" s="14"/>
      <c r="G2070" s="15"/>
      <c r="H2070" s="451"/>
      <c r="I2070" s="412"/>
      <c r="J2070" s="16"/>
    </row>
    <row r="2071" spans="1:10" ht="13.5" thickBot="1">
      <c r="A2071" s="27"/>
      <c r="B2071" s="110"/>
      <c r="D2071" s="409"/>
      <c r="E2071" s="13" t="s">
        <v>490</v>
      </c>
      <c r="F2071" s="14"/>
      <c r="G2071" s="410" t="s">
        <v>3191</v>
      </c>
      <c r="H2071" s="411">
        <v>1.9E-2</v>
      </c>
      <c r="I2071" s="412">
        <f>Alat!H27</f>
        <v>0</v>
      </c>
      <c r="J2071" s="16">
        <f>H2071*I2071</f>
        <v>0</v>
      </c>
    </row>
    <row r="2072" spans="1:10" ht="13.5" thickBot="1">
      <c r="A2072" s="27"/>
      <c r="B2072" s="110"/>
      <c r="D2072" s="417"/>
      <c r="E2072" s="418"/>
      <c r="F2072" s="418"/>
      <c r="G2072" s="419"/>
      <c r="H2072" s="420" t="s">
        <v>67</v>
      </c>
      <c r="I2072" s="421"/>
      <c r="J2072" s="396">
        <f>J2071</f>
        <v>0</v>
      </c>
    </row>
    <row r="2073" spans="1:10" ht="13">
      <c r="A2073" s="27"/>
      <c r="B2073" s="110"/>
      <c r="D2073" s="444" t="s">
        <v>68</v>
      </c>
      <c r="E2073" s="445" t="s">
        <v>69</v>
      </c>
      <c r="F2073" s="446"/>
      <c r="G2073" s="447"/>
      <c r="H2073" s="448"/>
      <c r="I2073" s="449">
        <f>IF(AND(E2073&lt;&gt;"",G2073&lt;&gt;""),IF(D2073="",IF(G2073="OH",VLOOKUP(E2073,UPAH!$C$4:$H$31,7,0),VLOOKUP(E2073,#REF!,4,0)),0),0)</f>
        <v>0</v>
      </c>
      <c r="J2073" s="16">
        <f>SUM(J2062:J2072)/2</f>
        <v>0</v>
      </c>
    </row>
    <row r="2074" spans="1:10" ht="13.5" thickBot="1">
      <c r="A2074" s="27"/>
      <c r="B2074" s="110"/>
      <c r="D2074" s="431" t="s">
        <v>70</v>
      </c>
      <c r="E2074" s="432" t="s">
        <v>477</v>
      </c>
      <c r="F2074" s="433"/>
      <c r="G2074" s="434"/>
      <c r="H2074" s="22">
        <v>0.1</v>
      </c>
      <c r="I2074" s="436"/>
      <c r="J2074" s="430">
        <f>H2074*J2073</f>
        <v>0</v>
      </c>
    </row>
    <row r="2075" spans="1:10" ht="13.5" thickBot="1">
      <c r="A2075" s="27"/>
      <c r="B2075" s="110"/>
      <c r="D2075" s="401" t="s">
        <v>71</v>
      </c>
      <c r="E2075" s="402" t="s">
        <v>72</v>
      </c>
      <c r="F2075" s="418"/>
      <c r="G2075" s="419"/>
      <c r="H2075" s="442"/>
      <c r="I2075" s="421">
        <f>IF(AND(E2075&lt;&gt;"",G2075&lt;&gt;""),IF(D2075="",IF(G2075="OH",VLOOKUP(E2075,UPAH!$C$4:$H$31,7,0),VLOOKUP(E2075,#REF!,4,0)),0),0)</f>
        <v>0</v>
      </c>
      <c r="J2075" s="396">
        <f>ROUNDDOWN(J2073+J2074,0)</f>
        <v>0</v>
      </c>
    </row>
    <row r="2076" spans="1:10" ht="13">
      <c r="A2076" s="27"/>
      <c r="B2076" s="110"/>
      <c r="D2076" s="11"/>
      <c r="E2076" s="11"/>
      <c r="H2076" s="443"/>
      <c r="I2076" s="17"/>
      <c r="J2076" s="18"/>
    </row>
    <row r="2077" spans="1:10" ht="13.5" thickBot="1">
      <c r="A2077" s="27"/>
      <c r="B2077" s="110"/>
      <c r="C2077" s="11" t="s">
        <v>699</v>
      </c>
      <c r="D2077" s="10" t="s">
        <v>700</v>
      </c>
      <c r="H2077" s="443"/>
    </row>
    <row r="2078" spans="1:10" ht="13.5" thickBot="1">
      <c r="A2078" s="27"/>
      <c r="B2078" s="110"/>
      <c r="D2078" s="401" t="s">
        <v>40</v>
      </c>
      <c r="E2078" s="402" t="s">
        <v>41</v>
      </c>
      <c r="F2078" s="402" t="s">
        <v>42</v>
      </c>
      <c r="G2078" s="403" t="s">
        <v>43</v>
      </c>
      <c r="H2078" s="404" t="s">
        <v>44</v>
      </c>
      <c r="I2078" s="402" t="s">
        <v>474</v>
      </c>
      <c r="J2078" s="405" t="s">
        <v>475</v>
      </c>
    </row>
    <row r="2079" spans="1:10" ht="13">
      <c r="A2079" s="27"/>
      <c r="B2079" s="110"/>
      <c r="D2079" s="406" t="s">
        <v>45</v>
      </c>
      <c r="E2079" s="13" t="s">
        <v>46</v>
      </c>
      <c r="F2079" s="14"/>
      <c r="G2079" s="15"/>
      <c r="H2079" s="451"/>
      <c r="I2079" s="412"/>
      <c r="J2079" s="16"/>
    </row>
    <row r="2080" spans="1:10" ht="13">
      <c r="A2080" s="27"/>
      <c r="B2080" s="110"/>
      <c r="D2080" s="409"/>
      <c r="E2080" s="13" t="s">
        <v>47</v>
      </c>
      <c r="F2080" s="13" t="s">
        <v>1918</v>
      </c>
      <c r="G2080" s="410" t="s">
        <v>48</v>
      </c>
      <c r="H2080" s="411">
        <v>1.9E-2</v>
      </c>
      <c r="I2080" s="412">
        <f>IF(AND(E2080&lt;&gt;"",G2080&lt;&gt;""),IF(D2080="",IF(G2080="OH",VLOOKUP(F2080,UPAH!$B$4:$H$101,7,0),VLOOKUP(F2080,#REF!,4,0)),0),0)</f>
        <v>0</v>
      </c>
      <c r="J2080" s="16">
        <f>H2080*I2080</f>
        <v>0</v>
      </c>
    </row>
    <row r="2081" spans="1:10" ht="13">
      <c r="A2081" s="27"/>
      <c r="B2081" s="110"/>
      <c r="D2081" s="409"/>
      <c r="E2081" s="13" t="s">
        <v>81</v>
      </c>
      <c r="F2081" s="13" t="s">
        <v>1921</v>
      </c>
      <c r="G2081" s="410" t="s">
        <v>48</v>
      </c>
      <c r="H2081" s="411">
        <v>3.7999999999999999E-2</v>
      </c>
      <c r="I2081" s="412">
        <f>IF(AND(E2081&lt;&gt;"",G2081&lt;&gt;""),IF(D2081="",IF(G2081="OH",VLOOKUP(F2081,UPAH!$B$4:$H$101,7,0),VLOOKUP(F2081,#REF!,4,0)),0),0)</f>
        <v>0</v>
      </c>
      <c r="J2081" s="16">
        <f>H2081*I2081</f>
        <v>0</v>
      </c>
    </row>
    <row r="2082" spans="1:10" ht="13">
      <c r="A2082" s="27"/>
      <c r="B2082" s="110"/>
      <c r="D2082" s="409"/>
      <c r="E2082" s="13" t="s">
        <v>467</v>
      </c>
      <c r="F2082" s="14" t="s">
        <v>1934</v>
      </c>
      <c r="G2082" s="410" t="s">
        <v>48</v>
      </c>
      <c r="H2082" s="411">
        <v>1.9E-2</v>
      </c>
      <c r="I2082" s="412">
        <f>IF(AND(E2082&lt;&gt;"",G2082&lt;&gt;""),IF(D2082="",IF(G2082="OH",VLOOKUP(F2082,UPAH!$B$4:$H$101,7,0),VLOOKUP(F2082,#REF!,4,0)),0),0)</f>
        <v>0</v>
      </c>
      <c r="J2082" s="16">
        <f>H2082*I2082</f>
        <v>0</v>
      </c>
    </row>
    <row r="2083" spans="1:10" ht="13.5" thickBot="1">
      <c r="A2083" s="27"/>
      <c r="B2083" s="110"/>
      <c r="D2083" s="409"/>
      <c r="E2083" s="13" t="s">
        <v>468</v>
      </c>
      <c r="F2083" s="14" t="s">
        <v>1935</v>
      </c>
      <c r="G2083" s="410" t="s">
        <v>48</v>
      </c>
      <c r="H2083" s="411">
        <v>1.9E-2</v>
      </c>
      <c r="I2083" s="412">
        <f>IF(AND(E2083&lt;&gt;"",G2083&lt;&gt;""),IF(D2083="",IF(G2083="OH",VLOOKUP(F2083,UPAH!$B$4:$H$101,7,0),VLOOKUP(F2083,#REF!,4,0)),0),0)</f>
        <v>0</v>
      </c>
      <c r="J2083" s="16">
        <f>H2083*I2083</f>
        <v>0</v>
      </c>
    </row>
    <row r="2084" spans="1:10" ht="13.5" thickBot="1">
      <c r="A2084" s="27"/>
      <c r="B2084" s="110"/>
      <c r="D2084" s="417"/>
      <c r="E2084" s="418"/>
      <c r="F2084" s="418"/>
      <c r="G2084" s="419"/>
      <c r="H2084" s="420" t="s">
        <v>52</v>
      </c>
      <c r="I2084" s="421"/>
      <c r="J2084" s="396">
        <f>SUM(J2080:J2083)</f>
        <v>0</v>
      </c>
    </row>
    <row r="2085" spans="1:10" ht="13">
      <c r="A2085" s="27"/>
      <c r="B2085" s="110"/>
      <c r="D2085" s="406" t="s">
        <v>53</v>
      </c>
      <c r="E2085" s="13" t="s">
        <v>54</v>
      </c>
      <c r="F2085" s="14"/>
      <c r="G2085" s="15"/>
      <c r="H2085" s="451"/>
      <c r="I2085" s="412"/>
      <c r="J2085" s="16"/>
    </row>
    <row r="2086" spans="1:10" ht="13.5" thickBot="1">
      <c r="A2086" s="27"/>
      <c r="B2086" s="110"/>
      <c r="D2086" s="409"/>
      <c r="E2086" s="13" t="s">
        <v>131</v>
      </c>
      <c r="F2086" s="14"/>
      <c r="G2086" s="410" t="s">
        <v>127</v>
      </c>
      <c r="H2086" s="411">
        <v>1.897</v>
      </c>
      <c r="I2086" s="412">
        <f>'BAHAN '!G71</f>
        <v>0</v>
      </c>
      <c r="J2086" s="16">
        <f>H2086*I2086</f>
        <v>0</v>
      </c>
    </row>
    <row r="2087" spans="1:10" ht="13.5" thickBot="1">
      <c r="A2087" s="27"/>
      <c r="B2087" s="110"/>
      <c r="D2087" s="417"/>
      <c r="E2087" s="418"/>
      <c r="F2087" s="418"/>
      <c r="G2087" s="419"/>
      <c r="H2087" s="420" t="s">
        <v>64</v>
      </c>
      <c r="I2087" s="421"/>
      <c r="J2087" s="396">
        <f>SUM(J2086)</f>
        <v>0</v>
      </c>
    </row>
    <row r="2088" spans="1:10" ht="13">
      <c r="A2088" s="27"/>
      <c r="B2088" s="110"/>
      <c r="D2088" s="406" t="s">
        <v>65</v>
      </c>
      <c r="E2088" s="13" t="s">
        <v>66</v>
      </c>
      <c r="F2088" s="14"/>
      <c r="G2088" s="15"/>
      <c r="H2088" s="451"/>
      <c r="I2088" s="412"/>
      <c r="J2088" s="16"/>
    </row>
    <row r="2089" spans="1:10" ht="13.5" thickBot="1">
      <c r="A2089" s="27"/>
      <c r="B2089" s="110"/>
      <c r="D2089" s="409"/>
      <c r="E2089" s="13" t="s">
        <v>490</v>
      </c>
      <c r="F2089" s="14"/>
      <c r="G2089" s="410" t="s">
        <v>3191</v>
      </c>
      <c r="H2089" s="411">
        <v>1.9E-2</v>
      </c>
      <c r="I2089" s="412">
        <f>Alat!H27</f>
        <v>0</v>
      </c>
      <c r="J2089" s="16">
        <f>H2089*I2089</f>
        <v>0</v>
      </c>
    </row>
    <row r="2090" spans="1:10" ht="13.5" thickBot="1">
      <c r="A2090" s="27"/>
      <c r="B2090" s="110"/>
      <c r="D2090" s="417"/>
      <c r="E2090" s="418"/>
      <c r="F2090" s="418"/>
      <c r="G2090" s="419"/>
      <c r="H2090" s="420" t="s">
        <v>67</v>
      </c>
      <c r="I2090" s="421"/>
      <c r="J2090" s="396">
        <f>J2089</f>
        <v>0</v>
      </c>
    </row>
    <row r="2091" spans="1:10" ht="13">
      <c r="A2091" s="27"/>
      <c r="B2091" s="110"/>
      <c r="D2091" s="444" t="s">
        <v>68</v>
      </c>
      <c r="E2091" s="445" t="s">
        <v>69</v>
      </c>
      <c r="F2091" s="446"/>
      <c r="G2091" s="447"/>
      <c r="H2091" s="448"/>
      <c r="I2091" s="449">
        <f>IF(AND(E2091&lt;&gt;"",G2091&lt;&gt;""),IF(D2091="",IF(G2091="OH",VLOOKUP(E2091,UPAH!$C$4:$H$31,7,0),VLOOKUP(E2091,#REF!,4,0)),0),0)</f>
        <v>0</v>
      </c>
      <c r="J2091" s="16">
        <f>SUM(J2080:J2090)/2</f>
        <v>0</v>
      </c>
    </row>
    <row r="2092" spans="1:10" ht="13.5" thickBot="1">
      <c r="A2092" s="27"/>
      <c r="B2092" s="110"/>
      <c r="D2092" s="431" t="s">
        <v>70</v>
      </c>
      <c r="E2092" s="432" t="s">
        <v>477</v>
      </c>
      <c r="F2092" s="433"/>
      <c r="G2092" s="434"/>
      <c r="H2092" s="22">
        <v>0.1</v>
      </c>
      <c r="I2092" s="436"/>
      <c r="J2092" s="430">
        <f>H2092*J2091</f>
        <v>0</v>
      </c>
    </row>
    <row r="2093" spans="1:10" ht="13.5" thickBot="1">
      <c r="A2093" s="27"/>
      <c r="B2093" s="110"/>
      <c r="D2093" s="401" t="s">
        <v>71</v>
      </c>
      <c r="E2093" s="402" t="s">
        <v>72</v>
      </c>
      <c r="F2093" s="418"/>
      <c r="G2093" s="419"/>
      <c r="H2093" s="442"/>
      <c r="I2093" s="421">
        <f>IF(AND(E2093&lt;&gt;"",G2093&lt;&gt;""),IF(D2093="",IF(G2093="OH",VLOOKUP(E2093,UPAH!$C$4:$H$31,7,0),VLOOKUP(E2093,#REF!,4,0)),0),0)</f>
        <v>0</v>
      </c>
      <c r="J2093" s="396">
        <f>ROUNDDOWN(J2091+J2092,0)</f>
        <v>0</v>
      </c>
    </row>
    <row r="2094" spans="1:10" ht="13">
      <c r="A2094" s="27"/>
      <c r="B2094" s="110"/>
      <c r="D2094" s="11"/>
      <c r="E2094" s="11"/>
      <c r="H2094" s="443"/>
      <c r="I2094" s="17"/>
      <c r="J2094" s="18"/>
    </row>
    <row r="2095" spans="1:10" ht="13.5" thickBot="1">
      <c r="A2095" s="27"/>
      <c r="B2095" s="110"/>
      <c r="C2095" s="11" t="s">
        <v>701</v>
      </c>
      <c r="D2095" s="10" t="s">
        <v>702</v>
      </c>
      <c r="H2095" s="443"/>
    </row>
    <row r="2096" spans="1:10" ht="13.5" thickBot="1">
      <c r="A2096" s="27"/>
      <c r="B2096" s="110"/>
      <c r="D2096" s="401" t="s">
        <v>40</v>
      </c>
      <c r="E2096" s="402" t="s">
        <v>41</v>
      </c>
      <c r="F2096" s="402" t="s">
        <v>42</v>
      </c>
      <c r="G2096" s="403" t="s">
        <v>43</v>
      </c>
      <c r="H2096" s="404" t="s">
        <v>44</v>
      </c>
      <c r="I2096" s="402" t="s">
        <v>474</v>
      </c>
      <c r="J2096" s="405" t="s">
        <v>475</v>
      </c>
    </row>
    <row r="2097" spans="1:10" ht="13">
      <c r="A2097" s="27"/>
      <c r="B2097" s="110"/>
      <c r="D2097" s="406" t="s">
        <v>45</v>
      </c>
      <c r="E2097" s="13" t="s">
        <v>46</v>
      </c>
      <c r="F2097" s="14"/>
      <c r="G2097" s="15"/>
      <c r="H2097" s="451"/>
      <c r="I2097" s="412"/>
      <c r="J2097" s="16"/>
    </row>
    <row r="2098" spans="1:10" ht="13">
      <c r="A2098" s="27"/>
      <c r="B2098" s="110"/>
      <c r="D2098" s="409"/>
      <c r="E2098" s="13" t="s">
        <v>47</v>
      </c>
      <c r="F2098" s="13" t="s">
        <v>1918</v>
      </c>
      <c r="G2098" s="410" t="s">
        <v>48</v>
      </c>
      <c r="H2098" s="411">
        <v>1.9E-2</v>
      </c>
      <c r="I2098" s="412">
        <f>IF(AND(E2098&lt;&gt;"",G2098&lt;&gt;""),IF(D2098="",IF(G2098="OH",VLOOKUP(F2098,UPAH!$B$4:$H$101,7,0),VLOOKUP(F2098,#REF!,4,0)),0),0)</f>
        <v>0</v>
      </c>
      <c r="J2098" s="16">
        <f>H2098*I2098</f>
        <v>0</v>
      </c>
    </row>
    <row r="2099" spans="1:10" ht="13">
      <c r="A2099" s="27"/>
      <c r="B2099" s="110"/>
      <c r="D2099" s="409"/>
      <c r="E2099" s="13" t="s">
        <v>81</v>
      </c>
      <c r="F2099" s="13" t="s">
        <v>1921</v>
      </c>
      <c r="G2099" s="410" t="s">
        <v>48</v>
      </c>
      <c r="H2099" s="411">
        <v>3.7999999999999999E-2</v>
      </c>
      <c r="I2099" s="412">
        <f>IF(AND(E2099&lt;&gt;"",G2099&lt;&gt;""),IF(D2099="",IF(G2099="OH",VLOOKUP(F2099,UPAH!$B$4:$H$101,7,0),VLOOKUP(F2099,#REF!,4,0)),0),0)</f>
        <v>0</v>
      </c>
      <c r="J2099" s="16">
        <f>H2099*I2099</f>
        <v>0</v>
      </c>
    </row>
    <row r="2100" spans="1:10" ht="13">
      <c r="A2100" s="27"/>
      <c r="B2100" s="110"/>
      <c r="D2100" s="409"/>
      <c r="E2100" s="13" t="s">
        <v>467</v>
      </c>
      <c r="F2100" s="14" t="s">
        <v>1934</v>
      </c>
      <c r="G2100" s="410" t="s">
        <v>48</v>
      </c>
      <c r="H2100" s="411">
        <v>1.9E-2</v>
      </c>
      <c r="I2100" s="412">
        <f>IF(AND(E2100&lt;&gt;"",G2100&lt;&gt;""),IF(D2100="",IF(G2100="OH",VLOOKUP(F2100,UPAH!$B$4:$H$101,7,0),VLOOKUP(F2100,#REF!,4,0)),0),0)</f>
        <v>0</v>
      </c>
      <c r="J2100" s="16">
        <f>H2100*I2100</f>
        <v>0</v>
      </c>
    </row>
    <row r="2101" spans="1:10" ht="13.5" thickBot="1">
      <c r="A2101" s="27"/>
      <c r="B2101" s="110"/>
      <c r="D2101" s="409"/>
      <c r="E2101" s="13" t="s">
        <v>468</v>
      </c>
      <c r="F2101" s="14" t="s">
        <v>1935</v>
      </c>
      <c r="G2101" s="410" t="s">
        <v>48</v>
      </c>
      <c r="H2101" s="411">
        <v>1.9E-2</v>
      </c>
      <c r="I2101" s="412">
        <f>IF(AND(E2101&lt;&gt;"",G2101&lt;&gt;""),IF(D2101="",IF(G2101="OH",VLOOKUP(F2101,UPAH!$B$4:$H$101,7,0),VLOOKUP(F2101,#REF!,4,0)),0),0)</f>
        <v>0</v>
      </c>
      <c r="J2101" s="16">
        <f>H2101*I2101</f>
        <v>0</v>
      </c>
    </row>
    <row r="2102" spans="1:10" ht="13.5" thickBot="1">
      <c r="A2102" s="27"/>
      <c r="B2102" s="110"/>
      <c r="D2102" s="417"/>
      <c r="E2102" s="418"/>
      <c r="F2102" s="418"/>
      <c r="G2102" s="419"/>
      <c r="H2102" s="420" t="s">
        <v>52</v>
      </c>
      <c r="I2102" s="421"/>
      <c r="J2102" s="396">
        <f>SUM(J2098:J2101)</f>
        <v>0</v>
      </c>
    </row>
    <row r="2103" spans="1:10" ht="13">
      <c r="A2103" s="27"/>
      <c r="B2103" s="110"/>
      <c r="D2103" s="406" t="s">
        <v>53</v>
      </c>
      <c r="E2103" s="13" t="s">
        <v>54</v>
      </c>
      <c r="F2103" s="14"/>
      <c r="G2103" s="15"/>
      <c r="H2103" s="451"/>
      <c r="I2103" s="412"/>
      <c r="J2103" s="16"/>
    </row>
    <row r="2104" spans="1:10" ht="13.5" thickBot="1">
      <c r="A2104" s="27"/>
      <c r="B2104" s="110"/>
      <c r="D2104" s="409"/>
      <c r="E2104" s="13" t="s">
        <v>131</v>
      </c>
      <c r="F2104" s="14"/>
      <c r="G2104" s="410" t="s">
        <v>127</v>
      </c>
      <c r="H2104" s="411">
        <v>1.897</v>
      </c>
      <c r="I2104" s="412">
        <f>'BAHAN '!G71</f>
        <v>0</v>
      </c>
      <c r="J2104" s="16">
        <f>H2104*I2104</f>
        <v>0</v>
      </c>
    </row>
    <row r="2105" spans="1:10" ht="13.5" thickBot="1">
      <c r="A2105" s="27"/>
      <c r="B2105" s="110"/>
      <c r="D2105" s="417"/>
      <c r="E2105" s="418"/>
      <c r="F2105" s="418"/>
      <c r="G2105" s="419"/>
      <c r="H2105" s="420" t="s">
        <v>64</v>
      </c>
      <c r="I2105" s="421"/>
      <c r="J2105" s="396">
        <f>SUM(J2104)</f>
        <v>0</v>
      </c>
    </row>
    <row r="2106" spans="1:10" ht="13">
      <c r="A2106" s="27"/>
      <c r="B2106" s="110"/>
      <c r="D2106" s="406" t="s">
        <v>65</v>
      </c>
      <c r="E2106" s="13" t="s">
        <v>66</v>
      </c>
      <c r="F2106" s="14"/>
      <c r="G2106" s="15"/>
      <c r="H2106" s="451"/>
      <c r="I2106" s="412"/>
      <c r="J2106" s="16"/>
    </row>
    <row r="2107" spans="1:10" ht="13.5" thickBot="1">
      <c r="A2107" s="27"/>
      <c r="B2107" s="110"/>
      <c r="D2107" s="409"/>
      <c r="E2107" s="13" t="s">
        <v>490</v>
      </c>
      <c r="F2107" s="14"/>
      <c r="G2107" s="410" t="s">
        <v>491</v>
      </c>
      <c r="H2107" s="411">
        <v>1.9E-2</v>
      </c>
      <c r="I2107" s="412">
        <f>Alat!H27</f>
        <v>0</v>
      </c>
      <c r="J2107" s="16">
        <f>H2107*I2107</f>
        <v>0</v>
      </c>
    </row>
    <row r="2108" spans="1:10" ht="13.5" thickBot="1">
      <c r="A2108" s="27"/>
      <c r="B2108" s="110"/>
      <c r="D2108" s="417"/>
      <c r="E2108" s="418"/>
      <c r="F2108" s="418"/>
      <c r="G2108" s="419"/>
      <c r="H2108" s="420" t="s">
        <v>67</v>
      </c>
      <c r="I2108" s="421"/>
      <c r="J2108" s="396">
        <f>J2107</f>
        <v>0</v>
      </c>
    </row>
    <row r="2109" spans="1:10" ht="13">
      <c r="A2109" s="27"/>
      <c r="B2109" s="110"/>
      <c r="D2109" s="444" t="s">
        <v>68</v>
      </c>
      <c r="E2109" s="445" t="s">
        <v>69</v>
      </c>
      <c r="F2109" s="446"/>
      <c r="G2109" s="447"/>
      <c r="H2109" s="448"/>
      <c r="I2109" s="449">
        <f>IF(AND(E2109&lt;&gt;"",G2109&lt;&gt;""),IF(D2109="",IF(G2109="OH",VLOOKUP(E2109,UPAH!$C$4:$H$31,7,0),VLOOKUP(E2109,#REF!,4,0)),0),0)</f>
        <v>0</v>
      </c>
      <c r="J2109" s="16">
        <f>SUM(J2098:J2108)/2</f>
        <v>0</v>
      </c>
    </row>
    <row r="2110" spans="1:10" ht="13.5" thickBot="1">
      <c r="A2110" s="27"/>
      <c r="B2110" s="110"/>
      <c r="D2110" s="431" t="s">
        <v>70</v>
      </c>
      <c r="E2110" s="432" t="s">
        <v>477</v>
      </c>
      <c r="F2110" s="433"/>
      <c r="G2110" s="434"/>
      <c r="H2110" s="22">
        <v>0.1</v>
      </c>
      <c r="I2110" s="436"/>
      <c r="J2110" s="430">
        <f>H2110*J2109</f>
        <v>0</v>
      </c>
    </row>
    <row r="2111" spans="1:10" ht="13.5" thickBot="1">
      <c r="A2111" s="27"/>
      <c r="B2111" s="110"/>
      <c r="D2111" s="401" t="s">
        <v>71</v>
      </c>
      <c r="E2111" s="402" t="s">
        <v>72</v>
      </c>
      <c r="F2111" s="418"/>
      <c r="G2111" s="419"/>
      <c r="H2111" s="442"/>
      <c r="I2111" s="421">
        <f>IF(AND(E2111&lt;&gt;"",G2111&lt;&gt;""),IF(D2111="",IF(G2111="OH",VLOOKUP(E2111,UPAH!$C$4:$H$31,7,0),VLOOKUP(E2111,#REF!,4,0)),0),0)</f>
        <v>0</v>
      </c>
      <c r="J2111" s="396">
        <f>ROUNDDOWN(J2109+J2110,0)</f>
        <v>0</v>
      </c>
    </row>
    <row r="2112" spans="1:10" ht="13">
      <c r="A2112" s="27"/>
      <c r="B2112" s="110"/>
      <c r="D2112" s="11"/>
      <c r="E2112" s="11"/>
      <c r="H2112" s="443"/>
    </row>
    <row r="2113" spans="1:10" ht="13.5" thickBot="1">
      <c r="A2113" s="27"/>
      <c r="B2113" s="110"/>
      <c r="C2113" s="11" t="s">
        <v>703</v>
      </c>
      <c r="D2113" s="10" t="s">
        <v>704</v>
      </c>
      <c r="H2113" s="443"/>
    </row>
    <row r="2114" spans="1:10" ht="13.5" thickBot="1">
      <c r="A2114" s="27"/>
      <c r="B2114" s="110"/>
      <c r="D2114" s="401" t="s">
        <v>40</v>
      </c>
      <c r="E2114" s="402" t="s">
        <v>41</v>
      </c>
      <c r="F2114" s="402" t="s">
        <v>42</v>
      </c>
      <c r="G2114" s="403" t="s">
        <v>43</v>
      </c>
      <c r="H2114" s="404" t="s">
        <v>44</v>
      </c>
      <c r="I2114" s="402" t="s">
        <v>474</v>
      </c>
      <c r="J2114" s="405" t="s">
        <v>475</v>
      </c>
    </row>
    <row r="2115" spans="1:10" ht="13.5" thickBot="1">
      <c r="A2115" s="27"/>
      <c r="B2115" s="110"/>
      <c r="D2115" s="406" t="s">
        <v>45</v>
      </c>
      <c r="E2115" s="13" t="s">
        <v>46</v>
      </c>
      <c r="F2115" s="14"/>
      <c r="G2115" s="15"/>
      <c r="H2115" s="451"/>
      <c r="I2115" s="412"/>
      <c r="J2115" s="16"/>
    </row>
    <row r="2116" spans="1:10" ht="13.5" thickBot="1">
      <c r="A2116" s="27"/>
      <c r="B2116" s="110"/>
      <c r="D2116" s="417"/>
      <c r="E2116" s="418"/>
      <c r="F2116" s="418"/>
      <c r="G2116" s="419"/>
      <c r="H2116" s="420" t="s">
        <v>52</v>
      </c>
      <c r="I2116" s="421"/>
      <c r="J2116" s="396">
        <f>SUM(J2112:J2115)</f>
        <v>0</v>
      </c>
    </row>
    <row r="2117" spans="1:10" ht="13">
      <c r="A2117" s="27"/>
      <c r="B2117" s="110"/>
      <c r="D2117" s="406" t="s">
        <v>53</v>
      </c>
      <c r="E2117" s="13" t="s">
        <v>54</v>
      </c>
      <c r="F2117" s="14"/>
      <c r="G2117" s="15"/>
      <c r="H2117" s="451"/>
      <c r="I2117" s="412">
        <f>IF(AND(E2117&lt;&gt;"",G2117&lt;&gt;""),IF(D2117="",IF(G2117="OH",VLOOKUP(E2117,UPAH!$C$4:$H$31,7,0),VLOOKUP(E2117,#REF!,4,0)),0),0)</f>
        <v>0</v>
      </c>
      <c r="J2117" s="16">
        <f>H2117*I2117</f>
        <v>0</v>
      </c>
    </row>
    <row r="2118" spans="1:10" ht="13">
      <c r="A2118" s="27"/>
      <c r="B2118" s="110"/>
      <c r="D2118" s="409"/>
      <c r="E2118" s="13" t="s">
        <v>438</v>
      </c>
      <c r="F2118" s="14"/>
      <c r="G2118" s="410" t="s">
        <v>57</v>
      </c>
      <c r="H2118" s="411">
        <v>1200</v>
      </c>
      <c r="I2118" s="412">
        <f>'BAHAN '!G75</f>
        <v>0</v>
      </c>
      <c r="J2118" s="16">
        <f>H2118*I2118</f>
        <v>0</v>
      </c>
    </row>
    <row r="2119" spans="1:10" ht="13">
      <c r="A2119" s="27"/>
      <c r="B2119" s="110"/>
      <c r="D2119" s="409"/>
      <c r="E2119" s="13" t="s">
        <v>134</v>
      </c>
      <c r="F2119" s="14"/>
      <c r="G2119" s="410" t="s">
        <v>57</v>
      </c>
      <c r="H2119" s="411">
        <v>650</v>
      </c>
      <c r="I2119" s="412">
        <f>'BAHAN '!G975</f>
        <v>0</v>
      </c>
      <c r="J2119" s="16">
        <f>H2119*I2119</f>
        <v>0</v>
      </c>
    </row>
    <row r="2120" spans="1:10" ht="13.5" thickBot="1">
      <c r="A2120" s="27"/>
      <c r="B2120" s="110"/>
      <c r="D2120" s="409"/>
      <c r="E2120" s="13" t="s">
        <v>108</v>
      </c>
      <c r="F2120" s="14"/>
      <c r="G2120" s="410" t="s">
        <v>127</v>
      </c>
      <c r="H2120" s="411">
        <v>350</v>
      </c>
      <c r="I2120" s="412">
        <f>'BAHAN '!G11</f>
        <v>0</v>
      </c>
      <c r="J2120" s="16">
        <f>H2120*I2120</f>
        <v>0</v>
      </c>
    </row>
    <row r="2121" spans="1:10" ht="13.5" thickBot="1">
      <c r="A2121" s="27"/>
      <c r="B2121" s="110"/>
      <c r="D2121" s="417"/>
      <c r="E2121" s="418"/>
      <c r="F2121" s="418"/>
      <c r="G2121" s="419"/>
      <c r="H2121" s="420" t="s">
        <v>64</v>
      </c>
      <c r="I2121" s="421"/>
      <c r="J2121" s="396">
        <f>SUM(J2117:J2120)</f>
        <v>0</v>
      </c>
    </row>
    <row r="2122" spans="1:10" ht="13.5" thickBot="1">
      <c r="A2122" s="27"/>
      <c r="B2122" s="110"/>
      <c r="D2122" s="406" t="s">
        <v>65</v>
      </c>
      <c r="E2122" s="13" t="s">
        <v>66</v>
      </c>
      <c r="F2122" s="14"/>
      <c r="G2122" s="15"/>
      <c r="H2122" s="451"/>
      <c r="I2122" s="412"/>
      <c r="J2122" s="16"/>
    </row>
    <row r="2123" spans="1:10" ht="13.5" thickBot="1">
      <c r="A2123" s="27"/>
      <c r="B2123" s="110"/>
      <c r="D2123" s="417"/>
      <c r="E2123" s="418"/>
      <c r="F2123" s="418"/>
      <c r="G2123" s="419"/>
      <c r="H2123" s="420" t="s">
        <v>67</v>
      </c>
      <c r="I2123" s="421"/>
      <c r="J2123" s="396">
        <f>J2122</f>
        <v>0</v>
      </c>
    </row>
    <row r="2124" spans="1:10" ht="13">
      <c r="A2124" s="27"/>
      <c r="B2124" s="110"/>
      <c r="D2124" s="444" t="s">
        <v>68</v>
      </c>
      <c r="E2124" s="445" t="s">
        <v>69</v>
      </c>
      <c r="F2124" s="446"/>
      <c r="G2124" s="447"/>
      <c r="H2124" s="448"/>
      <c r="I2124" s="449">
        <f>IF(AND(E2124&lt;&gt;"",G2124&lt;&gt;""),IF(D2124="",IF(G2124="OH",VLOOKUP(E2124,UPAH!$C$4:$H$31,7,0),VLOOKUP(E2124,#REF!,4,0)),0),0)</f>
        <v>0</v>
      </c>
      <c r="J2124" s="16">
        <f>SUM(J2114:J2123)/2</f>
        <v>0</v>
      </c>
    </row>
    <row r="2125" spans="1:10" ht="13.5" thickBot="1">
      <c r="A2125" s="27"/>
      <c r="B2125" s="110"/>
      <c r="D2125" s="431" t="s">
        <v>70</v>
      </c>
      <c r="E2125" s="432" t="s">
        <v>477</v>
      </c>
      <c r="F2125" s="433"/>
      <c r="G2125" s="434"/>
      <c r="H2125" s="22">
        <v>0.1</v>
      </c>
      <c r="I2125" s="436"/>
      <c r="J2125" s="430">
        <f>H2125*J2124</f>
        <v>0</v>
      </c>
    </row>
    <row r="2126" spans="1:10" ht="13.5" thickBot="1">
      <c r="A2126" s="27"/>
      <c r="B2126" s="110"/>
      <c r="D2126" s="401" t="s">
        <v>71</v>
      </c>
      <c r="E2126" s="402" t="s">
        <v>72</v>
      </c>
      <c r="F2126" s="418"/>
      <c r="G2126" s="419"/>
      <c r="H2126" s="442"/>
      <c r="I2126" s="421">
        <f>IF(AND(E2126&lt;&gt;"",G2126&lt;&gt;""),IF(D2126="",IF(G2126="OH",VLOOKUP(E2126,UPAH!$C$4:$H$31,7,0),VLOOKUP(E2126,#REF!,4,0)),0),0)</f>
        <v>0</v>
      </c>
      <c r="J2126" s="396">
        <f>ROUNDDOWN(J2124+J2125,0)</f>
        <v>0</v>
      </c>
    </row>
    <row r="2127" spans="1:10" ht="13">
      <c r="A2127" s="27"/>
      <c r="B2127" s="110"/>
      <c r="D2127" s="11"/>
      <c r="E2127" s="11"/>
      <c r="H2127" s="443"/>
      <c r="I2127" s="17"/>
      <c r="J2127" s="18"/>
    </row>
    <row r="2128" spans="1:10" ht="13.5" thickBot="1">
      <c r="A2128" s="27"/>
      <c r="B2128" s="110"/>
      <c r="C2128" s="11" t="s">
        <v>705</v>
      </c>
      <c r="D2128" s="10" t="s">
        <v>706</v>
      </c>
      <c r="H2128" s="443"/>
    </row>
    <row r="2129" spans="1:10" ht="13.5" thickBot="1">
      <c r="A2129" s="27"/>
      <c r="B2129" s="110"/>
      <c r="D2129" s="401" t="s">
        <v>40</v>
      </c>
      <c r="E2129" s="402" t="s">
        <v>41</v>
      </c>
      <c r="F2129" s="402" t="s">
        <v>42</v>
      </c>
      <c r="G2129" s="403" t="s">
        <v>43</v>
      </c>
      <c r="H2129" s="404" t="s">
        <v>44</v>
      </c>
      <c r="I2129" s="402" t="s">
        <v>474</v>
      </c>
      <c r="J2129" s="405" t="s">
        <v>475</v>
      </c>
    </row>
    <row r="2130" spans="1:10" ht="13.5" thickBot="1">
      <c r="A2130" s="27"/>
      <c r="B2130" s="110"/>
      <c r="D2130" s="406" t="s">
        <v>45</v>
      </c>
      <c r="E2130" s="13" t="s">
        <v>46</v>
      </c>
      <c r="F2130" s="14"/>
      <c r="G2130" s="15"/>
      <c r="H2130" s="451"/>
      <c r="I2130" s="412"/>
      <c r="J2130" s="16"/>
    </row>
    <row r="2131" spans="1:10" ht="13.5" thickBot="1">
      <c r="A2131" s="27"/>
      <c r="B2131" s="110"/>
      <c r="D2131" s="417"/>
      <c r="E2131" s="418"/>
      <c r="F2131" s="418"/>
      <c r="G2131" s="419"/>
      <c r="H2131" s="420" t="s">
        <v>52</v>
      </c>
      <c r="I2131" s="421"/>
      <c r="J2131" s="396">
        <f>SUM(J2127:J2130)</f>
        <v>0</v>
      </c>
    </row>
    <row r="2132" spans="1:10" ht="13">
      <c r="A2132" s="27"/>
      <c r="B2132" s="110"/>
      <c r="D2132" s="406" t="s">
        <v>53</v>
      </c>
      <c r="E2132" s="13" t="s">
        <v>54</v>
      </c>
      <c r="F2132" s="14"/>
      <c r="G2132" s="15"/>
      <c r="H2132" s="451"/>
      <c r="I2132" s="412">
        <f>IF(AND(E2132&lt;&gt;"",G2132&lt;&gt;""),IF(D2132="",IF(G2132="OH",VLOOKUP(E2132,UPAH!$C$4:$H$31,7,0),VLOOKUP(E2132,#REF!,4,0)),0),0)</f>
        <v>0</v>
      </c>
      <c r="J2132" s="16">
        <f>H2132*I2132</f>
        <v>0</v>
      </c>
    </row>
    <row r="2133" spans="1:10" ht="13">
      <c r="A2133" s="27"/>
      <c r="B2133" s="110"/>
      <c r="D2133" s="409"/>
      <c r="E2133" s="13" t="s">
        <v>438</v>
      </c>
      <c r="F2133" s="14"/>
      <c r="G2133" s="410" t="s">
        <v>57</v>
      </c>
      <c r="H2133" s="411">
        <v>1850</v>
      </c>
      <c r="I2133" s="412">
        <f>'BAHAN '!G75</f>
        <v>0</v>
      </c>
      <c r="J2133" s="16">
        <f>H2133*I2133</f>
        <v>0</v>
      </c>
    </row>
    <row r="2134" spans="1:10" ht="13.5" thickBot="1">
      <c r="A2134" s="27"/>
      <c r="B2134" s="110"/>
      <c r="D2134" s="409"/>
      <c r="E2134" s="13" t="s">
        <v>108</v>
      </c>
      <c r="F2134" s="14"/>
      <c r="G2134" s="410" t="s">
        <v>127</v>
      </c>
      <c r="H2134" s="411">
        <v>400</v>
      </c>
      <c r="I2134" s="412">
        <f>'BAHAN '!G11</f>
        <v>0</v>
      </c>
      <c r="J2134" s="16">
        <f>H2134*I2134</f>
        <v>0</v>
      </c>
    </row>
    <row r="2135" spans="1:10" ht="13.5" thickBot="1">
      <c r="A2135" s="27"/>
      <c r="B2135" s="110"/>
      <c r="D2135" s="417"/>
      <c r="E2135" s="418"/>
      <c r="F2135" s="418"/>
      <c r="G2135" s="419"/>
      <c r="H2135" s="420" t="s">
        <v>64</v>
      </c>
      <c r="I2135" s="421"/>
      <c r="J2135" s="396">
        <f>SUM(J2131:J2134)</f>
        <v>0</v>
      </c>
    </row>
    <row r="2136" spans="1:10" ht="13.5" thickBot="1">
      <c r="A2136" s="27"/>
      <c r="B2136" s="110"/>
      <c r="D2136" s="406" t="s">
        <v>65</v>
      </c>
      <c r="E2136" s="13" t="s">
        <v>66</v>
      </c>
      <c r="F2136" s="14"/>
      <c r="G2136" s="15"/>
      <c r="H2136" s="451"/>
      <c r="I2136" s="412"/>
      <c r="J2136" s="16"/>
    </row>
    <row r="2137" spans="1:10" ht="13.5" thickBot="1">
      <c r="A2137" s="27"/>
      <c r="B2137" s="110"/>
      <c r="D2137" s="417"/>
      <c r="E2137" s="418"/>
      <c r="F2137" s="418"/>
      <c r="G2137" s="419"/>
      <c r="H2137" s="420" t="s">
        <v>67</v>
      </c>
      <c r="I2137" s="421"/>
      <c r="J2137" s="396">
        <f>J2136</f>
        <v>0</v>
      </c>
    </row>
    <row r="2138" spans="1:10" ht="13">
      <c r="A2138" s="27"/>
      <c r="B2138" s="110"/>
      <c r="D2138" s="444" t="s">
        <v>68</v>
      </c>
      <c r="E2138" s="445" t="s">
        <v>69</v>
      </c>
      <c r="F2138" s="446"/>
      <c r="G2138" s="447"/>
      <c r="H2138" s="448"/>
      <c r="I2138" s="449">
        <f>IF(AND(E2138&lt;&gt;"",G2138&lt;&gt;""),IF(D2138="",IF(G2138="OH",VLOOKUP(E2138,UPAH!$C$4:$H$31,7,0),VLOOKUP(E2138,#REF!,4,0)),0),0)</f>
        <v>0</v>
      </c>
      <c r="J2138" s="16">
        <f>SUM(J2129:J2137)/2</f>
        <v>0</v>
      </c>
    </row>
    <row r="2139" spans="1:10" ht="13.5" thickBot="1">
      <c r="A2139" s="27"/>
      <c r="B2139" s="110"/>
      <c r="D2139" s="431" t="s">
        <v>70</v>
      </c>
      <c r="E2139" s="432" t="s">
        <v>477</v>
      </c>
      <c r="F2139" s="433"/>
      <c r="G2139" s="434"/>
      <c r="H2139" s="22">
        <v>0.1</v>
      </c>
      <c r="I2139" s="436"/>
      <c r="J2139" s="430">
        <f>H2139*J2138</f>
        <v>0</v>
      </c>
    </row>
    <row r="2140" spans="1:10" ht="13.5" thickBot="1">
      <c r="A2140" s="27"/>
      <c r="B2140" s="110"/>
      <c r="D2140" s="401" t="s">
        <v>71</v>
      </c>
      <c r="E2140" s="402" t="s">
        <v>72</v>
      </c>
      <c r="F2140" s="418"/>
      <c r="G2140" s="419"/>
      <c r="H2140" s="442"/>
      <c r="I2140" s="421">
        <f>IF(AND(E2140&lt;&gt;"",G2140&lt;&gt;""),IF(D2140="",IF(G2140="OH",VLOOKUP(E2140,UPAH!$C$4:$H$31,7,0),VLOOKUP(E2140,#REF!,4,0)),0),0)</f>
        <v>0</v>
      </c>
      <c r="J2140" s="396">
        <f>ROUNDDOWN(J2138+J2139,0)</f>
        <v>0</v>
      </c>
    </row>
    <row r="2141" spans="1:10" ht="13">
      <c r="A2141" s="27"/>
      <c r="B2141" s="110"/>
      <c r="D2141" s="11"/>
      <c r="E2141" s="11"/>
      <c r="H2141" s="443"/>
      <c r="I2141" s="17"/>
      <c r="J2141" s="18"/>
    </row>
    <row r="2142" spans="1:10" ht="13.5" thickBot="1">
      <c r="A2142" s="27"/>
      <c r="B2142" s="110"/>
      <c r="C2142" s="11" t="s">
        <v>707</v>
      </c>
      <c r="D2142" s="10" t="s">
        <v>708</v>
      </c>
      <c r="H2142" s="443"/>
    </row>
    <row r="2143" spans="1:10" ht="13.5" thickBot="1">
      <c r="A2143" s="27"/>
      <c r="B2143" s="110"/>
      <c r="D2143" s="401" t="s">
        <v>40</v>
      </c>
      <c r="E2143" s="402" t="s">
        <v>41</v>
      </c>
      <c r="F2143" s="402" t="s">
        <v>42</v>
      </c>
      <c r="G2143" s="403" t="s">
        <v>43</v>
      </c>
      <c r="H2143" s="404" t="s">
        <v>44</v>
      </c>
      <c r="I2143" s="402" t="s">
        <v>474</v>
      </c>
      <c r="J2143" s="405" t="s">
        <v>475</v>
      </c>
    </row>
    <row r="2144" spans="1:10" ht="13">
      <c r="A2144" s="27"/>
      <c r="B2144" s="110"/>
      <c r="D2144" s="406" t="s">
        <v>45</v>
      </c>
      <c r="E2144" s="13" t="s">
        <v>46</v>
      </c>
      <c r="F2144" s="14"/>
      <c r="G2144" s="15"/>
      <c r="H2144" s="451"/>
      <c r="I2144" s="412"/>
      <c r="J2144" s="16"/>
    </row>
    <row r="2145" spans="1:10" ht="13">
      <c r="A2145" s="27"/>
      <c r="B2145" s="110"/>
      <c r="D2145" s="409"/>
      <c r="E2145" s="13" t="s">
        <v>81</v>
      </c>
      <c r="F2145" s="13" t="s">
        <v>1921</v>
      </c>
      <c r="G2145" s="410" t="s">
        <v>48</v>
      </c>
      <c r="H2145" s="411">
        <v>0.36699999999999999</v>
      </c>
      <c r="I2145" s="412">
        <f>IF(AND(E2145&lt;&gt;"",G2145&lt;&gt;""),IF(D2145="",IF(G2145="OH",VLOOKUP(F2145,UPAH!$B$4:$H$101,7,0),VLOOKUP(F2145,#REF!,4,0)),0),0)</f>
        <v>0</v>
      </c>
      <c r="J2145" s="16">
        <f>H2145*I2145</f>
        <v>0</v>
      </c>
    </row>
    <row r="2146" spans="1:10" ht="13">
      <c r="A2146" s="27"/>
      <c r="B2146" s="110"/>
      <c r="D2146" s="409"/>
      <c r="E2146" s="13" t="s">
        <v>50</v>
      </c>
      <c r="F2146" s="13" t="s">
        <v>1928</v>
      </c>
      <c r="G2146" s="410" t="s">
        <v>48</v>
      </c>
      <c r="H2146" s="411">
        <v>7.3999999999999996E-2</v>
      </c>
      <c r="I2146" s="412">
        <f>IF(AND(E2146&lt;&gt;"",G2146&lt;&gt;""),IF(D2146="",IF(G2146="OH",VLOOKUP(F2146,UPAH!$B$4:$H$101,7,0),VLOOKUP(F2146,#REF!,4,0)),0),0)</f>
        <v>0</v>
      </c>
      <c r="J2146" s="16">
        <f>H2146*I2146</f>
        <v>0</v>
      </c>
    </row>
    <row r="2147" spans="1:10" ht="13.5" thickBot="1">
      <c r="A2147" s="27"/>
      <c r="B2147" s="110"/>
      <c r="D2147" s="409"/>
      <c r="E2147" s="13" t="s">
        <v>51</v>
      </c>
      <c r="F2147" s="13" t="s">
        <v>1929</v>
      </c>
      <c r="G2147" s="410" t="s">
        <v>48</v>
      </c>
      <c r="H2147" s="411">
        <v>3.6999999999999998E-2</v>
      </c>
      <c r="I2147" s="412">
        <f>IF(AND(E2147&lt;&gt;"",G2147&lt;&gt;""),IF(D2147="",IF(G2147="OH",VLOOKUP(F2147,UPAH!$B$4:$H$101,7,0),VLOOKUP(F2147,#REF!,4,0)),0),0)</f>
        <v>0</v>
      </c>
      <c r="J2147" s="16">
        <f>H2147*I2147</f>
        <v>0</v>
      </c>
    </row>
    <row r="2148" spans="1:10" ht="13.5" thickBot="1">
      <c r="A2148" s="27"/>
      <c r="B2148" s="110"/>
      <c r="D2148" s="417"/>
      <c r="E2148" s="418"/>
      <c r="F2148" s="418"/>
      <c r="G2148" s="419"/>
      <c r="H2148" s="420" t="s">
        <v>52</v>
      </c>
      <c r="I2148" s="421"/>
      <c r="J2148" s="396">
        <f>SUM(J2145:J2147)</f>
        <v>0</v>
      </c>
    </row>
    <row r="2149" spans="1:10" ht="13.5" thickBot="1">
      <c r="A2149" s="27"/>
      <c r="B2149" s="110"/>
      <c r="D2149" s="406" t="s">
        <v>53</v>
      </c>
      <c r="E2149" s="13" t="s">
        <v>54</v>
      </c>
      <c r="F2149" s="14"/>
      <c r="G2149" s="15"/>
      <c r="H2149" s="451"/>
      <c r="I2149" s="412">
        <f>IF(AND(E2149&lt;&gt;"",G2149&lt;&gt;""),IF(D2149="",IF(G2149="OH",VLOOKUP(E2149,UPAH!$C$4:$H$31,7,0),VLOOKUP(E2149,#REF!,4,0)),0),0)</f>
        <v>0</v>
      </c>
      <c r="J2149" s="16">
        <f>H2149*I2149</f>
        <v>0</v>
      </c>
    </row>
    <row r="2150" spans="1:10" ht="13.5" thickBot="1">
      <c r="A2150" s="27"/>
      <c r="B2150" s="110"/>
      <c r="D2150" s="417"/>
      <c r="E2150" s="418"/>
      <c r="F2150" s="418"/>
      <c r="G2150" s="419"/>
      <c r="H2150" s="420" t="s">
        <v>64</v>
      </c>
      <c r="I2150" s="421"/>
      <c r="J2150" s="396">
        <f>SUM(J2149)</f>
        <v>0</v>
      </c>
    </row>
    <row r="2151" spans="1:10" ht="13.5" thickBot="1">
      <c r="A2151" s="27"/>
      <c r="B2151" s="110"/>
      <c r="D2151" s="406" t="s">
        <v>65</v>
      </c>
      <c r="E2151" s="13" t="s">
        <v>66</v>
      </c>
      <c r="F2151" s="14"/>
      <c r="G2151" s="15"/>
      <c r="H2151" s="451"/>
      <c r="I2151" s="412">
        <f>IF(AND(E2151&lt;&gt;"",G2151&lt;&gt;""),IF(D2151="",IF(G2151="OH",VLOOKUP(E2151,UPAH!$C$4:$H$31,7,0),VLOOKUP(E2151,#REF!,4,0)),0),0)</f>
        <v>0</v>
      </c>
      <c r="J2151" s="16">
        <f>H2151*I2151</f>
        <v>0</v>
      </c>
    </row>
    <row r="2152" spans="1:10" ht="13.5" thickBot="1">
      <c r="A2152" s="27"/>
      <c r="B2152" s="110"/>
      <c r="D2152" s="417"/>
      <c r="E2152" s="418"/>
      <c r="F2152" s="418"/>
      <c r="G2152" s="419"/>
      <c r="H2152" s="420" t="s">
        <v>67</v>
      </c>
      <c r="I2152" s="421"/>
      <c r="J2152" s="396">
        <f>J2151</f>
        <v>0</v>
      </c>
    </row>
    <row r="2153" spans="1:10" ht="13">
      <c r="A2153" s="27"/>
      <c r="B2153" s="110"/>
      <c r="D2153" s="444" t="s">
        <v>68</v>
      </c>
      <c r="E2153" s="445" t="s">
        <v>69</v>
      </c>
      <c r="F2153" s="446"/>
      <c r="G2153" s="447"/>
      <c r="H2153" s="448"/>
      <c r="I2153" s="449">
        <f>IF(AND(E2153&lt;&gt;"",G2153&lt;&gt;""),IF(D2153="",IF(G2153="OH",VLOOKUP(E2153,UPAH!$C$4:$H$31,7,0),VLOOKUP(E2153,#REF!,4,0)),0),0)</f>
        <v>0</v>
      </c>
      <c r="J2153" s="16">
        <f>SUM(J2143:J2152)/2</f>
        <v>0</v>
      </c>
    </row>
    <row r="2154" spans="1:10" ht="13.5" thickBot="1">
      <c r="A2154" s="27"/>
      <c r="B2154" s="110"/>
      <c r="D2154" s="431" t="s">
        <v>70</v>
      </c>
      <c r="E2154" s="432" t="s">
        <v>477</v>
      </c>
      <c r="F2154" s="433"/>
      <c r="G2154" s="434"/>
      <c r="H2154" s="22">
        <v>0.1</v>
      </c>
      <c r="I2154" s="436"/>
      <c r="J2154" s="430">
        <f>H2154*J2153</f>
        <v>0</v>
      </c>
    </row>
    <row r="2155" spans="1:10" ht="13.5" thickBot="1">
      <c r="A2155" s="27"/>
      <c r="B2155" s="110"/>
      <c r="D2155" s="401" t="s">
        <v>71</v>
      </c>
      <c r="E2155" s="402" t="s">
        <v>72</v>
      </c>
      <c r="F2155" s="418"/>
      <c r="G2155" s="419"/>
      <c r="H2155" s="442"/>
      <c r="I2155" s="421">
        <f>IF(AND(E2155&lt;&gt;"",G2155&lt;&gt;""),IF(D2155="",IF(G2155="OH",VLOOKUP(E2155,UPAH!$C$4:$H$31,7,0),VLOOKUP(E2155,#REF!,4,0)),0),0)</f>
        <v>0</v>
      </c>
      <c r="J2155" s="396">
        <f>ROUNDDOWN(J2153+J2154,0)</f>
        <v>0</v>
      </c>
    </row>
    <row r="2156" spans="1:10" ht="13">
      <c r="A2156" s="27"/>
      <c r="B2156" s="110"/>
      <c r="D2156" s="11"/>
      <c r="E2156" s="11"/>
      <c r="H2156" s="443"/>
      <c r="I2156" s="17"/>
      <c r="J2156" s="18"/>
    </row>
    <row r="2157" spans="1:10" ht="13.5" thickBot="1">
      <c r="A2157" s="27"/>
      <c r="B2157" s="110" t="s">
        <v>45</v>
      </c>
      <c r="C2157" s="11" t="s">
        <v>709</v>
      </c>
      <c r="D2157" s="10" t="s">
        <v>710</v>
      </c>
      <c r="H2157" s="443"/>
    </row>
    <row r="2158" spans="1:10" ht="13.5" thickBot="1">
      <c r="A2158" s="27"/>
      <c r="B2158" s="110"/>
      <c r="D2158" s="401" t="s">
        <v>40</v>
      </c>
      <c r="E2158" s="402" t="s">
        <v>41</v>
      </c>
      <c r="F2158" s="402" t="s">
        <v>42</v>
      </c>
      <c r="G2158" s="403" t="s">
        <v>43</v>
      </c>
      <c r="H2158" s="404" t="s">
        <v>44</v>
      </c>
      <c r="I2158" s="402" t="s">
        <v>474</v>
      </c>
      <c r="J2158" s="405" t="s">
        <v>475</v>
      </c>
    </row>
    <row r="2159" spans="1:10" ht="13">
      <c r="A2159" s="27"/>
      <c r="B2159" s="110"/>
      <c r="D2159" s="406" t="s">
        <v>45</v>
      </c>
      <c r="E2159" s="13" t="s">
        <v>46</v>
      </c>
      <c r="F2159" s="14"/>
      <c r="G2159" s="15"/>
      <c r="H2159" s="451"/>
      <c r="I2159" s="412"/>
      <c r="J2159" s="16"/>
    </row>
    <row r="2160" spans="1:10" ht="13">
      <c r="A2160" s="27"/>
      <c r="B2160" s="110"/>
      <c r="D2160" s="409"/>
      <c r="E2160" s="13" t="s">
        <v>47</v>
      </c>
      <c r="F2160" s="13" t="s">
        <v>1918</v>
      </c>
      <c r="G2160" s="15" t="s">
        <v>48</v>
      </c>
      <c r="H2160" s="411">
        <v>0.14699999999999999</v>
      </c>
      <c r="I2160" s="412">
        <f>IF(AND(E2160&lt;&gt;"",G2160&lt;&gt;""),IF(D2160="",IF(G2160="OH",VLOOKUP(F2160,UPAH!$B$4:$H$101,7,0),VLOOKUP(F2160,#REF!,4,0)),0),0)</f>
        <v>0</v>
      </c>
      <c r="J2160" s="16">
        <f>H2160*I2160</f>
        <v>0</v>
      </c>
    </row>
    <row r="2161" spans="1:10" ht="13">
      <c r="A2161" s="27"/>
      <c r="B2161" s="110"/>
      <c r="D2161" s="409"/>
      <c r="E2161" s="13" t="s">
        <v>49</v>
      </c>
      <c r="F2161" s="13" t="s">
        <v>1922</v>
      </c>
      <c r="G2161" s="410" t="s">
        <v>48</v>
      </c>
      <c r="H2161" s="411">
        <v>0.14699999999999999</v>
      </c>
      <c r="I2161" s="412">
        <f>IF(AND(E2161&lt;&gt;"",G2161&lt;&gt;""),IF(D2161="",IF(G2161="OH",VLOOKUP(F2161,UPAH!$B$4:$H$101,7,0),VLOOKUP(F2161,#REF!,4,0)),0),0)</f>
        <v>0</v>
      </c>
      <c r="J2161" s="16">
        <f>H2161*I2161</f>
        <v>0</v>
      </c>
    </row>
    <row r="2162" spans="1:10" ht="13">
      <c r="A2162" s="27"/>
      <c r="B2162" s="110"/>
      <c r="D2162" s="409"/>
      <c r="E2162" s="13" t="s">
        <v>50</v>
      </c>
      <c r="F2162" s="13" t="s">
        <v>1928</v>
      </c>
      <c r="G2162" s="410" t="s">
        <v>48</v>
      </c>
      <c r="H2162" s="411">
        <v>1.4999999999999999E-2</v>
      </c>
      <c r="I2162" s="412">
        <f>IF(AND(E2162&lt;&gt;"",G2162&lt;&gt;""),IF(D2162="",IF(G2162="OH",VLOOKUP(F2162,UPAH!$B$4:$H$101,7,0),VLOOKUP(F2162,#REF!,4,0)),0),0)</f>
        <v>0</v>
      </c>
      <c r="J2162" s="16">
        <f>H2162*I2162</f>
        <v>0</v>
      </c>
    </row>
    <row r="2163" spans="1:10" ht="13.5" thickBot="1">
      <c r="A2163" s="27"/>
      <c r="B2163" s="110"/>
      <c r="D2163" s="409"/>
      <c r="E2163" s="13" t="s">
        <v>51</v>
      </c>
      <c r="F2163" s="13" t="s">
        <v>1929</v>
      </c>
      <c r="G2163" s="410" t="s">
        <v>48</v>
      </c>
      <c r="H2163" s="411">
        <v>5.0000000000000001E-3</v>
      </c>
      <c r="I2163" s="412">
        <f>IF(AND(E2163&lt;&gt;"",G2163&lt;&gt;""),IF(D2163="",IF(G2163="OH",VLOOKUP(F2163,UPAH!$B$4:$H$101,7,0),VLOOKUP(F2163,#REF!,4,0)),0),0)</f>
        <v>0</v>
      </c>
      <c r="J2163" s="16">
        <f>H2163*I2163</f>
        <v>0</v>
      </c>
    </row>
    <row r="2164" spans="1:10" ht="13.5" thickBot="1">
      <c r="A2164" s="27"/>
      <c r="B2164" s="110"/>
      <c r="D2164" s="417"/>
      <c r="E2164" s="418"/>
      <c r="F2164" s="418"/>
      <c r="G2164" s="419"/>
      <c r="H2164" s="420" t="s">
        <v>52</v>
      </c>
      <c r="I2164" s="421"/>
      <c r="J2164" s="396">
        <f>SUM(J2160:J2163)</f>
        <v>0</v>
      </c>
    </row>
    <row r="2165" spans="1:10" ht="13">
      <c r="A2165" s="27"/>
      <c r="B2165" s="110"/>
      <c r="D2165" s="406" t="s">
        <v>53</v>
      </c>
      <c r="E2165" s="13" t="s">
        <v>54</v>
      </c>
      <c r="F2165" s="14"/>
      <c r="G2165" s="15"/>
      <c r="H2165" s="451"/>
      <c r="I2165" s="412"/>
      <c r="J2165" s="16"/>
    </row>
    <row r="2166" spans="1:10" ht="13">
      <c r="A2166" s="27"/>
      <c r="B2166" s="110"/>
      <c r="D2166" s="409"/>
      <c r="E2166" s="13" t="s">
        <v>397</v>
      </c>
      <c r="F2166" s="14"/>
      <c r="G2166" s="410" t="s">
        <v>375</v>
      </c>
      <c r="H2166" s="411">
        <v>1.2E-2</v>
      </c>
      <c r="I2166" s="412">
        <f>$I$1752</f>
        <v>0</v>
      </c>
      <c r="J2166" s="16">
        <f>H2166*I2166</f>
        <v>0</v>
      </c>
    </row>
    <row r="2167" spans="1:10" ht="13">
      <c r="A2167" s="27"/>
      <c r="B2167" s="110"/>
      <c r="D2167" s="409"/>
      <c r="E2167" s="13" t="s">
        <v>91</v>
      </c>
      <c r="F2167" s="14"/>
      <c r="G2167" s="410" t="s">
        <v>375</v>
      </c>
      <c r="H2167" s="411">
        <v>4.0000000000000001E-3</v>
      </c>
      <c r="I2167" s="412">
        <f>'BAHAN '!G200</f>
        <v>0</v>
      </c>
      <c r="J2167" s="16">
        <f>H2167*I2167</f>
        <v>0</v>
      </c>
    </row>
    <row r="2168" spans="1:10" ht="13.5" thickBot="1">
      <c r="A2168" s="27"/>
      <c r="B2168" s="110"/>
      <c r="D2168" s="409"/>
      <c r="E2168" s="13" t="s">
        <v>486</v>
      </c>
      <c r="F2168" s="14"/>
      <c r="G2168" s="410" t="s">
        <v>57</v>
      </c>
      <c r="H2168" s="411">
        <v>0.26400000000000001</v>
      </c>
      <c r="I2168" s="412">
        <f>'BAHAN '!G127</f>
        <v>0</v>
      </c>
      <c r="J2168" s="16">
        <f>H2168*I2168</f>
        <v>0</v>
      </c>
    </row>
    <row r="2169" spans="1:10" ht="13.5" thickBot="1">
      <c r="A2169" s="27"/>
      <c r="B2169" s="110"/>
      <c r="D2169" s="417"/>
      <c r="E2169" s="418"/>
      <c r="F2169" s="418"/>
      <c r="G2169" s="419"/>
      <c r="H2169" s="420" t="s">
        <v>64</v>
      </c>
      <c r="I2169" s="421"/>
      <c r="J2169" s="396">
        <f>SUM(J2165:J2168)</f>
        <v>0</v>
      </c>
    </row>
    <row r="2170" spans="1:10" ht="13.5" thickBot="1">
      <c r="A2170" s="27"/>
      <c r="B2170" s="110"/>
      <c r="D2170" s="406" t="s">
        <v>65</v>
      </c>
      <c r="E2170" s="13" t="s">
        <v>66</v>
      </c>
      <c r="F2170" s="14"/>
      <c r="G2170" s="15"/>
      <c r="H2170" s="451"/>
      <c r="I2170" s="412">
        <f>IF(AND(E2170&lt;&gt;"",G2170&lt;&gt;""),IF(D2170="",IF(G2170="OH",VLOOKUP(E2170,UPAH!$C$4:$H$31,7,0),VLOOKUP(E2170,#REF!,4,0)),0),0)</f>
        <v>0</v>
      </c>
      <c r="J2170" s="16">
        <f>H2170*I2170</f>
        <v>0</v>
      </c>
    </row>
    <row r="2171" spans="1:10" ht="13.5" thickBot="1">
      <c r="A2171" s="27"/>
      <c r="B2171" s="110"/>
      <c r="D2171" s="417"/>
      <c r="E2171" s="418"/>
      <c r="F2171" s="418"/>
      <c r="G2171" s="419"/>
      <c r="H2171" s="420" t="s">
        <v>67</v>
      </c>
      <c r="I2171" s="421"/>
      <c r="J2171" s="396">
        <f>J2170</f>
        <v>0</v>
      </c>
    </row>
    <row r="2172" spans="1:10" ht="13">
      <c r="A2172" s="27"/>
      <c r="B2172" s="110"/>
      <c r="D2172" s="444" t="s">
        <v>68</v>
      </c>
      <c r="E2172" s="445" t="s">
        <v>69</v>
      </c>
      <c r="F2172" s="446"/>
      <c r="G2172" s="447"/>
      <c r="H2172" s="448"/>
      <c r="I2172" s="449">
        <f>IF(AND(E2172&lt;&gt;"",G2172&lt;&gt;""),IF(D2172="",IF(G2172="OH",VLOOKUP(E2172,UPAH!$C$4:$H$31,7,0),VLOOKUP(E2172,#REF!,4,0)),0),0)</f>
        <v>0</v>
      </c>
      <c r="J2172" s="16">
        <f>SUM(J2159:J2171)/2</f>
        <v>0</v>
      </c>
    </row>
    <row r="2173" spans="1:10" ht="13.5" thickBot="1">
      <c r="A2173" s="27"/>
      <c r="B2173" s="110"/>
      <c r="D2173" s="431" t="s">
        <v>70</v>
      </c>
      <c r="E2173" s="432" t="s">
        <v>477</v>
      </c>
      <c r="F2173" s="433"/>
      <c r="G2173" s="434"/>
      <c r="H2173" s="22">
        <v>0.1</v>
      </c>
      <c r="I2173" s="436"/>
      <c r="J2173" s="430">
        <f>H2173*J2172</f>
        <v>0</v>
      </c>
    </row>
    <row r="2174" spans="1:10" ht="13.5" thickBot="1">
      <c r="A2174" s="27"/>
      <c r="B2174" s="110"/>
      <c r="D2174" s="401" t="s">
        <v>71</v>
      </c>
      <c r="E2174" s="402" t="s">
        <v>72</v>
      </c>
      <c r="F2174" s="418"/>
      <c r="G2174" s="419"/>
      <c r="H2174" s="442"/>
      <c r="I2174" s="421">
        <f>IF(AND(E2174&lt;&gt;"",G2174&lt;&gt;""),IF(D2174="",IF(G2174="OH",VLOOKUP(E2174,UPAH!$C$4:$H$31,7,0),VLOOKUP(E2174,#REF!,4,0)),0),0)</f>
        <v>0</v>
      </c>
      <c r="J2174" s="396">
        <f>ROUNDDOWN(J2172+J2173,0)</f>
        <v>0</v>
      </c>
    </row>
    <row r="2175" spans="1:10" ht="13">
      <c r="A2175" s="27"/>
      <c r="B2175" s="110"/>
      <c r="D2175" s="11"/>
      <c r="E2175" s="11"/>
      <c r="H2175" s="443"/>
      <c r="I2175" s="17"/>
      <c r="J2175" s="18"/>
    </row>
    <row r="2176" spans="1:10" ht="13.5" thickBot="1">
      <c r="A2176" s="27"/>
      <c r="B2176" s="110"/>
      <c r="C2176" s="11" t="s">
        <v>711</v>
      </c>
      <c r="D2176" s="11" t="s">
        <v>712</v>
      </c>
      <c r="H2176" s="443"/>
    </row>
    <row r="2177" spans="1:10" ht="13.5" thickBot="1">
      <c r="A2177" s="27"/>
      <c r="B2177" s="110"/>
      <c r="D2177" s="401" t="s">
        <v>40</v>
      </c>
      <c r="E2177" s="402" t="s">
        <v>41</v>
      </c>
      <c r="F2177" s="402" t="s">
        <v>42</v>
      </c>
      <c r="G2177" s="403" t="s">
        <v>43</v>
      </c>
      <c r="H2177" s="404" t="s">
        <v>44</v>
      </c>
      <c r="I2177" s="402" t="s">
        <v>474</v>
      </c>
      <c r="J2177" s="405" t="s">
        <v>475</v>
      </c>
    </row>
    <row r="2178" spans="1:10" ht="13">
      <c r="A2178" s="27"/>
      <c r="B2178" s="110"/>
      <c r="D2178" s="406" t="s">
        <v>45</v>
      </c>
      <c r="E2178" s="13" t="s">
        <v>46</v>
      </c>
      <c r="F2178" s="14"/>
      <c r="G2178" s="15"/>
      <c r="H2178" s="451"/>
      <c r="I2178" s="412"/>
      <c r="J2178" s="16"/>
    </row>
    <row r="2179" spans="1:10" ht="13">
      <c r="A2179" s="27"/>
      <c r="B2179" s="110"/>
      <c r="D2179" s="409"/>
      <c r="E2179" s="13" t="s">
        <v>47</v>
      </c>
      <c r="F2179" s="13" t="s">
        <v>1918</v>
      </c>
      <c r="G2179" s="410" t="s">
        <v>48</v>
      </c>
      <c r="H2179" s="411">
        <v>0.22</v>
      </c>
      <c r="I2179" s="412">
        <f>IF(AND(E2179&lt;&gt;"",G2179&lt;&gt;""),IF(D2179="",IF(G2179="OH",VLOOKUP(F2179,UPAH!$B$4:$H$101,7,0),VLOOKUP(F2179,#REF!,4,0)),0),0)</f>
        <v>0</v>
      </c>
      <c r="J2179" s="16">
        <f>H2179*I2179</f>
        <v>0</v>
      </c>
    </row>
    <row r="2180" spans="1:10" ht="13">
      <c r="A2180" s="27"/>
      <c r="B2180" s="110"/>
      <c r="D2180" s="409"/>
      <c r="E2180" s="13" t="s">
        <v>49</v>
      </c>
      <c r="F2180" s="13" t="s">
        <v>1922</v>
      </c>
      <c r="G2180" s="410" t="s">
        <v>48</v>
      </c>
      <c r="H2180" s="411">
        <v>0.22</v>
      </c>
      <c r="I2180" s="412">
        <f>IF(AND(E2180&lt;&gt;"",G2180&lt;&gt;""),IF(D2180="",IF(G2180="OH",VLOOKUP(F2180,UPAH!$B$4:$H$101,7,0),VLOOKUP(F2180,#REF!,4,0)),0),0)</f>
        <v>0</v>
      </c>
      <c r="J2180" s="16">
        <f>H2180*I2180</f>
        <v>0</v>
      </c>
    </row>
    <row r="2181" spans="1:10" ht="13">
      <c r="A2181" s="27"/>
      <c r="B2181" s="110"/>
      <c r="D2181" s="409"/>
      <c r="E2181" s="13" t="s">
        <v>117</v>
      </c>
      <c r="F2181" s="13" t="s">
        <v>1923</v>
      </c>
      <c r="G2181" s="410" t="s">
        <v>48</v>
      </c>
      <c r="H2181" s="411">
        <v>0.22</v>
      </c>
      <c r="I2181" s="412">
        <f>IF(AND(E2181&lt;&gt;"",G2181&lt;&gt;""),IF(D2181="",IF(G2181="OH",VLOOKUP(F2181,UPAH!$B$4:$H$101,7,0),VLOOKUP(F2181,#REF!,4,0)),0),0)</f>
        <v>0</v>
      </c>
      <c r="J2181" s="16">
        <f>H2181*I2181</f>
        <v>0</v>
      </c>
    </row>
    <row r="2182" spans="1:10" ht="13.5" thickBot="1">
      <c r="A2182" s="27"/>
      <c r="B2182" s="110"/>
      <c r="D2182" s="409"/>
      <c r="E2182" s="13" t="s">
        <v>51</v>
      </c>
      <c r="F2182" s="13" t="s">
        <v>1929</v>
      </c>
      <c r="G2182" s="410" t="s">
        <v>48</v>
      </c>
      <c r="H2182" s="411">
        <v>1.0999999999999999E-2</v>
      </c>
      <c r="I2182" s="412">
        <f>IF(AND(E2182&lt;&gt;"",G2182&lt;&gt;""),IF(D2182="",IF(G2182="OH",VLOOKUP(F2182,UPAH!$B$4:$H$101,7,0),VLOOKUP(F2182,#REF!,4,0)),0),0)</f>
        <v>0</v>
      </c>
      <c r="J2182" s="16">
        <f>H2182*I2182</f>
        <v>0</v>
      </c>
    </row>
    <row r="2183" spans="1:10" ht="13.5" thickBot="1">
      <c r="A2183" s="27"/>
      <c r="B2183" s="110"/>
      <c r="D2183" s="417"/>
      <c r="E2183" s="418"/>
      <c r="F2183" s="418"/>
      <c r="G2183" s="419"/>
      <c r="H2183" s="420" t="s">
        <v>52</v>
      </c>
      <c r="I2183" s="421"/>
      <c r="J2183" s="396">
        <f>SUM(J2179:J2182)</f>
        <v>0</v>
      </c>
    </row>
    <row r="2184" spans="1:10" ht="13.5" thickBot="1">
      <c r="A2184" s="27"/>
      <c r="B2184" s="110"/>
      <c r="D2184" s="406" t="s">
        <v>53</v>
      </c>
      <c r="E2184" s="13" t="s">
        <v>54</v>
      </c>
      <c r="F2184" s="14"/>
      <c r="G2184" s="15"/>
      <c r="H2184" s="451"/>
      <c r="I2184" s="412"/>
      <c r="J2184" s="16"/>
    </row>
    <row r="2185" spans="1:10" ht="13.5" thickBot="1">
      <c r="A2185" s="27"/>
      <c r="B2185" s="110"/>
      <c r="D2185" s="417"/>
      <c r="E2185" s="418"/>
      <c r="F2185" s="418"/>
      <c r="G2185" s="419"/>
      <c r="H2185" s="420" t="s">
        <v>64</v>
      </c>
      <c r="I2185" s="421"/>
      <c r="J2185" s="396">
        <f>SUM(J2184)</f>
        <v>0</v>
      </c>
    </row>
    <row r="2186" spans="1:10" ht="13.5" thickBot="1">
      <c r="A2186" s="27"/>
      <c r="B2186" s="110"/>
      <c r="D2186" s="406" t="s">
        <v>65</v>
      </c>
      <c r="E2186" s="13" t="s">
        <v>66</v>
      </c>
      <c r="F2186" s="14"/>
      <c r="G2186" s="15"/>
      <c r="H2186" s="451"/>
      <c r="I2186" s="412">
        <f>IF(AND(E2186&lt;&gt;"",G2186&lt;&gt;""),IF(D2186="",IF(G2186="OH",VLOOKUP(E2186,UPAH!$C$4:$H$31,7,0),VLOOKUP(E2186,#REF!,4,0)),0),0)</f>
        <v>0</v>
      </c>
      <c r="J2186" s="16">
        <f>H2186*I2186</f>
        <v>0</v>
      </c>
    </row>
    <row r="2187" spans="1:10" ht="13.5" thickBot="1">
      <c r="A2187" s="27"/>
      <c r="B2187" s="110"/>
      <c r="D2187" s="417"/>
      <c r="E2187" s="418"/>
      <c r="F2187" s="418"/>
      <c r="G2187" s="419"/>
      <c r="H2187" s="420" t="s">
        <v>67</v>
      </c>
      <c r="I2187" s="421"/>
      <c r="J2187" s="396">
        <f>J2186</f>
        <v>0</v>
      </c>
    </row>
    <row r="2188" spans="1:10" ht="13">
      <c r="A2188" s="27"/>
      <c r="B2188" s="110"/>
      <c r="D2188" s="444" t="s">
        <v>68</v>
      </c>
      <c r="E2188" s="445" t="s">
        <v>69</v>
      </c>
      <c r="F2188" s="446"/>
      <c r="G2188" s="447"/>
      <c r="H2188" s="448"/>
      <c r="I2188" s="449">
        <f>IF(AND(E2188&lt;&gt;"",G2188&lt;&gt;""),IF(D2188="",IF(G2188="OH",VLOOKUP(E2188,UPAH!$C$4:$H$31,7,0),VLOOKUP(E2188,#REF!,4,0)),0),0)</f>
        <v>0</v>
      </c>
      <c r="J2188" s="16">
        <f>SUM(J2178:J2187)/2</f>
        <v>0</v>
      </c>
    </row>
    <row r="2189" spans="1:10" ht="13.5" thickBot="1">
      <c r="A2189" s="27"/>
      <c r="B2189" s="110"/>
      <c r="D2189" s="431" t="s">
        <v>70</v>
      </c>
      <c r="E2189" s="432" t="s">
        <v>477</v>
      </c>
      <c r="F2189" s="433"/>
      <c r="G2189" s="434"/>
      <c r="H2189" s="22">
        <v>0.1</v>
      </c>
      <c r="I2189" s="436"/>
      <c r="J2189" s="430">
        <f>H2189*J2188</f>
        <v>0</v>
      </c>
    </row>
    <row r="2190" spans="1:10" ht="13.5" thickBot="1">
      <c r="A2190" s="27"/>
      <c r="B2190" s="110"/>
      <c r="D2190" s="401" t="s">
        <v>71</v>
      </c>
      <c r="E2190" s="402" t="s">
        <v>72</v>
      </c>
      <c r="F2190" s="418"/>
      <c r="G2190" s="419"/>
      <c r="H2190" s="442"/>
      <c r="I2190" s="421">
        <f>IF(AND(E2190&lt;&gt;"",G2190&lt;&gt;""),IF(D2190="",IF(G2190="OH",VLOOKUP(E2190,UPAH!$C$4:$H$31,7,0),VLOOKUP(E2190,#REF!,4,0)),0),0)</f>
        <v>0</v>
      </c>
      <c r="J2190" s="396">
        <f>ROUNDDOWN(J2188+J2189,0)</f>
        <v>0</v>
      </c>
    </row>
    <row r="2191" spans="1:10" ht="13">
      <c r="A2191" s="27"/>
      <c r="B2191" s="110"/>
      <c r="D2191" s="11"/>
      <c r="E2191" s="11"/>
      <c r="H2191" s="443"/>
      <c r="I2191" s="17"/>
      <c r="J2191" s="18"/>
    </row>
    <row r="2192" spans="1:10" s="27" customFormat="1" ht="13">
      <c r="B2192" s="110"/>
      <c r="C2192" s="452" t="s">
        <v>493</v>
      </c>
      <c r="G2192" s="399"/>
      <c r="H2192" s="453"/>
    </row>
    <row r="2193" spans="1:10" ht="13.5" thickBot="1">
      <c r="A2193" s="27"/>
      <c r="B2193" s="110"/>
      <c r="C2193" s="11" t="s">
        <v>713</v>
      </c>
      <c r="D2193" s="10" t="s">
        <v>714</v>
      </c>
      <c r="H2193" s="443"/>
    </row>
    <row r="2194" spans="1:10" ht="13.5" thickBot="1">
      <c r="A2194" s="27"/>
      <c r="B2194" s="110"/>
      <c r="D2194" s="401" t="s">
        <v>40</v>
      </c>
      <c r="E2194" s="402" t="s">
        <v>41</v>
      </c>
      <c r="F2194" s="402" t="s">
        <v>42</v>
      </c>
      <c r="G2194" s="403" t="s">
        <v>43</v>
      </c>
      <c r="H2194" s="404" t="s">
        <v>44</v>
      </c>
      <c r="I2194" s="402" t="s">
        <v>474</v>
      </c>
      <c r="J2194" s="405" t="s">
        <v>475</v>
      </c>
    </row>
    <row r="2195" spans="1:10" ht="13">
      <c r="A2195" s="27"/>
      <c r="B2195" s="110"/>
      <c r="D2195" s="406" t="s">
        <v>45</v>
      </c>
      <c r="E2195" s="13" t="s">
        <v>46</v>
      </c>
      <c r="F2195" s="14"/>
      <c r="G2195" s="15"/>
      <c r="H2195" s="451"/>
      <c r="I2195" s="412"/>
      <c r="J2195" s="16"/>
    </row>
    <row r="2196" spans="1:10" ht="13">
      <c r="A2196" s="27"/>
      <c r="B2196" s="110"/>
      <c r="D2196" s="409"/>
      <c r="E2196" s="13" t="s">
        <v>47</v>
      </c>
      <c r="F2196" s="13" t="s">
        <v>1918</v>
      </c>
      <c r="G2196" s="410" t="s">
        <v>48</v>
      </c>
      <c r="H2196" s="411">
        <v>0.06</v>
      </c>
      <c r="I2196" s="412">
        <f>IF(AND(E2196&lt;&gt;"",G2196&lt;&gt;""),IF(D2196="",IF(G2196="OH",VLOOKUP(F2196,UPAH!$B$4:$H$101,7,0),VLOOKUP(F2196,#REF!,4,0)),0),0)</f>
        <v>0</v>
      </c>
      <c r="J2196" s="16">
        <f>H2196*I2196</f>
        <v>0</v>
      </c>
    </row>
    <row r="2197" spans="1:10" ht="13">
      <c r="A2197" s="27"/>
      <c r="B2197" s="110"/>
      <c r="D2197" s="409"/>
      <c r="E2197" s="13" t="s">
        <v>460</v>
      </c>
      <c r="F2197" s="13" t="s">
        <v>1910</v>
      </c>
      <c r="G2197" s="410" t="s">
        <v>48</v>
      </c>
      <c r="H2197" s="411">
        <v>0.06</v>
      </c>
      <c r="I2197" s="412">
        <f>IF(AND(E2197&lt;&gt;"",G2197&lt;&gt;""),IF(D2197="",IF(G2197="OH",VLOOKUP(F2197,UPAH!$B$4:$H$101,7,0),VLOOKUP(F2197,#REF!,4,0)),0),0)</f>
        <v>0</v>
      </c>
      <c r="J2197" s="16">
        <f>H2197*I2197</f>
        <v>0</v>
      </c>
    </row>
    <row r="2198" spans="1:10" ht="13">
      <c r="A2198" s="27"/>
      <c r="B2198" s="110"/>
      <c r="D2198" s="409"/>
      <c r="E2198" s="13" t="s">
        <v>50</v>
      </c>
      <c r="F2198" s="13" t="s">
        <v>1928</v>
      </c>
      <c r="G2198" s="410" t="s">
        <v>48</v>
      </c>
      <c r="H2198" s="411">
        <v>6.0000000000000001E-3</v>
      </c>
      <c r="I2198" s="412">
        <f>IF(AND(E2198&lt;&gt;"",G2198&lt;&gt;""),IF(D2198="",IF(G2198="OH",VLOOKUP(F2198,UPAH!$B$4:$H$101,7,0),VLOOKUP(F2198,#REF!,4,0)),0),0)</f>
        <v>0</v>
      </c>
      <c r="J2198" s="16">
        <f>H2198*I2198</f>
        <v>0</v>
      </c>
    </row>
    <row r="2199" spans="1:10" ht="13.5" thickBot="1">
      <c r="A2199" s="27"/>
      <c r="B2199" s="110"/>
      <c r="D2199" s="409"/>
      <c r="E2199" s="13" t="s">
        <v>51</v>
      </c>
      <c r="F2199" s="13" t="s">
        <v>1929</v>
      </c>
      <c r="G2199" s="410" t="s">
        <v>48</v>
      </c>
      <c r="H2199" s="411">
        <v>3.0000000000000001E-3</v>
      </c>
      <c r="I2199" s="412">
        <f>IF(AND(E2199&lt;&gt;"",G2199&lt;&gt;""),IF(D2199="",IF(G2199="OH",VLOOKUP(F2199,UPAH!$B$4:$H$101,7,0),VLOOKUP(F2199,#REF!,4,0)),0),0)</f>
        <v>0</v>
      </c>
      <c r="J2199" s="16">
        <f>H2199*I2199</f>
        <v>0</v>
      </c>
    </row>
    <row r="2200" spans="1:10" ht="13.5" thickBot="1">
      <c r="A2200" s="27"/>
      <c r="B2200" s="110"/>
      <c r="D2200" s="417"/>
      <c r="E2200" s="418"/>
      <c r="F2200" s="418"/>
      <c r="G2200" s="419"/>
      <c r="H2200" s="420" t="s">
        <v>52</v>
      </c>
      <c r="I2200" s="421"/>
      <c r="J2200" s="396">
        <f>SUM(J2196:J2199)</f>
        <v>0</v>
      </c>
    </row>
    <row r="2201" spans="1:10" ht="13">
      <c r="A2201" s="27"/>
      <c r="B2201" s="110"/>
      <c r="D2201" s="406" t="s">
        <v>53</v>
      </c>
      <c r="E2201" s="13" t="s">
        <v>54</v>
      </c>
      <c r="F2201" s="14"/>
      <c r="G2201" s="15"/>
      <c r="H2201" s="451"/>
      <c r="I2201" s="412"/>
      <c r="J2201" s="16"/>
    </row>
    <row r="2202" spans="1:10" ht="13.5" thickBot="1">
      <c r="A2202" s="27"/>
      <c r="B2202" s="110"/>
      <c r="D2202" s="409"/>
      <c r="E2202" s="13" t="s">
        <v>135</v>
      </c>
      <c r="F2202" s="14"/>
      <c r="G2202" s="410" t="s">
        <v>57</v>
      </c>
      <c r="H2202" s="411">
        <v>1.1499999999999999</v>
      </c>
      <c r="I2202" s="412">
        <f>'BAHAN '!G84</f>
        <v>0</v>
      </c>
      <c r="J2202" s="16">
        <f>H2202*I2202</f>
        <v>0</v>
      </c>
    </row>
    <row r="2203" spans="1:10" ht="13.5" thickBot="1">
      <c r="A2203" s="27"/>
      <c r="B2203" s="110"/>
      <c r="D2203" s="417"/>
      <c r="E2203" s="418"/>
      <c r="F2203" s="418"/>
      <c r="G2203" s="419"/>
      <c r="H2203" s="420" t="s">
        <v>64</v>
      </c>
      <c r="I2203" s="421"/>
      <c r="J2203" s="396">
        <f>SUM(J2202)</f>
        <v>0</v>
      </c>
    </row>
    <row r="2204" spans="1:10" ht="13.5" thickBot="1">
      <c r="A2204" s="27"/>
      <c r="B2204" s="110"/>
      <c r="D2204" s="406" t="s">
        <v>65</v>
      </c>
      <c r="E2204" s="13" t="s">
        <v>66</v>
      </c>
      <c r="F2204" s="14"/>
      <c r="G2204" s="15"/>
      <c r="H2204" s="451"/>
      <c r="I2204" s="412">
        <f>IF(AND(E2204&lt;&gt;"",G2204&lt;&gt;""),IF(D2204="",IF(G2204="OH",VLOOKUP(E2204,UPAH!$C$4:$H$31,7,0),VLOOKUP(E2204,#REF!,4,0)),0),0)</f>
        <v>0</v>
      </c>
      <c r="J2204" s="16">
        <f>H2204*I2204</f>
        <v>0</v>
      </c>
    </row>
    <row r="2205" spans="1:10" ht="13.5" thickBot="1">
      <c r="A2205" s="27"/>
      <c r="B2205" s="110"/>
      <c r="D2205" s="417"/>
      <c r="E2205" s="418"/>
      <c r="F2205" s="418"/>
      <c r="G2205" s="419"/>
      <c r="H2205" s="420" t="s">
        <v>67</v>
      </c>
      <c r="I2205" s="421"/>
      <c r="J2205" s="396">
        <f>J2204</f>
        <v>0</v>
      </c>
    </row>
    <row r="2206" spans="1:10" ht="13">
      <c r="A2206" s="27"/>
      <c r="B2206" s="110"/>
      <c r="D2206" s="444" t="s">
        <v>68</v>
      </c>
      <c r="E2206" s="445" t="s">
        <v>69</v>
      </c>
      <c r="F2206" s="446"/>
      <c r="G2206" s="447"/>
      <c r="H2206" s="448"/>
      <c r="I2206" s="449">
        <f>IF(AND(E2206&lt;&gt;"",G2206&lt;&gt;""),IF(D2206="",IF(G2206="OH",VLOOKUP(E2206,UPAH!$C$4:$H$31,7,0),VLOOKUP(E2206,#REF!,4,0)),0),0)</f>
        <v>0</v>
      </c>
      <c r="J2206" s="16">
        <f>SUM(J2195:J2205)/2</f>
        <v>0</v>
      </c>
    </row>
    <row r="2207" spans="1:10" ht="13.5" thickBot="1">
      <c r="A2207" s="27"/>
      <c r="B2207" s="110"/>
      <c r="D2207" s="431" t="s">
        <v>70</v>
      </c>
      <c r="E2207" s="432" t="s">
        <v>477</v>
      </c>
      <c r="F2207" s="433"/>
      <c r="G2207" s="434"/>
      <c r="H2207" s="22">
        <v>0.1</v>
      </c>
      <c r="I2207" s="436"/>
      <c r="J2207" s="430">
        <f>H2207*J2206</f>
        <v>0</v>
      </c>
    </row>
    <row r="2208" spans="1:10" ht="13.5" thickBot="1">
      <c r="A2208" s="27"/>
      <c r="B2208" s="110"/>
      <c r="D2208" s="401" t="s">
        <v>71</v>
      </c>
      <c r="E2208" s="402" t="s">
        <v>72</v>
      </c>
      <c r="F2208" s="418"/>
      <c r="G2208" s="419"/>
      <c r="H2208" s="442"/>
      <c r="I2208" s="421">
        <f>IF(AND(E2208&lt;&gt;"",G2208&lt;&gt;""),IF(D2208="",IF(G2208="OH",VLOOKUP(E2208,UPAH!$C$4:$H$31,7,0),VLOOKUP(E2208,#REF!,4,0)),0),0)</f>
        <v>0</v>
      </c>
      <c r="J2208" s="396">
        <f>ROUNDDOWN(J2206+J2207,0)</f>
        <v>0</v>
      </c>
    </row>
    <row r="2209" spans="1:10" ht="13">
      <c r="A2209" s="27"/>
      <c r="B2209" s="110"/>
      <c r="D2209" s="11"/>
      <c r="E2209" s="11"/>
      <c r="H2209" s="443"/>
      <c r="I2209" s="17"/>
      <c r="J2209" s="18"/>
    </row>
    <row r="2210" spans="1:10" ht="13.5" thickBot="1">
      <c r="A2210" s="27"/>
      <c r="B2210" s="110"/>
      <c r="C2210" s="11" t="s">
        <v>715</v>
      </c>
      <c r="D2210" s="10" t="s">
        <v>716</v>
      </c>
      <c r="H2210" s="443"/>
    </row>
    <row r="2211" spans="1:10" ht="13.5" thickBot="1">
      <c r="A2211" s="27"/>
      <c r="B2211" s="110"/>
      <c r="D2211" s="401" t="s">
        <v>40</v>
      </c>
      <c r="E2211" s="402" t="s">
        <v>41</v>
      </c>
      <c r="F2211" s="402" t="s">
        <v>42</v>
      </c>
      <c r="G2211" s="403" t="s">
        <v>43</v>
      </c>
      <c r="H2211" s="404" t="s">
        <v>44</v>
      </c>
      <c r="I2211" s="402" t="s">
        <v>474</v>
      </c>
      <c r="J2211" s="405" t="s">
        <v>475</v>
      </c>
    </row>
    <row r="2212" spans="1:10" ht="13">
      <c r="A2212" s="27"/>
      <c r="B2212" s="110"/>
      <c r="D2212" s="406" t="s">
        <v>45</v>
      </c>
      <c r="E2212" s="13" t="s">
        <v>46</v>
      </c>
      <c r="F2212" s="14"/>
      <c r="G2212" s="15"/>
      <c r="H2212" s="451"/>
      <c r="I2212" s="412"/>
      <c r="J2212" s="16"/>
    </row>
    <row r="2213" spans="1:10" ht="13">
      <c r="A2213" s="27"/>
      <c r="B2213" s="110"/>
      <c r="D2213" s="409"/>
      <c r="E2213" s="13" t="s">
        <v>47</v>
      </c>
      <c r="F2213" s="13" t="s">
        <v>1918</v>
      </c>
      <c r="G2213" s="410" t="s">
        <v>48</v>
      </c>
      <c r="H2213" s="411">
        <v>0.06</v>
      </c>
      <c r="I2213" s="412">
        <f>IF(AND(E2213&lt;&gt;"",G2213&lt;&gt;""),IF(D2213="",IF(G2213="OH",VLOOKUP(F2213,UPAH!$B$4:$H$101,7,0),VLOOKUP(F2213,#REF!,4,0)),0),0)</f>
        <v>0</v>
      </c>
      <c r="J2213" s="16">
        <f>H2213*I2213</f>
        <v>0</v>
      </c>
    </row>
    <row r="2214" spans="1:10" ht="13">
      <c r="A2214" s="27"/>
      <c r="B2214" s="110"/>
      <c r="D2214" s="409"/>
      <c r="E2214" s="13" t="s">
        <v>460</v>
      </c>
      <c r="F2214" s="13" t="s">
        <v>1910</v>
      </c>
      <c r="G2214" s="410" t="s">
        <v>48</v>
      </c>
      <c r="H2214" s="411">
        <v>0.06</v>
      </c>
      <c r="I2214" s="412">
        <f>UPAH!H14</f>
        <v>0</v>
      </c>
      <c r="J2214" s="16">
        <f>H2214*I2214</f>
        <v>0</v>
      </c>
    </row>
    <row r="2215" spans="1:10" ht="13">
      <c r="A2215" s="27"/>
      <c r="B2215" s="110"/>
      <c r="D2215" s="409"/>
      <c r="E2215" s="13" t="s">
        <v>50</v>
      </c>
      <c r="F2215" s="13" t="s">
        <v>1928</v>
      </c>
      <c r="G2215" s="410" t="s">
        <v>48</v>
      </c>
      <c r="H2215" s="411">
        <v>6.0000000000000001E-3</v>
      </c>
      <c r="I2215" s="412">
        <f>IF(AND(E2215&lt;&gt;"",G2215&lt;&gt;""),IF(D2215="",IF(G2215="OH",VLOOKUP(F2215,UPAH!$B$4:$H$101,7,0),VLOOKUP(F2215,#REF!,4,0)),0),0)</f>
        <v>0</v>
      </c>
      <c r="J2215" s="16">
        <f>H2215*I2215</f>
        <v>0</v>
      </c>
    </row>
    <row r="2216" spans="1:10" ht="13.5" thickBot="1">
      <c r="A2216" s="27"/>
      <c r="B2216" s="110"/>
      <c r="D2216" s="409"/>
      <c r="E2216" s="13" t="s">
        <v>51</v>
      </c>
      <c r="F2216" s="13" t="s">
        <v>1929</v>
      </c>
      <c r="G2216" s="410" t="s">
        <v>48</v>
      </c>
      <c r="H2216" s="411">
        <v>3.0000000000000001E-3</v>
      </c>
      <c r="I2216" s="412">
        <f>IF(AND(E2216&lt;&gt;"",G2216&lt;&gt;""),IF(D2216="",IF(G2216="OH",VLOOKUP(F2216,UPAH!$B$4:$H$101,7,0),VLOOKUP(F2216,#REF!,4,0)),0),0)</f>
        <v>0</v>
      </c>
      <c r="J2216" s="16">
        <f>H2216*I2216</f>
        <v>0</v>
      </c>
    </row>
    <row r="2217" spans="1:10" ht="13.5" thickBot="1">
      <c r="A2217" s="27"/>
      <c r="B2217" s="110"/>
      <c r="D2217" s="417"/>
      <c r="E2217" s="418"/>
      <c r="F2217" s="418"/>
      <c r="G2217" s="419"/>
      <c r="H2217" s="420" t="s">
        <v>52</v>
      </c>
      <c r="I2217" s="421"/>
      <c r="J2217" s="396">
        <f>SUM(J2213:J2216)</f>
        <v>0</v>
      </c>
    </row>
    <row r="2218" spans="1:10" ht="13">
      <c r="A2218" s="27"/>
      <c r="B2218" s="110"/>
      <c r="D2218" s="406" t="s">
        <v>53</v>
      </c>
      <c r="E2218" s="13" t="s">
        <v>54</v>
      </c>
      <c r="F2218" s="14"/>
      <c r="G2218" s="15"/>
      <c r="H2218" s="451"/>
      <c r="I2218" s="412"/>
      <c r="J2218" s="16"/>
    </row>
    <row r="2219" spans="1:10" ht="13.5" thickBot="1">
      <c r="A2219" s="27"/>
      <c r="B2219" s="110"/>
      <c r="D2219" s="409"/>
      <c r="E2219" s="13" t="s">
        <v>385</v>
      </c>
      <c r="F2219" s="14"/>
      <c r="G2219" s="410" t="s">
        <v>57</v>
      </c>
      <c r="H2219" s="411">
        <v>1.1499999999999999</v>
      </c>
      <c r="I2219" s="412">
        <f>'BAHAN '!G84</f>
        <v>0</v>
      </c>
      <c r="J2219" s="16">
        <f>H2219*I2219</f>
        <v>0</v>
      </c>
    </row>
    <row r="2220" spans="1:10" ht="13.5" thickBot="1">
      <c r="A2220" s="27"/>
      <c r="B2220" s="110"/>
      <c r="D2220" s="417"/>
      <c r="E2220" s="418"/>
      <c r="F2220" s="418"/>
      <c r="G2220" s="419"/>
      <c r="H2220" s="420" t="s">
        <v>64</v>
      </c>
      <c r="I2220" s="421"/>
      <c r="J2220" s="396">
        <f>SUM(J2219)</f>
        <v>0</v>
      </c>
    </row>
    <row r="2221" spans="1:10" ht="13.5" thickBot="1">
      <c r="A2221" s="27"/>
      <c r="B2221" s="110"/>
      <c r="D2221" s="406" t="s">
        <v>65</v>
      </c>
      <c r="E2221" s="13" t="s">
        <v>66</v>
      </c>
      <c r="F2221" s="14"/>
      <c r="G2221" s="15"/>
      <c r="H2221" s="451"/>
      <c r="I2221" s="412"/>
      <c r="J2221" s="16"/>
    </row>
    <row r="2222" spans="1:10" ht="13.5" thickBot="1">
      <c r="A2222" s="27"/>
      <c r="B2222" s="110"/>
      <c r="D2222" s="417"/>
      <c r="E2222" s="418"/>
      <c r="F2222" s="418"/>
      <c r="G2222" s="419"/>
      <c r="H2222" s="420" t="s">
        <v>67</v>
      </c>
      <c r="I2222" s="421"/>
      <c r="J2222" s="396">
        <f>J2221</f>
        <v>0</v>
      </c>
    </row>
    <row r="2223" spans="1:10" ht="13">
      <c r="A2223" s="27"/>
      <c r="B2223" s="110"/>
      <c r="D2223" s="444" t="s">
        <v>68</v>
      </c>
      <c r="E2223" s="445" t="s">
        <v>69</v>
      </c>
      <c r="F2223" s="446"/>
      <c r="G2223" s="447"/>
      <c r="H2223" s="448"/>
      <c r="I2223" s="449">
        <f>IF(AND(E2223&lt;&gt;"",G2223&lt;&gt;""),IF(D2223="",IF(G2223="OH",VLOOKUP(E2223,UPAH!$C$4:$H$31,7,0),VLOOKUP(E2223,#REF!,4,0)),0),0)</f>
        <v>0</v>
      </c>
      <c r="J2223" s="16">
        <f>SUM(J2212:J2222)/2</f>
        <v>0</v>
      </c>
    </row>
    <row r="2224" spans="1:10" ht="13.5" thickBot="1">
      <c r="A2224" s="27"/>
      <c r="B2224" s="110"/>
      <c r="D2224" s="431" t="s">
        <v>70</v>
      </c>
      <c r="E2224" s="432" t="s">
        <v>477</v>
      </c>
      <c r="F2224" s="433"/>
      <c r="G2224" s="434"/>
      <c r="H2224" s="22">
        <v>0.1</v>
      </c>
      <c r="I2224" s="436"/>
      <c r="J2224" s="430">
        <f>H2224*J2223</f>
        <v>0</v>
      </c>
    </row>
    <row r="2225" spans="1:10" ht="13.5" thickBot="1">
      <c r="A2225" s="27"/>
      <c r="B2225" s="110"/>
      <c r="D2225" s="401" t="s">
        <v>71</v>
      </c>
      <c r="E2225" s="402" t="s">
        <v>72</v>
      </c>
      <c r="F2225" s="418"/>
      <c r="G2225" s="419"/>
      <c r="H2225" s="442"/>
      <c r="I2225" s="421">
        <f>IF(AND(E2225&lt;&gt;"",G2225&lt;&gt;""),IF(D2225="",IF(G2225="OH",VLOOKUP(E2225,UPAH!$C$4:$H$31,7,0),VLOOKUP(E2225,#REF!,4,0)),0),0)</f>
        <v>0</v>
      </c>
      <c r="J2225" s="396">
        <f>ROUNDDOWN(J2223+J2224,0)</f>
        <v>0</v>
      </c>
    </row>
    <row r="2226" spans="1:10" ht="13">
      <c r="A2226" s="27"/>
      <c r="B2226" s="110"/>
      <c r="D2226" s="11"/>
      <c r="E2226" s="11"/>
      <c r="H2226" s="443"/>
      <c r="I2226" s="17"/>
      <c r="J2226" s="18"/>
    </row>
    <row r="2227" spans="1:10" ht="13.5" thickBot="1">
      <c r="A2227" s="27"/>
      <c r="B2227" s="110"/>
      <c r="C2227" s="11" t="s">
        <v>717</v>
      </c>
      <c r="D2227" s="10" t="s">
        <v>718</v>
      </c>
      <c r="H2227" s="443"/>
    </row>
    <row r="2228" spans="1:10" ht="13.5" thickBot="1">
      <c r="A2228" s="27"/>
      <c r="B2228" s="110"/>
      <c r="D2228" s="401" t="s">
        <v>40</v>
      </c>
      <c r="E2228" s="402" t="s">
        <v>41</v>
      </c>
      <c r="F2228" s="402" t="s">
        <v>42</v>
      </c>
      <c r="G2228" s="403" t="s">
        <v>43</v>
      </c>
      <c r="H2228" s="404" t="s">
        <v>44</v>
      </c>
      <c r="I2228" s="402" t="s">
        <v>474</v>
      </c>
      <c r="J2228" s="405" t="s">
        <v>475</v>
      </c>
    </row>
    <row r="2229" spans="1:10" ht="13">
      <c r="A2229" s="27"/>
      <c r="B2229" s="110"/>
      <c r="D2229" s="406" t="s">
        <v>45</v>
      </c>
      <c r="E2229" s="13" t="s">
        <v>46</v>
      </c>
      <c r="F2229" s="14"/>
      <c r="G2229" s="15"/>
      <c r="H2229" s="451"/>
      <c r="I2229" s="412"/>
      <c r="J2229" s="16"/>
    </row>
    <row r="2230" spans="1:10" ht="13">
      <c r="A2230" s="27"/>
      <c r="B2230" s="110"/>
      <c r="D2230" s="409"/>
      <c r="E2230" s="13" t="s">
        <v>47</v>
      </c>
      <c r="F2230" s="13" t="s">
        <v>1918</v>
      </c>
      <c r="G2230" s="410" t="s">
        <v>48</v>
      </c>
      <c r="H2230" s="411">
        <v>0.1</v>
      </c>
      <c r="I2230" s="412">
        <f>IF(AND(E2230&lt;&gt;"",G2230&lt;&gt;""),IF(D2230="",IF(G2230="OH",VLOOKUP(F2230,UPAH!$B$4:$H$101,7,0),VLOOKUP(F2230,#REF!,4,0)),0),0)</f>
        <v>0</v>
      </c>
      <c r="J2230" s="16">
        <f>H2230*I2230</f>
        <v>0</v>
      </c>
    </row>
    <row r="2231" spans="1:10" ht="13">
      <c r="A2231" s="27"/>
      <c r="B2231" s="110"/>
      <c r="D2231" s="409"/>
      <c r="E2231" s="13" t="s">
        <v>457</v>
      </c>
      <c r="F2231" s="13" t="s">
        <v>1924</v>
      </c>
      <c r="G2231" s="410" t="s">
        <v>48</v>
      </c>
      <c r="H2231" s="411">
        <v>0.1</v>
      </c>
      <c r="I2231" s="412">
        <f>IF(AND(E2231&lt;&gt;"",G2231&lt;&gt;""),IF(D2231="",IF(G2231="OH",VLOOKUP(F2231,UPAH!$B$4:$H$101,7,0),VLOOKUP(F2231,#REF!,4,0)),0),0)</f>
        <v>0</v>
      </c>
      <c r="J2231" s="16">
        <f>H2231*I2231</f>
        <v>0</v>
      </c>
    </row>
    <row r="2232" spans="1:10" ht="13">
      <c r="A2232" s="27"/>
      <c r="B2232" s="110"/>
      <c r="D2232" s="409"/>
      <c r="E2232" s="13" t="s">
        <v>50</v>
      </c>
      <c r="F2232" s="13" t="s">
        <v>1928</v>
      </c>
      <c r="G2232" s="410" t="s">
        <v>48</v>
      </c>
      <c r="H2232" s="411">
        <v>1E-3</v>
      </c>
      <c r="I2232" s="412">
        <f>IF(AND(E2232&lt;&gt;"",G2232&lt;&gt;""),IF(D2232="",IF(G2232="OH",VLOOKUP(F2232,UPAH!$B$4:$H$101,7,0),VLOOKUP(F2232,#REF!,4,0)),0),0)</f>
        <v>0</v>
      </c>
      <c r="J2232" s="16">
        <f>H2232*I2232</f>
        <v>0</v>
      </c>
    </row>
    <row r="2233" spans="1:10" ht="13.5" thickBot="1">
      <c r="A2233" s="27"/>
      <c r="B2233" s="110"/>
      <c r="D2233" s="409"/>
      <c r="E2233" s="13" t="s">
        <v>51</v>
      </c>
      <c r="F2233" s="13" t="s">
        <v>1929</v>
      </c>
      <c r="G2233" s="410" t="s">
        <v>48</v>
      </c>
      <c r="H2233" s="411">
        <v>5.0000000000000001E-3</v>
      </c>
      <c r="I2233" s="412">
        <f>IF(AND(E2233&lt;&gt;"",G2233&lt;&gt;""),IF(D2233="",IF(G2233="OH",VLOOKUP(F2233,UPAH!$B$4:$H$101,7,0),VLOOKUP(F2233,#REF!,4,0)),0),0)</f>
        <v>0</v>
      </c>
      <c r="J2233" s="16">
        <f>H2233*I2233</f>
        <v>0</v>
      </c>
    </row>
    <row r="2234" spans="1:10" ht="13.5" thickBot="1">
      <c r="A2234" s="27"/>
      <c r="B2234" s="110"/>
      <c r="D2234" s="417"/>
      <c r="E2234" s="418"/>
      <c r="F2234" s="418"/>
      <c r="G2234" s="419"/>
      <c r="H2234" s="420" t="s">
        <v>52</v>
      </c>
      <c r="I2234" s="421"/>
      <c r="J2234" s="396">
        <f>SUM(J2230:J2233)</f>
        <v>0</v>
      </c>
    </row>
    <row r="2235" spans="1:10" ht="13">
      <c r="A2235" s="27"/>
      <c r="B2235" s="110"/>
      <c r="D2235" s="406" t="s">
        <v>53</v>
      </c>
      <c r="E2235" s="13" t="s">
        <v>54</v>
      </c>
      <c r="F2235" s="14"/>
      <c r="G2235" s="15"/>
      <c r="H2235" s="451"/>
      <c r="I2235" s="412"/>
      <c r="J2235" s="16"/>
    </row>
    <row r="2236" spans="1:10" ht="13">
      <c r="A2236" s="27"/>
      <c r="B2236" s="110"/>
      <c r="D2236" s="409"/>
      <c r="E2236" s="13" t="s">
        <v>131</v>
      </c>
      <c r="F2236" s="14"/>
      <c r="G2236" s="410" t="s">
        <v>63</v>
      </c>
      <c r="H2236" s="411">
        <v>1</v>
      </c>
      <c r="I2236" s="412">
        <f>'BAHAN '!G71</f>
        <v>0</v>
      </c>
      <c r="J2236" s="16">
        <f>H2236*I2236</f>
        <v>0</v>
      </c>
    </row>
    <row r="2237" spans="1:10" ht="13.5" thickBot="1">
      <c r="A2237" s="27"/>
      <c r="B2237" s="110"/>
      <c r="D2237" s="409"/>
      <c r="E2237" s="13" t="s">
        <v>136</v>
      </c>
      <c r="F2237" s="14"/>
      <c r="G2237" s="410" t="s">
        <v>63</v>
      </c>
      <c r="H2237" s="411">
        <v>0.1</v>
      </c>
      <c r="I2237" s="412">
        <f>'BAHAN '!G56</f>
        <v>0</v>
      </c>
      <c r="J2237" s="16">
        <f>H2237*I2237</f>
        <v>0</v>
      </c>
    </row>
    <row r="2238" spans="1:10" ht="13.5" thickBot="1">
      <c r="A2238" s="27"/>
      <c r="B2238" s="110"/>
      <c r="D2238" s="417"/>
      <c r="E2238" s="418"/>
      <c r="F2238" s="418"/>
      <c r="G2238" s="419"/>
      <c r="H2238" s="420" t="s">
        <v>64</v>
      </c>
      <c r="I2238" s="421"/>
      <c r="J2238" s="396">
        <f>SUM(J2236:J2237)</f>
        <v>0</v>
      </c>
    </row>
    <row r="2239" spans="1:10" ht="13">
      <c r="A2239" s="27"/>
      <c r="B2239" s="110"/>
      <c r="D2239" s="406" t="s">
        <v>65</v>
      </c>
      <c r="E2239" s="13" t="s">
        <v>66</v>
      </c>
      <c r="F2239" s="14"/>
      <c r="G2239" s="15"/>
      <c r="H2239" s="451"/>
      <c r="I2239" s="412"/>
      <c r="J2239" s="16"/>
    </row>
    <row r="2240" spans="1:10" ht="13.5" thickBot="1">
      <c r="A2240" s="27"/>
      <c r="B2240" s="110"/>
      <c r="D2240" s="409"/>
      <c r="E2240" s="13" t="s">
        <v>3192</v>
      </c>
      <c r="F2240" s="14"/>
      <c r="G2240" s="410" t="s">
        <v>137</v>
      </c>
      <c r="H2240" s="411">
        <v>0.8</v>
      </c>
      <c r="I2240" s="412">
        <f>Alat!H27/8</f>
        <v>0</v>
      </c>
      <c r="J2240" s="16">
        <f>H2240*I2240</f>
        <v>0</v>
      </c>
    </row>
    <row r="2241" spans="1:10" ht="13.5" thickBot="1">
      <c r="A2241" s="27"/>
      <c r="B2241" s="110"/>
      <c r="D2241" s="417"/>
      <c r="E2241" s="418"/>
      <c r="F2241" s="418"/>
      <c r="G2241" s="419"/>
      <c r="H2241" s="420" t="s">
        <v>67</v>
      </c>
      <c r="I2241" s="421"/>
      <c r="J2241" s="396">
        <f>J2240</f>
        <v>0</v>
      </c>
    </row>
    <row r="2242" spans="1:10" ht="13">
      <c r="A2242" s="27"/>
      <c r="B2242" s="110"/>
      <c r="D2242" s="444" t="s">
        <v>68</v>
      </c>
      <c r="E2242" s="445" t="s">
        <v>69</v>
      </c>
      <c r="F2242" s="446"/>
      <c r="G2242" s="447"/>
      <c r="H2242" s="448"/>
      <c r="I2242" s="449">
        <f>IF(AND(E2242&lt;&gt;"",G2242&lt;&gt;""),IF(D2242="",IF(G2242="OH",VLOOKUP(E2242,UPAH!$C$4:$H$31,7,0),VLOOKUP(E2242,#REF!,4,0)),0),0)</f>
        <v>0</v>
      </c>
      <c r="J2242" s="16">
        <f>SUM(J2229:J2241)/2</f>
        <v>0</v>
      </c>
    </row>
    <row r="2243" spans="1:10" ht="13.5" thickBot="1">
      <c r="A2243" s="27"/>
      <c r="B2243" s="110"/>
      <c r="D2243" s="431" t="s">
        <v>70</v>
      </c>
      <c r="E2243" s="432" t="s">
        <v>477</v>
      </c>
      <c r="F2243" s="433"/>
      <c r="G2243" s="434"/>
      <c r="H2243" s="22">
        <v>0.1</v>
      </c>
      <c r="I2243" s="436"/>
      <c r="J2243" s="430">
        <f>H2243*J2242</f>
        <v>0</v>
      </c>
    </row>
    <row r="2244" spans="1:10" ht="13.5" thickBot="1">
      <c r="A2244" s="27"/>
      <c r="B2244" s="110"/>
      <c r="D2244" s="401" t="s">
        <v>71</v>
      </c>
      <c r="E2244" s="402" t="s">
        <v>72</v>
      </c>
      <c r="F2244" s="418"/>
      <c r="G2244" s="419"/>
      <c r="H2244" s="442"/>
      <c r="I2244" s="421">
        <f>IF(AND(E2244&lt;&gt;"",G2244&lt;&gt;""),IF(D2244="",IF(G2244="OH",VLOOKUP(E2244,UPAH!$C$4:$H$31,7,0),VLOOKUP(E2244,#REF!,4,0)),0),0)</f>
        <v>0</v>
      </c>
      <c r="J2244" s="396">
        <f>ROUNDDOWN(J2242+J2243,0)</f>
        <v>0</v>
      </c>
    </row>
    <row r="2245" spans="1:10" ht="13">
      <c r="A2245" s="27"/>
      <c r="B2245" s="110"/>
      <c r="D2245" s="11"/>
      <c r="E2245" s="11"/>
      <c r="H2245" s="443"/>
    </row>
    <row r="2246" spans="1:10" ht="13.5" thickBot="1">
      <c r="A2246" s="27"/>
      <c r="B2246" s="110"/>
      <c r="C2246" s="11" t="s">
        <v>719</v>
      </c>
      <c r="D2246" s="10" t="s">
        <v>720</v>
      </c>
      <c r="H2246" s="443"/>
    </row>
    <row r="2247" spans="1:10" ht="13.5" thickBot="1">
      <c r="A2247" s="27"/>
      <c r="B2247" s="110"/>
      <c r="D2247" s="401" t="s">
        <v>40</v>
      </c>
      <c r="E2247" s="402" t="s">
        <v>41</v>
      </c>
      <c r="F2247" s="402" t="s">
        <v>42</v>
      </c>
      <c r="G2247" s="403" t="s">
        <v>43</v>
      </c>
      <c r="H2247" s="404" t="s">
        <v>44</v>
      </c>
      <c r="I2247" s="402" t="s">
        <v>474</v>
      </c>
      <c r="J2247" s="405" t="s">
        <v>475</v>
      </c>
    </row>
    <row r="2248" spans="1:10" ht="13">
      <c r="A2248" s="27"/>
      <c r="B2248" s="110"/>
      <c r="D2248" s="406" t="s">
        <v>45</v>
      </c>
      <c r="E2248" s="13" t="s">
        <v>46</v>
      </c>
      <c r="F2248" s="14"/>
      <c r="G2248" s="15"/>
      <c r="H2248" s="451"/>
      <c r="I2248" s="412"/>
      <c r="J2248" s="16"/>
    </row>
    <row r="2249" spans="1:10" ht="13">
      <c r="A2249" s="27"/>
      <c r="B2249" s="110"/>
      <c r="D2249" s="409"/>
      <c r="E2249" s="13" t="s">
        <v>47</v>
      </c>
      <c r="F2249" s="13" t="s">
        <v>1918</v>
      </c>
      <c r="G2249" s="410" t="s">
        <v>48</v>
      </c>
      <c r="H2249" s="411">
        <v>1.05</v>
      </c>
      <c r="I2249" s="412">
        <f>IF(AND(E2249&lt;&gt;"",G2249&lt;&gt;""),IF(D2249="",IF(G2249="OH",VLOOKUP(F2249,UPAH!$B$4:$H$101,7,0),VLOOKUP(F2249,#REF!,4,0)),0),0)</f>
        <v>0</v>
      </c>
      <c r="J2249" s="16">
        <f>H2249*I2249</f>
        <v>0</v>
      </c>
    </row>
    <row r="2250" spans="1:10" ht="13">
      <c r="A2250" s="27"/>
      <c r="B2250" s="110"/>
      <c r="D2250" s="409"/>
      <c r="E2250" s="13" t="s">
        <v>461</v>
      </c>
      <c r="F2250" s="13" t="s">
        <v>1911</v>
      </c>
      <c r="G2250" s="410" t="s">
        <v>48</v>
      </c>
      <c r="H2250" s="411">
        <v>1.05</v>
      </c>
      <c r="I2250" s="412">
        <f>IF(AND(E2250&lt;&gt;"",G2250&lt;&gt;""),IF(D2250="",IF(G2250="OH",VLOOKUP(F2250,UPAH!$B$4:$H$101,7,0),VLOOKUP(F2250,#REF!,4,0)),0),0)</f>
        <v>0</v>
      </c>
      <c r="J2250" s="16">
        <f>H2250*I2250</f>
        <v>0</v>
      </c>
    </row>
    <row r="2251" spans="1:10" ht="13">
      <c r="A2251" s="27"/>
      <c r="B2251" s="110"/>
      <c r="D2251" s="409"/>
      <c r="E2251" s="13" t="s">
        <v>50</v>
      </c>
      <c r="F2251" s="13" t="s">
        <v>1928</v>
      </c>
      <c r="G2251" s="410" t="s">
        <v>48</v>
      </c>
      <c r="H2251" s="411">
        <v>0.105</v>
      </c>
      <c r="I2251" s="412">
        <f>IF(AND(E2251&lt;&gt;"",G2251&lt;&gt;""),IF(D2251="",IF(G2251="OH",VLOOKUP(F2251,UPAH!$B$4:$H$101,7,0),VLOOKUP(F2251,#REF!,4,0)),0),0)</f>
        <v>0</v>
      </c>
      <c r="J2251" s="16">
        <f>H2251*I2251</f>
        <v>0</v>
      </c>
    </row>
    <row r="2252" spans="1:10" ht="13.5" thickBot="1">
      <c r="A2252" s="27"/>
      <c r="B2252" s="110"/>
      <c r="D2252" s="409"/>
      <c r="E2252" s="13" t="s">
        <v>51</v>
      </c>
      <c r="F2252" s="13" t="s">
        <v>1929</v>
      </c>
      <c r="G2252" s="410" t="s">
        <v>48</v>
      </c>
      <c r="H2252" s="411">
        <v>5.1999999999999998E-2</v>
      </c>
      <c r="I2252" s="412">
        <f>IF(AND(E2252&lt;&gt;"",G2252&lt;&gt;""),IF(D2252="",IF(G2252="OH",VLOOKUP(F2252,UPAH!$B$4:$H$101,7,0),VLOOKUP(F2252,#REF!,4,0)),0),0)</f>
        <v>0</v>
      </c>
      <c r="J2252" s="16">
        <f>H2252*I2252</f>
        <v>0</v>
      </c>
    </row>
    <row r="2253" spans="1:10" ht="13.5" thickBot="1">
      <c r="A2253" s="27"/>
      <c r="B2253" s="110"/>
      <c r="D2253" s="417"/>
      <c r="E2253" s="418"/>
      <c r="F2253" s="418"/>
      <c r="G2253" s="419"/>
      <c r="H2253" s="420" t="s">
        <v>52</v>
      </c>
      <c r="I2253" s="421"/>
      <c r="J2253" s="396">
        <f>SUM(J2249:J2252)</f>
        <v>0</v>
      </c>
    </row>
    <row r="2254" spans="1:10" ht="13">
      <c r="A2254" s="27"/>
      <c r="B2254" s="110"/>
      <c r="D2254" s="406" t="s">
        <v>53</v>
      </c>
      <c r="E2254" s="13" t="s">
        <v>54</v>
      </c>
      <c r="F2254" s="14"/>
      <c r="G2254" s="15"/>
      <c r="H2254" s="451"/>
      <c r="I2254" s="412"/>
      <c r="J2254" s="16"/>
    </row>
    <row r="2255" spans="1:10" ht="13">
      <c r="A2255" s="27"/>
      <c r="B2255" s="110"/>
      <c r="D2255" s="409"/>
      <c r="E2255" s="13" t="s">
        <v>138</v>
      </c>
      <c r="F2255" s="14"/>
      <c r="G2255" s="410" t="s">
        <v>57</v>
      </c>
      <c r="H2255" s="411">
        <v>15</v>
      </c>
      <c r="I2255" s="412">
        <f>'BAHAN '!G84</f>
        <v>0</v>
      </c>
      <c r="J2255" s="16">
        <f>H2255*I2255</f>
        <v>0</v>
      </c>
    </row>
    <row r="2256" spans="1:10" ht="13">
      <c r="A2256" s="27"/>
      <c r="B2256" s="110"/>
      <c r="D2256" s="409"/>
      <c r="E2256" s="13" t="s">
        <v>386</v>
      </c>
      <c r="F2256" s="14"/>
      <c r="G2256" s="410" t="s">
        <v>57</v>
      </c>
      <c r="H2256" s="411">
        <v>32.799999999999997</v>
      </c>
      <c r="I2256" s="412">
        <f>'BAHAN '!G84</f>
        <v>0</v>
      </c>
      <c r="J2256" s="16">
        <f>H2256*I2256</f>
        <v>0</v>
      </c>
    </row>
    <row r="2257" spans="1:10" ht="13.5" thickBot="1">
      <c r="A2257" s="27"/>
      <c r="B2257" s="110"/>
      <c r="D2257" s="409"/>
      <c r="E2257" s="13" t="s">
        <v>139</v>
      </c>
      <c r="F2257" s="14"/>
      <c r="G2257" s="410" t="s">
        <v>57</v>
      </c>
      <c r="H2257" s="411">
        <v>0.05</v>
      </c>
      <c r="I2257" s="412">
        <f>'BAHAN '!G120</f>
        <v>0</v>
      </c>
      <c r="J2257" s="16">
        <f>H2257*I2257</f>
        <v>0</v>
      </c>
    </row>
    <row r="2258" spans="1:10" ht="13.5" thickBot="1">
      <c r="A2258" s="27"/>
      <c r="B2258" s="110"/>
      <c r="D2258" s="417"/>
      <c r="E2258" s="418"/>
      <c r="F2258" s="418"/>
      <c r="G2258" s="419"/>
      <c r="H2258" s="420" t="s">
        <v>64</v>
      </c>
      <c r="I2258" s="421"/>
      <c r="J2258" s="396">
        <f>SUM(J2255:J2257)</f>
        <v>0</v>
      </c>
    </row>
    <row r="2259" spans="1:10" ht="13.5" thickBot="1">
      <c r="A2259" s="27"/>
      <c r="B2259" s="110"/>
      <c r="D2259" s="406" t="s">
        <v>65</v>
      </c>
      <c r="E2259" s="13" t="s">
        <v>66</v>
      </c>
      <c r="F2259" s="14"/>
      <c r="G2259" s="15"/>
      <c r="H2259" s="451"/>
      <c r="I2259" s="412"/>
      <c r="J2259" s="16"/>
    </row>
    <row r="2260" spans="1:10" ht="13.5" thickBot="1">
      <c r="A2260" s="27"/>
      <c r="B2260" s="110"/>
      <c r="D2260" s="417"/>
      <c r="E2260" s="418"/>
      <c r="F2260" s="418"/>
      <c r="G2260" s="419"/>
      <c r="H2260" s="420" t="s">
        <v>67</v>
      </c>
      <c r="I2260" s="421"/>
      <c r="J2260" s="396">
        <f>J2259</f>
        <v>0</v>
      </c>
    </row>
    <row r="2261" spans="1:10" ht="13">
      <c r="A2261" s="27"/>
      <c r="B2261" s="110"/>
      <c r="D2261" s="444" t="s">
        <v>68</v>
      </c>
      <c r="E2261" s="445" t="s">
        <v>69</v>
      </c>
      <c r="F2261" s="446"/>
      <c r="G2261" s="447"/>
      <c r="H2261" s="448"/>
      <c r="I2261" s="449">
        <f>IF(AND(E2261&lt;&gt;"",G2261&lt;&gt;""),IF(D2261="",IF(G2261="OH",VLOOKUP(E2261,UPAH!$C$4:$H$31,7,0),VLOOKUP(E2261,#REF!,4,0)),0),0)</f>
        <v>0</v>
      </c>
      <c r="J2261" s="16">
        <f>SUM(J2248:J2260)/2</f>
        <v>0</v>
      </c>
    </row>
    <row r="2262" spans="1:10" ht="13.5" thickBot="1">
      <c r="A2262" s="27"/>
      <c r="B2262" s="110"/>
      <c r="D2262" s="431" t="s">
        <v>70</v>
      </c>
      <c r="E2262" s="432" t="s">
        <v>477</v>
      </c>
      <c r="F2262" s="433"/>
      <c r="G2262" s="434"/>
      <c r="H2262" s="22">
        <v>0.1</v>
      </c>
      <c r="I2262" s="436"/>
      <c r="J2262" s="430">
        <f>H2262*J2261</f>
        <v>0</v>
      </c>
    </row>
    <row r="2263" spans="1:10" ht="13.5" thickBot="1">
      <c r="A2263" s="27"/>
      <c r="B2263" s="110"/>
      <c r="D2263" s="401" t="s">
        <v>71</v>
      </c>
      <c r="E2263" s="402" t="s">
        <v>72</v>
      </c>
      <c r="F2263" s="418"/>
      <c r="G2263" s="419"/>
      <c r="H2263" s="442"/>
      <c r="I2263" s="421">
        <f>IF(AND(E2263&lt;&gt;"",G2263&lt;&gt;""),IF(D2263="",IF(G2263="OH",VLOOKUP(E2263,UPAH!$C$4:$H$31,7,0),VLOOKUP(E2263,#REF!,4,0)),0),0)</f>
        <v>0</v>
      </c>
      <c r="J2263" s="396">
        <f>ROUNDDOWN(J2261+J2262,0)</f>
        <v>0</v>
      </c>
    </row>
    <row r="2264" spans="1:10" ht="13">
      <c r="A2264" s="27"/>
      <c r="B2264" s="110"/>
      <c r="D2264" s="11"/>
      <c r="E2264" s="11"/>
      <c r="H2264" s="443"/>
      <c r="I2264" s="17"/>
      <c r="J2264" s="18"/>
    </row>
    <row r="2265" spans="1:10" ht="13.5" thickBot="1">
      <c r="A2265" s="27"/>
      <c r="B2265" s="110"/>
      <c r="C2265" s="11" t="s">
        <v>721</v>
      </c>
      <c r="D2265" s="10" t="s">
        <v>722</v>
      </c>
      <c r="H2265" s="443"/>
    </row>
    <row r="2266" spans="1:10" ht="13.5" thickBot="1">
      <c r="A2266" s="27"/>
      <c r="B2266" s="110"/>
      <c r="D2266" s="401" t="s">
        <v>40</v>
      </c>
      <c r="E2266" s="402" t="s">
        <v>41</v>
      </c>
      <c r="F2266" s="402" t="s">
        <v>42</v>
      </c>
      <c r="G2266" s="403" t="s">
        <v>43</v>
      </c>
      <c r="H2266" s="404" t="s">
        <v>44</v>
      </c>
      <c r="I2266" s="402" t="s">
        <v>474</v>
      </c>
      <c r="J2266" s="405" t="s">
        <v>475</v>
      </c>
    </row>
    <row r="2267" spans="1:10" ht="13">
      <c r="A2267" s="27"/>
      <c r="B2267" s="110"/>
      <c r="D2267" s="406" t="s">
        <v>45</v>
      </c>
      <c r="E2267" s="13" t="s">
        <v>46</v>
      </c>
      <c r="F2267" s="14"/>
      <c r="G2267" s="15"/>
      <c r="H2267" s="451"/>
      <c r="I2267" s="412"/>
      <c r="J2267" s="16"/>
    </row>
    <row r="2268" spans="1:10" ht="13">
      <c r="A2268" s="27"/>
      <c r="B2268" s="110"/>
      <c r="D2268" s="409"/>
      <c r="E2268" s="13" t="s">
        <v>47</v>
      </c>
      <c r="F2268" s="13" t="s">
        <v>1918</v>
      </c>
      <c r="G2268" s="410" t="s">
        <v>48</v>
      </c>
      <c r="H2268" s="411">
        <v>0.04</v>
      </c>
      <c r="I2268" s="412">
        <f>IF(AND(E2268&lt;&gt;"",G2268&lt;&gt;""),IF(D2268="",IF(G2268="OH",VLOOKUP(F2268,UPAH!$B$4:$H$101,7,0),VLOOKUP(F2268,#REF!,4,0)),0),0)</f>
        <v>0</v>
      </c>
      <c r="J2268" s="16">
        <f>H2268*I2268</f>
        <v>0</v>
      </c>
    </row>
    <row r="2269" spans="1:10" ht="13">
      <c r="A2269" s="27"/>
      <c r="B2269" s="110"/>
      <c r="D2269" s="409"/>
      <c r="E2269" s="13" t="s">
        <v>457</v>
      </c>
      <c r="F2269" s="13" t="s">
        <v>1924</v>
      </c>
      <c r="G2269" s="410" t="s">
        <v>48</v>
      </c>
      <c r="H2269" s="411">
        <v>0.02</v>
      </c>
      <c r="I2269" s="412">
        <f>IF(AND(E2269&lt;&gt;"",G2269&lt;&gt;""),IF(D2269="",IF(G2269="OH",VLOOKUP(F2269,UPAH!$B$4:$H$101,7,0),VLOOKUP(F2269,#REF!,4,0)),0),0)</f>
        <v>0</v>
      </c>
      <c r="J2269" s="16">
        <f>H2269*I2269</f>
        <v>0</v>
      </c>
    </row>
    <row r="2270" spans="1:10" ht="13">
      <c r="A2270" s="27"/>
      <c r="B2270" s="110"/>
      <c r="D2270" s="409"/>
      <c r="E2270" s="13" t="s">
        <v>50</v>
      </c>
      <c r="F2270" s="13" t="s">
        <v>1928</v>
      </c>
      <c r="G2270" s="410" t="s">
        <v>48</v>
      </c>
      <c r="H2270" s="411">
        <v>2E-3</v>
      </c>
      <c r="I2270" s="412">
        <f>IF(AND(E2270&lt;&gt;"",G2270&lt;&gt;""),IF(D2270="",IF(G2270="OH",VLOOKUP(F2270,UPAH!$B$4:$H$101,7,0),VLOOKUP(F2270,#REF!,4,0)),0),0)</f>
        <v>0</v>
      </c>
      <c r="J2270" s="16">
        <f>H2270*I2270</f>
        <v>0</v>
      </c>
    </row>
    <row r="2271" spans="1:10" ht="13.5" thickBot="1">
      <c r="A2271" s="27"/>
      <c r="B2271" s="110"/>
      <c r="D2271" s="409"/>
      <c r="E2271" s="13" t="s">
        <v>51</v>
      </c>
      <c r="F2271" s="13" t="s">
        <v>1929</v>
      </c>
      <c r="G2271" s="410" t="s">
        <v>48</v>
      </c>
      <c r="H2271" s="411">
        <v>2E-3</v>
      </c>
      <c r="I2271" s="412">
        <f>IF(AND(E2271&lt;&gt;"",G2271&lt;&gt;""),IF(D2271="",IF(G2271="OH",VLOOKUP(F2271,UPAH!$B$4:$H$101,7,0),VLOOKUP(F2271,#REF!,4,0)),0),0)</f>
        <v>0</v>
      </c>
      <c r="J2271" s="16">
        <f>H2271*I2271</f>
        <v>0</v>
      </c>
    </row>
    <row r="2272" spans="1:10" ht="13.5" thickBot="1">
      <c r="A2272" s="27"/>
      <c r="B2272" s="110"/>
      <c r="D2272" s="417"/>
      <c r="E2272" s="418"/>
      <c r="F2272" s="418"/>
      <c r="G2272" s="419"/>
      <c r="H2272" s="420" t="s">
        <v>52</v>
      </c>
      <c r="I2272" s="421"/>
      <c r="J2272" s="396">
        <f>SUM(J2268:J2271)</f>
        <v>0</v>
      </c>
    </row>
    <row r="2273" spans="1:10" ht="13">
      <c r="A2273" s="27"/>
      <c r="B2273" s="110"/>
      <c r="D2273" s="406" t="s">
        <v>53</v>
      </c>
      <c r="E2273" s="13" t="s">
        <v>54</v>
      </c>
      <c r="F2273" s="14"/>
      <c r="G2273" s="15"/>
      <c r="H2273" s="451"/>
      <c r="I2273" s="412"/>
      <c r="J2273" s="16"/>
    </row>
    <row r="2274" spans="1:10" ht="13">
      <c r="A2274" s="27"/>
      <c r="B2274" s="110"/>
      <c r="D2274" s="409"/>
      <c r="E2274" s="13" t="s">
        <v>140</v>
      </c>
      <c r="F2274" s="14"/>
      <c r="G2274" s="410" t="s">
        <v>57</v>
      </c>
      <c r="H2274" s="411">
        <v>0.4</v>
      </c>
      <c r="I2274" s="412">
        <f>'BAHAN '!G120</f>
        <v>0</v>
      </c>
      <c r="J2274" s="16">
        <f>H2274*I2274</f>
        <v>0</v>
      </c>
    </row>
    <row r="2275" spans="1:10" ht="13">
      <c r="A2275" s="27"/>
      <c r="B2275" s="110"/>
      <c r="D2275" s="409"/>
      <c r="E2275" s="13" t="s">
        <v>131</v>
      </c>
      <c r="F2275" s="14"/>
      <c r="G2275" s="410" t="s">
        <v>63</v>
      </c>
      <c r="H2275" s="411">
        <v>0.3</v>
      </c>
      <c r="I2275" s="412">
        <f>'BAHAN '!G71</f>
        <v>0</v>
      </c>
      <c r="J2275" s="16">
        <f>H2275*I2275</f>
        <v>0</v>
      </c>
    </row>
    <row r="2276" spans="1:10" ht="13.5" thickBot="1">
      <c r="A2276" s="27"/>
      <c r="B2276" s="110"/>
      <c r="D2276" s="409"/>
      <c r="E2276" s="13" t="s">
        <v>136</v>
      </c>
      <c r="F2276" s="14"/>
      <c r="G2276" s="410" t="s">
        <v>63</v>
      </c>
      <c r="H2276" s="411">
        <v>0.04</v>
      </c>
      <c r="I2276" s="412">
        <f>'BAHAN '!G55</f>
        <v>0</v>
      </c>
      <c r="J2276" s="16">
        <f>H2276*I2276</f>
        <v>0</v>
      </c>
    </row>
    <row r="2277" spans="1:10" ht="13.5" thickBot="1">
      <c r="A2277" s="27"/>
      <c r="B2277" s="110"/>
      <c r="D2277" s="417"/>
      <c r="E2277" s="418"/>
      <c r="F2277" s="418"/>
      <c r="G2277" s="419"/>
      <c r="H2277" s="420" t="s">
        <v>64</v>
      </c>
      <c r="I2277" s="421"/>
      <c r="J2277" s="396">
        <f>SUM(J2274:J2276)</f>
        <v>0</v>
      </c>
    </row>
    <row r="2278" spans="1:10" ht="13">
      <c r="A2278" s="27"/>
      <c r="B2278" s="110"/>
      <c r="D2278" s="406" t="s">
        <v>65</v>
      </c>
      <c r="E2278" s="13" t="s">
        <v>66</v>
      </c>
      <c r="F2278" s="14"/>
      <c r="G2278" s="15"/>
      <c r="H2278" s="451"/>
      <c r="I2278" s="412"/>
      <c r="J2278" s="16"/>
    </row>
    <row r="2279" spans="1:10" ht="13.5" thickBot="1">
      <c r="A2279" s="27"/>
      <c r="B2279" s="110"/>
      <c r="D2279" s="409"/>
      <c r="E2279" s="13" t="s">
        <v>723</v>
      </c>
      <c r="F2279" s="14"/>
      <c r="G2279" s="410" t="s">
        <v>137</v>
      </c>
      <c r="H2279" s="411">
        <v>0.17</v>
      </c>
      <c r="I2279" s="412">
        <f>Alat!H52/8</f>
        <v>0</v>
      </c>
      <c r="J2279" s="16">
        <f>H2279*I2279</f>
        <v>0</v>
      </c>
    </row>
    <row r="2280" spans="1:10" ht="13.5" thickBot="1">
      <c r="A2280" s="27"/>
      <c r="B2280" s="110"/>
      <c r="D2280" s="417"/>
      <c r="E2280" s="418"/>
      <c r="F2280" s="418"/>
      <c r="G2280" s="419"/>
      <c r="H2280" s="420" t="s">
        <v>67</v>
      </c>
      <c r="I2280" s="421"/>
      <c r="J2280" s="396">
        <f>J2279</f>
        <v>0</v>
      </c>
    </row>
    <row r="2281" spans="1:10" ht="13">
      <c r="A2281" s="27"/>
      <c r="B2281" s="110"/>
      <c r="D2281" s="444" t="s">
        <v>68</v>
      </c>
      <c r="E2281" s="445" t="s">
        <v>69</v>
      </c>
      <c r="F2281" s="446"/>
      <c r="G2281" s="447"/>
      <c r="H2281" s="448"/>
      <c r="I2281" s="449">
        <f>IF(AND(E2281&lt;&gt;"",G2281&lt;&gt;""),IF(D2281="",IF(G2281="OH",VLOOKUP(E2281,UPAH!$C$4:$H$31,7,0),VLOOKUP(E2281,#REF!,4,0)),0),0)</f>
        <v>0</v>
      </c>
      <c r="J2281" s="16">
        <f>SUM(J2268:J2280)/2</f>
        <v>0</v>
      </c>
    </row>
    <row r="2282" spans="1:10" ht="13.5" thickBot="1">
      <c r="A2282" s="27"/>
      <c r="B2282" s="110"/>
      <c r="D2282" s="431" t="s">
        <v>70</v>
      </c>
      <c r="E2282" s="432" t="s">
        <v>477</v>
      </c>
      <c r="F2282" s="433"/>
      <c r="G2282" s="434"/>
      <c r="H2282" s="22">
        <v>0.1</v>
      </c>
      <c r="I2282" s="436"/>
      <c r="J2282" s="430">
        <f>H2282*J2281</f>
        <v>0</v>
      </c>
    </row>
    <row r="2283" spans="1:10" ht="13.5" thickBot="1">
      <c r="A2283" s="27"/>
      <c r="B2283" s="110"/>
      <c r="D2283" s="401" t="s">
        <v>71</v>
      </c>
      <c r="E2283" s="402" t="s">
        <v>72</v>
      </c>
      <c r="F2283" s="418"/>
      <c r="G2283" s="419"/>
      <c r="H2283" s="442"/>
      <c r="I2283" s="421">
        <f>IF(AND(E2283&lt;&gt;"",G2283&lt;&gt;""),IF(D2283="",IF(G2283="OH",VLOOKUP(E2283,UPAH!$C$4:$H$31,7,0),VLOOKUP(E2283,#REF!,4,0)),0),0)</f>
        <v>0</v>
      </c>
      <c r="J2283" s="396">
        <f>ROUNDDOWN(J2281+J2282,0)</f>
        <v>0</v>
      </c>
    </row>
    <row r="2284" spans="1:10" ht="13">
      <c r="A2284" s="27"/>
      <c r="B2284" s="110"/>
      <c r="D2284" s="11"/>
      <c r="E2284" s="11"/>
      <c r="H2284" s="443"/>
      <c r="I2284" s="17"/>
      <c r="J2284" s="18"/>
    </row>
    <row r="2285" spans="1:10" ht="13.5" thickBot="1">
      <c r="A2285" s="27"/>
      <c r="B2285" s="110"/>
      <c r="C2285" s="11" t="s">
        <v>724</v>
      </c>
      <c r="D2285" s="10" t="s">
        <v>725</v>
      </c>
      <c r="H2285" s="443"/>
    </row>
    <row r="2286" spans="1:10" ht="13.5" thickBot="1">
      <c r="A2286" s="27"/>
      <c r="B2286" s="110"/>
      <c r="D2286" s="401" t="s">
        <v>40</v>
      </c>
      <c r="E2286" s="402" t="s">
        <v>41</v>
      </c>
      <c r="F2286" s="402" t="s">
        <v>42</v>
      </c>
      <c r="G2286" s="403" t="s">
        <v>43</v>
      </c>
      <c r="H2286" s="404" t="s">
        <v>44</v>
      </c>
      <c r="I2286" s="402" t="s">
        <v>474</v>
      </c>
      <c r="J2286" s="405" t="s">
        <v>475</v>
      </c>
    </row>
    <row r="2287" spans="1:10" ht="13">
      <c r="A2287" s="27"/>
      <c r="B2287" s="110"/>
      <c r="D2287" s="406" t="s">
        <v>45</v>
      </c>
      <c r="E2287" s="13" t="s">
        <v>46</v>
      </c>
      <c r="F2287" s="14"/>
      <c r="G2287" s="15"/>
      <c r="H2287" s="451"/>
      <c r="I2287" s="412"/>
      <c r="J2287" s="16"/>
    </row>
    <row r="2288" spans="1:10" ht="13">
      <c r="A2288" s="27"/>
      <c r="B2288" s="110"/>
      <c r="D2288" s="409"/>
      <c r="E2288" s="13" t="s">
        <v>47</v>
      </c>
      <c r="F2288" s="13" t="s">
        <v>1918</v>
      </c>
      <c r="G2288" s="410" t="s">
        <v>48</v>
      </c>
      <c r="H2288" s="411">
        <v>0.65</v>
      </c>
      <c r="I2288" s="412">
        <f>IF(AND(E2288&lt;&gt;"",G2288&lt;&gt;""),IF(D2288="",IF(G2288="OH",VLOOKUP(F2288,UPAH!$B$4:$H$101,7,0),VLOOKUP(F2288,#REF!,4,0)),0),0)</f>
        <v>0</v>
      </c>
      <c r="J2288" s="16">
        <f>H2288*I2288</f>
        <v>0</v>
      </c>
    </row>
    <row r="2289" spans="1:10" ht="13">
      <c r="A2289" s="27"/>
      <c r="B2289" s="110"/>
      <c r="D2289" s="409"/>
      <c r="E2289" s="13" t="s">
        <v>461</v>
      </c>
      <c r="F2289" s="13" t="s">
        <v>1911</v>
      </c>
      <c r="G2289" s="410" t="s">
        <v>48</v>
      </c>
      <c r="H2289" s="411">
        <v>0.65</v>
      </c>
      <c r="I2289" s="412">
        <f>IF(AND(E2289&lt;&gt;"",G2289&lt;&gt;""),IF(D2289="",IF(G2289="OH",VLOOKUP(F2289,UPAH!$B$4:$H$101,7,0),VLOOKUP(F2289,#REF!,4,0)),0),0)</f>
        <v>0</v>
      </c>
      <c r="J2289" s="16">
        <f>H2289*I2289</f>
        <v>0</v>
      </c>
    </row>
    <row r="2290" spans="1:10" ht="13">
      <c r="A2290" s="27"/>
      <c r="B2290" s="110"/>
      <c r="D2290" s="409"/>
      <c r="E2290" s="13" t="s">
        <v>50</v>
      </c>
      <c r="F2290" s="13" t="s">
        <v>1928</v>
      </c>
      <c r="G2290" s="410" t="s">
        <v>48</v>
      </c>
      <c r="H2290" s="411">
        <v>6.5000000000000002E-2</v>
      </c>
      <c r="I2290" s="412">
        <f>IF(AND(E2290&lt;&gt;"",G2290&lt;&gt;""),IF(D2290="",IF(G2290="OH",VLOOKUP(F2290,UPAH!$B$4:$H$101,7,0),VLOOKUP(F2290,#REF!,4,0)),0),0)</f>
        <v>0</v>
      </c>
      <c r="J2290" s="16">
        <f>H2290*I2290</f>
        <v>0</v>
      </c>
    </row>
    <row r="2291" spans="1:10" ht="13.5" thickBot="1">
      <c r="A2291" s="27"/>
      <c r="B2291" s="110"/>
      <c r="D2291" s="409"/>
      <c r="E2291" s="13" t="s">
        <v>51</v>
      </c>
      <c r="F2291" s="13" t="s">
        <v>1929</v>
      </c>
      <c r="G2291" s="410" t="s">
        <v>48</v>
      </c>
      <c r="H2291" s="411">
        <v>3.2000000000000001E-2</v>
      </c>
      <c r="I2291" s="412">
        <f>IF(AND(E2291&lt;&gt;"",G2291&lt;&gt;""),IF(D2291="",IF(G2291="OH",VLOOKUP(F2291,UPAH!$B$4:$H$101,7,0),VLOOKUP(F2291,#REF!,4,0)),0),0)</f>
        <v>0</v>
      </c>
      <c r="J2291" s="16">
        <f>H2291*I2291</f>
        <v>0</v>
      </c>
    </row>
    <row r="2292" spans="1:10" ht="13.5" thickBot="1">
      <c r="A2292" s="27"/>
      <c r="B2292" s="110"/>
      <c r="D2292" s="417"/>
      <c r="E2292" s="418"/>
      <c r="F2292" s="418"/>
      <c r="G2292" s="419"/>
      <c r="H2292" s="420" t="s">
        <v>52</v>
      </c>
      <c r="I2292" s="421"/>
      <c r="J2292" s="396">
        <f>SUM(J2288:J2291)</f>
        <v>0</v>
      </c>
    </row>
    <row r="2293" spans="1:10" ht="13">
      <c r="A2293" s="27"/>
      <c r="B2293" s="110"/>
      <c r="D2293" s="406" t="s">
        <v>53</v>
      </c>
      <c r="E2293" s="13" t="s">
        <v>54</v>
      </c>
      <c r="F2293" s="14"/>
      <c r="G2293" s="15"/>
      <c r="H2293" s="451"/>
      <c r="I2293" s="412"/>
      <c r="J2293" s="16"/>
    </row>
    <row r="2294" spans="1:10" ht="13">
      <c r="A2294" s="27"/>
      <c r="B2294" s="110"/>
      <c r="D2294" s="409"/>
      <c r="E2294" s="13" t="s">
        <v>1072</v>
      </c>
      <c r="F2294" s="14"/>
      <c r="G2294" s="410" t="s">
        <v>113</v>
      </c>
      <c r="H2294" s="411">
        <v>4.76</v>
      </c>
      <c r="I2294" s="412">
        <f>'BAHAN '!G82</f>
        <v>0</v>
      </c>
      <c r="J2294" s="16">
        <f>H2294*I2294</f>
        <v>0</v>
      </c>
    </row>
    <row r="2295" spans="1:10" ht="13">
      <c r="A2295" s="27"/>
      <c r="B2295" s="110"/>
      <c r="D2295" s="409"/>
      <c r="E2295" s="13" t="s">
        <v>141</v>
      </c>
      <c r="F2295" s="14"/>
      <c r="G2295" s="410" t="s">
        <v>113</v>
      </c>
      <c r="H2295" s="411">
        <v>4.5220000000000002</v>
      </c>
      <c r="I2295" s="412">
        <f>'BAHAN '!G1026</f>
        <v>0</v>
      </c>
      <c r="J2295" s="16">
        <f>H2295*I2295</f>
        <v>0</v>
      </c>
    </row>
    <row r="2296" spans="1:10" ht="13.5" thickBot="1">
      <c r="A2296" s="27"/>
      <c r="B2296" s="110"/>
      <c r="D2296" s="409"/>
      <c r="E2296" s="13" t="s">
        <v>142</v>
      </c>
      <c r="F2296" s="14"/>
      <c r="G2296" s="410" t="s">
        <v>143</v>
      </c>
      <c r="H2296" s="411">
        <v>20</v>
      </c>
      <c r="I2296" s="412">
        <f>J2281/10</f>
        <v>0</v>
      </c>
      <c r="J2296" s="16">
        <f>H2296*I2296</f>
        <v>0</v>
      </c>
    </row>
    <row r="2297" spans="1:10" ht="13.5" thickBot="1">
      <c r="A2297" s="27"/>
      <c r="B2297" s="110"/>
      <c r="D2297" s="417"/>
      <c r="E2297" s="418"/>
      <c r="F2297" s="418"/>
      <c r="G2297" s="419"/>
      <c r="H2297" s="420" t="s">
        <v>64</v>
      </c>
      <c r="I2297" s="421"/>
      <c r="J2297" s="396">
        <f>SUM(J2294:J2296)</f>
        <v>0</v>
      </c>
    </row>
    <row r="2298" spans="1:10" ht="13.5" thickBot="1">
      <c r="A2298" s="27"/>
      <c r="B2298" s="110"/>
      <c r="D2298" s="406" t="s">
        <v>65</v>
      </c>
      <c r="E2298" s="13" t="s">
        <v>66</v>
      </c>
      <c r="F2298" s="14"/>
      <c r="G2298" s="15"/>
      <c r="H2298" s="451"/>
      <c r="I2298" s="412"/>
      <c r="J2298" s="16"/>
    </row>
    <row r="2299" spans="1:10" ht="13.5" thickBot="1">
      <c r="A2299" s="27"/>
      <c r="B2299" s="110"/>
      <c r="D2299" s="417"/>
      <c r="E2299" s="418"/>
      <c r="F2299" s="418"/>
      <c r="G2299" s="419"/>
      <c r="H2299" s="420" t="s">
        <v>67</v>
      </c>
      <c r="I2299" s="421"/>
      <c r="J2299" s="396">
        <f>J2298</f>
        <v>0</v>
      </c>
    </row>
    <row r="2300" spans="1:10" ht="13">
      <c r="A2300" s="27"/>
      <c r="B2300" s="110"/>
      <c r="D2300" s="444" t="s">
        <v>68</v>
      </c>
      <c r="E2300" s="445" t="s">
        <v>69</v>
      </c>
      <c r="F2300" s="446"/>
      <c r="G2300" s="447"/>
      <c r="H2300" s="448"/>
      <c r="I2300" s="449">
        <f>IF(AND(E2300&lt;&gt;"",G2300&lt;&gt;""),IF(D2300="",IF(G2300="OH",VLOOKUP(E2300,UPAH!$C$4:$H$31,7,0),VLOOKUP(E2300,#REF!,4,0)),0),0)</f>
        <v>0</v>
      </c>
      <c r="J2300" s="16">
        <f>SUM(J2287:J2299)/2</f>
        <v>0</v>
      </c>
    </row>
    <row r="2301" spans="1:10" ht="13.5" thickBot="1">
      <c r="A2301" s="27"/>
      <c r="B2301" s="110"/>
      <c r="D2301" s="431" t="s">
        <v>70</v>
      </c>
      <c r="E2301" s="432" t="s">
        <v>477</v>
      </c>
      <c r="F2301" s="433"/>
      <c r="G2301" s="434"/>
      <c r="H2301" s="22">
        <v>0.1</v>
      </c>
      <c r="I2301" s="436"/>
      <c r="J2301" s="430">
        <f>H2301*J2300</f>
        <v>0</v>
      </c>
    </row>
    <row r="2302" spans="1:10" ht="13.5" thickBot="1">
      <c r="A2302" s="27"/>
      <c r="B2302" s="110"/>
      <c r="D2302" s="401" t="s">
        <v>71</v>
      </c>
      <c r="E2302" s="402" t="s">
        <v>72</v>
      </c>
      <c r="F2302" s="418"/>
      <c r="G2302" s="419"/>
      <c r="H2302" s="442"/>
      <c r="I2302" s="421">
        <f>IF(AND(E2302&lt;&gt;"",G2302&lt;&gt;""),IF(D2302="",IF(G2302="OH",VLOOKUP(E2302,UPAH!$C$4:$H$31,7,0),VLOOKUP(E2302,#REF!,4,0)),0),0)</f>
        <v>0</v>
      </c>
      <c r="J2302" s="396">
        <f>ROUNDDOWN(J2300+J2301,0)</f>
        <v>0</v>
      </c>
    </row>
    <row r="2303" spans="1:10" ht="13">
      <c r="A2303" s="27"/>
      <c r="B2303" s="110"/>
      <c r="D2303" s="11"/>
      <c r="E2303" s="11"/>
      <c r="H2303" s="443"/>
    </row>
    <row r="2304" spans="1:10" ht="13.5" thickBot="1">
      <c r="A2304" s="27"/>
      <c r="B2304" s="110"/>
      <c r="C2304" s="11" t="s">
        <v>726</v>
      </c>
      <c r="D2304" s="10" t="s">
        <v>727</v>
      </c>
      <c r="H2304" s="443"/>
    </row>
    <row r="2305" spans="1:10" ht="13.5" thickBot="1">
      <c r="A2305" s="27"/>
      <c r="B2305" s="110"/>
      <c r="D2305" s="401" t="s">
        <v>40</v>
      </c>
      <c r="E2305" s="402" t="s">
        <v>41</v>
      </c>
      <c r="F2305" s="402" t="s">
        <v>42</v>
      </c>
      <c r="G2305" s="403" t="s">
        <v>43</v>
      </c>
      <c r="H2305" s="404" t="s">
        <v>44</v>
      </c>
      <c r="I2305" s="402" t="s">
        <v>474</v>
      </c>
      <c r="J2305" s="405" t="s">
        <v>475</v>
      </c>
    </row>
    <row r="2306" spans="1:10" ht="13">
      <c r="A2306" s="27"/>
      <c r="B2306" s="110"/>
      <c r="D2306" s="406" t="s">
        <v>45</v>
      </c>
      <c r="E2306" s="13" t="s">
        <v>46</v>
      </c>
      <c r="F2306" s="14"/>
      <c r="G2306" s="15"/>
      <c r="H2306" s="451"/>
      <c r="I2306" s="412"/>
      <c r="J2306" s="16"/>
    </row>
    <row r="2307" spans="1:10" ht="13">
      <c r="A2307" s="27"/>
      <c r="B2307" s="110"/>
      <c r="D2307" s="409"/>
      <c r="E2307" s="13" t="s">
        <v>47</v>
      </c>
      <c r="F2307" s="13" t="s">
        <v>1918</v>
      </c>
      <c r="G2307" s="410" t="s">
        <v>48</v>
      </c>
      <c r="H2307" s="411">
        <v>1.2</v>
      </c>
      <c r="I2307" s="412">
        <f>IF(AND(E2307&lt;&gt;"",G2307&lt;&gt;""),IF(D2307="",IF(G2307="OH",VLOOKUP(F2307,UPAH!$B$4:$H$101,7,0),VLOOKUP(F2307,#REF!,4,0)),0),0)</f>
        <v>0</v>
      </c>
      <c r="J2307" s="16">
        <f>H2307*I2307</f>
        <v>0</v>
      </c>
    </row>
    <row r="2308" spans="1:10" ht="13">
      <c r="A2308" s="27"/>
      <c r="B2308" s="110"/>
      <c r="D2308" s="409"/>
      <c r="E2308" s="13" t="s">
        <v>461</v>
      </c>
      <c r="F2308" s="13" t="s">
        <v>1911</v>
      </c>
      <c r="G2308" s="410" t="s">
        <v>48</v>
      </c>
      <c r="H2308" s="411">
        <v>1.2</v>
      </c>
      <c r="I2308" s="412">
        <f>IF(AND(E2308&lt;&gt;"",G2308&lt;&gt;""),IF(D2308="",IF(G2308="OH",VLOOKUP(F2308,UPAH!$B$4:$H$101,7,0),VLOOKUP(F2308,#REF!,4,0)),0),0)</f>
        <v>0</v>
      </c>
      <c r="J2308" s="16">
        <f>H2308*I2308</f>
        <v>0</v>
      </c>
    </row>
    <row r="2309" spans="1:10" ht="13">
      <c r="A2309" s="27"/>
      <c r="B2309" s="110"/>
      <c r="D2309" s="409"/>
      <c r="E2309" s="13" t="s">
        <v>50</v>
      </c>
      <c r="F2309" s="13" t="s">
        <v>1928</v>
      </c>
      <c r="G2309" s="410" t="s">
        <v>48</v>
      </c>
      <c r="H2309" s="411">
        <v>0.12</v>
      </c>
      <c r="I2309" s="412">
        <f>IF(AND(E2309&lt;&gt;"",G2309&lt;&gt;""),IF(D2309="",IF(G2309="OH",VLOOKUP(F2309,UPAH!$B$4:$H$101,7,0),VLOOKUP(F2309,#REF!,4,0)),0),0)</f>
        <v>0</v>
      </c>
      <c r="J2309" s="16">
        <f>H2309*I2309</f>
        <v>0</v>
      </c>
    </row>
    <row r="2310" spans="1:10" ht="13.5" thickBot="1">
      <c r="A2310" s="27"/>
      <c r="B2310" s="110"/>
      <c r="D2310" s="409"/>
      <c r="E2310" s="13" t="s">
        <v>51</v>
      </c>
      <c r="F2310" s="13" t="s">
        <v>1929</v>
      </c>
      <c r="G2310" s="410" t="s">
        <v>48</v>
      </c>
      <c r="H2310" s="411">
        <v>6.0000000000000001E-3</v>
      </c>
      <c r="I2310" s="412">
        <f>IF(AND(E2310&lt;&gt;"",G2310&lt;&gt;""),IF(D2310="",IF(G2310="OH",VLOOKUP(F2310,UPAH!$B$4:$H$101,7,0),VLOOKUP(F2310,#REF!,4,0)),0),0)</f>
        <v>0</v>
      </c>
      <c r="J2310" s="16">
        <f>H2310*I2310</f>
        <v>0</v>
      </c>
    </row>
    <row r="2311" spans="1:10" ht="13.5" thickBot="1">
      <c r="A2311" s="27"/>
      <c r="B2311" s="110"/>
      <c r="D2311" s="417"/>
      <c r="E2311" s="418"/>
      <c r="F2311" s="418"/>
      <c r="G2311" s="419"/>
      <c r="H2311" s="420" t="s">
        <v>52</v>
      </c>
      <c r="I2311" s="421"/>
      <c r="J2311" s="396">
        <f>SUM(J2307:J2310)</f>
        <v>0</v>
      </c>
    </row>
    <row r="2312" spans="1:10" ht="13">
      <c r="A2312" s="27"/>
      <c r="B2312" s="110"/>
      <c r="D2312" s="406" t="s">
        <v>53</v>
      </c>
      <c r="E2312" s="13" t="s">
        <v>54</v>
      </c>
      <c r="F2312" s="14"/>
      <c r="G2312" s="15"/>
      <c r="H2312" s="451"/>
      <c r="I2312" s="412"/>
      <c r="J2312" s="16"/>
    </row>
    <row r="2313" spans="1:10" ht="13.5" thickBot="1">
      <c r="A2313" s="27"/>
      <c r="B2313" s="110"/>
      <c r="D2313" s="409"/>
      <c r="E2313" s="13" t="s">
        <v>144</v>
      </c>
      <c r="F2313" s="14"/>
      <c r="G2313" s="410" t="s">
        <v>376</v>
      </c>
      <c r="H2313" s="411">
        <v>1</v>
      </c>
      <c r="I2313" s="412">
        <f>'BAHAN '!G758</f>
        <v>0</v>
      </c>
      <c r="J2313" s="16">
        <f>H2313*I2313</f>
        <v>0</v>
      </c>
    </row>
    <row r="2314" spans="1:10" ht="13.5" thickBot="1">
      <c r="A2314" s="27"/>
      <c r="B2314" s="110"/>
      <c r="D2314" s="417"/>
      <c r="E2314" s="418"/>
      <c r="F2314" s="418"/>
      <c r="G2314" s="419"/>
      <c r="H2314" s="420" t="s">
        <v>64</v>
      </c>
      <c r="I2314" s="421"/>
      <c r="J2314" s="396">
        <f>SUM(J2313)</f>
        <v>0</v>
      </c>
    </row>
    <row r="2315" spans="1:10" ht="13.5" thickBot="1">
      <c r="A2315" s="27"/>
      <c r="B2315" s="110"/>
      <c r="D2315" s="406" t="s">
        <v>65</v>
      </c>
      <c r="E2315" s="13" t="s">
        <v>66</v>
      </c>
      <c r="F2315" s="14"/>
      <c r="G2315" s="15"/>
      <c r="H2315" s="451"/>
      <c r="I2315" s="412"/>
      <c r="J2315" s="16"/>
    </row>
    <row r="2316" spans="1:10" ht="13.5" thickBot="1">
      <c r="A2316" s="27"/>
      <c r="B2316" s="110"/>
      <c r="D2316" s="417"/>
      <c r="E2316" s="418"/>
      <c r="F2316" s="418"/>
      <c r="G2316" s="419"/>
      <c r="H2316" s="420" t="s">
        <v>67</v>
      </c>
      <c r="I2316" s="421"/>
      <c r="J2316" s="396">
        <f>J2315</f>
        <v>0</v>
      </c>
    </row>
    <row r="2317" spans="1:10" ht="13">
      <c r="A2317" s="27"/>
      <c r="B2317" s="110"/>
      <c r="D2317" s="444" t="s">
        <v>68</v>
      </c>
      <c r="E2317" s="445" t="s">
        <v>69</v>
      </c>
      <c r="F2317" s="446"/>
      <c r="G2317" s="447"/>
      <c r="H2317" s="448"/>
      <c r="I2317" s="449">
        <f>IF(AND(E2317&lt;&gt;"",G2317&lt;&gt;""),IF(D2317="",IF(G2317="OH",VLOOKUP(E2317,UPAH!$C$4:$H$31,7,0),VLOOKUP(E2317,#REF!,4,0)),0),0)</f>
        <v>0</v>
      </c>
      <c r="J2317" s="16">
        <f>SUM(J2304:J2316)/2</f>
        <v>0</v>
      </c>
    </row>
    <row r="2318" spans="1:10" ht="13.5" thickBot="1">
      <c r="A2318" s="27"/>
      <c r="B2318" s="110"/>
      <c r="D2318" s="431" t="s">
        <v>70</v>
      </c>
      <c r="E2318" s="432" t="s">
        <v>477</v>
      </c>
      <c r="F2318" s="433"/>
      <c r="G2318" s="434"/>
      <c r="H2318" s="22">
        <v>0.1</v>
      </c>
      <c r="I2318" s="436"/>
      <c r="J2318" s="430">
        <f>H2318*J2317</f>
        <v>0</v>
      </c>
    </row>
    <row r="2319" spans="1:10" ht="13.5" thickBot="1">
      <c r="A2319" s="27"/>
      <c r="B2319" s="110"/>
      <c r="D2319" s="401" t="s">
        <v>71</v>
      </c>
      <c r="E2319" s="402" t="s">
        <v>72</v>
      </c>
      <c r="F2319" s="418"/>
      <c r="G2319" s="419"/>
      <c r="H2319" s="442"/>
      <c r="I2319" s="421">
        <f>IF(AND(E2319&lt;&gt;"",G2319&lt;&gt;""),IF(D2319="",IF(G2319="OH",VLOOKUP(E2319,UPAH!$C$4:$H$31,7,0),VLOOKUP(E2319,#REF!,4,0)),0),0)</f>
        <v>0</v>
      </c>
      <c r="J2319" s="396">
        <f>ROUNDDOWN(J2317+J2318,0)</f>
        <v>0</v>
      </c>
    </row>
    <row r="2320" spans="1:10" ht="13">
      <c r="A2320" s="27"/>
      <c r="B2320" s="110"/>
      <c r="D2320" s="11"/>
      <c r="E2320" s="11"/>
      <c r="H2320" s="443"/>
    </row>
    <row r="2321" spans="1:10" ht="13.5" thickBot="1">
      <c r="A2321" s="27"/>
      <c r="B2321" s="110"/>
      <c r="C2321" s="11" t="s">
        <v>728</v>
      </c>
      <c r="D2321" s="10" t="s">
        <v>729</v>
      </c>
      <c r="H2321" s="443"/>
    </row>
    <row r="2322" spans="1:10" ht="13.5" thickBot="1">
      <c r="A2322" s="27"/>
      <c r="B2322" s="110"/>
      <c r="D2322" s="401" t="s">
        <v>40</v>
      </c>
      <c r="E2322" s="402" t="s">
        <v>41</v>
      </c>
      <c r="F2322" s="402" t="s">
        <v>42</v>
      </c>
      <c r="G2322" s="403" t="s">
        <v>43</v>
      </c>
      <c r="H2322" s="404" t="s">
        <v>44</v>
      </c>
      <c r="I2322" s="402" t="s">
        <v>474</v>
      </c>
      <c r="J2322" s="405" t="s">
        <v>475</v>
      </c>
    </row>
    <row r="2323" spans="1:10" ht="13">
      <c r="A2323" s="27"/>
      <c r="B2323" s="110"/>
      <c r="D2323" s="406" t="s">
        <v>45</v>
      </c>
      <c r="E2323" s="13" t="s">
        <v>46</v>
      </c>
      <c r="F2323" s="14"/>
      <c r="G2323" s="15"/>
      <c r="H2323" s="451"/>
      <c r="I2323" s="412"/>
      <c r="J2323" s="16"/>
    </row>
    <row r="2324" spans="1:10" ht="13">
      <c r="A2324" s="27"/>
      <c r="B2324" s="110"/>
      <c r="D2324" s="409"/>
      <c r="E2324" s="13" t="s">
        <v>47</v>
      </c>
      <c r="F2324" s="13" t="s">
        <v>1918</v>
      </c>
      <c r="G2324" s="410" t="s">
        <v>48</v>
      </c>
      <c r="H2324" s="411">
        <v>0.44</v>
      </c>
      <c r="I2324" s="412">
        <f>IF(AND(E2324&lt;&gt;"",G2324&lt;&gt;""),IF(D2324="",IF(G2324="OH",VLOOKUP(F2324,UPAH!$B$4:$H$101,7,0),VLOOKUP(F2324,#REF!,4,0)),0),0)</f>
        <v>0</v>
      </c>
      <c r="J2324" s="16">
        <f>H2324*I2324</f>
        <v>0</v>
      </c>
    </row>
    <row r="2325" spans="1:10" ht="13">
      <c r="A2325" s="27"/>
      <c r="B2325" s="110"/>
      <c r="D2325" s="409"/>
      <c r="E2325" s="13" t="s">
        <v>96</v>
      </c>
      <c r="F2325" s="13" t="s">
        <v>1919</v>
      </c>
      <c r="G2325" s="410" t="s">
        <v>48</v>
      </c>
      <c r="H2325" s="411">
        <v>0.44</v>
      </c>
      <c r="I2325" s="412">
        <f>IF(AND(E2325&lt;&gt;"",G2325&lt;&gt;""),IF(D2325="",IF(G2325="OH",VLOOKUP(F2325,UPAH!$B$4:$H$101,7,0),VLOOKUP(F2325,#REF!,4,0)),0),0)</f>
        <v>0</v>
      </c>
      <c r="J2325" s="16">
        <f>H2325*I2325</f>
        <v>0</v>
      </c>
    </row>
    <row r="2326" spans="1:10" ht="13">
      <c r="A2326" s="27"/>
      <c r="B2326" s="110"/>
      <c r="D2326" s="409"/>
      <c r="E2326" s="13" t="s">
        <v>50</v>
      </c>
      <c r="F2326" s="13" t="s">
        <v>1928</v>
      </c>
      <c r="G2326" s="410" t="s">
        <v>48</v>
      </c>
      <c r="H2326" s="411">
        <v>4.3999999999999997E-2</v>
      </c>
      <c r="I2326" s="412">
        <f>IF(AND(E2326&lt;&gt;"",G2326&lt;&gt;""),IF(D2326="",IF(G2326="OH",VLOOKUP(F2326,UPAH!$B$4:$H$101,7,0),VLOOKUP(F2326,#REF!,4,0)),0),0)</f>
        <v>0</v>
      </c>
      <c r="J2326" s="16">
        <f>H2326*I2326</f>
        <v>0</v>
      </c>
    </row>
    <row r="2327" spans="1:10" ht="13.5" thickBot="1">
      <c r="A2327" s="27"/>
      <c r="B2327" s="110"/>
      <c r="D2327" s="409"/>
      <c r="E2327" s="13" t="s">
        <v>51</v>
      </c>
      <c r="F2327" s="13" t="s">
        <v>1929</v>
      </c>
      <c r="G2327" s="410" t="s">
        <v>48</v>
      </c>
      <c r="H2327" s="411">
        <v>2.1999999999999999E-2</v>
      </c>
      <c r="I2327" s="412">
        <f>IF(AND(E2327&lt;&gt;"",G2327&lt;&gt;""),IF(D2327="",IF(G2327="OH",VLOOKUP(F2327,UPAH!$B$4:$H$101,7,0),VLOOKUP(F2327,#REF!,4,0)),0),0)</f>
        <v>0</v>
      </c>
      <c r="J2327" s="16">
        <f>H2327*I2327</f>
        <v>0</v>
      </c>
    </row>
    <row r="2328" spans="1:10" ht="13.5" thickBot="1">
      <c r="A2328" s="27"/>
      <c r="B2328" s="110"/>
      <c r="D2328" s="417"/>
      <c r="E2328" s="418"/>
      <c r="F2328" s="418"/>
      <c r="G2328" s="419"/>
      <c r="H2328" s="420" t="s">
        <v>52</v>
      </c>
      <c r="I2328" s="421"/>
      <c r="J2328" s="396">
        <f>SUM(J2324:J2327)</f>
        <v>0</v>
      </c>
    </row>
    <row r="2329" spans="1:10" ht="13">
      <c r="A2329" s="27"/>
      <c r="B2329" s="110"/>
      <c r="D2329" s="406" t="s">
        <v>53</v>
      </c>
      <c r="E2329" s="13" t="s">
        <v>54</v>
      </c>
      <c r="F2329" s="14"/>
      <c r="G2329" s="15"/>
      <c r="H2329" s="451"/>
      <c r="I2329" s="412"/>
      <c r="J2329" s="16"/>
    </row>
    <row r="2330" spans="1:10" ht="13.5" thickBot="1">
      <c r="A2330" s="27"/>
      <c r="B2330" s="110"/>
      <c r="D2330" s="409"/>
      <c r="E2330" s="458" t="s">
        <v>145</v>
      </c>
      <c r="F2330" s="496"/>
      <c r="G2330" s="497" t="s">
        <v>376</v>
      </c>
      <c r="H2330" s="498">
        <v>1</v>
      </c>
      <c r="I2330" s="412">
        <f>'BAHAN '!G759</f>
        <v>0</v>
      </c>
      <c r="J2330" s="16">
        <f>H2330*I2330</f>
        <v>0</v>
      </c>
    </row>
    <row r="2331" spans="1:10" ht="13.5" thickBot="1">
      <c r="A2331" s="27"/>
      <c r="B2331" s="110"/>
      <c r="D2331" s="417"/>
      <c r="E2331" s="418"/>
      <c r="F2331" s="418"/>
      <c r="G2331" s="419"/>
      <c r="H2331" s="420" t="s">
        <v>64</v>
      </c>
      <c r="I2331" s="421"/>
      <c r="J2331" s="396">
        <f>SUM(J2330)</f>
        <v>0</v>
      </c>
    </row>
    <row r="2332" spans="1:10" ht="13.5" thickBot="1">
      <c r="A2332" s="27"/>
      <c r="B2332" s="110"/>
      <c r="D2332" s="406" t="s">
        <v>65</v>
      </c>
      <c r="E2332" s="13" t="s">
        <v>66</v>
      </c>
      <c r="F2332" s="14"/>
      <c r="G2332" s="15"/>
      <c r="H2332" s="451"/>
      <c r="I2332" s="412">
        <f>IF(AND(E2332&lt;&gt;"",G2332&lt;&gt;""),IF(D2332="",IF(G2332="OH",VLOOKUP(E2332,UPAH!$C$4:$H$31,7,0),VLOOKUP(E2332,#REF!,4,0)),0),0)</f>
        <v>0</v>
      </c>
      <c r="J2332" s="16">
        <f>H2332*I2332</f>
        <v>0</v>
      </c>
    </row>
    <row r="2333" spans="1:10" ht="13.5" thickBot="1">
      <c r="A2333" s="27"/>
      <c r="B2333" s="110"/>
      <c r="D2333" s="417"/>
      <c r="E2333" s="418"/>
      <c r="F2333" s="418"/>
      <c r="G2333" s="419"/>
      <c r="H2333" s="420" t="s">
        <v>67</v>
      </c>
      <c r="I2333" s="421"/>
      <c r="J2333" s="396">
        <f>J2332</f>
        <v>0</v>
      </c>
    </row>
    <row r="2334" spans="1:10" ht="13">
      <c r="A2334" s="27"/>
      <c r="B2334" s="110"/>
      <c r="D2334" s="444" t="s">
        <v>68</v>
      </c>
      <c r="E2334" s="445" t="s">
        <v>69</v>
      </c>
      <c r="F2334" s="446"/>
      <c r="G2334" s="447"/>
      <c r="H2334" s="448"/>
      <c r="I2334" s="449">
        <f>IF(AND(E2334&lt;&gt;"",G2334&lt;&gt;""),IF(D2334="",IF(G2334="OH",VLOOKUP(E2334,UPAH!$C$4:$H$31,7,0),VLOOKUP(E2334,#REF!,4,0)),0),0)</f>
        <v>0</v>
      </c>
      <c r="J2334" s="16">
        <f>SUM(J2323:J2333)/2</f>
        <v>0</v>
      </c>
    </row>
    <row r="2335" spans="1:10" ht="13.5" thickBot="1">
      <c r="A2335" s="27"/>
      <c r="B2335" s="110"/>
      <c r="D2335" s="431" t="s">
        <v>70</v>
      </c>
      <c r="E2335" s="432" t="s">
        <v>477</v>
      </c>
      <c r="F2335" s="433"/>
      <c r="G2335" s="434"/>
      <c r="H2335" s="22">
        <v>0.1</v>
      </c>
      <c r="I2335" s="436"/>
      <c r="J2335" s="430">
        <f>H2335*J2334</f>
        <v>0</v>
      </c>
    </row>
    <row r="2336" spans="1:10" ht="13.5" thickBot="1">
      <c r="A2336" s="27"/>
      <c r="B2336" s="110"/>
      <c r="D2336" s="401" t="s">
        <v>71</v>
      </c>
      <c r="E2336" s="402" t="s">
        <v>72</v>
      </c>
      <c r="F2336" s="418"/>
      <c r="G2336" s="419"/>
      <c r="H2336" s="442"/>
      <c r="I2336" s="421">
        <f>IF(AND(E2336&lt;&gt;"",G2336&lt;&gt;""),IF(D2336="",IF(G2336="OH",VLOOKUP(E2336,UPAH!$C$4:$H$31,7,0),VLOOKUP(E2336,#REF!,4,0)),0),0)</f>
        <v>0</v>
      </c>
      <c r="J2336" s="396">
        <f>ROUNDDOWN(J2334+J2335,0)</f>
        <v>0</v>
      </c>
    </row>
    <row r="2337" spans="1:10" ht="13">
      <c r="A2337" s="27"/>
      <c r="B2337" s="110"/>
      <c r="D2337" s="11"/>
      <c r="E2337" s="11"/>
      <c r="H2337" s="443"/>
    </row>
    <row r="2338" spans="1:10" ht="13.5" thickBot="1">
      <c r="A2338" s="27"/>
      <c r="B2338" s="110"/>
      <c r="C2338" s="11" t="s">
        <v>730</v>
      </c>
      <c r="D2338" s="10" t="s">
        <v>731</v>
      </c>
      <c r="H2338" s="443"/>
    </row>
    <row r="2339" spans="1:10" ht="13.5" thickBot="1">
      <c r="A2339" s="27"/>
      <c r="B2339" s="110"/>
      <c r="D2339" s="401" t="s">
        <v>40</v>
      </c>
      <c r="E2339" s="402" t="s">
        <v>41</v>
      </c>
      <c r="F2339" s="402" t="s">
        <v>42</v>
      </c>
      <c r="G2339" s="403" t="s">
        <v>43</v>
      </c>
      <c r="H2339" s="404" t="s">
        <v>44</v>
      </c>
      <c r="I2339" s="402" t="s">
        <v>474</v>
      </c>
      <c r="J2339" s="405" t="s">
        <v>475</v>
      </c>
    </row>
    <row r="2340" spans="1:10" ht="13">
      <c r="A2340" s="27"/>
      <c r="B2340" s="110"/>
      <c r="D2340" s="406" t="s">
        <v>45</v>
      </c>
      <c r="E2340" s="13" t="s">
        <v>46</v>
      </c>
      <c r="F2340" s="14"/>
      <c r="G2340" s="15"/>
      <c r="H2340" s="451"/>
      <c r="I2340" s="412"/>
      <c r="J2340" s="16"/>
    </row>
    <row r="2341" spans="1:10" ht="13">
      <c r="A2341" s="27"/>
      <c r="B2341" s="110"/>
      <c r="D2341" s="409"/>
      <c r="E2341" s="13" t="s">
        <v>47</v>
      </c>
      <c r="F2341" s="13" t="s">
        <v>1918</v>
      </c>
      <c r="G2341" s="410" t="s">
        <v>48</v>
      </c>
      <c r="H2341" s="411">
        <v>0.08</v>
      </c>
      <c r="I2341" s="412">
        <f>IF(AND(E2341&lt;&gt;"",G2341&lt;&gt;""),IF(D2341="",IF(G2341="OH",VLOOKUP(F2341,UPAH!$B$4:$H$101,7,0),VLOOKUP(F2341,#REF!,4,0)),0),0)</f>
        <v>0</v>
      </c>
      <c r="J2341" s="16">
        <f>H2341*I2341</f>
        <v>0</v>
      </c>
    </row>
    <row r="2342" spans="1:10" ht="13">
      <c r="A2342" s="27"/>
      <c r="B2342" s="110"/>
      <c r="D2342" s="409"/>
      <c r="E2342" s="13" t="s">
        <v>96</v>
      </c>
      <c r="F2342" s="13" t="s">
        <v>1919</v>
      </c>
      <c r="G2342" s="410" t="s">
        <v>48</v>
      </c>
      <c r="H2342" s="411">
        <v>0.8</v>
      </c>
      <c r="I2342" s="412">
        <f>IF(AND(E2342&lt;&gt;"",G2342&lt;&gt;""),IF(D2342="",IF(G2342="OH",VLOOKUP(F2342,UPAH!$B$4:$H$101,7,0),VLOOKUP(F2342,#REF!,4,0)),0),0)</f>
        <v>0</v>
      </c>
      <c r="J2342" s="16">
        <f>H2342*I2342</f>
        <v>0</v>
      </c>
    </row>
    <row r="2343" spans="1:10" ht="13">
      <c r="A2343" s="27"/>
      <c r="B2343" s="110"/>
      <c r="D2343" s="409"/>
      <c r="E2343" s="13" t="s">
        <v>50</v>
      </c>
      <c r="F2343" s="13" t="s">
        <v>1928</v>
      </c>
      <c r="G2343" s="410" t="s">
        <v>48</v>
      </c>
      <c r="H2343" s="411">
        <v>0.08</v>
      </c>
      <c r="I2343" s="412">
        <f>IF(AND(E2343&lt;&gt;"",G2343&lt;&gt;""),IF(D2343="",IF(G2343="OH",VLOOKUP(F2343,UPAH!$B$4:$H$101,7,0),VLOOKUP(F2343,#REF!,4,0)),0),0)</f>
        <v>0</v>
      </c>
      <c r="J2343" s="16">
        <f>H2343*I2343</f>
        <v>0</v>
      </c>
    </row>
    <row r="2344" spans="1:10" ht="13.5" thickBot="1">
      <c r="A2344" s="27"/>
      <c r="B2344" s="110"/>
      <c r="D2344" s="409"/>
      <c r="E2344" s="13" t="s">
        <v>51</v>
      </c>
      <c r="F2344" s="13" t="s">
        <v>1929</v>
      </c>
      <c r="G2344" s="410" t="s">
        <v>48</v>
      </c>
      <c r="H2344" s="411">
        <v>4.0000000000000001E-3</v>
      </c>
      <c r="I2344" s="412">
        <f>IF(AND(E2344&lt;&gt;"",G2344&lt;&gt;""),IF(D2344="",IF(G2344="OH",VLOOKUP(F2344,UPAH!$B$4:$H$101,7,0),VLOOKUP(F2344,#REF!,4,0)),0),0)</f>
        <v>0</v>
      </c>
      <c r="J2344" s="16">
        <f>H2344*I2344</f>
        <v>0</v>
      </c>
    </row>
    <row r="2345" spans="1:10" ht="13.5" thickBot="1">
      <c r="A2345" s="27"/>
      <c r="B2345" s="110"/>
      <c r="D2345" s="417"/>
      <c r="E2345" s="418"/>
      <c r="F2345" s="418"/>
      <c r="G2345" s="419"/>
      <c r="H2345" s="420" t="s">
        <v>52</v>
      </c>
      <c r="I2345" s="421"/>
      <c r="J2345" s="396">
        <f>SUM(J2341:J2344)</f>
        <v>0</v>
      </c>
    </row>
    <row r="2346" spans="1:10" ht="13">
      <c r="A2346" s="27"/>
      <c r="B2346" s="110"/>
      <c r="D2346" s="406" t="s">
        <v>53</v>
      </c>
      <c r="E2346" s="13" t="s">
        <v>54</v>
      </c>
      <c r="F2346" s="14"/>
      <c r="G2346" s="15"/>
      <c r="H2346" s="451"/>
      <c r="I2346" s="412"/>
      <c r="J2346" s="16"/>
    </row>
    <row r="2347" spans="1:10" ht="13.5" thickBot="1">
      <c r="A2347" s="27"/>
      <c r="B2347" s="110"/>
      <c r="D2347" s="409"/>
      <c r="E2347" s="13" t="s">
        <v>146</v>
      </c>
      <c r="F2347" s="14"/>
      <c r="G2347" s="410" t="s">
        <v>376</v>
      </c>
      <c r="H2347" s="411">
        <v>1</v>
      </c>
      <c r="I2347" s="412">
        <f>'BAHAN '!G761</f>
        <v>0</v>
      </c>
      <c r="J2347" s="16">
        <f>H2347*I2347</f>
        <v>0</v>
      </c>
    </row>
    <row r="2348" spans="1:10" ht="13.5" thickBot="1">
      <c r="A2348" s="27"/>
      <c r="B2348" s="110"/>
      <c r="D2348" s="417"/>
      <c r="E2348" s="418"/>
      <c r="F2348" s="418"/>
      <c r="G2348" s="419"/>
      <c r="H2348" s="420" t="s">
        <v>64</v>
      </c>
      <c r="I2348" s="421"/>
      <c r="J2348" s="396">
        <f>SUM(J2347)</f>
        <v>0</v>
      </c>
    </row>
    <row r="2349" spans="1:10" ht="13.5" thickBot="1">
      <c r="A2349" s="27"/>
      <c r="B2349" s="110"/>
      <c r="D2349" s="406" t="s">
        <v>65</v>
      </c>
      <c r="E2349" s="13" t="s">
        <v>66</v>
      </c>
      <c r="F2349" s="14"/>
      <c r="G2349" s="15"/>
      <c r="H2349" s="451"/>
      <c r="I2349" s="412">
        <f>IF(AND(E2349&lt;&gt;"",G2349&lt;&gt;""),IF(D2349="",IF(G2349="OH",VLOOKUP(E2349,UPAH!$C$4:$H$31,7,0),VLOOKUP(E2349,#REF!,4,0)),0),0)</f>
        <v>0</v>
      </c>
      <c r="J2349" s="16">
        <f>H2349*I2349</f>
        <v>0</v>
      </c>
    </row>
    <row r="2350" spans="1:10" ht="13.5" thickBot="1">
      <c r="A2350" s="27"/>
      <c r="B2350" s="110"/>
      <c r="D2350" s="417"/>
      <c r="E2350" s="418"/>
      <c r="F2350" s="418"/>
      <c r="G2350" s="419"/>
      <c r="H2350" s="420" t="s">
        <v>67</v>
      </c>
      <c r="I2350" s="421"/>
      <c r="J2350" s="396">
        <f>J2349</f>
        <v>0</v>
      </c>
    </row>
    <row r="2351" spans="1:10" ht="13">
      <c r="A2351" s="27"/>
      <c r="B2351" s="110"/>
      <c r="D2351" s="444" t="s">
        <v>68</v>
      </c>
      <c r="E2351" s="445" t="s">
        <v>69</v>
      </c>
      <c r="F2351" s="446"/>
      <c r="G2351" s="447"/>
      <c r="H2351" s="448"/>
      <c r="I2351" s="449">
        <f>IF(AND(E2351&lt;&gt;"",G2351&lt;&gt;""),IF(D2351="",IF(G2351="OH",VLOOKUP(E2351,UPAH!$C$4:$H$31,7,0),VLOOKUP(E2351,#REF!,4,0)),0),0)</f>
        <v>0</v>
      </c>
      <c r="J2351" s="16">
        <f>SUM(J2340:J2350)/2</f>
        <v>0</v>
      </c>
    </row>
    <row r="2352" spans="1:10" ht="13.5" thickBot="1">
      <c r="A2352" s="27"/>
      <c r="B2352" s="110"/>
      <c r="D2352" s="431" t="s">
        <v>70</v>
      </c>
      <c r="E2352" s="432" t="s">
        <v>477</v>
      </c>
      <c r="F2352" s="433"/>
      <c r="G2352" s="434"/>
      <c r="H2352" s="22">
        <v>0.1</v>
      </c>
      <c r="I2352" s="436"/>
      <c r="J2352" s="430">
        <f>H2352*J2351</f>
        <v>0</v>
      </c>
    </row>
    <row r="2353" spans="1:10" ht="13.5" thickBot="1">
      <c r="A2353" s="27"/>
      <c r="B2353" s="110"/>
      <c r="D2353" s="401" t="s">
        <v>71</v>
      </c>
      <c r="E2353" s="402" t="s">
        <v>72</v>
      </c>
      <c r="F2353" s="418"/>
      <c r="G2353" s="419"/>
      <c r="H2353" s="442"/>
      <c r="I2353" s="421">
        <f>IF(AND(E2353&lt;&gt;"",G2353&lt;&gt;""),IF(D2353="",IF(G2353="OH",VLOOKUP(E2353,UPAH!$C$4:$H$31,7,0),VLOOKUP(E2353,#REF!,4,0)),0),0)</f>
        <v>0</v>
      </c>
      <c r="J2353" s="396">
        <f>ROUNDDOWN(J2351+J2352,0)</f>
        <v>0</v>
      </c>
    </row>
    <row r="2354" spans="1:10" ht="13">
      <c r="A2354" s="27"/>
      <c r="B2354" s="110"/>
      <c r="D2354" s="11"/>
      <c r="E2354" s="11"/>
      <c r="H2354" s="443"/>
    </row>
    <row r="2355" spans="1:10" ht="13.5" thickBot="1">
      <c r="A2355" s="27"/>
      <c r="B2355" s="110"/>
      <c r="C2355" s="11" t="s">
        <v>732</v>
      </c>
      <c r="D2355" s="10" t="s">
        <v>733</v>
      </c>
      <c r="H2355" s="443"/>
    </row>
    <row r="2356" spans="1:10" ht="13.5" thickBot="1">
      <c r="A2356" s="27"/>
      <c r="B2356" s="110"/>
      <c r="D2356" s="401" t="s">
        <v>40</v>
      </c>
      <c r="E2356" s="402" t="s">
        <v>41</v>
      </c>
      <c r="F2356" s="402" t="s">
        <v>42</v>
      </c>
      <c r="G2356" s="403" t="s">
        <v>43</v>
      </c>
      <c r="H2356" s="404" t="s">
        <v>44</v>
      </c>
      <c r="I2356" s="402" t="s">
        <v>474</v>
      </c>
      <c r="J2356" s="405" t="s">
        <v>475</v>
      </c>
    </row>
    <row r="2357" spans="1:10" ht="13">
      <c r="A2357" s="27"/>
      <c r="B2357" s="110"/>
      <c r="D2357" s="406" t="s">
        <v>45</v>
      </c>
      <c r="E2357" s="13" t="s">
        <v>46</v>
      </c>
      <c r="F2357" s="14"/>
      <c r="G2357" s="15"/>
      <c r="H2357" s="451"/>
      <c r="I2357" s="412"/>
      <c r="J2357" s="16"/>
    </row>
    <row r="2358" spans="1:10" ht="13">
      <c r="A2358" s="27"/>
      <c r="B2358" s="110"/>
      <c r="D2358" s="409"/>
      <c r="E2358" s="13" t="s">
        <v>47</v>
      </c>
      <c r="F2358" s="13" t="s">
        <v>1918</v>
      </c>
      <c r="G2358" s="410" t="s">
        <v>48</v>
      </c>
      <c r="H2358" s="411">
        <v>1</v>
      </c>
      <c r="I2358" s="412">
        <f>IF(AND(E2358&lt;&gt;"",G2358&lt;&gt;""),IF(D2358="",IF(G2358="OH",VLOOKUP(F2358,UPAH!$B$4:$H$101,7,0),VLOOKUP(F2358,#REF!,4,0)),0),0)</f>
        <v>0</v>
      </c>
      <c r="J2358" s="16">
        <f>H2358*I2358</f>
        <v>0</v>
      </c>
    </row>
    <row r="2359" spans="1:10" ht="13">
      <c r="A2359" s="27"/>
      <c r="B2359" s="110"/>
      <c r="D2359" s="409"/>
      <c r="E2359" s="13" t="s">
        <v>494</v>
      </c>
      <c r="F2359" s="13" t="s">
        <v>1920</v>
      </c>
      <c r="G2359" s="410" t="s">
        <v>48</v>
      </c>
      <c r="H2359" s="411">
        <v>1</v>
      </c>
      <c r="I2359" s="412">
        <f>IF(AND(E2359&lt;&gt;"",G2359&lt;&gt;""),IF(D2359="",IF(G2359="OH",VLOOKUP(F2359,UPAH!$B$4:$H$101,7,0),VLOOKUP(F2359,#REF!,4,0)),0),0)</f>
        <v>0</v>
      </c>
      <c r="J2359" s="16">
        <f>H2359*I2359</f>
        <v>0</v>
      </c>
    </row>
    <row r="2360" spans="1:10" ht="13">
      <c r="A2360" s="27"/>
      <c r="B2360" s="110"/>
      <c r="D2360" s="409"/>
      <c r="E2360" s="13" t="s">
        <v>50</v>
      </c>
      <c r="F2360" s="13" t="s">
        <v>1928</v>
      </c>
      <c r="G2360" s="410" t="s">
        <v>48</v>
      </c>
      <c r="H2360" s="411">
        <v>0.1</v>
      </c>
      <c r="I2360" s="412">
        <f>IF(AND(E2360&lt;&gt;"",G2360&lt;&gt;""),IF(D2360="",IF(G2360="OH",VLOOKUP(F2360,UPAH!$B$4:$H$101,7,0),VLOOKUP(F2360,#REF!,4,0)),0),0)</f>
        <v>0</v>
      </c>
      <c r="J2360" s="16">
        <f>H2360*I2360</f>
        <v>0</v>
      </c>
    </row>
    <row r="2361" spans="1:10" ht="13.5" thickBot="1">
      <c r="A2361" s="27"/>
      <c r="B2361" s="110"/>
      <c r="D2361" s="409"/>
      <c r="E2361" s="13" t="s">
        <v>51</v>
      </c>
      <c r="F2361" s="13" t="s">
        <v>1929</v>
      </c>
      <c r="G2361" s="410" t="s">
        <v>48</v>
      </c>
      <c r="H2361" s="411">
        <v>0.05</v>
      </c>
      <c r="I2361" s="412">
        <f>IF(AND(E2361&lt;&gt;"",G2361&lt;&gt;""),IF(D2361="",IF(G2361="OH",VLOOKUP(F2361,UPAH!$B$4:$H$101,7,0),VLOOKUP(F2361,#REF!,4,0)),0),0)</f>
        <v>0</v>
      </c>
      <c r="J2361" s="16">
        <f>H2361*I2361</f>
        <v>0</v>
      </c>
    </row>
    <row r="2362" spans="1:10" ht="13.5" thickBot="1">
      <c r="A2362" s="27"/>
      <c r="B2362" s="110"/>
      <c r="D2362" s="417"/>
      <c r="E2362" s="418"/>
      <c r="F2362" s="418"/>
      <c r="G2362" s="419"/>
      <c r="H2362" s="420" t="s">
        <v>52</v>
      </c>
      <c r="I2362" s="421"/>
      <c r="J2362" s="396">
        <f>SUM(J2358:J2361)</f>
        <v>0</v>
      </c>
    </row>
    <row r="2363" spans="1:10" ht="13">
      <c r="A2363" s="27"/>
      <c r="B2363" s="110"/>
      <c r="D2363" s="406" t="s">
        <v>53</v>
      </c>
      <c r="E2363" s="13" t="s">
        <v>54</v>
      </c>
      <c r="F2363" s="14"/>
      <c r="G2363" s="15"/>
      <c r="H2363" s="451"/>
      <c r="I2363" s="412"/>
      <c r="J2363" s="16"/>
    </row>
    <row r="2364" spans="1:10" ht="13.5" thickBot="1">
      <c r="A2364" s="27"/>
      <c r="B2364" s="110"/>
      <c r="D2364" s="409"/>
      <c r="E2364" s="13" t="s">
        <v>436</v>
      </c>
      <c r="F2364" s="14"/>
      <c r="G2364" s="410" t="s">
        <v>376</v>
      </c>
      <c r="H2364" s="411">
        <v>1</v>
      </c>
      <c r="I2364" s="412">
        <f>'BAHAN '!G139</f>
        <v>0</v>
      </c>
      <c r="J2364" s="16">
        <f>H2364*I2364</f>
        <v>0</v>
      </c>
    </row>
    <row r="2365" spans="1:10" ht="13.5" thickBot="1">
      <c r="A2365" s="27"/>
      <c r="B2365" s="110"/>
      <c r="D2365" s="417"/>
      <c r="E2365" s="418"/>
      <c r="F2365" s="418"/>
      <c r="G2365" s="419"/>
      <c r="H2365" s="420" t="s">
        <v>64</v>
      </c>
      <c r="I2365" s="421"/>
      <c r="J2365" s="396">
        <f>SUM(J2364)</f>
        <v>0</v>
      </c>
    </row>
    <row r="2366" spans="1:10" ht="13.5" thickBot="1">
      <c r="A2366" s="27"/>
      <c r="B2366" s="110"/>
      <c r="D2366" s="406" t="s">
        <v>65</v>
      </c>
      <c r="E2366" s="13" t="s">
        <v>66</v>
      </c>
      <c r="F2366" s="14"/>
      <c r="G2366" s="15"/>
      <c r="H2366" s="451"/>
      <c r="I2366" s="412">
        <f>IF(AND(E2366&lt;&gt;"",G2366&lt;&gt;""),IF(D2366="",IF(G2366="OH",VLOOKUP(E2366,UPAH!$C$4:$H$31,7,0),VLOOKUP(E2366,#REF!,4,0)),0),0)</f>
        <v>0</v>
      </c>
      <c r="J2366" s="16">
        <f>H2366*I2366</f>
        <v>0</v>
      </c>
    </row>
    <row r="2367" spans="1:10" ht="13.5" thickBot="1">
      <c r="A2367" s="27"/>
      <c r="B2367" s="110"/>
      <c r="D2367" s="417"/>
      <c r="E2367" s="418"/>
      <c r="F2367" s="418"/>
      <c r="G2367" s="419"/>
      <c r="H2367" s="420" t="s">
        <v>67</v>
      </c>
      <c r="I2367" s="421"/>
      <c r="J2367" s="396">
        <f>J2366</f>
        <v>0</v>
      </c>
    </row>
    <row r="2368" spans="1:10" ht="13">
      <c r="A2368" s="27"/>
      <c r="B2368" s="110"/>
      <c r="D2368" s="444" t="s">
        <v>68</v>
      </c>
      <c r="E2368" s="445" t="s">
        <v>69</v>
      </c>
      <c r="F2368" s="446"/>
      <c r="G2368" s="447"/>
      <c r="H2368" s="448"/>
      <c r="I2368" s="449">
        <f>IF(AND(E2368&lt;&gt;"",G2368&lt;&gt;""),IF(D2368="",IF(G2368="OH",VLOOKUP(E2368,UPAH!$C$4:$H$31,7,0),VLOOKUP(E2368,#REF!,4,0)),0),0)</f>
        <v>0</v>
      </c>
      <c r="J2368" s="16">
        <f>SUM(J2357:J2367)/2</f>
        <v>0</v>
      </c>
    </row>
    <row r="2369" spans="1:17" ht="13.5" thickBot="1">
      <c r="A2369" s="27"/>
      <c r="B2369" s="110"/>
      <c r="D2369" s="431" t="s">
        <v>70</v>
      </c>
      <c r="E2369" s="432" t="s">
        <v>477</v>
      </c>
      <c r="F2369" s="433"/>
      <c r="G2369" s="434"/>
      <c r="H2369" s="22">
        <v>0.1</v>
      </c>
      <c r="I2369" s="436"/>
      <c r="J2369" s="430">
        <f>H2369*J2368</f>
        <v>0</v>
      </c>
    </row>
    <row r="2370" spans="1:17" ht="13.5" thickBot="1">
      <c r="A2370" s="27"/>
      <c r="B2370" s="110"/>
      <c r="D2370" s="401" t="s">
        <v>71</v>
      </c>
      <c r="E2370" s="402" t="s">
        <v>72</v>
      </c>
      <c r="F2370" s="418"/>
      <c r="G2370" s="419"/>
      <c r="H2370" s="442"/>
      <c r="I2370" s="421">
        <f>IF(AND(E2370&lt;&gt;"",G2370&lt;&gt;""),IF(D2370="",IF(G2370="OH",VLOOKUP(E2370,UPAH!$C$4:$H$31,7,0),VLOOKUP(E2370,#REF!,4,0)),0),0)</f>
        <v>0</v>
      </c>
      <c r="J2370" s="396">
        <f>ROUNDDOWN(J2368+J2369,0)</f>
        <v>0</v>
      </c>
    </row>
    <row r="2371" spans="1:17" ht="13">
      <c r="A2371" s="27"/>
      <c r="B2371" s="110"/>
      <c r="D2371" s="11"/>
      <c r="E2371" s="11"/>
      <c r="H2371" s="443"/>
    </row>
    <row r="2372" spans="1:17" ht="13.5" thickBot="1">
      <c r="A2372" s="27"/>
      <c r="B2372" s="110"/>
      <c r="C2372" s="11" t="s">
        <v>734</v>
      </c>
      <c r="D2372" s="10" t="s">
        <v>735</v>
      </c>
      <c r="H2372" s="443"/>
    </row>
    <row r="2373" spans="1:17" ht="13.5" thickBot="1">
      <c r="A2373" s="27"/>
      <c r="B2373" s="110"/>
      <c r="D2373" s="401" t="s">
        <v>40</v>
      </c>
      <c r="E2373" s="402" t="s">
        <v>41</v>
      </c>
      <c r="F2373" s="402" t="s">
        <v>42</v>
      </c>
      <c r="G2373" s="403" t="s">
        <v>43</v>
      </c>
      <c r="H2373" s="404" t="s">
        <v>44</v>
      </c>
      <c r="I2373" s="402" t="s">
        <v>474</v>
      </c>
      <c r="J2373" s="405" t="s">
        <v>475</v>
      </c>
    </row>
    <row r="2374" spans="1:17" ht="13">
      <c r="A2374" s="27"/>
      <c r="B2374" s="110"/>
      <c r="D2374" s="406" t="s">
        <v>45</v>
      </c>
      <c r="E2374" s="13" t="s">
        <v>46</v>
      </c>
      <c r="F2374" s="14"/>
      <c r="G2374" s="15"/>
      <c r="H2374" s="451"/>
      <c r="I2374" s="412"/>
      <c r="J2374" s="16"/>
    </row>
    <row r="2375" spans="1:17" ht="13">
      <c r="A2375" s="27"/>
      <c r="B2375" s="110"/>
      <c r="D2375" s="409"/>
      <c r="E2375" s="13" t="s">
        <v>47</v>
      </c>
      <c r="F2375" s="13" t="s">
        <v>1918</v>
      </c>
      <c r="G2375" s="410" t="s">
        <v>48</v>
      </c>
      <c r="H2375" s="411">
        <v>4.2999999999999997E-2</v>
      </c>
      <c r="I2375" s="412">
        <f>IF(AND(E2375&lt;&gt;"",G2375&lt;&gt;""),IF(D2375="",IF(G2375="OH",VLOOKUP(F2375,UPAH!$B$4:$H$101,7,0),VLOOKUP(F2375,#REF!,4,0)),0),0)</f>
        <v>0</v>
      </c>
      <c r="J2375" s="16">
        <f>H2375*I2375</f>
        <v>0</v>
      </c>
    </row>
    <row r="2376" spans="1:17" ht="13">
      <c r="A2376" s="27"/>
      <c r="B2376" s="110"/>
      <c r="D2376" s="409"/>
      <c r="E2376" s="13" t="s">
        <v>494</v>
      </c>
      <c r="F2376" s="13" t="s">
        <v>1920</v>
      </c>
      <c r="G2376" s="410" t="s">
        <v>48</v>
      </c>
      <c r="H2376" s="411">
        <v>4.2999999999999997E-2</v>
      </c>
      <c r="I2376" s="412">
        <f>IF(AND(E2376&lt;&gt;"",G2376&lt;&gt;""),IF(D2376="",IF(G2376="OH",VLOOKUP(F2376,UPAH!$B$4:$H$101,7,0),VLOOKUP(F2376,#REF!,4,0)),0),0)</f>
        <v>0</v>
      </c>
      <c r="J2376" s="16">
        <f>H2376*I2376</f>
        <v>0</v>
      </c>
    </row>
    <row r="2377" spans="1:17" ht="13">
      <c r="A2377" s="27"/>
      <c r="B2377" s="110"/>
      <c r="D2377" s="409"/>
      <c r="E2377" s="13" t="s">
        <v>50</v>
      </c>
      <c r="F2377" s="13" t="s">
        <v>1928</v>
      </c>
      <c r="G2377" s="410" t="s">
        <v>48</v>
      </c>
      <c r="H2377" s="411">
        <v>4.3E-3</v>
      </c>
      <c r="I2377" s="412">
        <f>IF(AND(E2377&lt;&gt;"",G2377&lt;&gt;""),IF(D2377="",IF(G2377="OH",VLOOKUP(F2377,UPAH!$B$4:$H$101,7,0),VLOOKUP(F2377,#REF!,4,0)),0),0)</f>
        <v>0</v>
      </c>
      <c r="J2377" s="16">
        <f>H2377*I2377</f>
        <v>0</v>
      </c>
    </row>
    <row r="2378" spans="1:17" ht="13.5" thickBot="1">
      <c r="A2378" s="27"/>
      <c r="B2378" s="110"/>
      <c r="D2378" s="409"/>
      <c r="E2378" s="13" t="s">
        <v>51</v>
      </c>
      <c r="F2378" s="13" t="s">
        <v>1929</v>
      </c>
      <c r="G2378" s="410" t="s">
        <v>48</v>
      </c>
      <c r="H2378" s="411">
        <v>2.0999999999999999E-3</v>
      </c>
      <c r="I2378" s="412">
        <f>IF(AND(E2378&lt;&gt;"",G2378&lt;&gt;""),IF(D2378="",IF(G2378="OH",VLOOKUP(F2378,UPAH!$B$4:$H$101,7,0),VLOOKUP(F2378,#REF!,4,0)),0),0)</f>
        <v>0</v>
      </c>
      <c r="J2378" s="16">
        <f>H2378*I2378</f>
        <v>0</v>
      </c>
    </row>
    <row r="2379" spans="1:17" ht="13.5" thickBot="1">
      <c r="A2379" s="27"/>
      <c r="B2379" s="110"/>
      <c r="D2379" s="417"/>
      <c r="E2379" s="418"/>
      <c r="F2379" s="418"/>
      <c r="G2379" s="419"/>
      <c r="H2379" s="420" t="s">
        <v>52</v>
      </c>
      <c r="I2379" s="421"/>
      <c r="J2379" s="396">
        <f>SUM(J2375:J2378)</f>
        <v>0</v>
      </c>
    </row>
    <row r="2380" spans="1:17" ht="13">
      <c r="A2380" s="27"/>
      <c r="B2380" s="110"/>
      <c r="D2380" s="406" t="s">
        <v>53</v>
      </c>
      <c r="E2380" s="13" t="s">
        <v>54</v>
      </c>
      <c r="F2380" s="14"/>
      <c r="G2380" s="15"/>
      <c r="H2380" s="451"/>
      <c r="I2380" s="412"/>
      <c r="J2380" s="16"/>
    </row>
    <row r="2381" spans="1:17" ht="13">
      <c r="A2381" s="27"/>
      <c r="B2381" s="110"/>
      <c r="D2381" s="409"/>
      <c r="E2381" s="13" t="s">
        <v>147</v>
      </c>
      <c r="F2381" s="14"/>
      <c r="G2381" s="410" t="s">
        <v>113</v>
      </c>
      <c r="H2381" s="411">
        <v>1.1000000000000001</v>
      </c>
      <c r="I2381" s="412">
        <v>0</v>
      </c>
      <c r="J2381" s="16">
        <f>H2381*I2381</f>
        <v>0</v>
      </c>
      <c r="Q2381" s="10">
        <f>325000/6</f>
        <v>54166.666666666664</v>
      </c>
    </row>
    <row r="2382" spans="1:17" ht="13">
      <c r="A2382" s="27"/>
      <c r="B2382" s="110"/>
      <c r="D2382" s="409"/>
      <c r="E2382" s="13" t="s">
        <v>447</v>
      </c>
      <c r="F2382" s="14"/>
      <c r="G2382" s="410" t="s">
        <v>128</v>
      </c>
      <c r="H2382" s="411">
        <v>2</v>
      </c>
      <c r="I2382" s="412">
        <v>0</v>
      </c>
      <c r="J2382" s="16">
        <f>H2382*I2382</f>
        <v>0</v>
      </c>
    </row>
    <row r="2383" spans="1:17" ht="13.5" thickBot="1">
      <c r="A2383" s="27"/>
      <c r="B2383" s="110"/>
      <c r="D2383" s="409"/>
      <c r="E2383" s="13" t="s">
        <v>148</v>
      </c>
      <c r="F2383" s="14"/>
      <c r="G2383" s="410" t="s">
        <v>149</v>
      </c>
      <c r="H2383" s="411">
        <v>0.06</v>
      </c>
      <c r="I2383" s="412">
        <f>'BAHAN '!G789</f>
        <v>0</v>
      </c>
      <c r="J2383" s="16">
        <f>H2383*I2383</f>
        <v>0</v>
      </c>
    </row>
    <row r="2384" spans="1:17" ht="13.5" thickBot="1">
      <c r="A2384" s="27"/>
      <c r="B2384" s="110"/>
      <c r="D2384" s="417"/>
      <c r="E2384" s="418"/>
      <c r="F2384" s="418"/>
      <c r="G2384" s="419"/>
      <c r="H2384" s="420" t="s">
        <v>64</v>
      </c>
      <c r="I2384" s="421"/>
      <c r="J2384" s="396">
        <f>SUM(J2381:J2383)</f>
        <v>0</v>
      </c>
    </row>
    <row r="2385" spans="1:10" ht="13.5" thickBot="1">
      <c r="A2385" s="27"/>
      <c r="B2385" s="110"/>
      <c r="D2385" s="406" t="s">
        <v>65</v>
      </c>
      <c r="E2385" s="13" t="s">
        <v>66</v>
      </c>
      <c r="F2385" s="14"/>
      <c r="G2385" s="15"/>
      <c r="H2385" s="451"/>
      <c r="I2385" s="412">
        <f>IF(AND(E2385&lt;&gt;"",G2385&lt;&gt;""),IF(D2385="",IF(G2385="OH",VLOOKUP(E2385,UPAH!$C$4:$H$31,7,0),VLOOKUP(E2385,#REF!,4,0)),0),0)</f>
        <v>0</v>
      </c>
      <c r="J2385" s="16">
        <f>H2385*I2385</f>
        <v>0</v>
      </c>
    </row>
    <row r="2386" spans="1:10" ht="13.5" thickBot="1">
      <c r="A2386" s="27"/>
      <c r="B2386" s="110"/>
      <c r="D2386" s="417"/>
      <c r="E2386" s="418"/>
      <c r="F2386" s="418"/>
      <c r="G2386" s="419"/>
      <c r="H2386" s="420" t="s">
        <v>67</v>
      </c>
      <c r="I2386" s="421"/>
      <c r="J2386" s="396">
        <f>J2385</f>
        <v>0</v>
      </c>
    </row>
    <row r="2387" spans="1:10" ht="13">
      <c r="A2387" s="27"/>
      <c r="B2387" s="110"/>
      <c r="D2387" s="444" t="s">
        <v>68</v>
      </c>
      <c r="E2387" s="445" t="s">
        <v>69</v>
      </c>
      <c r="F2387" s="446"/>
      <c r="G2387" s="447"/>
      <c r="H2387" s="448"/>
      <c r="I2387" s="449">
        <f>IF(AND(E2387&lt;&gt;"",G2387&lt;&gt;""),IF(D2387="",IF(G2387="OH",VLOOKUP(E2387,UPAH!$C$4:$H$31,7,0),VLOOKUP(E2387,#REF!,4,0)),0),0)</f>
        <v>0</v>
      </c>
      <c r="J2387" s="16">
        <f>SUM(J2374:J2386)/2</f>
        <v>0</v>
      </c>
    </row>
    <row r="2388" spans="1:10" ht="13.5" thickBot="1">
      <c r="A2388" s="27"/>
      <c r="B2388" s="110"/>
      <c r="D2388" s="431" t="s">
        <v>70</v>
      </c>
      <c r="E2388" s="432" t="s">
        <v>477</v>
      </c>
      <c r="F2388" s="433"/>
      <c r="G2388" s="434"/>
      <c r="H2388" s="22">
        <v>0.1</v>
      </c>
      <c r="I2388" s="436"/>
      <c r="J2388" s="430">
        <f>H2388*J2387</f>
        <v>0</v>
      </c>
    </row>
    <row r="2389" spans="1:10" ht="13.5" thickBot="1">
      <c r="A2389" s="27"/>
      <c r="B2389" s="110"/>
      <c r="D2389" s="401" t="s">
        <v>71</v>
      </c>
      <c r="E2389" s="402" t="s">
        <v>72</v>
      </c>
      <c r="F2389" s="418"/>
      <c r="G2389" s="419"/>
      <c r="H2389" s="442"/>
      <c r="I2389" s="421">
        <f>IF(AND(E2389&lt;&gt;"",G2389&lt;&gt;""),IF(D2389="",IF(G2389="OH",VLOOKUP(E2389,UPAH!$C$4:$H$31,7,0),VLOOKUP(E2389,#REF!,4,0)),0),0)</f>
        <v>0</v>
      </c>
      <c r="J2389" s="396">
        <f>ROUNDDOWN(J2387+J2388,0)</f>
        <v>0</v>
      </c>
    </row>
    <row r="2390" spans="1:10" ht="13">
      <c r="A2390" s="27"/>
      <c r="B2390" s="110"/>
      <c r="D2390" s="11"/>
      <c r="E2390" s="11"/>
      <c r="H2390" s="443"/>
    </row>
    <row r="2391" spans="1:10" ht="13.5" thickBot="1">
      <c r="A2391" s="27"/>
      <c r="B2391" s="110"/>
      <c r="C2391" s="11" t="s">
        <v>736</v>
      </c>
      <c r="D2391" s="10" t="s">
        <v>737</v>
      </c>
      <c r="H2391" s="443"/>
    </row>
    <row r="2392" spans="1:10" ht="13.5" thickBot="1">
      <c r="A2392" s="27"/>
      <c r="B2392" s="110"/>
      <c r="D2392" s="401" t="s">
        <v>40</v>
      </c>
      <c r="E2392" s="402" t="s">
        <v>41</v>
      </c>
      <c r="F2392" s="402" t="s">
        <v>42</v>
      </c>
      <c r="G2392" s="403" t="s">
        <v>43</v>
      </c>
      <c r="H2392" s="404" t="s">
        <v>44</v>
      </c>
      <c r="I2392" s="402" t="s">
        <v>474</v>
      </c>
      <c r="J2392" s="405" t="s">
        <v>475</v>
      </c>
    </row>
    <row r="2393" spans="1:10" ht="13">
      <c r="A2393" s="27"/>
      <c r="B2393" s="110"/>
      <c r="D2393" s="406" t="s">
        <v>45</v>
      </c>
      <c r="E2393" s="13" t="s">
        <v>46</v>
      </c>
      <c r="F2393" s="14"/>
      <c r="G2393" s="15"/>
      <c r="H2393" s="451"/>
      <c r="I2393" s="412"/>
      <c r="J2393" s="16"/>
    </row>
    <row r="2394" spans="1:10" ht="13">
      <c r="A2394" s="27"/>
      <c r="B2394" s="110"/>
      <c r="D2394" s="409"/>
      <c r="E2394" s="13" t="s">
        <v>47</v>
      </c>
      <c r="F2394" s="13" t="s">
        <v>1918</v>
      </c>
      <c r="G2394" s="410" t="s">
        <v>48</v>
      </c>
      <c r="H2394" s="411">
        <v>8.5000000000000006E-2</v>
      </c>
      <c r="I2394" s="412">
        <f>IF(AND(E2394&lt;&gt;"",G2394&lt;&gt;""),IF(D2394="",IF(G2394="OH",VLOOKUP(F2394,UPAH!$B$4:$H$101,7,0),VLOOKUP(F2394,#REF!,4,0)),0),0)</f>
        <v>0</v>
      </c>
      <c r="J2394" s="16">
        <f>H2394*I2394</f>
        <v>0</v>
      </c>
    </row>
    <row r="2395" spans="1:10" ht="13">
      <c r="A2395" s="27"/>
      <c r="B2395" s="110"/>
      <c r="D2395" s="409"/>
      <c r="E2395" s="13" t="s">
        <v>494</v>
      </c>
      <c r="F2395" s="412" t="s">
        <v>1920</v>
      </c>
      <c r="G2395" s="410" t="s">
        <v>48</v>
      </c>
      <c r="H2395" s="411">
        <v>8.5000000000000006E-2</v>
      </c>
      <c r="I2395" s="412">
        <f>IF(AND(E2395&lt;&gt;"",G2395&lt;&gt;""),IF(D2395="",IF(G2395="OH",VLOOKUP(F2395,UPAH!$B$4:$H$101,7,0),VLOOKUP(F2395,#REF!,4,0)),0),0)</f>
        <v>0</v>
      </c>
      <c r="J2395" s="16">
        <f>H2395*I2395</f>
        <v>0</v>
      </c>
    </row>
    <row r="2396" spans="1:10" ht="13">
      <c r="A2396" s="27"/>
      <c r="B2396" s="110"/>
      <c r="D2396" s="409"/>
      <c r="E2396" s="13" t="s">
        <v>50</v>
      </c>
      <c r="F2396" s="13" t="s">
        <v>1928</v>
      </c>
      <c r="G2396" s="410" t="s">
        <v>48</v>
      </c>
      <c r="H2396" s="411">
        <v>8.5000000000000006E-3</v>
      </c>
      <c r="I2396" s="412">
        <f>IF(AND(E2396&lt;&gt;"",G2396&lt;&gt;""),IF(D2396="",IF(G2396="OH",VLOOKUP(F2396,UPAH!$B$4:$H$101,7,0),VLOOKUP(F2396,#REF!,4,0)),0),0)</f>
        <v>0</v>
      </c>
      <c r="J2396" s="16">
        <f>H2396*I2396</f>
        <v>0</v>
      </c>
    </row>
    <row r="2397" spans="1:10" ht="13.5" thickBot="1">
      <c r="A2397" s="27"/>
      <c r="B2397" s="110"/>
      <c r="D2397" s="409"/>
      <c r="E2397" s="13" t="s">
        <v>51</v>
      </c>
      <c r="F2397" s="13" t="s">
        <v>1929</v>
      </c>
      <c r="G2397" s="410" t="s">
        <v>48</v>
      </c>
      <c r="H2397" s="411">
        <v>4.1999999999999997E-3</v>
      </c>
      <c r="I2397" s="412">
        <f>IF(AND(E2397&lt;&gt;"",G2397&lt;&gt;""),IF(D2397="",IF(G2397="OH",VLOOKUP(F2397,UPAH!$B$4:$H$101,7,0),VLOOKUP(F2397,#REF!,4,0)),0),0)</f>
        <v>0</v>
      </c>
      <c r="J2397" s="16">
        <f>H2397*I2397</f>
        <v>0</v>
      </c>
    </row>
    <row r="2398" spans="1:10" ht="13.5" thickBot="1">
      <c r="A2398" s="27"/>
      <c r="B2398" s="110"/>
      <c r="D2398" s="417"/>
      <c r="E2398" s="418"/>
      <c r="F2398" s="418"/>
      <c r="G2398" s="419"/>
      <c r="H2398" s="420" t="s">
        <v>52</v>
      </c>
      <c r="I2398" s="421"/>
      <c r="J2398" s="396">
        <f>SUM(J2394:J2397)</f>
        <v>0</v>
      </c>
    </row>
    <row r="2399" spans="1:10" ht="13">
      <c r="A2399" s="27"/>
      <c r="B2399" s="110"/>
      <c r="D2399" s="406" t="s">
        <v>53</v>
      </c>
      <c r="E2399" s="13" t="s">
        <v>54</v>
      </c>
      <c r="F2399" s="14"/>
      <c r="G2399" s="15"/>
      <c r="H2399" s="451"/>
      <c r="I2399" s="412"/>
      <c r="J2399" s="16"/>
    </row>
    <row r="2400" spans="1:10" ht="13">
      <c r="A2400" s="27"/>
      <c r="B2400" s="110"/>
      <c r="D2400" s="409"/>
      <c r="E2400" s="13" t="s">
        <v>147</v>
      </c>
      <c r="F2400" s="14"/>
      <c r="G2400" s="410" t="s">
        <v>113</v>
      </c>
      <c r="H2400" s="411">
        <v>4.4000000000000004</v>
      </c>
      <c r="I2400" s="412">
        <f>'BAHAN '!G137</f>
        <v>0</v>
      </c>
      <c r="J2400" s="16">
        <f>H2400*I2400</f>
        <v>0</v>
      </c>
    </row>
    <row r="2401" spans="1:10" ht="13.5" thickBot="1">
      <c r="A2401" s="27"/>
      <c r="B2401" s="110"/>
      <c r="D2401" s="409"/>
      <c r="E2401" s="13" t="s">
        <v>377</v>
      </c>
      <c r="F2401" s="14"/>
      <c r="G2401" s="410" t="s">
        <v>113</v>
      </c>
      <c r="H2401" s="411">
        <v>14.6</v>
      </c>
      <c r="I2401" s="412">
        <f>'BAHAN '!G1027</f>
        <v>0</v>
      </c>
      <c r="J2401" s="16">
        <f>H2401*I2401</f>
        <v>0</v>
      </c>
    </row>
    <row r="2402" spans="1:10" ht="13.5" thickBot="1">
      <c r="A2402" s="27"/>
      <c r="B2402" s="110"/>
      <c r="D2402" s="417"/>
      <c r="E2402" s="418"/>
      <c r="F2402" s="418"/>
      <c r="G2402" s="419"/>
      <c r="H2402" s="420" t="s">
        <v>64</v>
      </c>
      <c r="I2402" s="421"/>
      <c r="J2402" s="396">
        <f>SUM(J2400:J2401)</f>
        <v>0</v>
      </c>
    </row>
    <row r="2403" spans="1:10" ht="13.5" thickBot="1">
      <c r="A2403" s="27"/>
      <c r="B2403" s="110"/>
      <c r="D2403" s="406" t="s">
        <v>65</v>
      </c>
      <c r="E2403" s="13" t="s">
        <v>66</v>
      </c>
      <c r="F2403" s="14"/>
      <c r="G2403" s="15"/>
      <c r="H2403" s="451"/>
      <c r="I2403" s="412">
        <f>IF(AND(E2403&lt;&gt;"",G2403&lt;&gt;""),IF(D2403="",IF(G2403="OH",VLOOKUP(E2403,UPAH!$C$4:$H$31,7,0),VLOOKUP(E2403,#REF!,4,0)),0),0)</f>
        <v>0</v>
      </c>
      <c r="J2403" s="16">
        <f>H2403*I2403</f>
        <v>0</v>
      </c>
    </row>
    <row r="2404" spans="1:10" ht="13.5" thickBot="1">
      <c r="A2404" s="27"/>
      <c r="B2404" s="110"/>
      <c r="D2404" s="417"/>
      <c r="E2404" s="418"/>
      <c r="F2404" s="418"/>
      <c r="G2404" s="419"/>
      <c r="H2404" s="420" t="s">
        <v>67</v>
      </c>
      <c r="I2404" s="421"/>
      <c r="J2404" s="396">
        <f>J2403</f>
        <v>0</v>
      </c>
    </row>
    <row r="2405" spans="1:10" ht="13">
      <c r="A2405" s="27"/>
      <c r="B2405" s="110"/>
      <c r="D2405" s="444" t="s">
        <v>68</v>
      </c>
      <c r="E2405" s="445" t="s">
        <v>69</v>
      </c>
      <c r="F2405" s="446"/>
      <c r="G2405" s="447"/>
      <c r="H2405" s="448"/>
      <c r="I2405" s="449">
        <f>IF(AND(E2405&lt;&gt;"",G2405&lt;&gt;""),IF(D2405="",IF(G2405="OH",VLOOKUP(E2405,UPAH!$C$4:$H$31,7,0),VLOOKUP(E2405,#REF!,4,0)),0),0)</f>
        <v>0</v>
      </c>
      <c r="J2405" s="16">
        <f>SUM(J2392:J2404)/2</f>
        <v>0</v>
      </c>
    </row>
    <row r="2406" spans="1:10" ht="13.5" thickBot="1">
      <c r="A2406" s="27"/>
      <c r="B2406" s="110"/>
      <c r="D2406" s="431" t="s">
        <v>70</v>
      </c>
      <c r="E2406" s="432" t="s">
        <v>477</v>
      </c>
      <c r="F2406" s="433"/>
      <c r="G2406" s="434"/>
      <c r="H2406" s="22">
        <v>0.1</v>
      </c>
      <c r="I2406" s="436"/>
      <c r="J2406" s="430">
        <f>H2406*J2405</f>
        <v>0</v>
      </c>
    </row>
    <row r="2407" spans="1:10" ht="13.5" thickBot="1">
      <c r="A2407" s="27"/>
      <c r="B2407" s="110"/>
      <c r="D2407" s="401" t="s">
        <v>71</v>
      </c>
      <c r="E2407" s="402" t="s">
        <v>72</v>
      </c>
      <c r="F2407" s="418"/>
      <c r="G2407" s="419"/>
      <c r="H2407" s="442"/>
      <c r="I2407" s="421">
        <f>IF(AND(E2407&lt;&gt;"",G2407&lt;&gt;""),IF(D2407="",IF(G2407="OH",VLOOKUP(E2407,UPAH!$C$4:$H$31,7,0),VLOOKUP(E2407,#REF!,4,0)),0),0)</f>
        <v>0</v>
      </c>
      <c r="J2407" s="396">
        <f>ROUNDDOWN(J2405+J2406,0)</f>
        <v>0</v>
      </c>
    </row>
    <row r="2408" spans="1:10" ht="13">
      <c r="A2408" s="27"/>
      <c r="B2408" s="110"/>
      <c r="D2408" s="11"/>
      <c r="E2408" s="11"/>
      <c r="H2408" s="443"/>
    </row>
    <row r="2409" spans="1:10" ht="13.5" thickBot="1">
      <c r="A2409" s="27"/>
      <c r="B2409" s="110"/>
      <c r="C2409" s="11" t="s">
        <v>738</v>
      </c>
      <c r="D2409" s="10" t="s">
        <v>739</v>
      </c>
      <c r="H2409" s="443"/>
    </row>
    <row r="2410" spans="1:10" ht="13.5" thickBot="1">
      <c r="A2410" s="27"/>
      <c r="B2410" s="110"/>
      <c r="D2410" s="401" t="s">
        <v>40</v>
      </c>
      <c r="E2410" s="402" t="s">
        <v>41</v>
      </c>
      <c r="F2410" s="402" t="s">
        <v>42</v>
      </c>
      <c r="G2410" s="403" t="s">
        <v>43</v>
      </c>
      <c r="H2410" s="404" t="s">
        <v>44</v>
      </c>
      <c r="I2410" s="402" t="s">
        <v>474</v>
      </c>
      <c r="J2410" s="405" t="s">
        <v>475</v>
      </c>
    </row>
    <row r="2411" spans="1:10" ht="13">
      <c r="A2411" s="27"/>
      <c r="B2411" s="110"/>
      <c r="D2411" s="406" t="s">
        <v>45</v>
      </c>
      <c r="E2411" s="13" t="s">
        <v>46</v>
      </c>
      <c r="F2411" s="14"/>
      <c r="G2411" s="15"/>
      <c r="H2411" s="451"/>
      <c r="I2411" s="412"/>
      <c r="J2411" s="16"/>
    </row>
    <row r="2412" spans="1:10" ht="13">
      <c r="A2412" s="27"/>
      <c r="B2412" s="110"/>
      <c r="D2412" s="409"/>
      <c r="E2412" s="13" t="s">
        <v>47</v>
      </c>
      <c r="F2412" s="13" t="s">
        <v>1918</v>
      </c>
      <c r="G2412" s="410" t="s">
        <v>48</v>
      </c>
      <c r="H2412" s="411">
        <v>8.5000000000000006E-2</v>
      </c>
      <c r="I2412" s="412">
        <f>IF(AND(E2412&lt;&gt;"",G2412&lt;&gt;""),IF(D2412="",IF(G2412="OH",VLOOKUP(F2412,UPAH!$B$4:$H$101,7,0),VLOOKUP(F2412,#REF!,4,0)),0),0)</f>
        <v>0</v>
      </c>
      <c r="J2412" s="16">
        <f>H2412*I2412</f>
        <v>0</v>
      </c>
    </row>
    <row r="2413" spans="1:10" ht="13">
      <c r="A2413" s="27"/>
      <c r="B2413" s="110"/>
      <c r="D2413" s="409"/>
      <c r="E2413" s="13" t="s">
        <v>494</v>
      </c>
      <c r="F2413" s="13" t="s">
        <v>1920</v>
      </c>
      <c r="G2413" s="410" t="s">
        <v>48</v>
      </c>
      <c r="H2413" s="411">
        <v>8.5000000000000006E-2</v>
      </c>
      <c r="I2413" s="412">
        <f>IF(AND(E2413&lt;&gt;"",G2413&lt;&gt;""),IF(D2413="",IF(G2413="OH",VLOOKUP(F2413,UPAH!$B$4:$H$101,7,0),VLOOKUP(F2413,#REF!,4,0)),0),0)</f>
        <v>0</v>
      </c>
      <c r="J2413" s="16">
        <f>H2413*I2413</f>
        <v>0</v>
      </c>
    </row>
    <row r="2414" spans="1:10" ht="13">
      <c r="A2414" s="27"/>
      <c r="B2414" s="110"/>
      <c r="D2414" s="409"/>
      <c r="E2414" s="13" t="s">
        <v>50</v>
      </c>
      <c r="F2414" s="13" t="s">
        <v>1928</v>
      </c>
      <c r="G2414" s="410" t="s">
        <v>48</v>
      </c>
      <c r="H2414" s="411">
        <v>8.9999999999999993E-3</v>
      </c>
      <c r="I2414" s="412">
        <f>IF(AND(E2414&lt;&gt;"",G2414&lt;&gt;""),IF(D2414="",IF(G2414="OH",VLOOKUP(F2414,UPAH!$B$4:$H$101,7,0),VLOOKUP(F2414,#REF!,4,0)),0),0)</f>
        <v>0</v>
      </c>
      <c r="J2414" s="16">
        <f>H2414*I2414</f>
        <v>0</v>
      </c>
    </row>
    <row r="2415" spans="1:10" ht="13.5" thickBot="1">
      <c r="A2415" s="27"/>
      <c r="B2415" s="110"/>
      <c r="D2415" s="409"/>
      <c r="E2415" s="13" t="s">
        <v>51</v>
      </c>
      <c r="F2415" s="13" t="s">
        <v>1929</v>
      </c>
      <c r="G2415" s="410" t="s">
        <v>48</v>
      </c>
      <c r="H2415" s="411">
        <v>5.0000000000000001E-3</v>
      </c>
      <c r="I2415" s="412">
        <f>IF(AND(E2415&lt;&gt;"",G2415&lt;&gt;""),IF(D2415="",IF(G2415="OH",VLOOKUP(F2415,UPAH!$B$4:$H$101,7,0),VLOOKUP(F2415,#REF!,4,0)),0),0)</f>
        <v>0</v>
      </c>
      <c r="J2415" s="16">
        <f>H2415*I2415</f>
        <v>0</v>
      </c>
    </row>
    <row r="2416" spans="1:10" ht="13.5" thickBot="1">
      <c r="A2416" s="27"/>
      <c r="B2416" s="110"/>
      <c r="D2416" s="417"/>
      <c r="E2416" s="418"/>
      <c r="F2416" s="418"/>
      <c r="G2416" s="419"/>
      <c r="H2416" s="420" t="s">
        <v>52</v>
      </c>
      <c r="I2416" s="421"/>
      <c r="J2416" s="396">
        <f>SUM(J2412:J2415)</f>
        <v>0</v>
      </c>
    </row>
    <row r="2417" spans="1:10" ht="13">
      <c r="A2417" s="27"/>
      <c r="B2417" s="110"/>
      <c r="D2417" s="406" t="s">
        <v>53</v>
      </c>
      <c r="E2417" s="13" t="s">
        <v>54</v>
      </c>
      <c r="F2417" s="14"/>
      <c r="G2417" s="15"/>
      <c r="H2417" s="451"/>
      <c r="I2417" s="412"/>
      <c r="J2417" s="16"/>
    </row>
    <row r="2418" spans="1:10" ht="13">
      <c r="A2418" s="27"/>
      <c r="B2418" s="110"/>
      <c r="D2418" s="409"/>
      <c r="E2418" s="13" t="s">
        <v>150</v>
      </c>
      <c r="F2418" s="14"/>
      <c r="G2418" s="410" t="s">
        <v>113</v>
      </c>
      <c r="H2418" s="411">
        <v>4.4000000000000004</v>
      </c>
      <c r="I2418" s="412">
        <f>'BAHAN '!G787/4</f>
        <v>0</v>
      </c>
      <c r="J2418" s="16">
        <f>H2418*I2418</f>
        <v>0</v>
      </c>
    </row>
    <row r="2419" spans="1:10" ht="13">
      <c r="A2419" s="27"/>
      <c r="B2419" s="110"/>
      <c r="D2419" s="409"/>
      <c r="E2419" s="13" t="s">
        <v>151</v>
      </c>
      <c r="F2419" s="14"/>
      <c r="G2419" s="410" t="s">
        <v>113</v>
      </c>
      <c r="H2419" s="411">
        <v>4.5</v>
      </c>
      <c r="I2419" s="412">
        <f>'BAHAN '!G749/4</f>
        <v>0</v>
      </c>
      <c r="J2419" s="16">
        <f>H2419*I2419</f>
        <v>0</v>
      </c>
    </row>
    <row r="2420" spans="1:10" ht="13.5" thickBot="1">
      <c r="A2420" s="27"/>
      <c r="B2420" s="110"/>
      <c r="D2420" s="409"/>
      <c r="E2420" s="13" t="s">
        <v>148</v>
      </c>
      <c r="F2420" s="14"/>
      <c r="G2420" s="410" t="s">
        <v>149</v>
      </c>
      <c r="H2420" s="411">
        <v>0.27</v>
      </c>
      <c r="I2420" s="412">
        <f>'BAHAN '!G789</f>
        <v>0</v>
      </c>
      <c r="J2420" s="16">
        <f>H2420*I2420</f>
        <v>0</v>
      </c>
    </row>
    <row r="2421" spans="1:10" ht="13.5" thickBot="1">
      <c r="A2421" s="27"/>
      <c r="B2421" s="110"/>
      <c r="D2421" s="417"/>
      <c r="E2421" s="418"/>
      <c r="F2421" s="418"/>
      <c r="G2421" s="419"/>
      <c r="H2421" s="420" t="s">
        <v>64</v>
      </c>
      <c r="I2421" s="421"/>
      <c r="J2421" s="396">
        <f>SUM(J2419:J2420)</f>
        <v>0</v>
      </c>
    </row>
    <row r="2422" spans="1:10" ht="13.5" thickBot="1">
      <c r="A2422" s="27"/>
      <c r="B2422" s="110"/>
      <c r="D2422" s="406" t="s">
        <v>65</v>
      </c>
      <c r="E2422" s="13" t="s">
        <v>66</v>
      </c>
      <c r="F2422" s="14"/>
      <c r="G2422" s="15"/>
      <c r="H2422" s="451"/>
      <c r="I2422" s="412">
        <f>IF(AND(E2422&lt;&gt;"",G2422&lt;&gt;""),IF(D2422="",IF(G2422="OH",VLOOKUP(E2422,UPAH!$C$4:$H$31,7,0),VLOOKUP(E2422,#REF!,4,0)),0),0)</f>
        <v>0</v>
      </c>
      <c r="J2422" s="16">
        <f>H2422*I2422</f>
        <v>0</v>
      </c>
    </row>
    <row r="2423" spans="1:10" ht="13.5" thickBot="1">
      <c r="A2423" s="27"/>
      <c r="B2423" s="110"/>
      <c r="D2423" s="417"/>
      <c r="E2423" s="418"/>
      <c r="F2423" s="418"/>
      <c r="G2423" s="419"/>
      <c r="H2423" s="420" t="s">
        <v>67</v>
      </c>
      <c r="I2423" s="421"/>
      <c r="J2423" s="396">
        <f>J2422</f>
        <v>0</v>
      </c>
    </row>
    <row r="2424" spans="1:10" ht="13">
      <c r="A2424" s="27"/>
      <c r="B2424" s="110"/>
      <c r="D2424" s="444" t="s">
        <v>68</v>
      </c>
      <c r="E2424" s="445" t="s">
        <v>69</v>
      </c>
      <c r="F2424" s="446"/>
      <c r="G2424" s="447"/>
      <c r="H2424" s="448"/>
      <c r="I2424" s="449">
        <f>IF(AND(E2424&lt;&gt;"",G2424&lt;&gt;""),IF(D2424="",IF(G2424="OH",VLOOKUP(E2424,UPAH!$C$4:$H$31,7,0),VLOOKUP(E2424,#REF!,4,0)),0),0)</f>
        <v>0</v>
      </c>
      <c r="J2424" s="16">
        <f>SUM(J2411:J2423)/2</f>
        <v>0</v>
      </c>
    </row>
    <row r="2425" spans="1:10" ht="13.5" thickBot="1">
      <c r="A2425" s="27"/>
      <c r="B2425" s="110"/>
      <c r="D2425" s="431" t="s">
        <v>70</v>
      </c>
      <c r="E2425" s="432" t="s">
        <v>477</v>
      </c>
      <c r="F2425" s="433"/>
      <c r="G2425" s="434"/>
      <c r="H2425" s="22">
        <v>0.1</v>
      </c>
      <c r="I2425" s="436"/>
      <c r="J2425" s="430">
        <f>H2425*J2424</f>
        <v>0</v>
      </c>
    </row>
    <row r="2426" spans="1:10" ht="13.5" thickBot="1">
      <c r="A2426" s="27"/>
      <c r="B2426" s="110"/>
      <c r="D2426" s="401" t="s">
        <v>71</v>
      </c>
      <c r="E2426" s="402" t="s">
        <v>72</v>
      </c>
      <c r="F2426" s="418"/>
      <c r="G2426" s="419"/>
      <c r="H2426" s="442"/>
      <c r="I2426" s="421">
        <f>IF(AND(E2426&lt;&gt;"",G2426&lt;&gt;""),IF(D2426="",IF(G2426="OH",VLOOKUP(E2426,UPAH!$C$4:$H$31,7,0),VLOOKUP(E2426,#REF!,4,0)),0),0)</f>
        <v>0</v>
      </c>
      <c r="J2426" s="396">
        <f>ROUNDDOWN(J2424+J2425,0)</f>
        <v>0</v>
      </c>
    </row>
    <row r="2427" spans="1:10" ht="13" hidden="1">
      <c r="A2427" s="27"/>
      <c r="B2427" s="110"/>
      <c r="D2427" s="11"/>
      <c r="E2427" s="11"/>
      <c r="H2427" s="443"/>
    </row>
    <row r="2428" spans="1:10" ht="13.5" thickBot="1">
      <c r="A2428" s="27"/>
      <c r="B2428" s="110"/>
      <c r="C2428" s="11" t="s">
        <v>740</v>
      </c>
      <c r="D2428" s="10" t="s">
        <v>741</v>
      </c>
      <c r="H2428" s="443"/>
    </row>
    <row r="2429" spans="1:10" ht="13.5" thickBot="1">
      <c r="A2429" s="27"/>
      <c r="B2429" s="110"/>
      <c r="D2429" s="401" t="s">
        <v>40</v>
      </c>
      <c r="E2429" s="402" t="s">
        <v>41</v>
      </c>
      <c r="F2429" s="402" t="s">
        <v>42</v>
      </c>
      <c r="G2429" s="403" t="s">
        <v>43</v>
      </c>
      <c r="H2429" s="404" t="s">
        <v>44</v>
      </c>
      <c r="I2429" s="402" t="s">
        <v>474</v>
      </c>
      <c r="J2429" s="405" t="s">
        <v>475</v>
      </c>
    </row>
    <row r="2430" spans="1:10" ht="13">
      <c r="A2430" s="27"/>
      <c r="B2430" s="110"/>
      <c r="D2430" s="406" t="s">
        <v>45</v>
      </c>
      <c r="E2430" s="13" t="s">
        <v>46</v>
      </c>
      <c r="F2430" s="14"/>
      <c r="G2430" s="15"/>
      <c r="H2430" s="451"/>
      <c r="I2430" s="412"/>
      <c r="J2430" s="16"/>
    </row>
    <row r="2431" spans="1:10" ht="13">
      <c r="A2431" s="27"/>
      <c r="B2431" s="110"/>
      <c r="D2431" s="409"/>
      <c r="E2431" s="13" t="s">
        <v>47</v>
      </c>
      <c r="F2431" s="13" t="s">
        <v>1918</v>
      </c>
      <c r="G2431" s="410" t="s">
        <v>48</v>
      </c>
      <c r="H2431" s="411">
        <v>0.35</v>
      </c>
      <c r="I2431" s="412">
        <f>IF(AND(E2431&lt;&gt;"",G2431&lt;&gt;""),IF(D2431="",IF(G2431="OH",VLOOKUP(F2431,UPAH!$B$4:$H$101,7,0),VLOOKUP(F2431,#REF!,4,0)),0),0)</f>
        <v>0</v>
      </c>
      <c r="J2431" s="16">
        <f>H2431*I2431</f>
        <v>0</v>
      </c>
    </row>
    <row r="2432" spans="1:10" ht="13">
      <c r="A2432" s="27"/>
      <c r="B2432" s="110"/>
      <c r="D2432" s="409"/>
      <c r="E2432" s="13" t="s">
        <v>96</v>
      </c>
      <c r="F2432" s="13" t="s">
        <v>1919</v>
      </c>
      <c r="G2432" s="410" t="s">
        <v>48</v>
      </c>
      <c r="H2432" s="411">
        <v>0.35</v>
      </c>
      <c r="I2432" s="412">
        <f>IF(AND(E2432&lt;&gt;"",G2432&lt;&gt;""),IF(D2432="",IF(G2432="OH",VLOOKUP(F2432,UPAH!$B$4:$H$101,7,0),VLOOKUP(F2432,#REF!,4,0)),0),0)</f>
        <v>0</v>
      </c>
      <c r="J2432" s="16">
        <f>H2432*I2432</f>
        <v>0</v>
      </c>
    </row>
    <row r="2433" spans="1:10" ht="13">
      <c r="A2433" s="27"/>
      <c r="B2433" s="110"/>
      <c r="D2433" s="409"/>
      <c r="E2433" s="13" t="s">
        <v>50</v>
      </c>
      <c r="F2433" s="13" t="s">
        <v>1928</v>
      </c>
      <c r="G2433" s="410" t="s">
        <v>48</v>
      </c>
      <c r="H2433" s="411">
        <v>3.5000000000000003E-2</v>
      </c>
      <c r="I2433" s="412">
        <f>IF(AND(E2433&lt;&gt;"",G2433&lt;&gt;""),IF(D2433="",IF(G2433="OH",VLOOKUP(F2433,UPAH!$B$4:$H$101,7,0),VLOOKUP(F2433,#REF!,4,0)),0),0)</f>
        <v>0</v>
      </c>
      <c r="J2433" s="16">
        <f>H2433*I2433</f>
        <v>0</v>
      </c>
    </row>
    <row r="2434" spans="1:10" ht="13.5" thickBot="1">
      <c r="A2434" s="27"/>
      <c r="B2434" s="110"/>
      <c r="D2434" s="409"/>
      <c r="E2434" s="13" t="s">
        <v>51</v>
      </c>
      <c r="F2434" s="13" t="s">
        <v>1929</v>
      </c>
      <c r="G2434" s="410" t="s">
        <v>48</v>
      </c>
      <c r="H2434" s="411">
        <v>1.7999999999999999E-2</v>
      </c>
      <c r="I2434" s="412">
        <f>IF(AND(E2434&lt;&gt;"",G2434&lt;&gt;""),IF(D2434="",IF(G2434="OH",VLOOKUP(F2434,UPAH!$B$4:$H$101,7,0),VLOOKUP(F2434,#REF!,4,0)),0),0)</f>
        <v>0</v>
      </c>
      <c r="J2434" s="16">
        <f>H2434*I2434</f>
        <v>0</v>
      </c>
    </row>
    <row r="2435" spans="1:10" ht="13.5" thickBot="1">
      <c r="A2435" s="27"/>
      <c r="B2435" s="110"/>
      <c r="D2435" s="417"/>
      <c r="E2435" s="418"/>
      <c r="F2435" s="418"/>
      <c r="G2435" s="419"/>
      <c r="H2435" s="420" t="s">
        <v>52</v>
      </c>
      <c r="I2435" s="421"/>
      <c r="J2435" s="396">
        <f>SUM(J2431:J2434)</f>
        <v>0</v>
      </c>
    </row>
    <row r="2436" spans="1:10" ht="13">
      <c r="A2436" s="27"/>
      <c r="B2436" s="110"/>
      <c r="D2436" s="406" t="s">
        <v>53</v>
      </c>
      <c r="E2436" s="13" t="s">
        <v>54</v>
      </c>
      <c r="F2436" s="14"/>
      <c r="G2436" s="15"/>
      <c r="H2436" s="451"/>
      <c r="I2436" s="412"/>
      <c r="J2436" s="16"/>
    </row>
    <row r="2437" spans="1:10" ht="13.5" thickBot="1">
      <c r="A2437" s="27"/>
      <c r="B2437" s="110"/>
      <c r="D2437" s="409"/>
      <c r="E2437" s="13" t="s">
        <v>1073</v>
      </c>
      <c r="F2437" s="14"/>
      <c r="G2437" s="410" t="s">
        <v>376</v>
      </c>
      <c r="H2437" s="411">
        <v>1</v>
      </c>
      <c r="I2437" s="412">
        <f>'BAHAN '!G793</f>
        <v>0</v>
      </c>
      <c r="J2437" s="16">
        <f>H2437*I2437</f>
        <v>0</v>
      </c>
    </row>
    <row r="2438" spans="1:10" ht="13.5" thickBot="1">
      <c r="A2438" s="27"/>
      <c r="B2438" s="110"/>
      <c r="D2438" s="417"/>
      <c r="E2438" s="418"/>
      <c r="F2438" s="418"/>
      <c r="G2438" s="419"/>
      <c r="H2438" s="420" t="s">
        <v>64</v>
      </c>
      <c r="I2438" s="421"/>
      <c r="J2438" s="396">
        <f>SUM(J2436:J2437)</f>
        <v>0</v>
      </c>
    </row>
    <row r="2439" spans="1:10" ht="13.5" thickBot="1">
      <c r="A2439" s="27"/>
      <c r="B2439" s="110"/>
      <c r="D2439" s="406" t="s">
        <v>65</v>
      </c>
      <c r="E2439" s="13" t="s">
        <v>66</v>
      </c>
      <c r="F2439" s="14"/>
      <c r="G2439" s="15"/>
      <c r="H2439" s="451"/>
      <c r="I2439" s="412">
        <f>IF(AND(E2439&lt;&gt;"",G2439&lt;&gt;""),IF(D2439="",IF(G2439="OH",VLOOKUP(E2439,UPAH!$C$4:$H$31,7,0),VLOOKUP(E2439,#REF!,4,0)),0),0)</f>
        <v>0</v>
      </c>
      <c r="J2439" s="16">
        <f>H2439*I2439</f>
        <v>0</v>
      </c>
    </row>
    <row r="2440" spans="1:10" ht="13.5" thickBot="1">
      <c r="A2440" s="27"/>
      <c r="B2440" s="110"/>
      <c r="D2440" s="417"/>
      <c r="E2440" s="418"/>
      <c r="F2440" s="418"/>
      <c r="G2440" s="419"/>
      <c r="H2440" s="420" t="s">
        <v>67</v>
      </c>
      <c r="I2440" s="421"/>
      <c r="J2440" s="396">
        <f>J2439</f>
        <v>0</v>
      </c>
    </row>
    <row r="2441" spans="1:10" ht="13">
      <c r="A2441" s="27"/>
      <c r="B2441" s="110"/>
      <c r="D2441" s="444" t="s">
        <v>68</v>
      </c>
      <c r="E2441" s="445" t="s">
        <v>69</v>
      </c>
      <c r="F2441" s="446"/>
      <c r="G2441" s="447"/>
      <c r="H2441" s="448"/>
      <c r="I2441" s="449">
        <f>IF(AND(E2441&lt;&gt;"",G2441&lt;&gt;""),IF(D2441="",IF(G2441="OH",VLOOKUP(E2441,UPAH!$C$4:$H$31,7,0),VLOOKUP(E2441,#REF!,4,0)),0),0)</f>
        <v>0</v>
      </c>
      <c r="J2441" s="16">
        <f>SUM(J2428:J2440)/2</f>
        <v>0</v>
      </c>
    </row>
    <row r="2442" spans="1:10" ht="13.5" thickBot="1">
      <c r="A2442" s="27"/>
      <c r="B2442" s="110"/>
      <c r="D2442" s="431" t="s">
        <v>70</v>
      </c>
      <c r="E2442" s="432" t="s">
        <v>477</v>
      </c>
      <c r="F2442" s="433"/>
      <c r="G2442" s="434"/>
      <c r="H2442" s="22">
        <v>0.1</v>
      </c>
      <c r="I2442" s="436"/>
      <c r="J2442" s="430">
        <f>H2442*J2441</f>
        <v>0</v>
      </c>
    </row>
    <row r="2443" spans="1:10" ht="13.5" thickBot="1">
      <c r="A2443" s="27"/>
      <c r="B2443" s="110"/>
      <c r="D2443" s="401" t="s">
        <v>71</v>
      </c>
      <c r="E2443" s="402" t="s">
        <v>72</v>
      </c>
      <c r="F2443" s="418"/>
      <c r="G2443" s="419"/>
      <c r="H2443" s="442"/>
      <c r="I2443" s="421">
        <f>IF(AND(E2443&lt;&gt;"",G2443&lt;&gt;""),IF(D2443="",IF(G2443="OH",VLOOKUP(E2443,UPAH!$C$4:$H$31,7,0),VLOOKUP(E2443,#REF!,4,0)),0),0)</f>
        <v>0</v>
      </c>
      <c r="J2443" s="396">
        <f>ROUNDDOWN(J2441+J2442,0)</f>
        <v>0</v>
      </c>
    </row>
    <row r="2444" spans="1:10" ht="13">
      <c r="A2444" s="27"/>
      <c r="B2444" s="110"/>
      <c r="D2444" s="11"/>
      <c r="E2444" s="11"/>
      <c r="H2444" s="443"/>
    </row>
    <row r="2445" spans="1:10" ht="13.5" thickBot="1">
      <c r="A2445" s="27"/>
      <c r="B2445" s="110"/>
      <c r="C2445" s="11" t="s">
        <v>742</v>
      </c>
      <c r="D2445" s="10" t="s">
        <v>743</v>
      </c>
      <c r="H2445" s="443"/>
    </row>
    <row r="2446" spans="1:10" ht="13.5" thickBot="1">
      <c r="A2446" s="27"/>
      <c r="B2446" s="110"/>
      <c r="D2446" s="401" t="s">
        <v>40</v>
      </c>
      <c r="E2446" s="402" t="s">
        <v>41</v>
      </c>
      <c r="F2446" s="402" t="s">
        <v>42</v>
      </c>
      <c r="G2446" s="403" t="s">
        <v>43</v>
      </c>
      <c r="H2446" s="404" t="s">
        <v>44</v>
      </c>
      <c r="I2446" s="402" t="s">
        <v>474</v>
      </c>
      <c r="J2446" s="405" t="s">
        <v>475</v>
      </c>
    </row>
    <row r="2447" spans="1:10" ht="13">
      <c r="A2447" s="27"/>
      <c r="B2447" s="110"/>
      <c r="D2447" s="406" t="s">
        <v>45</v>
      </c>
      <c r="E2447" s="13" t="s">
        <v>46</v>
      </c>
      <c r="F2447" s="14"/>
      <c r="G2447" s="15"/>
      <c r="H2447" s="451"/>
      <c r="I2447" s="412"/>
      <c r="J2447" s="16"/>
    </row>
    <row r="2448" spans="1:10" ht="13">
      <c r="A2448" s="27"/>
      <c r="B2448" s="110"/>
      <c r="D2448" s="409"/>
      <c r="E2448" s="13" t="s">
        <v>47</v>
      </c>
      <c r="F2448" s="13" t="s">
        <v>1918</v>
      </c>
      <c r="G2448" s="410" t="s">
        <v>48</v>
      </c>
      <c r="H2448" s="411">
        <v>1.67</v>
      </c>
      <c r="I2448" s="412">
        <f>IF(AND(E2448&lt;&gt;"",G2448&lt;&gt;""),IF(D2448="",IF(G2448="OH",VLOOKUP(F2448,UPAH!$B$4:$H$101,7,0),VLOOKUP(F2448,#REF!,4,0)),0),0)</f>
        <v>0</v>
      </c>
      <c r="J2448" s="16">
        <f>H2448*I2448</f>
        <v>0</v>
      </c>
    </row>
    <row r="2449" spans="1:10" ht="13">
      <c r="A2449" s="27"/>
      <c r="B2449" s="110"/>
      <c r="D2449" s="409"/>
      <c r="E2449" s="13" t="s">
        <v>461</v>
      </c>
      <c r="F2449" s="13" t="s">
        <v>1911</v>
      </c>
      <c r="G2449" s="410" t="s">
        <v>48</v>
      </c>
      <c r="H2449" s="411">
        <v>1.67</v>
      </c>
      <c r="I2449" s="412">
        <f>IF(AND(E2449&lt;&gt;"",G2449&lt;&gt;""),IF(D2449="",IF(G2449="OH",VLOOKUP(F2449,UPAH!$B$4:$H$101,7,0),VLOOKUP(F2449,#REF!,4,0)),0),0)</f>
        <v>0</v>
      </c>
      <c r="J2449" s="16">
        <f>H2449*I2449</f>
        <v>0</v>
      </c>
    </row>
    <row r="2450" spans="1:10" ht="13">
      <c r="A2450" s="27"/>
      <c r="B2450" s="110"/>
      <c r="D2450" s="409"/>
      <c r="E2450" s="13" t="s">
        <v>50</v>
      </c>
      <c r="F2450" s="13" t="s">
        <v>1928</v>
      </c>
      <c r="G2450" s="410" t="s">
        <v>48</v>
      </c>
      <c r="H2450" s="411">
        <v>0.16700000000000001</v>
      </c>
      <c r="I2450" s="412">
        <f>IF(AND(E2450&lt;&gt;"",G2450&lt;&gt;""),IF(D2450="",IF(G2450="OH",VLOOKUP(F2450,UPAH!$B$4:$H$101,7,0),VLOOKUP(F2450,#REF!,4,0)),0),0)</f>
        <v>0</v>
      </c>
      <c r="J2450" s="16">
        <f>H2450*I2450</f>
        <v>0</v>
      </c>
    </row>
    <row r="2451" spans="1:10" ht="13.5" thickBot="1">
      <c r="A2451" s="27"/>
      <c r="B2451" s="110"/>
      <c r="D2451" s="409"/>
      <c r="E2451" s="13" t="s">
        <v>51</v>
      </c>
      <c r="F2451" s="13" t="s">
        <v>1929</v>
      </c>
      <c r="G2451" s="410" t="s">
        <v>48</v>
      </c>
      <c r="H2451" s="411">
        <v>8.3000000000000004E-2</v>
      </c>
      <c r="I2451" s="412">
        <f>IF(AND(E2451&lt;&gt;"",G2451&lt;&gt;""),IF(D2451="",IF(G2451="OH",VLOOKUP(F2451,UPAH!$B$4:$H$101,7,0),VLOOKUP(F2451,#REF!,4,0)),0),0)</f>
        <v>0</v>
      </c>
      <c r="J2451" s="16">
        <f>H2451*I2451</f>
        <v>0</v>
      </c>
    </row>
    <row r="2452" spans="1:10" ht="13.5" thickBot="1">
      <c r="A2452" s="27"/>
      <c r="B2452" s="110"/>
      <c r="D2452" s="417"/>
      <c r="E2452" s="418"/>
      <c r="F2452" s="418"/>
      <c r="G2452" s="419"/>
      <c r="H2452" s="420" t="s">
        <v>52</v>
      </c>
      <c r="I2452" s="421"/>
      <c r="J2452" s="396">
        <f>SUM(J2448:J2451)</f>
        <v>0</v>
      </c>
    </row>
    <row r="2453" spans="1:10" ht="13">
      <c r="A2453" s="27"/>
      <c r="B2453" s="110"/>
      <c r="D2453" s="406" t="s">
        <v>53</v>
      </c>
      <c r="E2453" s="13" t="s">
        <v>54</v>
      </c>
      <c r="F2453" s="14"/>
      <c r="G2453" s="15"/>
      <c r="H2453" s="451"/>
      <c r="I2453" s="412"/>
      <c r="J2453" s="16"/>
    </row>
    <row r="2454" spans="1:10" ht="13">
      <c r="A2454" s="27"/>
      <c r="B2454" s="110"/>
      <c r="D2454" s="409"/>
      <c r="E2454" s="13" t="s">
        <v>84</v>
      </c>
      <c r="F2454" s="14"/>
      <c r="G2454" s="410" t="s">
        <v>93</v>
      </c>
      <c r="H2454" s="411">
        <v>6.1769999999999996</v>
      </c>
      <c r="I2454" s="412">
        <f>'BAHAN '!G98</f>
        <v>0</v>
      </c>
      <c r="J2454" s="16">
        <f>H2454*I2454</f>
        <v>0</v>
      </c>
    </row>
    <row r="2455" spans="1:10" ht="13.5" thickBot="1">
      <c r="A2455" s="27"/>
      <c r="B2455" s="110"/>
      <c r="D2455" s="409"/>
      <c r="E2455" s="13" t="s">
        <v>142</v>
      </c>
      <c r="F2455" s="14"/>
      <c r="G2455" s="410" t="s">
        <v>143</v>
      </c>
      <c r="H2455" s="411">
        <v>27.08</v>
      </c>
      <c r="I2455" s="412">
        <f>J2281/10</f>
        <v>0</v>
      </c>
      <c r="J2455" s="16">
        <f>H2455*I2455</f>
        <v>0</v>
      </c>
    </row>
    <row r="2456" spans="1:10" ht="13.5" thickBot="1">
      <c r="A2456" s="27"/>
      <c r="B2456" s="110"/>
      <c r="D2456" s="417"/>
      <c r="E2456" s="418"/>
      <c r="F2456" s="418"/>
      <c r="G2456" s="419"/>
      <c r="H2456" s="420" t="s">
        <v>64</v>
      </c>
      <c r="I2456" s="421"/>
      <c r="J2456" s="396">
        <f>SUM(J2454:J2455)</f>
        <v>0</v>
      </c>
    </row>
    <row r="2457" spans="1:10" ht="13.5" thickBot="1">
      <c r="A2457" s="27"/>
      <c r="B2457" s="110"/>
      <c r="D2457" s="406" t="s">
        <v>65</v>
      </c>
      <c r="E2457" s="13" t="s">
        <v>66</v>
      </c>
      <c r="F2457" s="14"/>
      <c r="G2457" s="15"/>
      <c r="H2457" s="451"/>
      <c r="I2457" s="412">
        <f>IF(AND(E2457&lt;&gt;"",G2457&lt;&gt;""),IF(D2457="",IF(G2457="OH",VLOOKUP(E2457,UPAH!$C$4:$H$31,7,0),VLOOKUP(E2457,#REF!,4,0)),0),0)</f>
        <v>0</v>
      </c>
      <c r="J2457" s="16">
        <f>H2457*I2457</f>
        <v>0</v>
      </c>
    </row>
    <row r="2458" spans="1:10" ht="13.5" thickBot="1">
      <c r="A2458" s="27"/>
      <c r="B2458" s="110"/>
      <c r="D2458" s="417"/>
      <c r="E2458" s="418"/>
      <c r="F2458" s="418"/>
      <c r="G2458" s="419"/>
      <c r="H2458" s="420" t="s">
        <v>67</v>
      </c>
      <c r="I2458" s="421"/>
      <c r="J2458" s="396">
        <f>J2457</f>
        <v>0</v>
      </c>
    </row>
    <row r="2459" spans="1:10" ht="13">
      <c r="A2459" s="27"/>
      <c r="B2459" s="110"/>
      <c r="D2459" s="444" t="s">
        <v>68</v>
      </c>
      <c r="E2459" s="445" t="s">
        <v>69</v>
      </c>
      <c r="F2459" s="446"/>
      <c r="G2459" s="447"/>
      <c r="H2459" s="448"/>
      <c r="I2459" s="449">
        <f>IF(AND(E2459&lt;&gt;"",G2459&lt;&gt;""),IF(D2459="",IF(G2459="OH",VLOOKUP(E2459,UPAH!$C$4:$H$31,7,0),VLOOKUP(E2459,#REF!,4,0)),0),0)</f>
        <v>0</v>
      </c>
      <c r="J2459" s="16">
        <f>SUM(J2446:J2458)/2</f>
        <v>0</v>
      </c>
    </row>
    <row r="2460" spans="1:10" ht="13.5" thickBot="1">
      <c r="A2460" s="27"/>
      <c r="B2460" s="110"/>
      <c r="D2460" s="431" t="s">
        <v>70</v>
      </c>
      <c r="E2460" s="432" t="s">
        <v>477</v>
      </c>
      <c r="F2460" s="433"/>
      <c r="G2460" s="434"/>
      <c r="H2460" s="22">
        <v>0.1</v>
      </c>
      <c r="I2460" s="436"/>
      <c r="J2460" s="430">
        <f>H2460*J2459</f>
        <v>0</v>
      </c>
    </row>
    <row r="2461" spans="1:10" ht="13.5" thickBot="1">
      <c r="A2461" s="27"/>
      <c r="B2461" s="110"/>
      <c r="D2461" s="401" t="s">
        <v>71</v>
      </c>
      <c r="E2461" s="402" t="s">
        <v>72</v>
      </c>
      <c r="F2461" s="418"/>
      <c r="G2461" s="419"/>
      <c r="H2461" s="442"/>
      <c r="I2461" s="421">
        <f>IF(AND(E2461&lt;&gt;"",G2461&lt;&gt;""),IF(D2461="",IF(G2461="OH",VLOOKUP(E2461,UPAH!$C$4:$H$31,7,0),VLOOKUP(E2461,#REF!,4,0)),0),0)</f>
        <v>0</v>
      </c>
      <c r="J2461" s="396">
        <f>ROUNDDOWN(J2459+J2460,0)</f>
        <v>0</v>
      </c>
    </row>
    <row r="2462" spans="1:10" ht="13">
      <c r="A2462" s="27"/>
      <c r="B2462" s="110"/>
      <c r="D2462" s="11"/>
      <c r="E2462" s="11"/>
      <c r="H2462" s="443"/>
    </row>
    <row r="2463" spans="1:10" ht="13.5" thickBot="1">
      <c r="A2463" s="27"/>
      <c r="B2463" s="110"/>
      <c r="C2463" s="11" t="s">
        <v>744</v>
      </c>
      <c r="D2463" s="10" t="s">
        <v>745</v>
      </c>
      <c r="H2463" s="443"/>
    </row>
    <row r="2464" spans="1:10" ht="13.5" thickBot="1">
      <c r="A2464" s="27"/>
      <c r="B2464" s="110"/>
      <c r="D2464" s="401" t="s">
        <v>40</v>
      </c>
      <c r="E2464" s="402" t="s">
        <v>41</v>
      </c>
      <c r="F2464" s="402" t="s">
        <v>42</v>
      </c>
      <c r="G2464" s="403" t="s">
        <v>43</v>
      </c>
      <c r="H2464" s="404" t="s">
        <v>44</v>
      </c>
      <c r="I2464" s="402" t="s">
        <v>474</v>
      </c>
      <c r="J2464" s="405" t="s">
        <v>475</v>
      </c>
    </row>
    <row r="2465" spans="1:10" ht="13">
      <c r="A2465" s="27"/>
      <c r="B2465" s="110"/>
      <c r="D2465" s="406" t="s">
        <v>45</v>
      </c>
      <c r="E2465" s="13" t="s">
        <v>46</v>
      </c>
      <c r="F2465" s="14"/>
      <c r="G2465" s="15"/>
      <c r="H2465" s="451"/>
      <c r="I2465" s="412"/>
      <c r="J2465" s="16"/>
    </row>
    <row r="2466" spans="1:10" ht="13">
      <c r="A2466" s="27"/>
      <c r="B2466" s="110"/>
      <c r="D2466" s="409"/>
      <c r="E2466" s="13" t="s">
        <v>47</v>
      </c>
      <c r="F2466" s="13" t="s">
        <v>1918</v>
      </c>
      <c r="G2466" s="410" t="s">
        <v>48</v>
      </c>
      <c r="H2466" s="411">
        <v>0.1</v>
      </c>
      <c r="I2466" s="412">
        <f>IF(AND(E2466&lt;&gt;"",G2466&lt;&gt;""),IF(D2466="",IF(G2466="OH",VLOOKUP(F2466,UPAH!$B$4:$H$101,7,0),VLOOKUP(F2466,#REF!,4,0)),0),0)</f>
        <v>0</v>
      </c>
      <c r="J2466" s="16">
        <f>H2466*I2466</f>
        <v>0</v>
      </c>
    </row>
    <row r="2467" spans="1:10" ht="13">
      <c r="A2467" s="27"/>
      <c r="B2467" s="110"/>
      <c r="D2467" s="409"/>
      <c r="E2467" s="13" t="s">
        <v>96</v>
      </c>
      <c r="F2467" s="13" t="s">
        <v>1919</v>
      </c>
      <c r="G2467" s="410" t="s">
        <v>48</v>
      </c>
      <c r="H2467" s="411">
        <v>0.1</v>
      </c>
      <c r="I2467" s="412">
        <f>IF(AND(E2467&lt;&gt;"",G2467&lt;&gt;""),IF(D2467="",IF(G2467="OH",VLOOKUP(F2467,UPAH!$B$4:$H$101,7,0),VLOOKUP(F2467,#REF!,4,0)),0),0)</f>
        <v>0</v>
      </c>
      <c r="J2467" s="16">
        <f>H2467*I2467</f>
        <v>0</v>
      </c>
    </row>
    <row r="2468" spans="1:10" ht="13">
      <c r="A2468" s="27"/>
      <c r="B2468" s="110"/>
      <c r="D2468" s="409"/>
      <c r="E2468" s="13" t="s">
        <v>50</v>
      </c>
      <c r="F2468" s="13" t="s">
        <v>1928</v>
      </c>
      <c r="G2468" s="410" t="s">
        <v>48</v>
      </c>
      <c r="H2468" s="411">
        <v>0.01</v>
      </c>
      <c r="I2468" s="412">
        <f>IF(AND(E2468&lt;&gt;"",G2468&lt;&gt;""),IF(D2468="",IF(G2468="OH",VLOOKUP(F2468,UPAH!$B$4:$H$101,7,0),VLOOKUP(F2468,#REF!,4,0)),0),0)</f>
        <v>0</v>
      </c>
      <c r="J2468" s="16">
        <f>H2468*I2468</f>
        <v>0</v>
      </c>
    </row>
    <row r="2469" spans="1:10" ht="13.5" thickBot="1">
      <c r="A2469" s="27"/>
      <c r="B2469" s="110"/>
      <c r="D2469" s="409"/>
      <c r="E2469" s="13" t="s">
        <v>51</v>
      </c>
      <c r="F2469" s="13" t="s">
        <v>1929</v>
      </c>
      <c r="G2469" s="410" t="s">
        <v>48</v>
      </c>
      <c r="H2469" s="411">
        <v>5.0000000000000001E-3</v>
      </c>
      <c r="I2469" s="412">
        <f>IF(AND(E2469&lt;&gt;"",G2469&lt;&gt;""),IF(D2469="",IF(G2469="OH",VLOOKUP(F2469,UPAH!$B$4:$H$101,7,0),VLOOKUP(F2469,#REF!,4,0)),0),0)</f>
        <v>0</v>
      </c>
      <c r="J2469" s="16">
        <f>H2469*I2469</f>
        <v>0</v>
      </c>
    </row>
    <row r="2470" spans="1:10" ht="13.5" thickBot="1">
      <c r="A2470" s="27"/>
      <c r="B2470" s="110"/>
      <c r="D2470" s="417"/>
      <c r="E2470" s="418"/>
      <c r="F2470" s="418"/>
      <c r="G2470" s="419"/>
      <c r="H2470" s="420" t="s">
        <v>52</v>
      </c>
      <c r="I2470" s="421"/>
      <c r="J2470" s="396">
        <f>SUM(J2466:J2469)</f>
        <v>0</v>
      </c>
    </row>
    <row r="2471" spans="1:10" ht="13">
      <c r="A2471" s="27"/>
      <c r="B2471" s="110"/>
      <c r="D2471" s="406" t="s">
        <v>53</v>
      </c>
      <c r="E2471" s="13" t="s">
        <v>54</v>
      </c>
      <c r="F2471" s="14"/>
      <c r="G2471" s="15"/>
      <c r="H2471" s="451"/>
      <c r="I2471" s="412"/>
      <c r="J2471" s="16"/>
    </row>
    <row r="2472" spans="1:10" ht="13">
      <c r="A2472" s="27"/>
      <c r="B2472" s="110"/>
      <c r="D2472" s="409"/>
      <c r="E2472" s="13" t="s">
        <v>152</v>
      </c>
      <c r="F2472" s="14"/>
      <c r="G2472" s="410" t="s">
        <v>376</v>
      </c>
      <c r="H2472" s="411">
        <v>1.1000000000000001</v>
      </c>
      <c r="I2472" s="412">
        <f>'BAHAN '!G755</f>
        <v>0</v>
      </c>
      <c r="J2472" s="16">
        <f>H2472*I2472</f>
        <v>0</v>
      </c>
    </row>
    <row r="2473" spans="1:10" ht="13">
      <c r="A2473" s="27"/>
      <c r="B2473" s="110"/>
      <c r="D2473" s="409"/>
      <c r="E2473" s="13" t="s">
        <v>142</v>
      </c>
      <c r="F2473" s="14"/>
      <c r="G2473" s="410" t="s">
        <v>143</v>
      </c>
      <c r="H2473" s="411">
        <v>11.11</v>
      </c>
      <c r="I2473" s="412">
        <f>J2281/10</f>
        <v>0</v>
      </c>
      <c r="J2473" s="16">
        <f>H2473*I2473</f>
        <v>0</v>
      </c>
    </row>
    <row r="2474" spans="1:10" ht="13.5" thickBot="1">
      <c r="A2474" s="27"/>
      <c r="B2474" s="110"/>
      <c r="D2474" s="409"/>
      <c r="E2474" s="13" t="s">
        <v>153</v>
      </c>
      <c r="F2474" s="14"/>
      <c r="G2474" s="410" t="s">
        <v>93</v>
      </c>
      <c r="H2474" s="411">
        <v>1.716</v>
      </c>
      <c r="I2474" s="412">
        <f>'BAHAN '!G98</f>
        <v>0</v>
      </c>
      <c r="J2474" s="16">
        <f>H2474*I2474</f>
        <v>0</v>
      </c>
    </row>
    <row r="2475" spans="1:10" ht="13.5" thickBot="1">
      <c r="A2475" s="27"/>
      <c r="B2475" s="110"/>
      <c r="D2475" s="417"/>
      <c r="E2475" s="418"/>
      <c r="F2475" s="418"/>
      <c r="G2475" s="419"/>
      <c r="H2475" s="420" t="s">
        <v>64</v>
      </c>
      <c r="I2475" s="421"/>
      <c r="J2475" s="396">
        <f>SUM(J2472:J2474)</f>
        <v>0</v>
      </c>
    </row>
    <row r="2476" spans="1:10" ht="13.5" thickBot="1">
      <c r="A2476" s="27"/>
      <c r="B2476" s="110"/>
      <c r="D2476" s="406" t="s">
        <v>65</v>
      </c>
      <c r="E2476" s="13" t="s">
        <v>66</v>
      </c>
      <c r="F2476" s="14"/>
      <c r="G2476" s="15"/>
      <c r="H2476" s="451"/>
      <c r="I2476" s="412">
        <f>IF(AND(E2476&lt;&gt;"",G2476&lt;&gt;""),IF(D2476="",IF(G2476="OH",VLOOKUP(E2476,UPAH!$C$4:$H$31,7,0),VLOOKUP(E2476,#REF!,4,0)),0),0)</f>
        <v>0</v>
      </c>
      <c r="J2476" s="16">
        <f>H2476*I2476</f>
        <v>0</v>
      </c>
    </row>
    <row r="2477" spans="1:10" ht="13.5" thickBot="1">
      <c r="A2477" s="27"/>
      <c r="B2477" s="110"/>
      <c r="D2477" s="417"/>
      <c r="E2477" s="418"/>
      <c r="F2477" s="418"/>
      <c r="G2477" s="419"/>
      <c r="H2477" s="420" t="s">
        <v>67</v>
      </c>
      <c r="I2477" s="421"/>
      <c r="J2477" s="396">
        <f>J2476</f>
        <v>0</v>
      </c>
    </row>
    <row r="2478" spans="1:10" ht="13">
      <c r="A2478" s="27"/>
      <c r="B2478" s="110"/>
      <c r="D2478" s="444" t="s">
        <v>68</v>
      </c>
      <c r="E2478" s="445" t="s">
        <v>69</v>
      </c>
      <c r="F2478" s="446"/>
      <c r="G2478" s="447"/>
      <c r="H2478" s="448"/>
      <c r="I2478" s="449">
        <f>IF(AND(E2478&lt;&gt;"",G2478&lt;&gt;""),IF(D2478="",IF(G2478="OH",VLOOKUP(E2478,UPAH!$C$4:$H$31,7,0),VLOOKUP(E2478,#REF!,4,0)),0),0)</f>
        <v>0</v>
      </c>
      <c r="J2478" s="16">
        <f>SUM(J2465:J2477)/2</f>
        <v>0</v>
      </c>
    </row>
    <row r="2479" spans="1:10" ht="13.5" thickBot="1">
      <c r="A2479" s="27"/>
      <c r="B2479" s="110"/>
      <c r="D2479" s="431" t="s">
        <v>70</v>
      </c>
      <c r="E2479" s="432" t="s">
        <v>477</v>
      </c>
      <c r="F2479" s="433"/>
      <c r="G2479" s="434"/>
      <c r="H2479" s="22">
        <v>0.1</v>
      </c>
      <c r="I2479" s="436"/>
      <c r="J2479" s="430">
        <f>H2479*J2478</f>
        <v>0</v>
      </c>
    </row>
    <row r="2480" spans="1:10" ht="13.5" thickBot="1">
      <c r="A2480" s="27"/>
      <c r="B2480" s="110"/>
      <c r="D2480" s="401" t="s">
        <v>71</v>
      </c>
      <c r="E2480" s="402" t="s">
        <v>72</v>
      </c>
      <c r="F2480" s="418"/>
      <c r="G2480" s="419"/>
      <c r="H2480" s="442"/>
      <c r="I2480" s="421">
        <f>IF(AND(E2480&lt;&gt;"",G2480&lt;&gt;""),IF(D2480="",IF(G2480="OH",VLOOKUP(E2480,UPAH!$C$4:$H$31,7,0),VLOOKUP(E2480,#REF!,4,0)),0),0)</f>
        <v>0</v>
      </c>
      <c r="J2480" s="396">
        <f>ROUNDDOWN(J2478+J2479,0)</f>
        <v>0</v>
      </c>
    </row>
    <row r="2481" spans="1:10" ht="13">
      <c r="A2481" s="27"/>
      <c r="B2481" s="110"/>
      <c r="D2481" s="11"/>
      <c r="E2481" s="11"/>
      <c r="H2481" s="443"/>
    </row>
    <row r="2482" spans="1:10" ht="13.5" thickBot="1">
      <c r="A2482" s="27"/>
      <c r="B2482" s="110"/>
      <c r="C2482" s="11" t="s">
        <v>746</v>
      </c>
      <c r="D2482" s="10" t="s">
        <v>747</v>
      </c>
      <c r="H2482" s="443"/>
    </row>
    <row r="2483" spans="1:10" ht="13.5" thickBot="1">
      <c r="A2483" s="27"/>
      <c r="B2483" s="110"/>
      <c r="D2483" s="401" t="s">
        <v>40</v>
      </c>
      <c r="E2483" s="402" t="s">
        <v>41</v>
      </c>
      <c r="F2483" s="402" t="s">
        <v>42</v>
      </c>
      <c r="G2483" s="403" t="s">
        <v>43</v>
      </c>
      <c r="H2483" s="404" t="s">
        <v>44</v>
      </c>
      <c r="I2483" s="402" t="s">
        <v>474</v>
      </c>
      <c r="J2483" s="405" t="s">
        <v>475</v>
      </c>
    </row>
    <row r="2484" spans="1:10" ht="13">
      <c r="A2484" s="27"/>
      <c r="B2484" s="110"/>
      <c r="D2484" s="406" t="s">
        <v>45</v>
      </c>
      <c r="E2484" s="13" t="s">
        <v>46</v>
      </c>
      <c r="F2484" s="14"/>
      <c r="G2484" s="15"/>
      <c r="H2484" s="451"/>
      <c r="I2484" s="412"/>
      <c r="J2484" s="16"/>
    </row>
    <row r="2485" spans="1:10" ht="13">
      <c r="A2485" s="27"/>
      <c r="B2485" s="110"/>
      <c r="D2485" s="409"/>
      <c r="E2485" s="13" t="s">
        <v>47</v>
      </c>
      <c r="F2485" s="13" t="s">
        <v>1918</v>
      </c>
      <c r="G2485" s="410" t="s">
        <v>48</v>
      </c>
      <c r="H2485" s="411">
        <v>0.2</v>
      </c>
      <c r="I2485" s="412">
        <f>IF(AND(E2485&lt;&gt;"",G2485&lt;&gt;""),IF(D2485="",IF(G2485="OH",VLOOKUP(F2485,UPAH!$B$4:$H$101,7,0),VLOOKUP(F2485,#REF!,4,0)),0),0)</f>
        <v>0</v>
      </c>
      <c r="J2485" s="16">
        <f>H2485*I2485</f>
        <v>0</v>
      </c>
    </row>
    <row r="2486" spans="1:10" ht="13">
      <c r="A2486" s="27"/>
      <c r="B2486" s="110"/>
      <c r="D2486" s="409"/>
      <c r="E2486" s="13" t="s">
        <v>96</v>
      </c>
      <c r="F2486" s="13" t="s">
        <v>1919</v>
      </c>
      <c r="G2486" s="410" t="s">
        <v>48</v>
      </c>
      <c r="H2486" s="411">
        <v>0.2</v>
      </c>
      <c r="I2486" s="412">
        <f>IF(AND(E2486&lt;&gt;"",G2486&lt;&gt;""),IF(D2486="",IF(G2486="OH",VLOOKUP(F2486,UPAH!$B$4:$H$101,7,0),VLOOKUP(F2486,#REF!,4,0)),0),0)</f>
        <v>0</v>
      </c>
      <c r="J2486" s="16">
        <f>H2486*I2486</f>
        <v>0</v>
      </c>
    </row>
    <row r="2487" spans="1:10" ht="13">
      <c r="A2487" s="27"/>
      <c r="B2487" s="110"/>
      <c r="D2487" s="409"/>
      <c r="E2487" s="13" t="s">
        <v>50</v>
      </c>
      <c r="F2487" s="13" t="s">
        <v>1928</v>
      </c>
      <c r="G2487" s="410" t="s">
        <v>48</v>
      </c>
      <c r="H2487" s="411">
        <v>0.02</v>
      </c>
      <c r="I2487" s="412">
        <f>IF(AND(E2487&lt;&gt;"",G2487&lt;&gt;""),IF(D2487="",IF(G2487="OH",VLOOKUP(F2487,UPAH!$B$4:$H$101,7,0),VLOOKUP(F2487,#REF!,4,0)),0),0)</f>
        <v>0</v>
      </c>
      <c r="J2487" s="16">
        <f>H2487*I2487</f>
        <v>0</v>
      </c>
    </row>
    <row r="2488" spans="1:10" ht="13.5" thickBot="1">
      <c r="A2488" s="27"/>
      <c r="B2488" s="110"/>
      <c r="D2488" s="409"/>
      <c r="E2488" s="13" t="s">
        <v>51</v>
      </c>
      <c r="F2488" s="13" t="s">
        <v>1929</v>
      </c>
      <c r="G2488" s="410" t="s">
        <v>48</v>
      </c>
      <c r="H2488" s="411">
        <v>1E-3</v>
      </c>
      <c r="I2488" s="412">
        <f>IF(AND(E2488&lt;&gt;"",G2488&lt;&gt;""),IF(D2488="",IF(G2488="OH",VLOOKUP(F2488,UPAH!$B$4:$H$101,7,0),VLOOKUP(F2488,#REF!,4,0)),0),0)</f>
        <v>0</v>
      </c>
      <c r="J2488" s="16">
        <f>H2488*I2488</f>
        <v>0</v>
      </c>
    </row>
    <row r="2489" spans="1:10" ht="13.5" thickBot="1">
      <c r="A2489" s="27"/>
      <c r="B2489" s="110"/>
      <c r="D2489" s="417"/>
      <c r="E2489" s="418"/>
      <c r="F2489" s="418"/>
      <c r="G2489" s="419"/>
      <c r="H2489" s="420" t="s">
        <v>52</v>
      </c>
      <c r="I2489" s="421"/>
      <c r="J2489" s="396">
        <f>SUM(J2485:J2488)</f>
        <v>0</v>
      </c>
    </row>
    <row r="2490" spans="1:10" ht="13">
      <c r="A2490" s="27"/>
      <c r="B2490" s="110"/>
      <c r="D2490" s="406" t="s">
        <v>53</v>
      </c>
      <c r="E2490" s="13" t="s">
        <v>54</v>
      </c>
      <c r="F2490" s="14"/>
      <c r="G2490" s="15"/>
      <c r="H2490" s="451"/>
      <c r="I2490" s="412"/>
      <c r="J2490" s="16"/>
    </row>
    <row r="2491" spans="1:10" ht="13">
      <c r="A2491" s="27"/>
      <c r="B2491" s="110"/>
      <c r="D2491" s="409"/>
      <c r="E2491" s="13" t="s">
        <v>154</v>
      </c>
      <c r="F2491" s="14"/>
      <c r="G2491" s="410" t="s">
        <v>376</v>
      </c>
      <c r="H2491" s="411">
        <v>1.1000000000000001</v>
      </c>
      <c r="I2491" s="412">
        <f>'BAHAN '!G757</f>
        <v>0</v>
      </c>
      <c r="J2491" s="16">
        <f>H2491*I2491</f>
        <v>0</v>
      </c>
    </row>
    <row r="2492" spans="1:10" ht="13">
      <c r="A2492" s="27"/>
      <c r="B2492" s="110"/>
      <c r="D2492" s="409"/>
      <c r="E2492" s="13" t="s">
        <v>178</v>
      </c>
      <c r="F2492" s="14"/>
      <c r="G2492" s="410" t="s">
        <v>128</v>
      </c>
      <c r="H2492" s="411">
        <v>10</v>
      </c>
      <c r="I2492" s="412">
        <f>'BAHAN '!G131</f>
        <v>0</v>
      </c>
      <c r="J2492" s="16">
        <f>H2492*I2492</f>
        <v>0</v>
      </c>
    </row>
    <row r="2493" spans="1:10" ht="13.5" thickBot="1">
      <c r="A2493" s="27"/>
      <c r="B2493" s="110"/>
      <c r="D2493" s="409"/>
      <c r="E2493" s="13" t="s">
        <v>84</v>
      </c>
      <c r="F2493" s="14"/>
      <c r="G2493" s="410" t="s">
        <v>113</v>
      </c>
      <c r="H2493" s="411">
        <v>7</v>
      </c>
      <c r="I2493" s="412">
        <f>+I2474</f>
        <v>0</v>
      </c>
      <c r="J2493" s="16">
        <f>H2493*I2493</f>
        <v>0</v>
      </c>
    </row>
    <row r="2494" spans="1:10" ht="13.5" thickBot="1">
      <c r="A2494" s="27"/>
      <c r="B2494" s="110"/>
      <c r="D2494" s="417"/>
      <c r="E2494" s="418"/>
      <c r="F2494" s="418"/>
      <c r="G2494" s="419"/>
      <c r="H2494" s="420" t="s">
        <v>64</v>
      </c>
      <c r="I2494" s="421"/>
      <c r="J2494" s="396">
        <f>SUM(J2491:J2493)</f>
        <v>0</v>
      </c>
    </row>
    <row r="2495" spans="1:10" ht="13.5" thickBot="1">
      <c r="A2495" s="27"/>
      <c r="B2495" s="110"/>
      <c r="D2495" s="406" t="s">
        <v>65</v>
      </c>
      <c r="E2495" s="13" t="s">
        <v>66</v>
      </c>
      <c r="F2495" s="14"/>
      <c r="G2495" s="15"/>
      <c r="H2495" s="451"/>
      <c r="I2495" s="412">
        <f>IF(AND(E2495&lt;&gt;"",G2495&lt;&gt;""),IF(D2495="",IF(G2495="OH",VLOOKUP(E2495,UPAH!$C$4:$H$31,7,0),VLOOKUP(E2495,#REF!,4,0)),0),0)</f>
        <v>0</v>
      </c>
      <c r="J2495" s="16">
        <f>H2495*I2495</f>
        <v>0</v>
      </c>
    </row>
    <row r="2496" spans="1:10" ht="13.5" thickBot="1">
      <c r="A2496" s="27"/>
      <c r="B2496" s="110"/>
      <c r="D2496" s="417"/>
      <c r="E2496" s="418"/>
      <c r="F2496" s="418"/>
      <c r="G2496" s="419"/>
      <c r="H2496" s="420" t="s">
        <v>67</v>
      </c>
      <c r="I2496" s="421"/>
      <c r="J2496" s="396">
        <f>J2495</f>
        <v>0</v>
      </c>
    </row>
    <row r="2497" spans="1:10" ht="13">
      <c r="A2497" s="27"/>
      <c r="B2497" s="110"/>
      <c r="D2497" s="444" t="s">
        <v>68</v>
      </c>
      <c r="E2497" s="445" t="s">
        <v>69</v>
      </c>
      <c r="F2497" s="446"/>
      <c r="G2497" s="447"/>
      <c r="H2497" s="448"/>
      <c r="I2497" s="449">
        <f>IF(AND(E2497&lt;&gt;"",G2497&lt;&gt;""),IF(D2497="",IF(G2497="OH",VLOOKUP(E2497,UPAH!$C$4:$H$31,7,0),VLOOKUP(E2497,#REF!,4,0)),0),0)</f>
        <v>0</v>
      </c>
      <c r="J2497" s="16">
        <f>SUM(J2484:J2496)/2</f>
        <v>0</v>
      </c>
    </row>
    <row r="2498" spans="1:10" ht="13.5" thickBot="1">
      <c r="A2498" s="27"/>
      <c r="B2498" s="110"/>
      <c r="D2498" s="431" t="s">
        <v>70</v>
      </c>
      <c r="E2498" s="432" t="s">
        <v>477</v>
      </c>
      <c r="F2498" s="433"/>
      <c r="G2498" s="434"/>
      <c r="H2498" s="22">
        <v>0.1</v>
      </c>
      <c r="I2498" s="436"/>
      <c r="J2498" s="430">
        <f>H2498*J2497</f>
        <v>0</v>
      </c>
    </row>
    <row r="2499" spans="1:10" ht="13.5" thickBot="1">
      <c r="A2499" s="27"/>
      <c r="B2499" s="110"/>
      <c r="D2499" s="401" t="s">
        <v>71</v>
      </c>
      <c r="E2499" s="402" t="s">
        <v>72</v>
      </c>
      <c r="F2499" s="418"/>
      <c r="G2499" s="419"/>
      <c r="H2499" s="442"/>
      <c r="I2499" s="421">
        <f>IF(AND(E2499&lt;&gt;"",G2499&lt;&gt;""),IF(D2499="",IF(G2499="OH",VLOOKUP(E2499,UPAH!$C$4:$H$31,7,0),VLOOKUP(E2499,#REF!,4,0)),0),0)</f>
        <v>0</v>
      </c>
      <c r="J2499" s="396">
        <f>ROUNDDOWN(J2497+J2498,0)</f>
        <v>0</v>
      </c>
    </row>
    <row r="2500" spans="1:10" ht="13" hidden="1">
      <c r="A2500" s="27"/>
      <c r="B2500" s="110"/>
      <c r="D2500" s="11"/>
      <c r="E2500" s="11"/>
      <c r="H2500" s="443"/>
    </row>
    <row r="2501" spans="1:10" ht="13.5" thickBot="1">
      <c r="A2501" s="27"/>
      <c r="B2501" s="110"/>
      <c r="C2501" s="11" t="s">
        <v>748</v>
      </c>
      <c r="D2501" s="10" t="s">
        <v>749</v>
      </c>
      <c r="H2501" s="443"/>
    </row>
    <row r="2502" spans="1:10" ht="13.5" thickBot="1">
      <c r="A2502" s="27"/>
      <c r="B2502" s="110"/>
      <c r="D2502" s="401" t="s">
        <v>40</v>
      </c>
      <c r="E2502" s="402" t="s">
        <v>41</v>
      </c>
      <c r="F2502" s="402" t="s">
        <v>42</v>
      </c>
      <c r="G2502" s="403" t="s">
        <v>43</v>
      </c>
      <c r="H2502" s="404" t="s">
        <v>44</v>
      </c>
      <c r="I2502" s="402" t="s">
        <v>474</v>
      </c>
      <c r="J2502" s="405" t="s">
        <v>475</v>
      </c>
    </row>
    <row r="2503" spans="1:10" ht="13">
      <c r="A2503" s="27"/>
      <c r="B2503" s="110"/>
      <c r="D2503" s="406" t="s">
        <v>45</v>
      </c>
      <c r="E2503" s="13" t="s">
        <v>46</v>
      </c>
      <c r="F2503" s="14"/>
      <c r="G2503" s="15"/>
      <c r="H2503" s="451"/>
      <c r="I2503" s="412"/>
      <c r="J2503" s="16"/>
    </row>
    <row r="2504" spans="1:10" ht="13">
      <c r="A2504" s="27"/>
      <c r="B2504" s="110"/>
      <c r="D2504" s="409"/>
      <c r="E2504" s="13" t="s">
        <v>47</v>
      </c>
      <c r="F2504" s="13" t="s">
        <v>1918</v>
      </c>
      <c r="G2504" s="410" t="s">
        <v>48</v>
      </c>
      <c r="H2504" s="411">
        <v>0.2</v>
      </c>
      <c r="I2504" s="412">
        <f>IF(AND(E2504&lt;&gt;"",G2504&lt;&gt;""),IF(D2504="",IF(G2504="OH",VLOOKUP(F2504,UPAH!$B$4:$H$101,7,0),VLOOKUP(F2504,#REF!,4,0)),0),0)</f>
        <v>0</v>
      </c>
      <c r="J2504" s="16">
        <f>H2504*I2504</f>
        <v>0</v>
      </c>
    </row>
    <row r="2505" spans="1:10" ht="13">
      <c r="A2505" s="27"/>
      <c r="B2505" s="110"/>
      <c r="D2505" s="409"/>
      <c r="E2505" s="13" t="s">
        <v>96</v>
      </c>
      <c r="F2505" s="13" t="s">
        <v>1919</v>
      </c>
      <c r="G2505" s="410" t="s">
        <v>48</v>
      </c>
      <c r="H2505" s="411">
        <v>0.2</v>
      </c>
      <c r="I2505" s="412">
        <f>IF(AND(E2505&lt;&gt;"",G2505&lt;&gt;""),IF(D2505="",IF(G2505="OH",VLOOKUP(F2505,UPAH!$B$4:$H$101,7,0),VLOOKUP(F2505,#REF!,4,0)),0),0)</f>
        <v>0</v>
      </c>
      <c r="J2505" s="16">
        <f>H2505*I2505</f>
        <v>0</v>
      </c>
    </row>
    <row r="2506" spans="1:10" ht="13">
      <c r="A2506" s="27"/>
      <c r="B2506" s="110"/>
      <c r="D2506" s="409"/>
      <c r="E2506" s="13" t="s">
        <v>50</v>
      </c>
      <c r="F2506" s="13" t="s">
        <v>1928</v>
      </c>
      <c r="G2506" s="410" t="s">
        <v>48</v>
      </c>
      <c r="H2506" s="411">
        <v>0.02</v>
      </c>
      <c r="I2506" s="412">
        <f>IF(AND(E2506&lt;&gt;"",G2506&lt;&gt;""),IF(D2506="",IF(G2506="OH",VLOOKUP(F2506,UPAH!$B$4:$H$101,7,0),VLOOKUP(F2506,#REF!,4,0)),0),0)</f>
        <v>0</v>
      </c>
      <c r="J2506" s="16">
        <f>H2506*I2506</f>
        <v>0</v>
      </c>
    </row>
    <row r="2507" spans="1:10" ht="13.5" thickBot="1">
      <c r="A2507" s="27"/>
      <c r="B2507" s="110"/>
      <c r="D2507" s="409"/>
      <c r="E2507" s="13" t="s">
        <v>51</v>
      </c>
      <c r="F2507" s="13" t="s">
        <v>1929</v>
      </c>
      <c r="G2507" s="410" t="s">
        <v>48</v>
      </c>
      <c r="H2507" s="411">
        <v>1E-3</v>
      </c>
      <c r="I2507" s="412">
        <f>IF(AND(E2507&lt;&gt;"",G2507&lt;&gt;""),IF(D2507="",IF(G2507="OH",VLOOKUP(F2507,UPAH!$B$4:$H$101,7,0),VLOOKUP(F2507,#REF!,4,0)),0),0)</f>
        <v>0</v>
      </c>
      <c r="J2507" s="16">
        <f>H2507*I2507</f>
        <v>0</v>
      </c>
    </row>
    <row r="2508" spans="1:10" ht="13.5" thickBot="1">
      <c r="A2508" s="27"/>
      <c r="B2508" s="110"/>
      <c r="D2508" s="417"/>
      <c r="E2508" s="418"/>
      <c r="F2508" s="418"/>
      <c r="G2508" s="419"/>
      <c r="H2508" s="420" t="s">
        <v>52</v>
      </c>
      <c r="I2508" s="421"/>
      <c r="J2508" s="396">
        <f>SUM(J2504:J2507)</f>
        <v>0</v>
      </c>
    </row>
    <row r="2509" spans="1:10" ht="13">
      <c r="A2509" s="27"/>
      <c r="B2509" s="110"/>
      <c r="D2509" s="406" t="s">
        <v>53</v>
      </c>
      <c r="E2509" s="13" t="s">
        <v>54</v>
      </c>
      <c r="F2509" s="14"/>
      <c r="G2509" s="15"/>
      <c r="H2509" s="451"/>
      <c r="I2509" s="412"/>
      <c r="J2509" s="16"/>
    </row>
    <row r="2510" spans="1:10" ht="13">
      <c r="A2510" s="27"/>
      <c r="B2510" s="110"/>
      <c r="D2510" s="409"/>
      <c r="E2510" s="13" t="s">
        <v>443</v>
      </c>
      <c r="F2510" s="14"/>
      <c r="G2510" s="410" t="s">
        <v>113</v>
      </c>
      <c r="H2510" s="411">
        <v>1.05</v>
      </c>
      <c r="I2510" s="412">
        <f>'BAHAN '!G244/1.829</f>
        <v>0</v>
      </c>
      <c r="J2510" s="16">
        <f>H2510*I2510</f>
        <v>0</v>
      </c>
    </row>
    <row r="2511" spans="1:10" ht="13">
      <c r="A2511" s="27"/>
      <c r="B2511" s="110"/>
      <c r="D2511" s="409"/>
      <c r="E2511" s="13" t="s">
        <v>486</v>
      </c>
      <c r="F2511" s="14"/>
      <c r="G2511" s="410" t="s">
        <v>93</v>
      </c>
      <c r="H2511" s="411">
        <v>1.4999999999999999E-2</v>
      </c>
      <c r="I2511" s="412">
        <f>'BAHAN '!G127</f>
        <v>0</v>
      </c>
      <c r="J2511" s="16">
        <f>H2511*I2511</f>
        <v>0</v>
      </c>
    </row>
    <row r="2512" spans="1:10" ht="13.5" thickBot="1">
      <c r="A2512" s="27"/>
      <c r="B2512" s="110"/>
      <c r="D2512" s="409"/>
      <c r="E2512" s="13" t="s">
        <v>495</v>
      </c>
      <c r="F2512" s="14"/>
      <c r="G2512" s="410" t="s">
        <v>375</v>
      </c>
      <c r="H2512" s="411">
        <v>1.9E-2</v>
      </c>
      <c r="I2512" s="412">
        <f>'BAHAN '!G199</f>
        <v>0</v>
      </c>
      <c r="J2512" s="16">
        <f>H2512*I2512</f>
        <v>0</v>
      </c>
    </row>
    <row r="2513" spans="1:10" ht="13.5" thickBot="1">
      <c r="A2513" s="27"/>
      <c r="B2513" s="110"/>
      <c r="D2513" s="417"/>
      <c r="E2513" s="418"/>
      <c r="F2513" s="418"/>
      <c r="G2513" s="419"/>
      <c r="H2513" s="420" t="s">
        <v>64</v>
      </c>
      <c r="I2513" s="421"/>
      <c r="J2513" s="396">
        <f>SUM(J2510:J2512)</f>
        <v>0</v>
      </c>
    </row>
    <row r="2514" spans="1:10" ht="13.5" thickBot="1">
      <c r="A2514" s="27"/>
      <c r="B2514" s="110"/>
      <c r="D2514" s="406" t="s">
        <v>65</v>
      </c>
      <c r="E2514" s="13" t="s">
        <v>66</v>
      </c>
      <c r="F2514" s="14"/>
      <c r="G2514" s="15"/>
      <c r="H2514" s="451"/>
      <c r="I2514" s="412">
        <f>IF(AND(E2514&lt;&gt;"",G2514&lt;&gt;""),IF(D2514="",IF(G2514="OH",VLOOKUP(E2514,UPAH!$C$4:$H$31,7,0),VLOOKUP(E2514,#REF!,4,0)),0),0)</f>
        <v>0</v>
      </c>
      <c r="J2514" s="16">
        <f>H2514*I2514</f>
        <v>0</v>
      </c>
    </row>
    <row r="2515" spans="1:10" ht="13.5" thickBot="1">
      <c r="A2515" s="27"/>
      <c r="B2515" s="110"/>
      <c r="D2515" s="417"/>
      <c r="E2515" s="418"/>
      <c r="F2515" s="418"/>
      <c r="G2515" s="419"/>
      <c r="H2515" s="420" t="s">
        <v>67</v>
      </c>
      <c r="I2515" s="421"/>
      <c r="J2515" s="396">
        <f>J2514</f>
        <v>0</v>
      </c>
    </row>
    <row r="2516" spans="1:10" ht="13">
      <c r="A2516" s="27"/>
      <c r="B2516" s="110"/>
      <c r="D2516" s="444" t="s">
        <v>68</v>
      </c>
      <c r="E2516" s="445" t="s">
        <v>69</v>
      </c>
      <c r="F2516" s="446"/>
      <c r="G2516" s="447"/>
      <c r="H2516" s="448"/>
      <c r="I2516" s="449">
        <f>IF(AND(E2516&lt;&gt;"",G2516&lt;&gt;""),IF(D2516="",IF(G2516="OH",VLOOKUP(E2516,UPAH!$C$4:$H$31,7,0),VLOOKUP(E2516,#REF!,4,0)),0),0)</f>
        <v>0</v>
      </c>
      <c r="J2516" s="16">
        <f>SUM(J2503:J2515)/2</f>
        <v>0</v>
      </c>
    </row>
    <row r="2517" spans="1:10" ht="13.5" thickBot="1">
      <c r="A2517" s="27"/>
      <c r="B2517" s="110"/>
      <c r="D2517" s="431" t="s">
        <v>70</v>
      </c>
      <c r="E2517" s="432" t="s">
        <v>477</v>
      </c>
      <c r="F2517" s="433"/>
      <c r="G2517" s="434"/>
      <c r="H2517" s="22">
        <v>0.1</v>
      </c>
      <c r="I2517" s="436"/>
      <c r="J2517" s="430">
        <f>H2517*J2516</f>
        <v>0</v>
      </c>
    </row>
    <row r="2518" spans="1:10" ht="13.5" thickBot="1">
      <c r="A2518" s="27"/>
      <c r="B2518" s="110"/>
      <c r="D2518" s="401" t="s">
        <v>71</v>
      </c>
      <c r="E2518" s="402" t="s">
        <v>72</v>
      </c>
      <c r="F2518" s="418"/>
      <c r="G2518" s="419"/>
      <c r="H2518" s="442"/>
      <c r="I2518" s="421">
        <f>IF(AND(E2518&lt;&gt;"",G2518&lt;&gt;""),IF(D2518="",IF(G2518="OH",VLOOKUP(E2518,UPAH!$C$4:$H$31,7,0),VLOOKUP(E2518,#REF!,4,0)),0),0)</f>
        <v>0</v>
      </c>
      <c r="J2518" s="396">
        <f>ROUNDDOWN(J2516+J2517,0)</f>
        <v>0</v>
      </c>
    </row>
    <row r="2519" spans="1:10" ht="13">
      <c r="A2519" s="27"/>
      <c r="B2519" s="110"/>
      <c r="D2519" s="11"/>
      <c r="E2519" s="11"/>
      <c r="H2519" s="443"/>
    </row>
    <row r="2520" spans="1:10" ht="13.5" thickBot="1">
      <c r="A2520" s="27"/>
      <c r="B2520" s="110"/>
      <c r="C2520" s="11" t="s">
        <v>750</v>
      </c>
      <c r="D2520" s="11" t="s">
        <v>751</v>
      </c>
      <c r="H2520" s="443"/>
    </row>
    <row r="2521" spans="1:10" ht="13.5" thickBot="1">
      <c r="A2521" s="27"/>
      <c r="B2521" s="110"/>
      <c r="D2521" s="401" t="s">
        <v>40</v>
      </c>
      <c r="E2521" s="402" t="s">
        <v>41</v>
      </c>
      <c r="F2521" s="402" t="s">
        <v>42</v>
      </c>
      <c r="G2521" s="403" t="s">
        <v>43</v>
      </c>
      <c r="H2521" s="404" t="s">
        <v>44</v>
      </c>
      <c r="I2521" s="402" t="s">
        <v>474</v>
      </c>
      <c r="J2521" s="405" t="s">
        <v>475</v>
      </c>
    </row>
    <row r="2522" spans="1:10" ht="13">
      <c r="A2522" s="27"/>
      <c r="B2522" s="110"/>
      <c r="D2522" s="406" t="s">
        <v>45</v>
      </c>
      <c r="E2522" s="13" t="s">
        <v>46</v>
      </c>
      <c r="F2522" s="14"/>
      <c r="G2522" s="15"/>
      <c r="H2522" s="451"/>
      <c r="I2522" s="412"/>
      <c r="J2522" s="16"/>
    </row>
    <row r="2523" spans="1:10" ht="13">
      <c r="A2523" s="27"/>
      <c r="B2523" s="110"/>
      <c r="D2523" s="409"/>
      <c r="E2523" s="13" t="s">
        <v>47</v>
      </c>
      <c r="F2523" s="13" t="s">
        <v>1918</v>
      </c>
      <c r="G2523" s="410" t="s">
        <v>48</v>
      </c>
      <c r="H2523" s="411">
        <v>0.15</v>
      </c>
      <c r="I2523" s="412">
        <f>IF(AND(E2523&lt;&gt;"",G2523&lt;&gt;""),IF(D2523="",IF(G2523="OH",VLOOKUP(F2523,UPAH!$B$4:$H$101,7,0),VLOOKUP(F2523,#REF!,4,0)),0),0)</f>
        <v>0</v>
      </c>
      <c r="J2523" s="16">
        <f>H2523*I2523</f>
        <v>0</v>
      </c>
    </row>
    <row r="2524" spans="1:10" ht="13">
      <c r="A2524" s="27"/>
      <c r="B2524" s="110"/>
      <c r="D2524" s="409"/>
      <c r="E2524" s="13" t="s">
        <v>96</v>
      </c>
      <c r="F2524" s="13" t="s">
        <v>1919</v>
      </c>
      <c r="G2524" s="410" t="s">
        <v>48</v>
      </c>
      <c r="H2524" s="411">
        <v>0.3</v>
      </c>
      <c r="I2524" s="412">
        <f>IF(AND(E2524&lt;&gt;"",G2524&lt;&gt;""),IF(D2524="",IF(G2524="OH",VLOOKUP(F2524,UPAH!$B$4:$H$101,7,0),VLOOKUP(F2524,#REF!,4,0)),0),0)</f>
        <v>0</v>
      </c>
      <c r="J2524" s="16">
        <f>H2524*I2524</f>
        <v>0</v>
      </c>
    </row>
    <row r="2525" spans="1:10" ht="13">
      <c r="A2525" s="27"/>
      <c r="B2525" s="110"/>
      <c r="D2525" s="409"/>
      <c r="E2525" s="13" t="s">
        <v>50</v>
      </c>
      <c r="F2525" s="13" t="s">
        <v>1928</v>
      </c>
      <c r="G2525" s="410" t="s">
        <v>48</v>
      </c>
      <c r="H2525" s="411">
        <v>0.03</v>
      </c>
      <c r="I2525" s="412">
        <f>IF(AND(E2525&lt;&gt;"",G2525&lt;&gt;""),IF(D2525="",IF(G2525="OH",VLOOKUP(F2525,UPAH!$B$4:$H$101,7,0),VLOOKUP(F2525,#REF!,4,0)),0),0)</f>
        <v>0</v>
      </c>
      <c r="J2525" s="16">
        <f>H2525*I2525</f>
        <v>0</v>
      </c>
    </row>
    <row r="2526" spans="1:10" ht="13.5" thickBot="1">
      <c r="A2526" s="27"/>
      <c r="B2526" s="110"/>
      <c r="D2526" s="409"/>
      <c r="E2526" s="13" t="s">
        <v>51</v>
      </c>
      <c r="F2526" s="13" t="s">
        <v>1929</v>
      </c>
      <c r="G2526" s="410" t="s">
        <v>48</v>
      </c>
      <c r="H2526" s="411">
        <v>8.0000000000000002E-3</v>
      </c>
      <c r="I2526" s="412">
        <f>IF(AND(E2526&lt;&gt;"",G2526&lt;&gt;""),IF(D2526="",IF(G2526="OH",VLOOKUP(F2526,UPAH!$B$4:$H$101,7,0),VLOOKUP(F2526,#REF!,4,0)),0),0)</f>
        <v>0</v>
      </c>
      <c r="J2526" s="16">
        <f>H2526*I2526</f>
        <v>0</v>
      </c>
    </row>
    <row r="2527" spans="1:10" ht="13.5" thickBot="1">
      <c r="A2527" s="27"/>
      <c r="B2527" s="110"/>
      <c r="D2527" s="417"/>
      <c r="E2527" s="418"/>
      <c r="F2527" s="418"/>
      <c r="G2527" s="419"/>
      <c r="H2527" s="420" t="s">
        <v>52</v>
      </c>
      <c r="I2527" s="421"/>
      <c r="J2527" s="396">
        <f>SUM(J2523:J2526)</f>
        <v>0</v>
      </c>
    </row>
    <row r="2528" spans="1:10" ht="13">
      <c r="A2528" s="27"/>
      <c r="B2528" s="110"/>
      <c r="D2528" s="406" t="s">
        <v>53</v>
      </c>
      <c r="E2528" s="13" t="s">
        <v>54</v>
      </c>
      <c r="F2528" s="14"/>
      <c r="G2528" s="15"/>
      <c r="H2528" s="451"/>
      <c r="I2528" s="412"/>
      <c r="J2528" s="16"/>
    </row>
    <row r="2529" spans="1:10" ht="13">
      <c r="A2529" s="27"/>
      <c r="B2529" s="110"/>
      <c r="D2529" s="409"/>
      <c r="E2529" s="13" t="s">
        <v>443</v>
      </c>
      <c r="F2529" s="14"/>
      <c r="G2529" s="410" t="s">
        <v>113</v>
      </c>
      <c r="H2529" s="411">
        <v>1.05</v>
      </c>
      <c r="I2529" s="412">
        <f>$I$2510</f>
        <v>0</v>
      </c>
      <c r="J2529" s="16">
        <f>H2529*I2529</f>
        <v>0</v>
      </c>
    </row>
    <row r="2530" spans="1:10" ht="13">
      <c r="A2530" s="27"/>
      <c r="B2530" s="110"/>
      <c r="D2530" s="409"/>
      <c r="E2530" s="13" t="s">
        <v>486</v>
      </c>
      <c r="F2530" s="14"/>
      <c r="G2530" s="410" t="s">
        <v>93</v>
      </c>
      <c r="H2530" s="411">
        <v>0.01</v>
      </c>
      <c r="I2530" s="412">
        <f>'BAHAN '!G127</f>
        <v>0</v>
      </c>
      <c r="J2530" s="16">
        <f>H2530*I2530</f>
        <v>0</v>
      </c>
    </row>
    <row r="2531" spans="1:10" ht="13.5" thickBot="1">
      <c r="A2531" s="27"/>
      <c r="B2531" s="110"/>
      <c r="D2531" s="409"/>
      <c r="E2531" s="13" t="s">
        <v>84</v>
      </c>
      <c r="F2531" s="14"/>
      <c r="G2531" s="410" t="s">
        <v>93</v>
      </c>
      <c r="H2531" s="411">
        <v>0.5</v>
      </c>
      <c r="I2531" s="412">
        <f>'BAHAN '!G98</f>
        <v>0</v>
      </c>
      <c r="J2531" s="16">
        <f>H2531*I2531</f>
        <v>0</v>
      </c>
    </row>
    <row r="2532" spans="1:10" ht="13.5" thickBot="1">
      <c r="A2532" s="27"/>
      <c r="B2532" s="110"/>
      <c r="D2532" s="417"/>
      <c r="E2532" s="418"/>
      <c r="F2532" s="418"/>
      <c r="G2532" s="419"/>
      <c r="H2532" s="420" t="s">
        <v>64</v>
      </c>
      <c r="I2532" s="421"/>
      <c r="J2532" s="396">
        <f>SUM(J2529:J2531)</f>
        <v>0</v>
      </c>
    </row>
    <row r="2533" spans="1:10" ht="13.5" thickBot="1">
      <c r="A2533" s="27"/>
      <c r="B2533" s="110"/>
      <c r="D2533" s="406" t="s">
        <v>65</v>
      </c>
      <c r="E2533" s="13" t="s">
        <v>66</v>
      </c>
      <c r="F2533" s="14"/>
      <c r="G2533" s="15"/>
      <c r="H2533" s="451"/>
      <c r="I2533" s="412">
        <f>IF(AND(E2533&lt;&gt;"",G2533&lt;&gt;""),IF(D2533="",IF(G2533="OH",VLOOKUP(E2533,UPAH!$C$4:$H$31,7,0),VLOOKUP(E2533,#REF!,4,0)),0),0)</f>
        <v>0</v>
      </c>
      <c r="J2533" s="16">
        <f>H2533*I2533</f>
        <v>0</v>
      </c>
    </row>
    <row r="2534" spans="1:10" ht="13.5" thickBot="1">
      <c r="A2534" s="27"/>
      <c r="B2534" s="110"/>
      <c r="D2534" s="417"/>
      <c r="E2534" s="418"/>
      <c r="F2534" s="418"/>
      <c r="G2534" s="419"/>
      <c r="H2534" s="420" t="s">
        <v>67</v>
      </c>
      <c r="I2534" s="421"/>
      <c r="J2534" s="396">
        <f>J2533</f>
        <v>0</v>
      </c>
    </row>
    <row r="2535" spans="1:10" ht="13">
      <c r="A2535" s="27"/>
      <c r="B2535" s="110"/>
      <c r="D2535" s="444" t="s">
        <v>68</v>
      </c>
      <c r="E2535" s="445" t="s">
        <v>69</v>
      </c>
      <c r="F2535" s="446"/>
      <c r="G2535" s="447"/>
      <c r="H2535" s="448"/>
      <c r="I2535" s="449">
        <f>IF(AND(E2535&lt;&gt;"",G2535&lt;&gt;""),IF(D2535="",IF(G2535="OH",VLOOKUP(E2535,UPAH!$C$4:$H$31,7,0),VLOOKUP(E2535,#REF!,4,0)),0),0)</f>
        <v>0</v>
      </c>
      <c r="J2535" s="16">
        <f>SUM(J2522:J2534)/2</f>
        <v>0</v>
      </c>
    </row>
    <row r="2536" spans="1:10" ht="13.5" thickBot="1">
      <c r="A2536" s="27"/>
      <c r="B2536" s="110"/>
      <c r="D2536" s="431" t="s">
        <v>70</v>
      </c>
      <c r="E2536" s="432" t="s">
        <v>477</v>
      </c>
      <c r="F2536" s="433"/>
      <c r="G2536" s="434"/>
      <c r="H2536" s="22">
        <v>0.1</v>
      </c>
      <c r="I2536" s="436"/>
      <c r="J2536" s="430">
        <f>H2536*J2535</f>
        <v>0</v>
      </c>
    </row>
    <row r="2537" spans="1:10" ht="13.5" thickBot="1">
      <c r="A2537" s="27"/>
      <c r="B2537" s="110"/>
      <c r="D2537" s="401" t="s">
        <v>71</v>
      </c>
      <c r="E2537" s="402" t="s">
        <v>72</v>
      </c>
      <c r="F2537" s="418"/>
      <c r="G2537" s="419"/>
      <c r="H2537" s="442"/>
      <c r="I2537" s="421">
        <f>IF(AND(E2537&lt;&gt;"",G2537&lt;&gt;""),IF(D2537="",IF(G2537="OH",VLOOKUP(E2537,UPAH!$C$4:$H$31,7,0),VLOOKUP(E2537,#REF!,4,0)),0),0)</f>
        <v>0</v>
      </c>
      <c r="J2537" s="396">
        <f>ROUNDDOWN(J2535+J2536,0)</f>
        <v>0</v>
      </c>
    </row>
    <row r="2538" spans="1:10" ht="13">
      <c r="A2538" s="27"/>
      <c r="B2538" s="110"/>
      <c r="D2538" s="11"/>
      <c r="E2538" s="11"/>
      <c r="H2538" s="443"/>
    </row>
    <row r="2539" spans="1:10" ht="13.5" thickBot="1">
      <c r="A2539" s="27"/>
      <c r="B2539" s="110"/>
      <c r="C2539" s="11" t="s">
        <v>752</v>
      </c>
      <c r="D2539" s="10" t="s">
        <v>753</v>
      </c>
      <c r="G2539" s="499"/>
      <c r="H2539" s="443"/>
    </row>
    <row r="2540" spans="1:10" ht="13.5" thickBot="1">
      <c r="A2540" s="27"/>
      <c r="B2540" s="110"/>
      <c r="D2540" s="401" t="s">
        <v>40</v>
      </c>
      <c r="E2540" s="402" t="s">
        <v>41</v>
      </c>
      <c r="F2540" s="402" t="s">
        <v>42</v>
      </c>
      <c r="G2540" s="403" t="s">
        <v>43</v>
      </c>
      <c r="H2540" s="404" t="s">
        <v>44</v>
      </c>
      <c r="I2540" s="402" t="s">
        <v>474</v>
      </c>
      <c r="J2540" s="405" t="s">
        <v>475</v>
      </c>
    </row>
    <row r="2541" spans="1:10" ht="13">
      <c r="A2541" s="27"/>
      <c r="B2541" s="110"/>
      <c r="D2541" s="406" t="s">
        <v>45</v>
      </c>
      <c r="E2541" s="13" t="s">
        <v>46</v>
      </c>
      <c r="F2541" s="14"/>
      <c r="G2541" s="15"/>
      <c r="H2541" s="451"/>
      <c r="I2541" s="412"/>
      <c r="J2541" s="16"/>
    </row>
    <row r="2542" spans="1:10" ht="13">
      <c r="A2542" s="27"/>
      <c r="B2542" s="110"/>
      <c r="D2542" s="409"/>
      <c r="E2542" s="13" t="s">
        <v>47</v>
      </c>
      <c r="F2542" s="13" t="s">
        <v>1918</v>
      </c>
      <c r="G2542" s="410" t="s">
        <v>48</v>
      </c>
      <c r="H2542" s="411">
        <v>0.25</v>
      </c>
      <c r="I2542" s="412">
        <f>IF(AND(E2542&lt;&gt;"",G2542&lt;&gt;""),IF(D2542="",IF(G2542="OH",VLOOKUP(F2542,UPAH!$B$4:$H$101,7,0),VLOOKUP(F2542,#REF!,4,0)),0),0)</f>
        <v>0</v>
      </c>
      <c r="J2542" s="16">
        <f>H2542*I2542</f>
        <v>0</v>
      </c>
    </row>
    <row r="2543" spans="1:10" ht="13">
      <c r="A2543" s="27"/>
      <c r="B2543" s="110"/>
      <c r="D2543" s="409"/>
      <c r="E2543" s="13" t="s">
        <v>485</v>
      </c>
      <c r="F2543" s="13" t="s">
        <v>1923</v>
      </c>
      <c r="G2543" s="410" t="s">
        <v>48</v>
      </c>
      <c r="H2543" s="411">
        <v>0.25</v>
      </c>
      <c r="I2543" s="412">
        <f>IF(AND(E2543&lt;&gt;"",G2543&lt;&gt;""),IF(D2543="",IF(G2543="OH",VLOOKUP(F2543,UPAH!$B$4:$H$101,7,0),VLOOKUP(F2543,#REF!,4,0)),0),0)</f>
        <v>0</v>
      </c>
      <c r="J2543" s="16">
        <f>H2543*I2543</f>
        <v>0</v>
      </c>
    </row>
    <row r="2544" spans="1:10" ht="13">
      <c r="A2544" s="27"/>
      <c r="B2544" s="110"/>
      <c r="D2544" s="409"/>
      <c r="E2544" s="13" t="s">
        <v>97</v>
      </c>
      <c r="F2544" s="13" t="s">
        <v>1928</v>
      </c>
      <c r="G2544" s="410" t="s">
        <v>48</v>
      </c>
      <c r="H2544" s="411">
        <v>2.5000000000000001E-2</v>
      </c>
      <c r="I2544" s="412">
        <f>IF(AND(E2544&lt;&gt;"",G2544&lt;&gt;""),IF(D2544="",IF(G2544="OH",VLOOKUP(F2544,UPAH!$B$4:$H$101,7,0),VLOOKUP(F2544,#REF!,4,0)),0),0)</f>
        <v>0</v>
      </c>
      <c r="J2544" s="16">
        <f>H2544*I2544</f>
        <v>0</v>
      </c>
    </row>
    <row r="2545" spans="1:10" ht="13.5" thickBot="1">
      <c r="A2545" s="27"/>
      <c r="B2545" s="110"/>
      <c r="D2545" s="409"/>
      <c r="E2545" s="13" t="s">
        <v>51</v>
      </c>
      <c r="F2545" s="13" t="s">
        <v>1929</v>
      </c>
      <c r="G2545" s="410" t="s">
        <v>48</v>
      </c>
      <c r="H2545" s="411">
        <v>1.2999999999999999E-2</v>
      </c>
      <c r="I2545" s="412">
        <f>IF(AND(E2545&lt;&gt;"",G2545&lt;&gt;""),IF(D2545="",IF(G2545="OH",VLOOKUP(F2545,UPAH!$B$4:$H$101,7,0),VLOOKUP(F2545,#REF!,4,0)),0),0)</f>
        <v>0</v>
      </c>
      <c r="J2545" s="16">
        <f>H2545*I2545</f>
        <v>0</v>
      </c>
    </row>
    <row r="2546" spans="1:10" ht="13.5" thickBot="1">
      <c r="A2546" s="27"/>
      <c r="B2546" s="110"/>
      <c r="D2546" s="417"/>
      <c r="E2546" s="418"/>
      <c r="F2546" s="418"/>
      <c r="G2546" s="419"/>
      <c r="H2546" s="420" t="s">
        <v>52</v>
      </c>
      <c r="I2546" s="421"/>
      <c r="J2546" s="396">
        <f>SUM(J2542:J2545)</f>
        <v>0</v>
      </c>
    </row>
    <row r="2547" spans="1:10" ht="13">
      <c r="A2547" s="27"/>
      <c r="B2547" s="110"/>
      <c r="D2547" s="406" t="s">
        <v>53</v>
      </c>
      <c r="E2547" s="13" t="s">
        <v>54</v>
      </c>
      <c r="F2547" s="14"/>
      <c r="G2547" s="15"/>
      <c r="H2547" s="451"/>
      <c r="I2547" s="412"/>
      <c r="J2547" s="16"/>
    </row>
    <row r="2548" spans="1:10" ht="13">
      <c r="A2548" s="27"/>
      <c r="B2548" s="110"/>
      <c r="D2548" s="409"/>
      <c r="E2548" s="13" t="s">
        <v>155</v>
      </c>
      <c r="F2548" s="14"/>
      <c r="G2548" s="410" t="s">
        <v>156</v>
      </c>
      <c r="H2548" s="411">
        <v>3.5</v>
      </c>
      <c r="I2548" s="412">
        <f>'BAHAN '!G83</f>
        <v>0</v>
      </c>
      <c r="J2548" s="16">
        <f>H2548*I2548</f>
        <v>0</v>
      </c>
    </row>
    <row r="2549" spans="1:10" ht="13.5" thickBot="1">
      <c r="A2549" s="27"/>
      <c r="B2549" s="110"/>
      <c r="D2549" s="409"/>
      <c r="E2549" s="13" t="s">
        <v>157</v>
      </c>
      <c r="F2549" s="14"/>
      <c r="G2549" s="410" t="s">
        <v>158</v>
      </c>
      <c r="H2549" s="411">
        <v>1</v>
      </c>
      <c r="I2549" s="412">
        <f>I2548</f>
        <v>0</v>
      </c>
      <c r="J2549" s="16">
        <f>H2549*I2549</f>
        <v>0</v>
      </c>
    </row>
    <row r="2550" spans="1:10" ht="13.5" thickBot="1">
      <c r="A2550" s="27"/>
      <c r="B2550" s="110"/>
      <c r="D2550" s="417"/>
      <c r="E2550" s="418"/>
      <c r="F2550" s="418"/>
      <c r="G2550" s="419"/>
      <c r="H2550" s="420" t="s">
        <v>64</v>
      </c>
      <c r="I2550" s="421"/>
      <c r="J2550" s="396">
        <f>SUM(J2547:J2549)</f>
        <v>0</v>
      </c>
    </row>
    <row r="2551" spans="1:10" ht="13.5" thickBot="1">
      <c r="A2551" s="27"/>
      <c r="B2551" s="110"/>
      <c r="D2551" s="406" t="s">
        <v>65</v>
      </c>
      <c r="E2551" s="13" t="s">
        <v>66</v>
      </c>
      <c r="F2551" s="14"/>
      <c r="G2551" s="15"/>
      <c r="H2551" s="451"/>
      <c r="I2551" s="412">
        <f>IF(AND(E2551&lt;&gt;"",G2551&lt;&gt;""),IF(D2551="",IF(G2551="OH",VLOOKUP(E2551,UPAH!$C$4:$H$31,7,0),VLOOKUP(E2551,#REF!,4,0)),0),0)</f>
        <v>0</v>
      </c>
      <c r="J2551" s="16">
        <f>H2551*I2551</f>
        <v>0</v>
      </c>
    </row>
    <row r="2552" spans="1:10" ht="13.5" thickBot="1">
      <c r="A2552" s="27"/>
      <c r="B2552" s="110"/>
      <c r="D2552" s="417"/>
      <c r="E2552" s="418"/>
      <c r="F2552" s="418"/>
      <c r="G2552" s="419"/>
      <c r="H2552" s="420" t="s">
        <v>67</v>
      </c>
      <c r="I2552" s="421"/>
      <c r="J2552" s="396">
        <f>J2551</f>
        <v>0</v>
      </c>
    </row>
    <row r="2553" spans="1:10" ht="13">
      <c r="A2553" s="27"/>
      <c r="B2553" s="110"/>
      <c r="D2553" s="444" t="s">
        <v>68</v>
      </c>
      <c r="E2553" s="445" t="s">
        <v>69</v>
      </c>
      <c r="F2553" s="446"/>
      <c r="G2553" s="447"/>
      <c r="H2553" s="448"/>
      <c r="I2553" s="449">
        <f>IF(AND(E2553&lt;&gt;"",G2553&lt;&gt;""),IF(D2553="",IF(G2553="OH",VLOOKUP(E2553,UPAH!$C$4:$H$31,7,0),VLOOKUP(E2553,#REF!,4,0)),0),0)</f>
        <v>0</v>
      </c>
      <c r="J2553" s="16">
        <f>SUM(J2540:J2552)/2</f>
        <v>0</v>
      </c>
    </row>
    <row r="2554" spans="1:10" ht="13.5" thickBot="1">
      <c r="A2554" s="27"/>
      <c r="B2554" s="110"/>
      <c r="D2554" s="431" t="s">
        <v>70</v>
      </c>
      <c r="E2554" s="432" t="s">
        <v>477</v>
      </c>
      <c r="F2554" s="433"/>
      <c r="G2554" s="434"/>
      <c r="H2554" s="22">
        <v>0.1</v>
      </c>
      <c r="I2554" s="436"/>
      <c r="J2554" s="430">
        <f>H2554*J2553</f>
        <v>0</v>
      </c>
    </row>
    <row r="2555" spans="1:10" ht="13.5" thickBot="1">
      <c r="A2555" s="27"/>
      <c r="B2555" s="110"/>
      <c r="D2555" s="401" t="s">
        <v>71</v>
      </c>
      <c r="E2555" s="402" t="s">
        <v>72</v>
      </c>
      <c r="F2555" s="418"/>
      <c r="G2555" s="419"/>
      <c r="H2555" s="442"/>
      <c r="I2555" s="421">
        <f>IF(AND(E2555&lt;&gt;"",G2555&lt;&gt;""),IF(D2555="",IF(G2555="OH",VLOOKUP(E2555,UPAH!$C$4:$H$31,7,0),VLOOKUP(E2555,#REF!,4,0)),0),0)</f>
        <v>0</v>
      </c>
      <c r="J2555" s="396">
        <f>ROUNDDOWN(J2553+J2554,0)</f>
        <v>0</v>
      </c>
    </row>
    <row r="2556" spans="1:10" ht="13">
      <c r="A2556" s="27"/>
      <c r="B2556" s="110"/>
      <c r="D2556" s="11"/>
      <c r="E2556" s="11"/>
      <c r="H2556" s="443"/>
    </row>
    <row r="2557" spans="1:10" ht="13.5" thickBot="1">
      <c r="A2557" s="27"/>
      <c r="B2557" s="110"/>
      <c r="C2557" s="11" t="s">
        <v>754</v>
      </c>
      <c r="D2557" s="10" t="s">
        <v>755</v>
      </c>
      <c r="H2557" s="443"/>
    </row>
    <row r="2558" spans="1:10" ht="13.5" thickBot="1">
      <c r="A2558" s="27"/>
      <c r="B2558" s="110"/>
      <c r="D2558" s="401" t="s">
        <v>40</v>
      </c>
      <c r="E2558" s="402" t="s">
        <v>41</v>
      </c>
      <c r="F2558" s="402" t="s">
        <v>42</v>
      </c>
      <c r="G2558" s="403" t="s">
        <v>43</v>
      </c>
      <c r="H2558" s="404" t="s">
        <v>44</v>
      </c>
      <c r="I2558" s="402" t="s">
        <v>474</v>
      </c>
      <c r="J2558" s="405" t="s">
        <v>475</v>
      </c>
    </row>
    <row r="2559" spans="1:10" ht="13">
      <c r="A2559" s="27"/>
      <c r="B2559" s="110"/>
      <c r="D2559" s="406" t="s">
        <v>45</v>
      </c>
      <c r="E2559" s="13" t="s">
        <v>46</v>
      </c>
      <c r="F2559" s="14"/>
      <c r="G2559" s="15"/>
      <c r="H2559" s="451"/>
      <c r="I2559" s="412"/>
      <c r="J2559" s="16"/>
    </row>
    <row r="2560" spans="1:10" ht="13">
      <c r="A2560" s="27"/>
      <c r="B2560" s="110"/>
      <c r="D2560" s="409"/>
      <c r="E2560" s="13" t="s">
        <v>47</v>
      </c>
      <c r="F2560" s="13" t="s">
        <v>1918</v>
      </c>
      <c r="G2560" s="410" t="s">
        <v>48</v>
      </c>
      <c r="H2560" s="411">
        <v>0.35</v>
      </c>
      <c r="I2560" s="412">
        <f>IF(AND(E2560&lt;&gt;"",G2560&lt;&gt;""),IF(D2560="",IF(G2560="OH",VLOOKUP(F2560,UPAH!$B$4:$H$101,7,0),VLOOKUP(F2560,#REF!,4,0)),0),0)</f>
        <v>0</v>
      </c>
      <c r="J2560" s="16">
        <f>H2560*I2560</f>
        <v>0</v>
      </c>
    </row>
    <row r="2561" spans="1:10" ht="13">
      <c r="A2561" s="27"/>
      <c r="B2561" s="110"/>
      <c r="D2561" s="409"/>
      <c r="E2561" s="13" t="s">
        <v>485</v>
      </c>
      <c r="F2561" s="13" t="s">
        <v>1923</v>
      </c>
      <c r="G2561" s="410" t="s">
        <v>48</v>
      </c>
      <c r="H2561" s="411">
        <v>0.35</v>
      </c>
      <c r="I2561" s="412">
        <f>IF(AND(E2561&lt;&gt;"",G2561&lt;&gt;""),IF(D2561="",IF(G2561="OH",VLOOKUP(F2561,UPAH!$B$4:$H$101,7,0),VLOOKUP(F2561,#REF!,4,0)),0),0)</f>
        <v>0</v>
      </c>
      <c r="J2561" s="16">
        <f>H2561*I2561</f>
        <v>0</v>
      </c>
    </row>
    <row r="2562" spans="1:10" ht="13">
      <c r="A2562" s="27"/>
      <c r="B2562" s="110"/>
      <c r="D2562" s="409"/>
      <c r="E2562" s="13" t="s">
        <v>97</v>
      </c>
      <c r="F2562" s="13" t="s">
        <v>1928</v>
      </c>
      <c r="G2562" s="410" t="s">
        <v>48</v>
      </c>
      <c r="H2562" s="411">
        <v>3.5000000000000003E-2</v>
      </c>
      <c r="I2562" s="412">
        <f>IF(AND(E2562&lt;&gt;"",G2562&lt;&gt;""),IF(D2562="",IF(G2562="OH",VLOOKUP(F2562,UPAH!$B$4:$H$101,7,0),VLOOKUP(F2562,#REF!,4,0)),0),0)</f>
        <v>0</v>
      </c>
      <c r="J2562" s="16">
        <f>H2562*I2562</f>
        <v>0</v>
      </c>
    </row>
    <row r="2563" spans="1:10" ht="13.5" thickBot="1">
      <c r="A2563" s="27"/>
      <c r="B2563" s="110"/>
      <c r="D2563" s="409"/>
      <c r="E2563" s="13" t="s">
        <v>51</v>
      </c>
      <c r="F2563" s="13" t="s">
        <v>1929</v>
      </c>
      <c r="G2563" s="410" t="s">
        <v>48</v>
      </c>
      <c r="H2563" s="411">
        <v>1.7999999999999999E-2</v>
      </c>
      <c r="I2563" s="412">
        <f>IF(AND(E2563&lt;&gt;"",G2563&lt;&gt;""),IF(D2563="",IF(G2563="OH",VLOOKUP(F2563,UPAH!$B$4:$H$101,7,0),VLOOKUP(F2563,#REF!,4,0)),0),0)</f>
        <v>0</v>
      </c>
      <c r="J2563" s="16">
        <f>H2563*I2563</f>
        <v>0</v>
      </c>
    </row>
    <row r="2564" spans="1:10" ht="13.5" thickBot="1">
      <c r="A2564" s="27"/>
      <c r="B2564" s="110"/>
      <c r="D2564" s="417"/>
      <c r="E2564" s="418"/>
      <c r="F2564" s="418"/>
      <c r="G2564" s="419"/>
      <c r="H2564" s="420" t="s">
        <v>52</v>
      </c>
      <c r="I2564" s="421"/>
      <c r="J2564" s="396">
        <f>SUM(J2560:J2563)</f>
        <v>0</v>
      </c>
    </row>
    <row r="2565" spans="1:10" ht="13">
      <c r="A2565" s="27"/>
      <c r="B2565" s="110"/>
      <c r="D2565" s="406" t="s">
        <v>53</v>
      </c>
      <c r="E2565" s="13" t="s">
        <v>54</v>
      </c>
      <c r="F2565" s="14"/>
      <c r="G2565" s="15"/>
      <c r="H2565" s="451"/>
      <c r="I2565" s="412"/>
      <c r="J2565" s="16"/>
    </row>
    <row r="2566" spans="1:10" ht="13">
      <c r="A2566" s="27"/>
      <c r="B2566" s="110"/>
      <c r="D2566" s="409"/>
      <c r="E2566" s="13" t="s">
        <v>155</v>
      </c>
      <c r="F2566" s="14"/>
      <c r="G2566" s="410" t="s">
        <v>156</v>
      </c>
      <c r="H2566" s="411">
        <v>4</v>
      </c>
      <c r="I2566" s="412">
        <f>'BAHAN '!G83</f>
        <v>0</v>
      </c>
      <c r="J2566" s="16">
        <f>H2566*I2566</f>
        <v>0</v>
      </c>
    </row>
    <row r="2567" spans="1:10" ht="13.5" thickBot="1">
      <c r="A2567" s="27"/>
      <c r="B2567" s="110"/>
      <c r="D2567" s="409"/>
      <c r="E2567" s="13" t="s">
        <v>157</v>
      </c>
      <c r="F2567" s="14"/>
      <c r="G2567" s="410" t="s">
        <v>158</v>
      </c>
      <c r="H2567" s="411">
        <v>1</v>
      </c>
      <c r="I2567" s="412">
        <v>0</v>
      </c>
      <c r="J2567" s="16">
        <f>H2567*I2567</f>
        <v>0</v>
      </c>
    </row>
    <row r="2568" spans="1:10" ht="13.5" thickBot="1">
      <c r="A2568" s="27"/>
      <c r="B2568" s="110"/>
      <c r="D2568" s="417"/>
      <c r="E2568" s="418"/>
      <c r="F2568" s="418"/>
      <c r="G2568" s="419"/>
      <c r="H2568" s="420" t="s">
        <v>64</v>
      </c>
      <c r="I2568" s="421"/>
      <c r="J2568" s="396">
        <f>SUM(J2565:J2567)</f>
        <v>0</v>
      </c>
    </row>
    <row r="2569" spans="1:10" ht="13.5" thickBot="1">
      <c r="A2569" s="27"/>
      <c r="B2569" s="110"/>
      <c r="D2569" s="406" t="s">
        <v>65</v>
      </c>
      <c r="E2569" s="13" t="s">
        <v>66</v>
      </c>
      <c r="F2569" s="14"/>
      <c r="G2569" s="15"/>
      <c r="H2569" s="451"/>
      <c r="I2569" s="412">
        <f>IF(AND(E2569&lt;&gt;"",G2569&lt;&gt;""),IF(D2569="",IF(G2569="OH",VLOOKUP(E2569,UPAH!$C$4:$H$31,7,0),VLOOKUP(E2569,#REF!,4,0)),0),0)</f>
        <v>0</v>
      </c>
      <c r="J2569" s="16">
        <f>H2569*I2569</f>
        <v>0</v>
      </c>
    </row>
    <row r="2570" spans="1:10" ht="13.5" thickBot="1">
      <c r="A2570" s="27"/>
      <c r="B2570" s="110"/>
      <c r="D2570" s="417"/>
      <c r="E2570" s="418"/>
      <c r="F2570" s="418"/>
      <c r="G2570" s="419"/>
      <c r="H2570" s="420" t="s">
        <v>67</v>
      </c>
      <c r="I2570" s="421"/>
      <c r="J2570" s="396">
        <f>J2569</f>
        <v>0</v>
      </c>
    </row>
    <row r="2571" spans="1:10" ht="13">
      <c r="A2571" s="27"/>
      <c r="B2571" s="110"/>
      <c r="D2571" s="444" t="s">
        <v>68</v>
      </c>
      <c r="E2571" s="445" t="s">
        <v>69</v>
      </c>
      <c r="F2571" s="446"/>
      <c r="G2571" s="447"/>
      <c r="H2571" s="448"/>
      <c r="I2571" s="449">
        <f>IF(AND(E2571&lt;&gt;"",G2571&lt;&gt;""),IF(D2571="",IF(G2571="OH",VLOOKUP(E2571,UPAH!$C$4:$H$31,7,0),VLOOKUP(E2571,#REF!,4,0)),0),0)</f>
        <v>0</v>
      </c>
      <c r="J2571" s="16">
        <f>+J2564+J2568+J2570</f>
        <v>0</v>
      </c>
    </row>
    <row r="2572" spans="1:10" ht="13.5" thickBot="1">
      <c r="A2572" s="27"/>
      <c r="B2572" s="110"/>
      <c r="D2572" s="431" t="s">
        <v>70</v>
      </c>
      <c r="E2572" s="432" t="s">
        <v>477</v>
      </c>
      <c r="F2572" s="433"/>
      <c r="G2572" s="434"/>
      <c r="H2572" s="22">
        <v>0.1</v>
      </c>
      <c r="I2572" s="436"/>
      <c r="J2572" s="430">
        <f>H2572*J2571</f>
        <v>0</v>
      </c>
    </row>
    <row r="2573" spans="1:10" ht="13.5" thickBot="1">
      <c r="A2573" s="27"/>
      <c r="B2573" s="110"/>
      <c r="D2573" s="401" t="s">
        <v>71</v>
      </c>
      <c r="E2573" s="402" t="s">
        <v>72</v>
      </c>
      <c r="F2573" s="418"/>
      <c r="G2573" s="419"/>
      <c r="H2573" s="442"/>
      <c r="I2573" s="421">
        <f>IF(AND(E2573&lt;&gt;"",G2573&lt;&gt;""),IF(D2573="",IF(G2573="OH",VLOOKUP(E2573,UPAH!$C$4:$H$31,7,0),VLOOKUP(E2573,#REF!,4,0)),0),0)</f>
        <v>0</v>
      </c>
      <c r="J2573" s="396">
        <f>ROUNDDOWN(J2571+J2572,0)</f>
        <v>0</v>
      </c>
    </row>
    <row r="2574" spans="1:10" ht="13">
      <c r="A2574" s="27"/>
      <c r="B2574" s="110"/>
      <c r="D2574" s="11"/>
      <c r="E2574" s="11"/>
      <c r="H2574" s="443"/>
      <c r="I2574" s="17"/>
      <c r="J2574" s="18"/>
    </row>
    <row r="2575" spans="1:10" ht="13.5" thickBot="1">
      <c r="A2575" s="27"/>
      <c r="B2575" s="110"/>
      <c r="C2575" s="11" t="s">
        <v>756</v>
      </c>
      <c r="D2575" s="10" t="s">
        <v>757</v>
      </c>
      <c r="H2575" s="443"/>
    </row>
    <row r="2576" spans="1:10" ht="13.5" thickBot="1">
      <c r="A2576" s="27"/>
      <c r="B2576" s="110"/>
      <c r="D2576" s="401" t="s">
        <v>40</v>
      </c>
      <c r="E2576" s="402" t="s">
        <v>41</v>
      </c>
      <c r="F2576" s="402" t="s">
        <v>42</v>
      </c>
      <c r="G2576" s="403" t="s">
        <v>43</v>
      </c>
      <c r="H2576" s="404" t="s">
        <v>44</v>
      </c>
      <c r="I2576" s="402" t="s">
        <v>474</v>
      </c>
      <c r="J2576" s="405" t="s">
        <v>475</v>
      </c>
    </row>
    <row r="2577" spans="1:10" ht="13">
      <c r="A2577" s="27"/>
      <c r="B2577" s="110"/>
      <c r="D2577" s="406" t="s">
        <v>45</v>
      </c>
      <c r="E2577" s="13" t="s">
        <v>46</v>
      </c>
      <c r="F2577" s="14"/>
      <c r="G2577" s="15"/>
      <c r="H2577" s="451"/>
      <c r="I2577" s="412"/>
      <c r="J2577" s="16"/>
    </row>
    <row r="2578" spans="1:10" ht="13">
      <c r="A2578" s="27"/>
      <c r="B2578" s="110"/>
      <c r="D2578" s="409"/>
      <c r="E2578" s="13" t="s">
        <v>47</v>
      </c>
      <c r="F2578" s="13" t="s">
        <v>1918</v>
      </c>
      <c r="G2578" s="410" t="s">
        <v>48</v>
      </c>
      <c r="H2578" s="500">
        <v>0.73399999999999999</v>
      </c>
      <c r="I2578" s="412">
        <f>IF(AND(E2578&lt;&gt;"",G2578&lt;&gt;""),IF(D2578="",IF(G2578="OH",VLOOKUP(F2578,UPAH!$B$4:$H$101,7,0),VLOOKUP(F2578,#REF!,4,0)),0),0)</f>
        <v>0</v>
      </c>
      <c r="J2578" s="16">
        <f>H2578*I2578</f>
        <v>0</v>
      </c>
    </row>
    <row r="2579" spans="1:10" ht="13">
      <c r="A2579" s="27"/>
      <c r="B2579" s="110"/>
      <c r="D2579" s="409"/>
      <c r="E2579" s="13" t="s">
        <v>485</v>
      </c>
      <c r="F2579" s="13" t="s">
        <v>1923</v>
      </c>
      <c r="G2579" s="410" t="s">
        <v>48</v>
      </c>
      <c r="H2579" s="500">
        <v>0.73399999999999999</v>
      </c>
      <c r="I2579" s="412">
        <f>IF(AND(E2579&lt;&gt;"",G2579&lt;&gt;""),IF(D2579="",IF(G2579="OH",VLOOKUP(F2579,UPAH!$B$4:$H$101,7,0),VLOOKUP(F2579,#REF!,4,0)),0),0)</f>
        <v>0</v>
      </c>
      <c r="J2579" s="16">
        <f>H2579*I2579</f>
        <v>0</v>
      </c>
    </row>
    <row r="2580" spans="1:10" ht="13">
      <c r="A2580" s="27"/>
      <c r="B2580" s="110"/>
      <c r="D2580" s="409"/>
      <c r="E2580" s="13" t="s">
        <v>97</v>
      </c>
      <c r="F2580" s="13" t="s">
        <v>1928</v>
      </c>
      <c r="G2580" s="410" t="s">
        <v>48</v>
      </c>
      <c r="H2580" s="500">
        <v>7.2999999999999995E-2</v>
      </c>
      <c r="I2580" s="412">
        <f>IF(AND(E2580&lt;&gt;"",G2580&lt;&gt;""),IF(D2580="",IF(G2580="OH",VLOOKUP(F2580,UPAH!$B$4:$H$101,7,0),VLOOKUP(F2580,#REF!,4,0)),0),0)</f>
        <v>0</v>
      </c>
      <c r="J2580" s="16">
        <f>H2580*I2580</f>
        <v>0</v>
      </c>
    </row>
    <row r="2581" spans="1:10" ht="13.5" thickBot="1">
      <c r="A2581" s="27"/>
      <c r="B2581" s="110"/>
      <c r="D2581" s="413"/>
      <c r="E2581" s="414" t="s">
        <v>51</v>
      </c>
      <c r="F2581" s="414" t="s">
        <v>1929</v>
      </c>
      <c r="G2581" s="415" t="s">
        <v>48</v>
      </c>
      <c r="H2581" s="501">
        <v>3.6999999999999998E-2</v>
      </c>
      <c r="I2581" s="412">
        <f>IF(AND(E2581&lt;&gt;"",G2581&lt;&gt;""),IF(D2581="",IF(G2581="OH",VLOOKUP(F2581,UPAH!$B$4:$H$101,7,0),VLOOKUP(F2581,#REF!,4,0)),0),0)</f>
        <v>0</v>
      </c>
      <c r="J2581" s="430">
        <f>H2581*I2581</f>
        <v>0</v>
      </c>
    </row>
    <row r="2582" spans="1:10" ht="13.5" thickBot="1">
      <c r="A2582" s="27"/>
      <c r="B2582" s="110"/>
      <c r="D2582" s="417"/>
      <c r="E2582" s="418"/>
      <c r="F2582" s="418"/>
      <c r="G2582" s="419"/>
      <c r="H2582" s="420" t="s">
        <v>52</v>
      </c>
      <c r="I2582" s="421"/>
      <c r="J2582" s="396">
        <f>SUM(J2578:J2581)</f>
        <v>0</v>
      </c>
    </row>
    <row r="2583" spans="1:10" ht="13">
      <c r="A2583" s="27"/>
      <c r="B2583" s="110"/>
      <c r="D2583" s="406" t="s">
        <v>53</v>
      </c>
      <c r="E2583" s="13" t="s">
        <v>54</v>
      </c>
      <c r="F2583" s="14"/>
      <c r="G2583" s="15"/>
      <c r="H2583" s="451"/>
      <c r="I2583" s="412"/>
      <c r="J2583" s="16"/>
    </row>
    <row r="2584" spans="1:10" ht="13.5" thickBot="1">
      <c r="A2584" s="27"/>
      <c r="B2584" s="110"/>
      <c r="D2584" s="409"/>
      <c r="E2584" s="8" t="s">
        <v>159</v>
      </c>
      <c r="F2584" s="14"/>
      <c r="G2584" s="410" t="s">
        <v>93</v>
      </c>
      <c r="H2584" s="411">
        <v>3.0649999999999999</v>
      </c>
      <c r="I2584" s="412">
        <f>'BAHAN '!G976/5.1</f>
        <v>0</v>
      </c>
      <c r="J2584" s="16">
        <f>H2584*I2584</f>
        <v>0</v>
      </c>
    </row>
    <row r="2585" spans="1:10" ht="13.5" thickBot="1">
      <c r="A2585" s="27"/>
      <c r="B2585" s="110"/>
      <c r="D2585" s="417"/>
      <c r="E2585" s="418"/>
      <c r="F2585" s="418"/>
      <c r="G2585" s="419"/>
      <c r="H2585" s="420" t="s">
        <v>64</v>
      </c>
      <c r="I2585" s="421"/>
      <c r="J2585" s="396">
        <f>SUM(J2583:J2584)</f>
        <v>0</v>
      </c>
    </row>
    <row r="2586" spans="1:10" ht="13">
      <c r="A2586" s="27"/>
      <c r="B2586" s="110"/>
      <c r="D2586" s="406" t="s">
        <v>65</v>
      </c>
      <c r="E2586" s="13" t="s">
        <v>66</v>
      </c>
      <c r="F2586" s="14"/>
      <c r="G2586" s="15"/>
      <c r="H2586" s="451"/>
      <c r="I2586" s="412">
        <f>IF(AND(E2586&lt;&gt;"",G2586&lt;&gt;""),IF(D2586="",IF(G2586="OH",VLOOKUP(E2586,UPAH!$C$4:$H$31,7,0),VLOOKUP(E2586,#REF!,4,0)),0),0)</f>
        <v>0</v>
      </c>
      <c r="J2586" s="16">
        <f>H2586*I2586</f>
        <v>0</v>
      </c>
    </row>
    <row r="2587" spans="1:10" ht="13.5" thickBot="1">
      <c r="A2587" s="27"/>
      <c r="B2587" s="110"/>
      <c r="D2587" s="431"/>
      <c r="E2587" s="432" t="s">
        <v>1939</v>
      </c>
      <c r="F2587" s="433"/>
      <c r="G2587" s="434" t="s">
        <v>160</v>
      </c>
      <c r="H2587" s="435">
        <v>10</v>
      </c>
      <c r="I2587" s="436">
        <f>J2585/100</f>
        <v>0</v>
      </c>
      <c r="J2587" s="16">
        <f>H2587*I2587</f>
        <v>0</v>
      </c>
    </row>
    <row r="2588" spans="1:10" ht="13.5" thickBot="1">
      <c r="A2588" s="27"/>
      <c r="B2588" s="110"/>
      <c r="D2588" s="417"/>
      <c r="E2588" s="418"/>
      <c r="F2588" s="418"/>
      <c r="G2588" s="419"/>
      <c r="H2588" s="420" t="s">
        <v>67</v>
      </c>
      <c r="I2588" s="421"/>
      <c r="J2588" s="396">
        <f>J2587</f>
        <v>0</v>
      </c>
    </row>
    <row r="2589" spans="1:10" ht="13">
      <c r="A2589" s="27"/>
      <c r="B2589" s="110"/>
      <c r="D2589" s="444" t="s">
        <v>68</v>
      </c>
      <c r="E2589" s="445" t="s">
        <v>69</v>
      </c>
      <c r="F2589" s="446"/>
      <c r="G2589" s="447"/>
      <c r="H2589" s="448"/>
      <c r="I2589" s="449">
        <f>IF(AND(E2589&lt;&gt;"",G2589&lt;&gt;""),IF(D2589="",IF(G2589="OH",VLOOKUP(E2589,UPAH!$C$4:$H$31,7,0),VLOOKUP(E2589,#REF!,4,0)),0),0)</f>
        <v>0</v>
      </c>
      <c r="J2589" s="16">
        <f>SUM(J2576:J2588)/2</f>
        <v>0</v>
      </c>
    </row>
    <row r="2590" spans="1:10" ht="13.5" thickBot="1">
      <c r="A2590" s="27"/>
      <c r="B2590" s="110"/>
      <c r="D2590" s="431" t="s">
        <v>70</v>
      </c>
      <c r="E2590" s="432" t="s">
        <v>477</v>
      </c>
      <c r="F2590" s="433"/>
      <c r="G2590" s="434"/>
      <c r="H2590" s="22">
        <v>0.1</v>
      </c>
      <c r="I2590" s="436"/>
      <c r="J2590" s="430">
        <f>H2590*J2589</f>
        <v>0</v>
      </c>
    </row>
    <row r="2591" spans="1:10" ht="13.5" thickBot="1">
      <c r="A2591" s="27"/>
      <c r="B2591" s="110"/>
      <c r="D2591" s="401" t="s">
        <v>71</v>
      </c>
      <c r="E2591" s="402" t="s">
        <v>72</v>
      </c>
      <c r="F2591" s="418"/>
      <c r="G2591" s="419"/>
      <c r="H2591" s="442"/>
      <c r="I2591" s="421">
        <f>IF(AND(E2591&lt;&gt;"",G2591&lt;&gt;""),IF(D2591="",IF(G2591="OH",VLOOKUP(E2591,UPAH!$C$4:$H$31,7,0),VLOOKUP(E2591,#REF!,4,0)),0),0)</f>
        <v>0</v>
      </c>
      <c r="J2591" s="396">
        <f>ROUNDDOWN(J2589+J2590,0)</f>
        <v>0</v>
      </c>
    </row>
    <row r="2592" spans="1:10" ht="13">
      <c r="A2592" s="27"/>
      <c r="B2592" s="110"/>
      <c r="D2592" s="11"/>
      <c r="E2592" s="11"/>
      <c r="H2592" s="443"/>
      <c r="I2592" s="17"/>
      <c r="J2592" s="18"/>
    </row>
    <row r="2593" spans="1:10" ht="13.5" thickBot="1">
      <c r="A2593" s="27"/>
      <c r="B2593" s="110"/>
      <c r="C2593" s="11" t="s">
        <v>758</v>
      </c>
      <c r="D2593" s="10" t="s">
        <v>759</v>
      </c>
      <c r="H2593" s="443"/>
    </row>
    <row r="2594" spans="1:10" ht="13.5" thickBot="1">
      <c r="A2594" s="27"/>
      <c r="B2594" s="110"/>
      <c r="D2594" s="401" t="s">
        <v>40</v>
      </c>
      <c r="E2594" s="402" t="s">
        <v>41</v>
      </c>
      <c r="F2594" s="402" t="s">
        <v>42</v>
      </c>
      <c r="G2594" s="403" t="s">
        <v>43</v>
      </c>
      <c r="H2594" s="404" t="s">
        <v>44</v>
      </c>
      <c r="I2594" s="402" t="s">
        <v>474</v>
      </c>
      <c r="J2594" s="405" t="s">
        <v>475</v>
      </c>
    </row>
    <row r="2595" spans="1:10" ht="13">
      <c r="A2595" s="27"/>
      <c r="B2595" s="110"/>
      <c r="D2595" s="406" t="s">
        <v>45</v>
      </c>
      <c r="E2595" s="13" t="s">
        <v>46</v>
      </c>
      <c r="F2595" s="14"/>
      <c r="G2595" s="15"/>
      <c r="H2595" s="451"/>
      <c r="I2595" s="412"/>
      <c r="J2595" s="16"/>
    </row>
    <row r="2596" spans="1:10" ht="13">
      <c r="A2596" s="27"/>
      <c r="B2596" s="110"/>
      <c r="D2596" s="409"/>
      <c r="E2596" s="13" t="s">
        <v>47</v>
      </c>
      <c r="F2596" s="13" t="s">
        <v>1918</v>
      </c>
      <c r="G2596" s="410" t="s">
        <v>48</v>
      </c>
      <c r="H2596" s="500">
        <v>0.73399999999999999</v>
      </c>
      <c r="I2596" s="412">
        <f>IF(AND(E2596&lt;&gt;"",G2596&lt;&gt;""),IF(D2596="",IF(G2596="OH",VLOOKUP(F2596,UPAH!$B$4:$H$101,7,0),VLOOKUP(F2596,#REF!,4,0)),0),0)</f>
        <v>0</v>
      </c>
      <c r="J2596" s="16">
        <f>H2596*I2596</f>
        <v>0</v>
      </c>
    </row>
    <row r="2597" spans="1:10" ht="13">
      <c r="A2597" s="27"/>
      <c r="B2597" s="110"/>
      <c r="D2597" s="409"/>
      <c r="E2597" s="13" t="s">
        <v>485</v>
      </c>
      <c r="F2597" s="13" t="s">
        <v>1923</v>
      </c>
      <c r="G2597" s="410" t="s">
        <v>48</v>
      </c>
      <c r="H2597" s="500">
        <v>0.73399999999999999</v>
      </c>
      <c r="I2597" s="412">
        <f>IF(AND(E2597&lt;&gt;"",G2597&lt;&gt;""),IF(D2597="",IF(G2597="OH",VLOOKUP(F2597,UPAH!$B$4:$H$101,7,0),VLOOKUP(F2597,#REF!,4,0)),0),0)</f>
        <v>0</v>
      </c>
      <c r="J2597" s="16">
        <f>H2597*I2597</f>
        <v>0</v>
      </c>
    </row>
    <row r="2598" spans="1:10" ht="13">
      <c r="A2598" s="27"/>
      <c r="B2598" s="110"/>
      <c r="D2598" s="409"/>
      <c r="E2598" s="13" t="s">
        <v>97</v>
      </c>
      <c r="F2598" s="13" t="s">
        <v>1928</v>
      </c>
      <c r="G2598" s="410" t="s">
        <v>48</v>
      </c>
      <c r="H2598" s="500">
        <v>7.2999999999999995E-2</v>
      </c>
      <c r="I2598" s="412">
        <f>IF(AND(E2598&lt;&gt;"",G2598&lt;&gt;""),IF(D2598="",IF(G2598="OH",VLOOKUP(F2598,UPAH!$B$4:$H$101,7,0),VLOOKUP(F2598,#REF!,4,0)),0),0)</f>
        <v>0</v>
      </c>
      <c r="J2598" s="16">
        <f>H2598*I2598</f>
        <v>0</v>
      </c>
    </row>
    <row r="2599" spans="1:10" ht="13.5" thickBot="1">
      <c r="A2599" s="27"/>
      <c r="B2599" s="110"/>
      <c r="D2599" s="413"/>
      <c r="E2599" s="414" t="s">
        <v>51</v>
      </c>
      <c r="F2599" s="414" t="s">
        <v>1929</v>
      </c>
      <c r="G2599" s="415" t="s">
        <v>48</v>
      </c>
      <c r="H2599" s="501">
        <v>3.6999999999999998E-2</v>
      </c>
      <c r="I2599" s="412">
        <f>IF(AND(E2599&lt;&gt;"",G2599&lt;&gt;""),IF(D2599="",IF(G2599="OH",VLOOKUP(F2599,UPAH!$B$4:$H$101,7,0),VLOOKUP(F2599,#REF!,4,0)),0),0)</f>
        <v>0</v>
      </c>
      <c r="J2599" s="430">
        <f>H2599*I2599</f>
        <v>0</v>
      </c>
    </row>
    <row r="2600" spans="1:10" ht="13.5" thickBot="1">
      <c r="A2600" s="27"/>
      <c r="B2600" s="110"/>
      <c r="D2600" s="417"/>
      <c r="E2600" s="418"/>
      <c r="F2600" s="418"/>
      <c r="G2600" s="419"/>
      <c r="H2600" s="420" t="s">
        <v>52</v>
      </c>
      <c r="I2600" s="421"/>
      <c r="J2600" s="396">
        <f>SUM(J2596:J2599)</f>
        <v>0</v>
      </c>
    </row>
    <row r="2601" spans="1:10" ht="13">
      <c r="A2601" s="27"/>
      <c r="B2601" s="110"/>
      <c r="D2601" s="406" t="s">
        <v>53</v>
      </c>
      <c r="E2601" s="13" t="s">
        <v>54</v>
      </c>
      <c r="F2601" s="14"/>
      <c r="G2601" s="15"/>
      <c r="H2601" s="451"/>
      <c r="I2601" s="412"/>
      <c r="J2601" s="16"/>
    </row>
    <row r="2602" spans="1:10" ht="13.5" thickBot="1">
      <c r="A2602" s="27"/>
      <c r="B2602" s="110"/>
      <c r="D2602" s="409"/>
      <c r="E2602" s="8" t="s">
        <v>159</v>
      </c>
      <c r="F2602" s="14"/>
      <c r="G2602" s="410" t="s">
        <v>93</v>
      </c>
      <c r="H2602" s="411">
        <v>4.05</v>
      </c>
      <c r="I2602" s="412">
        <f>'BAHAN '!G976/5.1</f>
        <v>0</v>
      </c>
      <c r="J2602" s="16">
        <f>H2602*I2602</f>
        <v>0</v>
      </c>
    </row>
    <row r="2603" spans="1:10" ht="13.5" thickBot="1">
      <c r="A2603" s="27"/>
      <c r="B2603" s="110"/>
      <c r="D2603" s="417"/>
      <c r="E2603" s="418"/>
      <c r="F2603" s="418"/>
      <c r="G2603" s="419"/>
      <c r="H2603" s="420" t="s">
        <v>64</v>
      </c>
      <c r="I2603" s="421"/>
      <c r="J2603" s="396">
        <f>SUM(J2602)</f>
        <v>0</v>
      </c>
    </row>
    <row r="2604" spans="1:10" ht="13">
      <c r="A2604" s="27"/>
      <c r="B2604" s="110"/>
      <c r="D2604" s="406" t="s">
        <v>65</v>
      </c>
      <c r="E2604" s="13" t="s">
        <v>66</v>
      </c>
      <c r="F2604" s="14"/>
      <c r="G2604" s="15"/>
      <c r="H2604" s="451"/>
      <c r="I2604" s="412"/>
      <c r="J2604" s="16"/>
    </row>
    <row r="2605" spans="1:10" ht="13.5" thickBot="1">
      <c r="A2605" s="27"/>
      <c r="B2605" s="110"/>
      <c r="D2605" s="431"/>
      <c r="E2605" s="432" t="s">
        <v>1939</v>
      </c>
      <c r="F2605" s="433"/>
      <c r="G2605" s="434" t="s">
        <v>160</v>
      </c>
      <c r="H2605" s="435">
        <v>10</v>
      </c>
      <c r="I2605" s="436">
        <f>J2603/100</f>
        <v>0</v>
      </c>
      <c r="J2605" s="16">
        <f>H2605*I2605</f>
        <v>0</v>
      </c>
    </row>
    <row r="2606" spans="1:10" ht="13.5" thickBot="1">
      <c r="A2606" s="27"/>
      <c r="B2606" s="110"/>
      <c r="D2606" s="417"/>
      <c r="E2606" s="418"/>
      <c r="F2606" s="418"/>
      <c r="G2606" s="419"/>
      <c r="H2606" s="420" t="s">
        <v>67</v>
      </c>
      <c r="I2606" s="421"/>
      <c r="J2606" s="396">
        <f>J2604</f>
        <v>0</v>
      </c>
    </row>
    <row r="2607" spans="1:10" ht="13">
      <c r="A2607" s="27"/>
      <c r="B2607" s="110"/>
      <c r="D2607" s="444" t="s">
        <v>68</v>
      </c>
      <c r="E2607" s="445" t="s">
        <v>69</v>
      </c>
      <c r="F2607" s="446"/>
      <c r="G2607" s="447"/>
      <c r="H2607" s="448"/>
      <c r="I2607" s="449">
        <f>IF(AND(E2607&lt;&gt;"",G2607&lt;&gt;""),IF(D2607="",IF(G2607="OH",VLOOKUP(E2607,UPAH!$C$4:$H$31,7,0),VLOOKUP(E2607,#REF!,4,0)),0),0)</f>
        <v>0</v>
      </c>
      <c r="J2607" s="16">
        <f>SUM(J2594:J2606)/2</f>
        <v>0</v>
      </c>
    </row>
    <row r="2608" spans="1:10" ht="13.5" thickBot="1">
      <c r="A2608" s="27"/>
      <c r="B2608" s="110"/>
      <c r="D2608" s="431" t="s">
        <v>70</v>
      </c>
      <c r="E2608" s="432" t="s">
        <v>477</v>
      </c>
      <c r="F2608" s="433"/>
      <c r="G2608" s="434"/>
      <c r="H2608" s="22">
        <v>0.1</v>
      </c>
      <c r="I2608" s="436"/>
      <c r="J2608" s="430">
        <f>H2608*J2607</f>
        <v>0</v>
      </c>
    </row>
    <row r="2609" spans="1:10" ht="13.5" thickBot="1">
      <c r="A2609" s="27"/>
      <c r="B2609" s="110"/>
      <c r="D2609" s="401" t="s">
        <v>71</v>
      </c>
      <c r="E2609" s="402" t="s">
        <v>72</v>
      </c>
      <c r="F2609" s="418"/>
      <c r="G2609" s="419"/>
      <c r="H2609" s="442"/>
      <c r="I2609" s="421">
        <f>IF(AND(E2609&lt;&gt;"",G2609&lt;&gt;""),IF(D2609="",IF(G2609="OH",VLOOKUP(E2609,UPAH!$C$4:$H$31,7,0),VLOOKUP(E2609,#REF!,4,0)),0),0)</f>
        <v>0</v>
      </c>
      <c r="J2609" s="396">
        <f>ROUNDDOWN(J2607+J2608,0)</f>
        <v>0</v>
      </c>
    </row>
    <row r="2610" spans="1:10" ht="13">
      <c r="A2610" s="27"/>
      <c r="B2610" s="110"/>
      <c r="D2610" s="11"/>
      <c r="E2610" s="11"/>
      <c r="H2610" s="443"/>
      <c r="I2610" s="17"/>
      <c r="J2610" s="18"/>
    </row>
    <row r="2611" spans="1:10" ht="13.5" thickBot="1">
      <c r="A2611" s="27"/>
      <c r="B2611" s="110"/>
      <c r="C2611" s="11" t="s">
        <v>762</v>
      </c>
      <c r="D2611" s="11" t="s">
        <v>761</v>
      </c>
      <c r="E2611" s="11"/>
      <c r="H2611" s="443"/>
      <c r="I2611" s="17"/>
      <c r="J2611" s="18"/>
    </row>
    <row r="2612" spans="1:10" ht="13.5" thickBot="1">
      <c r="A2612" s="27"/>
      <c r="B2612" s="110"/>
      <c r="D2612" s="401" t="s">
        <v>40</v>
      </c>
      <c r="E2612" s="402" t="s">
        <v>41</v>
      </c>
      <c r="F2612" s="402" t="s">
        <v>42</v>
      </c>
      <c r="G2612" s="403" t="s">
        <v>43</v>
      </c>
      <c r="H2612" s="404" t="s">
        <v>44</v>
      </c>
      <c r="I2612" s="402" t="s">
        <v>474</v>
      </c>
      <c r="J2612" s="405" t="s">
        <v>475</v>
      </c>
    </row>
    <row r="2613" spans="1:10" ht="13">
      <c r="A2613" s="27"/>
      <c r="B2613" s="110"/>
      <c r="D2613" s="406" t="s">
        <v>45</v>
      </c>
      <c r="E2613" s="13" t="s">
        <v>46</v>
      </c>
      <c r="F2613" s="14"/>
      <c r="G2613" s="15"/>
      <c r="H2613" s="451"/>
      <c r="I2613" s="412"/>
      <c r="J2613" s="16"/>
    </row>
    <row r="2614" spans="1:10" ht="13">
      <c r="A2614" s="27"/>
      <c r="B2614" s="110"/>
      <c r="D2614" s="409"/>
      <c r="E2614" s="13" t="s">
        <v>47</v>
      </c>
      <c r="F2614" s="13" t="s">
        <v>1918</v>
      </c>
      <c r="G2614" s="410" t="s">
        <v>48</v>
      </c>
      <c r="H2614" s="500">
        <v>0.2</v>
      </c>
      <c r="I2614" s="412">
        <f>IF(AND(E2614&lt;&gt;"",G2614&lt;&gt;""),IF(D2614="",IF(G2614="OH",VLOOKUP(F2614,UPAH!$B$4:$H$101,7,0),VLOOKUP(F2614,#REF!,4,0)),0),0)</f>
        <v>0</v>
      </c>
      <c r="J2614" s="16">
        <f>H2614*I2614</f>
        <v>0</v>
      </c>
    </row>
    <row r="2615" spans="1:10" ht="13">
      <c r="A2615" s="27"/>
      <c r="B2615" s="110"/>
      <c r="D2615" s="409"/>
      <c r="E2615" s="13" t="s">
        <v>485</v>
      </c>
      <c r="F2615" s="13" t="s">
        <v>1923</v>
      </c>
      <c r="G2615" s="410" t="s">
        <v>48</v>
      </c>
      <c r="H2615" s="500">
        <v>0.45</v>
      </c>
      <c r="I2615" s="412">
        <f>IF(AND(E2615&lt;&gt;"",G2615&lt;&gt;""),IF(D2615="",IF(G2615="OH",VLOOKUP(F2615,UPAH!$B$4:$H$101,7,0),VLOOKUP(F2615,#REF!,4,0)),0),0)</f>
        <v>0</v>
      </c>
      <c r="J2615" s="16">
        <f>H2615*I2615</f>
        <v>0</v>
      </c>
    </row>
    <row r="2616" spans="1:10" ht="13">
      <c r="A2616" s="27"/>
      <c r="B2616" s="110"/>
      <c r="D2616" s="409"/>
      <c r="E2616" s="13" t="s">
        <v>97</v>
      </c>
      <c r="F2616" s="13" t="s">
        <v>1928</v>
      </c>
      <c r="G2616" s="410" t="s">
        <v>48</v>
      </c>
      <c r="H2616" s="500">
        <v>0.01</v>
      </c>
      <c r="I2616" s="412">
        <f>IF(AND(E2616&lt;&gt;"",G2616&lt;&gt;""),IF(D2616="",IF(G2616="OH",VLOOKUP(F2616,UPAH!$B$4:$H$101,7,0),VLOOKUP(F2616,#REF!,4,0)),0),0)</f>
        <v>0</v>
      </c>
      <c r="J2616" s="16">
        <f>H2616*I2616</f>
        <v>0</v>
      </c>
    </row>
    <row r="2617" spans="1:10" ht="13.5" thickBot="1">
      <c r="A2617" s="27"/>
      <c r="B2617" s="110"/>
      <c r="D2617" s="413"/>
      <c r="E2617" s="414" t="s">
        <v>51</v>
      </c>
      <c r="F2617" s="414" t="s">
        <v>1929</v>
      </c>
      <c r="G2617" s="415" t="s">
        <v>48</v>
      </c>
      <c r="H2617" s="501">
        <v>0.05</v>
      </c>
      <c r="I2617" s="412">
        <f>IF(AND(E2617&lt;&gt;"",G2617&lt;&gt;""),IF(D2617="",IF(G2617="OH",VLOOKUP(F2617,UPAH!$B$4:$H$101,7,0),VLOOKUP(F2617,#REF!,4,0)),0),0)</f>
        <v>0</v>
      </c>
      <c r="J2617" s="430">
        <f>H2617*I2617</f>
        <v>0</v>
      </c>
    </row>
    <row r="2618" spans="1:10" ht="13.5" thickBot="1">
      <c r="A2618" s="27"/>
      <c r="B2618" s="110"/>
      <c r="D2618" s="417"/>
      <c r="E2618" s="418"/>
      <c r="F2618" s="418"/>
      <c r="G2618" s="419"/>
      <c r="H2618" s="420" t="s">
        <v>52</v>
      </c>
      <c r="I2618" s="421"/>
      <c r="J2618" s="396">
        <f>SUM(J2614:J2617)</f>
        <v>0</v>
      </c>
    </row>
    <row r="2619" spans="1:10" ht="13">
      <c r="A2619" s="27"/>
      <c r="B2619" s="110"/>
      <c r="D2619" s="444" t="s">
        <v>53</v>
      </c>
      <c r="E2619" s="445" t="s">
        <v>54</v>
      </c>
      <c r="F2619" s="446"/>
      <c r="G2619" s="447"/>
      <c r="H2619" s="448"/>
      <c r="I2619" s="449"/>
      <c r="J2619" s="450"/>
    </row>
    <row r="2620" spans="1:10" ht="13">
      <c r="A2620" s="27"/>
      <c r="B2620" s="110"/>
      <c r="D2620" s="409"/>
      <c r="E2620" s="8" t="s">
        <v>159</v>
      </c>
      <c r="F2620" s="14"/>
      <c r="G2620" s="410" t="s">
        <v>391</v>
      </c>
      <c r="H2620" s="411">
        <v>3.72</v>
      </c>
      <c r="I2620" s="494">
        <f>'BAHAN '!G976/6</f>
        <v>0</v>
      </c>
      <c r="J2620" s="16">
        <f>H2620*I2620</f>
        <v>0</v>
      </c>
    </row>
    <row r="2621" spans="1:10" ht="13">
      <c r="A2621" s="27"/>
      <c r="B2621" s="110"/>
      <c r="D2621" s="409"/>
      <c r="E2621" s="8" t="s">
        <v>763</v>
      </c>
      <c r="F2621" s="14"/>
      <c r="G2621" s="410" t="s">
        <v>259</v>
      </c>
      <c r="H2621" s="411">
        <v>28</v>
      </c>
      <c r="I2621" s="412">
        <f>'BAHAN '!G977</f>
        <v>0</v>
      </c>
      <c r="J2621" s="16">
        <f>H2621*I2621</f>
        <v>0</v>
      </c>
    </row>
    <row r="2622" spans="1:10" ht="13">
      <c r="A2622" s="27"/>
      <c r="B2622" s="110"/>
      <c r="D2622" s="409"/>
      <c r="E2622" s="8" t="s">
        <v>388</v>
      </c>
      <c r="F2622" s="14"/>
      <c r="G2622" s="410" t="s">
        <v>259</v>
      </c>
      <c r="H2622" s="411">
        <v>2</v>
      </c>
      <c r="I2622" s="412">
        <f>'BAHAN '!G972</f>
        <v>0</v>
      </c>
      <c r="J2622" s="16">
        <f>H2622*I2622</f>
        <v>0</v>
      </c>
    </row>
    <row r="2623" spans="1:10" ht="13">
      <c r="A2623" s="27"/>
      <c r="B2623" s="110"/>
      <c r="D2623" s="409"/>
      <c r="E2623" s="8" t="s">
        <v>764</v>
      </c>
      <c r="F2623" s="14"/>
      <c r="G2623" s="410" t="s">
        <v>391</v>
      </c>
      <c r="H2623" s="411">
        <v>5.4</v>
      </c>
      <c r="I2623" s="412">
        <f>I2620</f>
        <v>0</v>
      </c>
      <c r="J2623" s="16">
        <f>H2623*I2623</f>
        <v>0</v>
      </c>
    </row>
    <row r="2624" spans="1:10" ht="13.5" thickBot="1">
      <c r="A2624" s="27"/>
      <c r="B2624" s="110"/>
      <c r="D2624" s="459"/>
      <c r="E2624" s="502" t="s">
        <v>765</v>
      </c>
      <c r="F2624" s="461"/>
      <c r="G2624" s="462" t="s">
        <v>391</v>
      </c>
      <c r="H2624" s="463">
        <v>0.124</v>
      </c>
      <c r="I2624" s="464">
        <f>I2620</f>
        <v>0</v>
      </c>
      <c r="J2624" s="465">
        <f>H2624*I2624</f>
        <v>0</v>
      </c>
    </row>
    <row r="2625" spans="1:10" ht="13.5" thickBot="1">
      <c r="A2625" s="27"/>
      <c r="B2625" s="110"/>
      <c r="D2625" s="503"/>
      <c r="E2625" s="480"/>
      <c r="F2625" s="480"/>
      <c r="G2625" s="481"/>
      <c r="H2625" s="504" t="s">
        <v>64</v>
      </c>
      <c r="I2625" s="483"/>
      <c r="J2625" s="484">
        <f>SUM(J2620:J2624)</f>
        <v>0</v>
      </c>
    </row>
    <row r="2626" spans="1:10" ht="13">
      <c r="A2626" s="27"/>
      <c r="B2626" s="110"/>
      <c r="D2626" s="406" t="s">
        <v>65</v>
      </c>
      <c r="E2626" s="13" t="s">
        <v>66</v>
      </c>
      <c r="F2626" s="14"/>
      <c r="G2626" s="15"/>
      <c r="H2626" s="451"/>
      <c r="I2626" s="412"/>
      <c r="J2626" s="16"/>
    </row>
    <row r="2627" spans="1:10" ht="13.5" thickBot="1">
      <c r="A2627" s="27"/>
      <c r="B2627" s="110"/>
      <c r="D2627" s="431"/>
      <c r="E2627" s="432" t="s">
        <v>760</v>
      </c>
      <c r="F2627" s="433"/>
      <c r="G2627" s="434"/>
      <c r="H2627" s="435">
        <v>0.1</v>
      </c>
      <c r="I2627" s="412"/>
      <c r="J2627" s="437">
        <f>H2627*J2625</f>
        <v>0</v>
      </c>
    </row>
    <row r="2628" spans="1:10" ht="13.5" thickBot="1">
      <c r="A2628" s="27"/>
      <c r="B2628" s="110"/>
      <c r="D2628" s="417"/>
      <c r="E2628" s="418"/>
      <c r="F2628" s="418"/>
      <c r="G2628" s="419"/>
      <c r="H2628" s="420" t="s">
        <v>67</v>
      </c>
      <c r="I2628" s="421"/>
      <c r="J2628" s="396">
        <f>J2626</f>
        <v>0</v>
      </c>
    </row>
    <row r="2629" spans="1:10" ht="13">
      <c r="A2629" s="27"/>
      <c r="B2629" s="110"/>
      <c r="D2629" s="444" t="s">
        <v>68</v>
      </c>
      <c r="E2629" s="445" t="s">
        <v>69</v>
      </c>
      <c r="F2629" s="446"/>
      <c r="G2629" s="447"/>
      <c r="H2629" s="448"/>
      <c r="I2629" s="449">
        <f>IF(AND(E2629&lt;&gt;"",G2629&lt;&gt;""),IF(D2629="",IF(G2629="OH",VLOOKUP(E2629,UPAH!$C$4:$H$31,7,0),VLOOKUP(E2629,#REF!,4,0)),0),0)</f>
        <v>0</v>
      </c>
      <c r="J2629" s="16">
        <f>SUM(J2612:J2628)/2</f>
        <v>0</v>
      </c>
    </row>
    <row r="2630" spans="1:10" ht="13.5" thickBot="1">
      <c r="A2630" s="27"/>
      <c r="B2630" s="110"/>
      <c r="D2630" s="431" t="s">
        <v>70</v>
      </c>
      <c r="E2630" s="432" t="s">
        <v>477</v>
      </c>
      <c r="F2630" s="433"/>
      <c r="G2630" s="434"/>
      <c r="H2630" s="22">
        <v>0.1</v>
      </c>
      <c r="I2630" s="436"/>
      <c r="J2630" s="430">
        <f>H2630*J2629</f>
        <v>0</v>
      </c>
    </row>
    <row r="2631" spans="1:10" ht="13.5" thickBot="1">
      <c r="A2631" s="27"/>
      <c r="B2631" s="110"/>
      <c r="D2631" s="401" t="s">
        <v>71</v>
      </c>
      <c r="E2631" s="402" t="s">
        <v>72</v>
      </c>
      <c r="F2631" s="418"/>
      <c r="G2631" s="419"/>
      <c r="H2631" s="442"/>
      <c r="I2631" s="421">
        <f>IF(AND(E2631&lt;&gt;"",G2631&lt;&gt;""),IF(D2631="",IF(G2631="OH",VLOOKUP(E2631,UPAH!$C$4:$H$31,7,0),VLOOKUP(E2631,#REF!,4,0)),0),0)</f>
        <v>0</v>
      </c>
      <c r="J2631" s="396">
        <f>ROUNDDOWN(J2629+J2630,0)</f>
        <v>0</v>
      </c>
    </row>
    <row r="2632" spans="1:10" ht="13">
      <c r="A2632" s="27"/>
      <c r="B2632" s="110"/>
      <c r="D2632" s="11"/>
      <c r="E2632" s="11"/>
      <c r="H2632" s="443"/>
      <c r="I2632" s="17"/>
      <c r="J2632" s="18"/>
    </row>
    <row r="2633" spans="1:10" ht="13">
      <c r="A2633" s="27"/>
      <c r="B2633" s="110"/>
      <c r="D2633" s="11"/>
      <c r="E2633" s="11"/>
      <c r="H2633" s="443"/>
    </row>
    <row r="2634" spans="1:10" s="27" customFormat="1" ht="13">
      <c r="B2634" s="110"/>
      <c r="C2634" s="452" t="s">
        <v>497</v>
      </c>
      <c r="G2634" s="399"/>
      <c r="H2634" s="453"/>
    </row>
    <row r="2635" spans="1:10" ht="13.5" thickBot="1">
      <c r="A2635" s="27"/>
      <c r="B2635" s="110"/>
      <c r="C2635" s="11" t="s">
        <v>1810</v>
      </c>
      <c r="D2635" s="10" t="s">
        <v>766</v>
      </c>
      <c r="H2635" s="443"/>
    </row>
    <row r="2636" spans="1:10" ht="13.5" thickBot="1">
      <c r="A2636" s="27"/>
      <c r="B2636" s="110"/>
      <c r="D2636" s="401" t="s">
        <v>40</v>
      </c>
      <c r="E2636" s="402" t="s">
        <v>41</v>
      </c>
      <c r="F2636" s="402" t="s">
        <v>42</v>
      </c>
      <c r="G2636" s="403" t="s">
        <v>43</v>
      </c>
      <c r="H2636" s="404" t="s">
        <v>44</v>
      </c>
      <c r="I2636" s="402" t="s">
        <v>474</v>
      </c>
      <c r="J2636" s="405" t="s">
        <v>475</v>
      </c>
    </row>
    <row r="2637" spans="1:10" ht="13">
      <c r="A2637" s="27"/>
      <c r="B2637" s="110"/>
      <c r="D2637" s="406" t="s">
        <v>45</v>
      </c>
      <c r="E2637" s="13" t="s">
        <v>46</v>
      </c>
      <c r="F2637" s="14"/>
      <c r="G2637" s="15"/>
      <c r="H2637" s="451"/>
      <c r="I2637" s="412"/>
      <c r="J2637" s="16"/>
    </row>
    <row r="2638" spans="1:10" ht="13">
      <c r="A2638" s="27"/>
      <c r="B2638" s="110"/>
      <c r="D2638" s="409"/>
      <c r="E2638" s="13" t="s">
        <v>47</v>
      </c>
      <c r="F2638" s="13" t="s">
        <v>1918</v>
      </c>
      <c r="G2638" s="410" t="s">
        <v>48</v>
      </c>
      <c r="H2638" s="411">
        <v>0.6</v>
      </c>
      <c r="I2638" s="412">
        <f>IF(AND(E2638&lt;&gt;"",G2638&lt;&gt;""),IF(D2638="",IF(G2638="OH",VLOOKUP(F2638,UPAH!$B$4:$H$101,7,0),VLOOKUP(F2638,#REF!,4,0)),0),0)</f>
        <v>0</v>
      </c>
      <c r="J2638" s="16">
        <f>H2638*I2638</f>
        <v>0</v>
      </c>
    </row>
    <row r="2639" spans="1:10" ht="13">
      <c r="A2639" s="27"/>
      <c r="B2639" s="110"/>
      <c r="D2639" s="409"/>
      <c r="E2639" s="13" t="s">
        <v>115</v>
      </c>
      <c r="F2639" s="13" t="s">
        <v>1921</v>
      </c>
      <c r="G2639" s="410" t="s">
        <v>48</v>
      </c>
      <c r="H2639" s="411">
        <v>0.2</v>
      </c>
      <c r="I2639" s="412">
        <f>IF(AND(E2639&lt;&gt;"",G2639&lt;&gt;""),IF(D2639="",IF(G2639="OH",VLOOKUP(F2639,UPAH!$B$4:$H$101,7,0),VLOOKUP(F2639,#REF!,4,0)),0),0)</f>
        <v>0</v>
      </c>
      <c r="J2639" s="16">
        <f>H2639*I2639</f>
        <v>0</v>
      </c>
    </row>
    <row r="2640" spans="1:10" ht="13">
      <c r="A2640" s="27"/>
      <c r="B2640" s="110"/>
      <c r="D2640" s="409"/>
      <c r="E2640" s="13" t="s">
        <v>97</v>
      </c>
      <c r="F2640" s="13" t="s">
        <v>1928</v>
      </c>
      <c r="G2640" s="410" t="s">
        <v>48</v>
      </c>
      <c r="H2640" s="411">
        <v>0.02</v>
      </c>
      <c r="I2640" s="412">
        <f>IF(AND(E2640&lt;&gt;"",G2640&lt;&gt;""),IF(D2640="",IF(G2640="OH",VLOOKUP(F2640,UPAH!$B$4:$H$101,7,0),VLOOKUP(F2640,#REF!,4,0)),0),0)</f>
        <v>0</v>
      </c>
      <c r="J2640" s="16">
        <f>H2640*I2640</f>
        <v>0</v>
      </c>
    </row>
    <row r="2641" spans="1:10" ht="13.5" thickBot="1">
      <c r="A2641" s="27"/>
      <c r="B2641" s="110"/>
      <c r="D2641" s="409"/>
      <c r="E2641" s="13" t="s">
        <v>51</v>
      </c>
      <c r="F2641" s="13" t="s">
        <v>1929</v>
      </c>
      <c r="G2641" s="410" t="s">
        <v>48</v>
      </c>
      <c r="H2641" s="411">
        <v>0.03</v>
      </c>
      <c r="I2641" s="412">
        <f>IF(AND(E2641&lt;&gt;"",G2641&lt;&gt;""),IF(D2641="",IF(G2641="OH",VLOOKUP(F2641,UPAH!$B$4:$H$101,7,0),VLOOKUP(F2641,#REF!,4,0)),0),0)</f>
        <v>0</v>
      </c>
      <c r="J2641" s="16">
        <f>H2641*I2641</f>
        <v>0</v>
      </c>
    </row>
    <row r="2642" spans="1:10" ht="13.5" thickBot="1">
      <c r="A2642" s="27"/>
      <c r="B2642" s="110"/>
      <c r="D2642" s="417"/>
      <c r="E2642" s="418"/>
      <c r="F2642" s="418"/>
      <c r="G2642" s="419"/>
      <c r="H2642" s="420" t="s">
        <v>52</v>
      </c>
      <c r="I2642" s="421"/>
      <c r="J2642" s="396">
        <f>SUM(J2638:J2641)</f>
        <v>0</v>
      </c>
    </row>
    <row r="2643" spans="1:10" ht="13">
      <c r="A2643" s="27"/>
      <c r="B2643" s="110"/>
      <c r="D2643" s="406" t="s">
        <v>53</v>
      </c>
      <c r="E2643" s="13" t="s">
        <v>54</v>
      </c>
      <c r="F2643" s="14"/>
      <c r="G2643" s="15"/>
      <c r="H2643" s="451"/>
      <c r="I2643" s="412"/>
      <c r="J2643" s="16"/>
    </row>
    <row r="2644" spans="1:10" ht="13">
      <c r="A2644" s="27"/>
      <c r="B2644" s="110"/>
      <c r="D2644" s="409"/>
      <c r="E2644" s="13" t="s">
        <v>86</v>
      </c>
      <c r="F2644" s="14"/>
      <c r="G2644" s="410" t="s">
        <v>259</v>
      </c>
      <c r="H2644" s="411">
        <v>140</v>
      </c>
      <c r="I2644" s="412">
        <f>'BAHAN '!G15</f>
        <v>0</v>
      </c>
      <c r="J2644" s="16">
        <f>H2644*I2644</f>
        <v>0</v>
      </c>
    </row>
    <row r="2645" spans="1:10" ht="13">
      <c r="A2645" s="27"/>
      <c r="B2645" s="110"/>
      <c r="D2645" s="409"/>
      <c r="E2645" s="13" t="s">
        <v>56</v>
      </c>
      <c r="F2645" s="14"/>
      <c r="G2645" s="410" t="s">
        <v>57</v>
      </c>
      <c r="H2645" s="411">
        <v>43.5</v>
      </c>
      <c r="I2645" s="412">
        <f>'BAHAN '!G72</f>
        <v>0</v>
      </c>
      <c r="J2645" s="16">
        <f>H2645*I2645</f>
        <v>0</v>
      </c>
    </row>
    <row r="2646" spans="1:10" ht="13.5" thickBot="1">
      <c r="A2646" s="27"/>
      <c r="B2646" s="110"/>
      <c r="D2646" s="409"/>
      <c r="E2646" s="13" t="s">
        <v>101</v>
      </c>
      <c r="F2646" s="14"/>
      <c r="G2646" s="410" t="s">
        <v>375</v>
      </c>
      <c r="H2646" s="411">
        <v>0.08</v>
      </c>
      <c r="I2646" s="412">
        <f>'BAHAN '!G59</f>
        <v>0</v>
      </c>
      <c r="J2646" s="16">
        <f>H2646*I2646</f>
        <v>0</v>
      </c>
    </row>
    <row r="2647" spans="1:10" ht="13.5" thickBot="1">
      <c r="A2647" s="27"/>
      <c r="B2647" s="110"/>
      <c r="D2647" s="417"/>
      <c r="E2647" s="418"/>
      <c r="F2647" s="418"/>
      <c r="G2647" s="419"/>
      <c r="H2647" s="420" t="s">
        <v>64</v>
      </c>
      <c r="I2647" s="421"/>
      <c r="J2647" s="396">
        <f>SUM(J2644:J2646)</f>
        <v>0</v>
      </c>
    </row>
    <row r="2648" spans="1:10" ht="13.5" thickBot="1">
      <c r="A2648" s="27"/>
      <c r="B2648" s="110"/>
      <c r="D2648" s="406" t="s">
        <v>65</v>
      </c>
      <c r="E2648" s="13" t="s">
        <v>66</v>
      </c>
      <c r="F2648" s="14"/>
      <c r="G2648" s="15"/>
      <c r="H2648" s="451"/>
      <c r="I2648" s="412">
        <f>IF(AND(E2648&lt;&gt;"",G2648&lt;&gt;""),IF(D2648="",IF(G2648="OH",VLOOKUP(E2648,UPAH!$C$4:$H$31,7,0),VLOOKUP(E2648,#REF!,4,0)),0),0)</f>
        <v>0</v>
      </c>
      <c r="J2648" s="16">
        <f>H2648*I2648</f>
        <v>0</v>
      </c>
    </row>
    <row r="2649" spans="1:10" ht="13.5" thickBot="1">
      <c r="A2649" s="27"/>
      <c r="B2649" s="110"/>
      <c r="D2649" s="417"/>
      <c r="E2649" s="418"/>
      <c r="F2649" s="418"/>
      <c r="G2649" s="419"/>
      <c r="H2649" s="420" t="s">
        <v>67</v>
      </c>
      <c r="I2649" s="421"/>
      <c r="J2649" s="396">
        <f>J2648</f>
        <v>0</v>
      </c>
    </row>
    <row r="2650" spans="1:10" ht="13">
      <c r="A2650" s="27"/>
      <c r="B2650" s="110"/>
      <c r="D2650" s="444" t="s">
        <v>68</v>
      </c>
      <c r="E2650" s="445" t="s">
        <v>69</v>
      </c>
      <c r="F2650" s="446"/>
      <c r="G2650" s="447"/>
      <c r="H2650" s="448"/>
      <c r="I2650" s="449">
        <f>IF(AND(E2650&lt;&gt;"",G2650&lt;&gt;""),IF(D2650="",IF(G2650="OH",VLOOKUP(E2650,UPAH!$C$4:$H$31,7,0),VLOOKUP(E2650,#REF!,4,0)),0),0)</f>
        <v>0</v>
      </c>
      <c r="J2650" s="16">
        <f>SUM(J2637:J2649)/2</f>
        <v>0</v>
      </c>
    </row>
    <row r="2651" spans="1:10" ht="13.5" thickBot="1">
      <c r="A2651" s="27"/>
      <c r="B2651" s="110"/>
      <c r="D2651" s="431" t="s">
        <v>70</v>
      </c>
      <c r="E2651" s="432" t="s">
        <v>477</v>
      </c>
      <c r="F2651" s="433"/>
      <c r="G2651" s="434"/>
      <c r="H2651" s="22">
        <v>0.1</v>
      </c>
      <c r="I2651" s="436"/>
      <c r="J2651" s="430">
        <f>H2651*J2650</f>
        <v>0</v>
      </c>
    </row>
    <row r="2652" spans="1:10" ht="13.5" thickBot="1">
      <c r="A2652" s="27"/>
      <c r="B2652" s="110"/>
      <c r="D2652" s="401" t="s">
        <v>71</v>
      </c>
      <c r="E2652" s="402" t="s">
        <v>72</v>
      </c>
      <c r="F2652" s="418"/>
      <c r="G2652" s="419"/>
      <c r="H2652" s="442"/>
      <c r="I2652" s="421">
        <f>IF(AND(E2652&lt;&gt;"",G2652&lt;&gt;""),IF(D2652="",IF(G2652="OH",VLOOKUP(E2652,UPAH!$C$4:$H$31,7,0),VLOOKUP(E2652,#REF!,4,0)),0),0)</f>
        <v>0</v>
      </c>
      <c r="J2652" s="396">
        <f>ROUNDDOWN(J2650+J2651,0)</f>
        <v>0</v>
      </c>
    </row>
    <row r="2653" spans="1:10" ht="13">
      <c r="A2653" s="27"/>
      <c r="B2653" s="110"/>
      <c r="D2653" s="11"/>
      <c r="E2653" s="11"/>
      <c r="H2653" s="443"/>
    </row>
    <row r="2654" spans="1:10" ht="13.5" thickBot="1">
      <c r="A2654" s="27"/>
      <c r="B2654" s="110"/>
      <c r="C2654" s="11" t="s">
        <v>1811</v>
      </c>
      <c r="D2654" s="10" t="s">
        <v>767</v>
      </c>
      <c r="H2654" s="443"/>
    </row>
    <row r="2655" spans="1:10" ht="13.5" thickBot="1">
      <c r="A2655" s="27"/>
      <c r="B2655" s="110"/>
      <c r="D2655" s="401" t="s">
        <v>40</v>
      </c>
      <c r="E2655" s="402" t="s">
        <v>41</v>
      </c>
      <c r="F2655" s="402" t="s">
        <v>42</v>
      </c>
      <c r="G2655" s="403" t="s">
        <v>43</v>
      </c>
      <c r="H2655" s="404" t="s">
        <v>44</v>
      </c>
      <c r="I2655" s="402" t="s">
        <v>474</v>
      </c>
      <c r="J2655" s="405" t="s">
        <v>475</v>
      </c>
    </row>
    <row r="2656" spans="1:10" ht="13">
      <c r="A2656" s="27"/>
      <c r="B2656" s="110"/>
      <c r="D2656" s="406" t="s">
        <v>45</v>
      </c>
      <c r="E2656" s="13" t="s">
        <v>46</v>
      </c>
      <c r="F2656" s="14"/>
      <c r="G2656" s="15"/>
      <c r="H2656" s="451"/>
      <c r="I2656" s="412"/>
      <c r="J2656" s="16"/>
    </row>
    <row r="2657" spans="1:10" ht="13">
      <c r="A2657" s="27"/>
      <c r="B2657" s="110"/>
      <c r="D2657" s="409"/>
      <c r="E2657" s="13" t="s">
        <v>47</v>
      </c>
      <c r="F2657" s="13" t="s">
        <v>1918</v>
      </c>
      <c r="G2657" s="410" t="s">
        <v>48</v>
      </c>
      <c r="H2657" s="411">
        <v>0.6</v>
      </c>
      <c r="I2657" s="412">
        <f>IF(AND(E2657&lt;&gt;"",G2657&lt;&gt;""),IF(D2657="",IF(G2657="OH",VLOOKUP(F2657,UPAH!$B$4:$H$101,7,0),VLOOKUP(F2657,#REF!,4,0)),0),0)</f>
        <v>0</v>
      </c>
      <c r="J2657" s="16">
        <f>H2657*I2657</f>
        <v>0</v>
      </c>
    </row>
    <row r="2658" spans="1:10" ht="13">
      <c r="A2658" s="27"/>
      <c r="B2658" s="110"/>
      <c r="D2658" s="409"/>
      <c r="E2658" s="13" t="s">
        <v>115</v>
      </c>
      <c r="F2658" s="13" t="s">
        <v>1921</v>
      </c>
      <c r="G2658" s="410" t="s">
        <v>48</v>
      </c>
      <c r="H2658" s="411">
        <v>0.2</v>
      </c>
      <c r="I2658" s="412">
        <f>IF(AND(E2658&lt;&gt;"",G2658&lt;&gt;""),IF(D2658="",IF(G2658="OH",VLOOKUP(F2658,UPAH!$B$4:$H$101,7,0),VLOOKUP(F2658,#REF!,4,0)),0),0)</f>
        <v>0</v>
      </c>
      <c r="J2658" s="16">
        <f>H2658*I2658</f>
        <v>0</v>
      </c>
    </row>
    <row r="2659" spans="1:10" ht="13">
      <c r="A2659" s="27"/>
      <c r="B2659" s="110"/>
      <c r="D2659" s="409"/>
      <c r="E2659" s="13" t="s">
        <v>97</v>
      </c>
      <c r="F2659" s="13" t="s">
        <v>1928</v>
      </c>
      <c r="G2659" s="410" t="s">
        <v>48</v>
      </c>
      <c r="H2659" s="411">
        <v>0.02</v>
      </c>
      <c r="I2659" s="412">
        <f>IF(AND(E2659&lt;&gt;"",G2659&lt;&gt;""),IF(D2659="",IF(G2659="OH",VLOOKUP(F2659,UPAH!$B$4:$H$101,7,0),VLOOKUP(F2659,#REF!,4,0)),0),0)</f>
        <v>0</v>
      </c>
      <c r="J2659" s="16">
        <f>H2659*I2659</f>
        <v>0</v>
      </c>
    </row>
    <row r="2660" spans="1:10" ht="13.5" thickBot="1">
      <c r="A2660" s="27"/>
      <c r="B2660" s="110"/>
      <c r="D2660" s="409"/>
      <c r="E2660" s="13" t="s">
        <v>51</v>
      </c>
      <c r="F2660" s="13" t="s">
        <v>1929</v>
      </c>
      <c r="G2660" s="410" t="s">
        <v>48</v>
      </c>
      <c r="H2660" s="411">
        <v>0.03</v>
      </c>
      <c r="I2660" s="412">
        <f>IF(AND(E2660&lt;&gt;"",G2660&lt;&gt;""),IF(D2660="",IF(G2660="OH",VLOOKUP(F2660,UPAH!$B$4:$H$101,7,0),VLOOKUP(F2660,#REF!,4,0)),0),0)</f>
        <v>0</v>
      </c>
      <c r="J2660" s="16">
        <f>H2660*I2660</f>
        <v>0</v>
      </c>
    </row>
    <row r="2661" spans="1:10" ht="13.5" thickBot="1">
      <c r="A2661" s="27"/>
      <c r="B2661" s="110"/>
      <c r="D2661" s="417"/>
      <c r="E2661" s="418"/>
      <c r="F2661" s="418"/>
      <c r="G2661" s="419"/>
      <c r="H2661" s="420" t="s">
        <v>52</v>
      </c>
      <c r="I2661" s="421"/>
      <c r="J2661" s="396">
        <f>SUM(J2657:J2660)</f>
        <v>0</v>
      </c>
    </row>
    <row r="2662" spans="1:10" ht="13">
      <c r="A2662" s="27"/>
      <c r="B2662" s="110"/>
      <c r="D2662" s="406" t="s">
        <v>53</v>
      </c>
      <c r="E2662" s="13" t="s">
        <v>54</v>
      </c>
      <c r="F2662" s="14"/>
      <c r="G2662" s="15"/>
      <c r="H2662" s="451"/>
      <c r="I2662" s="412"/>
      <c r="J2662" s="16"/>
    </row>
    <row r="2663" spans="1:10" ht="13">
      <c r="A2663" s="27"/>
      <c r="B2663" s="110"/>
      <c r="D2663" s="409"/>
      <c r="E2663" s="13" t="s">
        <v>86</v>
      </c>
      <c r="F2663" s="14"/>
      <c r="G2663" s="410" t="s">
        <v>259</v>
      </c>
      <c r="H2663" s="411">
        <v>140</v>
      </c>
      <c r="I2663" s="412">
        <f>'BAHAN '!G15</f>
        <v>0</v>
      </c>
      <c r="J2663" s="16">
        <f>H2663*I2663</f>
        <v>0</v>
      </c>
    </row>
    <row r="2664" spans="1:10" ht="13">
      <c r="A2664" s="27"/>
      <c r="B2664" s="110"/>
      <c r="D2664" s="409"/>
      <c r="E2664" s="13" t="s">
        <v>56</v>
      </c>
      <c r="F2664" s="14"/>
      <c r="G2664" s="410" t="s">
        <v>57</v>
      </c>
      <c r="H2664" s="411">
        <v>32.950000000000003</v>
      </c>
      <c r="I2664" s="412">
        <f>'BAHAN '!G72</f>
        <v>0</v>
      </c>
      <c r="J2664" s="16">
        <f>H2664*I2664</f>
        <v>0</v>
      </c>
    </row>
    <row r="2665" spans="1:10" ht="13.5" thickBot="1">
      <c r="A2665" s="27"/>
      <c r="B2665" s="110"/>
      <c r="D2665" s="409"/>
      <c r="E2665" s="13" t="s">
        <v>101</v>
      </c>
      <c r="F2665" s="14"/>
      <c r="G2665" s="410" t="s">
        <v>375</v>
      </c>
      <c r="H2665" s="411">
        <v>9.0999999999999998E-2</v>
      </c>
      <c r="I2665" s="412">
        <f>'BAHAN '!G59</f>
        <v>0</v>
      </c>
      <c r="J2665" s="16">
        <f>H2665*I2665</f>
        <v>0</v>
      </c>
    </row>
    <row r="2666" spans="1:10" ht="13.5" thickBot="1">
      <c r="A2666" s="27"/>
      <c r="B2666" s="110"/>
      <c r="D2666" s="417"/>
      <c r="E2666" s="418"/>
      <c r="F2666" s="418"/>
      <c r="G2666" s="419"/>
      <c r="H2666" s="420" t="s">
        <v>64</v>
      </c>
      <c r="I2666" s="421"/>
      <c r="J2666" s="396">
        <f>SUM(J2663:J2665)</f>
        <v>0</v>
      </c>
    </row>
    <row r="2667" spans="1:10" ht="13.5" thickBot="1">
      <c r="A2667" s="27"/>
      <c r="B2667" s="110"/>
      <c r="D2667" s="406" t="s">
        <v>65</v>
      </c>
      <c r="E2667" s="13" t="s">
        <v>66</v>
      </c>
      <c r="F2667" s="14"/>
      <c r="G2667" s="15"/>
      <c r="H2667" s="451"/>
      <c r="I2667" s="412">
        <f>IF(AND(E2667&lt;&gt;"",G2667&lt;&gt;""),IF(D2667="",IF(G2667="OH",VLOOKUP(E2667,UPAH!$C$4:$H$31,7,0),VLOOKUP(E2667,#REF!,4,0)),0),0)</f>
        <v>0</v>
      </c>
      <c r="J2667" s="16">
        <f>H2667*I2667</f>
        <v>0</v>
      </c>
    </row>
    <row r="2668" spans="1:10" ht="13.5" thickBot="1">
      <c r="A2668" s="27"/>
      <c r="B2668" s="110"/>
      <c r="D2668" s="417"/>
      <c r="E2668" s="418"/>
      <c r="F2668" s="418"/>
      <c r="G2668" s="419"/>
      <c r="H2668" s="420" t="s">
        <v>67</v>
      </c>
      <c r="I2668" s="421"/>
      <c r="J2668" s="396">
        <f>J2667</f>
        <v>0</v>
      </c>
    </row>
    <row r="2669" spans="1:10" ht="13">
      <c r="A2669" s="27"/>
      <c r="B2669" s="110"/>
      <c r="D2669" s="444" t="s">
        <v>68</v>
      </c>
      <c r="E2669" s="445" t="s">
        <v>69</v>
      </c>
      <c r="F2669" s="446"/>
      <c r="G2669" s="447"/>
      <c r="H2669" s="448"/>
      <c r="I2669" s="449">
        <f>IF(AND(E2669&lt;&gt;"",G2669&lt;&gt;""),IF(D2669="",IF(G2669="OH",VLOOKUP(E2669,UPAH!$C$4:$H$31,7,0),VLOOKUP(E2669,#REF!,4,0)),0),0)</f>
        <v>0</v>
      </c>
      <c r="J2669" s="16">
        <f>SUM(J2656:J2668)/2</f>
        <v>0</v>
      </c>
    </row>
    <row r="2670" spans="1:10" ht="13.5" thickBot="1">
      <c r="A2670" s="27"/>
      <c r="B2670" s="110"/>
      <c r="D2670" s="431" t="s">
        <v>70</v>
      </c>
      <c r="E2670" s="432" t="s">
        <v>477</v>
      </c>
      <c r="F2670" s="433"/>
      <c r="G2670" s="434"/>
      <c r="H2670" s="22">
        <v>0.1</v>
      </c>
      <c r="I2670" s="436"/>
      <c r="J2670" s="430">
        <f>H2670*J2669</f>
        <v>0</v>
      </c>
    </row>
    <row r="2671" spans="1:10" ht="13.5" thickBot="1">
      <c r="A2671" s="27"/>
      <c r="B2671" s="110"/>
      <c r="D2671" s="401" t="s">
        <v>71</v>
      </c>
      <c r="E2671" s="402" t="s">
        <v>72</v>
      </c>
      <c r="F2671" s="418"/>
      <c r="G2671" s="419"/>
      <c r="H2671" s="442"/>
      <c r="I2671" s="421">
        <f>IF(AND(E2671&lt;&gt;"",G2671&lt;&gt;""),IF(D2671="",IF(G2671="OH",VLOOKUP(E2671,UPAH!$C$4:$H$31,7,0),VLOOKUP(E2671,#REF!,4,0)),0),0)</f>
        <v>0</v>
      </c>
      <c r="J2671" s="396">
        <f>ROUNDDOWN(J2669+J2670,0)</f>
        <v>0</v>
      </c>
    </row>
    <row r="2672" spans="1:10" ht="13">
      <c r="A2672" s="27"/>
      <c r="B2672" s="110"/>
      <c r="D2672" s="11"/>
      <c r="E2672" s="11"/>
      <c r="H2672" s="443"/>
    </row>
    <row r="2673" spans="1:10" ht="13.5" thickBot="1">
      <c r="A2673" s="27"/>
      <c r="B2673" s="110"/>
      <c r="C2673" s="11" t="s">
        <v>1792</v>
      </c>
      <c r="D2673" s="10" t="s">
        <v>768</v>
      </c>
      <c r="H2673" s="443"/>
    </row>
    <row r="2674" spans="1:10" ht="13.5" thickBot="1">
      <c r="A2674" s="27"/>
      <c r="B2674" s="110"/>
      <c r="D2674" s="401" t="s">
        <v>40</v>
      </c>
      <c r="E2674" s="402" t="s">
        <v>41</v>
      </c>
      <c r="F2674" s="402" t="s">
        <v>42</v>
      </c>
      <c r="G2674" s="403" t="s">
        <v>43</v>
      </c>
      <c r="H2674" s="404" t="s">
        <v>44</v>
      </c>
      <c r="I2674" s="402" t="s">
        <v>474</v>
      </c>
      <c r="J2674" s="405" t="s">
        <v>475</v>
      </c>
    </row>
    <row r="2675" spans="1:10" ht="13">
      <c r="A2675" s="27"/>
      <c r="B2675" s="110"/>
      <c r="D2675" s="406" t="s">
        <v>45</v>
      </c>
      <c r="E2675" s="13" t="s">
        <v>46</v>
      </c>
      <c r="F2675" s="14"/>
      <c r="G2675" s="15"/>
      <c r="H2675" s="451"/>
      <c r="I2675" s="412"/>
      <c r="J2675" s="16"/>
    </row>
    <row r="2676" spans="1:10" ht="13">
      <c r="A2676" s="27"/>
      <c r="B2676" s="110"/>
      <c r="D2676" s="409"/>
      <c r="E2676" s="13" t="s">
        <v>47</v>
      </c>
      <c r="F2676" s="13" t="s">
        <v>1918</v>
      </c>
      <c r="G2676" s="410" t="s">
        <v>48</v>
      </c>
      <c r="H2676" s="411">
        <v>0.6</v>
      </c>
      <c r="I2676" s="412">
        <f>IF(AND(E2676&lt;&gt;"",G2676&lt;&gt;""),IF(D2676="",IF(G2676="OH",VLOOKUP(F2676,UPAH!$B$4:$H$101,7,0),VLOOKUP(F2676,#REF!,4,0)),0),0)</f>
        <v>0</v>
      </c>
      <c r="J2676" s="16">
        <f>H2676*I2676</f>
        <v>0</v>
      </c>
    </row>
    <row r="2677" spans="1:10" ht="13">
      <c r="A2677" s="27"/>
      <c r="B2677" s="110"/>
      <c r="D2677" s="409"/>
      <c r="E2677" s="13" t="s">
        <v>115</v>
      </c>
      <c r="F2677" s="13" t="s">
        <v>1921</v>
      </c>
      <c r="G2677" s="410" t="s">
        <v>48</v>
      </c>
      <c r="H2677" s="411">
        <v>0.2</v>
      </c>
      <c r="I2677" s="412">
        <f>IF(AND(E2677&lt;&gt;"",G2677&lt;&gt;""),IF(D2677="",IF(G2677="OH",VLOOKUP(F2677,UPAH!$B$4:$H$101,7,0),VLOOKUP(F2677,#REF!,4,0)),0),0)</f>
        <v>0</v>
      </c>
      <c r="J2677" s="16">
        <f>H2677*I2677</f>
        <v>0</v>
      </c>
    </row>
    <row r="2678" spans="1:10" ht="13">
      <c r="A2678" s="27"/>
      <c r="B2678" s="110"/>
      <c r="D2678" s="409"/>
      <c r="E2678" s="13" t="s">
        <v>97</v>
      </c>
      <c r="F2678" s="13" t="s">
        <v>1928</v>
      </c>
      <c r="G2678" s="410" t="s">
        <v>48</v>
      </c>
      <c r="H2678" s="411">
        <v>0.02</v>
      </c>
      <c r="I2678" s="412">
        <f>IF(AND(E2678&lt;&gt;"",G2678&lt;&gt;""),IF(D2678="",IF(G2678="OH",VLOOKUP(F2678,UPAH!$B$4:$H$101,7,0),VLOOKUP(F2678,#REF!,4,0)),0),0)</f>
        <v>0</v>
      </c>
      <c r="J2678" s="16">
        <f>H2678*I2678</f>
        <v>0</v>
      </c>
    </row>
    <row r="2679" spans="1:10" ht="13.5" thickBot="1">
      <c r="A2679" s="27"/>
      <c r="B2679" s="110"/>
      <c r="D2679" s="409"/>
      <c r="E2679" s="13" t="s">
        <v>51</v>
      </c>
      <c r="F2679" s="13" t="s">
        <v>1929</v>
      </c>
      <c r="G2679" s="410" t="s">
        <v>48</v>
      </c>
      <c r="H2679" s="411">
        <v>0.03</v>
      </c>
      <c r="I2679" s="412">
        <f>IF(AND(E2679&lt;&gt;"",G2679&lt;&gt;""),IF(D2679="",IF(G2679="OH",VLOOKUP(F2679,UPAH!$B$4:$H$101,7,0),VLOOKUP(F2679,#REF!,4,0)),0),0)</f>
        <v>0</v>
      </c>
      <c r="J2679" s="16">
        <f>H2679*I2679</f>
        <v>0</v>
      </c>
    </row>
    <row r="2680" spans="1:10" ht="13.5" thickBot="1">
      <c r="A2680" s="27"/>
      <c r="B2680" s="110"/>
      <c r="D2680" s="417"/>
      <c r="E2680" s="418"/>
      <c r="F2680" s="418"/>
      <c r="G2680" s="419"/>
      <c r="H2680" s="420" t="s">
        <v>52</v>
      </c>
      <c r="I2680" s="421"/>
      <c r="J2680" s="396">
        <f>SUM(J2676:J2679)</f>
        <v>0</v>
      </c>
    </row>
    <row r="2681" spans="1:10" ht="13">
      <c r="A2681" s="27"/>
      <c r="B2681" s="110"/>
      <c r="D2681" s="406" t="s">
        <v>53</v>
      </c>
      <c r="E2681" s="13" t="s">
        <v>54</v>
      </c>
      <c r="F2681" s="14"/>
      <c r="G2681" s="15"/>
      <c r="H2681" s="451"/>
      <c r="I2681" s="412"/>
      <c r="J2681" s="16"/>
    </row>
    <row r="2682" spans="1:10" ht="13">
      <c r="A2682" s="27"/>
      <c r="B2682" s="110"/>
      <c r="D2682" s="409"/>
      <c r="E2682" s="13" t="s">
        <v>86</v>
      </c>
      <c r="F2682" s="14"/>
      <c r="G2682" s="410" t="s">
        <v>259</v>
      </c>
      <c r="H2682" s="411">
        <v>140</v>
      </c>
      <c r="I2682" s="412">
        <f>'BAHAN '!G15</f>
        <v>0</v>
      </c>
      <c r="J2682" s="16">
        <f>H2682*I2682</f>
        <v>0</v>
      </c>
    </row>
    <row r="2683" spans="1:10" ht="13">
      <c r="A2683" s="27"/>
      <c r="B2683" s="110"/>
      <c r="D2683" s="409"/>
      <c r="E2683" s="13" t="s">
        <v>56</v>
      </c>
      <c r="F2683" s="14"/>
      <c r="G2683" s="410" t="s">
        <v>57</v>
      </c>
      <c r="H2683" s="411">
        <v>26.55</v>
      </c>
      <c r="I2683" s="412">
        <f>'BAHAN '!G72</f>
        <v>0</v>
      </c>
      <c r="J2683" s="16">
        <f>H2683*I2683</f>
        <v>0</v>
      </c>
    </row>
    <row r="2684" spans="1:10" ht="13.5" thickBot="1">
      <c r="A2684" s="27"/>
      <c r="B2684" s="110"/>
      <c r="D2684" s="409"/>
      <c r="E2684" s="13" t="s">
        <v>101</v>
      </c>
      <c r="F2684" s="14"/>
      <c r="G2684" s="410" t="s">
        <v>375</v>
      </c>
      <c r="H2684" s="411">
        <v>9.2999999999999999E-2</v>
      </c>
      <c r="I2684" s="412">
        <f>'BAHAN '!G59</f>
        <v>0</v>
      </c>
      <c r="J2684" s="16">
        <f>H2684*I2684</f>
        <v>0</v>
      </c>
    </row>
    <row r="2685" spans="1:10" ht="13.5" thickBot="1">
      <c r="A2685" s="27"/>
      <c r="B2685" s="110"/>
      <c r="D2685" s="417"/>
      <c r="E2685" s="418"/>
      <c r="F2685" s="418"/>
      <c r="G2685" s="419"/>
      <c r="H2685" s="420" t="s">
        <v>64</v>
      </c>
      <c r="I2685" s="421"/>
      <c r="J2685" s="396">
        <f>SUM(J2682:J2684)</f>
        <v>0</v>
      </c>
    </row>
    <row r="2686" spans="1:10" ht="13.5" thickBot="1">
      <c r="A2686" s="27"/>
      <c r="B2686" s="110"/>
      <c r="D2686" s="406" t="s">
        <v>65</v>
      </c>
      <c r="E2686" s="13" t="s">
        <v>66</v>
      </c>
      <c r="F2686" s="14"/>
      <c r="G2686" s="15"/>
      <c r="H2686" s="451"/>
      <c r="I2686" s="412">
        <f>IF(AND(E2686&lt;&gt;"",G2686&lt;&gt;""),IF(D2686="",IF(G2686="OH",VLOOKUP(E2686,UPAH!$C$4:$H$31,7,0),VLOOKUP(E2686,#REF!,4,0)),0),0)</f>
        <v>0</v>
      </c>
      <c r="J2686" s="16">
        <f>H2686*I2686</f>
        <v>0</v>
      </c>
    </row>
    <row r="2687" spans="1:10" ht="13.5" thickBot="1">
      <c r="A2687" s="27"/>
      <c r="B2687" s="110"/>
      <c r="D2687" s="417"/>
      <c r="E2687" s="418"/>
      <c r="F2687" s="418"/>
      <c r="G2687" s="419"/>
      <c r="H2687" s="420" t="s">
        <v>67</v>
      </c>
      <c r="I2687" s="421"/>
      <c r="J2687" s="396">
        <f>J2686</f>
        <v>0</v>
      </c>
    </row>
    <row r="2688" spans="1:10" ht="13">
      <c r="A2688" s="27"/>
      <c r="B2688" s="110"/>
      <c r="D2688" s="444" t="s">
        <v>68</v>
      </c>
      <c r="E2688" s="445" t="s">
        <v>69</v>
      </c>
      <c r="F2688" s="446"/>
      <c r="G2688" s="447"/>
      <c r="H2688" s="448"/>
      <c r="I2688" s="449">
        <f>IF(AND(E2688&lt;&gt;"",G2688&lt;&gt;""),IF(D2688="",IF(G2688="OH",VLOOKUP(E2688,UPAH!$C$4:$H$31,7,0),VLOOKUP(E2688,#REF!,4,0)),0),0)</f>
        <v>0</v>
      </c>
      <c r="J2688" s="16">
        <f>SUM(J2675:J2687)/2</f>
        <v>0</v>
      </c>
    </row>
    <row r="2689" spans="1:10" ht="13.5" thickBot="1">
      <c r="A2689" s="27"/>
      <c r="B2689" s="110"/>
      <c r="D2689" s="431" t="s">
        <v>70</v>
      </c>
      <c r="E2689" s="432" t="s">
        <v>477</v>
      </c>
      <c r="F2689" s="433"/>
      <c r="G2689" s="434"/>
      <c r="H2689" s="22">
        <v>0.1</v>
      </c>
      <c r="I2689" s="436"/>
      <c r="J2689" s="430">
        <f>H2689*J2688</f>
        <v>0</v>
      </c>
    </row>
    <row r="2690" spans="1:10" ht="13.5" thickBot="1">
      <c r="A2690" s="27"/>
      <c r="B2690" s="110"/>
      <c r="D2690" s="401" t="s">
        <v>71</v>
      </c>
      <c r="E2690" s="402" t="s">
        <v>72</v>
      </c>
      <c r="F2690" s="418"/>
      <c r="G2690" s="419"/>
      <c r="H2690" s="442"/>
      <c r="I2690" s="421">
        <f>IF(AND(E2690&lt;&gt;"",G2690&lt;&gt;""),IF(D2690="",IF(G2690="OH",VLOOKUP(E2690,UPAH!$C$4:$H$31,7,0),VLOOKUP(E2690,#REF!,4,0)),0),0)</f>
        <v>0</v>
      </c>
      <c r="J2690" s="396">
        <f>ROUNDDOWN(J2688+J2689,0)</f>
        <v>0</v>
      </c>
    </row>
    <row r="2691" spans="1:10" ht="13">
      <c r="A2691" s="27"/>
      <c r="B2691" s="110"/>
      <c r="D2691" s="11"/>
      <c r="E2691" s="11"/>
      <c r="H2691" s="443"/>
    </row>
    <row r="2692" spans="1:10" ht="13.5" thickBot="1">
      <c r="A2692" s="27"/>
      <c r="B2692" s="110"/>
      <c r="C2692" s="11" t="s">
        <v>1793</v>
      </c>
      <c r="D2692" s="10" t="s">
        <v>769</v>
      </c>
      <c r="H2692" s="443"/>
    </row>
    <row r="2693" spans="1:10" ht="13.5" thickBot="1">
      <c r="A2693" s="27"/>
      <c r="B2693" s="110"/>
      <c r="D2693" s="401" t="s">
        <v>40</v>
      </c>
      <c r="E2693" s="402" t="s">
        <v>41</v>
      </c>
      <c r="F2693" s="402" t="s">
        <v>42</v>
      </c>
      <c r="G2693" s="403" t="s">
        <v>43</v>
      </c>
      <c r="H2693" s="404" t="s">
        <v>44</v>
      </c>
      <c r="I2693" s="402" t="s">
        <v>474</v>
      </c>
      <c r="J2693" s="405" t="s">
        <v>475</v>
      </c>
    </row>
    <row r="2694" spans="1:10" ht="13">
      <c r="A2694" s="27"/>
      <c r="B2694" s="110"/>
      <c r="D2694" s="406" t="s">
        <v>45</v>
      </c>
      <c r="E2694" s="13" t="s">
        <v>46</v>
      </c>
      <c r="F2694" s="14"/>
      <c r="G2694" s="15"/>
      <c r="H2694" s="451"/>
      <c r="I2694" s="412"/>
      <c r="J2694" s="16"/>
    </row>
    <row r="2695" spans="1:10" ht="13">
      <c r="A2695" s="27"/>
      <c r="B2695" s="110"/>
      <c r="D2695" s="409"/>
      <c r="E2695" s="13" t="s">
        <v>47</v>
      </c>
      <c r="F2695" s="13" t="s">
        <v>1918</v>
      </c>
      <c r="G2695" s="410" t="s">
        <v>48</v>
      </c>
      <c r="H2695" s="411">
        <v>0.6</v>
      </c>
      <c r="I2695" s="412">
        <f>IF(AND(E2695&lt;&gt;"",G2695&lt;&gt;""),IF(D2695="",IF(G2695="OH",VLOOKUP(F2695,UPAH!$B$4:$H$101,7,0),VLOOKUP(F2695,#REF!,4,0)),0),0)</f>
        <v>0</v>
      </c>
      <c r="J2695" s="16">
        <f>H2695*I2695</f>
        <v>0</v>
      </c>
    </row>
    <row r="2696" spans="1:10" ht="13">
      <c r="A2696" s="27"/>
      <c r="B2696" s="110"/>
      <c r="D2696" s="409"/>
      <c r="E2696" s="13" t="s">
        <v>115</v>
      </c>
      <c r="F2696" s="13" t="s">
        <v>1921</v>
      </c>
      <c r="G2696" s="410" t="s">
        <v>48</v>
      </c>
      <c r="H2696" s="411">
        <v>0.2</v>
      </c>
      <c r="I2696" s="412">
        <f>IF(AND(E2696&lt;&gt;"",G2696&lt;&gt;""),IF(D2696="",IF(G2696="OH",VLOOKUP(F2696,UPAH!$B$4:$H$101,7,0),VLOOKUP(F2696,#REF!,4,0)),0),0)</f>
        <v>0</v>
      </c>
      <c r="J2696" s="16">
        <f>H2696*I2696</f>
        <v>0</v>
      </c>
    </row>
    <row r="2697" spans="1:10" ht="13">
      <c r="A2697" s="27"/>
      <c r="B2697" s="110"/>
      <c r="D2697" s="409"/>
      <c r="E2697" s="13" t="s">
        <v>97</v>
      </c>
      <c r="F2697" s="13" t="s">
        <v>1928</v>
      </c>
      <c r="G2697" s="410" t="s">
        <v>48</v>
      </c>
      <c r="H2697" s="411">
        <v>0.02</v>
      </c>
      <c r="I2697" s="412">
        <f>IF(AND(E2697&lt;&gt;"",G2697&lt;&gt;""),IF(D2697="",IF(G2697="OH",VLOOKUP(F2697,UPAH!$B$4:$H$101,7,0),VLOOKUP(F2697,#REF!,4,0)),0),0)</f>
        <v>0</v>
      </c>
      <c r="J2697" s="16">
        <f>H2697*I2697</f>
        <v>0</v>
      </c>
    </row>
    <row r="2698" spans="1:10" ht="13.5" thickBot="1">
      <c r="A2698" s="27"/>
      <c r="B2698" s="110"/>
      <c r="D2698" s="409"/>
      <c r="E2698" s="13" t="s">
        <v>51</v>
      </c>
      <c r="F2698" s="13" t="s">
        <v>1929</v>
      </c>
      <c r="G2698" s="410" t="s">
        <v>48</v>
      </c>
      <c r="H2698" s="411">
        <v>0.03</v>
      </c>
      <c r="I2698" s="412">
        <f>IF(AND(E2698&lt;&gt;"",G2698&lt;&gt;""),IF(D2698="",IF(G2698="OH",VLOOKUP(F2698,UPAH!$B$4:$H$101,7,0),VLOOKUP(F2698,#REF!,4,0)),0),0)</f>
        <v>0</v>
      </c>
      <c r="J2698" s="16">
        <f>H2698*I2698</f>
        <v>0</v>
      </c>
    </row>
    <row r="2699" spans="1:10" ht="13.5" thickBot="1">
      <c r="A2699" s="27"/>
      <c r="B2699" s="110"/>
      <c r="D2699" s="417"/>
      <c r="E2699" s="418"/>
      <c r="F2699" s="418"/>
      <c r="G2699" s="419"/>
      <c r="H2699" s="420" t="s">
        <v>52</v>
      </c>
      <c r="I2699" s="421"/>
      <c r="J2699" s="396">
        <f>SUM(J2695:J2698)</f>
        <v>0</v>
      </c>
    </row>
    <row r="2700" spans="1:10" ht="13">
      <c r="A2700" s="27"/>
      <c r="B2700" s="110"/>
      <c r="D2700" s="406" t="s">
        <v>53</v>
      </c>
      <c r="E2700" s="13" t="s">
        <v>54</v>
      </c>
      <c r="F2700" s="14"/>
      <c r="G2700" s="15"/>
      <c r="H2700" s="451"/>
      <c r="I2700" s="412"/>
      <c r="J2700" s="16"/>
    </row>
    <row r="2701" spans="1:10" ht="13">
      <c r="A2701" s="27"/>
      <c r="B2701" s="110"/>
      <c r="D2701" s="409"/>
      <c r="E2701" s="13" t="s">
        <v>86</v>
      </c>
      <c r="F2701" s="14"/>
      <c r="G2701" s="410" t="s">
        <v>259</v>
      </c>
      <c r="H2701" s="411">
        <v>140</v>
      </c>
      <c r="I2701" s="412">
        <f>'BAHAN '!G15</f>
        <v>0</v>
      </c>
      <c r="J2701" s="16">
        <f>H2701*I2701</f>
        <v>0</v>
      </c>
    </row>
    <row r="2702" spans="1:10" ht="13">
      <c r="A2702" s="27"/>
      <c r="B2702" s="110"/>
      <c r="D2702" s="409"/>
      <c r="E2702" s="13" t="s">
        <v>56</v>
      </c>
      <c r="F2702" s="14"/>
      <c r="G2702" s="410" t="s">
        <v>57</v>
      </c>
      <c r="H2702" s="411">
        <v>22.2</v>
      </c>
      <c r="I2702" s="412">
        <f>'BAHAN '!G72</f>
        <v>0</v>
      </c>
      <c r="J2702" s="16">
        <f>H2702*I2702</f>
        <v>0</v>
      </c>
    </row>
    <row r="2703" spans="1:10" ht="13.5" thickBot="1">
      <c r="A2703" s="27"/>
      <c r="B2703" s="110"/>
      <c r="D2703" s="409"/>
      <c r="E2703" s="13" t="s">
        <v>101</v>
      </c>
      <c r="F2703" s="14"/>
      <c r="G2703" s="410" t="s">
        <v>375</v>
      </c>
      <c r="H2703" s="411">
        <v>0.10199999999999999</v>
      </c>
      <c r="I2703" s="412">
        <f>'BAHAN '!G59</f>
        <v>0</v>
      </c>
      <c r="J2703" s="16">
        <f>H2703*I2703</f>
        <v>0</v>
      </c>
    </row>
    <row r="2704" spans="1:10" ht="13.5" thickBot="1">
      <c r="A2704" s="27"/>
      <c r="B2704" s="110"/>
      <c r="D2704" s="417"/>
      <c r="E2704" s="418"/>
      <c r="F2704" s="418"/>
      <c r="G2704" s="419"/>
      <c r="H2704" s="420" t="s">
        <v>64</v>
      </c>
      <c r="I2704" s="421"/>
      <c r="J2704" s="396">
        <f>SUM(J2701:J2703)</f>
        <v>0</v>
      </c>
    </row>
    <row r="2705" spans="1:10" ht="13.5" thickBot="1">
      <c r="A2705" s="27"/>
      <c r="B2705" s="110"/>
      <c r="D2705" s="406" t="s">
        <v>65</v>
      </c>
      <c r="E2705" s="13" t="s">
        <v>66</v>
      </c>
      <c r="F2705" s="14"/>
      <c r="G2705" s="15"/>
      <c r="H2705" s="451"/>
      <c r="I2705" s="412">
        <f>IF(AND(E2705&lt;&gt;"",G2705&lt;&gt;""),IF(D2705="",IF(G2705="OH",VLOOKUP(E2705,UPAH!$C$4:$H$31,7,0),VLOOKUP(E2705,#REF!,4,0)),0),0)</f>
        <v>0</v>
      </c>
      <c r="J2705" s="16">
        <f>H2705*I2705</f>
        <v>0</v>
      </c>
    </row>
    <row r="2706" spans="1:10" ht="13.5" thickBot="1">
      <c r="A2706" s="27"/>
      <c r="B2706" s="110"/>
      <c r="D2706" s="417"/>
      <c r="E2706" s="418"/>
      <c r="F2706" s="418"/>
      <c r="G2706" s="419"/>
      <c r="H2706" s="420" t="s">
        <v>67</v>
      </c>
      <c r="I2706" s="421"/>
      <c r="J2706" s="396">
        <f>J2705</f>
        <v>0</v>
      </c>
    </row>
    <row r="2707" spans="1:10" ht="13">
      <c r="A2707" s="27"/>
      <c r="B2707" s="110"/>
      <c r="D2707" s="444" t="s">
        <v>68</v>
      </c>
      <c r="E2707" s="445" t="s">
        <v>69</v>
      </c>
      <c r="F2707" s="446"/>
      <c r="G2707" s="447"/>
      <c r="H2707" s="448"/>
      <c r="I2707" s="449">
        <f>IF(AND(E2707&lt;&gt;"",G2707&lt;&gt;""),IF(D2707="",IF(G2707="OH",VLOOKUP(E2707,UPAH!$C$4:$H$31,7,0),VLOOKUP(E2707,#REF!,4,0)),0),0)</f>
        <v>0</v>
      </c>
      <c r="J2707" s="16">
        <f>SUM(J2694:J2706)/2</f>
        <v>0</v>
      </c>
    </row>
    <row r="2708" spans="1:10" ht="13.5" thickBot="1">
      <c r="A2708" s="27"/>
      <c r="B2708" s="110"/>
      <c r="D2708" s="431" t="s">
        <v>70</v>
      </c>
      <c r="E2708" s="432" t="s">
        <v>477</v>
      </c>
      <c r="F2708" s="433"/>
      <c r="G2708" s="434"/>
      <c r="H2708" s="22">
        <v>0.1</v>
      </c>
      <c r="I2708" s="436"/>
      <c r="J2708" s="430">
        <f>H2708*J2707</f>
        <v>0</v>
      </c>
    </row>
    <row r="2709" spans="1:10" ht="13.5" thickBot="1">
      <c r="A2709" s="27"/>
      <c r="B2709" s="110"/>
      <c r="D2709" s="401" t="s">
        <v>71</v>
      </c>
      <c r="E2709" s="402" t="s">
        <v>72</v>
      </c>
      <c r="F2709" s="418"/>
      <c r="G2709" s="419"/>
      <c r="H2709" s="442"/>
      <c r="I2709" s="421">
        <f>IF(AND(E2709&lt;&gt;"",G2709&lt;&gt;""),IF(D2709="",IF(G2709="OH",VLOOKUP(E2709,UPAH!$C$4:$H$31,7,0),VLOOKUP(E2709,#REF!,4,0)),0),0)</f>
        <v>0</v>
      </c>
      <c r="J2709" s="396">
        <f>ROUNDDOWN(J2707+J2708,0)</f>
        <v>0</v>
      </c>
    </row>
    <row r="2710" spans="1:10" ht="13">
      <c r="A2710" s="27"/>
      <c r="B2710" s="110"/>
      <c r="D2710" s="11"/>
      <c r="E2710" s="11"/>
      <c r="H2710" s="443"/>
    </row>
    <row r="2711" spans="1:10" ht="13.5" thickBot="1">
      <c r="A2711" s="27"/>
      <c r="B2711" s="110"/>
      <c r="C2711" s="11" t="s">
        <v>1812</v>
      </c>
      <c r="D2711" s="10" t="s">
        <v>770</v>
      </c>
      <c r="H2711" s="443"/>
    </row>
    <row r="2712" spans="1:10" ht="13.5" thickBot="1">
      <c r="A2712" s="27"/>
      <c r="B2712" s="110"/>
      <c r="D2712" s="401" t="s">
        <v>40</v>
      </c>
      <c r="E2712" s="402" t="s">
        <v>41</v>
      </c>
      <c r="F2712" s="402" t="s">
        <v>42</v>
      </c>
      <c r="G2712" s="403" t="s">
        <v>43</v>
      </c>
      <c r="H2712" s="404" t="s">
        <v>44</v>
      </c>
      <c r="I2712" s="402" t="s">
        <v>474</v>
      </c>
      <c r="J2712" s="405" t="s">
        <v>475</v>
      </c>
    </row>
    <row r="2713" spans="1:10" ht="13">
      <c r="A2713" s="27"/>
      <c r="B2713" s="110"/>
      <c r="D2713" s="406" t="s">
        <v>45</v>
      </c>
      <c r="E2713" s="13" t="s">
        <v>46</v>
      </c>
      <c r="F2713" s="14"/>
      <c r="G2713" s="15"/>
      <c r="H2713" s="451"/>
      <c r="I2713" s="412"/>
      <c r="J2713" s="16"/>
    </row>
    <row r="2714" spans="1:10" ht="13">
      <c r="A2714" s="27"/>
      <c r="B2714" s="110"/>
      <c r="D2714" s="409"/>
      <c r="E2714" s="13" t="s">
        <v>47</v>
      </c>
      <c r="F2714" s="13" t="s">
        <v>1918</v>
      </c>
      <c r="G2714" s="410" t="s">
        <v>48</v>
      </c>
      <c r="H2714" s="411">
        <v>0.6</v>
      </c>
      <c r="I2714" s="412">
        <f>IF(AND(E2714&lt;&gt;"",G2714&lt;&gt;""),IF(D2714="",IF(G2714="OH",VLOOKUP(F2714,UPAH!$B$4:$H$101,7,0),VLOOKUP(F2714,#REF!,4,0)),0),0)</f>
        <v>0</v>
      </c>
      <c r="J2714" s="16">
        <f>H2714*I2714</f>
        <v>0</v>
      </c>
    </row>
    <row r="2715" spans="1:10" ht="13">
      <c r="A2715" s="27"/>
      <c r="B2715" s="110"/>
      <c r="D2715" s="409"/>
      <c r="E2715" s="13" t="s">
        <v>115</v>
      </c>
      <c r="F2715" s="13" t="s">
        <v>1921</v>
      </c>
      <c r="G2715" s="410" t="s">
        <v>48</v>
      </c>
      <c r="H2715" s="411">
        <v>0.2</v>
      </c>
      <c r="I2715" s="412">
        <f>IF(AND(E2715&lt;&gt;"",G2715&lt;&gt;""),IF(D2715="",IF(G2715="OH",VLOOKUP(F2715,UPAH!$B$4:$H$101,7,0),VLOOKUP(F2715,#REF!,4,0)),0),0)</f>
        <v>0</v>
      </c>
      <c r="J2715" s="16">
        <f>H2715*I2715</f>
        <v>0</v>
      </c>
    </row>
    <row r="2716" spans="1:10" ht="13">
      <c r="A2716" s="27"/>
      <c r="B2716" s="110"/>
      <c r="D2716" s="409"/>
      <c r="E2716" s="13" t="s">
        <v>97</v>
      </c>
      <c r="F2716" s="13" t="s">
        <v>1928</v>
      </c>
      <c r="G2716" s="410" t="s">
        <v>48</v>
      </c>
      <c r="H2716" s="411">
        <v>0.02</v>
      </c>
      <c r="I2716" s="412">
        <f>IF(AND(E2716&lt;&gt;"",G2716&lt;&gt;""),IF(D2716="",IF(G2716="OH",VLOOKUP(F2716,UPAH!$B$4:$H$101,7,0),VLOOKUP(F2716,#REF!,4,0)),0),0)</f>
        <v>0</v>
      </c>
      <c r="J2716" s="16">
        <f>H2716*I2716</f>
        <v>0</v>
      </c>
    </row>
    <row r="2717" spans="1:10" ht="13.5" thickBot="1">
      <c r="A2717" s="27"/>
      <c r="B2717" s="110"/>
      <c r="D2717" s="409"/>
      <c r="E2717" s="13" t="s">
        <v>51</v>
      </c>
      <c r="F2717" s="13" t="s">
        <v>1929</v>
      </c>
      <c r="G2717" s="410" t="s">
        <v>48</v>
      </c>
      <c r="H2717" s="411">
        <v>0.03</v>
      </c>
      <c r="I2717" s="412">
        <f>IF(AND(E2717&lt;&gt;"",G2717&lt;&gt;""),IF(D2717="",IF(G2717="OH",VLOOKUP(F2717,UPAH!$B$4:$H$101,7,0),VLOOKUP(F2717,#REF!,4,0)),0),0)</f>
        <v>0</v>
      </c>
      <c r="J2717" s="16">
        <f>H2717*I2717</f>
        <v>0</v>
      </c>
    </row>
    <row r="2718" spans="1:10" ht="13.5" thickBot="1">
      <c r="A2718" s="27"/>
      <c r="B2718" s="110"/>
      <c r="D2718" s="417"/>
      <c r="E2718" s="418"/>
      <c r="F2718" s="418"/>
      <c r="G2718" s="419"/>
      <c r="H2718" s="420" t="s">
        <v>52</v>
      </c>
      <c r="I2718" s="421"/>
      <c r="J2718" s="396">
        <f>SUM(J2714:J2717)</f>
        <v>0</v>
      </c>
    </row>
    <row r="2719" spans="1:10" ht="13">
      <c r="A2719" s="27"/>
      <c r="B2719" s="110"/>
      <c r="D2719" s="406" t="s">
        <v>53</v>
      </c>
      <c r="E2719" s="13" t="s">
        <v>54</v>
      </c>
      <c r="F2719" s="14"/>
      <c r="G2719" s="15"/>
      <c r="H2719" s="451"/>
      <c r="I2719" s="412"/>
      <c r="J2719" s="16"/>
    </row>
    <row r="2720" spans="1:10" ht="13">
      <c r="A2720" s="27"/>
      <c r="B2720" s="110"/>
      <c r="D2720" s="409"/>
      <c r="E2720" s="13" t="s">
        <v>86</v>
      </c>
      <c r="F2720" s="14"/>
      <c r="G2720" s="410" t="s">
        <v>259</v>
      </c>
      <c r="H2720" s="411">
        <v>140</v>
      </c>
      <c r="I2720" s="412">
        <f>'BAHAN '!G15</f>
        <v>0</v>
      </c>
      <c r="J2720" s="16">
        <f>H2720*I2720</f>
        <v>0</v>
      </c>
    </row>
    <row r="2721" spans="1:10" ht="13">
      <c r="A2721" s="27"/>
      <c r="B2721" s="110"/>
      <c r="D2721" s="409"/>
      <c r="E2721" s="13" t="s">
        <v>56</v>
      </c>
      <c r="F2721" s="14"/>
      <c r="G2721" s="410" t="s">
        <v>57</v>
      </c>
      <c r="H2721" s="411">
        <v>18.5</v>
      </c>
      <c r="I2721" s="412">
        <f>'BAHAN '!G72</f>
        <v>0</v>
      </c>
      <c r="J2721" s="16">
        <f>H2721*I2721</f>
        <v>0</v>
      </c>
    </row>
    <row r="2722" spans="1:10" ht="13.5" thickBot="1">
      <c r="A2722" s="27"/>
      <c r="B2722" s="110"/>
      <c r="D2722" s="409"/>
      <c r="E2722" s="13" t="s">
        <v>101</v>
      </c>
      <c r="F2722" s="14"/>
      <c r="G2722" s="410" t="s">
        <v>375</v>
      </c>
      <c r="H2722" s="411">
        <v>0.122</v>
      </c>
      <c r="I2722" s="412">
        <f>'BAHAN '!G59</f>
        <v>0</v>
      </c>
      <c r="J2722" s="16">
        <f>H2722*I2722</f>
        <v>0</v>
      </c>
    </row>
    <row r="2723" spans="1:10" ht="13.5" thickBot="1">
      <c r="A2723" s="27"/>
      <c r="B2723" s="110"/>
      <c r="D2723" s="417"/>
      <c r="E2723" s="418"/>
      <c r="F2723" s="418"/>
      <c r="G2723" s="419"/>
      <c r="H2723" s="420" t="s">
        <v>64</v>
      </c>
      <c r="I2723" s="421"/>
      <c r="J2723" s="396">
        <f>SUM(J2720:J2722)</f>
        <v>0</v>
      </c>
    </row>
    <row r="2724" spans="1:10" ht="13.5" thickBot="1">
      <c r="A2724" s="27"/>
      <c r="B2724" s="110"/>
      <c r="D2724" s="406" t="s">
        <v>65</v>
      </c>
      <c r="E2724" s="13" t="s">
        <v>66</v>
      </c>
      <c r="F2724" s="14"/>
      <c r="G2724" s="15"/>
      <c r="H2724" s="451"/>
      <c r="I2724" s="412">
        <f>IF(AND(E2724&lt;&gt;"",G2724&lt;&gt;""),IF(D2724="",IF(G2724="OH",VLOOKUP(E2724,UPAH!$C$4:$H$31,7,0),VLOOKUP(E2724,#REF!,4,0)),0),0)</f>
        <v>0</v>
      </c>
      <c r="J2724" s="16">
        <f>H2724*I2724</f>
        <v>0</v>
      </c>
    </row>
    <row r="2725" spans="1:10" ht="13.5" thickBot="1">
      <c r="A2725" s="27"/>
      <c r="B2725" s="110"/>
      <c r="D2725" s="417"/>
      <c r="E2725" s="418"/>
      <c r="F2725" s="418"/>
      <c r="G2725" s="419"/>
      <c r="H2725" s="420" t="s">
        <v>67</v>
      </c>
      <c r="I2725" s="421"/>
      <c r="J2725" s="396">
        <f>J2724</f>
        <v>0</v>
      </c>
    </row>
    <row r="2726" spans="1:10" ht="13">
      <c r="A2726" s="27"/>
      <c r="B2726" s="110"/>
      <c r="D2726" s="444" t="s">
        <v>68</v>
      </c>
      <c r="E2726" s="445" t="s">
        <v>69</v>
      </c>
      <c r="F2726" s="446"/>
      <c r="G2726" s="447"/>
      <c r="H2726" s="448"/>
      <c r="I2726" s="449">
        <f>IF(AND(E2726&lt;&gt;"",G2726&lt;&gt;""),IF(D2726="",IF(G2726="OH",VLOOKUP(E2726,UPAH!$C$4:$H$31,7,0),VLOOKUP(E2726,#REF!,4,0)),0),0)</f>
        <v>0</v>
      </c>
      <c r="J2726" s="16">
        <f>SUM(J2713:J2725)/2</f>
        <v>0</v>
      </c>
    </row>
    <row r="2727" spans="1:10" ht="13.5" thickBot="1">
      <c r="A2727" s="27"/>
      <c r="B2727" s="110"/>
      <c r="D2727" s="431" t="s">
        <v>70</v>
      </c>
      <c r="E2727" s="432" t="s">
        <v>477</v>
      </c>
      <c r="F2727" s="433"/>
      <c r="G2727" s="434"/>
      <c r="H2727" s="22">
        <v>0.1</v>
      </c>
      <c r="I2727" s="436"/>
      <c r="J2727" s="430">
        <f>H2727*J2726</f>
        <v>0</v>
      </c>
    </row>
    <row r="2728" spans="1:10" ht="13.5" thickBot="1">
      <c r="A2728" s="27"/>
      <c r="B2728" s="110"/>
      <c r="D2728" s="401" t="s">
        <v>71</v>
      </c>
      <c r="E2728" s="402" t="s">
        <v>72</v>
      </c>
      <c r="F2728" s="418"/>
      <c r="G2728" s="419"/>
      <c r="H2728" s="442"/>
      <c r="I2728" s="421">
        <f>IF(AND(E2728&lt;&gt;"",G2728&lt;&gt;""),IF(D2728="",IF(G2728="OH",VLOOKUP(E2728,UPAH!$C$4:$H$31,7,0),VLOOKUP(E2728,#REF!,4,0)),0),0)</f>
        <v>0</v>
      </c>
      <c r="J2728" s="396">
        <f>ROUNDDOWN(J2726+J2727,0)</f>
        <v>0</v>
      </c>
    </row>
    <row r="2729" spans="1:10" ht="13">
      <c r="A2729" s="27"/>
      <c r="B2729" s="110"/>
      <c r="D2729" s="11"/>
      <c r="E2729" s="11"/>
      <c r="H2729" s="443"/>
    </row>
    <row r="2730" spans="1:10" ht="13.5" thickBot="1">
      <c r="A2730" s="27"/>
      <c r="B2730" s="110"/>
      <c r="C2730" s="11" t="s">
        <v>1799</v>
      </c>
      <c r="D2730" s="10" t="s">
        <v>771</v>
      </c>
      <c r="H2730" s="443"/>
    </row>
    <row r="2731" spans="1:10" ht="13.5" thickBot="1">
      <c r="A2731" s="27"/>
      <c r="B2731" s="110"/>
      <c r="D2731" s="401" t="s">
        <v>40</v>
      </c>
      <c r="E2731" s="402" t="s">
        <v>41</v>
      </c>
      <c r="F2731" s="402" t="s">
        <v>42</v>
      </c>
      <c r="G2731" s="403" t="s">
        <v>43</v>
      </c>
      <c r="H2731" s="404" t="s">
        <v>44</v>
      </c>
      <c r="I2731" s="402" t="s">
        <v>474</v>
      </c>
      <c r="J2731" s="405" t="s">
        <v>475</v>
      </c>
    </row>
    <row r="2732" spans="1:10" ht="13">
      <c r="A2732" s="27"/>
      <c r="B2732" s="110"/>
      <c r="D2732" s="406" t="s">
        <v>45</v>
      </c>
      <c r="E2732" s="13" t="s">
        <v>46</v>
      </c>
      <c r="F2732" s="14"/>
      <c r="G2732" s="15"/>
      <c r="H2732" s="451"/>
      <c r="I2732" s="412"/>
      <c r="J2732" s="16"/>
    </row>
    <row r="2733" spans="1:10" ht="13">
      <c r="A2733" s="27"/>
      <c r="B2733" s="110"/>
      <c r="D2733" s="409"/>
      <c r="E2733" s="13" t="s">
        <v>47</v>
      </c>
      <c r="F2733" s="13" t="s">
        <v>1918</v>
      </c>
      <c r="G2733" s="410" t="s">
        <v>48</v>
      </c>
      <c r="H2733" s="411">
        <v>0.6</v>
      </c>
      <c r="I2733" s="412">
        <f>IF(AND(E2733&lt;&gt;"",G2733&lt;&gt;""),IF(D2733="",IF(G2733="OH",VLOOKUP(F2733,UPAH!$B$4:$H$101,7,0),VLOOKUP(F2733,#REF!,4,0)),0),0)</f>
        <v>0</v>
      </c>
      <c r="J2733" s="16">
        <f>H2733*I2733</f>
        <v>0</v>
      </c>
    </row>
    <row r="2734" spans="1:10" ht="13">
      <c r="A2734" s="27"/>
      <c r="B2734" s="110"/>
      <c r="D2734" s="409"/>
      <c r="E2734" s="13" t="s">
        <v>115</v>
      </c>
      <c r="F2734" s="13" t="s">
        <v>1921</v>
      </c>
      <c r="G2734" s="410" t="s">
        <v>48</v>
      </c>
      <c r="H2734" s="411">
        <v>0.2</v>
      </c>
      <c r="I2734" s="412">
        <f>IF(AND(E2734&lt;&gt;"",G2734&lt;&gt;""),IF(D2734="",IF(G2734="OH",VLOOKUP(F2734,UPAH!$B$4:$H$101,7,0),VLOOKUP(F2734,#REF!,4,0)),0),0)</f>
        <v>0</v>
      </c>
      <c r="J2734" s="16">
        <f>H2734*I2734</f>
        <v>0</v>
      </c>
    </row>
    <row r="2735" spans="1:10" ht="13">
      <c r="A2735" s="27"/>
      <c r="B2735" s="110"/>
      <c r="D2735" s="409"/>
      <c r="E2735" s="13" t="s">
        <v>97</v>
      </c>
      <c r="F2735" s="13" t="s">
        <v>1928</v>
      </c>
      <c r="G2735" s="410" t="s">
        <v>48</v>
      </c>
      <c r="H2735" s="411">
        <v>0.02</v>
      </c>
      <c r="I2735" s="412">
        <f>IF(AND(E2735&lt;&gt;"",G2735&lt;&gt;""),IF(D2735="",IF(G2735="OH",VLOOKUP(F2735,UPAH!$B$4:$H$101,7,0),VLOOKUP(F2735,#REF!,4,0)),0),0)</f>
        <v>0</v>
      </c>
      <c r="J2735" s="16">
        <f>H2735*I2735</f>
        <v>0</v>
      </c>
    </row>
    <row r="2736" spans="1:10" ht="13.5" thickBot="1">
      <c r="A2736" s="27"/>
      <c r="B2736" s="110"/>
      <c r="D2736" s="409"/>
      <c r="E2736" s="13" t="s">
        <v>51</v>
      </c>
      <c r="F2736" s="13" t="s">
        <v>1929</v>
      </c>
      <c r="G2736" s="410" t="s">
        <v>48</v>
      </c>
      <c r="H2736" s="411">
        <v>0.03</v>
      </c>
      <c r="I2736" s="412">
        <f>IF(AND(E2736&lt;&gt;"",G2736&lt;&gt;""),IF(D2736="",IF(G2736="OH",VLOOKUP(F2736,UPAH!$B$4:$H$101,7,0),VLOOKUP(F2736,#REF!,4,0)),0),0)</f>
        <v>0</v>
      </c>
      <c r="J2736" s="16">
        <f>H2736*I2736</f>
        <v>0</v>
      </c>
    </row>
    <row r="2737" spans="1:10" ht="13.5" thickBot="1">
      <c r="A2737" s="27"/>
      <c r="B2737" s="110"/>
      <c r="D2737" s="417"/>
      <c r="E2737" s="418"/>
      <c r="F2737" s="418"/>
      <c r="G2737" s="419"/>
      <c r="H2737" s="420" t="s">
        <v>52</v>
      </c>
      <c r="I2737" s="421"/>
      <c r="J2737" s="396">
        <f>SUM(J2733:J2736)</f>
        <v>0</v>
      </c>
    </row>
    <row r="2738" spans="1:10" ht="13">
      <c r="A2738" s="27"/>
      <c r="B2738" s="110"/>
      <c r="D2738" s="406" t="s">
        <v>53</v>
      </c>
      <c r="E2738" s="13" t="s">
        <v>54</v>
      </c>
      <c r="F2738" s="14"/>
      <c r="G2738" s="15"/>
      <c r="H2738" s="451"/>
      <c r="I2738" s="412"/>
      <c r="J2738" s="16"/>
    </row>
    <row r="2739" spans="1:10" ht="13">
      <c r="A2739" s="27"/>
      <c r="B2739" s="110"/>
      <c r="D2739" s="409"/>
      <c r="E2739" s="13" t="s">
        <v>86</v>
      </c>
      <c r="F2739" s="14"/>
      <c r="G2739" s="410" t="s">
        <v>259</v>
      </c>
      <c r="H2739" s="411">
        <v>140</v>
      </c>
      <c r="I2739" s="412">
        <f>'BAHAN '!G15</f>
        <v>0</v>
      </c>
      <c r="J2739" s="16">
        <f>H2739*I2739</f>
        <v>0</v>
      </c>
    </row>
    <row r="2740" spans="1:10" ht="13">
      <c r="A2740" s="27"/>
      <c r="B2740" s="110"/>
      <c r="D2740" s="409"/>
      <c r="E2740" s="13" t="s">
        <v>56</v>
      </c>
      <c r="F2740" s="14"/>
      <c r="G2740" s="410" t="s">
        <v>57</v>
      </c>
      <c r="H2740" s="411">
        <v>10.08</v>
      </c>
      <c r="I2740" s="412">
        <f>'BAHAN '!G72</f>
        <v>0</v>
      </c>
      <c r="J2740" s="16">
        <f>H2740*I2740</f>
        <v>0</v>
      </c>
    </row>
    <row r="2741" spans="1:10" ht="13">
      <c r="A2741" s="27"/>
      <c r="B2741" s="110"/>
      <c r="D2741" s="409"/>
      <c r="E2741" s="13" t="s">
        <v>105</v>
      </c>
      <c r="F2741" s="14"/>
      <c r="G2741" s="410" t="s">
        <v>375</v>
      </c>
      <c r="H2741" s="411">
        <v>2.75E-2</v>
      </c>
      <c r="I2741" s="412">
        <f>'BAHAN '!G867</f>
        <v>0</v>
      </c>
      <c r="J2741" s="16">
        <f>H2741*I2741</f>
        <v>0</v>
      </c>
    </row>
    <row r="2742" spans="1:10" ht="13.5" thickBot="1">
      <c r="A2742" s="27"/>
      <c r="B2742" s="110"/>
      <c r="D2742" s="409"/>
      <c r="E2742" s="13" t="s">
        <v>101</v>
      </c>
      <c r="F2742" s="14"/>
      <c r="G2742" s="410" t="s">
        <v>375</v>
      </c>
      <c r="H2742" s="411">
        <v>9.2499999999999999E-2</v>
      </c>
      <c r="I2742" s="412">
        <f>'BAHAN '!G59</f>
        <v>0</v>
      </c>
      <c r="J2742" s="16">
        <f>H2742*I2742</f>
        <v>0</v>
      </c>
    </row>
    <row r="2743" spans="1:10" ht="13.5" thickBot="1">
      <c r="A2743" s="27"/>
      <c r="B2743" s="110"/>
      <c r="D2743" s="417"/>
      <c r="E2743" s="418"/>
      <c r="F2743" s="418"/>
      <c r="G2743" s="419"/>
      <c r="H2743" s="420" t="s">
        <v>64</v>
      </c>
      <c r="I2743" s="421"/>
      <c r="J2743" s="396">
        <f>SUM(J2739:J2742)</f>
        <v>0</v>
      </c>
    </row>
    <row r="2744" spans="1:10" ht="13.5" thickBot="1">
      <c r="A2744" s="27"/>
      <c r="B2744" s="110"/>
      <c r="D2744" s="406" t="s">
        <v>65</v>
      </c>
      <c r="E2744" s="13" t="s">
        <v>66</v>
      </c>
      <c r="F2744" s="14"/>
      <c r="G2744" s="15"/>
      <c r="H2744" s="451"/>
      <c r="I2744" s="412">
        <f>IF(AND(E2744&lt;&gt;"",G2744&lt;&gt;""),IF(D2744="",IF(G2744="OH",VLOOKUP(E2744,UPAH!$C$4:$H$31,7,0),VLOOKUP(E2744,#REF!,4,0)),0),0)</f>
        <v>0</v>
      </c>
      <c r="J2744" s="16">
        <f>H2744*I2744</f>
        <v>0</v>
      </c>
    </row>
    <row r="2745" spans="1:10" ht="13.5" thickBot="1">
      <c r="A2745" s="27"/>
      <c r="B2745" s="110"/>
      <c r="D2745" s="417"/>
      <c r="E2745" s="418"/>
      <c r="F2745" s="418"/>
      <c r="G2745" s="419"/>
      <c r="H2745" s="420" t="s">
        <v>67</v>
      </c>
      <c r="I2745" s="421"/>
      <c r="J2745" s="396">
        <f>J2744</f>
        <v>0</v>
      </c>
    </row>
    <row r="2746" spans="1:10" ht="13">
      <c r="A2746" s="27"/>
      <c r="B2746" s="110"/>
      <c r="D2746" s="444" t="s">
        <v>68</v>
      </c>
      <c r="E2746" s="445" t="s">
        <v>69</v>
      </c>
      <c r="F2746" s="446"/>
      <c r="G2746" s="447"/>
      <c r="H2746" s="448"/>
      <c r="I2746" s="449">
        <f>IF(AND(E2746&lt;&gt;"",G2746&lt;&gt;""),IF(D2746="",IF(G2746="OH",VLOOKUP(E2746,UPAH!$C$4:$H$31,7,0),VLOOKUP(E2746,#REF!,4,0)),0),0)</f>
        <v>0</v>
      </c>
      <c r="J2746" s="16">
        <f>SUM(J2733:J2745)/2</f>
        <v>0</v>
      </c>
    </row>
    <row r="2747" spans="1:10" ht="13.5" thickBot="1">
      <c r="A2747" s="27"/>
      <c r="B2747" s="110"/>
      <c r="D2747" s="431" t="s">
        <v>70</v>
      </c>
      <c r="E2747" s="432" t="s">
        <v>477</v>
      </c>
      <c r="F2747" s="433"/>
      <c r="G2747" s="434"/>
      <c r="H2747" s="22">
        <v>0.1</v>
      </c>
      <c r="I2747" s="436"/>
      <c r="J2747" s="430">
        <f>H2747*J2746</f>
        <v>0</v>
      </c>
    </row>
    <row r="2748" spans="1:10" ht="13.5" thickBot="1">
      <c r="A2748" s="27"/>
      <c r="B2748" s="110"/>
      <c r="D2748" s="401" t="s">
        <v>71</v>
      </c>
      <c r="E2748" s="402" t="s">
        <v>72</v>
      </c>
      <c r="F2748" s="418"/>
      <c r="G2748" s="419"/>
      <c r="H2748" s="442"/>
      <c r="I2748" s="421">
        <f>IF(AND(E2748&lt;&gt;"",G2748&lt;&gt;""),IF(D2748="",IF(G2748="OH",VLOOKUP(E2748,UPAH!$C$4:$H$31,7,0),VLOOKUP(E2748,#REF!,4,0)),0),0)</f>
        <v>0</v>
      </c>
      <c r="J2748" s="396">
        <f>ROUNDDOWN(J2746+J2747,0)</f>
        <v>0</v>
      </c>
    </row>
    <row r="2749" spans="1:10" ht="13">
      <c r="A2749" s="27"/>
      <c r="B2749" s="110"/>
      <c r="D2749" s="11"/>
      <c r="E2749" s="11"/>
      <c r="H2749" s="443"/>
    </row>
    <row r="2750" spans="1:10" ht="13.5" thickBot="1">
      <c r="A2750" s="27"/>
      <c r="B2750" s="110"/>
      <c r="C2750" s="10" t="s">
        <v>773</v>
      </c>
      <c r="D2750" s="10" t="s">
        <v>772</v>
      </c>
      <c r="E2750" s="11"/>
      <c r="H2750" s="443"/>
    </row>
    <row r="2751" spans="1:10" ht="13.5" thickBot="1">
      <c r="A2751" s="27"/>
      <c r="B2751" s="110"/>
      <c r="D2751" s="401" t="s">
        <v>40</v>
      </c>
      <c r="E2751" s="402" t="s">
        <v>41</v>
      </c>
      <c r="F2751" s="402" t="s">
        <v>42</v>
      </c>
      <c r="G2751" s="403" t="s">
        <v>43</v>
      </c>
      <c r="H2751" s="404" t="s">
        <v>44</v>
      </c>
      <c r="I2751" s="402" t="s">
        <v>474</v>
      </c>
      <c r="J2751" s="405" t="s">
        <v>475</v>
      </c>
    </row>
    <row r="2752" spans="1:10" ht="13">
      <c r="A2752" s="27"/>
      <c r="B2752" s="110"/>
      <c r="D2752" s="406" t="s">
        <v>45</v>
      </c>
      <c r="E2752" s="13" t="s">
        <v>46</v>
      </c>
      <c r="F2752" s="14"/>
      <c r="G2752" s="15"/>
      <c r="H2752" s="451"/>
      <c r="I2752" s="412"/>
      <c r="J2752" s="16"/>
    </row>
    <row r="2753" spans="1:10" ht="13">
      <c r="A2753" s="27"/>
      <c r="B2753" s="110"/>
      <c r="D2753" s="409"/>
      <c r="E2753" s="13" t="s">
        <v>47</v>
      </c>
      <c r="F2753" s="13" t="s">
        <v>1918</v>
      </c>
      <c r="G2753" s="410" t="s">
        <v>48</v>
      </c>
      <c r="H2753" s="411">
        <v>0.3</v>
      </c>
      <c r="I2753" s="412">
        <f>IF(AND(E2753&lt;&gt;"",G2753&lt;&gt;""),IF(D2753="",IF(G2753="OH",VLOOKUP(F2753,UPAH!$B$4:$H$101,7,0),VLOOKUP(F2753,#REF!,4,0)),0),0)</f>
        <v>0</v>
      </c>
      <c r="J2753" s="16">
        <f>H2753*I2753</f>
        <v>0</v>
      </c>
    </row>
    <row r="2754" spans="1:10" ht="13">
      <c r="A2754" s="27"/>
      <c r="B2754" s="110"/>
      <c r="D2754" s="409"/>
      <c r="E2754" s="13" t="s">
        <v>115</v>
      </c>
      <c r="F2754" s="13" t="s">
        <v>1921</v>
      </c>
      <c r="G2754" s="410" t="s">
        <v>48</v>
      </c>
      <c r="H2754" s="411">
        <v>0.1</v>
      </c>
      <c r="I2754" s="412">
        <f>IF(AND(E2754&lt;&gt;"",G2754&lt;&gt;""),IF(D2754="",IF(G2754="OH",VLOOKUP(F2754,UPAH!$B$4:$H$101,7,0),VLOOKUP(F2754,#REF!,4,0)),0),0)</f>
        <v>0</v>
      </c>
      <c r="J2754" s="16">
        <f>H2754*I2754</f>
        <v>0</v>
      </c>
    </row>
    <row r="2755" spans="1:10" ht="13">
      <c r="A2755" s="27"/>
      <c r="B2755" s="110"/>
      <c r="D2755" s="409"/>
      <c r="E2755" s="13" t="s">
        <v>97</v>
      </c>
      <c r="F2755" s="13" t="s">
        <v>1928</v>
      </c>
      <c r="G2755" s="410" t="s">
        <v>48</v>
      </c>
      <c r="H2755" s="411">
        <v>0.01</v>
      </c>
      <c r="I2755" s="412">
        <f>IF(AND(E2755&lt;&gt;"",G2755&lt;&gt;""),IF(D2755="",IF(G2755="OH",VLOOKUP(F2755,UPAH!$B$4:$H$101,7,0),VLOOKUP(F2755,#REF!,4,0)),0),0)</f>
        <v>0</v>
      </c>
      <c r="J2755" s="16">
        <f>H2755*I2755</f>
        <v>0</v>
      </c>
    </row>
    <row r="2756" spans="1:10" ht="13.5" thickBot="1">
      <c r="A2756" s="27"/>
      <c r="B2756" s="110"/>
      <c r="D2756" s="409"/>
      <c r="E2756" s="13" t="s">
        <v>51</v>
      </c>
      <c r="F2756" s="13" t="s">
        <v>1929</v>
      </c>
      <c r="G2756" s="410" t="s">
        <v>48</v>
      </c>
      <c r="H2756" s="411">
        <v>1.4999999999999999E-2</v>
      </c>
      <c r="I2756" s="412">
        <f>IF(AND(E2756&lt;&gt;"",G2756&lt;&gt;""),IF(D2756="",IF(G2756="OH",VLOOKUP(F2756,UPAH!$B$4:$H$101,7,0),VLOOKUP(F2756,#REF!,4,0)),0),0)</f>
        <v>0</v>
      </c>
      <c r="J2756" s="16">
        <f>H2756*I2756</f>
        <v>0</v>
      </c>
    </row>
    <row r="2757" spans="1:10" ht="13.5" thickBot="1">
      <c r="A2757" s="27"/>
      <c r="B2757" s="110"/>
      <c r="D2757" s="417"/>
      <c r="E2757" s="418"/>
      <c r="F2757" s="418"/>
      <c r="G2757" s="419"/>
      <c r="H2757" s="420" t="s">
        <v>52</v>
      </c>
      <c r="I2757" s="421"/>
      <c r="J2757" s="396">
        <f>SUM(J2753:J2756)</f>
        <v>0</v>
      </c>
    </row>
    <row r="2758" spans="1:10" ht="13">
      <c r="A2758" s="27"/>
      <c r="B2758" s="110"/>
      <c r="D2758" s="406" t="s">
        <v>53</v>
      </c>
      <c r="E2758" s="13" t="s">
        <v>54</v>
      </c>
      <c r="F2758" s="14"/>
      <c r="G2758" s="15"/>
      <c r="H2758" s="451"/>
      <c r="I2758" s="412"/>
      <c r="J2758" s="16"/>
    </row>
    <row r="2759" spans="1:10" ht="13">
      <c r="A2759" s="27"/>
      <c r="B2759" s="110"/>
      <c r="D2759" s="409"/>
      <c r="E2759" s="13" t="s">
        <v>86</v>
      </c>
      <c r="F2759" s="14"/>
      <c r="G2759" s="410" t="s">
        <v>259</v>
      </c>
      <c r="H2759" s="411">
        <v>70</v>
      </c>
      <c r="I2759" s="412">
        <f>'BAHAN '!G15</f>
        <v>0</v>
      </c>
      <c r="J2759" s="16">
        <f>H2759*I2759</f>
        <v>0</v>
      </c>
    </row>
    <row r="2760" spans="1:10" ht="13">
      <c r="A2760" s="27"/>
      <c r="B2760" s="110"/>
      <c r="D2760" s="409"/>
      <c r="E2760" s="13" t="s">
        <v>56</v>
      </c>
      <c r="F2760" s="14"/>
      <c r="G2760" s="410" t="s">
        <v>57</v>
      </c>
      <c r="H2760" s="411">
        <v>18.95</v>
      </c>
      <c r="I2760" s="412">
        <f>'BAHAN '!G72</f>
        <v>0</v>
      </c>
      <c r="J2760" s="16">
        <f>H2760*I2760</f>
        <v>0</v>
      </c>
    </row>
    <row r="2761" spans="1:10" ht="13.5" thickBot="1">
      <c r="A2761" s="27"/>
      <c r="B2761" s="110"/>
      <c r="D2761" s="409"/>
      <c r="E2761" s="13" t="s">
        <v>101</v>
      </c>
      <c r="F2761" s="14"/>
      <c r="G2761" s="410" t="s">
        <v>375</v>
      </c>
      <c r="H2761" s="411">
        <v>3.7999999999999999E-2</v>
      </c>
      <c r="I2761" s="412">
        <f>'BAHAN '!G59</f>
        <v>0</v>
      </c>
      <c r="J2761" s="16">
        <f>H2761*I2761</f>
        <v>0</v>
      </c>
    </row>
    <row r="2762" spans="1:10" ht="13.5" thickBot="1">
      <c r="A2762" s="27"/>
      <c r="B2762" s="110"/>
      <c r="D2762" s="417"/>
      <c r="E2762" s="418"/>
      <c r="F2762" s="418"/>
      <c r="G2762" s="419"/>
      <c r="H2762" s="420" t="s">
        <v>64</v>
      </c>
      <c r="I2762" s="421"/>
      <c r="J2762" s="396">
        <f>SUM(J2759:J2761)</f>
        <v>0</v>
      </c>
    </row>
    <row r="2763" spans="1:10" ht="13.5" thickBot="1">
      <c r="A2763" s="27"/>
      <c r="B2763" s="110"/>
      <c r="D2763" s="406" t="s">
        <v>65</v>
      </c>
      <c r="E2763" s="13" t="s">
        <v>66</v>
      </c>
      <c r="F2763" s="14"/>
      <c r="G2763" s="15"/>
      <c r="H2763" s="451"/>
      <c r="I2763" s="412">
        <f>IF(AND(E2763&lt;&gt;"",G2763&lt;&gt;""),IF(D2763="",IF(G2763="OH",VLOOKUP(E2763,UPAH!$C$4:$H$31,7,0),VLOOKUP(E2763,#REF!,4,0)),0),0)</f>
        <v>0</v>
      </c>
      <c r="J2763" s="16">
        <f>H2763*I2763</f>
        <v>0</v>
      </c>
    </row>
    <row r="2764" spans="1:10" ht="13.5" thickBot="1">
      <c r="A2764" s="27"/>
      <c r="B2764" s="110"/>
      <c r="D2764" s="417"/>
      <c r="E2764" s="418"/>
      <c r="F2764" s="418"/>
      <c r="G2764" s="419"/>
      <c r="H2764" s="420" t="s">
        <v>67</v>
      </c>
      <c r="I2764" s="421"/>
      <c r="J2764" s="396">
        <f>J2763</f>
        <v>0</v>
      </c>
    </row>
    <row r="2765" spans="1:10" ht="13">
      <c r="A2765" s="27"/>
      <c r="B2765" s="110"/>
      <c r="D2765" s="444" t="s">
        <v>68</v>
      </c>
      <c r="E2765" s="445" t="s">
        <v>69</v>
      </c>
      <c r="F2765" s="446"/>
      <c r="G2765" s="447"/>
      <c r="H2765" s="448"/>
      <c r="I2765" s="449">
        <f>IF(AND(E2765&lt;&gt;"",G2765&lt;&gt;""),IF(D2765="",IF(G2765="OH",VLOOKUP(E2765,UPAH!$C$4:$H$31,7,0),VLOOKUP(E2765,#REF!,4,0)),0),0)</f>
        <v>0</v>
      </c>
      <c r="J2765" s="16">
        <f>SUM(J2752:J2764)/2</f>
        <v>0</v>
      </c>
    </row>
    <row r="2766" spans="1:10" ht="13.5" thickBot="1">
      <c r="A2766" s="27"/>
      <c r="B2766" s="110"/>
      <c r="D2766" s="431" t="s">
        <v>70</v>
      </c>
      <c r="E2766" s="432" t="s">
        <v>477</v>
      </c>
      <c r="F2766" s="433"/>
      <c r="G2766" s="434"/>
      <c r="H2766" s="22">
        <v>0.1</v>
      </c>
      <c r="I2766" s="436"/>
      <c r="J2766" s="430">
        <f>H2766*J2765</f>
        <v>0</v>
      </c>
    </row>
    <row r="2767" spans="1:10" ht="13.5" thickBot="1">
      <c r="A2767" s="27"/>
      <c r="B2767" s="110"/>
      <c r="D2767" s="401" t="s">
        <v>71</v>
      </c>
      <c r="E2767" s="402" t="s">
        <v>72</v>
      </c>
      <c r="F2767" s="418"/>
      <c r="G2767" s="419"/>
      <c r="H2767" s="442"/>
      <c r="I2767" s="421">
        <f>IF(AND(E2767&lt;&gt;"",G2767&lt;&gt;""),IF(D2767="",IF(G2767="OH",VLOOKUP(E2767,UPAH!$C$4:$H$31,7,0),VLOOKUP(E2767,#REF!,4,0)),0),0)</f>
        <v>0</v>
      </c>
      <c r="J2767" s="396">
        <f>ROUNDDOWN(J2765+J2766,0)</f>
        <v>0</v>
      </c>
    </row>
    <row r="2768" spans="1:10" ht="13">
      <c r="A2768" s="27"/>
      <c r="B2768" s="110"/>
      <c r="D2768" s="11"/>
      <c r="E2768" s="11"/>
      <c r="H2768" s="443"/>
    </row>
    <row r="2769" spans="1:10" ht="13.5" thickBot="1">
      <c r="A2769" s="27"/>
      <c r="B2769" s="110"/>
      <c r="C2769" s="11" t="s">
        <v>1813</v>
      </c>
      <c r="D2769" s="10" t="s">
        <v>774</v>
      </c>
      <c r="H2769" s="443"/>
    </row>
    <row r="2770" spans="1:10" ht="13.5" thickBot="1">
      <c r="A2770" s="27"/>
      <c r="B2770" s="110"/>
      <c r="D2770" s="401" t="s">
        <v>40</v>
      </c>
      <c r="E2770" s="402" t="s">
        <v>41</v>
      </c>
      <c r="F2770" s="402" t="s">
        <v>42</v>
      </c>
      <c r="G2770" s="403" t="s">
        <v>43</v>
      </c>
      <c r="H2770" s="404" t="s">
        <v>44</v>
      </c>
      <c r="I2770" s="402" t="s">
        <v>474</v>
      </c>
      <c r="J2770" s="405" t="s">
        <v>475</v>
      </c>
    </row>
    <row r="2771" spans="1:10" ht="13">
      <c r="A2771" s="27"/>
      <c r="B2771" s="110"/>
      <c r="D2771" s="406" t="s">
        <v>45</v>
      </c>
      <c r="E2771" s="13" t="s">
        <v>46</v>
      </c>
      <c r="F2771" s="14"/>
      <c r="G2771" s="15"/>
      <c r="H2771" s="451"/>
      <c r="I2771" s="412"/>
      <c r="J2771" s="16"/>
    </row>
    <row r="2772" spans="1:10" ht="13">
      <c r="A2772" s="27"/>
      <c r="B2772" s="110"/>
      <c r="D2772" s="409"/>
      <c r="E2772" s="13" t="s">
        <v>47</v>
      </c>
      <c r="F2772" s="13" t="s">
        <v>1918</v>
      </c>
      <c r="G2772" s="410" t="s">
        <v>48</v>
      </c>
      <c r="H2772" s="411">
        <v>0.3</v>
      </c>
      <c r="I2772" s="412">
        <f>IF(AND(E2772&lt;&gt;"",G2772&lt;&gt;""),IF(D2772="",IF(G2772="OH",VLOOKUP(F2772,UPAH!$B$4:$H$101,7,0),VLOOKUP(F2772,#REF!,4,0)),0),0)</f>
        <v>0</v>
      </c>
      <c r="J2772" s="16">
        <f>H2772*I2772</f>
        <v>0</v>
      </c>
    </row>
    <row r="2773" spans="1:10" ht="13">
      <c r="A2773" s="27"/>
      <c r="B2773" s="110"/>
      <c r="D2773" s="409"/>
      <c r="E2773" s="13" t="s">
        <v>115</v>
      </c>
      <c r="F2773" s="13" t="s">
        <v>1921</v>
      </c>
      <c r="G2773" s="410" t="s">
        <v>48</v>
      </c>
      <c r="H2773" s="411">
        <v>0.1</v>
      </c>
      <c r="I2773" s="412">
        <f>IF(AND(E2773&lt;&gt;"",G2773&lt;&gt;""),IF(D2773="",IF(G2773="OH",VLOOKUP(F2773,UPAH!$B$4:$H$101,7,0),VLOOKUP(F2773,#REF!,4,0)),0),0)</f>
        <v>0</v>
      </c>
      <c r="J2773" s="16">
        <f>H2773*I2773</f>
        <v>0</v>
      </c>
    </row>
    <row r="2774" spans="1:10" ht="13">
      <c r="A2774" s="27"/>
      <c r="B2774" s="110"/>
      <c r="D2774" s="409"/>
      <c r="E2774" s="13" t="s">
        <v>97</v>
      </c>
      <c r="F2774" s="13" t="s">
        <v>1928</v>
      </c>
      <c r="G2774" s="410" t="s">
        <v>48</v>
      </c>
      <c r="H2774" s="411">
        <v>0.01</v>
      </c>
      <c r="I2774" s="412">
        <f>IF(AND(E2774&lt;&gt;"",G2774&lt;&gt;""),IF(D2774="",IF(G2774="OH",VLOOKUP(F2774,UPAH!$B$4:$H$101,7,0),VLOOKUP(F2774,#REF!,4,0)),0),0)</f>
        <v>0</v>
      </c>
      <c r="J2774" s="16">
        <f>H2774*I2774</f>
        <v>0</v>
      </c>
    </row>
    <row r="2775" spans="1:10" ht="13.5" thickBot="1">
      <c r="A2775" s="27"/>
      <c r="B2775" s="110"/>
      <c r="D2775" s="409"/>
      <c r="E2775" s="13" t="s">
        <v>51</v>
      </c>
      <c r="F2775" s="13" t="s">
        <v>1929</v>
      </c>
      <c r="G2775" s="410" t="s">
        <v>48</v>
      </c>
      <c r="H2775" s="411">
        <v>1.4999999999999999E-2</v>
      </c>
      <c r="I2775" s="412">
        <f>IF(AND(E2775&lt;&gt;"",G2775&lt;&gt;""),IF(D2775="",IF(G2775="OH",VLOOKUP(F2775,UPAH!$B$4:$H$101,7,0),VLOOKUP(F2775,#REF!,4,0)),0),0)</f>
        <v>0</v>
      </c>
      <c r="J2775" s="16">
        <f>H2775*I2775</f>
        <v>0</v>
      </c>
    </row>
    <row r="2776" spans="1:10" ht="13.5" thickBot="1">
      <c r="A2776" s="27"/>
      <c r="B2776" s="110"/>
      <c r="D2776" s="417"/>
      <c r="E2776" s="418"/>
      <c r="F2776" s="418"/>
      <c r="G2776" s="419"/>
      <c r="H2776" s="420" t="s">
        <v>52</v>
      </c>
      <c r="I2776" s="421"/>
      <c r="J2776" s="396">
        <f>SUM(J2772:J2775)</f>
        <v>0</v>
      </c>
    </row>
    <row r="2777" spans="1:10" ht="13">
      <c r="A2777" s="27"/>
      <c r="B2777" s="110"/>
      <c r="D2777" s="406" t="s">
        <v>53</v>
      </c>
      <c r="E2777" s="13" t="s">
        <v>54</v>
      </c>
      <c r="F2777" s="14"/>
      <c r="G2777" s="15"/>
      <c r="H2777" s="451"/>
      <c r="I2777" s="412"/>
      <c r="J2777" s="16"/>
    </row>
    <row r="2778" spans="1:10" ht="13">
      <c r="A2778" s="27"/>
      <c r="B2778" s="110"/>
      <c r="D2778" s="409"/>
      <c r="E2778" s="13" t="s">
        <v>86</v>
      </c>
      <c r="F2778" s="14"/>
      <c r="G2778" s="410" t="s">
        <v>259</v>
      </c>
      <c r="H2778" s="411">
        <v>70</v>
      </c>
      <c r="I2778" s="412">
        <f>'BAHAN '!G15</f>
        <v>0</v>
      </c>
      <c r="J2778" s="16">
        <f>H2778*I2778</f>
        <v>0</v>
      </c>
    </row>
    <row r="2779" spans="1:10" ht="13">
      <c r="A2779" s="27"/>
      <c r="B2779" s="110"/>
      <c r="D2779" s="409"/>
      <c r="E2779" s="13" t="s">
        <v>56</v>
      </c>
      <c r="F2779" s="14"/>
      <c r="G2779" s="410" t="s">
        <v>57</v>
      </c>
      <c r="H2779" s="411">
        <v>14.37</v>
      </c>
      <c r="I2779" s="412">
        <f>'BAHAN '!G72</f>
        <v>0</v>
      </c>
      <c r="J2779" s="16">
        <f>H2779*I2779</f>
        <v>0</v>
      </c>
    </row>
    <row r="2780" spans="1:10" ht="13.5" thickBot="1">
      <c r="A2780" s="27"/>
      <c r="B2780" s="110"/>
      <c r="D2780" s="409"/>
      <c r="E2780" s="13" t="s">
        <v>101</v>
      </c>
      <c r="F2780" s="14"/>
      <c r="G2780" s="410" t="s">
        <v>375</v>
      </c>
      <c r="H2780" s="411">
        <v>0.04</v>
      </c>
      <c r="I2780" s="412">
        <f>'BAHAN '!G59</f>
        <v>0</v>
      </c>
      <c r="J2780" s="16">
        <f>H2780*I2780</f>
        <v>0</v>
      </c>
    </row>
    <row r="2781" spans="1:10" ht="13.5" thickBot="1">
      <c r="A2781" s="27"/>
      <c r="B2781" s="110"/>
      <c r="D2781" s="417"/>
      <c r="E2781" s="418"/>
      <c r="F2781" s="418"/>
      <c r="G2781" s="419"/>
      <c r="H2781" s="420" t="s">
        <v>64</v>
      </c>
      <c r="I2781" s="421"/>
      <c r="J2781" s="396">
        <f>SUM(J2778:J2780)</f>
        <v>0</v>
      </c>
    </row>
    <row r="2782" spans="1:10" ht="13.5" thickBot="1">
      <c r="A2782" s="27"/>
      <c r="B2782" s="110"/>
      <c r="D2782" s="406" t="s">
        <v>65</v>
      </c>
      <c r="E2782" s="13" t="s">
        <v>66</v>
      </c>
      <c r="F2782" s="14"/>
      <c r="G2782" s="15"/>
      <c r="H2782" s="451"/>
      <c r="I2782" s="412">
        <f>IF(AND(E2782&lt;&gt;"",G2782&lt;&gt;""),IF(D2782="",IF(G2782="OH",VLOOKUP(E2782,UPAH!$C$4:$H$31,7,0),VLOOKUP(E2782,#REF!,4,0)),0),0)</f>
        <v>0</v>
      </c>
      <c r="J2782" s="16">
        <f>H2782*I2782</f>
        <v>0</v>
      </c>
    </row>
    <row r="2783" spans="1:10" ht="13.5" thickBot="1">
      <c r="A2783" s="27"/>
      <c r="B2783" s="110"/>
      <c r="D2783" s="417"/>
      <c r="E2783" s="418"/>
      <c r="F2783" s="418"/>
      <c r="G2783" s="419"/>
      <c r="H2783" s="420" t="s">
        <v>67</v>
      </c>
      <c r="I2783" s="421"/>
      <c r="J2783" s="396">
        <f>J2782</f>
        <v>0</v>
      </c>
    </row>
    <row r="2784" spans="1:10" ht="13">
      <c r="A2784" s="27"/>
      <c r="B2784" s="110"/>
      <c r="D2784" s="444" t="s">
        <v>68</v>
      </c>
      <c r="E2784" s="445" t="s">
        <v>69</v>
      </c>
      <c r="F2784" s="446"/>
      <c r="G2784" s="447"/>
      <c r="H2784" s="448"/>
      <c r="I2784" s="449">
        <f>IF(AND(E2784&lt;&gt;"",G2784&lt;&gt;""),IF(D2784="",IF(G2784="OH",VLOOKUP(E2784,UPAH!$C$4:$H$31,7,0),VLOOKUP(E2784,#REF!,4,0)),0),0)</f>
        <v>0</v>
      </c>
      <c r="J2784" s="16">
        <f>SUM(J2771:J2783)/2</f>
        <v>0</v>
      </c>
    </row>
    <row r="2785" spans="1:10" ht="13.5" thickBot="1">
      <c r="A2785" s="27"/>
      <c r="B2785" s="110"/>
      <c r="D2785" s="431" t="s">
        <v>70</v>
      </c>
      <c r="E2785" s="432" t="s">
        <v>477</v>
      </c>
      <c r="F2785" s="433"/>
      <c r="G2785" s="434"/>
      <c r="H2785" s="22">
        <v>0.1</v>
      </c>
      <c r="I2785" s="436"/>
      <c r="J2785" s="430">
        <f>H2785*J2784</f>
        <v>0</v>
      </c>
    </row>
    <row r="2786" spans="1:10" ht="13.5" thickBot="1">
      <c r="A2786" s="27"/>
      <c r="B2786" s="110"/>
      <c r="D2786" s="401" t="s">
        <v>71</v>
      </c>
      <c r="E2786" s="402" t="s">
        <v>72</v>
      </c>
      <c r="F2786" s="418"/>
      <c r="G2786" s="419"/>
      <c r="H2786" s="442"/>
      <c r="I2786" s="421">
        <f>IF(AND(E2786&lt;&gt;"",G2786&lt;&gt;""),IF(D2786="",IF(G2786="OH",VLOOKUP(E2786,UPAH!$C$4:$H$31,7,0),VLOOKUP(E2786,#REF!,4,0)),0),0)</f>
        <v>0</v>
      </c>
      <c r="J2786" s="396">
        <f>ROUNDDOWN(J2784+J2785,0)</f>
        <v>0</v>
      </c>
    </row>
    <row r="2787" spans="1:10" ht="13">
      <c r="A2787" s="27"/>
      <c r="B2787" s="110"/>
      <c r="D2787" s="11"/>
      <c r="E2787" s="11"/>
      <c r="H2787" s="443"/>
    </row>
    <row r="2788" spans="1:10" ht="13.5" thickBot="1">
      <c r="A2788" s="27"/>
      <c r="B2788" s="110"/>
      <c r="C2788" s="11" t="s">
        <v>775</v>
      </c>
      <c r="D2788" s="10" t="s">
        <v>776</v>
      </c>
      <c r="H2788" s="443"/>
    </row>
    <row r="2789" spans="1:10" ht="13.5" thickBot="1">
      <c r="A2789" s="27"/>
      <c r="B2789" s="110"/>
      <c r="D2789" s="401" t="s">
        <v>40</v>
      </c>
      <c r="E2789" s="402" t="s">
        <v>41</v>
      </c>
      <c r="F2789" s="402" t="s">
        <v>42</v>
      </c>
      <c r="G2789" s="403" t="s">
        <v>43</v>
      </c>
      <c r="H2789" s="404" t="s">
        <v>44</v>
      </c>
      <c r="I2789" s="402" t="s">
        <v>474</v>
      </c>
      <c r="J2789" s="405" t="s">
        <v>475</v>
      </c>
    </row>
    <row r="2790" spans="1:10" ht="13">
      <c r="A2790" s="27"/>
      <c r="B2790" s="110"/>
      <c r="D2790" s="406" t="s">
        <v>45</v>
      </c>
      <c r="E2790" s="13" t="s">
        <v>46</v>
      </c>
      <c r="F2790" s="14"/>
      <c r="G2790" s="15"/>
      <c r="H2790" s="451"/>
      <c r="I2790" s="412"/>
      <c r="J2790" s="16"/>
    </row>
    <row r="2791" spans="1:10" ht="13">
      <c r="A2791" s="27"/>
      <c r="B2791" s="110"/>
      <c r="D2791" s="409"/>
      <c r="E2791" s="13" t="s">
        <v>47</v>
      </c>
      <c r="F2791" s="13" t="s">
        <v>1918</v>
      </c>
      <c r="G2791" s="410" t="s">
        <v>48</v>
      </c>
      <c r="H2791" s="411">
        <v>0.3</v>
      </c>
      <c r="I2791" s="412">
        <f>IF(AND(E2791&lt;&gt;"",G2791&lt;&gt;""),IF(D2791="",IF(G2791="OH",VLOOKUP(F2791,UPAH!$B$4:$H$101,7,0),VLOOKUP(F2791,#REF!,4,0)),0),0)</f>
        <v>0</v>
      </c>
      <c r="J2791" s="16">
        <f>H2791*I2791</f>
        <v>0</v>
      </c>
    </row>
    <row r="2792" spans="1:10" ht="13">
      <c r="A2792" s="27"/>
      <c r="B2792" s="110"/>
      <c r="D2792" s="409"/>
      <c r="E2792" s="13" t="s">
        <v>115</v>
      </c>
      <c r="F2792" s="13" t="s">
        <v>1921</v>
      </c>
      <c r="G2792" s="410" t="s">
        <v>48</v>
      </c>
      <c r="H2792" s="411">
        <v>0.1</v>
      </c>
      <c r="I2792" s="412">
        <f>IF(AND(E2792&lt;&gt;"",G2792&lt;&gt;""),IF(D2792="",IF(G2792="OH",VLOOKUP(F2792,UPAH!$B$4:$H$101,7,0),VLOOKUP(F2792,#REF!,4,0)),0),0)</f>
        <v>0</v>
      </c>
      <c r="J2792" s="16">
        <f>H2792*I2792</f>
        <v>0</v>
      </c>
    </row>
    <row r="2793" spans="1:10" ht="13">
      <c r="A2793" s="27"/>
      <c r="B2793" s="110"/>
      <c r="D2793" s="409"/>
      <c r="E2793" s="13" t="s">
        <v>97</v>
      </c>
      <c r="F2793" s="13" t="s">
        <v>1928</v>
      </c>
      <c r="G2793" s="410" t="s">
        <v>48</v>
      </c>
      <c r="H2793" s="411">
        <v>0.01</v>
      </c>
      <c r="I2793" s="412">
        <f>IF(AND(E2793&lt;&gt;"",G2793&lt;&gt;""),IF(D2793="",IF(G2793="OH",VLOOKUP(F2793,UPAH!$B$4:$H$101,7,0),VLOOKUP(F2793,#REF!,4,0)),0),0)</f>
        <v>0</v>
      </c>
      <c r="J2793" s="16">
        <f>H2793*I2793</f>
        <v>0</v>
      </c>
    </row>
    <row r="2794" spans="1:10" ht="13.5" thickBot="1">
      <c r="A2794" s="27"/>
      <c r="B2794" s="110"/>
      <c r="D2794" s="409"/>
      <c r="E2794" s="13" t="s">
        <v>51</v>
      </c>
      <c r="F2794" s="13" t="s">
        <v>1929</v>
      </c>
      <c r="G2794" s="410" t="s">
        <v>48</v>
      </c>
      <c r="H2794" s="411">
        <v>1.4999999999999999E-2</v>
      </c>
      <c r="I2794" s="412">
        <f>IF(AND(E2794&lt;&gt;"",G2794&lt;&gt;""),IF(D2794="",IF(G2794="OH",VLOOKUP(F2794,UPAH!$B$4:$H$101,7,0),VLOOKUP(F2794,#REF!,4,0)),0),0)</f>
        <v>0</v>
      </c>
      <c r="J2794" s="16">
        <f>H2794*I2794</f>
        <v>0</v>
      </c>
    </row>
    <row r="2795" spans="1:10" ht="13.5" thickBot="1">
      <c r="A2795" s="27"/>
      <c r="B2795" s="110"/>
      <c r="D2795" s="417"/>
      <c r="E2795" s="418"/>
      <c r="F2795" s="418"/>
      <c r="G2795" s="419"/>
      <c r="H2795" s="420" t="s">
        <v>52</v>
      </c>
      <c r="I2795" s="421"/>
      <c r="J2795" s="396">
        <f>SUM(J2791:J2794)</f>
        <v>0</v>
      </c>
    </row>
    <row r="2796" spans="1:10" ht="13">
      <c r="A2796" s="27"/>
      <c r="B2796" s="110"/>
      <c r="D2796" s="406" t="s">
        <v>53</v>
      </c>
      <c r="E2796" s="13" t="s">
        <v>54</v>
      </c>
      <c r="F2796" s="14"/>
      <c r="G2796" s="15"/>
      <c r="H2796" s="451"/>
      <c r="I2796" s="412"/>
      <c r="J2796" s="16"/>
    </row>
    <row r="2797" spans="1:10" ht="13">
      <c r="A2797" s="27"/>
      <c r="B2797" s="110"/>
      <c r="D2797" s="409"/>
      <c r="E2797" s="13" t="s">
        <v>86</v>
      </c>
      <c r="F2797" s="14"/>
      <c r="G2797" s="410" t="s">
        <v>259</v>
      </c>
      <c r="H2797" s="411">
        <v>70</v>
      </c>
      <c r="I2797" s="412">
        <f>'BAHAN '!G15</f>
        <v>0</v>
      </c>
      <c r="J2797" s="16">
        <f>H2797*I2797</f>
        <v>0</v>
      </c>
    </row>
    <row r="2798" spans="1:10" ht="13">
      <c r="A2798" s="27"/>
      <c r="B2798" s="110"/>
      <c r="D2798" s="409"/>
      <c r="E2798" s="13" t="s">
        <v>56</v>
      </c>
      <c r="F2798" s="14"/>
      <c r="G2798" s="410" t="s">
        <v>57</v>
      </c>
      <c r="H2798" s="411">
        <v>11.5</v>
      </c>
      <c r="I2798" s="412">
        <f>'BAHAN '!G72</f>
        <v>0</v>
      </c>
      <c r="J2798" s="16">
        <f>H2798*I2798</f>
        <v>0</v>
      </c>
    </row>
    <row r="2799" spans="1:10" ht="13.5" thickBot="1">
      <c r="A2799" s="27"/>
      <c r="B2799" s="110"/>
      <c r="D2799" s="409"/>
      <c r="E2799" s="13" t="s">
        <v>101</v>
      </c>
      <c r="F2799" s="14"/>
      <c r="G2799" s="410" t="s">
        <v>375</v>
      </c>
      <c r="H2799" s="411">
        <v>4.2999999999999997E-2</v>
      </c>
      <c r="I2799" s="412">
        <f>'BAHAN '!G59</f>
        <v>0</v>
      </c>
      <c r="J2799" s="16">
        <f>H2799*I2799</f>
        <v>0</v>
      </c>
    </row>
    <row r="2800" spans="1:10" ht="13.5" thickBot="1">
      <c r="A2800" s="27"/>
      <c r="B2800" s="110"/>
      <c r="D2800" s="417"/>
      <c r="E2800" s="418"/>
      <c r="F2800" s="418"/>
      <c r="G2800" s="419"/>
      <c r="H2800" s="420" t="s">
        <v>64</v>
      </c>
      <c r="I2800" s="421"/>
      <c r="J2800" s="396">
        <f>SUM(J2797:J2799)</f>
        <v>0</v>
      </c>
    </row>
    <row r="2801" spans="1:10" ht="13.5" thickBot="1">
      <c r="A2801" s="27"/>
      <c r="B2801" s="110"/>
      <c r="D2801" s="406" t="s">
        <v>65</v>
      </c>
      <c r="E2801" s="13" t="s">
        <v>66</v>
      </c>
      <c r="F2801" s="14"/>
      <c r="G2801" s="15"/>
      <c r="H2801" s="451"/>
      <c r="I2801" s="412">
        <f>IF(AND(E2801&lt;&gt;"",G2801&lt;&gt;""),IF(D2801="",IF(G2801="OH",VLOOKUP(E2801,UPAH!$C$4:$H$31,7,0),VLOOKUP(E2801,#REF!,4,0)),0),0)</f>
        <v>0</v>
      </c>
      <c r="J2801" s="16">
        <f>H2801*I2801</f>
        <v>0</v>
      </c>
    </row>
    <row r="2802" spans="1:10" ht="13.5" thickBot="1">
      <c r="A2802" s="27"/>
      <c r="B2802" s="110"/>
      <c r="D2802" s="417"/>
      <c r="E2802" s="418"/>
      <c r="F2802" s="418"/>
      <c r="G2802" s="419"/>
      <c r="H2802" s="420" t="s">
        <v>67</v>
      </c>
      <c r="I2802" s="421"/>
      <c r="J2802" s="396">
        <f>J2801</f>
        <v>0</v>
      </c>
    </row>
    <row r="2803" spans="1:10" ht="13">
      <c r="A2803" s="27"/>
      <c r="B2803" s="110"/>
      <c r="D2803" s="444" t="s">
        <v>68</v>
      </c>
      <c r="E2803" s="445" t="s">
        <v>69</v>
      </c>
      <c r="F2803" s="446"/>
      <c r="G2803" s="447"/>
      <c r="H2803" s="448"/>
      <c r="I2803" s="449">
        <f>IF(AND(E2803&lt;&gt;"",G2803&lt;&gt;""),IF(D2803="",IF(G2803="OH",VLOOKUP(E2803,UPAH!$C$4:$H$31,7,0),VLOOKUP(E2803,#REF!,4,0)),0),0)</f>
        <v>0</v>
      </c>
      <c r="J2803" s="16">
        <f>SUM(J2790:J2802)/2</f>
        <v>0</v>
      </c>
    </row>
    <row r="2804" spans="1:10" ht="13.5" thickBot="1">
      <c r="A2804" s="27"/>
      <c r="B2804" s="110"/>
      <c r="D2804" s="431" t="s">
        <v>70</v>
      </c>
      <c r="E2804" s="432" t="s">
        <v>477</v>
      </c>
      <c r="F2804" s="433"/>
      <c r="G2804" s="434"/>
      <c r="H2804" s="22">
        <v>0.1</v>
      </c>
      <c r="I2804" s="436"/>
      <c r="J2804" s="430">
        <f>H2804*J2803</f>
        <v>0</v>
      </c>
    </row>
    <row r="2805" spans="1:10" ht="13.5" thickBot="1">
      <c r="A2805" s="27"/>
      <c r="B2805" s="110"/>
      <c r="D2805" s="401" t="s">
        <v>71</v>
      </c>
      <c r="E2805" s="402" t="s">
        <v>72</v>
      </c>
      <c r="F2805" s="418"/>
      <c r="G2805" s="419"/>
      <c r="H2805" s="442"/>
      <c r="I2805" s="421">
        <f>IF(AND(E2805&lt;&gt;"",G2805&lt;&gt;""),IF(D2805="",IF(G2805="OH",VLOOKUP(E2805,UPAH!$C$4:$H$31,7,0),VLOOKUP(E2805,#REF!,4,0)),0),0)</f>
        <v>0</v>
      </c>
      <c r="J2805" s="396">
        <f>ROUNDDOWN(J2803+J2804,0)</f>
        <v>0</v>
      </c>
    </row>
    <row r="2806" spans="1:10" ht="13">
      <c r="A2806" s="27"/>
      <c r="B2806" s="110"/>
      <c r="D2806" s="11"/>
      <c r="E2806" s="11"/>
      <c r="H2806" s="443"/>
    </row>
    <row r="2807" spans="1:10" ht="13.5" thickBot="1">
      <c r="A2807" s="27"/>
      <c r="B2807" s="110"/>
      <c r="C2807" s="11" t="s">
        <v>1814</v>
      </c>
      <c r="D2807" s="10" t="s">
        <v>777</v>
      </c>
      <c r="H2807" s="443"/>
    </row>
    <row r="2808" spans="1:10" ht="13.5" thickBot="1">
      <c r="A2808" s="27"/>
      <c r="B2808" s="110"/>
      <c r="D2808" s="401" t="s">
        <v>40</v>
      </c>
      <c r="E2808" s="402" t="s">
        <v>41</v>
      </c>
      <c r="F2808" s="402" t="s">
        <v>42</v>
      </c>
      <c r="G2808" s="403" t="s">
        <v>43</v>
      </c>
      <c r="H2808" s="404" t="s">
        <v>44</v>
      </c>
      <c r="I2808" s="402" t="s">
        <v>474</v>
      </c>
      <c r="J2808" s="405" t="s">
        <v>475</v>
      </c>
    </row>
    <row r="2809" spans="1:10" ht="13">
      <c r="A2809" s="27"/>
      <c r="B2809" s="110"/>
      <c r="D2809" s="406" t="s">
        <v>45</v>
      </c>
      <c r="E2809" s="13" t="s">
        <v>46</v>
      </c>
      <c r="F2809" s="14"/>
      <c r="G2809" s="15"/>
      <c r="H2809" s="451"/>
      <c r="I2809" s="412"/>
      <c r="J2809" s="16"/>
    </row>
    <row r="2810" spans="1:10" ht="13">
      <c r="A2810" s="27"/>
      <c r="B2810" s="110"/>
      <c r="D2810" s="409"/>
      <c r="E2810" s="13" t="s">
        <v>47</v>
      </c>
      <c r="F2810" s="13" t="s">
        <v>1918</v>
      </c>
      <c r="G2810" s="410" t="s">
        <v>48</v>
      </c>
      <c r="H2810" s="411">
        <v>0.3</v>
      </c>
      <c r="I2810" s="412">
        <f>IF(AND(E2810&lt;&gt;"",G2810&lt;&gt;""),IF(D2810="",IF(G2810="OH",VLOOKUP(F2810,UPAH!$B$4:$H$101,7,0),VLOOKUP(F2810,#REF!,4,0)),0),0)</f>
        <v>0</v>
      </c>
      <c r="J2810" s="16">
        <f>H2810*I2810</f>
        <v>0</v>
      </c>
    </row>
    <row r="2811" spans="1:10" ht="13">
      <c r="A2811" s="27"/>
      <c r="B2811" s="110"/>
      <c r="D2811" s="409"/>
      <c r="E2811" s="13" t="s">
        <v>115</v>
      </c>
      <c r="F2811" s="13" t="s">
        <v>1921</v>
      </c>
      <c r="G2811" s="410" t="s">
        <v>48</v>
      </c>
      <c r="H2811" s="411">
        <v>0.1</v>
      </c>
      <c r="I2811" s="412">
        <f>IF(AND(E2811&lt;&gt;"",G2811&lt;&gt;""),IF(D2811="",IF(G2811="OH",VLOOKUP(F2811,UPAH!$B$4:$H$101,7,0),VLOOKUP(F2811,#REF!,4,0)),0),0)</f>
        <v>0</v>
      </c>
      <c r="J2811" s="16">
        <f>H2811*I2811</f>
        <v>0</v>
      </c>
    </row>
    <row r="2812" spans="1:10" ht="13">
      <c r="A2812" s="27"/>
      <c r="B2812" s="110"/>
      <c r="D2812" s="409"/>
      <c r="E2812" s="13" t="s">
        <v>97</v>
      </c>
      <c r="F2812" s="13" t="s">
        <v>1928</v>
      </c>
      <c r="G2812" s="410" t="s">
        <v>48</v>
      </c>
      <c r="H2812" s="411">
        <v>0.01</v>
      </c>
      <c r="I2812" s="412">
        <f>IF(AND(E2812&lt;&gt;"",G2812&lt;&gt;""),IF(D2812="",IF(G2812="OH",VLOOKUP(F2812,UPAH!$B$4:$H$101,7,0),VLOOKUP(F2812,#REF!,4,0)),0),0)</f>
        <v>0</v>
      </c>
      <c r="J2812" s="16">
        <f>H2812*I2812</f>
        <v>0</v>
      </c>
    </row>
    <row r="2813" spans="1:10" ht="13.5" thickBot="1">
      <c r="A2813" s="27"/>
      <c r="B2813" s="110"/>
      <c r="D2813" s="409"/>
      <c r="E2813" s="13" t="s">
        <v>51</v>
      </c>
      <c r="F2813" s="13" t="s">
        <v>1929</v>
      </c>
      <c r="G2813" s="410" t="s">
        <v>48</v>
      </c>
      <c r="H2813" s="411">
        <v>1.4999999999999999E-2</v>
      </c>
      <c r="I2813" s="412">
        <f>IF(AND(E2813&lt;&gt;"",G2813&lt;&gt;""),IF(D2813="",IF(G2813="OH",VLOOKUP(F2813,UPAH!$B$4:$H$101,7,0),VLOOKUP(F2813,#REF!,4,0)),0),0)</f>
        <v>0</v>
      </c>
      <c r="J2813" s="16">
        <f>H2813*I2813</f>
        <v>0</v>
      </c>
    </row>
    <row r="2814" spans="1:10" ht="13.5" thickBot="1">
      <c r="A2814" s="27"/>
      <c r="B2814" s="110"/>
      <c r="D2814" s="417"/>
      <c r="E2814" s="418"/>
      <c r="F2814" s="418"/>
      <c r="G2814" s="419"/>
      <c r="H2814" s="420" t="s">
        <v>52</v>
      </c>
      <c r="I2814" s="421"/>
      <c r="J2814" s="396">
        <f>SUM(J2810:J2813)</f>
        <v>0</v>
      </c>
    </row>
    <row r="2815" spans="1:10" ht="13">
      <c r="A2815" s="27"/>
      <c r="B2815" s="110"/>
      <c r="D2815" s="406" t="s">
        <v>53</v>
      </c>
      <c r="E2815" s="13" t="s">
        <v>54</v>
      </c>
      <c r="F2815" s="14"/>
      <c r="G2815" s="15"/>
      <c r="H2815" s="451"/>
      <c r="I2815" s="412"/>
      <c r="J2815" s="16"/>
    </row>
    <row r="2816" spans="1:10" ht="13">
      <c r="A2816" s="27"/>
      <c r="B2816" s="110"/>
      <c r="D2816" s="409"/>
      <c r="E2816" s="13" t="s">
        <v>86</v>
      </c>
      <c r="F2816" s="14"/>
      <c r="G2816" s="410" t="s">
        <v>259</v>
      </c>
      <c r="H2816" s="411">
        <v>70</v>
      </c>
      <c r="I2816" s="412">
        <f>'BAHAN '!G15</f>
        <v>0</v>
      </c>
      <c r="J2816" s="16">
        <f>H2816*I2816</f>
        <v>0</v>
      </c>
    </row>
    <row r="2817" spans="1:10" ht="13">
      <c r="A2817" s="27"/>
      <c r="B2817" s="110"/>
      <c r="D2817" s="409"/>
      <c r="E2817" s="13" t="s">
        <v>56</v>
      </c>
      <c r="F2817" s="14"/>
      <c r="G2817" s="410" t="s">
        <v>57</v>
      </c>
      <c r="H2817" s="411">
        <v>9.68</v>
      </c>
      <c r="I2817" s="412">
        <f>'BAHAN '!G72</f>
        <v>0</v>
      </c>
      <c r="J2817" s="16">
        <f>H2817*I2817</f>
        <v>0</v>
      </c>
    </row>
    <row r="2818" spans="1:10" ht="13.5" thickBot="1">
      <c r="A2818" s="27"/>
      <c r="B2818" s="110"/>
      <c r="D2818" s="409"/>
      <c r="E2818" s="13" t="s">
        <v>101</v>
      </c>
      <c r="F2818" s="14"/>
      <c r="G2818" s="410" t="s">
        <v>375</v>
      </c>
      <c r="H2818" s="411">
        <v>4.4999999999999998E-2</v>
      </c>
      <c r="I2818" s="412">
        <v>0</v>
      </c>
      <c r="J2818" s="16">
        <f>H2818*I2818</f>
        <v>0</v>
      </c>
    </row>
    <row r="2819" spans="1:10" ht="13.5" thickBot="1">
      <c r="A2819" s="27"/>
      <c r="B2819" s="110"/>
      <c r="D2819" s="417"/>
      <c r="E2819" s="418"/>
      <c r="F2819" s="418"/>
      <c r="G2819" s="419"/>
      <c r="H2819" s="420" t="s">
        <v>64</v>
      </c>
      <c r="I2819" s="421"/>
      <c r="J2819" s="396">
        <f>SUM(J2816:J2818)</f>
        <v>0</v>
      </c>
    </row>
    <row r="2820" spans="1:10" ht="13.5" thickBot="1">
      <c r="A2820" s="27"/>
      <c r="B2820" s="110"/>
      <c r="D2820" s="406" t="s">
        <v>65</v>
      </c>
      <c r="E2820" s="13" t="s">
        <v>66</v>
      </c>
      <c r="F2820" s="14"/>
      <c r="G2820" s="15"/>
      <c r="H2820" s="451"/>
      <c r="I2820" s="412">
        <f>IF(AND(E2820&lt;&gt;"",G2820&lt;&gt;""),IF(D2820="",IF(G2820="OH",VLOOKUP(E2820,UPAH!$C$4:$H$31,7,0),VLOOKUP(E2820,#REF!,4,0)),0),0)</f>
        <v>0</v>
      </c>
      <c r="J2820" s="16">
        <f>H2820*I2820</f>
        <v>0</v>
      </c>
    </row>
    <row r="2821" spans="1:10" ht="13.5" thickBot="1">
      <c r="A2821" s="27"/>
      <c r="B2821" s="110"/>
      <c r="D2821" s="417"/>
      <c r="E2821" s="418"/>
      <c r="F2821" s="418"/>
      <c r="G2821" s="419"/>
      <c r="H2821" s="420" t="s">
        <v>67</v>
      </c>
      <c r="I2821" s="421"/>
      <c r="J2821" s="396">
        <f>J2820</f>
        <v>0</v>
      </c>
    </row>
    <row r="2822" spans="1:10" ht="13">
      <c r="A2822" s="27"/>
      <c r="B2822" s="110"/>
      <c r="D2822" s="444" t="s">
        <v>68</v>
      </c>
      <c r="E2822" s="445" t="s">
        <v>69</v>
      </c>
      <c r="F2822" s="446"/>
      <c r="G2822" s="447"/>
      <c r="H2822" s="448"/>
      <c r="I2822" s="449">
        <f>IF(AND(E2822&lt;&gt;"",G2822&lt;&gt;""),IF(D2822="",IF(G2822="OH",VLOOKUP(E2822,UPAH!$C$4:$H$31,7,0),VLOOKUP(E2822,#REF!,4,0)),0),0)</f>
        <v>0</v>
      </c>
      <c r="J2822" s="16">
        <f>SUM(J2809:J2821)/2</f>
        <v>0</v>
      </c>
    </row>
    <row r="2823" spans="1:10" ht="13.5" thickBot="1">
      <c r="A2823" s="27"/>
      <c r="B2823" s="110"/>
      <c r="D2823" s="431" t="s">
        <v>70</v>
      </c>
      <c r="E2823" s="432" t="s">
        <v>477</v>
      </c>
      <c r="F2823" s="433"/>
      <c r="G2823" s="434"/>
      <c r="H2823" s="22">
        <v>0.1</v>
      </c>
      <c r="I2823" s="436"/>
      <c r="J2823" s="430">
        <f>H2823*J2822</f>
        <v>0</v>
      </c>
    </row>
    <row r="2824" spans="1:10" ht="13.5" thickBot="1">
      <c r="A2824" s="27"/>
      <c r="B2824" s="110"/>
      <c r="D2824" s="401" t="s">
        <v>71</v>
      </c>
      <c r="E2824" s="402" t="s">
        <v>72</v>
      </c>
      <c r="F2824" s="418"/>
      <c r="G2824" s="419"/>
      <c r="H2824" s="442"/>
      <c r="I2824" s="421">
        <f>IF(AND(E2824&lt;&gt;"",G2824&lt;&gt;""),IF(D2824="",IF(G2824="OH",VLOOKUP(E2824,UPAH!$C$4:$H$31,7,0),VLOOKUP(E2824,#REF!,4,0)),0),0)</f>
        <v>0</v>
      </c>
      <c r="J2824" s="396">
        <f>ROUNDDOWN(J2822+J2823,0)</f>
        <v>0</v>
      </c>
    </row>
    <row r="2825" spans="1:10" ht="13">
      <c r="A2825" s="27"/>
      <c r="B2825" s="110"/>
      <c r="D2825" s="11"/>
      <c r="E2825" s="11"/>
      <c r="H2825" s="443"/>
    </row>
    <row r="2826" spans="1:10" ht="13.5" thickBot="1">
      <c r="A2826" s="27"/>
      <c r="B2826" s="110"/>
      <c r="C2826" s="11" t="s">
        <v>1815</v>
      </c>
      <c r="D2826" s="10" t="s">
        <v>778</v>
      </c>
      <c r="H2826" s="443"/>
    </row>
    <row r="2827" spans="1:10" ht="13.5" thickBot="1">
      <c r="A2827" s="27"/>
      <c r="B2827" s="110"/>
      <c r="D2827" s="401" t="s">
        <v>40</v>
      </c>
      <c r="E2827" s="402" t="s">
        <v>41</v>
      </c>
      <c r="F2827" s="402" t="s">
        <v>42</v>
      </c>
      <c r="G2827" s="403" t="s">
        <v>43</v>
      </c>
      <c r="H2827" s="404" t="s">
        <v>44</v>
      </c>
      <c r="I2827" s="402" t="s">
        <v>474</v>
      </c>
      <c r="J2827" s="405" t="s">
        <v>475</v>
      </c>
    </row>
    <row r="2828" spans="1:10" ht="13">
      <c r="A2828" s="27"/>
      <c r="B2828" s="110"/>
      <c r="D2828" s="406" t="s">
        <v>45</v>
      </c>
      <c r="E2828" s="13" t="s">
        <v>46</v>
      </c>
      <c r="F2828" s="14"/>
      <c r="G2828" s="15"/>
      <c r="H2828" s="451"/>
      <c r="I2828" s="412"/>
      <c r="J2828" s="16"/>
    </row>
    <row r="2829" spans="1:10" ht="13">
      <c r="A2829" s="27"/>
      <c r="B2829" s="110"/>
      <c r="D2829" s="409"/>
      <c r="E2829" s="13" t="s">
        <v>47</v>
      </c>
      <c r="F2829" s="13" t="s">
        <v>1918</v>
      </c>
      <c r="G2829" s="410" t="s">
        <v>48</v>
      </c>
      <c r="H2829" s="411">
        <v>0.3</v>
      </c>
      <c r="I2829" s="412">
        <f>IF(AND(E2829&lt;&gt;"",G2829&lt;&gt;""),IF(D2829="",IF(G2829="OH",VLOOKUP(F2829,UPAH!$B$4:$H$101,7,0),VLOOKUP(F2829,#REF!,4,0)),0),0)</f>
        <v>0</v>
      </c>
      <c r="J2829" s="16">
        <f>H2829*I2829</f>
        <v>0</v>
      </c>
    </row>
    <row r="2830" spans="1:10" ht="13">
      <c r="A2830" s="27"/>
      <c r="B2830" s="110"/>
      <c r="D2830" s="409"/>
      <c r="E2830" s="13" t="s">
        <v>115</v>
      </c>
      <c r="F2830" s="13" t="s">
        <v>1921</v>
      </c>
      <c r="G2830" s="410" t="s">
        <v>48</v>
      </c>
      <c r="H2830" s="411">
        <v>0.1</v>
      </c>
      <c r="I2830" s="412">
        <f>IF(AND(E2830&lt;&gt;"",G2830&lt;&gt;""),IF(D2830="",IF(G2830="OH",VLOOKUP(F2830,UPAH!$B$4:$H$101,7,0),VLOOKUP(F2830,#REF!,4,0)),0),0)</f>
        <v>0</v>
      </c>
      <c r="J2830" s="16">
        <f>H2830*I2830</f>
        <v>0</v>
      </c>
    </row>
    <row r="2831" spans="1:10" ht="13">
      <c r="A2831" s="27"/>
      <c r="B2831" s="110"/>
      <c r="D2831" s="409"/>
      <c r="E2831" s="13" t="s">
        <v>97</v>
      </c>
      <c r="F2831" s="13" t="s">
        <v>1928</v>
      </c>
      <c r="G2831" s="410" t="s">
        <v>48</v>
      </c>
      <c r="H2831" s="411">
        <v>0.01</v>
      </c>
      <c r="I2831" s="412">
        <f>IF(AND(E2831&lt;&gt;"",G2831&lt;&gt;""),IF(D2831="",IF(G2831="OH",VLOOKUP(F2831,UPAH!$B$4:$H$101,7,0),VLOOKUP(F2831,#REF!,4,0)),0),0)</f>
        <v>0</v>
      </c>
      <c r="J2831" s="16">
        <f>H2831*I2831</f>
        <v>0</v>
      </c>
    </row>
    <row r="2832" spans="1:10" ht="13.5" thickBot="1">
      <c r="A2832" s="27"/>
      <c r="B2832" s="110"/>
      <c r="D2832" s="409"/>
      <c r="E2832" s="13" t="s">
        <v>51</v>
      </c>
      <c r="F2832" s="13" t="s">
        <v>1929</v>
      </c>
      <c r="G2832" s="410" t="s">
        <v>48</v>
      </c>
      <c r="H2832" s="411">
        <v>1.4999999999999999E-2</v>
      </c>
      <c r="I2832" s="412">
        <f>IF(AND(E2832&lt;&gt;"",G2832&lt;&gt;""),IF(D2832="",IF(G2832="OH",VLOOKUP(F2832,UPAH!$B$4:$H$101,7,0),VLOOKUP(F2832,#REF!,4,0)),0),0)</f>
        <v>0</v>
      </c>
      <c r="J2832" s="16">
        <f>H2832*I2832</f>
        <v>0</v>
      </c>
    </row>
    <row r="2833" spans="1:10" ht="13.5" thickBot="1">
      <c r="A2833" s="27"/>
      <c r="B2833" s="110"/>
      <c r="D2833" s="417"/>
      <c r="E2833" s="418"/>
      <c r="F2833" s="418"/>
      <c r="G2833" s="419"/>
      <c r="H2833" s="420" t="s">
        <v>52</v>
      </c>
      <c r="I2833" s="421"/>
      <c r="J2833" s="396">
        <f>SUM(J2829:J2832)</f>
        <v>0</v>
      </c>
    </row>
    <row r="2834" spans="1:10" ht="13">
      <c r="A2834" s="27"/>
      <c r="B2834" s="110"/>
      <c r="D2834" s="406" t="s">
        <v>53</v>
      </c>
      <c r="E2834" s="13" t="s">
        <v>54</v>
      </c>
      <c r="F2834" s="14"/>
      <c r="G2834" s="15"/>
      <c r="H2834" s="451"/>
      <c r="I2834" s="412"/>
      <c r="J2834" s="16"/>
    </row>
    <row r="2835" spans="1:10" ht="13">
      <c r="A2835" s="27"/>
      <c r="B2835" s="110"/>
      <c r="D2835" s="409"/>
      <c r="E2835" s="13" t="s">
        <v>86</v>
      </c>
      <c r="F2835" s="14"/>
      <c r="G2835" s="410" t="s">
        <v>259</v>
      </c>
      <c r="H2835" s="411">
        <v>70</v>
      </c>
      <c r="I2835" s="412">
        <f>'BAHAN '!G15</f>
        <v>0</v>
      </c>
      <c r="J2835" s="16">
        <f>H2835*I2835</f>
        <v>0</v>
      </c>
    </row>
    <row r="2836" spans="1:10" ht="13">
      <c r="A2836" s="27"/>
      <c r="B2836" s="110"/>
      <c r="D2836" s="409"/>
      <c r="E2836" s="13" t="s">
        <v>56</v>
      </c>
      <c r="F2836" s="14"/>
      <c r="G2836" s="410" t="s">
        <v>57</v>
      </c>
      <c r="H2836" s="411">
        <v>8.32</v>
      </c>
      <c r="I2836" s="412">
        <f>'BAHAN '!G72</f>
        <v>0</v>
      </c>
      <c r="J2836" s="16">
        <f>H2836*I2836</f>
        <v>0</v>
      </c>
    </row>
    <row r="2837" spans="1:10" ht="13.5" thickBot="1">
      <c r="A2837" s="27"/>
      <c r="B2837" s="110"/>
      <c r="D2837" s="409"/>
      <c r="E2837" s="13" t="s">
        <v>101</v>
      </c>
      <c r="F2837" s="14"/>
      <c r="G2837" s="410" t="s">
        <v>375</v>
      </c>
      <c r="H2837" s="411">
        <v>4.9000000000000002E-2</v>
      </c>
      <c r="I2837" s="412">
        <f>'BAHAN '!G59</f>
        <v>0</v>
      </c>
      <c r="J2837" s="16">
        <f>H2837*I2837</f>
        <v>0</v>
      </c>
    </row>
    <row r="2838" spans="1:10" ht="13.5" thickBot="1">
      <c r="A2838" s="27"/>
      <c r="B2838" s="110"/>
      <c r="D2838" s="417"/>
      <c r="E2838" s="418"/>
      <c r="F2838" s="418"/>
      <c r="G2838" s="419"/>
      <c r="H2838" s="420" t="s">
        <v>64</v>
      </c>
      <c r="I2838" s="421"/>
      <c r="J2838" s="396">
        <f>SUM(J2835:J2837)</f>
        <v>0</v>
      </c>
    </row>
    <row r="2839" spans="1:10" ht="13.5" thickBot="1">
      <c r="A2839" s="27"/>
      <c r="B2839" s="110"/>
      <c r="D2839" s="406" t="s">
        <v>65</v>
      </c>
      <c r="E2839" s="13" t="s">
        <v>66</v>
      </c>
      <c r="F2839" s="14"/>
      <c r="G2839" s="15"/>
      <c r="H2839" s="451"/>
      <c r="I2839" s="412">
        <f>IF(AND(E2839&lt;&gt;"",G2839&lt;&gt;""),IF(D2839="",IF(G2839="OH",VLOOKUP(E2839,UPAH!$C$4:$H$31,7,0),VLOOKUP(E2839,#REF!,4,0)),0),0)</f>
        <v>0</v>
      </c>
      <c r="J2839" s="16">
        <f>H2839*I2839</f>
        <v>0</v>
      </c>
    </row>
    <row r="2840" spans="1:10" ht="13.5" thickBot="1">
      <c r="A2840" s="27"/>
      <c r="B2840" s="110"/>
      <c r="D2840" s="417"/>
      <c r="E2840" s="418"/>
      <c r="F2840" s="418"/>
      <c r="G2840" s="419"/>
      <c r="H2840" s="420" t="s">
        <v>67</v>
      </c>
      <c r="I2840" s="421"/>
      <c r="J2840" s="396">
        <f>J2839</f>
        <v>0</v>
      </c>
    </row>
    <row r="2841" spans="1:10" ht="13">
      <c r="A2841" s="27"/>
      <c r="B2841" s="110"/>
      <c r="D2841" s="444" t="s">
        <v>68</v>
      </c>
      <c r="E2841" s="445" t="s">
        <v>69</v>
      </c>
      <c r="F2841" s="446"/>
      <c r="G2841" s="447"/>
      <c r="H2841" s="448"/>
      <c r="I2841" s="449">
        <f>IF(AND(E2841&lt;&gt;"",G2841&lt;&gt;""),IF(D2841="",IF(G2841="OH",VLOOKUP(E2841,UPAH!$C$4:$H$31,7,0),VLOOKUP(E2841,#REF!,4,0)),0),0)</f>
        <v>0</v>
      </c>
      <c r="J2841" s="16">
        <f>SUM(J2828:J2840)/2</f>
        <v>0</v>
      </c>
    </row>
    <row r="2842" spans="1:10" ht="13.5" thickBot="1">
      <c r="A2842" s="27"/>
      <c r="B2842" s="110"/>
      <c r="D2842" s="431" t="s">
        <v>70</v>
      </c>
      <c r="E2842" s="432" t="s">
        <v>477</v>
      </c>
      <c r="F2842" s="433"/>
      <c r="G2842" s="434"/>
      <c r="H2842" s="22">
        <v>0.1</v>
      </c>
      <c r="I2842" s="436"/>
      <c r="J2842" s="430">
        <f>H2842*J2841</f>
        <v>0</v>
      </c>
    </row>
    <row r="2843" spans="1:10" ht="13.5" thickBot="1">
      <c r="A2843" s="27"/>
      <c r="B2843" s="110"/>
      <c r="D2843" s="401" t="s">
        <v>71</v>
      </c>
      <c r="E2843" s="402" t="s">
        <v>72</v>
      </c>
      <c r="F2843" s="418"/>
      <c r="G2843" s="419"/>
      <c r="H2843" s="442"/>
      <c r="I2843" s="421">
        <f>IF(AND(E2843&lt;&gt;"",G2843&lt;&gt;""),IF(D2843="",IF(G2843="OH",VLOOKUP(E2843,UPAH!$C$4:$H$31,7,0),VLOOKUP(E2843,#REF!,4,0)),0),0)</f>
        <v>0</v>
      </c>
      <c r="J2843" s="396">
        <f>ROUNDDOWN(J2841+J2842,0)</f>
        <v>0</v>
      </c>
    </row>
    <row r="2844" spans="1:10" ht="13">
      <c r="A2844" s="27"/>
      <c r="B2844" s="110"/>
      <c r="D2844" s="11"/>
      <c r="E2844" s="11"/>
      <c r="H2844" s="443"/>
    </row>
    <row r="2845" spans="1:10" ht="13.5" thickBot="1">
      <c r="A2845" s="27"/>
      <c r="B2845" s="110"/>
      <c r="C2845" s="11" t="s">
        <v>1816</v>
      </c>
      <c r="D2845" s="10" t="s">
        <v>779</v>
      </c>
      <c r="H2845" s="443"/>
    </row>
    <row r="2846" spans="1:10" ht="13.5" thickBot="1">
      <c r="A2846" s="27"/>
      <c r="B2846" s="110"/>
      <c r="D2846" s="401" t="s">
        <v>40</v>
      </c>
      <c r="E2846" s="402" t="s">
        <v>41</v>
      </c>
      <c r="F2846" s="402" t="s">
        <v>42</v>
      </c>
      <c r="G2846" s="403" t="s">
        <v>43</v>
      </c>
      <c r="H2846" s="404" t="s">
        <v>44</v>
      </c>
      <c r="I2846" s="402" t="s">
        <v>474</v>
      </c>
      <c r="J2846" s="405" t="s">
        <v>475</v>
      </c>
    </row>
    <row r="2847" spans="1:10" ht="13">
      <c r="A2847" s="27"/>
      <c r="B2847" s="110"/>
      <c r="D2847" s="406" t="s">
        <v>45</v>
      </c>
      <c r="E2847" s="13" t="s">
        <v>46</v>
      </c>
      <c r="F2847" s="14"/>
      <c r="G2847" s="15"/>
      <c r="H2847" s="451"/>
      <c r="I2847" s="412"/>
      <c r="J2847" s="16"/>
    </row>
    <row r="2848" spans="1:10" ht="13">
      <c r="A2848" s="27"/>
      <c r="B2848" s="110"/>
      <c r="D2848" s="409"/>
      <c r="E2848" s="13" t="s">
        <v>47</v>
      </c>
      <c r="F2848" s="13" t="s">
        <v>1918</v>
      </c>
      <c r="G2848" s="410" t="s">
        <v>48</v>
      </c>
      <c r="H2848" s="411">
        <v>0.3</v>
      </c>
      <c r="I2848" s="412">
        <f>IF(AND(E2848&lt;&gt;"",G2848&lt;&gt;""),IF(D2848="",IF(G2848="OH",VLOOKUP(F2848,UPAH!$B$4:$H$101,7,0),VLOOKUP(F2848,#REF!,4,0)),0),0)</f>
        <v>0</v>
      </c>
      <c r="J2848" s="16">
        <f>H2848*I2848</f>
        <v>0</v>
      </c>
    </row>
    <row r="2849" spans="1:10" ht="13">
      <c r="A2849" s="27"/>
      <c r="B2849" s="110"/>
      <c r="D2849" s="409"/>
      <c r="E2849" s="13" t="s">
        <v>115</v>
      </c>
      <c r="F2849" s="13" t="s">
        <v>1921</v>
      </c>
      <c r="G2849" s="410" t="s">
        <v>48</v>
      </c>
      <c r="H2849" s="411">
        <v>0.1</v>
      </c>
      <c r="I2849" s="412">
        <f>IF(AND(E2849&lt;&gt;"",G2849&lt;&gt;""),IF(D2849="",IF(G2849="OH",VLOOKUP(F2849,UPAH!$B$4:$H$101,7,0),VLOOKUP(F2849,#REF!,4,0)),0),0)</f>
        <v>0</v>
      </c>
      <c r="J2849" s="16">
        <f>H2849*I2849</f>
        <v>0</v>
      </c>
    </row>
    <row r="2850" spans="1:10" ht="13">
      <c r="A2850" s="27"/>
      <c r="B2850" s="110"/>
      <c r="D2850" s="409"/>
      <c r="E2850" s="13" t="s">
        <v>97</v>
      </c>
      <c r="F2850" s="13" t="s">
        <v>1928</v>
      </c>
      <c r="G2850" s="410" t="s">
        <v>48</v>
      </c>
      <c r="H2850" s="411">
        <v>0.01</v>
      </c>
      <c r="I2850" s="412">
        <f>IF(AND(E2850&lt;&gt;"",G2850&lt;&gt;""),IF(D2850="",IF(G2850="OH",VLOOKUP(F2850,UPAH!$B$4:$H$101,7,0),VLOOKUP(F2850,#REF!,4,0)),0),0)</f>
        <v>0</v>
      </c>
      <c r="J2850" s="16">
        <f>H2850*I2850</f>
        <v>0</v>
      </c>
    </row>
    <row r="2851" spans="1:10" ht="13.5" thickBot="1">
      <c r="A2851" s="27"/>
      <c r="B2851" s="110"/>
      <c r="D2851" s="409"/>
      <c r="E2851" s="13" t="s">
        <v>51</v>
      </c>
      <c r="F2851" s="13" t="s">
        <v>1929</v>
      </c>
      <c r="G2851" s="410" t="s">
        <v>48</v>
      </c>
      <c r="H2851" s="411">
        <v>1.4999999999999999E-2</v>
      </c>
      <c r="I2851" s="412">
        <f>IF(AND(E2851&lt;&gt;"",G2851&lt;&gt;""),IF(D2851="",IF(G2851="OH",VLOOKUP(F2851,UPAH!$B$4:$H$101,7,0),VLOOKUP(F2851,#REF!,4,0)),0),0)</f>
        <v>0</v>
      </c>
      <c r="J2851" s="16">
        <f>H2851*I2851</f>
        <v>0</v>
      </c>
    </row>
    <row r="2852" spans="1:10" ht="13.5" thickBot="1">
      <c r="A2852" s="27"/>
      <c r="B2852" s="110"/>
      <c r="D2852" s="417"/>
      <c r="E2852" s="418"/>
      <c r="F2852" s="418"/>
      <c r="G2852" s="419"/>
      <c r="H2852" s="420" t="s">
        <v>52</v>
      </c>
      <c r="I2852" s="421"/>
      <c r="J2852" s="396">
        <f>SUM(J2848:J2851)</f>
        <v>0</v>
      </c>
    </row>
    <row r="2853" spans="1:10" ht="13">
      <c r="A2853" s="27"/>
      <c r="B2853" s="110"/>
      <c r="D2853" s="406" t="s">
        <v>53</v>
      </c>
      <c r="E2853" s="13" t="s">
        <v>54</v>
      </c>
      <c r="F2853" s="14"/>
      <c r="G2853" s="15"/>
      <c r="H2853" s="451"/>
      <c r="I2853" s="412"/>
      <c r="J2853" s="16"/>
    </row>
    <row r="2854" spans="1:10" ht="13">
      <c r="A2854" s="27"/>
      <c r="B2854" s="110"/>
      <c r="D2854" s="409"/>
      <c r="E2854" s="13" t="s">
        <v>86</v>
      </c>
      <c r="F2854" s="14"/>
      <c r="G2854" s="410" t="s">
        <v>259</v>
      </c>
      <c r="H2854" s="411">
        <v>70</v>
      </c>
      <c r="I2854" s="412">
        <f>'BAHAN '!G15</f>
        <v>0</v>
      </c>
      <c r="J2854" s="16">
        <f>H2854*I2854</f>
        <v>0</v>
      </c>
    </row>
    <row r="2855" spans="1:10" ht="13">
      <c r="A2855" s="27"/>
      <c r="B2855" s="110"/>
      <c r="D2855" s="409"/>
      <c r="E2855" s="13" t="s">
        <v>56</v>
      </c>
      <c r="F2855" s="14"/>
      <c r="G2855" s="410" t="s">
        <v>57</v>
      </c>
      <c r="H2855" s="411">
        <v>6.5</v>
      </c>
      <c r="I2855" s="412">
        <f>'BAHAN '!G72</f>
        <v>0</v>
      </c>
      <c r="J2855" s="16">
        <f>H2855*I2855</f>
        <v>0</v>
      </c>
    </row>
    <row r="2856" spans="1:10" ht="13.5" thickBot="1">
      <c r="A2856" s="27"/>
      <c r="B2856" s="110"/>
      <c r="D2856" s="409"/>
      <c r="E2856" s="13" t="s">
        <v>101</v>
      </c>
      <c r="F2856" s="14"/>
      <c r="G2856" s="410" t="s">
        <v>375</v>
      </c>
      <c r="H2856" s="411">
        <v>0.05</v>
      </c>
      <c r="I2856" s="412">
        <f>'BAHAN '!G59</f>
        <v>0</v>
      </c>
      <c r="J2856" s="16">
        <f>H2856*I2856</f>
        <v>0</v>
      </c>
    </row>
    <row r="2857" spans="1:10" ht="13.5" thickBot="1">
      <c r="A2857" s="27"/>
      <c r="B2857" s="110"/>
      <c r="D2857" s="417"/>
      <c r="E2857" s="418"/>
      <c r="F2857" s="418"/>
      <c r="G2857" s="419"/>
      <c r="H2857" s="420" t="s">
        <v>64</v>
      </c>
      <c r="I2857" s="421"/>
      <c r="J2857" s="396">
        <f>SUM(J2854:J2856)</f>
        <v>0</v>
      </c>
    </row>
    <row r="2858" spans="1:10" ht="13.5" thickBot="1">
      <c r="A2858" s="27"/>
      <c r="B2858" s="110"/>
      <c r="D2858" s="406" t="s">
        <v>65</v>
      </c>
      <c r="E2858" s="13" t="s">
        <v>66</v>
      </c>
      <c r="F2858" s="14"/>
      <c r="G2858" s="15"/>
      <c r="H2858" s="451"/>
      <c r="I2858" s="412">
        <f>IF(AND(E2858&lt;&gt;"",G2858&lt;&gt;""),IF(D2858="",IF(G2858="OH",VLOOKUP(E2858,UPAH!$C$4:$H$31,7,0),VLOOKUP(E2858,#REF!,4,0)),0),0)</f>
        <v>0</v>
      </c>
      <c r="J2858" s="16">
        <f>H2858*I2858</f>
        <v>0</v>
      </c>
    </row>
    <row r="2859" spans="1:10" ht="13.5" thickBot="1">
      <c r="A2859" s="27"/>
      <c r="B2859" s="110"/>
      <c r="D2859" s="417"/>
      <c r="E2859" s="418"/>
      <c r="F2859" s="418"/>
      <c r="G2859" s="419"/>
      <c r="H2859" s="420" t="s">
        <v>67</v>
      </c>
      <c r="I2859" s="421"/>
      <c r="J2859" s="396">
        <f>J2858</f>
        <v>0</v>
      </c>
    </row>
    <row r="2860" spans="1:10" ht="13">
      <c r="A2860" s="27"/>
      <c r="B2860" s="110"/>
      <c r="D2860" s="444" t="s">
        <v>68</v>
      </c>
      <c r="E2860" s="445" t="s">
        <v>69</v>
      </c>
      <c r="F2860" s="446"/>
      <c r="G2860" s="447"/>
      <c r="H2860" s="448"/>
      <c r="I2860" s="449">
        <f>IF(AND(E2860&lt;&gt;"",G2860&lt;&gt;""),IF(D2860="",IF(G2860="OH",VLOOKUP(E2860,UPAH!$C$4:$H$31,7,0),VLOOKUP(E2860,#REF!,4,0)),0),0)</f>
        <v>0</v>
      </c>
      <c r="J2860" s="16">
        <f>SUM(J2847:J2859)/2</f>
        <v>0</v>
      </c>
    </row>
    <row r="2861" spans="1:10" ht="13.5" thickBot="1">
      <c r="A2861" s="27"/>
      <c r="B2861" s="110"/>
      <c r="D2861" s="431" t="s">
        <v>70</v>
      </c>
      <c r="E2861" s="432" t="s">
        <v>477</v>
      </c>
      <c r="F2861" s="433"/>
      <c r="G2861" s="434"/>
      <c r="H2861" s="22">
        <v>0.1</v>
      </c>
      <c r="I2861" s="436"/>
      <c r="J2861" s="430">
        <f>H2861*J2860</f>
        <v>0</v>
      </c>
    </row>
    <row r="2862" spans="1:10" ht="13.5" thickBot="1">
      <c r="A2862" s="27"/>
      <c r="B2862" s="110"/>
      <c r="D2862" s="401" t="s">
        <v>71</v>
      </c>
      <c r="E2862" s="402" t="s">
        <v>72</v>
      </c>
      <c r="F2862" s="418"/>
      <c r="G2862" s="419"/>
      <c r="H2862" s="442"/>
      <c r="I2862" s="421">
        <f>IF(AND(E2862&lt;&gt;"",G2862&lt;&gt;""),IF(D2862="",IF(G2862="OH",VLOOKUP(E2862,UPAH!$C$4:$H$31,7,0),VLOOKUP(E2862,#REF!,4,0)),0),0)</f>
        <v>0</v>
      </c>
      <c r="J2862" s="396">
        <f>ROUNDDOWN(J2860+J2861,0)</f>
        <v>0</v>
      </c>
    </row>
    <row r="2863" spans="1:10" ht="13">
      <c r="A2863" s="27"/>
      <c r="B2863" s="110"/>
      <c r="D2863" s="11"/>
      <c r="E2863" s="11"/>
      <c r="H2863" s="443"/>
    </row>
    <row r="2864" spans="1:10" ht="13.5" thickBot="1">
      <c r="A2864" s="27"/>
      <c r="B2864" s="110"/>
      <c r="C2864" s="11" t="s">
        <v>1817</v>
      </c>
      <c r="D2864" s="10" t="s">
        <v>780</v>
      </c>
      <c r="H2864" s="443"/>
    </row>
    <row r="2865" spans="1:10" ht="13.5" thickBot="1">
      <c r="A2865" s="27"/>
      <c r="B2865" s="110"/>
      <c r="D2865" s="401" t="s">
        <v>40</v>
      </c>
      <c r="E2865" s="402" t="s">
        <v>41</v>
      </c>
      <c r="F2865" s="402" t="s">
        <v>42</v>
      </c>
      <c r="G2865" s="403" t="s">
        <v>43</v>
      </c>
      <c r="H2865" s="404" t="s">
        <v>44</v>
      </c>
      <c r="I2865" s="402" t="s">
        <v>474</v>
      </c>
      <c r="J2865" s="405" t="s">
        <v>475</v>
      </c>
    </row>
    <row r="2866" spans="1:10" ht="13">
      <c r="A2866" s="27"/>
      <c r="B2866" s="110"/>
      <c r="D2866" s="406" t="s">
        <v>45</v>
      </c>
      <c r="E2866" s="13" t="s">
        <v>46</v>
      </c>
      <c r="F2866" s="14"/>
      <c r="G2866" s="15"/>
      <c r="H2866" s="451"/>
      <c r="I2866" s="412"/>
      <c r="J2866" s="16"/>
    </row>
    <row r="2867" spans="1:10" ht="13">
      <c r="A2867" s="27"/>
      <c r="B2867" s="110"/>
      <c r="D2867" s="409"/>
      <c r="E2867" s="13" t="s">
        <v>47</v>
      </c>
      <c r="F2867" s="13" t="s">
        <v>1918</v>
      </c>
      <c r="G2867" s="410" t="s">
        <v>48</v>
      </c>
      <c r="H2867" s="411">
        <v>0.3</v>
      </c>
      <c r="I2867" s="412">
        <f>IF(AND(E2867&lt;&gt;"",G2867&lt;&gt;""),IF(D2867="",IF(G2867="OH",VLOOKUP(F2867,UPAH!$B$4:$H$101,7,0),VLOOKUP(F2867,#REF!,4,0)),0),0)</f>
        <v>0</v>
      </c>
      <c r="J2867" s="16">
        <f>H2867*I2867</f>
        <v>0</v>
      </c>
    </row>
    <row r="2868" spans="1:10" ht="13">
      <c r="A2868" s="27"/>
      <c r="B2868" s="110"/>
      <c r="D2868" s="409"/>
      <c r="E2868" s="13" t="s">
        <v>115</v>
      </c>
      <c r="F2868" s="13" t="s">
        <v>1921</v>
      </c>
      <c r="G2868" s="410" t="s">
        <v>48</v>
      </c>
      <c r="H2868" s="411">
        <v>0.1</v>
      </c>
      <c r="I2868" s="412">
        <f>IF(AND(E2868&lt;&gt;"",G2868&lt;&gt;""),IF(D2868="",IF(G2868="OH",VLOOKUP(F2868,UPAH!$B$4:$H$101,7,0),VLOOKUP(F2868,#REF!,4,0)),0),0)</f>
        <v>0</v>
      </c>
      <c r="J2868" s="16">
        <f>H2868*I2868</f>
        <v>0</v>
      </c>
    </row>
    <row r="2869" spans="1:10" ht="13">
      <c r="A2869" s="27"/>
      <c r="B2869" s="110"/>
      <c r="D2869" s="409"/>
      <c r="E2869" s="13" t="s">
        <v>97</v>
      </c>
      <c r="F2869" s="13" t="s">
        <v>1928</v>
      </c>
      <c r="G2869" s="410" t="s">
        <v>48</v>
      </c>
      <c r="H2869" s="411">
        <v>0.01</v>
      </c>
      <c r="I2869" s="412">
        <f>IF(AND(E2869&lt;&gt;"",G2869&lt;&gt;""),IF(D2869="",IF(G2869="OH",VLOOKUP(F2869,UPAH!$B$4:$H$101,7,0),VLOOKUP(F2869,#REF!,4,0)),0),0)</f>
        <v>0</v>
      </c>
      <c r="J2869" s="16">
        <f>H2869*I2869</f>
        <v>0</v>
      </c>
    </row>
    <row r="2870" spans="1:10" ht="13.5" thickBot="1">
      <c r="A2870" s="27"/>
      <c r="B2870" s="110"/>
      <c r="D2870" s="409"/>
      <c r="E2870" s="13" t="s">
        <v>51</v>
      </c>
      <c r="F2870" s="13" t="s">
        <v>1929</v>
      </c>
      <c r="G2870" s="410" t="s">
        <v>48</v>
      </c>
      <c r="H2870" s="411">
        <v>1.4999999999999999E-2</v>
      </c>
      <c r="I2870" s="412">
        <f>IF(AND(E2870&lt;&gt;"",G2870&lt;&gt;""),IF(D2870="",IF(G2870="OH",VLOOKUP(F2870,UPAH!$B$4:$H$101,7,0),VLOOKUP(F2870,#REF!,4,0)),0),0)</f>
        <v>0</v>
      </c>
      <c r="J2870" s="16">
        <f>H2870*I2870</f>
        <v>0</v>
      </c>
    </row>
    <row r="2871" spans="1:10" ht="13.5" thickBot="1">
      <c r="A2871" s="27"/>
      <c r="B2871" s="110"/>
      <c r="D2871" s="417"/>
      <c r="E2871" s="418"/>
      <c r="F2871" s="418"/>
      <c r="G2871" s="419"/>
      <c r="H2871" s="420" t="s">
        <v>52</v>
      </c>
      <c r="I2871" s="421"/>
      <c r="J2871" s="396">
        <f>SUM(J2867:J2870)</f>
        <v>0</v>
      </c>
    </row>
    <row r="2872" spans="1:10" ht="13">
      <c r="A2872" s="27"/>
      <c r="B2872" s="110"/>
      <c r="D2872" s="406" t="s">
        <v>53</v>
      </c>
      <c r="E2872" s="13" t="s">
        <v>54</v>
      </c>
      <c r="F2872" s="14"/>
      <c r="G2872" s="15"/>
      <c r="H2872" s="451"/>
      <c r="I2872" s="412"/>
      <c r="J2872" s="16"/>
    </row>
    <row r="2873" spans="1:10" ht="13">
      <c r="A2873" s="27"/>
      <c r="B2873" s="110"/>
      <c r="D2873" s="409"/>
      <c r="E2873" s="13" t="s">
        <v>86</v>
      </c>
      <c r="F2873" s="14"/>
      <c r="G2873" s="410" t="s">
        <v>259</v>
      </c>
      <c r="H2873" s="411">
        <v>70</v>
      </c>
      <c r="I2873" s="412">
        <f>'BAHAN '!G15</f>
        <v>0</v>
      </c>
      <c r="J2873" s="16">
        <f>H2873*I2873</f>
        <v>0</v>
      </c>
    </row>
    <row r="2874" spans="1:10" ht="13">
      <c r="A2874" s="27"/>
      <c r="B2874" s="110"/>
      <c r="D2874" s="409"/>
      <c r="E2874" s="13" t="s">
        <v>56</v>
      </c>
      <c r="F2874" s="14"/>
      <c r="G2874" s="410" t="s">
        <v>57</v>
      </c>
      <c r="H2874" s="411">
        <v>4.5</v>
      </c>
      <c r="I2874" s="412">
        <f>'BAHAN '!G72</f>
        <v>0</v>
      </c>
      <c r="J2874" s="16">
        <f>H2874*I2874</f>
        <v>0</v>
      </c>
    </row>
    <row r="2875" spans="1:10" ht="13">
      <c r="A2875" s="27"/>
      <c r="B2875" s="110"/>
      <c r="D2875" s="409"/>
      <c r="E2875" s="13" t="s">
        <v>105</v>
      </c>
      <c r="F2875" s="14"/>
      <c r="G2875" s="410" t="s">
        <v>375</v>
      </c>
      <c r="H2875" s="411">
        <v>1.4999999999999999E-2</v>
      </c>
      <c r="I2875" s="412">
        <f>'BAHAN '!G867</f>
        <v>0</v>
      </c>
      <c r="J2875" s="16">
        <f>H2875*I2875</f>
        <v>0</v>
      </c>
    </row>
    <row r="2876" spans="1:10" ht="13.5" thickBot="1">
      <c r="A2876" s="27"/>
      <c r="B2876" s="110"/>
      <c r="D2876" s="409"/>
      <c r="E2876" s="13" t="s">
        <v>101</v>
      </c>
      <c r="F2876" s="14"/>
      <c r="G2876" s="410" t="s">
        <v>375</v>
      </c>
      <c r="H2876" s="411">
        <v>0.05</v>
      </c>
      <c r="I2876" s="412">
        <f>'BAHAN '!G59</f>
        <v>0</v>
      </c>
      <c r="J2876" s="16">
        <f>H2876*I2876</f>
        <v>0</v>
      </c>
    </row>
    <row r="2877" spans="1:10" ht="13.5" thickBot="1">
      <c r="A2877" s="27"/>
      <c r="B2877" s="110"/>
      <c r="D2877" s="417"/>
      <c r="E2877" s="418"/>
      <c r="F2877" s="418"/>
      <c r="G2877" s="419"/>
      <c r="H2877" s="420" t="s">
        <v>64</v>
      </c>
      <c r="I2877" s="421"/>
      <c r="J2877" s="396">
        <f>SUM(J2873:J2876)</f>
        <v>0</v>
      </c>
    </row>
    <row r="2878" spans="1:10" ht="13.5" thickBot="1">
      <c r="A2878" s="27"/>
      <c r="B2878" s="110"/>
      <c r="D2878" s="406" t="s">
        <v>65</v>
      </c>
      <c r="E2878" s="13" t="s">
        <v>66</v>
      </c>
      <c r="F2878" s="14"/>
      <c r="G2878" s="15"/>
      <c r="H2878" s="451"/>
      <c r="I2878" s="412">
        <f>IF(AND(E2878&lt;&gt;"",G2878&lt;&gt;""),IF(D2878="",IF(G2878="OH",VLOOKUP(E2878,UPAH!$C$4:$H$31,7,0),VLOOKUP(E2878,#REF!,4,0)),0),0)</f>
        <v>0</v>
      </c>
      <c r="J2878" s="16">
        <f>H2878*I2878</f>
        <v>0</v>
      </c>
    </row>
    <row r="2879" spans="1:10" ht="13.5" thickBot="1">
      <c r="A2879" s="27"/>
      <c r="B2879" s="110"/>
      <c r="D2879" s="417"/>
      <c r="E2879" s="418"/>
      <c r="F2879" s="418"/>
      <c r="G2879" s="419"/>
      <c r="H2879" s="420" t="s">
        <v>67</v>
      </c>
      <c r="I2879" s="421"/>
      <c r="J2879" s="396">
        <f>J2878</f>
        <v>0</v>
      </c>
    </row>
    <row r="2880" spans="1:10" ht="13">
      <c r="A2880" s="27"/>
      <c r="B2880" s="110"/>
      <c r="D2880" s="444" t="s">
        <v>68</v>
      </c>
      <c r="E2880" s="445" t="s">
        <v>69</v>
      </c>
      <c r="F2880" s="446"/>
      <c r="G2880" s="447"/>
      <c r="H2880" s="448"/>
      <c r="I2880" s="449">
        <f>IF(AND(E2880&lt;&gt;"",G2880&lt;&gt;""),IF(D2880="",IF(G2880="OH",VLOOKUP(E2880,UPAH!$C$4:$H$31,7,0),VLOOKUP(E2880,#REF!,4,0)),0),0)</f>
        <v>0</v>
      </c>
      <c r="J2880" s="16">
        <f>SUM(J2867:J2879)/2</f>
        <v>0</v>
      </c>
    </row>
    <row r="2881" spans="1:10" ht="13.5" thickBot="1">
      <c r="A2881" s="27"/>
      <c r="B2881" s="110"/>
      <c r="D2881" s="431" t="s">
        <v>70</v>
      </c>
      <c r="E2881" s="432" t="s">
        <v>477</v>
      </c>
      <c r="F2881" s="433"/>
      <c r="G2881" s="434"/>
      <c r="H2881" s="22">
        <v>0.1</v>
      </c>
      <c r="I2881" s="436"/>
      <c r="J2881" s="430">
        <f>H2881*J2880</f>
        <v>0</v>
      </c>
    </row>
    <row r="2882" spans="1:10" ht="13.5" thickBot="1">
      <c r="A2882" s="27"/>
      <c r="B2882" s="110"/>
      <c r="D2882" s="401" t="s">
        <v>71</v>
      </c>
      <c r="E2882" s="402" t="s">
        <v>72</v>
      </c>
      <c r="F2882" s="418"/>
      <c r="G2882" s="419"/>
      <c r="H2882" s="442"/>
      <c r="I2882" s="421">
        <f>IF(AND(E2882&lt;&gt;"",G2882&lt;&gt;""),IF(D2882="",IF(G2882="OH",VLOOKUP(E2882,UPAH!$C$4:$H$31,7,0),VLOOKUP(E2882,#REF!,4,0)),0),0)</f>
        <v>0</v>
      </c>
      <c r="J2882" s="396">
        <f>ROUNDDOWN(J2880+J2881,0)</f>
        <v>0</v>
      </c>
    </row>
    <row r="2883" spans="1:10" ht="13">
      <c r="A2883" s="27"/>
      <c r="B2883" s="110"/>
      <c r="D2883" s="11"/>
      <c r="E2883" s="11"/>
      <c r="H2883" s="443"/>
    </row>
    <row r="2884" spans="1:10" ht="13.5" thickBot="1">
      <c r="A2884" s="27"/>
      <c r="B2884" s="110"/>
      <c r="C2884" s="11" t="s">
        <v>1818</v>
      </c>
      <c r="D2884" s="10" t="s">
        <v>781</v>
      </c>
      <c r="H2884" s="443"/>
    </row>
    <row r="2885" spans="1:10" ht="13.5" thickBot="1">
      <c r="A2885" s="27"/>
      <c r="B2885" s="110"/>
      <c r="D2885" s="401" t="s">
        <v>40</v>
      </c>
      <c r="E2885" s="402" t="s">
        <v>41</v>
      </c>
      <c r="F2885" s="402" t="s">
        <v>42</v>
      </c>
      <c r="G2885" s="403" t="s">
        <v>43</v>
      </c>
      <c r="H2885" s="404" t="s">
        <v>44</v>
      </c>
      <c r="I2885" s="402" t="s">
        <v>474</v>
      </c>
      <c r="J2885" s="405" t="s">
        <v>475</v>
      </c>
    </row>
    <row r="2886" spans="1:10" ht="13">
      <c r="A2886" s="27"/>
      <c r="B2886" s="110"/>
      <c r="D2886" s="406" t="s">
        <v>45</v>
      </c>
      <c r="E2886" s="13" t="s">
        <v>46</v>
      </c>
      <c r="F2886" s="14"/>
      <c r="G2886" s="15"/>
      <c r="H2886" s="451"/>
      <c r="I2886" s="412"/>
      <c r="J2886" s="16"/>
    </row>
    <row r="2887" spans="1:10" ht="13">
      <c r="A2887" s="27"/>
      <c r="B2887" s="110"/>
      <c r="D2887" s="409"/>
      <c r="E2887" s="13" t="s">
        <v>47</v>
      </c>
      <c r="F2887" s="13" t="s">
        <v>1918</v>
      </c>
      <c r="G2887" s="410" t="s">
        <v>48</v>
      </c>
      <c r="H2887" s="411">
        <v>0.3</v>
      </c>
      <c r="I2887" s="412">
        <f>IF(AND(E2887&lt;&gt;"",G2887&lt;&gt;""),IF(D2887="",IF(G2887="OH",VLOOKUP(F2887,UPAH!$B$4:$H$101,7,0),VLOOKUP(F2887,#REF!,4,0)),0),0)</f>
        <v>0</v>
      </c>
      <c r="J2887" s="16">
        <f>H2887*I2887</f>
        <v>0</v>
      </c>
    </row>
    <row r="2888" spans="1:10" ht="13">
      <c r="A2888" s="27"/>
      <c r="B2888" s="110"/>
      <c r="D2888" s="409"/>
      <c r="E2888" s="13" t="s">
        <v>115</v>
      </c>
      <c r="F2888" s="13" t="s">
        <v>1921</v>
      </c>
      <c r="G2888" s="410" t="s">
        <v>48</v>
      </c>
      <c r="H2888" s="411">
        <v>0.1</v>
      </c>
      <c r="I2888" s="412">
        <f>IF(AND(E2888&lt;&gt;"",G2888&lt;&gt;""),IF(D2888="",IF(G2888="OH",VLOOKUP(F2888,UPAH!$B$4:$H$101,7,0),VLOOKUP(F2888,#REF!,4,0)),0),0)</f>
        <v>0</v>
      </c>
      <c r="J2888" s="16">
        <f>H2888*I2888</f>
        <v>0</v>
      </c>
    </row>
    <row r="2889" spans="1:10" ht="13">
      <c r="A2889" s="27"/>
      <c r="B2889" s="110"/>
      <c r="D2889" s="409"/>
      <c r="E2889" s="13" t="s">
        <v>97</v>
      </c>
      <c r="F2889" s="13" t="s">
        <v>1928</v>
      </c>
      <c r="G2889" s="410" t="s">
        <v>48</v>
      </c>
      <c r="H2889" s="411">
        <v>0.01</v>
      </c>
      <c r="I2889" s="412">
        <f>IF(AND(E2889&lt;&gt;"",G2889&lt;&gt;""),IF(D2889="",IF(G2889="OH",VLOOKUP(F2889,UPAH!$B$4:$H$101,7,0),VLOOKUP(F2889,#REF!,4,0)),0),0)</f>
        <v>0</v>
      </c>
      <c r="J2889" s="16">
        <f>H2889*I2889</f>
        <v>0</v>
      </c>
    </row>
    <row r="2890" spans="1:10" ht="13.5" thickBot="1">
      <c r="A2890" s="27"/>
      <c r="B2890" s="110"/>
      <c r="D2890" s="409"/>
      <c r="E2890" s="13" t="s">
        <v>51</v>
      </c>
      <c r="F2890" s="13" t="s">
        <v>1929</v>
      </c>
      <c r="G2890" s="410" t="s">
        <v>48</v>
      </c>
      <c r="H2890" s="411">
        <v>1.4999999999999999E-2</v>
      </c>
      <c r="I2890" s="412">
        <f>IF(AND(E2890&lt;&gt;"",G2890&lt;&gt;""),IF(D2890="",IF(G2890="OH",VLOOKUP(F2890,UPAH!$B$4:$H$101,7,0),VLOOKUP(F2890,#REF!,4,0)),0),0)</f>
        <v>0</v>
      </c>
      <c r="J2890" s="16">
        <f>H2890*I2890</f>
        <v>0</v>
      </c>
    </row>
    <row r="2891" spans="1:10" ht="13.5" thickBot="1">
      <c r="A2891" s="27"/>
      <c r="B2891" s="110"/>
      <c r="D2891" s="417"/>
      <c r="E2891" s="418"/>
      <c r="F2891" s="418"/>
      <c r="G2891" s="419"/>
      <c r="H2891" s="420" t="s">
        <v>52</v>
      </c>
      <c r="I2891" s="421"/>
      <c r="J2891" s="396">
        <f>SUM(J2887:J2890)</f>
        <v>0</v>
      </c>
    </row>
    <row r="2892" spans="1:10" ht="13">
      <c r="A2892" s="27"/>
      <c r="B2892" s="110"/>
      <c r="D2892" s="406" t="s">
        <v>53</v>
      </c>
      <c r="E2892" s="13" t="s">
        <v>54</v>
      </c>
      <c r="F2892" s="14"/>
      <c r="G2892" s="15"/>
      <c r="H2892" s="451"/>
      <c r="I2892" s="412"/>
      <c r="J2892" s="16"/>
    </row>
    <row r="2893" spans="1:10" ht="13">
      <c r="A2893" s="27"/>
      <c r="B2893" s="110"/>
      <c r="D2893" s="409"/>
      <c r="E2893" s="13" t="s">
        <v>86</v>
      </c>
      <c r="F2893" s="14"/>
      <c r="G2893" s="410" t="s">
        <v>375</v>
      </c>
      <c r="H2893" s="411">
        <v>70</v>
      </c>
      <c r="I2893" s="412">
        <f>'BAHAN '!G15</f>
        <v>0</v>
      </c>
      <c r="J2893" s="16">
        <f>H2893*I2893</f>
        <v>0</v>
      </c>
    </row>
    <row r="2894" spans="1:10" ht="13">
      <c r="A2894" s="27"/>
      <c r="B2894" s="110"/>
      <c r="D2894" s="409"/>
      <c r="E2894" s="13" t="s">
        <v>439</v>
      </c>
      <c r="F2894" s="14"/>
      <c r="G2894" s="410" t="s">
        <v>57</v>
      </c>
      <c r="H2894" s="411">
        <v>1.7999999999999999E-2</v>
      </c>
      <c r="I2894" s="412">
        <f>'BAHAN '!G74</f>
        <v>0</v>
      </c>
      <c r="J2894" s="16">
        <f>H2894*I2894</f>
        <v>0</v>
      </c>
    </row>
    <row r="2895" spans="1:10" ht="13">
      <c r="A2895" s="27"/>
      <c r="B2895" s="110"/>
      <c r="D2895" s="409"/>
      <c r="E2895" s="13" t="s">
        <v>105</v>
      </c>
      <c r="F2895" s="14"/>
      <c r="G2895" s="410" t="s">
        <v>375</v>
      </c>
      <c r="H2895" s="411">
        <v>1.7999999999999999E-2</v>
      </c>
      <c r="I2895" s="412">
        <f>'BAHAN '!G867</f>
        <v>0</v>
      </c>
      <c r="J2895" s="16">
        <f>H2895*I2895</f>
        <v>0</v>
      </c>
    </row>
    <row r="2896" spans="1:10" ht="13.5" thickBot="1">
      <c r="A2896" s="27"/>
      <c r="B2896" s="110"/>
      <c r="D2896" s="409"/>
      <c r="E2896" s="13" t="s">
        <v>101</v>
      </c>
      <c r="F2896" s="14"/>
      <c r="G2896" s="410" t="s">
        <v>375</v>
      </c>
      <c r="H2896" s="411">
        <v>1.7999999999999999E-2</v>
      </c>
      <c r="I2896" s="412">
        <f>'BAHAN '!G59</f>
        <v>0</v>
      </c>
      <c r="J2896" s="16">
        <f>H2896*I2896</f>
        <v>0</v>
      </c>
    </row>
    <row r="2897" spans="1:10" ht="13.5" thickBot="1">
      <c r="A2897" s="27"/>
      <c r="B2897" s="110"/>
      <c r="D2897" s="417"/>
      <c r="E2897" s="418"/>
      <c r="F2897" s="418"/>
      <c r="G2897" s="419"/>
      <c r="H2897" s="420" t="s">
        <v>64</v>
      </c>
      <c r="I2897" s="421"/>
      <c r="J2897" s="396">
        <f>SUM(J2893:J2896)</f>
        <v>0</v>
      </c>
    </row>
    <row r="2898" spans="1:10" ht="13.5" thickBot="1">
      <c r="A2898" s="27"/>
      <c r="B2898" s="110"/>
      <c r="D2898" s="406" t="s">
        <v>65</v>
      </c>
      <c r="E2898" s="13" t="s">
        <v>66</v>
      </c>
      <c r="F2898" s="14"/>
      <c r="G2898" s="15"/>
      <c r="H2898" s="451"/>
      <c r="I2898" s="412">
        <f>IF(AND(E2898&lt;&gt;"",G2898&lt;&gt;""),IF(D2898="",IF(G2898="OH",VLOOKUP(E2898,UPAH!$C$4:$H$31,7,0),VLOOKUP(E2898,#REF!,4,0)),0),0)</f>
        <v>0</v>
      </c>
      <c r="J2898" s="16">
        <f>H2898*I2898</f>
        <v>0</v>
      </c>
    </row>
    <row r="2899" spans="1:10" ht="13.5" thickBot="1">
      <c r="A2899" s="27"/>
      <c r="B2899" s="110"/>
      <c r="D2899" s="417"/>
      <c r="E2899" s="418"/>
      <c r="F2899" s="418"/>
      <c r="G2899" s="419"/>
      <c r="H2899" s="420" t="s">
        <v>67</v>
      </c>
      <c r="I2899" s="421"/>
      <c r="J2899" s="396">
        <f>J2898</f>
        <v>0</v>
      </c>
    </row>
    <row r="2900" spans="1:10" ht="13">
      <c r="A2900" s="27"/>
      <c r="B2900" s="110"/>
      <c r="D2900" s="444" t="s">
        <v>68</v>
      </c>
      <c r="E2900" s="445" t="s">
        <v>69</v>
      </c>
      <c r="F2900" s="446"/>
      <c r="G2900" s="447"/>
      <c r="H2900" s="448"/>
      <c r="I2900" s="449">
        <f>IF(AND(E2900&lt;&gt;"",G2900&lt;&gt;""),IF(D2900="",IF(G2900="OH",VLOOKUP(E2900,UPAH!$C$4:$H$31,7,0),VLOOKUP(E2900,#REF!,4,0)),0),0)</f>
        <v>0</v>
      </c>
      <c r="J2900" s="16">
        <f>SUM(J2887:J2899)/2</f>
        <v>0</v>
      </c>
    </row>
    <row r="2901" spans="1:10" ht="13.5" thickBot="1">
      <c r="A2901" s="27"/>
      <c r="B2901" s="110"/>
      <c r="D2901" s="431" t="s">
        <v>70</v>
      </c>
      <c r="E2901" s="432" t="s">
        <v>477</v>
      </c>
      <c r="F2901" s="433"/>
      <c r="G2901" s="434"/>
      <c r="H2901" s="22">
        <v>0.1</v>
      </c>
      <c r="I2901" s="436"/>
      <c r="J2901" s="430">
        <f>H2901*J2900</f>
        <v>0</v>
      </c>
    </row>
    <row r="2902" spans="1:10" ht="13.5" thickBot="1">
      <c r="A2902" s="27"/>
      <c r="B2902" s="110"/>
      <c r="D2902" s="401" t="s">
        <v>71</v>
      </c>
      <c r="E2902" s="402" t="s">
        <v>72</v>
      </c>
      <c r="F2902" s="418"/>
      <c r="G2902" s="419"/>
      <c r="H2902" s="442"/>
      <c r="I2902" s="421">
        <f>IF(AND(E2902&lt;&gt;"",G2902&lt;&gt;""),IF(D2902="",IF(G2902="OH",VLOOKUP(E2902,UPAH!$C$4:$H$31,7,0),VLOOKUP(E2902,#REF!,4,0)),0),0)</f>
        <v>0</v>
      </c>
      <c r="J2902" s="396">
        <f>ROUNDDOWN(J2900+J2901,0)</f>
        <v>0</v>
      </c>
    </row>
    <row r="2903" spans="1:10" ht="13">
      <c r="A2903" s="27"/>
      <c r="B2903" s="110"/>
      <c r="D2903" s="11"/>
      <c r="E2903" s="11"/>
      <c r="H2903" s="443"/>
    </row>
    <row r="2904" spans="1:10" ht="13.5" thickBot="1">
      <c r="A2904" s="27"/>
      <c r="B2904" s="110"/>
      <c r="C2904" s="11" t="s">
        <v>1819</v>
      </c>
      <c r="D2904" s="10" t="s">
        <v>782</v>
      </c>
      <c r="H2904" s="443"/>
    </row>
    <row r="2905" spans="1:10" ht="13.5" thickBot="1">
      <c r="A2905" s="27"/>
      <c r="B2905" s="110"/>
      <c r="D2905" s="401" t="s">
        <v>40</v>
      </c>
      <c r="E2905" s="402" t="s">
        <v>41</v>
      </c>
      <c r="F2905" s="402" t="s">
        <v>42</v>
      </c>
      <c r="G2905" s="403" t="s">
        <v>43</v>
      </c>
      <c r="H2905" s="404" t="s">
        <v>44</v>
      </c>
      <c r="I2905" s="402" t="s">
        <v>474</v>
      </c>
      <c r="J2905" s="405" t="s">
        <v>475</v>
      </c>
    </row>
    <row r="2906" spans="1:10" ht="13">
      <c r="A2906" s="27"/>
      <c r="B2906" s="110"/>
      <c r="D2906" s="444" t="s">
        <v>45</v>
      </c>
      <c r="E2906" s="445" t="s">
        <v>46</v>
      </c>
      <c r="F2906" s="446"/>
      <c r="G2906" s="447"/>
      <c r="H2906" s="448"/>
      <c r="I2906" s="449"/>
      <c r="J2906" s="450"/>
    </row>
    <row r="2907" spans="1:10" ht="13">
      <c r="A2907" s="27"/>
      <c r="B2907" s="110"/>
      <c r="D2907" s="409"/>
      <c r="E2907" s="13" t="s">
        <v>47</v>
      </c>
      <c r="F2907" s="13" t="s">
        <v>1918</v>
      </c>
      <c r="G2907" s="410" t="s">
        <v>48</v>
      </c>
      <c r="H2907" s="411">
        <v>0.3</v>
      </c>
      <c r="I2907" s="412">
        <f>IF(AND(E2907&lt;&gt;"",G2907&lt;&gt;""),IF(D2907="",IF(G2907="OH",VLOOKUP(F2907,UPAH!$B$4:$H$101,7,0),VLOOKUP(F2907,#REF!,4,0)),0),0)</f>
        <v>0</v>
      </c>
      <c r="J2907" s="16">
        <f>H2907*I2907</f>
        <v>0</v>
      </c>
    </row>
    <row r="2908" spans="1:10" ht="13">
      <c r="A2908" s="27"/>
      <c r="B2908" s="110"/>
      <c r="D2908" s="409"/>
      <c r="E2908" s="13" t="s">
        <v>115</v>
      </c>
      <c r="F2908" s="13" t="s">
        <v>1921</v>
      </c>
      <c r="G2908" s="410" t="s">
        <v>48</v>
      </c>
      <c r="H2908" s="411">
        <v>0.1</v>
      </c>
      <c r="I2908" s="412">
        <f>IF(AND(E2908&lt;&gt;"",G2908&lt;&gt;""),IF(D2908="",IF(G2908="OH",VLOOKUP(F2908,UPAH!$B$4:$H$101,7,0),VLOOKUP(F2908,#REF!,4,0)),0),0)</f>
        <v>0</v>
      </c>
      <c r="J2908" s="16">
        <f>H2908*I2908</f>
        <v>0</v>
      </c>
    </row>
    <row r="2909" spans="1:10" ht="13">
      <c r="A2909" s="27"/>
      <c r="B2909" s="110"/>
      <c r="D2909" s="409"/>
      <c r="E2909" s="13" t="s">
        <v>97</v>
      </c>
      <c r="F2909" s="13" t="s">
        <v>1928</v>
      </c>
      <c r="G2909" s="410" t="s">
        <v>48</v>
      </c>
      <c r="H2909" s="411">
        <v>0.01</v>
      </c>
      <c r="I2909" s="412">
        <f>IF(AND(E2909&lt;&gt;"",G2909&lt;&gt;""),IF(D2909="",IF(G2909="OH",VLOOKUP(F2909,UPAH!$B$4:$H$101,7,0),VLOOKUP(F2909,#REF!,4,0)),0),0)</f>
        <v>0</v>
      </c>
      <c r="J2909" s="16">
        <f>H2909*I2909</f>
        <v>0</v>
      </c>
    </row>
    <row r="2910" spans="1:10" ht="13.5" thickBot="1">
      <c r="A2910" s="27"/>
      <c r="B2910" s="110"/>
      <c r="D2910" s="409"/>
      <c r="E2910" s="13" t="s">
        <v>51</v>
      </c>
      <c r="F2910" s="13" t="s">
        <v>1929</v>
      </c>
      <c r="G2910" s="410" t="s">
        <v>48</v>
      </c>
      <c r="H2910" s="411">
        <v>1.4999999999999999E-2</v>
      </c>
      <c r="I2910" s="412">
        <f>IF(AND(E2910&lt;&gt;"",G2910&lt;&gt;""),IF(D2910="",IF(G2910="OH",VLOOKUP(F2910,UPAH!$B$4:$H$101,7,0),VLOOKUP(F2910,#REF!,4,0)),0),0)</f>
        <v>0</v>
      </c>
      <c r="J2910" s="16">
        <f>H2910*I2910</f>
        <v>0</v>
      </c>
    </row>
    <row r="2911" spans="1:10" ht="13.5" thickBot="1">
      <c r="A2911" s="27"/>
      <c r="B2911" s="110"/>
      <c r="D2911" s="417"/>
      <c r="E2911" s="418"/>
      <c r="F2911" s="418"/>
      <c r="G2911" s="419"/>
      <c r="H2911" s="420" t="s">
        <v>52</v>
      </c>
      <c r="I2911" s="421"/>
      <c r="J2911" s="396">
        <f>SUM(J2907:J2910)</f>
        <v>0</v>
      </c>
    </row>
    <row r="2912" spans="1:10" ht="13">
      <c r="A2912" s="27"/>
      <c r="B2912" s="110"/>
      <c r="D2912" s="406" t="s">
        <v>53</v>
      </c>
      <c r="E2912" s="13" t="s">
        <v>54</v>
      </c>
      <c r="F2912" s="14"/>
      <c r="G2912" s="15"/>
      <c r="H2912" s="451"/>
      <c r="I2912" s="412"/>
      <c r="J2912" s="16"/>
    </row>
    <row r="2913" spans="1:10" ht="13">
      <c r="A2913" s="27"/>
      <c r="B2913" s="110"/>
      <c r="D2913" s="409"/>
      <c r="E2913" s="13" t="s">
        <v>86</v>
      </c>
      <c r="F2913" s="14"/>
      <c r="G2913" s="410" t="s">
        <v>259</v>
      </c>
      <c r="H2913" s="411">
        <v>70</v>
      </c>
      <c r="I2913" s="412">
        <f>'BAHAN '!G15</f>
        <v>0</v>
      </c>
      <c r="J2913" s="16">
        <f>H2913*I2913</f>
        <v>0</v>
      </c>
    </row>
    <row r="2914" spans="1:10" ht="13">
      <c r="A2914" s="27"/>
      <c r="B2914" s="110"/>
      <c r="D2914" s="409"/>
      <c r="E2914" s="13" t="s">
        <v>439</v>
      </c>
      <c r="F2914" s="14"/>
      <c r="G2914" s="410" t="s">
        <v>57</v>
      </c>
      <c r="H2914" s="411">
        <v>1.4E-2</v>
      </c>
      <c r="I2914" s="412">
        <f>'BAHAN '!G74</f>
        <v>0</v>
      </c>
      <c r="J2914" s="16">
        <f>H2914*I2914</f>
        <v>0</v>
      </c>
    </row>
    <row r="2915" spans="1:10" ht="13">
      <c r="A2915" s="27"/>
      <c r="B2915" s="110"/>
      <c r="D2915" s="409"/>
      <c r="E2915" s="13" t="s">
        <v>105</v>
      </c>
      <c r="F2915" s="14"/>
      <c r="G2915" s="410" t="s">
        <v>375</v>
      </c>
      <c r="H2915" s="411">
        <v>1.4E-2</v>
      </c>
      <c r="I2915" s="412">
        <f>'BAHAN '!G867</f>
        <v>0</v>
      </c>
      <c r="J2915" s="16">
        <f>H2915*I2915</f>
        <v>0</v>
      </c>
    </row>
    <row r="2916" spans="1:10" ht="13.5" thickBot="1">
      <c r="A2916" s="27"/>
      <c r="B2916" s="110"/>
      <c r="D2916" s="409"/>
      <c r="E2916" s="13" t="s">
        <v>101</v>
      </c>
      <c r="F2916" s="14"/>
      <c r="G2916" s="410" t="s">
        <v>375</v>
      </c>
      <c r="H2916" s="411">
        <v>2.8000000000000001E-2</v>
      </c>
      <c r="I2916" s="412">
        <f>'BAHAN '!G59</f>
        <v>0</v>
      </c>
      <c r="J2916" s="16">
        <f>H2916*I2916</f>
        <v>0</v>
      </c>
    </row>
    <row r="2917" spans="1:10" ht="13.5" thickBot="1">
      <c r="A2917" s="27"/>
      <c r="B2917" s="110"/>
      <c r="D2917" s="417"/>
      <c r="E2917" s="418"/>
      <c r="F2917" s="418"/>
      <c r="G2917" s="419"/>
      <c r="H2917" s="420" t="s">
        <v>64</v>
      </c>
      <c r="I2917" s="421"/>
      <c r="J2917" s="396">
        <f>SUM(J2913:J2916)</f>
        <v>0</v>
      </c>
    </row>
    <row r="2918" spans="1:10" ht="13.5" thickBot="1">
      <c r="A2918" s="27"/>
      <c r="B2918" s="110"/>
      <c r="D2918" s="406" t="s">
        <v>65</v>
      </c>
      <c r="E2918" s="13" t="s">
        <v>66</v>
      </c>
      <c r="F2918" s="14"/>
      <c r="G2918" s="15"/>
      <c r="H2918" s="451"/>
      <c r="I2918" s="412">
        <f>IF(AND(E2918&lt;&gt;"",G2918&lt;&gt;""),IF(D2918="",IF(G2918="OH",VLOOKUP(E2918,UPAH!$C$4:$H$31,7,0),VLOOKUP(E2918,#REF!,4,0)),0),0)</f>
        <v>0</v>
      </c>
      <c r="J2918" s="16">
        <f>H2918*I2918</f>
        <v>0</v>
      </c>
    </row>
    <row r="2919" spans="1:10" ht="13.5" thickBot="1">
      <c r="A2919" s="27"/>
      <c r="B2919" s="110"/>
      <c r="D2919" s="417"/>
      <c r="E2919" s="418"/>
      <c r="F2919" s="418"/>
      <c r="G2919" s="419"/>
      <c r="H2919" s="420" t="s">
        <v>67</v>
      </c>
      <c r="I2919" s="421"/>
      <c r="J2919" s="396">
        <f>J2918</f>
        <v>0</v>
      </c>
    </row>
    <row r="2920" spans="1:10" ht="13">
      <c r="A2920" s="27"/>
      <c r="B2920" s="110"/>
      <c r="D2920" s="444" t="s">
        <v>68</v>
      </c>
      <c r="E2920" s="445" t="s">
        <v>69</v>
      </c>
      <c r="F2920" s="446"/>
      <c r="G2920" s="447"/>
      <c r="H2920" s="448"/>
      <c r="I2920" s="449">
        <f>IF(AND(E2920&lt;&gt;"",G2920&lt;&gt;""),IF(D2920="",IF(G2920="OH",VLOOKUP(E2920,UPAH!$C$4:$H$31,7,0),VLOOKUP(E2920,#REF!,4,0)),0),0)</f>
        <v>0</v>
      </c>
      <c r="J2920" s="16">
        <f>SUM(J2906:J2919)/2</f>
        <v>0</v>
      </c>
    </row>
    <row r="2921" spans="1:10" ht="13.5" thickBot="1">
      <c r="A2921" s="27"/>
      <c r="B2921" s="110"/>
      <c r="D2921" s="431" t="s">
        <v>70</v>
      </c>
      <c r="E2921" s="432" t="s">
        <v>477</v>
      </c>
      <c r="F2921" s="433"/>
      <c r="G2921" s="434"/>
      <c r="H2921" s="22">
        <v>0.1</v>
      </c>
      <c r="I2921" s="436"/>
      <c r="J2921" s="430">
        <f>H2921*J2920</f>
        <v>0</v>
      </c>
    </row>
    <row r="2922" spans="1:10" ht="13.5" thickBot="1">
      <c r="A2922" s="27"/>
      <c r="B2922" s="110"/>
      <c r="D2922" s="401" t="s">
        <v>71</v>
      </c>
      <c r="E2922" s="402" t="s">
        <v>72</v>
      </c>
      <c r="F2922" s="418"/>
      <c r="G2922" s="419"/>
      <c r="H2922" s="442"/>
      <c r="I2922" s="421">
        <f>IF(AND(E2922&lt;&gt;"",G2922&lt;&gt;""),IF(D2922="",IF(G2922="OH",VLOOKUP(E2922,UPAH!$C$4:$H$31,7,0),VLOOKUP(E2922,#REF!,4,0)),0),0)</f>
        <v>0</v>
      </c>
      <c r="J2922" s="396">
        <f>ROUNDDOWN(J2920+J2921,0)</f>
        <v>0</v>
      </c>
    </row>
    <row r="2923" spans="1:10" ht="13">
      <c r="A2923" s="27"/>
      <c r="B2923" s="110"/>
      <c r="D2923" s="11"/>
      <c r="E2923" s="11"/>
      <c r="H2923" s="443"/>
    </row>
    <row r="2924" spans="1:10" ht="13.5" thickBot="1">
      <c r="A2924" s="27"/>
      <c r="B2924" s="110"/>
      <c r="C2924" s="11" t="s">
        <v>1820</v>
      </c>
      <c r="D2924" s="10" t="s">
        <v>783</v>
      </c>
      <c r="H2924" s="443"/>
    </row>
    <row r="2925" spans="1:10" ht="13.5" thickBot="1">
      <c r="A2925" s="27"/>
      <c r="B2925" s="110"/>
      <c r="D2925" s="401" t="s">
        <v>40</v>
      </c>
      <c r="E2925" s="402" t="s">
        <v>41</v>
      </c>
      <c r="F2925" s="402" t="s">
        <v>42</v>
      </c>
      <c r="G2925" s="403" t="s">
        <v>43</v>
      </c>
      <c r="H2925" s="404" t="s">
        <v>44</v>
      </c>
      <c r="I2925" s="402" t="s">
        <v>474</v>
      </c>
      <c r="J2925" s="405" t="s">
        <v>475</v>
      </c>
    </row>
    <row r="2926" spans="1:10" ht="13">
      <c r="A2926" s="27"/>
      <c r="B2926" s="110"/>
      <c r="D2926" s="406" t="s">
        <v>45</v>
      </c>
      <c r="E2926" s="13" t="s">
        <v>46</v>
      </c>
      <c r="F2926" s="14"/>
      <c r="G2926" s="15"/>
      <c r="H2926" s="451"/>
      <c r="I2926" s="412"/>
      <c r="J2926" s="16"/>
    </row>
    <row r="2927" spans="1:10" ht="13">
      <c r="A2927" s="27"/>
      <c r="B2927" s="110"/>
      <c r="D2927" s="409"/>
      <c r="E2927" s="13" t="s">
        <v>47</v>
      </c>
      <c r="F2927" s="13" t="s">
        <v>1918</v>
      </c>
      <c r="G2927" s="410" t="s">
        <v>48</v>
      </c>
      <c r="H2927" s="411">
        <v>0.35</v>
      </c>
      <c r="I2927" s="412">
        <f>IF(AND(E2927&lt;&gt;"",G2927&lt;&gt;""),IF(D2927="",IF(G2927="OH",VLOOKUP(F2927,UPAH!$B$4:$H$101,7,0),VLOOKUP(F2927,#REF!,4,0)),0),0)</f>
        <v>0</v>
      </c>
      <c r="J2927" s="16">
        <f>H2927*I2927</f>
        <v>0</v>
      </c>
    </row>
    <row r="2928" spans="1:10" ht="13">
      <c r="A2928" s="27"/>
      <c r="B2928" s="110"/>
      <c r="D2928" s="409"/>
      <c r="E2928" s="13" t="s">
        <v>115</v>
      </c>
      <c r="F2928" s="13" t="s">
        <v>1921</v>
      </c>
      <c r="G2928" s="410" t="s">
        <v>48</v>
      </c>
      <c r="H2928" s="411">
        <v>0.15</v>
      </c>
      <c r="I2928" s="412">
        <f>IF(AND(E2928&lt;&gt;"",G2928&lt;&gt;""),IF(D2928="",IF(G2928="OH",VLOOKUP(F2928,UPAH!$B$4:$H$101,7,0),VLOOKUP(F2928,#REF!,4,0)),0),0)</f>
        <v>0</v>
      </c>
      <c r="J2928" s="16">
        <f>H2928*I2928</f>
        <v>0</v>
      </c>
    </row>
    <row r="2929" spans="1:10" ht="13">
      <c r="A2929" s="27"/>
      <c r="B2929" s="110"/>
      <c r="D2929" s="409"/>
      <c r="E2929" s="13" t="s">
        <v>97</v>
      </c>
      <c r="F2929" s="13" t="s">
        <v>1928</v>
      </c>
      <c r="G2929" s="410" t="s">
        <v>48</v>
      </c>
      <c r="H2929" s="411">
        <v>1.4999999999999999E-2</v>
      </c>
      <c r="I2929" s="412">
        <f>IF(AND(E2929&lt;&gt;"",G2929&lt;&gt;""),IF(D2929="",IF(G2929="OH",VLOOKUP(F2929,UPAH!$B$4:$H$101,7,0),VLOOKUP(F2929,#REF!,4,0)),0),0)</f>
        <v>0</v>
      </c>
      <c r="J2929" s="16">
        <f>H2929*I2929</f>
        <v>0</v>
      </c>
    </row>
    <row r="2930" spans="1:10" ht="13.5" thickBot="1">
      <c r="A2930" s="27"/>
      <c r="B2930" s="110"/>
      <c r="D2930" s="409"/>
      <c r="E2930" s="13" t="s">
        <v>51</v>
      </c>
      <c r="F2930" s="13" t="s">
        <v>1929</v>
      </c>
      <c r="G2930" s="410" t="s">
        <v>48</v>
      </c>
      <c r="H2930" s="411">
        <v>1.7999999999999999E-2</v>
      </c>
      <c r="I2930" s="412">
        <f>IF(AND(E2930&lt;&gt;"",G2930&lt;&gt;""),IF(D2930="",IF(G2930="OH",VLOOKUP(F2930,UPAH!$B$4:$H$101,7,0),VLOOKUP(F2930,#REF!,4,0)),0),0)</f>
        <v>0</v>
      </c>
      <c r="J2930" s="16">
        <f>H2930*I2930</f>
        <v>0</v>
      </c>
    </row>
    <row r="2931" spans="1:10" ht="13.5" thickBot="1">
      <c r="A2931" s="27"/>
      <c r="B2931" s="110"/>
      <c r="D2931" s="417"/>
      <c r="E2931" s="418"/>
      <c r="F2931" s="418"/>
      <c r="G2931" s="419"/>
      <c r="H2931" s="420" t="s">
        <v>52</v>
      </c>
      <c r="I2931" s="421"/>
      <c r="J2931" s="396">
        <f>SUM(J2927:J2930)</f>
        <v>0</v>
      </c>
    </row>
    <row r="2932" spans="1:10" ht="13">
      <c r="A2932" s="27"/>
      <c r="B2932" s="110"/>
      <c r="D2932" s="406" t="s">
        <v>53</v>
      </c>
      <c r="E2932" s="13" t="s">
        <v>54</v>
      </c>
      <c r="F2932" s="14"/>
      <c r="G2932" s="15"/>
      <c r="H2932" s="451"/>
      <c r="I2932" s="412"/>
      <c r="J2932" s="16"/>
    </row>
    <row r="2933" spans="1:10" ht="13">
      <c r="A2933" s="27"/>
      <c r="B2933" s="110"/>
      <c r="D2933" s="409"/>
      <c r="E2933" s="13" t="s">
        <v>161</v>
      </c>
      <c r="F2933" s="14"/>
      <c r="G2933" s="410" t="s">
        <v>375</v>
      </c>
      <c r="H2933" s="411">
        <v>12.5</v>
      </c>
      <c r="I2933" s="412">
        <f>'BAHAN '!G1040</f>
        <v>0</v>
      </c>
      <c r="J2933" s="16">
        <f>H2933*I2933</f>
        <v>0</v>
      </c>
    </row>
    <row r="2934" spans="1:10" ht="13">
      <c r="A2934" s="27"/>
      <c r="B2934" s="110"/>
      <c r="D2934" s="409"/>
      <c r="E2934" s="13" t="s">
        <v>56</v>
      </c>
      <c r="F2934" s="14"/>
      <c r="G2934" s="410" t="s">
        <v>57</v>
      </c>
      <c r="H2934" s="411">
        <v>30.32</v>
      </c>
      <c r="I2934" s="412">
        <f>'BAHAN '!G72</f>
        <v>0</v>
      </c>
      <c r="J2934" s="16">
        <f>H2934*I2934</f>
        <v>0</v>
      </c>
    </row>
    <row r="2935" spans="1:10" ht="13">
      <c r="A2935" s="27"/>
      <c r="B2935" s="110"/>
      <c r="D2935" s="409"/>
      <c r="E2935" s="13" t="s">
        <v>101</v>
      </c>
      <c r="F2935" s="14"/>
      <c r="G2935" s="410" t="s">
        <v>375</v>
      </c>
      <c r="H2935" s="411">
        <v>0.72799999999999998</v>
      </c>
      <c r="I2935" s="412">
        <f>'BAHAN '!G59</f>
        <v>0</v>
      </c>
      <c r="J2935" s="16">
        <f>H2935*I2935</f>
        <v>0</v>
      </c>
    </row>
    <row r="2936" spans="1:10" ht="13.5" thickBot="1">
      <c r="A2936" s="27"/>
      <c r="B2936" s="110"/>
      <c r="D2936" s="409"/>
      <c r="E2936" s="13" t="s">
        <v>384</v>
      </c>
      <c r="F2936" s="14"/>
      <c r="G2936" s="410" t="s">
        <v>57</v>
      </c>
      <c r="H2936" s="411">
        <v>0.28000000000000003</v>
      </c>
      <c r="I2936" s="412">
        <f>'BAHAN '!G142</f>
        <v>0</v>
      </c>
      <c r="J2936" s="16">
        <f>H2936*I2936</f>
        <v>0</v>
      </c>
    </row>
    <row r="2937" spans="1:10" ht="13.5" thickBot="1">
      <c r="A2937" s="27"/>
      <c r="B2937" s="110"/>
      <c r="D2937" s="417"/>
      <c r="E2937" s="418"/>
      <c r="F2937" s="418"/>
      <c r="G2937" s="419"/>
      <c r="H2937" s="420" t="s">
        <v>64</v>
      </c>
      <c r="I2937" s="421"/>
      <c r="J2937" s="396">
        <f>SUM(J2933:J2936)</f>
        <v>0</v>
      </c>
    </row>
    <row r="2938" spans="1:10" ht="13.5" thickBot="1">
      <c r="A2938" s="27"/>
      <c r="B2938" s="110"/>
      <c r="D2938" s="406" t="s">
        <v>65</v>
      </c>
      <c r="E2938" s="13" t="s">
        <v>66</v>
      </c>
      <c r="F2938" s="14"/>
      <c r="G2938" s="15"/>
      <c r="H2938" s="451"/>
      <c r="I2938" s="412">
        <f>IF(AND(E2938&lt;&gt;"",G2938&lt;&gt;""),IF(D2938="",IF(G2938="OH",VLOOKUP(E2938,UPAH!$C$4:$H$31,7,0),VLOOKUP(E2938,#REF!,4,0)),0),0)</f>
        <v>0</v>
      </c>
      <c r="J2938" s="16">
        <f>H2938*I2938</f>
        <v>0</v>
      </c>
    </row>
    <row r="2939" spans="1:10" ht="13.5" thickBot="1">
      <c r="A2939" s="27"/>
      <c r="B2939" s="110"/>
      <c r="D2939" s="417"/>
      <c r="E2939" s="418"/>
      <c r="F2939" s="418"/>
      <c r="G2939" s="419"/>
      <c r="H2939" s="420" t="s">
        <v>67</v>
      </c>
      <c r="I2939" s="421"/>
      <c r="J2939" s="396">
        <f>J2938</f>
        <v>0</v>
      </c>
    </row>
    <row r="2940" spans="1:10" ht="13">
      <c r="A2940" s="27"/>
      <c r="B2940" s="110"/>
      <c r="D2940" s="444" t="s">
        <v>68</v>
      </c>
      <c r="E2940" s="445" t="s">
        <v>69</v>
      </c>
      <c r="F2940" s="446"/>
      <c r="G2940" s="447"/>
      <c r="H2940" s="448"/>
      <c r="I2940" s="449">
        <f>IF(AND(E2940&lt;&gt;"",G2940&lt;&gt;""),IF(D2940="",IF(G2940="OH",VLOOKUP(E2940,UPAH!$C$4:$H$31,7,0),VLOOKUP(E2940,#REF!,4,0)),0),0)</f>
        <v>0</v>
      </c>
      <c r="J2940" s="16">
        <f>SUM(J2927:J2939)/2</f>
        <v>0</v>
      </c>
    </row>
    <row r="2941" spans="1:10" ht="13.5" thickBot="1">
      <c r="A2941" s="27"/>
      <c r="B2941" s="110"/>
      <c r="D2941" s="431" t="s">
        <v>70</v>
      </c>
      <c r="E2941" s="432" t="s">
        <v>477</v>
      </c>
      <c r="F2941" s="433"/>
      <c r="G2941" s="434"/>
      <c r="H2941" s="22">
        <v>0.1</v>
      </c>
      <c r="I2941" s="436"/>
      <c r="J2941" s="430">
        <f>H2941*J2940</f>
        <v>0</v>
      </c>
    </row>
    <row r="2942" spans="1:10" ht="13.5" thickBot="1">
      <c r="A2942" s="27"/>
      <c r="B2942" s="110"/>
      <c r="D2942" s="401" t="s">
        <v>71</v>
      </c>
      <c r="E2942" s="402" t="s">
        <v>72</v>
      </c>
      <c r="F2942" s="418"/>
      <c r="G2942" s="419"/>
      <c r="H2942" s="442"/>
      <c r="I2942" s="421">
        <f>IF(AND(E2942&lt;&gt;"",G2942&lt;&gt;""),IF(D2942="",IF(G2942="OH",VLOOKUP(E2942,UPAH!$C$4:$H$31,7,0),VLOOKUP(E2942,#REF!,4,0)),0),0)</f>
        <v>0</v>
      </c>
      <c r="J2942" s="396">
        <f>ROUNDDOWN(J2940+J2941,0)</f>
        <v>0</v>
      </c>
    </row>
    <row r="2943" spans="1:10" ht="13">
      <c r="A2943" s="27"/>
      <c r="B2943" s="110"/>
      <c r="D2943" s="11"/>
      <c r="E2943" s="11"/>
      <c r="H2943" s="443"/>
    </row>
    <row r="2944" spans="1:10" ht="13.5" thickBot="1">
      <c r="A2944" s="27"/>
      <c r="B2944" s="110"/>
      <c r="C2944" s="11" t="s">
        <v>1821</v>
      </c>
      <c r="D2944" s="10" t="s">
        <v>784</v>
      </c>
      <c r="H2944" s="443"/>
    </row>
    <row r="2945" spans="1:10" ht="13.5" thickBot="1">
      <c r="A2945" s="27"/>
      <c r="B2945" s="110"/>
      <c r="D2945" s="401" t="s">
        <v>40</v>
      </c>
      <c r="E2945" s="402" t="s">
        <v>41</v>
      </c>
      <c r="F2945" s="402" t="s">
        <v>42</v>
      </c>
      <c r="G2945" s="403" t="s">
        <v>43</v>
      </c>
      <c r="H2945" s="404" t="s">
        <v>44</v>
      </c>
      <c r="I2945" s="402" t="s">
        <v>474</v>
      </c>
      <c r="J2945" s="405" t="s">
        <v>475</v>
      </c>
    </row>
    <row r="2946" spans="1:10" ht="13">
      <c r="A2946" s="27"/>
      <c r="B2946" s="110"/>
      <c r="D2946" s="406" t="s">
        <v>45</v>
      </c>
      <c r="E2946" s="13" t="s">
        <v>46</v>
      </c>
      <c r="F2946" s="14"/>
      <c r="G2946" s="15"/>
      <c r="H2946" s="451"/>
      <c r="I2946" s="412"/>
      <c r="J2946" s="16"/>
    </row>
    <row r="2947" spans="1:10" ht="13">
      <c r="A2947" s="27"/>
      <c r="B2947" s="110"/>
      <c r="D2947" s="409"/>
      <c r="E2947" s="13" t="s">
        <v>47</v>
      </c>
      <c r="F2947" s="13" t="s">
        <v>1918</v>
      </c>
      <c r="G2947" s="410" t="s">
        <v>48</v>
      </c>
      <c r="H2947" s="411">
        <v>0.35</v>
      </c>
      <c r="I2947" s="412">
        <f>IF(AND(E2947&lt;&gt;"",G2947&lt;&gt;""),IF(D2947="",IF(G2947="OH",VLOOKUP(F2947,UPAH!$B$4:$H$101,7,0),VLOOKUP(F2947,#REF!,4,0)),0),0)</f>
        <v>0</v>
      </c>
      <c r="J2947" s="16">
        <f>H2947*I2947</f>
        <v>0</v>
      </c>
    </row>
    <row r="2948" spans="1:10" ht="13">
      <c r="A2948" s="27"/>
      <c r="B2948" s="110"/>
      <c r="D2948" s="409"/>
      <c r="E2948" s="13" t="s">
        <v>115</v>
      </c>
      <c r="F2948" s="13" t="s">
        <v>1921</v>
      </c>
      <c r="G2948" s="410" t="s">
        <v>48</v>
      </c>
      <c r="H2948" s="411">
        <v>0.15</v>
      </c>
      <c r="I2948" s="412">
        <f>IF(AND(E2948&lt;&gt;"",G2948&lt;&gt;""),IF(D2948="",IF(G2948="OH",VLOOKUP(F2948,UPAH!$B$4:$H$101,7,0),VLOOKUP(F2948,#REF!,4,0)),0),0)</f>
        <v>0</v>
      </c>
      <c r="J2948" s="16">
        <f>H2948*I2948</f>
        <v>0</v>
      </c>
    </row>
    <row r="2949" spans="1:10" ht="13">
      <c r="A2949" s="27"/>
      <c r="B2949" s="110"/>
      <c r="D2949" s="409"/>
      <c r="E2949" s="13" t="s">
        <v>97</v>
      </c>
      <c r="F2949" s="13" t="s">
        <v>1928</v>
      </c>
      <c r="G2949" s="410" t="s">
        <v>48</v>
      </c>
      <c r="H2949" s="411">
        <v>1.4999999999999999E-2</v>
      </c>
      <c r="I2949" s="412">
        <f>IF(AND(E2949&lt;&gt;"",G2949&lt;&gt;""),IF(D2949="",IF(G2949="OH",VLOOKUP(F2949,UPAH!$B$4:$H$101,7,0),VLOOKUP(F2949,#REF!,4,0)),0),0)</f>
        <v>0</v>
      </c>
      <c r="J2949" s="16">
        <f>H2949*I2949</f>
        <v>0</v>
      </c>
    </row>
    <row r="2950" spans="1:10" ht="13.5" thickBot="1">
      <c r="A2950" s="27"/>
      <c r="B2950" s="110"/>
      <c r="D2950" s="409"/>
      <c r="E2950" s="13" t="s">
        <v>51</v>
      </c>
      <c r="F2950" s="13" t="s">
        <v>1929</v>
      </c>
      <c r="G2950" s="410" t="s">
        <v>48</v>
      </c>
      <c r="H2950" s="411">
        <v>1.7999999999999999E-2</v>
      </c>
      <c r="I2950" s="412">
        <f>IF(AND(E2950&lt;&gt;"",G2950&lt;&gt;""),IF(D2950="",IF(G2950="OH",VLOOKUP(F2950,UPAH!$B$4:$H$101,7,0),VLOOKUP(F2950,#REF!,4,0)),0),0)</f>
        <v>0</v>
      </c>
      <c r="J2950" s="16">
        <f>H2950*I2950</f>
        <v>0</v>
      </c>
    </row>
    <row r="2951" spans="1:10" ht="13.5" thickBot="1">
      <c r="A2951" s="27"/>
      <c r="B2951" s="110"/>
      <c r="D2951" s="417"/>
      <c r="E2951" s="418"/>
      <c r="F2951" s="418"/>
      <c r="G2951" s="419"/>
      <c r="H2951" s="420" t="s">
        <v>52</v>
      </c>
      <c r="I2951" s="421"/>
      <c r="J2951" s="396">
        <f>SUM(J2947:J2950)</f>
        <v>0</v>
      </c>
    </row>
    <row r="2952" spans="1:10" ht="13">
      <c r="A2952" s="27"/>
      <c r="B2952" s="110"/>
      <c r="D2952" s="406" t="s">
        <v>53</v>
      </c>
      <c r="E2952" s="13" t="s">
        <v>54</v>
      </c>
      <c r="F2952" s="14"/>
      <c r="G2952" s="15"/>
      <c r="H2952" s="451"/>
      <c r="I2952" s="412"/>
      <c r="J2952" s="16"/>
    </row>
    <row r="2953" spans="1:10" ht="13">
      <c r="A2953" s="27"/>
      <c r="B2953" s="110"/>
      <c r="D2953" s="409"/>
      <c r="E2953" s="13" t="s">
        <v>161</v>
      </c>
      <c r="F2953" s="14"/>
      <c r="G2953" s="410" t="s">
        <v>375</v>
      </c>
      <c r="H2953" s="411">
        <v>12.5</v>
      </c>
      <c r="I2953" s="412">
        <f>'BAHAN '!G1040</f>
        <v>0</v>
      </c>
      <c r="J2953" s="16">
        <f>H2953*I2953</f>
        <v>0</v>
      </c>
    </row>
    <row r="2954" spans="1:10" ht="13">
      <c r="A2954" s="27"/>
      <c r="B2954" s="110"/>
      <c r="D2954" s="409"/>
      <c r="E2954" s="13" t="s">
        <v>56</v>
      </c>
      <c r="F2954" s="14"/>
      <c r="G2954" s="410" t="s">
        <v>57</v>
      </c>
      <c r="H2954" s="411">
        <v>24.26</v>
      </c>
      <c r="I2954" s="412">
        <f>'BAHAN '!G72</f>
        <v>0</v>
      </c>
      <c r="J2954" s="16">
        <f>H2954*I2954</f>
        <v>0</v>
      </c>
    </row>
    <row r="2955" spans="1:10" ht="13">
      <c r="A2955" s="27"/>
      <c r="B2955" s="110"/>
      <c r="D2955" s="409"/>
      <c r="E2955" s="13" t="s">
        <v>101</v>
      </c>
      <c r="F2955" s="14"/>
      <c r="G2955" s="410" t="s">
        <v>375</v>
      </c>
      <c r="H2955" s="411">
        <v>0.77200000000000002</v>
      </c>
      <c r="I2955" s="412">
        <f>'BAHAN '!G59</f>
        <v>0</v>
      </c>
      <c r="J2955" s="16">
        <f>H2955*I2955</f>
        <v>0</v>
      </c>
    </row>
    <row r="2956" spans="1:10" ht="13.5" thickBot="1">
      <c r="A2956" s="27"/>
      <c r="B2956" s="110"/>
      <c r="D2956" s="409"/>
      <c r="E2956" s="13" t="s">
        <v>384</v>
      </c>
      <c r="F2956" s="14"/>
      <c r="G2956" s="410" t="s">
        <v>57</v>
      </c>
      <c r="H2956" s="411">
        <v>0.28000000000000003</v>
      </c>
      <c r="I2956" s="412">
        <f>I2936</f>
        <v>0</v>
      </c>
      <c r="J2956" s="16">
        <f>H2956*I2956</f>
        <v>0</v>
      </c>
    </row>
    <row r="2957" spans="1:10" ht="13.5" thickBot="1">
      <c r="A2957" s="27"/>
      <c r="B2957" s="110"/>
      <c r="D2957" s="417"/>
      <c r="E2957" s="418"/>
      <c r="F2957" s="418"/>
      <c r="G2957" s="419"/>
      <c r="H2957" s="420" t="s">
        <v>64</v>
      </c>
      <c r="I2957" s="421"/>
      <c r="J2957" s="396">
        <f>SUM(J2953:J2956)</f>
        <v>0</v>
      </c>
    </row>
    <row r="2958" spans="1:10" ht="13.5" thickBot="1">
      <c r="A2958" s="27"/>
      <c r="B2958" s="110"/>
      <c r="D2958" s="406" t="s">
        <v>65</v>
      </c>
      <c r="E2958" s="13" t="s">
        <v>66</v>
      </c>
      <c r="F2958" s="14"/>
      <c r="G2958" s="15"/>
      <c r="H2958" s="451"/>
      <c r="I2958" s="412">
        <f>IF(AND(E2958&lt;&gt;"",G2958&lt;&gt;""),IF(D2958="",IF(G2958="OH",VLOOKUP(E2958,UPAH!$C$4:$H$31,7,0),VLOOKUP(E2958,#REF!,4,0)),0),0)</f>
        <v>0</v>
      </c>
      <c r="J2958" s="16">
        <f>H2958*I2958</f>
        <v>0</v>
      </c>
    </row>
    <row r="2959" spans="1:10" ht="13.5" thickBot="1">
      <c r="A2959" s="27"/>
      <c r="B2959" s="110"/>
      <c r="D2959" s="417"/>
      <c r="E2959" s="418"/>
      <c r="F2959" s="418"/>
      <c r="G2959" s="419"/>
      <c r="H2959" s="420" t="s">
        <v>67</v>
      </c>
      <c r="I2959" s="421"/>
      <c r="J2959" s="396">
        <f>J2958</f>
        <v>0</v>
      </c>
    </row>
    <row r="2960" spans="1:10" ht="13">
      <c r="A2960" s="27"/>
      <c r="B2960" s="110"/>
      <c r="D2960" s="444" t="s">
        <v>68</v>
      </c>
      <c r="E2960" s="445" t="s">
        <v>69</v>
      </c>
      <c r="F2960" s="446"/>
      <c r="G2960" s="447"/>
      <c r="H2960" s="448"/>
      <c r="I2960" s="449">
        <f>IF(AND(E2960&lt;&gt;"",G2960&lt;&gt;""),IF(D2960="",IF(G2960="OH",VLOOKUP(E2960,UPAH!$C$4:$H$31,7,0),VLOOKUP(E2960,#REF!,4,0)),0),0)</f>
        <v>0</v>
      </c>
      <c r="J2960" s="16">
        <f>SUM(J2947:J2959)/2</f>
        <v>0</v>
      </c>
    </row>
    <row r="2961" spans="1:10" ht="13.5" thickBot="1">
      <c r="A2961" s="27"/>
      <c r="B2961" s="110"/>
      <c r="D2961" s="431" t="s">
        <v>70</v>
      </c>
      <c r="E2961" s="432" t="s">
        <v>477</v>
      </c>
      <c r="F2961" s="433"/>
      <c r="G2961" s="434"/>
      <c r="H2961" s="22">
        <v>0.1</v>
      </c>
      <c r="I2961" s="436"/>
      <c r="J2961" s="430">
        <f>H2961*J2960</f>
        <v>0</v>
      </c>
    </row>
    <row r="2962" spans="1:10" ht="13.5" thickBot="1">
      <c r="A2962" s="27"/>
      <c r="B2962" s="110"/>
      <c r="D2962" s="401" t="s">
        <v>71</v>
      </c>
      <c r="E2962" s="402" t="s">
        <v>72</v>
      </c>
      <c r="F2962" s="418"/>
      <c r="G2962" s="419"/>
      <c r="H2962" s="442"/>
      <c r="I2962" s="421">
        <f>IF(AND(E2962&lt;&gt;"",G2962&lt;&gt;""),IF(D2962="",IF(G2962="OH",VLOOKUP(E2962,UPAH!$C$4:$H$31,7,0),VLOOKUP(E2962,#REF!,4,0)),0),0)</f>
        <v>0</v>
      </c>
      <c r="J2962" s="396">
        <f>ROUNDDOWN(J2960+J2961,0)</f>
        <v>0</v>
      </c>
    </row>
    <row r="2963" spans="1:10" ht="13">
      <c r="A2963" s="27"/>
      <c r="B2963" s="110"/>
      <c r="D2963" s="11"/>
      <c r="E2963" s="11"/>
      <c r="H2963" s="443"/>
    </row>
    <row r="2964" spans="1:10" ht="13.5" thickBot="1">
      <c r="A2964" s="27"/>
      <c r="B2964" s="110"/>
      <c r="C2964" s="11" t="s">
        <v>1813</v>
      </c>
      <c r="D2964" s="10" t="s">
        <v>785</v>
      </c>
      <c r="H2964" s="443"/>
    </row>
    <row r="2965" spans="1:10" ht="13.5" thickBot="1">
      <c r="A2965" s="27"/>
      <c r="B2965" s="110"/>
      <c r="D2965" s="401" t="s">
        <v>40</v>
      </c>
      <c r="E2965" s="402" t="s">
        <v>41</v>
      </c>
      <c r="F2965" s="402" t="s">
        <v>42</v>
      </c>
      <c r="G2965" s="403" t="s">
        <v>43</v>
      </c>
      <c r="H2965" s="404" t="s">
        <v>44</v>
      </c>
      <c r="I2965" s="402" t="s">
        <v>474</v>
      </c>
      <c r="J2965" s="405" t="s">
        <v>475</v>
      </c>
    </row>
    <row r="2966" spans="1:10" ht="13">
      <c r="A2966" s="27"/>
      <c r="B2966" s="110"/>
      <c r="D2966" s="406" t="s">
        <v>45</v>
      </c>
      <c r="E2966" s="13" t="s">
        <v>46</v>
      </c>
      <c r="F2966" s="14"/>
      <c r="G2966" s="15"/>
      <c r="H2966" s="451"/>
      <c r="I2966" s="412"/>
      <c r="J2966" s="16"/>
    </row>
    <row r="2967" spans="1:10" ht="13">
      <c r="A2967" s="27"/>
      <c r="B2967" s="110"/>
      <c r="D2967" s="409"/>
      <c r="E2967" s="13" t="s">
        <v>47</v>
      </c>
      <c r="F2967" s="13" t="s">
        <v>1918</v>
      </c>
      <c r="G2967" s="410" t="s">
        <v>48</v>
      </c>
      <c r="H2967" s="411">
        <v>0.32</v>
      </c>
      <c r="I2967" s="412">
        <f>IF(AND(E2967&lt;&gt;"",G2967&lt;&gt;""),IF(D2967="",IF(G2967="OH",VLOOKUP(F2967,UPAH!$B$4:$H$101,7,0),VLOOKUP(F2967,#REF!,4,0)),0),0)</f>
        <v>0</v>
      </c>
      <c r="J2967" s="16">
        <f>H2967*I2967</f>
        <v>0</v>
      </c>
    </row>
    <row r="2968" spans="1:10" ht="13">
      <c r="A2968" s="27"/>
      <c r="B2968" s="110"/>
      <c r="D2968" s="409"/>
      <c r="E2968" s="13" t="s">
        <v>115</v>
      </c>
      <c r="F2968" s="13" t="s">
        <v>1921</v>
      </c>
      <c r="G2968" s="410" t="s">
        <v>48</v>
      </c>
      <c r="H2968" s="411">
        <v>0.12</v>
      </c>
      <c r="I2968" s="412">
        <f>IF(AND(E2968&lt;&gt;"",G2968&lt;&gt;""),IF(D2968="",IF(G2968="OH",VLOOKUP(F2968,UPAH!$B$4:$H$101,7,0),VLOOKUP(F2968,#REF!,4,0)),0),0)</f>
        <v>0</v>
      </c>
      <c r="J2968" s="16">
        <f>H2968*I2968</f>
        <v>0</v>
      </c>
    </row>
    <row r="2969" spans="1:10" ht="13">
      <c r="A2969" s="27"/>
      <c r="B2969" s="110"/>
      <c r="D2969" s="409"/>
      <c r="E2969" s="13" t="s">
        <v>97</v>
      </c>
      <c r="F2969" s="13" t="s">
        <v>1928</v>
      </c>
      <c r="G2969" s="410" t="s">
        <v>48</v>
      </c>
      <c r="H2969" s="411">
        <v>1.2E-2</v>
      </c>
      <c r="I2969" s="412">
        <f>IF(AND(E2969&lt;&gt;"",G2969&lt;&gt;""),IF(D2969="",IF(G2969="OH",VLOOKUP(F2969,UPAH!$B$4:$H$101,7,0),VLOOKUP(F2969,#REF!,4,0)),0),0)</f>
        <v>0</v>
      </c>
      <c r="J2969" s="16">
        <f>H2969*I2969</f>
        <v>0</v>
      </c>
    </row>
    <row r="2970" spans="1:10" ht="13.5" thickBot="1">
      <c r="A2970" s="27"/>
      <c r="B2970" s="110"/>
      <c r="D2970" s="409"/>
      <c r="E2970" s="13" t="s">
        <v>51</v>
      </c>
      <c r="F2970" s="13" t="s">
        <v>1929</v>
      </c>
      <c r="G2970" s="410" t="s">
        <v>48</v>
      </c>
      <c r="H2970" s="411">
        <v>1.6E-2</v>
      </c>
      <c r="I2970" s="412">
        <f>IF(AND(E2970&lt;&gt;"",G2970&lt;&gt;""),IF(D2970="",IF(G2970="OH",VLOOKUP(F2970,UPAH!$B$4:$H$101,7,0),VLOOKUP(F2970,#REF!,4,0)),0),0)</f>
        <v>0</v>
      </c>
      <c r="J2970" s="16">
        <f>H2970*I2970</f>
        <v>0</v>
      </c>
    </row>
    <row r="2971" spans="1:10" ht="13.5" thickBot="1">
      <c r="A2971" s="27"/>
      <c r="B2971" s="110"/>
      <c r="D2971" s="417"/>
      <c r="E2971" s="418"/>
      <c r="F2971" s="418"/>
      <c r="G2971" s="419"/>
      <c r="H2971" s="420" t="s">
        <v>52</v>
      </c>
      <c r="I2971" s="421"/>
      <c r="J2971" s="396">
        <f>SUM(J2967:J2970)</f>
        <v>0</v>
      </c>
    </row>
    <row r="2972" spans="1:10" ht="13">
      <c r="A2972" s="27"/>
      <c r="B2972" s="110"/>
      <c r="D2972" s="406" t="s">
        <v>53</v>
      </c>
      <c r="E2972" s="13" t="s">
        <v>54</v>
      </c>
      <c r="F2972" s="14"/>
      <c r="G2972" s="15"/>
      <c r="H2972" s="451"/>
      <c r="I2972" s="412"/>
      <c r="J2972" s="16"/>
    </row>
    <row r="2973" spans="1:10" ht="13">
      <c r="A2973" s="27"/>
      <c r="B2973" s="110"/>
      <c r="D2973" s="409"/>
      <c r="E2973" s="13" t="s">
        <v>162</v>
      </c>
      <c r="F2973" s="14"/>
      <c r="G2973" s="410" t="s">
        <v>375</v>
      </c>
      <c r="H2973" s="411">
        <v>12.5</v>
      </c>
      <c r="I2973" s="412">
        <f>'BAHAN '!G1039</f>
        <v>0</v>
      </c>
      <c r="J2973" s="16">
        <f>H2973*I2973</f>
        <v>0</v>
      </c>
    </row>
    <row r="2974" spans="1:10" ht="13">
      <c r="A2974" s="27"/>
      <c r="B2974" s="110"/>
      <c r="D2974" s="409"/>
      <c r="E2974" s="13" t="s">
        <v>56</v>
      </c>
      <c r="F2974" s="14"/>
      <c r="G2974" s="410" t="s">
        <v>57</v>
      </c>
      <c r="H2974" s="411">
        <v>22.74</v>
      </c>
      <c r="I2974" s="412">
        <f>'BAHAN '!G72</f>
        <v>0</v>
      </c>
      <c r="J2974" s="16">
        <f>H2974*I2974</f>
        <v>0</v>
      </c>
    </row>
    <row r="2975" spans="1:10" ht="13">
      <c r="A2975" s="27"/>
      <c r="B2975" s="110"/>
      <c r="D2975" s="409"/>
      <c r="E2975" s="13" t="s">
        <v>101</v>
      </c>
      <c r="F2975" s="14"/>
      <c r="G2975" s="410" t="s">
        <v>375</v>
      </c>
      <c r="H2975" s="411">
        <v>0.55000000000000004</v>
      </c>
      <c r="I2975" s="412">
        <f>'BAHAN '!G59</f>
        <v>0</v>
      </c>
      <c r="J2975" s="16">
        <f>H2975*I2975</f>
        <v>0</v>
      </c>
    </row>
    <row r="2976" spans="1:10" ht="13.5" thickBot="1">
      <c r="A2976" s="27"/>
      <c r="B2976" s="110"/>
      <c r="D2976" s="409"/>
      <c r="E2976" s="13" t="s">
        <v>384</v>
      </c>
      <c r="F2976" s="14"/>
      <c r="G2976" s="410" t="s">
        <v>57</v>
      </c>
      <c r="H2976" s="411">
        <v>0.28000000000000003</v>
      </c>
      <c r="I2976" s="412">
        <f>I2956</f>
        <v>0</v>
      </c>
      <c r="J2976" s="16">
        <f>H2976*I2976</f>
        <v>0</v>
      </c>
    </row>
    <row r="2977" spans="1:10" ht="13.5" thickBot="1">
      <c r="A2977" s="27"/>
      <c r="B2977" s="110"/>
      <c r="D2977" s="417"/>
      <c r="E2977" s="418"/>
      <c r="F2977" s="418"/>
      <c r="G2977" s="419"/>
      <c r="H2977" s="420" t="s">
        <v>64</v>
      </c>
      <c r="I2977" s="421"/>
      <c r="J2977" s="396">
        <f>SUM(J2973:J2976)</f>
        <v>0</v>
      </c>
    </row>
    <row r="2978" spans="1:10" ht="13.5" thickBot="1">
      <c r="A2978" s="27"/>
      <c r="B2978" s="110"/>
      <c r="D2978" s="406" t="s">
        <v>65</v>
      </c>
      <c r="E2978" s="13" t="s">
        <v>66</v>
      </c>
      <c r="F2978" s="14"/>
      <c r="G2978" s="15"/>
      <c r="H2978" s="451"/>
      <c r="I2978" s="412">
        <f>IF(AND(E2978&lt;&gt;"",G2978&lt;&gt;""),IF(D2978="",IF(G2978="OH",VLOOKUP(E2978,UPAH!$C$4:$H$31,7,0),VLOOKUP(E2978,#REF!,4,0)),0),0)</f>
        <v>0</v>
      </c>
      <c r="J2978" s="16">
        <f>H2978*I2978</f>
        <v>0</v>
      </c>
    </row>
    <row r="2979" spans="1:10" ht="13.5" thickBot="1">
      <c r="A2979" s="27"/>
      <c r="B2979" s="110"/>
      <c r="D2979" s="417"/>
      <c r="E2979" s="418"/>
      <c r="F2979" s="418"/>
      <c r="G2979" s="419"/>
      <c r="H2979" s="420" t="s">
        <v>67</v>
      </c>
      <c r="I2979" s="421"/>
      <c r="J2979" s="396">
        <f>J2978</f>
        <v>0</v>
      </c>
    </row>
    <row r="2980" spans="1:10" ht="13">
      <c r="A2980" s="27"/>
      <c r="B2980" s="110"/>
      <c r="D2980" s="444" t="s">
        <v>68</v>
      </c>
      <c r="E2980" s="445" t="s">
        <v>69</v>
      </c>
      <c r="F2980" s="446"/>
      <c r="G2980" s="447"/>
      <c r="H2980" s="448"/>
      <c r="I2980" s="449">
        <f>IF(AND(E2980&lt;&gt;"",G2980&lt;&gt;""),IF(D2980="",IF(G2980="OH",VLOOKUP(E2980,UPAH!$C$4:$H$31,7,0),VLOOKUP(E2980,#REF!,4,0)),0),0)</f>
        <v>0</v>
      </c>
      <c r="J2980" s="16">
        <f>SUM(J2967:J2979)/2</f>
        <v>0</v>
      </c>
    </row>
    <row r="2981" spans="1:10" ht="13.5" thickBot="1">
      <c r="A2981" s="27"/>
      <c r="B2981" s="110"/>
      <c r="D2981" s="431" t="s">
        <v>70</v>
      </c>
      <c r="E2981" s="432" t="s">
        <v>477</v>
      </c>
      <c r="F2981" s="433"/>
      <c r="G2981" s="434"/>
      <c r="H2981" s="22">
        <v>0.1</v>
      </c>
      <c r="I2981" s="436"/>
      <c r="J2981" s="430">
        <f>H2981*J2980</f>
        <v>0</v>
      </c>
    </row>
    <row r="2982" spans="1:10" ht="13.5" thickBot="1">
      <c r="A2982" s="27"/>
      <c r="B2982" s="110"/>
      <c r="D2982" s="401" t="s">
        <v>71</v>
      </c>
      <c r="E2982" s="402" t="s">
        <v>72</v>
      </c>
      <c r="F2982" s="418"/>
      <c r="G2982" s="419"/>
      <c r="H2982" s="442"/>
      <c r="I2982" s="421">
        <f>IF(AND(E2982&lt;&gt;"",G2982&lt;&gt;""),IF(D2982="",IF(G2982="OH",VLOOKUP(E2982,UPAH!$C$4:$H$31,7,0),VLOOKUP(E2982,#REF!,4,0)),0),0)</f>
        <v>0</v>
      </c>
      <c r="J2982" s="396">
        <f>ROUNDDOWN(J2980+J2981,0)</f>
        <v>0</v>
      </c>
    </row>
    <row r="2983" spans="1:10" ht="13">
      <c r="A2983" s="27"/>
      <c r="B2983" s="110"/>
      <c r="D2983" s="11"/>
      <c r="E2983" s="11"/>
      <c r="H2983" s="443"/>
    </row>
    <row r="2984" spans="1:10" ht="13.5" thickBot="1">
      <c r="A2984" s="27"/>
      <c r="B2984" s="110"/>
      <c r="C2984" s="11" t="s">
        <v>1822</v>
      </c>
      <c r="D2984" s="10" t="s">
        <v>3193</v>
      </c>
      <c r="H2984" s="443"/>
    </row>
    <row r="2985" spans="1:10" ht="13.5" thickBot="1">
      <c r="A2985" s="27"/>
      <c r="B2985" s="110"/>
      <c r="D2985" s="401" t="s">
        <v>40</v>
      </c>
      <c r="E2985" s="402" t="s">
        <v>41</v>
      </c>
      <c r="F2985" s="402" t="s">
        <v>42</v>
      </c>
      <c r="G2985" s="403" t="s">
        <v>43</v>
      </c>
      <c r="H2985" s="404" t="s">
        <v>44</v>
      </c>
      <c r="I2985" s="402" t="s">
        <v>474</v>
      </c>
      <c r="J2985" s="405" t="s">
        <v>475</v>
      </c>
    </row>
    <row r="2986" spans="1:10" ht="13">
      <c r="A2986" s="27"/>
      <c r="B2986" s="110"/>
      <c r="D2986" s="406" t="s">
        <v>45</v>
      </c>
      <c r="E2986" s="13" t="s">
        <v>46</v>
      </c>
      <c r="F2986" s="14"/>
      <c r="G2986" s="15"/>
      <c r="H2986" s="451"/>
      <c r="I2986" s="412"/>
      <c r="J2986" s="16"/>
    </row>
    <row r="2987" spans="1:10" ht="13">
      <c r="A2987" s="27"/>
      <c r="B2987" s="110"/>
      <c r="D2987" s="409"/>
      <c r="E2987" s="13" t="s">
        <v>47</v>
      </c>
      <c r="F2987" s="13" t="s">
        <v>1918</v>
      </c>
      <c r="G2987" s="410" t="s">
        <v>48</v>
      </c>
      <c r="H2987" s="411">
        <v>0.32</v>
      </c>
      <c r="I2987" s="412">
        <f>IF(AND(E2987&lt;&gt;"",G2987&lt;&gt;""),IF(D2987="",IF(G2987="OH",VLOOKUP(F2987,UPAH!$B$4:$H$101,7,0),VLOOKUP(F2987,#REF!,4,0)),0),0)</f>
        <v>0</v>
      </c>
      <c r="J2987" s="16">
        <f>H2987*I2987</f>
        <v>0</v>
      </c>
    </row>
    <row r="2988" spans="1:10" ht="13">
      <c r="A2988" s="27"/>
      <c r="B2988" s="110"/>
      <c r="D2988" s="409"/>
      <c r="E2988" s="13" t="s">
        <v>115</v>
      </c>
      <c r="F2988" s="13" t="s">
        <v>1921</v>
      </c>
      <c r="G2988" s="410" t="s">
        <v>48</v>
      </c>
      <c r="H2988" s="411">
        <v>0.12</v>
      </c>
      <c r="I2988" s="412">
        <f>IF(AND(E2988&lt;&gt;"",G2988&lt;&gt;""),IF(D2988="",IF(G2988="OH",VLOOKUP(F2988,UPAH!$B$4:$H$101,7,0),VLOOKUP(F2988,#REF!,4,0)),0),0)</f>
        <v>0</v>
      </c>
      <c r="J2988" s="16">
        <f>H2988*I2988</f>
        <v>0</v>
      </c>
    </row>
    <row r="2989" spans="1:10" ht="13">
      <c r="A2989" s="27"/>
      <c r="B2989" s="110"/>
      <c r="D2989" s="409"/>
      <c r="E2989" s="13" t="s">
        <v>97</v>
      </c>
      <c r="F2989" s="13" t="s">
        <v>1928</v>
      </c>
      <c r="G2989" s="410" t="s">
        <v>48</v>
      </c>
      <c r="H2989" s="411">
        <v>1.2E-2</v>
      </c>
      <c r="I2989" s="412">
        <f>IF(AND(E2989&lt;&gt;"",G2989&lt;&gt;""),IF(D2989="",IF(G2989="OH",VLOOKUP(F2989,UPAH!$B$4:$H$101,7,0),VLOOKUP(F2989,#REF!,4,0)),0),0)</f>
        <v>0</v>
      </c>
      <c r="J2989" s="16">
        <f>H2989*I2989</f>
        <v>0</v>
      </c>
    </row>
    <row r="2990" spans="1:10" ht="13.5" thickBot="1">
      <c r="A2990" s="27"/>
      <c r="B2990" s="110"/>
      <c r="D2990" s="409"/>
      <c r="E2990" s="13" t="s">
        <v>51</v>
      </c>
      <c r="F2990" s="13" t="s">
        <v>1929</v>
      </c>
      <c r="G2990" s="410" t="s">
        <v>48</v>
      </c>
      <c r="H2990" s="411">
        <v>1.6E-2</v>
      </c>
      <c r="I2990" s="412">
        <f>IF(AND(E2990&lt;&gt;"",G2990&lt;&gt;""),IF(D2990="",IF(G2990="OH",VLOOKUP(F2990,UPAH!$B$4:$H$101,7,0),VLOOKUP(F2990,#REF!,4,0)),0),0)</f>
        <v>0</v>
      </c>
      <c r="J2990" s="16">
        <f>H2990*I2990</f>
        <v>0</v>
      </c>
    </row>
    <row r="2991" spans="1:10" ht="13.5" thickBot="1">
      <c r="A2991" s="27"/>
      <c r="B2991" s="110"/>
      <c r="D2991" s="417"/>
      <c r="E2991" s="418"/>
      <c r="F2991" s="418"/>
      <c r="G2991" s="419"/>
      <c r="H2991" s="420" t="s">
        <v>52</v>
      </c>
      <c r="I2991" s="421"/>
      <c r="J2991" s="396">
        <f>SUM(J2987:J2990)</f>
        <v>0</v>
      </c>
    </row>
    <row r="2992" spans="1:10" ht="13">
      <c r="A2992" s="27"/>
      <c r="B2992" s="110"/>
      <c r="D2992" s="406" t="s">
        <v>53</v>
      </c>
      <c r="E2992" s="13" t="s">
        <v>54</v>
      </c>
      <c r="F2992" s="14"/>
      <c r="G2992" s="15"/>
      <c r="H2992" s="451"/>
      <c r="I2992" s="412"/>
      <c r="J2992" s="16"/>
    </row>
    <row r="2993" spans="1:10" ht="13">
      <c r="A2993" s="27"/>
      <c r="B2993" s="110"/>
      <c r="D2993" s="409"/>
      <c r="E2993" s="13" t="s">
        <v>162</v>
      </c>
      <c r="F2993" s="14"/>
      <c r="G2993" s="410" t="s">
        <v>259</v>
      </c>
      <c r="H2993" s="411">
        <v>12.5</v>
      </c>
      <c r="I2993" s="412">
        <f>'BAHAN '!G1039</f>
        <v>0</v>
      </c>
      <c r="J2993" s="16">
        <f>H2993*I2993</f>
        <v>0</v>
      </c>
    </row>
    <row r="2994" spans="1:10" ht="13">
      <c r="A2994" s="27"/>
      <c r="B2994" s="110"/>
      <c r="D2994" s="409"/>
      <c r="E2994" s="13" t="s">
        <v>56</v>
      </c>
      <c r="F2994" s="14"/>
      <c r="G2994" s="410" t="s">
        <v>57</v>
      </c>
      <c r="H2994" s="411">
        <v>18.2</v>
      </c>
      <c r="I2994" s="412">
        <f>'BAHAN '!G72</f>
        <v>0</v>
      </c>
      <c r="J2994" s="16">
        <f>H2994*I2994</f>
        <v>0</v>
      </c>
    </row>
    <row r="2995" spans="1:10" ht="13">
      <c r="A2995" s="27"/>
      <c r="B2995" s="110"/>
      <c r="D2995" s="409"/>
      <c r="E2995" s="13" t="s">
        <v>101</v>
      </c>
      <c r="F2995" s="14"/>
      <c r="G2995" s="410" t="s">
        <v>375</v>
      </c>
      <c r="H2995" s="411">
        <v>0.58199999999999996</v>
      </c>
      <c r="I2995" s="412">
        <f>'BAHAN '!G59</f>
        <v>0</v>
      </c>
      <c r="J2995" s="16">
        <f>H2995*I2995</f>
        <v>0</v>
      </c>
    </row>
    <row r="2996" spans="1:10" ht="13.5" thickBot="1">
      <c r="A2996" s="27"/>
      <c r="B2996" s="110"/>
      <c r="D2996" s="409"/>
      <c r="E2996" s="13" t="s">
        <v>384</v>
      </c>
      <c r="F2996" s="14"/>
      <c r="G2996" s="410" t="s">
        <v>57</v>
      </c>
      <c r="H2996" s="411">
        <v>0.28000000000000003</v>
      </c>
      <c r="I2996" s="412">
        <f>I2976</f>
        <v>0</v>
      </c>
      <c r="J2996" s="16">
        <f>H2996*I2996</f>
        <v>0</v>
      </c>
    </row>
    <row r="2997" spans="1:10" ht="13.5" thickBot="1">
      <c r="A2997" s="27"/>
      <c r="B2997" s="110"/>
      <c r="D2997" s="417"/>
      <c r="E2997" s="418"/>
      <c r="F2997" s="418"/>
      <c r="G2997" s="419"/>
      <c r="H2997" s="420" t="s">
        <v>64</v>
      </c>
      <c r="I2997" s="421"/>
      <c r="J2997" s="396">
        <f>SUM(J2993:J2996)</f>
        <v>0</v>
      </c>
    </row>
    <row r="2998" spans="1:10" ht="13.5" thickBot="1">
      <c r="A2998" s="27"/>
      <c r="B2998" s="110"/>
      <c r="D2998" s="406" t="s">
        <v>65</v>
      </c>
      <c r="E2998" s="13" t="s">
        <v>66</v>
      </c>
      <c r="F2998" s="14"/>
      <c r="G2998" s="15"/>
      <c r="H2998" s="451"/>
      <c r="I2998" s="412">
        <f>IF(AND(E2998&lt;&gt;"",G2998&lt;&gt;""),IF(D2998="",IF(G2998="OH",VLOOKUP(E2998,UPAH!$C$4:$H$31,7,0),VLOOKUP(E2998,#REF!,4,0)),0),0)</f>
        <v>0</v>
      </c>
      <c r="J2998" s="16">
        <f>H2998*I2998</f>
        <v>0</v>
      </c>
    </row>
    <row r="2999" spans="1:10" ht="13.5" thickBot="1">
      <c r="A2999" s="27"/>
      <c r="B2999" s="110"/>
      <c r="D2999" s="417"/>
      <c r="E2999" s="418"/>
      <c r="F2999" s="418"/>
      <c r="G2999" s="419"/>
      <c r="H2999" s="420" t="s">
        <v>67</v>
      </c>
      <c r="I2999" s="421"/>
      <c r="J2999" s="396">
        <f>J2998</f>
        <v>0</v>
      </c>
    </row>
    <row r="3000" spans="1:10" ht="13">
      <c r="A3000" s="27"/>
      <c r="B3000" s="110"/>
      <c r="D3000" s="444" t="s">
        <v>68</v>
      </c>
      <c r="E3000" s="445" t="s">
        <v>69</v>
      </c>
      <c r="F3000" s="446"/>
      <c r="G3000" s="447"/>
      <c r="H3000" s="448"/>
      <c r="I3000" s="449">
        <f>IF(AND(E3000&lt;&gt;"",G3000&lt;&gt;""),IF(D3000="",IF(G3000="OH",VLOOKUP(E3000,UPAH!$C$4:$H$31,7,0),VLOOKUP(E3000,#REF!,4,0)),0),0)</f>
        <v>0</v>
      </c>
      <c r="J3000" s="16">
        <f>SUM(J2987:J2999)/2</f>
        <v>0</v>
      </c>
    </row>
    <row r="3001" spans="1:10" ht="13.5" thickBot="1">
      <c r="A3001" s="27"/>
      <c r="B3001" s="110"/>
      <c r="D3001" s="431" t="s">
        <v>70</v>
      </c>
      <c r="E3001" s="432" t="s">
        <v>477</v>
      </c>
      <c r="F3001" s="433"/>
      <c r="G3001" s="434"/>
      <c r="H3001" s="22">
        <v>0.1</v>
      </c>
      <c r="I3001" s="436"/>
      <c r="J3001" s="430">
        <f>H3001*J3000</f>
        <v>0</v>
      </c>
    </row>
    <row r="3002" spans="1:10" ht="13.5" thickBot="1">
      <c r="A3002" s="27"/>
      <c r="B3002" s="110"/>
      <c r="D3002" s="401" t="s">
        <v>71</v>
      </c>
      <c r="E3002" s="402" t="s">
        <v>72</v>
      </c>
      <c r="F3002" s="418"/>
      <c r="G3002" s="419"/>
      <c r="H3002" s="442"/>
      <c r="I3002" s="421">
        <f>IF(AND(E3002&lt;&gt;"",G3002&lt;&gt;""),IF(D3002="",IF(G3002="OH",VLOOKUP(E3002,UPAH!$C$4:$H$31,7,0),VLOOKUP(E3002,#REF!,4,0)),0),0)</f>
        <v>0</v>
      </c>
      <c r="J3002" s="396">
        <f>ROUNDDOWN(J3000+J3001,0)</f>
        <v>0</v>
      </c>
    </row>
    <row r="3003" spans="1:10" ht="13">
      <c r="A3003" s="27"/>
      <c r="B3003" s="110"/>
      <c r="D3003" s="11"/>
      <c r="E3003" s="11"/>
      <c r="H3003" s="443"/>
    </row>
    <row r="3004" spans="1:10" ht="13.5" thickBot="1">
      <c r="A3004" s="27"/>
      <c r="B3004" s="110"/>
      <c r="C3004" s="11" t="s">
        <v>1823</v>
      </c>
      <c r="D3004" s="10" t="s">
        <v>1891</v>
      </c>
      <c r="H3004" s="443"/>
    </row>
    <row r="3005" spans="1:10" ht="13.5" thickBot="1">
      <c r="A3005" s="27"/>
      <c r="B3005" s="110"/>
      <c r="D3005" s="401" t="s">
        <v>40</v>
      </c>
      <c r="E3005" s="402" t="s">
        <v>41</v>
      </c>
      <c r="F3005" s="402" t="s">
        <v>42</v>
      </c>
      <c r="G3005" s="403" t="s">
        <v>43</v>
      </c>
      <c r="H3005" s="404" t="s">
        <v>44</v>
      </c>
      <c r="I3005" s="402" t="s">
        <v>474</v>
      </c>
      <c r="J3005" s="405" t="s">
        <v>475</v>
      </c>
    </row>
    <row r="3006" spans="1:10" ht="13">
      <c r="A3006" s="27"/>
      <c r="B3006" s="110"/>
      <c r="D3006" s="406" t="s">
        <v>45</v>
      </c>
      <c r="E3006" s="13" t="s">
        <v>46</v>
      </c>
      <c r="F3006" s="14"/>
      <c r="G3006" s="15"/>
      <c r="H3006" s="451"/>
      <c r="I3006" s="412"/>
      <c r="J3006" s="16"/>
    </row>
    <row r="3007" spans="1:10" ht="13">
      <c r="A3007" s="27"/>
      <c r="B3007" s="110"/>
      <c r="D3007" s="409"/>
      <c r="E3007" s="13" t="s">
        <v>47</v>
      </c>
      <c r="F3007" s="13" t="s">
        <v>1918</v>
      </c>
      <c r="G3007" s="410" t="s">
        <v>48</v>
      </c>
      <c r="H3007" s="411">
        <v>0.3</v>
      </c>
      <c r="I3007" s="412">
        <f>IF(AND(E3007&lt;&gt;"",G3007&lt;&gt;""),IF(D3007="",IF(G3007="OH",VLOOKUP(F3007,UPAH!$B$4:$H$101,7,0),VLOOKUP(F3007,#REF!,4,0)),0),0)</f>
        <v>0</v>
      </c>
      <c r="J3007" s="16">
        <f>H3007*I3007</f>
        <v>0</v>
      </c>
    </row>
    <row r="3008" spans="1:10" ht="13">
      <c r="A3008" s="27"/>
      <c r="B3008" s="110"/>
      <c r="D3008" s="409"/>
      <c r="E3008" s="13" t="s">
        <v>115</v>
      </c>
      <c r="F3008" s="13" t="s">
        <v>1921</v>
      </c>
      <c r="G3008" s="410" t="s">
        <v>48</v>
      </c>
      <c r="H3008" s="411">
        <v>0.1</v>
      </c>
      <c r="I3008" s="412">
        <f>IF(AND(E3008&lt;&gt;"",G3008&lt;&gt;""),IF(D3008="",IF(G3008="OH",VLOOKUP(F3008,UPAH!$B$4:$H$101,7,0),VLOOKUP(F3008,#REF!,4,0)),0),0)</f>
        <v>0</v>
      </c>
      <c r="J3008" s="16">
        <f>H3008*I3008</f>
        <v>0</v>
      </c>
    </row>
    <row r="3009" spans="1:10" ht="13">
      <c r="A3009" s="27"/>
      <c r="B3009" s="110"/>
      <c r="D3009" s="409"/>
      <c r="E3009" s="13" t="s">
        <v>97</v>
      </c>
      <c r="F3009" s="13" t="s">
        <v>1928</v>
      </c>
      <c r="G3009" s="410" t="s">
        <v>48</v>
      </c>
      <c r="H3009" s="411">
        <v>0.01</v>
      </c>
      <c r="I3009" s="412">
        <f>IF(AND(E3009&lt;&gt;"",G3009&lt;&gt;""),IF(D3009="",IF(G3009="OH",VLOOKUP(F3009,UPAH!$B$4:$H$101,7,0),VLOOKUP(F3009,#REF!,4,0)),0),0)</f>
        <v>0</v>
      </c>
      <c r="J3009" s="16">
        <f>H3009*I3009</f>
        <v>0</v>
      </c>
    </row>
    <row r="3010" spans="1:10" ht="13.5" thickBot="1">
      <c r="A3010" s="27"/>
      <c r="B3010" s="110"/>
      <c r="D3010" s="409"/>
      <c r="E3010" s="13" t="s">
        <v>51</v>
      </c>
      <c r="F3010" s="13" t="s">
        <v>1929</v>
      </c>
      <c r="G3010" s="410" t="s">
        <v>48</v>
      </c>
      <c r="H3010" s="411">
        <v>1.4999999999999999E-2</v>
      </c>
      <c r="I3010" s="412">
        <f>IF(AND(E3010&lt;&gt;"",G3010&lt;&gt;""),IF(D3010="",IF(G3010="OH",VLOOKUP(F3010,UPAH!$B$4:$H$101,7,0),VLOOKUP(F3010,#REF!,4,0)),0),0)</f>
        <v>0</v>
      </c>
      <c r="J3010" s="16">
        <f>H3010*I3010</f>
        <v>0</v>
      </c>
    </row>
    <row r="3011" spans="1:10" ht="13.5" thickBot="1">
      <c r="A3011" s="27"/>
      <c r="B3011" s="110"/>
      <c r="D3011" s="417"/>
      <c r="E3011" s="418"/>
      <c r="F3011" s="418"/>
      <c r="G3011" s="419"/>
      <c r="H3011" s="420" t="s">
        <v>52</v>
      </c>
      <c r="I3011" s="421"/>
      <c r="J3011" s="396">
        <f>SUM(J3007:J3010)</f>
        <v>0</v>
      </c>
    </row>
    <row r="3012" spans="1:10" ht="13">
      <c r="A3012" s="27"/>
      <c r="B3012" s="110"/>
      <c r="D3012" s="406" t="s">
        <v>53</v>
      </c>
      <c r="E3012" s="13" t="s">
        <v>54</v>
      </c>
      <c r="F3012" s="14"/>
      <c r="G3012" s="15"/>
      <c r="H3012" s="451"/>
      <c r="I3012" s="412"/>
      <c r="J3012" s="16"/>
    </row>
    <row r="3013" spans="1:10" ht="13">
      <c r="A3013" s="27"/>
      <c r="B3013" s="110"/>
      <c r="D3013" s="409"/>
      <c r="E3013" s="13" t="s">
        <v>163</v>
      </c>
      <c r="F3013" s="14"/>
      <c r="G3013" s="410" t="s">
        <v>259</v>
      </c>
      <c r="H3013" s="411">
        <v>12.5</v>
      </c>
      <c r="I3013" s="412">
        <f>'BAHAN '!G1038</f>
        <v>0</v>
      </c>
      <c r="J3013" s="16">
        <f>H3013*I3013</f>
        <v>0</v>
      </c>
    </row>
    <row r="3014" spans="1:10" ht="13">
      <c r="A3014" s="27"/>
      <c r="B3014" s="110"/>
      <c r="D3014" s="409"/>
      <c r="E3014" s="13" t="s">
        <v>56</v>
      </c>
      <c r="F3014" s="14"/>
      <c r="G3014" s="410" t="s">
        <v>57</v>
      </c>
      <c r="H3014" s="411">
        <v>15.16</v>
      </c>
      <c r="I3014" s="412">
        <f>'BAHAN '!G72</f>
        <v>0</v>
      </c>
      <c r="J3014" s="16">
        <f>H3014*I3014</f>
        <v>0</v>
      </c>
    </row>
    <row r="3015" spans="1:10" ht="13">
      <c r="A3015" s="27"/>
      <c r="B3015" s="110"/>
      <c r="D3015" s="409"/>
      <c r="E3015" s="13" t="s">
        <v>101</v>
      </c>
      <c r="F3015" s="14"/>
      <c r="G3015" s="410" t="s">
        <v>375</v>
      </c>
      <c r="H3015" s="411">
        <v>0.36399999999999999</v>
      </c>
      <c r="I3015" s="412">
        <f>'BAHAN '!G59</f>
        <v>0</v>
      </c>
      <c r="J3015" s="16">
        <f>H3015*I3015</f>
        <v>0</v>
      </c>
    </row>
    <row r="3016" spans="1:10" ht="13.5" thickBot="1">
      <c r="A3016" s="27"/>
      <c r="B3016" s="110"/>
      <c r="D3016" s="409"/>
      <c r="E3016" s="13" t="s">
        <v>384</v>
      </c>
      <c r="F3016" s="14"/>
      <c r="G3016" s="410" t="s">
        <v>57</v>
      </c>
      <c r="H3016" s="411">
        <v>0.28000000000000003</v>
      </c>
      <c r="I3016" s="412">
        <f>I2996</f>
        <v>0</v>
      </c>
      <c r="J3016" s="16">
        <f>H3016*I3016</f>
        <v>0</v>
      </c>
    </row>
    <row r="3017" spans="1:10" ht="13.5" thickBot="1">
      <c r="A3017" s="27"/>
      <c r="B3017" s="110"/>
      <c r="D3017" s="417"/>
      <c r="E3017" s="418"/>
      <c r="F3017" s="418"/>
      <c r="G3017" s="419"/>
      <c r="H3017" s="420" t="s">
        <v>64</v>
      </c>
      <c r="I3017" s="421"/>
      <c r="J3017" s="396">
        <f>SUM(J3013:J3016)</f>
        <v>0</v>
      </c>
    </row>
    <row r="3018" spans="1:10" ht="13.5" thickBot="1">
      <c r="A3018" s="27"/>
      <c r="B3018" s="110"/>
      <c r="D3018" s="406" t="s">
        <v>65</v>
      </c>
      <c r="E3018" s="13" t="s">
        <v>66</v>
      </c>
      <c r="F3018" s="14"/>
      <c r="G3018" s="15"/>
      <c r="H3018" s="451"/>
      <c r="I3018" s="412">
        <f>IF(AND(E3018&lt;&gt;"",G3018&lt;&gt;""),IF(D3018="",IF(G3018="OH",VLOOKUP(E3018,UPAH!$C$4:$H$31,7,0),VLOOKUP(E3018,#REF!,4,0)),0),0)</f>
        <v>0</v>
      </c>
      <c r="J3018" s="16">
        <f>H3018*I3018</f>
        <v>0</v>
      </c>
    </row>
    <row r="3019" spans="1:10" ht="13.5" thickBot="1">
      <c r="A3019" s="27"/>
      <c r="B3019" s="110"/>
      <c r="D3019" s="417"/>
      <c r="E3019" s="418"/>
      <c r="F3019" s="418"/>
      <c r="G3019" s="419"/>
      <c r="H3019" s="420" t="s">
        <v>67</v>
      </c>
      <c r="I3019" s="421"/>
      <c r="J3019" s="396">
        <f>J3018</f>
        <v>0</v>
      </c>
    </row>
    <row r="3020" spans="1:10" ht="13">
      <c r="A3020" s="27"/>
      <c r="B3020" s="110"/>
      <c r="D3020" s="444" t="s">
        <v>68</v>
      </c>
      <c r="E3020" s="445" t="s">
        <v>69</v>
      </c>
      <c r="F3020" s="446"/>
      <c r="G3020" s="447"/>
      <c r="H3020" s="448"/>
      <c r="I3020" s="449">
        <f>IF(AND(E3020&lt;&gt;"",G3020&lt;&gt;""),IF(D3020="",IF(G3020="OH",VLOOKUP(E3020,UPAH!$C$4:$H$31,7,0),VLOOKUP(E3020,#REF!,4,0)),0),0)</f>
        <v>0</v>
      </c>
      <c r="J3020" s="16">
        <f>SUM(J3007:J3019)/2</f>
        <v>0</v>
      </c>
    </row>
    <row r="3021" spans="1:10" ht="13.5" thickBot="1">
      <c r="A3021" s="27"/>
      <c r="B3021" s="110"/>
      <c r="D3021" s="431" t="s">
        <v>70</v>
      </c>
      <c r="E3021" s="432" t="s">
        <v>477</v>
      </c>
      <c r="F3021" s="433"/>
      <c r="G3021" s="434"/>
      <c r="H3021" s="22">
        <v>0.1</v>
      </c>
      <c r="I3021" s="436"/>
      <c r="J3021" s="430">
        <f>H3021*J3020</f>
        <v>0</v>
      </c>
    </row>
    <row r="3022" spans="1:10" ht="13.5" thickBot="1">
      <c r="A3022" s="27"/>
      <c r="B3022" s="110"/>
      <c r="D3022" s="401" t="s">
        <v>71</v>
      </c>
      <c r="E3022" s="402" t="s">
        <v>72</v>
      </c>
      <c r="F3022" s="418"/>
      <c r="G3022" s="419"/>
      <c r="H3022" s="442"/>
      <c r="I3022" s="421">
        <f>IF(AND(E3022&lt;&gt;"",G3022&lt;&gt;""),IF(D3022="",IF(G3022="OH",VLOOKUP(E3022,UPAH!$C$4:$H$31,7,0),VLOOKUP(E3022,#REF!,4,0)),0),0)</f>
        <v>0</v>
      </c>
      <c r="J3022" s="396">
        <f>ROUNDDOWN(J3020+J3021,0)</f>
        <v>0</v>
      </c>
    </row>
    <row r="3023" spans="1:10" ht="13">
      <c r="A3023" s="27"/>
      <c r="B3023" s="110"/>
      <c r="D3023" s="11"/>
      <c r="E3023" s="11"/>
      <c r="H3023" s="443"/>
    </row>
    <row r="3024" spans="1:10" ht="13.5" thickBot="1">
      <c r="A3024" s="27"/>
      <c r="B3024" s="110"/>
      <c r="C3024" s="11" t="s">
        <v>1824</v>
      </c>
      <c r="D3024" s="10" t="s">
        <v>1892</v>
      </c>
      <c r="H3024" s="443"/>
    </row>
    <row r="3025" spans="1:10" ht="13.5" thickBot="1">
      <c r="A3025" s="27"/>
      <c r="B3025" s="110"/>
      <c r="D3025" s="401" t="s">
        <v>40</v>
      </c>
      <c r="E3025" s="402" t="s">
        <v>41</v>
      </c>
      <c r="F3025" s="402" t="s">
        <v>42</v>
      </c>
      <c r="G3025" s="403" t="s">
        <v>43</v>
      </c>
      <c r="H3025" s="404" t="s">
        <v>44</v>
      </c>
      <c r="I3025" s="402" t="s">
        <v>474</v>
      </c>
      <c r="J3025" s="405" t="s">
        <v>475</v>
      </c>
    </row>
    <row r="3026" spans="1:10" ht="13">
      <c r="A3026" s="27"/>
      <c r="B3026" s="110"/>
      <c r="D3026" s="406" t="s">
        <v>45</v>
      </c>
      <c r="E3026" s="13" t="s">
        <v>46</v>
      </c>
      <c r="F3026" s="14"/>
      <c r="G3026" s="15"/>
      <c r="H3026" s="451"/>
      <c r="I3026" s="412"/>
      <c r="J3026" s="16"/>
    </row>
    <row r="3027" spans="1:10" ht="13">
      <c r="A3027" s="27"/>
      <c r="B3027" s="110"/>
      <c r="D3027" s="409"/>
      <c r="E3027" s="13" t="s">
        <v>47</v>
      </c>
      <c r="F3027" s="13" t="s">
        <v>1918</v>
      </c>
      <c r="G3027" s="410" t="s">
        <v>48</v>
      </c>
      <c r="H3027" s="411">
        <v>0.3</v>
      </c>
      <c r="I3027" s="412">
        <f>IF(AND(E3027&lt;&gt;"",G3027&lt;&gt;""),IF(D3027="",IF(G3027="OH",VLOOKUP(F3027,UPAH!$B$4:$H$101,7,0),VLOOKUP(F3027,#REF!,4,0)),0),0)</f>
        <v>0</v>
      </c>
      <c r="J3027" s="16">
        <f>H3027*I3027</f>
        <v>0</v>
      </c>
    </row>
    <row r="3028" spans="1:10" ht="13">
      <c r="A3028" s="27"/>
      <c r="B3028" s="110"/>
      <c r="D3028" s="409"/>
      <c r="E3028" s="13" t="s">
        <v>115</v>
      </c>
      <c r="F3028" s="13" t="s">
        <v>1921</v>
      </c>
      <c r="G3028" s="410" t="s">
        <v>48</v>
      </c>
      <c r="H3028" s="411">
        <v>0.1</v>
      </c>
      <c r="I3028" s="412">
        <f>IF(AND(E3028&lt;&gt;"",G3028&lt;&gt;""),IF(D3028="",IF(G3028="OH",VLOOKUP(F3028,UPAH!$B$4:$H$101,7,0),VLOOKUP(F3028,#REF!,4,0)),0),0)</f>
        <v>0</v>
      </c>
      <c r="J3028" s="16">
        <f>H3028*I3028</f>
        <v>0</v>
      </c>
    </row>
    <row r="3029" spans="1:10" ht="13">
      <c r="A3029" s="27"/>
      <c r="B3029" s="110"/>
      <c r="D3029" s="409"/>
      <c r="E3029" s="13" t="s">
        <v>97</v>
      </c>
      <c r="F3029" s="13" t="s">
        <v>1928</v>
      </c>
      <c r="G3029" s="410" t="s">
        <v>48</v>
      </c>
      <c r="H3029" s="411">
        <v>0.01</v>
      </c>
      <c r="I3029" s="412">
        <f>IF(AND(E3029&lt;&gt;"",G3029&lt;&gt;""),IF(D3029="",IF(G3029="OH",VLOOKUP(F3029,UPAH!$B$4:$H$101,7,0),VLOOKUP(F3029,#REF!,4,0)),0),0)</f>
        <v>0</v>
      </c>
      <c r="J3029" s="16">
        <f>H3029*I3029</f>
        <v>0</v>
      </c>
    </row>
    <row r="3030" spans="1:10" ht="13.5" thickBot="1">
      <c r="A3030" s="27"/>
      <c r="B3030" s="110"/>
      <c r="D3030" s="409"/>
      <c r="E3030" s="13" t="s">
        <v>51</v>
      </c>
      <c r="F3030" s="13" t="s">
        <v>1929</v>
      </c>
      <c r="G3030" s="410" t="s">
        <v>48</v>
      </c>
      <c r="H3030" s="411">
        <v>1.4999999999999999E-2</v>
      </c>
      <c r="I3030" s="412">
        <f>IF(AND(E3030&lt;&gt;"",G3030&lt;&gt;""),IF(D3030="",IF(G3030="OH",VLOOKUP(F3030,UPAH!$B$4:$H$101,7,0),VLOOKUP(F3030,#REF!,4,0)),0),0)</f>
        <v>0</v>
      </c>
      <c r="J3030" s="16">
        <f>H3030*I3030</f>
        <v>0</v>
      </c>
    </row>
    <row r="3031" spans="1:10" ht="13.5" thickBot="1">
      <c r="A3031" s="27"/>
      <c r="B3031" s="110"/>
      <c r="D3031" s="417"/>
      <c r="E3031" s="418"/>
      <c r="F3031" s="418"/>
      <c r="G3031" s="419"/>
      <c r="H3031" s="420" t="s">
        <v>52</v>
      </c>
      <c r="I3031" s="421"/>
      <c r="J3031" s="396">
        <f>SUM(J3027:J3030)</f>
        <v>0</v>
      </c>
    </row>
    <row r="3032" spans="1:10" ht="13">
      <c r="A3032" s="27"/>
      <c r="B3032" s="110"/>
      <c r="D3032" s="406" t="s">
        <v>53</v>
      </c>
      <c r="E3032" s="13" t="s">
        <v>54</v>
      </c>
      <c r="F3032" s="14"/>
      <c r="G3032" s="15"/>
      <c r="H3032" s="451"/>
      <c r="I3032" s="412"/>
      <c r="J3032" s="16"/>
    </row>
    <row r="3033" spans="1:10" ht="13">
      <c r="A3033" s="27"/>
      <c r="B3033" s="110"/>
      <c r="D3033" s="409"/>
      <c r="E3033" s="13" t="s">
        <v>163</v>
      </c>
      <c r="F3033" s="14"/>
      <c r="G3033" s="410" t="s">
        <v>259</v>
      </c>
      <c r="H3033" s="411">
        <v>12.5</v>
      </c>
      <c r="I3033" s="412">
        <f>'BAHAN '!G1038</f>
        <v>0</v>
      </c>
      <c r="J3033" s="16">
        <f>H3033*I3033</f>
        <v>0</v>
      </c>
    </row>
    <row r="3034" spans="1:10" ht="13">
      <c r="A3034" s="27"/>
      <c r="B3034" s="110"/>
      <c r="D3034" s="409"/>
      <c r="E3034" s="13" t="s">
        <v>56</v>
      </c>
      <c r="F3034" s="14"/>
      <c r="G3034" s="410" t="s">
        <v>57</v>
      </c>
      <c r="H3034" s="411">
        <v>12.13</v>
      </c>
      <c r="I3034" s="412">
        <f>'BAHAN '!G72</f>
        <v>0</v>
      </c>
      <c r="J3034" s="16">
        <f>H3034*I3034</f>
        <v>0</v>
      </c>
    </row>
    <row r="3035" spans="1:10" ht="13">
      <c r="A3035" s="27"/>
      <c r="B3035" s="110"/>
      <c r="D3035" s="409"/>
      <c r="E3035" s="13" t="s">
        <v>101</v>
      </c>
      <c r="F3035" s="14"/>
      <c r="G3035" s="410" t="s">
        <v>375</v>
      </c>
      <c r="H3035" s="411">
        <v>0.38800000000000001</v>
      </c>
      <c r="I3035" s="412">
        <f>'BAHAN '!G59</f>
        <v>0</v>
      </c>
      <c r="J3035" s="16">
        <f>H3035*I3035</f>
        <v>0</v>
      </c>
    </row>
    <row r="3036" spans="1:10" ht="13.5" thickBot="1">
      <c r="A3036" s="27"/>
      <c r="B3036" s="110"/>
      <c r="D3036" s="409"/>
      <c r="E3036" s="13" t="s">
        <v>384</v>
      </c>
      <c r="F3036" s="14"/>
      <c r="G3036" s="410" t="s">
        <v>57</v>
      </c>
      <c r="H3036" s="411">
        <v>0.28000000000000003</v>
      </c>
      <c r="I3036" s="412">
        <f>I3016</f>
        <v>0</v>
      </c>
      <c r="J3036" s="16">
        <f>H3036*I3036</f>
        <v>0</v>
      </c>
    </row>
    <row r="3037" spans="1:10" ht="13.5" thickBot="1">
      <c r="A3037" s="27"/>
      <c r="B3037" s="110"/>
      <c r="D3037" s="417"/>
      <c r="E3037" s="418"/>
      <c r="F3037" s="418"/>
      <c r="G3037" s="419"/>
      <c r="H3037" s="420" t="s">
        <v>64</v>
      </c>
      <c r="I3037" s="421"/>
      <c r="J3037" s="396">
        <f>SUM(J3033:J3036)</f>
        <v>0</v>
      </c>
    </row>
    <row r="3038" spans="1:10" ht="13.5" thickBot="1">
      <c r="A3038" s="27"/>
      <c r="B3038" s="110"/>
      <c r="D3038" s="406" t="s">
        <v>65</v>
      </c>
      <c r="E3038" s="13" t="s">
        <v>66</v>
      </c>
      <c r="F3038" s="14"/>
      <c r="G3038" s="15"/>
      <c r="H3038" s="451"/>
      <c r="I3038" s="412">
        <f>IF(AND(E3038&lt;&gt;"",G3038&lt;&gt;""),IF(D3038="",IF(G3038="OH",VLOOKUP(E3038,UPAH!$C$4:$H$31,7,0),VLOOKUP(E3038,#REF!,4,0)),0),0)</f>
        <v>0</v>
      </c>
      <c r="J3038" s="16">
        <f>H3038*I3038</f>
        <v>0</v>
      </c>
    </row>
    <row r="3039" spans="1:10" ht="13.5" thickBot="1">
      <c r="A3039" s="27"/>
      <c r="B3039" s="110"/>
      <c r="D3039" s="417"/>
      <c r="E3039" s="418"/>
      <c r="F3039" s="418"/>
      <c r="G3039" s="419"/>
      <c r="H3039" s="420" t="s">
        <v>67</v>
      </c>
      <c r="I3039" s="421"/>
      <c r="J3039" s="396">
        <f>J3038</f>
        <v>0</v>
      </c>
    </row>
    <row r="3040" spans="1:10" ht="13">
      <c r="A3040" s="27"/>
      <c r="B3040" s="110"/>
      <c r="D3040" s="444" t="s">
        <v>68</v>
      </c>
      <c r="E3040" s="445" t="s">
        <v>69</v>
      </c>
      <c r="F3040" s="446"/>
      <c r="G3040" s="447"/>
      <c r="H3040" s="448"/>
      <c r="I3040" s="449">
        <f>IF(AND(E3040&lt;&gt;"",G3040&lt;&gt;""),IF(D3040="",IF(G3040="OH",VLOOKUP(E3040,UPAH!$C$4:$H$31,7,0),VLOOKUP(E3040,#REF!,4,0)),0),0)</f>
        <v>0</v>
      </c>
      <c r="J3040" s="16">
        <f>SUM(J3027:J3039)/2</f>
        <v>0</v>
      </c>
    </row>
    <row r="3041" spans="1:10" ht="13.5" thickBot="1">
      <c r="A3041" s="27"/>
      <c r="B3041" s="110"/>
      <c r="D3041" s="431" t="s">
        <v>70</v>
      </c>
      <c r="E3041" s="432" t="s">
        <v>477</v>
      </c>
      <c r="F3041" s="433"/>
      <c r="G3041" s="434"/>
      <c r="H3041" s="22">
        <v>0.1</v>
      </c>
      <c r="I3041" s="436"/>
      <c r="J3041" s="430">
        <f>H3041*J3040</f>
        <v>0</v>
      </c>
    </row>
    <row r="3042" spans="1:10" ht="13.5" thickBot="1">
      <c r="A3042" s="27"/>
      <c r="B3042" s="110"/>
      <c r="D3042" s="401" t="s">
        <v>71</v>
      </c>
      <c r="E3042" s="402" t="s">
        <v>72</v>
      </c>
      <c r="F3042" s="418"/>
      <c r="G3042" s="419"/>
      <c r="H3042" s="442"/>
      <c r="I3042" s="421">
        <f>IF(AND(E3042&lt;&gt;"",G3042&lt;&gt;""),IF(D3042="",IF(G3042="OH",VLOOKUP(E3042,UPAH!$C$4:$H$31,7,0),VLOOKUP(E3042,#REF!,4,0)),0),0)</f>
        <v>0</v>
      </c>
      <c r="J3042" s="396">
        <f>ROUNDDOWN(J3040+J3041,0)</f>
        <v>0</v>
      </c>
    </row>
    <row r="3043" spans="1:10" ht="13">
      <c r="A3043" s="27"/>
      <c r="B3043" s="110"/>
      <c r="D3043" s="11"/>
      <c r="E3043" s="11"/>
      <c r="H3043" s="443"/>
    </row>
    <row r="3044" spans="1:10" ht="13.5" thickBot="1">
      <c r="A3044" s="27"/>
      <c r="B3044" s="110"/>
      <c r="C3044" s="11" t="s">
        <v>1825</v>
      </c>
      <c r="D3044" s="10" t="s">
        <v>1893</v>
      </c>
      <c r="H3044" s="443"/>
    </row>
    <row r="3045" spans="1:10" ht="13.5" thickBot="1">
      <c r="A3045" s="27"/>
      <c r="B3045" s="110"/>
      <c r="D3045" s="401" t="s">
        <v>40</v>
      </c>
      <c r="E3045" s="402" t="s">
        <v>41</v>
      </c>
      <c r="F3045" s="402" t="s">
        <v>42</v>
      </c>
      <c r="G3045" s="403" t="s">
        <v>43</v>
      </c>
      <c r="H3045" s="404" t="s">
        <v>44</v>
      </c>
      <c r="I3045" s="402" t="s">
        <v>474</v>
      </c>
      <c r="J3045" s="405" t="s">
        <v>475</v>
      </c>
    </row>
    <row r="3046" spans="1:10" ht="13">
      <c r="A3046" s="27"/>
      <c r="B3046" s="110"/>
      <c r="D3046" s="406" t="s">
        <v>45</v>
      </c>
      <c r="E3046" s="13" t="s">
        <v>46</v>
      </c>
      <c r="F3046" s="14"/>
      <c r="G3046" s="15"/>
      <c r="H3046" s="451"/>
      <c r="I3046" s="412"/>
      <c r="J3046" s="16"/>
    </row>
    <row r="3047" spans="1:10" ht="13">
      <c r="A3047" s="27"/>
      <c r="B3047" s="110"/>
      <c r="D3047" s="409"/>
      <c r="E3047" s="13" t="s">
        <v>47</v>
      </c>
      <c r="F3047" s="13" t="s">
        <v>1918</v>
      </c>
      <c r="G3047" s="410" t="s">
        <v>48</v>
      </c>
      <c r="H3047" s="411">
        <v>0.3</v>
      </c>
      <c r="I3047" s="412">
        <f>IF(AND(E3047&lt;&gt;"",G3047&lt;&gt;""),IF(D3047="",IF(G3047="OH",VLOOKUP(F3047,UPAH!$B$4:$H$101,7,0),VLOOKUP(F3047,#REF!,4,0)),0),0)</f>
        <v>0</v>
      </c>
      <c r="J3047" s="16">
        <f>H3047*I3047</f>
        <v>0</v>
      </c>
    </row>
    <row r="3048" spans="1:10" ht="13">
      <c r="A3048" s="27"/>
      <c r="B3048" s="110"/>
      <c r="D3048" s="409"/>
      <c r="E3048" s="13" t="s">
        <v>115</v>
      </c>
      <c r="F3048" s="13" t="s">
        <v>1921</v>
      </c>
      <c r="G3048" s="410" t="s">
        <v>48</v>
      </c>
      <c r="H3048" s="411">
        <v>0.1</v>
      </c>
      <c r="I3048" s="412">
        <f>IF(AND(E3048&lt;&gt;"",G3048&lt;&gt;""),IF(D3048="",IF(G3048="OH",VLOOKUP(F3048,UPAH!$B$4:$H$101,7,0),VLOOKUP(F3048,#REF!,4,0)),0),0)</f>
        <v>0</v>
      </c>
      <c r="J3048" s="16">
        <f>H3048*I3048</f>
        <v>0</v>
      </c>
    </row>
    <row r="3049" spans="1:10" ht="13">
      <c r="A3049" s="27"/>
      <c r="B3049" s="110"/>
      <c r="D3049" s="409"/>
      <c r="E3049" s="13" t="s">
        <v>97</v>
      </c>
      <c r="F3049" s="13" t="s">
        <v>1928</v>
      </c>
      <c r="G3049" s="410" t="s">
        <v>48</v>
      </c>
      <c r="H3049" s="411">
        <v>0.01</v>
      </c>
      <c r="I3049" s="412">
        <f>IF(AND(E3049&lt;&gt;"",G3049&lt;&gt;""),IF(D3049="",IF(G3049="OH",VLOOKUP(F3049,UPAH!$B$4:$H$101,7,0),VLOOKUP(F3049,#REF!,4,0)),0),0)</f>
        <v>0</v>
      </c>
      <c r="J3049" s="16">
        <f>H3049*I3049</f>
        <v>0</v>
      </c>
    </row>
    <row r="3050" spans="1:10" ht="13.5" thickBot="1">
      <c r="A3050" s="27"/>
      <c r="B3050" s="110"/>
      <c r="D3050" s="409"/>
      <c r="E3050" s="13" t="s">
        <v>51</v>
      </c>
      <c r="F3050" s="13" t="s">
        <v>1929</v>
      </c>
      <c r="G3050" s="410" t="s">
        <v>48</v>
      </c>
      <c r="H3050" s="411">
        <v>1.4999999999999999E-2</v>
      </c>
      <c r="I3050" s="412">
        <f>IF(AND(E3050&lt;&gt;"",G3050&lt;&gt;""),IF(D3050="",IF(G3050="OH",VLOOKUP(F3050,UPAH!$B$4:$H$101,7,0),VLOOKUP(F3050,#REF!,4,0)),0),0)</f>
        <v>0</v>
      </c>
      <c r="J3050" s="16">
        <f>H3050*I3050</f>
        <v>0</v>
      </c>
    </row>
    <row r="3051" spans="1:10" ht="13.5" thickBot="1">
      <c r="A3051" s="27"/>
      <c r="B3051" s="110"/>
      <c r="D3051" s="417"/>
      <c r="E3051" s="418"/>
      <c r="F3051" s="418"/>
      <c r="G3051" s="419"/>
      <c r="H3051" s="420" t="s">
        <v>52</v>
      </c>
      <c r="I3051" s="421"/>
      <c r="J3051" s="396">
        <f>SUM(J3047:J3050)</f>
        <v>0</v>
      </c>
    </row>
    <row r="3052" spans="1:10" ht="13">
      <c r="A3052" s="27"/>
      <c r="B3052" s="110"/>
      <c r="D3052" s="406" t="s">
        <v>53</v>
      </c>
      <c r="E3052" s="13" t="s">
        <v>54</v>
      </c>
      <c r="F3052" s="14"/>
      <c r="G3052" s="15"/>
      <c r="H3052" s="451"/>
      <c r="I3052" s="412"/>
      <c r="J3052" s="16"/>
    </row>
    <row r="3053" spans="1:10" ht="13">
      <c r="A3053" s="27"/>
      <c r="B3053" s="110"/>
      <c r="D3053" s="409"/>
      <c r="E3053" s="13" t="s">
        <v>383</v>
      </c>
      <c r="F3053" s="14"/>
      <c r="G3053" s="410" t="s">
        <v>259</v>
      </c>
      <c r="H3053" s="411">
        <v>30</v>
      </c>
      <c r="I3053" s="412">
        <f>'BAHAN '!G155</f>
        <v>0</v>
      </c>
      <c r="J3053" s="16">
        <f>H3053*I3053</f>
        <v>0</v>
      </c>
    </row>
    <row r="3054" spans="1:10" ht="13">
      <c r="A3054" s="27"/>
      <c r="B3054" s="110"/>
      <c r="D3054" s="409"/>
      <c r="E3054" s="13" t="s">
        <v>56</v>
      </c>
      <c r="F3054" s="14"/>
      <c r="G3054" s="410" t="s">
        <v>57</v>
      </c>
      <c r="H3054" s="411">
        <v>11</v>
      </c>
      <c r="I3054" s="412">
        <f>'BAHAN '!G72</f>
        <v>0</v>
      </c>
      <c r="J3054" s="16">
        <f>H3054*I3054</f>
        <v>0</v>
      </c>
    </row>
    <row r="3055" spans="1:10" ht="13.5" thickBot="1">
      <c r="A3055" s="27"/>
      <c r="B3055" s="110"/>
      <c r="D3055" s="409"/>
      <c r="E3055" s="13" t="s">
        <v>101</v>
      </c>
      <c r="F3055" s="14"/>
      <c r="G3055" s="410" t="s">
        <v>375</v>
      </c>
      <c r="H3055" s="411">
        <v>3.5000000000000003E-2</v>
      </c>
      <c r="I3055" s="412">
        <f>'BAHAN '!G59</f>
        <v>0</v>
      </c>
      <c r="J3055" s="16">
        <f>H3055*I3055</f>
        <v>0</v>
      </c>
    </row>
    <row r="3056" spans="1:10" ht="13.5" thickBot="1">
      <c r="A3056" s="27"/>
      <c r="B3056" s="110"/>
      <c r="D3056" s="417"/>
      <c r="E3056" s="418"/>
      <c r="F3056" s="418"/>
      <c r="G3056" s="419"/>
      <c r="H3056" s="420" t="s">
        <v>64</v>
      </c>
      <c r="I3056" s="421"/>
      <c r="J3056" s="396">
        <f>SUM(J3053:J3055)</f>
        <v>0</v>
      </c>
    </row>
    <row r="3057" spans="1:10" ht="13.5" thickBot="1">
      <c r="A3057" s="27"/>
      <c r="B3057" s="110"/>
      <c r="D3057" s="406" t="s">
        <v>65</v>
      </c>
      <c r="E3057" s="13" t="s">
        <v>66</v>
      </c>
      <c r="F3057" s="14"/>
      <c r="G3057" s="15"/>
      <c r="H3057" s="451"/>
      <c r="I3057" s="412">
        <f>IF(AND(E3057&lt;&gt;"",G3057&lt;&gt;""),IF(D3057="",IF(G3057="OH",VLOOKUP(E3057,UPAH!$C$4:$H$31,7,0),VLOOKUP(E3057,#REF!,4,0)),0),0)</f>
        <v>0</v>
      </c>
      <c r="J3057" s="16">
        <f>H3057*I3057</f>
        <v>0</v>
      </c>
    </row>
    <row r="3058" spans="1:10" ht="13.5" thickBot="1">
      <c r="A3058" s="27"/>
      <c r="B3058" s="110"/>
      <c r="D3058" s="417"/>
      <c r="E3058" s="418"/>
      <c r="F3058" s="418"/>
      <c r="G3058" s="419"/>
      <c r="H3058" s="420" t="s">
        <v>67</v>
      </c>
      <c r="I3058" s="421"/>
      <c r="J3058" s="396">
        <f>J3057</f>
        <v>0</v>
      </c>
    </row>
    <row r="3059" spans="1:10" ht="13">
      <c r="A3059" s="27"/>
      <c r="B3059" s="110"/>
      <c r="D3059" s="444" t="s">
        <v>68</v>
      </c>
      <c r="E3059" s="445" t="s">
        <v>69</v>
      </c>
      <c r="F3059" s="446"/>
      <c r="G3059" s="447"/>
      <c r="H3059" s="448"/>
      <c r="I3059" s="449">
        <f>IF(AND(E3059&lt;&gt;"",G3059&lt;&gt;""),IF(D3059="",IF(G3059="OH",VLOOKUP(E3059,UPAH!$C$4:$H$31,7,0),VLOOKUP(E3059,#REF!,4,0)),0),0)</f>
        <v>0</v>
      </c>
      <c r="J3059" s="16">
        <f>SUM(J3047:J3058)/2</f>
        <v>0</v>
      </c>
    </row>
    <row r="3060" spans="1:10" ht="13.5" thickBot="1">
      <c r="A3060" s="27"/>
      <c r="B3060" s="110"/>
      <c r="D3060" s="431" t="s">
        <v>70</v>
      </c>
      <c r="E3060" s="432" t="s">
        <v>477</v>
      </c>
      <c r="F3060" s="433"/>
      <c r="G3060" s="434"/>
      <c r="H3060" s="22">
        <v>0.1</v>
      </c>
      <c r="I3060" s="436"/>
      <c r="J3060" s="430">
        <f>H3060*J3059</f>
        <v>0</v>
      </c>
    </row>
    <row r="3061" spans="1:10" ht="13.5" thickBot="1">
      <c r="A3061" s="27"/>
      <c r="B3061" s="110"/>
      <c r="D3061" s="401" t="s">
        <v>71</v>
      </c>
      <c r="E3061" s="402" t="s">
        <v>72</v>
      </c>
      <c r="F3061" s="418"/>
      <c r="G3061" s="419"/>
      <c r="H3061" s="442"/>
      <c r="I3061" s="421">
        <f>IF(AND(E3061&lt;&gt;"",G3061&lt;&gt;""),IF(D3061="",IF(G3061="OH",VLOOKUP(E3061,UPAH!$C$4:$H$31,7,0),VLOOKUP(E3061,#REF!,4,0)),0),0)</f>
        <v>0</v>
      </c>
      <c r="J3061" s="396">
        <f>ROUNDDOWN(J3059+J3060,0)</f>
        <v>0</v>
      </c>
    </row>
    <row r="3062" spans="1:10" ht="13">
      <c r="A3062" s="27"/>
      <c r="B3062" s="110"/>
      <c r="D3062" s="11"/>
      <c r="E3062" s="11"/>
      <c r="H3062" s="443"/>
    </row>
    <row r="3063" spans="1:10" ht="13.5" thickBot="1">
      <c r="A3063" s="27"/>
      <c r="B3063" s="110"/>
      <c r="C3063" s="11" t="s">
        <v>1826</v>
      </c>
      <c r="D3063" s="10" t="s">
        <v>1894</v>
      </c>
      <c r="H3063" s="443"/>
    </row>
    <row r="3064" spans="1:10" ht="13.5" thickBot="1">
      <c r="A3064" s="27"/>
      <c r="B3064" s="110"/>
      <c r="D3064" s="401" t="s">
        <v>40</v>
      </c>
      <c r="E3064" s="402" t="s">
        <v>41</v>
      </c>
      <c r="F3064" s="402" t="s">
        <v>42</v>
      </c>
      <c r="G3064" s="403" t="s">
        <v>43</v>
      </c>
      <c r="H3064" s="404" t="s">
        <v>44</v>
      </c>
      <c r="I3064" s="402" t="s">
        <v>474</v>
      </c>
      <c r="J3064" s="405" t="s">
        <v>475</v>
      </c>
    </row>
    <row r="3065" spans="1:10" ht="13">
      <c r="A3065" s="27"/>
      <c r="B3065" s="110"/>
      <c r="D3065" s="406" t="s">
        <v>45</v>
      </c>
      <c r="E3065" s="13" t="s">
        <v>46</v>
      </c>
      <c r="F3065" s="14"/>
      <c r="G3065" s="15"/>
      <c r="H3065" s="451"/>
      <c r="I3065" s="412"/>
      <c r="J3065" s="16"/>
    </row>
    <row r="3066" spans="1:10" ht="13">
      <c r="A3066" s="27"/>
      <c r="B3066" s="110"/>
      <c r="D3066" s="409"/>
      <c r="E3066" s="13" t="s">
        <v>47</v>
      </c>
      <c r="F3066" s="13" t="s">
        <v>1918</v>
      </c>
      <c r="G3066" s="410" t="s">
        <v>48</v>
      </c>
      <c r="H3066" s="411">
        <v>0.3</v>
      </c>
      <c r="I3066" s="412">
        <f>IF(AND(E3066&lt;&gt;"",G3066&lt;&gt;""),IF(D3066="",IF(G3066="OH",VLOOKUP(F3066,UPAH!$B$4:$H$101,7,0),VLOOKUP(F3066,#REF!,4,0)),0),0)</f>
        <v>0</v>
      </c>
      <c r="J3066" s="16">
        <f>H3066*I3066</f>
        <v>0</v>
      </c>
    </row>
    <row r="3067" spans="1:10" ht="13">
      <c r="A3067" s="27"/>
      <c r="B3067" s="110"/>
      <c r="D3067" s="409"/>
      <c r="E3067" s="13" t="s">
        <v>115</v>
      </c>
      <c r="F3067" s="13" t="s">
        <v>1921</v>
      </c>
      <c r="G3067" s="410" t="s">
        <v>48</v>
      </c>
      <c r="H3067" s="411">
        <v>0.1</v>
      </c>
      <c r="I3067" s="412">
        <f>IF(AND(E3067&lt;&gt;"",G3067&lt;&gt;""),IF(D3067="",IF(G3067="OH",VLOOKUP(F3067,UPAH!$B$4:$H$101,7,0),VLOOKUP(F3067,#REF!,4,0)),0),0)</f>
        <v>0</v>
      </c>
      <c r="J3067" s="16">
        <f>H3067*I3067</f>
        <v>0</v>
      </c>
    </row>
    <row r="3068" spans="1:10" ht="13">
      <c r="A3068" s="27"/>
      <c r="B3068" s="110"/>
      <c r="D3068" s="409"/>
      <c r="E3068" s="13" t="s">
        <v>97</v>
      </c>
      <c r="F3068" s="13" t="s">
        <v>1928</v>
      </c>
      <c r="G3068" s="410" t="s">
        <v>48</v>
      </c>
      <c r="H3068" s="411">
        <v>0.01</v>
      </c>
      <c r="I3068" s="412">
        <f>IF(AND(E3068&lt;&gt;"",G3068&lt;&gt;""),IF(D3068="",IF(G3068="OH",VLOOKUP(F3068,UPAH!$B$4:$H$101,7,0),VLOOKUP(F3068,#REF!,4,0)),0),0)</f>
        <v>0</v>
      </c>
      <c r="J3068" s="16">
        <f>H3068*I3068</f>
        <v>0</v>
      </c>
    </row>
    <row r="3069" spans="1:10" ht="13.5" thickBot="1">
      <c r="A3069" s="27"/>
      <c r="B3069" s="110"/>
      <c r="D3069" s="409"/>
      <c r="E3069" s="13" t="s">
        <v>51</v>
      </c>
      <c r="F3069" s="13" t="s">
        <v>1929</v>
      </c>
      <c r="G3069" s="410" t="s">
        <v>48</v>
      </c>
      <c r="H3069" s="411">
        <v>1.4999999999999999E-2</v>
      </c>
      <c r="I3069" s="412">
        <f>IF(AND(E3069&lt;&gt;"",G3069&lt;&gt;""),IF(D3069="",IF(G3069="OH",VLOOKUP(F3069,UPAH!$B$4:$H$101,7,0),VLOOKUP(F3069,#REF!,4,0)),0),0)</f>
        <v>0</v>
      </c>
      <c r="J3069" s="16">
        <f>H3069*I3069</f>
        <v>0</v>
      </c>
    </row>
    <row r="3070" spans="1:10" ht="13.5" thickBot="1">
      <c r="A3070" s="27"/>
      <c r="B3070" s="110"/>
      <c r="D3070" s="417"/>
      <c r="E3070" s="418"/>
      <c r="F3070" s="418"/>
      <c r="G3070" s="419"/>
      <c r="H3070" s="420" t="s">
        <v>52</v>
      </c>
      <c r="I3070" s="421"/>
      <c r="J3070" s="396">
        <f>SUM(J3066:J3069)</f>
        <v>0</v>
      </c>
    </row>
    <row r="3071" spans="1:10" ht="13">
      <c r="A3071" s="27"/>
      <c r="B3071" s="110"/>
      <c r="D3071" s="406" t="s">
        <v>53</v>
      </c>
      <c r="E3071" s="13" t="s">
        <v>54</v>
      </c>
      <c r="F3071" s="14"/>
      <c r="G3071" s="15"/>
      <c r="H3071" s="451"/>
      <c r="I3071" s="412"/>
      <c r="J3071" s="16"/>
    </row>
    <row r="3072" spans="1:10" ht="13">
      <c r="A3072" s="27"/>
      <c r="B3072" s="110"/>
      <c r="D3072" s="409"/>
      <c r="E3072" s="13" t="s">
        <v>164</v>
      </c>
      <c r="F3072" s="14"/>
      <c r="G3072" s="410" t="s">
        <v>259</v>
      </c>
      <c r="H3072" s="411">
        <v>30</v>
      </c>
      <c r="I3072" s="412">
        <f>$I$3053</f>
        <v>0</v>
      </c>
      <c r="J3072" s="16">
        <f>H3072*I3072</f>
        <v>0</v>
      </c>
    </row>
    <row r="3073" spans="1:10" ht="13">
      <c r="A3073" s="27"/>
      <c r="B3073" s="110"/>
      <c r="D3073" s="409"/>
      <c r="E3073" s="13" t="s">
        <v>56</v>
      </c>
      <c r="F3073" s="14"/>
      <c r="G3073" s="410" t="s">
        <v>57</v>
      </c>
      <c r="H3073" s="411">
        <v>11</v>
      </c>
      <c r="I3073" s="412">
        <f>'BAHAN '!G72</f>
        <v>0</v>
      </c>
      <c r="J3073" s="16">
        <f>H3073*I3073</f>
        <v>0</v>
      </c>
    </row>
    <row r="3074" spans="1:10" ht="13.5" thickBot="1">
      <c r="A3074" s="27"/>
      <c r="B3074" s="110"/>
      <c r="D3074" s="409"/>
      <c r="E3074" s="13" t="s">
        <v>101</v>
      </c>
      <c r="F3074" s="14"/>
      <c r="G3074" s="410" t="s">
        <v>375</v>
      </c>
      <c r="H3074" s="411">
        <v>3.5000000000000003E-2</v>
      </c>
      <c r="I3074" s="412">
        <f>'BAHAN '!G59</f>
        <v>0</v>
      </c>
      <c r="J3074" s="16">
        <f>H3074*I3074</f>
        <v>0</v>
      </c>
    </row>
    <row r="3075" spans="1:10" ht="13.5" thickBot="1">
      <c r="A3075" s="27"/>
      <c r="B3075" s="110"/>
      <c r="D3075" s="417"/>
      <c r="E3075" s="418"/>
      <c r="F3075" s="418"/>
      <c r="G3075" s="419"/>
      <c r="H3075" s="420" t="s">
        <v>64</v>
      </c>
      <c r="I3075" s="421"/>
      <c r="J3075" s="396">
        <f>SUM(J3072:J3074)</f>
        <v>0</v>
      </c>
    </row>
    <row r="3076" spans="1:10" ht="13.5" thickBot="1">
      <c r="A3076" s="27"/>
      <c r="B3076" s="110"/>
      <c r="D3076" s="406" t="s">
        <v>65</v>
      </c>
      <c r="E3076" s="13" t="s">
        <v>66</v>
      </c>
      <c r="F3076" s="14"/>
      <c r="G3076" s="15"/>
      <c r="H3076" s="451"/>
      <c r="I3076" s="412">
        <f>IF(AND(E3076&lt;&gt;"",G3076&lt;&gt;""),IF(D3076="",IF(G3076="OH",VLOOKUP(E3076,UPAH!$C$4:$H$31,7,0),VLOOKUP(E3076,#REF!,4,0)),0),0)</f>
        <v>0</v>
      </c>
      <c r="J3076" s="16">
        <f>H3076*I3076</f>
        <v>0</v>
      </c>
    </row>
    <row r="3077" spans="1:10" ht="13.5" thickBot="1">
      <c r="A3077" s="27"/>
      <c r="B3077" s="110"/>
      <c r="D3077" s="417"/>
      <c r="E3077" s="418"/>
      <c r="F3077" s="418"/>
      <c r="G3077" s="419"/>
      <c r="H3077" s="420" t="s">
        <v>67</v>
      </c>
      <c r="I3077" s="421"/>
      <c r="J3077" s="396">
        <f>J3076</f>
        <v>0</v>
      </c>
    </row>
    <row r="3078" spans="1:10" ht="13">
      <c r="A3078" s="27"/>
      <c r="B3078" s="110"/>
      <c r="D3078" s="444" t="s">
        <v>68</v>
      </c>
      <c r="E3078" s="445" t="s">
        <v>69</v>
      </c>
      <c r="F3078" s="446"/>
      <c r="G3078" s="447"/>
      <c r="H3078" s="448"/>
      <c r="I3078" s="449">
        <f>IF(AND(E3078&lt;&gt;"",G3078&lt;&gt;""),IF(D3078="",IF(G3078="OH",VLOOKUP(E3078,UPAH!$C$4:$H$31,7,0),VLOOKUP(E3078,#REF!,4,0)),0),0)</f>
        <v>0</v>
      </c>
      <c r="J3078" s="16">
        <f>SUM(J3066:J3077)/2</f>
        <v>0</v>
      </c>
    </row>
    <row r="3079" spans="1:10" ht="13.5" thickBot="1">
      <c r="A3079" s="27"/>
      <c r="B3079" s="110"/>
      <c r="D3079" s="431" t="s">
        <v>70</v>
      </c>
      <c r="E3079" s="432" t="s">
        <v>477</v>
      </c>
      <c r="F3079" s="433"/>
      <c r="G3079" s="434"/>
      <c r="H3079" s="22">
        <v>0.1</v>
      </c>
      <c r="I3079" s="436"/>
      <c r="J3079" s="430">
        <f>H3079*J3078</f>
        <v>0</v>
      </c>
    </row>
    <row r="3080" spans="1:10" ht="13.5" thickBot="1">
      <c r="A3080" s="27"/>
      <c r="B3080" s="110"/>
      <c r="D3080" s="401" t="s">
        <v>71</v>
      </c>
      <c r="E3080" s="402" t="s">
        <v>72</v>
      </c>
      <c r="F3080" s="418"/>
      <c r="G3080" s="419"/>
      <c r="H3080" s="442"/>
      <c r="I3080" s="421">
        <f>IF(AND(E3080&lt;&gt;"",G3080&lt;&gt;""),IF(D3080="",IF(G3080="OH",VLOOKUP(E3080,UPAH!$C$4:$H$31,7,0),VLOOKUP(E3080,#REF!,4,0)),0),0)</f>
        <v>0</v>
      </c>
      <c r="J3080" s="396">
        <f>ROUNDDOWN(J3078+J3079,0)</f>
        <v>0</v>
      </c>
    </row>
    <row r="3081" spans="1:10" ht="13">
      <c r="A3081" s="27"/>
      <c r="B3081" s="110"/>
      <c r="D3081" s="11"/>
      <c r="E3081" s="11"/>
      <c r="H3081" s="443"/>
    </row>
    <row r="3082" spans="1:10" ht="13.5" thickBot="1">
      <c r="A3082" s="27"/>
      <c r="B3082" s="110"/>
      <c r="C3082" s="10" t="s">
        <v>1827</v>
      </c>
      <c r="D3082" s="11" t="s">
        <v>1895</v>
      </c>
      <c r="H3082" s="443"/>
    </row>
    <row r="3083" spans="1:10" ht="13.5" thickBot="1">
      <c r="A3083" s="27"/>
      <c r="B3083" s="110"/>
      <c r="D3083" s="401" t="s">
        <v>40</v>
      </c>
      <c r="E3083" s="402" t="s">
        <v>41</v>
      </c>
      <c r="F3083" s="402" t="s">
        <v>42</v>
      </c>
      <c r="G3083" s="403" t="s">
        <v>43</v>
      </c>
      <c r="H3083" s="404" t="s">
        <v>44</v>
      </c>
      <c r="I3083" s="402" t="s">
        <v>474</v>
      </c>
      <c r="J3083" s="405" t="s">
        <v>475</v>
      </c>
    </row>
    <row r="3084" spans="1:10" ht="13">
      <c r="A3084" s="27"/>
      <c r="B3084" s="110"/>
      <c r="D3084" s="406" t="s">
        <v>45</v>
      </c>
      <c r="E3084" s="13" t="s">
        <v>46</v>
      </c>
      <c r="F3084" s="14"/>
      <c r="G3084" s="15"/>
      <c r="H3084" s="451"/>
      <c r="I3084" s="412"/>
      <c r="J3084" s="16"/>
    </row>
    <row r="3085" spans="1:10" ht="13">
      <c r="A3085" s="27"/>
      <c r="B3085" s="110"/>
      <c r="D3085" s="409"/>
      <c r="E3085" s="13" t="s">
        <v>47</v>
      </c>
      <c r="F3085" s="13" t="s">
        <v>1918</v>
      </c>
      <c r="G3085" s="410" t="s">
        <v>48</v>
      </c>
      <c r="H3085" s="411">
        <v>0.3</v>
      </c>
      <c r="I3085" s="412">
        <f>IF(AND(E3085&lt;&gt;"",G3085&lt;&gt;""),IF(D3085="",IF(G3085="OH",VLOOKUP(F3085,UPAH!$B$4:$H$101,7,0),VLOOKUP(F3085,#REF!,4,0)),0),0)</f>
        <v>0</v>
      </c>
      <c r="J3085" s="16">
        <f>H3085*I3085</f>
        <v>0</v>
      </c>
    </row>
    <row r="3086" spans="1:10" ht="13">
      <c r="A3086" s="27"/>
      <c r="B3086" s="110"/>
      <c r="D3086" s="409"/>
      <c r="E3086" s="13" t="s">
        <v>115</v>
      </c>
      <c r="F3086" s="13" t="s">
        <v>1921</v>
      </c>
      <c r="G3086" s="410" t="s">
        <v>48</v>
      </c>
      <c r="H3086" s="411">
        <v>0.15</v>
      </c>
      <c r="I3086" s="412">
        <f>IF(AND(E3086&lt;&gt;"",G3086&lt;&gt;""),IF(D3086="",IF(G3086="OH",VLOOKUP(F3086,UPAH!$B$4:$H$101,7,0),VLOOKUP(F3086,#REF!,4,0)),0),0)</f>
        <v>0</v>
      </c>
      <c r="J3086" s="16">
        <f>H3086*I3086</f>
        <v>0</v>
      </c>
    </row>
    <row r="3087" spans="1:10" ht="13">
      <c r="A3087" s="27"/>
      <c r="B3087" s="110"/>
      <c r="D3087" s="409"/>
      <c r="E3087" s="13" t="s">
        <v>97</v>
      </c>
      <c r="F3087" s="13" t="s">
        <v>1928</v>
      </c>
      <c r="G3087" s="410" t="s">
        <v>48</v>
      </c>
      <c r="H3087" s="411">
        <v>1.4999999999999999E-2</v>
      </c>
      <c r="I3087" s="412">
        <f>IF(AND(E3087&lt;&gt;"",G3087&lt;&gt;""),IF(D3087="",IF(G3087="OH",VLOOKUP(F3087,UPAH!$B$4:$H$101,7,0),VLOOKUP(F3087,#REF!,4,0)),0),0)</f>
        <v>0</v>
      </c>
      <c r="J3087" s="16">
        <f>H3087*I3087</f>
        <v>0</v>
      </c>
    </row>
    <row r="3088" spans="1:10" ht="13.5" thickBot="1">
      <c r="A3088" s="27"/>
      <c r="B3088" s="110"/>
      <c r="D3088" s="409"/>
      <c r="E3088" s="13" t="s">
        <v>51</v>
      </c>
      <c r="F3088" s="13" t="s">
        <v>1929</v>
      </c>
      <c r="G3088" s="410" t="s">
        <v>48</v>
      </c>
      <c r="H3088" s="411">
        <v>1.4999999999999999E-2</v>
      </c>
      <c r="I3088" s="412">
        <f>IF(AND(E3088&lt;&gt;"",G3088&lt;&gt;""),IF(D3088="",IF(G3088="OH",VLOOKUP(F3088,UPAH!$B$4:$H$101,7,0),VLOOKUP(F3088,#REF!,4,0)),0),0)</f>
        <v>0</v>
      </c>
      <c r="J3088" s="16">
        <f>H3088*I3088</f>
        <v>0</v>
      </c>
    </row>
    <row r="3089" spans="1:10" ht="13.5" thickBot="1">
      <c r="A3089" s="27"/>
      <c r="B3089" s="110"/>
      <c r="D3089" s="417"/>
      <c r="E3089" s="418"/>
      <c r="F3089" s="418"/>
      <c r="G3089" s="419"/>
      <c r="H3089" s="420" t="s">
        <v>52</v>
      </c>
      <c r="I3089" s="421"/>
      <c r="J3089" s="396">
        <f>SUM(J3085:J3088)</f>
        <v>0</v>
      </c>
    </row>
    <row r="3090" spans="1:10" ht="13">
      <c r="A3090" s="27"/>
      <c r="B3090" s="110"/>
      <c r="D3090" s="406" t="s">
        <v>53</v>
      </c>
      <c r="E3090" s="13" t="s">
        <v>54</v>
      </c>
      <c r="F3090" s="14"/>
      <c r="G3090" s="15"/>
      <c r="H3090" s="451"/>
      <c r="I3090" s="412"/>
      <c r="J3090" s="16"/>
    </row>
    <row r="3091" spans="1:10" ht="13">
      <c r="A3091" s="27"/>
      <c r="B3091" s="110"/>
      <c r="D3091" s="409"/>
      <c r="E3091" s="13" t="s">
        <v>383</v>
      </c>
      <c r="F3091" s="14"/>
      <c r="G3091" s="410" t="s">
        <v>259</v>
      </c>
      <c r="H3091" s="411">
        <v>70</v>
      </c>
      <c r="I3091" s="412">
        <f>$I$3053</f>
        <v>0</v>
      </c>
      <c r="J3091" s="16">
        <f>H3091*I3091</f>
        <v>0</v>
      </c>
    </row>
    <row r="3092" spans="1:10" ht="13">
      <c r="A3092" s="27"/>
      <c r="B3092" s="110"/>
      <c r="D3092" s="409"/>
      <c r="E3092" s="13" t="s">
        <v>56</v>
      </c>
      <c r="F3092" s="14"/>
      <c r="G3092" s="410" t="s">
        <v>57</v>
      </c>
      <c r="H3092" s="411">
        <v>14</v>
      </c>
      <c r="I3092" s="412">
        <f>'BAHAN '!G72</f>
        <v>0</v>
      </c>
      <c r="J3092" s="16">
        <f>H3092*I3092</f>
        <v>0</v>
      </c>
    </row>
    <row r="3093" spans="1:10" ht="13.5" thickBot="1">
      <c r="A3093" s="27"/>
      <c r="B3093" s="110"/>
      <c r="D3093" s="409"/>
      <c r="E3093" s="13" t="s">
        <v>101</v>
      </c>
      <c r="F3093" s="14"/>
      <c r="G3093" s="410" t="s">
        <v>375</v>
      </c>
      <c r="H3093" s="411">
        <v>3.2000000000000001E-2</v>
      </c>
      <c r="I3093" s="412">
        <f>'BAHAN '!G59</f>
        <v>0</v>
      </c>
      <c r="J3093" s="16">
        <f>H3093*I3093</f>
        <v>0</v>
      </c>
    </row>
    <row r="3094" spans="1:10" ht="13.5" thickBot="1">
      <c r="A3094" s="27"/>
      <c r="B3094" s="110"/>
      <c r="D3094" s="417"/>
      <c r="E3094" s="418"/>
      <c r="F3094" s="418"/>
      <c r="G3094" s="419"/>
      <c r="H3094" s="420" t="s">
        <v>64</v>
      </c>
      <c r="I3094" s="421"/>
      <c r="J3094" s="396">
        <f>SUM(J3091:J3093)</f>
        <v>0</v>
      </c>
    </row>
    <row r="3095" spans="1:10" ht="13.5" thickBot="1">
      <c r="A3095" s="27"/>
      <c r="B3095" s="110"/>
      <c r="D3095" s="406" t="s">
        <v>65</v>
      </c>
      <c r="E3095" s="13" t="s">
        <v>66</v>
      </c>
      <c r="F3095" s="14"/>
      <c r="G3095" s="15"/>
      <c r="H3095" s="451"/>
      <c r="I3095" s="412">
        <f>IF(AND(E3095&lt;&gt;"",G3095&lt;&gt;""),IF(D3095="",IF(G3095="OH",VLOOKUP(E3095,UPAH!$C$4:$H$31,7,0),VLOOKUP(E3095,#REF!,4,0)),0),0)</f>
        <v>0</v>
      </c>
      <c r="J3095" s="16">
        <f>H3095*I3095</f>
        <v>0</v>
      </c>
    </row>
    <row r="3096" spans="1:10" ht="13.5" thickBot="1">
      <c r="A3096" s="27"/>
      <c r="B3096" s="110"/>
      <c r="D3096" s="417"/>
      <c r="E3096" s="418"/>
      <c r="F3096" s="418"/>
      <c r="G3096" s="419"/>
      <c r="H3096" s="420" t="s">
        <v>67</v>
      </c>
      <c r="I3096" s="421"/>
      <c r="J3096" s="396">
        <f>J3095</f>
        <v>0</v>
      </c>
    </row>
    <row r="3097" spans="1:10" ht="13">
      <c r="A3097" s="27"/>
      <c r="B3097" s="110"/>
      <c r="D3097" s="444" t="s">
        <v>68</v>
      </c>
      <c r="E3097" s="445" t="s">
        <v>69</v>
      </c>
      <c r="F3097" s="446"/>
      <c r="G3097" s="447"/>
      <c r="H3097" s="448"/>
      <c r="I3097" s="449">
        <f>IF(AND(E3097&lt;&gt;"",G3097&lt;&gt;""),IF(D3097="",IF(G3097="OH",VLOOKUP(E3097,UPAH!$C$4:$H$31,7,0),VLOOKUP(E3097,#REF!,4,0)),0),0)</f>
        <v>0</v>
      </c>
      <c r="J3097" s="16">
        <f>SUM(J3085:J3096)/2</f>
        <v>0</v>
      </c>
    </row>
    <row r="3098" spans="1:10" ht="13.5" thickBot="1">
      <c r="A3098" s="27"/>
      <c r="B3098" s="110"/>
      <c r="D3098" s="431" t="s">
        <v>70</v>
      </c>
      <c r="E3098" s="432" t="s">
        <v>477</v>
      </c>
      <c r="F3098" s="433"/>
      <c r="G3098" s="434"/>
      <c r="H3098" s="22">
        <v>0.1</v>
      </c>
      <c r="I3098" s="436"/>
      <c r="J3098" s="430">
        <f>H3098*J3097</f>
        <v>0</v>
      </c>
    </row>
    <row r="3099" spans="1:10" ht="13.5" thickBot="1">
      <c r="A3099" s="27"/>
      <c r="B3099" s="110"/>
      <c r="D3099" s="401" t="s">
        <v>71</v>
      </c>
      <c r="E3099" s="402" t="s">
        <v>72</v>
      </c>
      <c r="F3099" s="418"/>
      <c r="G3099" s="419"/>
      <c r="H3099" s="442"/>
      <c r="I3099" s="421">
        <f>IF(AND(E3099&lt;&gt;"",G3099&lt;&gt;""),IF(D3099="",IF(G3099="OH",VLOOKUP(E3099,UPAH!$C$4:$H$31,7,0),VLOOKUP(E3099,#REF!,4,0)),0),0)</f>
        <v>0</v>
      </c>
      <c r="J3099" s="396">
        <f>ROUNDDOWN(J3097+J3098,0)</f>
        <v>0</v>
      </c>
    </row>
    <row r="3100" spans="1:10" ht="13">
      <c r="A3100" s="27"/>
      <c r="B3100" s="110"/>
      <c r="D3100" s="11"/>
      <c r="E3100" s="11"/>
      <c r="H3100" s="443"/>
      <c r="I3100" s="17"/>
      <c r="J3100" s="18"/>
    </row>
    <row r="3101" spans="1:10" ht="13.5" thickBot="1">
      <c r="A3101" s="27"/>
      <c r="B3101" s="110"/>
      <c r="C3101" s="456" t="s">
        <v>1789</v>
      </c>
      <c r="D3101" s="11" t="s">
        <v>786</v>
      </c>
      <c r="E3101" s="11"/>
      <c r="H3101" s="443"/>
      <c r="I3101" s="17"/>
      <c r="J3101" s="18"/>
    </row>
    <row r="3102" spans="1:10" ht="13.5" thickBot="1">
      <c r="A3102" s="27"/>
      <c r="B3102" s="110"/>
      <c r="D3102" s="401" t="s">
        <v>40</v>
      </c>
      <c r="E3102" s="402" t="s">
        <v>41</v>
      </c>
      <c r="F3102" s="402" t="s">
        <v>42</v>
      </c>
      <c r="G3102" s="403" t="s">
        <v>43</v>
      </c>
      <c r="H3102" s="404" t="s">
        <v>44</v>
      </c>
      <c r="I3102" s="402" t="s">
        <v>474</v>
      </c>
      <c r="J3102" s="405" t="s">
        <v>475</v>
      </c>
    </row>
    <row r="3103" spans="1:10" ht="13">
      <c r="A3103" s="27"/>
      <c r="B3103" s="110"/>
      <c r="D3103" s="406" t="s">
        <v>45</v>
      </c>
      <c r="E3103" s="13" t="s">
        <v>46</v>
      </c>
      <c r="F3103" s="14"/>
      <c r="G3103" s="15"/>
      <c r="H3103" s="451"/>
      <c r="I3103" s="412"/>
      <c r="J3103" s="16"/>
    </row>
    <row r="3104" spans="1:10" ht="13">
      <c r="A3104" s="27"/>
      <c r="B3104" s="110"/>
      <c r="D3104" s="409"/>
      <c r="E3104" s="13" t="s">
        <v>47</v>
      </c>
      <c r="F3104" s="13" t="s">
        <v>1918</v>
      </c>
      <c r="G3104" s="410" t="s">
        <v>48</v>
      </c>
      <c r="H3104" s="505">
        <v>0.67</v>
      </c>
      <c r="I3104" s="412">
        <f>IF(AND(E3104&lt;&gt;"",G3104&lt;&gt;""),IF(D3104="",IF(G3104="OH",VLOOKUP(F3104,UPAH!$B$4:$H$101,7,0),VLOOKUP(F3104,#REF!,4,0)),0),0)</f>
        <v>0</v>
      </c>
      <c r="J3104" s="16">
        <f>H3104*I3104</f>
        <v>0</v>
      </c>
    </row>
    <row r="3105" spans="1:10" ht="13">
      <c r="A3105" s="27"/>
      <c r="B3105" s="110"/>
      <c r="D3105" s="409"/>
      <c r="E3105" s="13" t="s">
        <v>115</v>
      </c>
      <c r="F3105" s="13" t="s">
        <v>1921</v>
      </c>
      <c r="G3105" s="410" t="s">
        <v>48</v>
      </c>
      <c r="H3105" s="505">
        <v>1.3</v>
      </c>
      <c r="I3105" s="412">
        <f>IF(AND(E3105&lt;&gt;"",G3105&lt;&gt;""),IF(D3105="",IF(G3105="OH",VLOOKUP(F3105,UPAH!$B$4:$H$101,7,0),VLOOKUP(F3105,#REF!,4,0)),0),0)</f>
        <v>0</v>
      </c>
      <c r="J3105" s="16">
        <f>H3105*I3105</f>
        <v>0</v>
      </c>
    </row>
    <row r="3106" spans="1:10" ht="13">
      <c r="A3106" s="27"/>
      <c r="B3106" s="110"/>
      <c r="D3106" s="409"/>
      <c r="E3106" s="13" t="s">
        <v>97</v>
      </c>
      <c r="F3106" s="13" t="s">
        <v>1928</v>
      </c>
      <c r="G3106" s="410" t="s">
        <v>48</v>
      </c>
      <c r="H3106" s="505">
        <v>0.13</v>
      </c>
      <c r="I3106" s="412">
        <f>IF(AND(E3106&lt;&gt;"",G3106&lt;&gt;""),IF(D3106="",IF(G3106="OH",VLOOKUP(F3106,UPAH!$B$4:$H$101,7,0),VLOOKUP(F3106,#REF!,4,0)),0),0)</f>
        <v>0</v>
      </c>
      <c r="J3106" s="16">
        <f>H3106*I3106</f>
        <v>0</v>
      </c>
    </row>
    <row r="3107" spans="1:10" ht="13.5" thickBot="1">
      <c r="A3107" s="27"/>
      <c r="B3107" s="110"/>
      <c r="D3107" s="413"/>
      <c r="E3107" s="414" t="s">
        <v>51</v>
      </c>
      <c r="F3107" s="414" t="s">
        <v>1929</v>
      </c>
      <c r="G3107" s="415" t="s">
        <v>48</v>
      </c>
      <c r="H3107" s="506">
        <v>3.0000000000000001E-3</v>
      </c>
      <c r="I3107" s="412">
        <f>IF(AND(E3107&lt;&gt;"",G3107&lt;&gt;""),IF(D3107="",IF(G3107="OH",VLOOKUP(F3107,UPAH!$B$4:$H$101,7,0),VLOOKUP(F3107,#REF!,4,0)),0),0)</f>
        <v>0</v>
      </c>
      <c r="J3107" s="430">
        <f>H3107*I3107</f>
        <v>0</v>
      </c>
    </row>
    <row r="3108" spans="1:10" ht="13.5" thickBot="1">
      <c r="A3108" s="27"/>
      <c r="B3108" s="110"/>
      <c r="D3108" s="417"/>
      <c r="E3108" s="418"/>
      <c r="F3108" s="418"/>
      <c r="G3108" s="419"/>
      <c r="H3108" s="420" t="s">
        <v>52</v>
      </c>
      <c r="I3108" s="421"/>
      <c r="J3108" s="396">
        <f>SUM(J3104:J3107)</f>
        <v>0</v>
      </c>
    </row>
    <row r="3109" spans="1:10" ht="13">
      <c r="A3109" s="27"/>
      <c r="B3109" s="110"/>
      <c r="D3109" s="444" t="s">
        <v>53</v>
      </c>
      <c r="E3109" s="445" t="s">
        <v>54</v>
      </c>
      <c r="F3109" s="446"/>
      <c r="G3109" s="447"/>
      <c r="H3109" s="448"/>
      <c r="I3109" s="449"/>
      <c r="J3109" s="450"/>
    </row>
    <row r="3110" spans="1:10" ht="13">
      <c r="A3110" s="27"/>
      <c r="B3110" s="110"/>
      <c r="D3110" s="409"/>
      <c r="E3110" s="8" t="s">
        <v>165</v>
      </c>
      <c r="F3110" s="14"/>
      <c r="G3110" s="410" t="s">
        <v>259</v>
      </c>
      <c r="H3110" s="469">
        <v>8.4</v>
      </c>
      <c r="I3110" s="412">
        <f>'BAHAN '!G979</f>
        <v>0</v>
      </c>
      <c r="J3110" s="16">
        <f>H3110*I3110</f>
        <v>0</v>
      </c>
    </row>
    <row r="3111" spans="1:10" ht="13.5" thickBot="1">
      <c r="A3111" s="27"/>
      <c r="B3111" s="110"/>
      <c r="D3111" s="459"/>
      <c r="E3111" s="502" t="s">
        <v>166</v>
      </c>
      <c r="F3111" s="461"/>
      <c r="G3111" s="462" t="s">
        <v>57</v>
      </c>
      <c r="H3111" s="507">
        <v>0.47299999999999998</v>
      </c>
      <c r="I3111" s="464">
        <f>'BAHAN '!G982</f>
        <v>0</v>
      </c>
      <c r="J3111" s="465">
        <f>H3111*I3111</f>
        <v>0</v>
      </c>
    </row>
    <row r="3112" spans="1:10" ht="13.5" thickBot="1">
      <c r="A3112" s="27"/>
      <c r="B3112" s="110"/>
      <c r="D3112" s="503"/>
      <c r="E3112" s="480"/>
      <c r="F3112" s="480"/>
      <c r="G3112" s="481"/>
      <c r="H3112" s="504" t="s">
        <v>64</v>
      </c>
      <c r="I3112" s="483"/>
      <c r="J3112" s="484">
        <f>SUM(J3110:J3111)</f>
        <v>0</v>
      </c>
    </row>
    <row r="3113" spans="1:10" ht="13">
      <c r="A3113" s="27"/>
      <c r="B3113" s="110"/>
      <c r="D3113" s="406" t="s">
        <v>65</v>
      </c>
      <c r="E3113" s="13" t="s">
        <v>66</v>
      </c>
      <c r="F3113" s="14"/>
      <c r="G3113" s="15"/>
      <c r="H3113" s="451"/>
      <c r="I3113" s="412"/>
      <c r="J3113" s="16"/>
    </row>
    <row r="3114" spans="1:10" ht="13.5" thickBot="1">
      <c r="A3114" s="27"/>
      <c r="B3114" s="110"/>
      <c r="D3114" s="431"/>
      <c r="E3114" s="432" t="s">
        <v>787</v>
      </c>
      <c r="F3114" s="433"/>
      <c r="G3114" s="434" t="s">
        <v>158</v>
      </c>
      <c r="H3114" s="435">
        <v>0.1</v>
      </c>
      <c r="I3114" s="412">
        <f>J3112</f>
        <v>0</v>
      </c>
      <c r="J3114" s="437">
        <f>H3114*I3114</f>
        <v>0</v>
      </c>
    </row>
    <row r="3115" spans="1:10" ht="13.5" thickBot="1">
      <c r="A3115" s="27"/>
      <c r="B3115" s="110"/>
      <c r="D3115" s="417"/>
      <c r="E3115" s="418"/>
      <c r="F3115" s="418"/>
      <c r="G3115" s="419"/>
      <c r="H3115" s="420" t="s">
        <v>67</v>
      </c>
      <c r="I3115" s="421"/>
      <c r="J3115" s="396">
        <f>J3113</f>
        <v>0</v>
      </c>
    </row>
    <row r="3116" spans="1:10" ht="13">
      <c r="A3116" s="27"/>
      <c r="B3116" s="110"/>
      <c r="D3116" s="444" t="s">
        <v>68</v>
      </c>
      <c r="E3116" s="445" t="s">
        <v>69</v>
      </c>
      <c r="F3116" s="446"/>
      <c r="G3116" s="447"/>
      <c r="H3116" s="448"/>
      <c r="I3116" s="449">
        <f>IF(AND(E3116&lt;&gt;"",G3116&lt;&gt;""),IF(D3116="",IF(G3116="OH",VLOOKUP(E3116,UPAH!$C$4:$H$31,7,0),VLOOKUP(E3116,#REF!,4,0)),0),0)</f>
        <v>0</v>
      </c>
      <c r="J3116" s="16">
        <f>SUM(J3104:J3115)/2</f>
        <v>0</v>
      </c>
    </row>
    <row r="3117" spans="1:10" ht="13.5" thickBot="1">
      <c r="A3117" s="27"/>
      <c r="B3117" s="110"/>
      <c r="D3117" s="431" t="s">
        <v>70</v>
      </c>
      <c r="E3117" s="432" t="s">
        <v>477</v>
      </c>
      <c r="F3117" s="433"/>
      <c r="G3117" s="434"/>
      <c r="H3117" s="22">
        <v>0.1</v>
      </c>
      <c r="I3117" s="436"/>
      <c r="J3117" s="430">
        <f>H3117*J3116</f>
        <v>0</v>
      </c>
    </row>
    <row r="3118" spans="1:10" ht="13.5" thickBot="1">
      <c r="A3118" s="27"/>
      <c r="B3118" s="110"/>
      <c r="D3118" s="401" t="s">
        <v>71</v>
      </c>
      <c r="E3118" s="402" t="s">
        <v>72</v>
      </c>
      <c r="F3118" s="418"/>
      <c r="G3118" s="419"/>
      <c r="H3118" s="442"/>
      <c r="I3118" s="421">
        <f>IF(AND(E3118&lt;&gt;"",G3118&lt;&gt;""),IF(D3118="",IF(G3118="OH",VLOOKUP(E3118,UPAH!$C$4:$H$31,7,0),VLOOKUP(E3118,#REF!,4,0)),0),0)</f>
        <v>0</v>
      </c>
      <c r="J3118" s="396">
        <f>ROUNDDOWN(J3116+J3117,0)</f>
        <v>0</v>
      </c>
    </row>
    <row r="3119" spans="1:10" ht="13">
      <c r="A3119" s="27"/>
      <c r="B3119" s="110"/>
      <c r="D3119" s="11"/>
      <c r="E3119" s="11"/>
      <c r="H3119" s="443"/>
      <c r="I3119" s="17"/>
      <c r="J3119" s="18"/>
    </row>
    <row r="3120" spans="1:10" ht="13.5" thickBot="1">
      <c r="A3120" s="27"/>
      <c r="B3120" s="110"/>
      <c r="C3120" s="456" t="s">
        <v>1790</v>
      </c>
      <c r="D3120" s="11" t="s">
        <v>788</v>
      </c>
      <c r="E3120" s="11"/>
      <c r="H3120" s="443"/>
      <c r="I3120" s="17"/>
      <c r="J3120" s="18"/>
    </row>
    <row r="3121" spans="1:10" ht="13.5" thickBot="1">
      <c r="A3121" s="27"/>
      <c r="B3121" s="110"/>
      <c r="D3121" s="401" t="s">
        <v>40</v>
      </c>
      <c r="E3121" s="402" t="s">
        <v>41</v>
      </c>
      <c r="F3121" s="402" t="s">
        <v>42</v>
      </c>
      <c r="G3121" s="403" t="s">
        <v>43</v>
      </c>
      <c r="H3121" s="404" t="s">
        <v>44</v>
      </c>
      <c r="I3121" s="402" t="s">
        <v>474</v>
      </c>
      <c r="J3121" s="405" t="s">
        <v>475</v>
      </c>
    </row>
    <row r="3122" spans="1:10" ht="13">
      <c r="A3122" s="27"/>
      <c r="B3122" s="110"/>
      <c r="D3122" s="406" t="s">
        <v>45</v>
      </c>
      <c r="E3122" s="13" t="s">
        <v>46</v>
      </c>
      <c r="F3122" s="14"/>
      <c r="G3122" s="15"/>
      <c r="H3122" s="451"/>
      <c r="I3122" s="412"/>
      <c r="J3122" s="16"/>
    </row>
    <row r="3123" spans="1:10" ht="13">
      <c r="A3123" s="27"/>
      <c r="B3123" s="110"/>
      <c r="D3123" s="409"/>
      <c r="E3123" s="13" t="s">
        <v>47</v>
      </c>
      <c r="F3123" s="13" t="s">
        <v>1918</v>
      </c>
      <c r="G3123" s="410" t="s">
        <v>48</v>
      </c>
      <c r="H3123" s="508">
        <v>0.16800000000000001</v>
      </c>
      <c r="I3123" s="412">
        <f>IF(AND(E3123&lt;&gt;"",G3123&lt;&gt;""),IF(D3123="",IF(G3123="OH",VLOOKUP(F3123,UPAH!$B$4:$H$101,7,0),VLOOKUP(F3123,#REF!,4,0)),0),0)</f>
        <v>0</v>
      </c>
      <c r="J3123" s="16">
        <f>H3123*I3123</f>
        <v>0</v>
      </c>
    </row>
    <row r="3124" spans="1:10" ht="13">
      <c r="A3124" s="27"/>
      <c r="B3124" s="110"/>
      <c r="D3124" s="409"/>
      <c r="E3124" s="13" t="s">
        <v>115</v>
      </c>
      <c r="F3124" s="13" t="s">
        <v>1921</v>
      </c>
      <c r="G3124" s="410" t="s">
        <v>48</v>
      </c>
      <c r="H3124" s="508">
        <v>8.3000000000000004E-2</v>
      </c>
      <c r="I3124" s="412">
        <f>IF(AND(E3124&lt;&gt;"",G3124&lt;&gt;""),IF(D3124="",IF(G3124="OH",VLOOKUP(F3124,UPAH!$B$4:$H$101,7,0),VLOOKUP(F3124,#REF!,4,0)),0),0)</f>
        <v>0</v>
      </c>
      <c r="J3124" s="16">
        <f>H3124*I3124</f>
        <v>0</v>
      </c>
    </row>
    <row r="3125" spans="1:10" ht="13">
      <c r="A3125" s="27"/>
      <c r="B3125" s="110"/>
      <c r="D3125" s="409"/>
      <c r="E3125" s="13" t="s">
        <v>97</v>
      </c>
      <c r="F3125" s="13" t="s">
        <v>1928</v>
      </c>
      <c r="G3125" s="410" t="s">
        <v>48</v>
      </c>
      <c r="H3125" s="508">
        <v>8.0000000000000002E-3</v>
      </c>
      <c r="I3125" s="412">
        <f>IF(AND(E3125&lt;&gt;"",G3125&lt;&gt;""),IF(D3125="",IF(G3125="OH",VLOOKUP(F3125,UPAH!$B$4:$H$101,7,0),VLOOKUP(F3125,#REF!,4,0)),0),0)</f>
        <v>0</v>
      </c>
      <c r="J3125" s="16">
        <f>H3125*I3125</f>
        <v>0</v>
      </c>
    </row>
    <row r="3126" spans="1:10" ht="13.5" thickBot="1">
      <c r="A3126" s="27"/>
      <c r="B3126" s="110"/>
      <c r="D3126" s="413"/>
      <c r="E3126" s="414" t="s">
        <v>51</v>
      </c>
      <c r="F3126" s="414" t="s">
        <v>1929</v>
      </c>
      <c r="G3126" s="415" t="s">
        <v>48</v>
      </c>
      <c r="H3126" s="509">
        <v>2.8E-3</v>
      </c>
      <c r="I3126" s="412">
        <f>IF(AND(E3126&lt;&gt;"",G3126&lt;&gt;""),IF(D3126="",IF(G3126="OH",VLOOKUP(F3126,UPAH!$B$4:$H$101,7,0),VLOOKUP(F3126,#REF!,4,0)),0),0)</f>
        <v>0</v>
      </c>
      <c r="J3126" s="430">
        <f>H3126*I3126</f>
        <v>0</v>
      </c>
    </row>
    <row r="3127" spans="1:10" ht="13.5" thickBot="1">
      <c r="A3127" s="27"/>
      <c r="B3127" s="110"/>
      <c r="D3127" s="417"/>
      <c r="E3127" s="418"/>
      <c r="F3127" s="418"/>
      <c r="G3127" s="419"/>
      <c r="H3127" s="420" t="s">
        <v>52</v>
      </c>
      <c r="I3127" s="421"/>
      <c r="J3127" s="396">
        <f>SUM(J3123:J3126)</f>
        <v>0</v>
      </c>
    </row>
    <row r="3128" spans="1:10" ht="13">
      <c r="A3128" s="27"/>
      <c r="B3128" s="110"/>
      <c r="D3128" s="444" t="s">
        <v>53</v>
      </c>
      <c r="E3128" s="445" t="s">
        <v>54</v>
      </c>
      <c r="F3128" s="446"/>
      <c r="G3128" s="447"/>
      <c r="H3128" s="448"/>
      <c r="I3128" s="449"/>
      <c r="J3128" s="450"/>
    </row>
    <row r="3129" spans="1:10" ht="13">
      <c r="A3129" s="27"/>
      <c r="B3129" s="110"/>
      <c r="D3129" s="409"/>
      <c r="E3129" s="8" t="s">
        <v>3199</v>
      </c>
      <c r="F3129" s="14"/>
      <c r="G3129" s="410" t="s">
        <v>259</v>
      </c>
      <c r="H3129" s="510">
        <v>8.75</v>
      </c>
      <c r="I3129" s="412">
        <f>'BAHAN '!G981</f>
        <v>0</v>
      </c>
      <c r="J3129" s="16">
        <f>H3129*I3129</f>
        <v>0</v>
      </c>
    </row>
    <row r="3130" spans="1:10" ht="13.5" thickBot="1">
      <c r="A3130" s="27"/>
      <c r="B3130" s="110"/>
      <c r="D3130" s="459"/>
      <c r="E3130" s="502" t="s">
        <v>166</v>
      </c>
      <c r="F3130" s="461"/>
      <c r="G3130" s="462" t="s">
        <v>57</v>
      </c>
      <c r="H3130" s="511">
        <v>3.4289999999999998</v>
      </c>
      <c r="I3130" s="464">
        <v>0</v>
      </c>
      <c r="J3130" s="465">
        <f>H3130*I3130</f>
        <v>0</v>
      </c>
    </row>
    <row r="3131" spans="1:10" ht="13.5" thickBot="1">
      <c r="A3131" s="27"/>
      <c r="B3131" s="110"/>
      <c r="D3131" s="503"/>
      <c r="E3131" s="480"/>
      <c r="F3131" s="480"/>
      <c r="G3131" s="481"/>
      <c r="H3131" s="504" t="s">
        <v>64</v>
      </c>
      <c r="I3131" s="483"/>
      <c r="J3131" s="484">
        <f>SUM(J3129:J3130)</f>
        <v>0</v>
      </c>
    </row>
    <row r="3132" spans="1:10" ht="13.5" thickBot="1">
      <c r="A3132" s="27"/>
      <c r="B3132" s="110"/>
      <c r="D3132" s="406" t="s">
        <v>65</v>
      </c>
      <c r="E3132" s="13" t="s">
        <v>66</v>
      </c>
      <c r="F3132" s="14"/>
      <c r="G3132" s="15"/>
      <c r="H3132" s="451"/>
      <c r="I3132" s="412"/>
      <c r="J3132" s="16"/>
    </row>
    <row r="3133" spans="1:10" ht="13.5" thickBot="1">
      <c r="A3133" s="27"/>
      <c r="B3133" s="110"/>
      <c r="D3133" s="417"/>
      <c r="E3133" s="418"/>
      <c r="F3133" s="418"/>
      <c r="G3133" s="419"/>
      <c r="H3133" s="420" t="s">
        <v>67</v>
      </c>
      <c r="I3133" s="421"/>
      <c r="J3133" s="396">
        <f>J3132</f>
        <v>0</v>
      </c>
    </row>
    <row r="3134" spans="1:10" ht="13">
      <c r="A3134" s="27"/>
      <c r="B3134" s="110"/>
      <c r="D3134" s="444" t="s">
        <v>68</v>
      </c>
      <c r="E3134" s="445" t="s">
        <v>69</v>
      </c>
      <c r="F3134" s="446"/>
      <c r="G3134" s="447"/>
      <c r="H3134" s="448"/>
      <c r="I3134" s="449">
        <f>IF(AND(E3134&lt;&gt;"",G3134&lt;&gt;""),IF(D3134="",IF(G3134="OH",VLOOKUP(E3134,UPAH!$C$4:$H$31,7,0),VLOOKUP(E3134,#REF!,4,0)),0),0)</f>
        <v>0</v>
      </c>
      <c r="J3134" s="16">
        <f>SUM(J3123:J3133)/2</f>
        <v>0</v>
      </c>
    </row>
    <row r="3135" spans="1:10" ht="13.5" thickBot="1">
      <c r="A3135" s="27"/>
      <c r="B3135" s="110"/>
      <c r="D3135" s="431" t="s">
        <v>70</v>
      </c>
      <c r="E3135" s="432" t="s">
        <v>477</v>
      </c>
      <c r="F3135" s="433"/>
      <c r="G3135" s="434"/>
      <c r="H3135" s="22">
        <v>0.1</v>
      </c>
      <c r="I3135" s="436"/>
      <c r="J3135" s="430">
        <f>H3135*J3134</f>
        <v>0</v>
      </c>
    </row>
    <row r="3136" spans="1:10" ht="13.5" thickBot="1">
      <c r="A3136" s="27"/>
      <c r="B3136" s="110"/>
      <c r="D3136" s="401" t="s">
        <v>71</v>
      </c>
      <c r="E3136" s="402" t="s">
        <v>72</v>
      </c>
      <c r="F3136" s="418"/>
      <c r="G3136" s="419"/>
      <c r="H3136" s="442"/>
      <c r="I3136" s="421">
        <f>IF(AND(E3136&lt;&gt;"",G3136&lt;&gt;""),IF(D3136="",IF(G3136="OH",VLOOKUP(E3136,UPAH!$C$4:$H$31,7,0),VLOOKUP(E3136,#REF!,4,0)),0),0)</f>
        <v>0</v>
      </c>
      <c r="J3136" s="396">
        <f>ROUNDDOWN(J3134+J3135,0)</f>
        <v>0</v>
      </c>
    </row>
    <row r="3137" spans="1:10" ht="13">
      <c r="A3137" s="27"/>
      <c r="B3137" s="110"/>
      <c r="D3137" s="11"/>
      <c r="E3137" s="11"/>
      <c r="H3137" s="443"/>
      <c r="I3137" s="17"/>
      <c r="J3137" s="18"/>
    </row>
    <row r="3138" spans="1:10" ht="13">
      <c r="A3138" s="27"/>
      <c r="B3138" s="110"/>
      <c r="D3138" s="11"/>
      <c r="E3138" s="11"/>
      <c r="H3138" s="443"/>
    </row>
    <row r="3139" spans="1:10" s="27" customFormat="1" ht="13">
      <c r="B3139" s="110"/>
      <c r="C3139" s="452" t="s">
        <v>499</v>
      </c>
      <c r="G3139" s="399"/>
      <c r="H3139" s="453"/>
    </row>
    <row r="3140" spans="1:10" ht="13.5" thickBot="1">
      <c r="A3140" s="27"/>
      <c r="B3140" s="110"/>
      <c r="C3140" s="11" t="s">
        <v>789</v>
      </c>
      <c r="D3140" s="10" t="s">
        <v>790</v>
      </c>
      <c r="H3140" s="443"/>
    </row>
    <row r="3141" spans="1:10" ht="13.5" thickBot="1">
      <c r="A3141" s="27"/>
      <c r="B3141" s="110"/>
      <c r="D3141" s="401" t="s">
        <v>40</v>
      </c>
      <c r="E3141" s="402" t="s">
        <v>41</v>
      </c>
      <c r="F3141" s="402" t="s">
        <v>42</v>
      </c>
      <c r="G3141" s="403" t="s">
        <v>43</v>
      </c>
      <c r="H3141" s="404" t="s">
        <v>44</v>
      </c>
      <c r="I3141" s="402" t="s">
        <v>474</v>
      </c>
      <c r="J3141" s="405" t="s">
        <v>475</v>
      </c>
    </row>
    <row r="3142" spans="1:10" ht="13">
      <c r="A3142" s="27"/>
      <c r="B3142" s="110"/>
      <c r="D3142" s="406" t="s">
        <v>45</v>
      </c>
      <c r="E3142" s="13" t="s">
        <v>46</v>
      </c>
      <c r="F3142" s="14"/>
      <c r="G3142" s="15"/>
      <c r="H3142" s="451"/>
      <c r="I3142" s="412"/>
      <c r="J3142" s="16"/>
    </row>
    <row r="3143" spans="1:10" ht="13">
      <c r="A3143" s="27"/>
      <c r="B3143" s="110"/>
      <c r="D3143" s="409"/>
      <c r="E3143" s="13" t="s">
        <v>47</v>
      </c>
      <c r="F3143" s="13" t="s">
        <v>1918</v>
      </c>
      <c r="G3143" s="410" t="s">
        <v>48</v>
      </c>
      <c r="H3143" s="411">
        <v>0.3</v>
      </c>
      <c r="I3143" s="412">
        <f>IF(AND(E3143&lt;&gt;"",G3143&lt;&gt;""),IF(D3143="",IF(G3143="OH",VLOOKUP(F3143,UPAH!$B$4:$H$101,7,0),VLOOKUP(F3143,#REF!,4,0)),0),0)</f>
        <v>0</v>
      </c>
      <c r="J3143" s="16">
        <f>H3143*I3143</f>
        <v>0</v>
      </c>
    </row>
    <row r="3144" spans="1:10" ht="13">
      <c r="A3144" s="27"/>
      <c r="B3144" s="110"/>
      <c r="D3144" s="409"/>
      <c r="E3144" s="13" t="s">
        <v>115</v>
      </c>
      <c r="F3144" s="13" t="s">
        <v>1921</v>
      </c>
      <c r="G3144" s="410" t="s">
        <v>48</v>
      </c>
      <c r="H3144" s="411">
        <v>0.15</v>
      </c>
      <c r="I3144" s="412">
        <f>IF(AND(E3144&lt;&gt;"",G3144&lt;&gt;""),IF(D3144="",IF(G3144="OH",VLOOKUP(F3144,UPAH!$B$4:$H$101,7,0),VLOOKUP(F3144,#REF!,4,0)),0),0)</f>
        <v>0</v>
      </c>
      <c r="J3144" s="16">
        <f>H3144*I3144</f>
        <v>0</v>
      </c>
    </row>
    <row r="3145" spans="1:10" ht="13">
      <c r="A3145" s="27"/>
      <c r="B3145" s="110"/>
      <c r="D3145" s="409"/>
      <c r="E3145" s="13" t="s">
        <v>97</v>
      </c>
      <c r="F3145" s="13" t="s">
        <v>1928</v>
      </c>
      <c r="G3145" s="410" t="s">
        <v>48</v>
      </c>
      <c r="H3145" s="411">
        <v>1.4999999999999999E-2</v>
      </c>
      <c r="I3145" s="412">
        <f>IF(AND(E3145&lt;&gt;"",G3145&lt;&gt;""),IF(D3145="",IF(G3145="OH",VLOOKUP(F3145,UPAH!$B$4:$H$101,7,0),VLOOKUP(F3145,#REF!,4,0)),0),0)</f>
        <v>0</v>
      </c>
      <c r="J3145" s="16">
        <f>H3145*I3145</f>
        <v>0</v>
      </c>
    </row>
    <row r="3146" spans="1:10" ht="13.5" thickBot="1">
      <c r="A3146" s="27"/>
      <c r="B3146" s="110"/>
      <c r="D3146" s="409"/>
      <c r="E3146" s="13" t="s">
        <v>51</v>
      </c>
      <c r="F3146" s="13" t="s">
        <v>1929</v>
      </c>
      <c r="G3146" s="410" t="s">
        <v>48</v>
      </c>
      <c r="H3146" s="411">
        <v>1.4999999999999999E-2</v>
      </c>
      <c r="I3146" s="412">
        <f>IF(AND(E3146&lt;&gt;"",G3146&lt;&gt;""),IF(D3146="",IF(G3146="OH",VLOOKUP(F3146,UPAH!$B$4:$H$101,7,0),VLOOKUP(F3146,#REF!,4,0)),0),0)</f>
        <v>0</v>
      </c>
      <c r="J3146" s="16">
        <f>H3146*I3146</f>
        <v>0</v>
      </c>
    </row>
    <row r="3147" spans="1:10" ht="13.5" thickBot="1">
      <c r="A3147" s="27"/>
      <c r="B3147" s="110"/>
      <c r="D3147" s="417"/>
      <c r="E3147" s="418"/>
      <c r="F3147" s="418"/>
      <c r="G3147" s="419"/>
      <c r="H3147" s="420" t="s">
        <v>52</v>
      </c>
      <c r="I3147" s="421"/>
      <c r="J3147" s="396">
        <f>SUM(J3143:J3146)</f>
        <v>0</v>
      </c>
    </row>
    <row r="3148" spans="1:10" ht="13">
      <c r="A3148" s="27"/>
      <c r="B3148" s="110"/>
      <c r="D3148" s="406" t="s">
        <v>53</v>
      </c>
      <c r="E3148" s="13" t="s">
        <v>54</v>
      </c>
      <c r="F3148" s="14"/>
      <c r="G3148" s="15"/>
      <c r="H3148" s="451"/>
      <c r="I3148" s="412"/>
      <c r="J3148" s="16"/>
    </row>
    <row r="3149" spans="1:10" ht="13">
      <c r="A3149" s="27"/>
      <c r="B3149" s="110"/>
      <c r="D3149" s="409"/>
      <c r="E3149" s="13" t="s">
        <v>56</v>
      </c>
      <c r="F3149" s="14"/>
      <c r="G3149" s="410" t="s">
        <v>57</v>
      </c>
      <c r="H3149" s="411">
        <v>15.504</v>
      </c>
      <c r="I3149" s="412">
        <f>'BAHAN '!G72</f>
        <v>0</v>
      </c>
      <c r="J3149" s="16">
        <f>H3149*I3149</f>
        <v>0</v>
      </c>
    </row>
    <row r="3150" spans="1:10" ht="13.5" thickBot="1">
      <c r="A3150" s="27"/>
      <c r="B3150" s="110"/>
      <c r="D3150" s="409"/>
      <c r="E3150" s="13" t="s">
        <v>101</v>
      </c>
      <c r="F3150" s="14"/>
      <c r="G3150" s="410" t="s">
        <v>375</v>
      </c>
      <c r="H3150" s="411">
        <v>1.6E-2</v>
      </c>
      <c r="I3150" s="412">
        <f>'BAHAN '!G59</f>
        <v>0</v>
      </c>
      <c r="J3150" s="16">
        <f>H3150*I3150</f>
        <v>0</v>
      </c>
    </row>
    <row r="3151" spans="1:10" ht="13.5" thickBot="1">
      <c r="A3151" s="27"/>
      <c r="B3151" s="110"/>
      <c r="D3151" s="417"/>
      <c r="E3151" s="418"/>
      <c r="F3151" s="418"/>
      <c r="G3151" s="419"/>
      <c r="H3151" s="420" t="s">
        <v>64</v>
      </c>
      <c r="I3151" s="421"/>
      <c r="J3151" s="396">
        <f>SUM(J3149:J3150)</f>
        <v>0</v>
      </c>
    </row>
    <row r="3152" spans="1:10" ht="13.5" thickBot="1">
      <c r="A3152" s="27"/>
      <c r="B3152" s="110"/>
      <c r="D3152" s="406" t="s">
        <v>65</v>
      </c>
      <c r="E3152" s="13" t="s">
        <v>66</v>
      </c>
      <c r="F3152" s="14"/>
      <c r="G3152" s="15"/>
      <c r="H3152" s="451"/>
      <c r="I3152" s="412">
        <f>IF(AND(E3152&lt;&gt;"",G3152&lt;&gt;""),IF(D3152="",IF(G3152="OH",VLOOKUP(E3152,UPAH!$C$4:$H$31,7,0),VLOOKUP(E3152,#REF!,4,0)),0),0)</f>
        <v>0</v>
      </c>
      <c r="J3152" s="16">
        <f>H3152*I3152</f>
        <v>0</v>
      </c>
    </row>
    <row r="3153" spans="1:10" ht="13.5" thickBot="1">
      <c r="A3153" s="27"/>
      <c r="B3153" s="110"/>
      <c r="D3153" s="417"/>
      <c r="E3153" s="418"/>
      <c r="F3153" s="418"/>
      <c r="G3153" s="419"/>
      <c r="H3153" s="420" t="s">
        <v>67</v>
      </c>
      <c r="I3153" s="421"/>
      <c r="J3153" s="396">
        <f>J3152</f>
        <v>0</v>
      </c>
    </row>
    <row r="3154" spans="1:10" ht="13">
      <c r="A3154" s="27"/>
      <c r="B3154" s="110"/>
      <c r="D3154" s="444" t="s">
        <v>68</v>
      </c>
      <c r="E3154" s="445" t="s">
        <v>69</v>
      </c>
      <c r="F3154" s="446"/>
      <c r="G3154" s="447"/>
      <c r="H3154" s="448"/>
      <c r="I3154" s="449">
        <f>IF(AND(E3154&lt;&gt;"",G3154&lt;&gt;""),IF(D3154="",IF(G3154="OH",VLOOKUP(E3154,UPAH!$C$4:$H$31,7,0),VLOOKUP(E3154,#REF!,4,0)),0),0)</f>
        <v>0</v>
      </c>
      <c r="J3154" s="16">
        <f>SUM(J3143:J3153)/2</f>
        <v>0</v>
      </c>
    </row>
    <row r="3155" spans="1:10" ht="13.5" thickBot="1">
      <c r="A3155" s="27"/>
      <c r="B3155" s="110"/>
      <c r="D3155" s="431" t="s">
        <v>70</v>
      </c>
      <c r="E3155" s="432" t="s">
        <v>477</v>
      </c>
      <c r="F3155" s="433"/>
      <c r="G3155" s="434"/>
      <c r="H3155" s="22">
        <v>0.1</v>
      </c>
      <c r="I3155" s="436"/>
      <c r="J3155" s="430">
        <f>H3155*J3154</f>
        <v>0</v>
      </c>
    </row>
    <row r="3156" spans="1:10" ht="13.5" thickBot="1">
      <c r="A3156" s="27"/>
      <c r="B3156" s="110"/>
      <c r="D3156" s="401" t="s">
        <v>71</v>
      </c>
      <c r="E3156" s="402" t="s">
        <v>72</v>
      </c>
      <c r="F3156" s="418"/>
      <c r="G3156" s="419"/>
      <c r="H3156" s="442"/>
      <c r="I3156" s="421">
        <f>IF(AND(E3156&lt;&gt;"",G3156&lt;&gt;""),IF(D3156="",IF(G3156="OH",VLOOKUP(E3156,UPAH!$C$4:$H$31,7,0),VLOOKUP(E3156,#REF!,4,0)),0),0)</f>
        <v>0</v>
      </c>
      <c r="J3156" s="396">
        <f>ROUNDDOWN(J3154+J3155,0)</f>
        <v>0</v>
      </c>
    </row>
    <row r="3157" spans="1:10" ht="13">
      <c r="A3157" s="27"/>
      <c r="B3157" s="110"/>
      <c r="D3157" s="11"/>
      <c r="E3157" s="11"/>
      <c r="H3157" s="443"/>
    </row>
    <row r="3158" spans="1:10" ht="13.5" thickBot="1">
      <c r="A3158" s="27"/>
      <c r="B3158" s="110"/>
      <c r="C3158" s="11" t="s">
        <v>791</v>
      </c>
      <c r="D3158" s="10" t="s">
        <v>792</v>
      </c>
      <c r="H3158" s="443"/>
    </row>
    <row r="3159" spans="1:10" ht="13.5" thickBot="1">
      <c r="A3159" s="27"/>
      <c r="B3159" s="110"/>
      <c r="D3159" s="401" t="s">
        <v>40</v>
      </c>
      <c r="E3159" s="402" t="s">
        <v>41</v>
      </c>
      <c r="F3159" s="402" t="s">
        <v>42</v>
      </c>
      <c r="G3159" s="403" t="s">
        <v>43</v>
      </c>
      <c r="H3159" s="404" t="s">
        <v>44</v>
      </c>
      <c r="I3159" s="402" t="s">
        <v>474</v>
      </c>
      <c r="J3159" s="405" t="s">
        <v>475</v>
      </c>
    </row>
    <row r="3160" spans="1:10" ht="13">
      <c r="A3160" s="27"/>
      <c r="B3160" s="110"/>
      <c r="D3160" s="406" t="s">
        <v>45</v>
      </c>
      <c r="E3160" s="13" t="s">
        <v>46</v>
      </c>
      <c r="F3160" s="14"/>
      <c r="G3160" s="15"/>
      <c r="H3160" s="451"/>
      <c r="I3160" s="412"/>
      <c r="J3160" s="16"/>
    </row>
    <row r="3161" spans="1:10" ht="13">
      <c r="A3161" s="27"/>
      <c r="B3161" s="110"/>
      <c r="D3161" s="409"/>
      <c r="E3161" s="13" t="s">
        <v>47</v>
      </c>
      <c r="F3161" s="13" t="s">
        <v>1918</v>
      </c>
      <c r="G3161" s="410" t="s">
        <v>48</v>
      </c>
      <c r="H3161" s="411">
        <v>0.3</v>
      </c>
      <c r="I3161" s="412">
        <f>IF(AND(E3161&lt;&gt;"",G3161&lt;&gt;""),IF(D3161="",IF(G3161="OH",VLOOKUP(F3161,UPAH!$B$4:$H$101,7,0),VLOOKUP(F3161,#REF!,4,0)),0),0)</f>
        <v>0</v>
      </c>
      <c r="J3161" s="16">
        <f>H3161*I3161</f>
        <v>0</v>
      </c>
    </row>
    <row r="3162" spans="1:10" ht="13">
      <c r="A3162" s="27"/>
      <c r="B3162" s="110"/>
      <c r="D3162" s="409"/>
      <c r="E3162" s="13" t="s">
        <v>115</v>
      </c>
      <c r="F3162" s="13" t="s">
        <v>1921</v>
      </c>
      <c r="G3162" s="410" t="s">
        <v>48</v>
      </c>
      <c r="H3162" s="411">
        <v>0.15</v>
      </c>
      <c r="I3162" s="412">
        <f>IF(AND(E3162&lt;&gt;"",G3162&lt;&gt;""),IF(D3162="",IF(G3162="OH",VLOOKUP(F3162,UPAH!$B$4:$H$101,7,0),VLOOKUP(F3162,#REF!,4,0)),0),0)</f>
        <v>0</v>
      </c>
      <c r="J3162" s="16">
        <f>H3162*I3162</f>
        <v>0</v>
      </c>
    </row>
    <row r="3163" spans="1:10" ht="13">
      <c r="A3163" s="27"/>
      <c r="B3163" s="110"/>
      <c r="D3163" s="409"/>
      <c r="E3163" s="13" t="s">
        <v>97</v>
      </c>
      <c r="F3163" s="13" t="s">
        <v>1928</v>
      </c>
      <c r="G3163" s="410" t="s">
        <v>48</v>
      </c>
      <c r="H3163" s="411">
        <v>1.4999999999999999E-2</v>
      </c>
      <c r="I3163" s="412">
        <f>IF(AND(E3163&lt;&gt;"",G3163&lt;&gt;""),IF(D3163="",IF(G3163="OH",VLOOKUP(F3163,UPAH!$B$4:$H$101,7,0),VLOOKUP(F3163,#REF!,4,0)),0),0)</f>
        <v>0</v>
      </c>
      <c r="J3163" s="16">
        <f>H3163*I3163</f>
        <v>0</v>
      </c>
    </row>
    <row r="3164" spans="1:10" ht="13.5" thickBot="1">
      <c r="A3164" s="27"/>
      <c r="B3164" s="110"/>
      <c r="D3164" s="409"/>
      <c r="E3164" s="13" t="s">
        <v>51</v>
      </c>
      <c r="F3164" s="13" t="s">
        <v>1929</v>
      </c>
      <c r="G3164" s="410" t="s">
        <v>48</v>
      </c>
      <c r="H3164" s="411">
        <v>1.4999999999999999E-2</v>
      </c>
      <c r="I3164" s="412">
        <f>IF(AND(E3164&lt;&gt;"",G3164&lt;&gt;""),IF(D3164="",IF(G3164="OH",VLOOKUP(F3164,UPAH!$B$4:$H$101,7,0),VLOOKUP(F3164,#REF!,4,0)),0),0)</f>
        <v>0</v>
      </c>
      <c r="J3164" s="16">
        <f>H3164*I3164</f>
        <v>0</v>
      </c>
    </row>
    <row r="3165" spans="1:10" ht="13.5" thickBot="1">
      <c r="A3165" s="27"/>
      <c r="B3165" s="110"/>
      <c r="D3165" s="417"/>
      <c r="E3165" s="418"/>
      <c r="F3165" s="418"/>
      <c r="G3165" s="419"/>
      <c r="H3165" s="420" t="s">
        <v>52</v>
      </c>
      <c r="I3165" s="421"/>
      <c r="J3165" s="396">
        <f>SUM(J3161:J3164)</f>
        <v>0</v>
      </c>
    </row>
    <row r="3166" spans="1:10" ht="13">
      <c r="A3166" s="27"/>
      <c r="B3166" s="110"/>
      <c r="D3166" s="406" t="s">
        <v>53</v>
      </c>
      <c r="E3166" s="13" t="s">
        <v>54</v>
      </c>
      <c r="F3166" s="14"/>
      <c r="G3166" s="15"/>
      <c r="H3166" s="451"/>
      <c r="I3166" s="412"/>
      <c r="J3166" s="16"/>
    </row>
    <row r="3167" spans="1:10" ht="13">
      <c r="A3167" s="27"/>
      <c r="B3167" s="110"/>
      <c r="D3167" s="409"/>
      <c r="E3167" s="13" t="s">
        <v>56</v>
      </c>
      <c r="F3167" s="14"/>
      <c r="G3167" s="410" t="s">
        <v>57</v>
      </c>
      <c r="H3167" s="411">
        <v>10.224</v>
      </c>
      <c r="I3167" s="412">
        <f>'BAHAN '!G72</f>
        <v>0</v>
      </c>
      <c r="J3167" s="16">
        <f>H3167*I3167</f>
        <v>0</v>
      </c>
    </row>
    <row r="3168" spans="1:10" ht="13.5" thickBot="1">
      <c r="A3168" s="27"/>
      <c r="B3168" s="110"/>
      <c r="D3168" s="409"/>
      <c r="E3168" s="13" t="s">
        <v>101</v>
      </c>
      <c r="F3168" s="14"/>
      <c r="G3168" s="410" t="s">
        <v>375</v>
      </c>
      <c r="H3168" s="411">
        <v>0.02</v>
      </c>
      <c r="I3168" s="412">
        <f>'BAHAN '!G59</f>
        <v>0</v>
      </c>
      <c r="J3168" s="16">
        <f>H3168*I3168</f>
        <v>0</v>
      </c>
    </row>
    <row r="3169" spans="1:10" ht="13.5" thickBot="1">
      <c r="A3169" s="27"/>
      <c r="B3169" s="110"/>
      <c r="D3169" s="417"/>
      <c r="E3169" s="418"/>
      <c r="F3169" s="418"/>
      <c r="G3169" s="419"/>
      <c r="H3169" s="420" t="s">
        <v>64</v>
      </c>
      <c r="I3169" s="421"/>
      <c r="J3169" s="396">
        <f>SUM(J3167:J3168)</f>
        <v>0</v>
      </c>
    </row>
    <row r="3170" spans="1:10" ht="13.5" thickBot="1">
      <c r="A3170" s="27"/>
      <c r="B3170" s="110"/>
      <c r="D3170" s="406" t="s">
        <v>65</v>
      </c>
      <c r="E3170" s="13" t="s">
        <v>66</v>
      </c>
      <c r="F3170" s="14"/>
      <c r="G3170" s="15"/>
      <c r="H3170" s="451"/>
      <c r="I3170" s="412">
        <f>IF(AND(E3170&lt;&gt;"",G3170&lt;&gt;""),IF(D3170="",IF(G3170="OH",VLOOKUP(E3170,UPAH!$C$4:$H$31,7,0),VLOOKUP(E3170,#REF!,4,0)),0),0)</f>
        <v>0</v>
      </c>
      <c r="J3170" s="16">
        <f>H3170*I3170</f>
        <v>0</v>
      </c>
    </row>
    <row r="3171" spans="1:10" ht="13.5" thickBot="1">
      <c r="A3171" s="27"/>
      <c r="B3171" s="110"/>
      <c r="D3171" s="417"/>
      <c r="E3171" s="418"/>
      <c r="F3171" s="418"/>
      <c r="G3171" s="419"/>
      <c r="H3171" s="420" t="s">
        <v>67</v>
      </c>
      <c r="I3171" s="421"/>
      <c r="J3171" s="396">
        <f>J3170</f>
        <v>0</v>
      </c>
    </row>
    <row r="3172" spans="1:10" ht="13">
      <c r="A3172" s="27"/>
      <c r="B3172" s="110"/>
      <c r="D3172" s="444" t="s">
        <v>68</v>
      </c>
      <c r="E3172" s="445" t="s">
        <v>69</v>
      </c>
      <c r="F3172" s="446"/>
      <c r="G3172" s="447"/>
      <c r="H3172" s="448"/>
      <c r="I3172" s="449">
        <f>IF(AND(E3172&lt;&gt;"",G3172&lt;&gt;""),IF(D3172="",IF(G3172="OH",VLOOKUP(E3172,UPAH!$C$4:$H$31,7,0),VLOOKUP(E3172,#REF!,4,0)),0),0)</f>
        <v>0</v>
      </c>
      <c r="J3172" s="16">
        <f>SUM(J3161:J3171)/2</f>
        <v>0</v>
      </c>
    </row>
    <row r="3173" spans="1:10" ht="13.5" thickBot="1">
      <c r="A3173" s="27"/>
      <c r="B3173" s="110"/>
      <c r="D3173" s="431" t="s">
        <v>70</v>
      </c>
      <c r="E3173" s="432" t="s">
        <v>477</v>
      </c>
      <c r="F3173" s="433"/>
      <c r="G3173" s="434"/>
      <c r="H3173" s="22">
        <v>0.1</v>
      </c>
      <c r="I3173" s="436"/>
      <c r="J3173" s="430">
        <f>H3173*J3172</f>
        <v>0</v>
      </c>
    </row>
    <row r="3174" spans="1:10" ht="13.5" thickBot="1">
      <c r="A3174" s="27"/>
      <c r="B3174" s="110"/>
      <c r="D3174" s="401" t="s">
        <v>71</v>
      </c>
      <c r="E3174" s="402" t="s">
        <v>72</v>
      </c>
      <c r="F3174" s="418"/>
      <c r="G3174" s="419"/>
      <c r="H3174" s="442"/>
      <c r="I3174" s="421">
        <f>IF(AND(E3174&lt;&gt;"",G3174&lt;&gt;""),IF(D3174="",IF(G3174="OH",VLOOKUP(E3174,UPAH!$C$4:$H$31,7,0),VLOOKUP(E3174,#REF!,4,0)),0),0)</f>
        <v>0</v>
      </c>
      <c r="J3174" s="396">
        <f>ROUNDDOWN(J3172+J3173,0)</f>
        <v>0</v>
      </c>
    </row>
    <row r="3175" spans="1:10" ht="13">
      <c r="A3175" s="27"/>
      <c r="B3175" s="110"/>
      <c r="D3175" s="11"/>
      <c r="E3175" s="11"/>
      <c r="H3175" s="443"/>
    </row>
    <row r="3176" spans="1:10" ht="13.5" thickBot="1">
      <c r="A3176" s="27"/>
      <c r="B3176" s="110"/>
      <c r="C3176" s="11" t="s">
        <v>793</v>
      </c>
      <c r="D3176" s="10" t="s">
        <v>794</v>
      </c>
      <c r="H3176" s="443"/>
    </row>
    <row r="3177" spans="1:10" ht="13.5" thickBot="1">
      <c r="A3177" s="27"/>
      <c r="B3177" s="110"/>
      <c r="D3177" s="401" t="s">
        <v>40</v>
      </c>
      <c r="E3177" s="402" t="s">
        <v>41</v>
      </c>
      <c r="F3177" s="402" t="s">
        <v>42</v>
      </c>
      <c r="G3177" s="403" t="s">
        <v>43</v>
      </c>
      <c r="H3177" s="404" t="s">
        <v>44</v>
      </c>
      <c r="I3177" s="402" t="s">
        <v>474</v>
      </c>
      <c r="J3177" s="405" t="s">
        <v>475</v>
      </c>
    </row>
    <row r="3178" spans="1:10" ht="13">
      <c r="A3178" s="27"/>
      <c r="B3178" s="110"/>
      <c r="D3178" s="406" t="s">
        <v>45</v>
      </c>
      <c r="E3178" s="13" t="s">
        <v>46</v>
      </c>
      <c r="F3178" s="14"/>
      <c r="G3178" s="15"/>
      <c r="H3178" s="451"/>
      <c r="I3178" s="412"/>
      <c r="J3178" s="16"/>
    </row>
    <row r="3179" spans="1:10" ht="13">
      <c r="A3179" s="27"/>
      <c r="B3179" s="110"/>
      <c r="D3179" s="409"/>
      <c r="E3179" s="13" t="s">
        <v>47</v>
      </c>
      <c r="F3179" s="13" t="s">
        <v>1918</v>
      </c>
      <c r="G3179" s="410" t="s">
        <v>48</v>
      </c>
      <c r="H3179" s="411">
        <v>0.3</v>
      </c>
      <c r="I3179" s="412">
        <f>IF(AND(E3179&lt;&gt;"",G3179&lt;&gt;""),IF(D3179="",IF(G3179="OH",VLOOKUP(F3179,UPAH!$B$4:$H$101,7,0),VLOOKUP(F3179,#REF!,4,0)),0),0)</f>
        <v>0</v>
      </c>
      <c r="J3179" s="16">
        <f>H3179*I3179</f>
        <v>0</v>
      </c>
    </row>
    <row r="3180" spans="1:10" ht="13">
      <c r="A3180" s="27"/>
      <c r="B3180" s="110"/>
      <c r="D3180" s="409"/>
      <c r="E3180" s="13" t="s">
        <v>115</v>
      </c>
      <c r="F3180" s="13" t="s">
        <v>1921</v>
      </c>
      <c r="G3180" s="410" t="s">
        <v>48</v>
      </c>
      <c r="H3180" s="411">
        <v>0.15</v>
      </c>
      <c r="I3180" s="412">
        <f>IF(AND(E3180&lt;&gt;"",G3180&lt;&gt;""),IF(D3180="",IF(G3180="OH",VLOOKUP(F3180,UPAH!$B$4:$H$101,7,0),VLOOKUP(F3180,#REF!,4,0)),0),0)</f>
        <v>0</v>
      </c>
      <c r="J3180" s="16">
        <f>H3180*I3180</f>
        <v>0</v>
      </c>
    </row>
    <row r="3181" spans="1:10" ht="13">
      <c r="A3181" s="27"/>
      <c r="B3181" s="110"/>
      <c r="D3181" s="409"/>
      <c r="E3181" s="13" t="s">
        <v>97</v>
      </c>
      <c r="F3181" s="13" t="s">
        <v>1928</v>
      </c>
      <c r="G3181" s="410" t="s">
        <v>48</v>
      </c>
      <c r="H3181" s="411">
        <v>1.4999999999999999E-2</v>
      </c>
      <c r="I3181" s="412">
        <f>IF(AND(E3181&lt;&gt;"",G3181&lt;&gt;""),IF(D3181="",IF(G3181="OH",VLOOKUP(F3181,UPAH!$B$4:$H$101,7,0),VLOOKUP(F3181,#REF!,4,0)),0),0)</f>
        <v>0</v>
      </c>
      <c r="J3181" s="16">
        <f>H3181*I3181</f>
        <v>0</v>
      </c>
    </row>
    <row r="3182" spans="1:10" ht="13.5" thickBot="1">
      <c r="A3182" s="27"/>
      <c r="B3182" s="110"/>
      <c r="D3182" s="409"/>
      <c r="E3182" s="13" t="s">
        <v>51</v>
      </c>
      <c r="F3182" s="13" t="s">
        <v>1929</v>
      </c>
      <c r="G3182" s="410" t="s">
        <v>48</v>
      </c>
      <c r="H3182" s="411">
        <v>1.4999999999999999E-2</v>
      </c>
      <c r="I3182" s="412">
        <f>IF(AND(E3182&lt;&gt;"",G3182&lt;&gt;""),IF(D3182="",IF(G3182="OH",VLOOKUP(F3182,UPAH!$B$4:$H$101,7,0),VLOOKUP(F3182,#REF!,4,0)),0),0)</f>
        <v>0</v>
      </c>
      <c r="J3182" s="16">
        <f>H3182*I3182</f>
        <v>0</v>
      </c>
    </row>
    <row r="3183" spans="1:10" ht="13.5" thickBot="1">
      <c r="A3183" s="27"/>
      <c r="B3183" s="110"/>
      <c r="D3183" s="417"/>
      <c r="E3183" s="418"/>
      <c r="F3183" s="418"/>
      <c r="G3183" s="419"/>
      <c r="H3183" s="420" t="s">
        <v>52</v>
      </c>
      <c r="I3183" s="421"/>
      <c r="J3183" s="396">
        <f>SUM(J3179:J3182)</f>
        <v>0</v>
      </c>
    </row>
    <row r="3184" spans="1:10" ht="13">
      <c r="A3184" s="27"/>
      <c r="B3184" s="110"/>
      <c r="D3184" s="406" t="s">
        <v>53</v>
      </c>
      <c r="E3184" s="13" t="s">
        <v>54</v>
      </c>
      <c r="F3184" s="14"/>
      <c r="G3184" s="15"/>
      <c r="H3184" s="451"/>
      <c r="I3184" s="412"/>
      <c r="J3184" s="16"/>
    </row>
    <row r="3185" spans="1:10" ht="13">
      <c r="A3185" s="27"/>
      <c r="B3185" s="110"/>
      <c r="D3185" s="409"/>
      <c r="E3185" s="13" t="s">
        <v>56</v>
      </c>
      <c r="F3185" s="14"/>
      <c r="G3185" s="410" t="s">
        <v>57</v>
      </c>
      <c r="H3185" s="411">
        <v>7.7759999999999998</v>
      </c>
      <c r="I3185" s="412">
        <f>'BAHAN '!G72</f>
        <v>0</v>
      </c>
      <c r="J3185" s="16">
        <f>H3185*I3185</f>
        <v>0</v>
      </c>
    </row>
    <row r="3186" spans="1:10" ht="13.5" thickBot="1">
      <c r="A3186" s="27"/>
      <c r="B3186" s="110"/>
      <c r="D3186" s="409"/>
      <c r="E3186" s="13" t="s">
        <v>101</v>
      </c>
      <c r="F3186" s="14"/>
      <c r="G3186" s="410" t="s">
        <v>375</v>
      </c>
      <c r="H3186" s="411">
        <v>2.3E-2</v>
      </c>
      <c r="I3186" s="412">
        <f>'BAHAN '!G59</f>
        <v>0</v>
      </c>
      <c r="J3186" s="16">
        <f>H3186*I3186</f>
        <v>0</v>
      </c>
    </row>
    <row r="3187" spans="1:10" ht="13.5" thickBot="1">
      <c r="A3187" s="27"/>
      <c r="B3187" s="110"/>
      <c r="D3187" s="417"/>
      <c r="E3187" s="418"/>
      <c r="F3187" s="418"/>
      <c r="G3187" s="419"/>
      <c r="H3187" s="420" t="s">
        <v>64</v>
      </c>
      <c r="I3187" s="421"/>
      <c r="J3187" s="396">
        <f>SUM(J3185:J3186)</f>
        <v>0</v>
      </c>
    </row>
    <row r="3188" spans="1:10" ht="13.5" thickBot="1">
      <c r="A3188" s="27"/>
      <c r="B3188" s="110"/>
      <c r="D3188" s="406" t="s">
        <v>65</v>
      </c>
      <c r="E3188" s="13" t="s">
        <v>66</v>
      </c>
      <c r="F3188" s="14"/>
      <c r="G3188" s="15"/>
      <c r="H3188" s="451"/>
      <c r="I3188" s="412">
        <f>IF(AND(E3188&lt;&gt;"",G3188&lt;&gt;""),IF(D3188="",IF(G3188="OH",VLOOKUP(E3188,UPAH!$C$4:$H$31,7,0),VLOOKUP(E3188,#REF!,4,0)),0),0)</f>
        <v>0</v>
      </c>
      <c r="J3188" s="16">
        <f>H3188*I3188</f>
        <v>0</v>
      </c>
    </row>
    <row r="3189" spans="1:10" ht="13.5" thickBot="1">
      <c r="A3189" s="27"/>
      <c r="B3189" s="110"/>
      <c r="D3189" s="417"/>
      <c r="E3189" s="418"/>
      <c r="F3189" s="418"/>
      <c r="G3189" s="419"/>
      <c r="H3189" s="420" t="s">
        <v>67</v>
      </c>
      <c r="I3189" s="421"/>
      <c r="J3189" s="396">
        <f>J3188</f>
        <v>0</v>
      </c>
    </row>
    <row r="3190" spans="1:10" ht="13">
      <c r="A3190" s="27"/>
      <c r="B3190" s="110"/>
      <c r="D3190" s="444" t="s">
        <v>68</v>
      </c>
      <c r="E3190" s="445" t="s">
        <v>69</v>
      </c>
      <c r="F3190" s="446"/>
      <c r="G3190" s="447"/>
      <c r="H3190" s="448"/>
      <c r="I3190" s="449">
        <f>IF(AND(E3190&lt;&gt;"",G3190&lt;&gt;""),IF(D3190="",IF(G3190="OH",VLOOKUP(E3190,UPAH!$C$4:$H$31,7,0),VLOOKUP(E3190,#REF!,4,0)),0),0)</f>
        <v>0</v>
      </c>
      <c r="J3190" s="16">
        <f>SUM(J3179:J3189)/2</f>
        <v>0</v>
      </c>
    </row>
    <row r="3191" spans="1:10" ht="13.5" thickBot="1">
      <c r="A3191" s="27"/>
      <c r="B3191" s="110"/>
      <c r="D3191" s="431" t="s">
        <v>70</v>
      </c>
      <c r="E3191" s="432" t="s">
        <v>477</v>
      </c>
      <c r="F3191" s="433"/>
      <c r="G3191" s="434"/>
      <c r="H3191" s="22">
        <v>0.1</v>
      </c>
      <c r="I3191" s="436"/>
      <c r="J3191" s="430">
        <f>H3191*J3190</f>
        <v>0</v>
      </c>
    </row>
    <row r="3192" spans="1:10" ht="13.5" thickBot="1">
      <c r="A3192" s="27"/>
      <c r="B3192" s="110"/>
      <c r="D3192" s="401" t="s">
        <v>71</v>
      </c>
      <c r="E3192" s="402" t="s">
        <v>72</v>
      </c>
      <c r="F3192" s="418"/>
      <c r="G3192" s="419"/>
      <c r="H3192" s="442"/>
      <c r="I3192" s="421">
        <f>IF(AND(E3192&lt;&gt;"",G3192&lt;&gt;""),IF(D3192="",IF(G3192="OH",VLOOKUP(E3192,UPAH!$C$4:$H$31,7,0),VLOOKUP(E3192,#REF!,4,0)),0),0)</f>
        <v>0</v>
      </c>
      <c r="J3192" s="396">
        <f>ROUNDDOWN(J3190+J3191,0)</f>
        <v>0</v>
      </c>
    </row>
    <row r="3193" spans="1:10" ht="13">
      <c r="A3193" s="27"/>
      <c r="B3193" s="110"/>
      <c r="D3193" s="11"/>
      <c r="E3193" s="11"/>
      <c r="H3193" s="443"/>
    </row>
    <row r="3194" spans="1:10" ht="13.5" thickBot="1">
      <c r="A3194" s="27"/>
      <c r="B3194" s="110"/>
      <c r="C3194" s="11" t="s">
        <v>795</v>
      </c>
      <c r="D3194" s="10" t="s">
        <v>796</v>
      </c>
      <c r="H3194" s="443"/>
    </row>
    <row r="3195" spans="1:10" ht="13.5" thickBot="1">
      <c r="A3195" s="27"/>
      <c r="B3195" s="110"/>
      <c r="D3195" s="401" t="s">
        <v>40</v>
      </c>
      <c r="E3195" s="402" t="s">
        <v>41</v>
      </c>
      <c r="F3195" s="402" t="s">
        <v>42</v>
      </c>
      <c r="G3195" s="403" t="s">
        <v>43</v>
      </c>
      <c r="H3195" s="404" t="s">
        <v>44</v>
      </c>
      <c r="I3195" s="402" t="s">
        <v>474</v>
      </c>
      <c r="J3195" s="405" t="s">
        <v>475</v>
      </c>
    </row>
    <row r="3196" spans="1:10" ht="13">
      <c r="A3196" s="27"/>
      <c r="B3196" s="110"/>
      <c r="D3196" s="406" t="s">
        <v>45</v>
      </c>
      <c r="E3196" s="13" t="s">
        <v>46</v>
      </c>
      <c r="F3196" s="14"/>
      <c r="G3196" s="15"/>
      <c r="H3196" s="451"/>
      <c r="I3196" s="412"/>
      <c r="J3196" s="16"/>
    </row>
    <row r="3197" spans="1:10" ht="13">
      <c r="A3197" s="27"/>
      <c r="B3197" s="110"/>
      <c r="D3197" s="409"/>
      <c r="E3197" s="13" t="s">
        <v>47</v>
      </c>
      <c r="F3197" s="13" t="s">
        <v>1918</v>
      </c>
      <c r="G3197" s="410" t="s">
        <v>48</v>
      </c>
      <c r="H3197" s="411">
        <v>0.3</v>
      </c>
      <c r="I3197" s="412">
        <f>IF(AND(E3197&lt;&gt;"",G3197&lt;&gt;""),IF(D3197="",IF(G3197="OH",VLOOKUP(F3197,UPAH!$B$4:$H$101,7,0),VLOOKUP(F3197,#REF!,4,0)),0),0)</f>
        <v>0</v>
      </c>
      <c r="J3197" s="16">
        <f>H3197*I3197</f>
        <v>0</v>
      </c>
    </row>
    <row r="3198" spans="1:10" ht="13">
      <c r="A3198" s="27"/>
      <c r="B3198" s="110"/>
      <c r="D3198" s="409"/>
      <c r="E3198" s="13" t="s">
        <v>115</v>
      </c>
      <c r="F3198" s="13" t="s">
        <v>1921</v>
      </c>
      <c r="G3198" s="410" t="s">
        <v>48</v>
      </c>
      <c r="H3198" s="411">
        <v>0.15</v>
      </c>
      <c r="I3198" s="412">
        <f>IF(AND(E3198&lt;&gt;"",G3198&lt;&gt;""),IF(D3198="",IF(G3198="OH",VLOOKUP(F3198,UPAH!$B$4:$H$101,7,0),VLOOKUP(F3198,#REF!,4,0)),0),0)</f>
        <v>0</v>
      </c>
      <c r="J3198" s="16">
        <f>H3198*I3198</f>
        <v>0</v>
      </c>
    </row>
    <row r="3199" spans="1:10" ht="13">
      <c r="A3199" s="27"/>
      <c r="B3199" s="110"/>
      <c r="D3199" s="409"/>
      <c r="E3199" s="13" t="s">
        <v>97</v>
      </c>
      <c r="F3199" s="13" t="s">
        <v>1928</v>
      </c>
      <c r="G3199" s="410" t="s">
        <v>48</v>
      </c>
      <c r="H3199" s="411">
        <v>1.4999999999999999E-2</v>
      </c>
      <c r="I3199" s="412">
        <f>IF(AND(E3199&lt;&gt;"",G3199&lt;&gt;""),IF(D3199="",IF(G3199="OH",VLOOKUP(F3199,UPAH!$B$4:$H$101,7,0),VLOOKUP(F3199,#REF!,4,0)),0),0)</f>
        <v>0</v>
      </c>
      <c r="J3199" s="16">
        <f>H3199*I3199</f>
        <v>0</v>
      </c>
    </row>
    <row r="3200" spans="1:10" ht="13.5" thickBot="1">
      <c r="A3200" s="27"/>
      <c r="B3200" s="110"/>
      <c r="D3200" s="409"/>
      <c r="E3200" s="13" t="s">
        <v>51</v>
      </c>
      <c r="F3200" s="13" t="s">
        <v>1929</v>
      </c>
      <c r="G3200" s="410" t="s">
        <v>48</v>
      </c>
      <c r="H3200" s="411">
        <v>1.4999999999999999E-2</v>
      </c>
      <c r="I3200" s="412">
        <f>IF(AND(E3200&lt;&gt;"",G3200&lt;&gt;""),IF(D3200="",IF(G3200="OH",VLOOKUP(F3200,UPAH!$B$4:$H$101,7,0),VLOOKUP(F3200,#REF!,4,0)),0),0)</f>
        <v>0</v>
      </c>
      <c r="J3200" s="16">
        <f>H3200*I3200</f>
        <v>0</v>
      </c>
    </row>
    <row r="3201" spans="1:10" ht="13.5" thickBot="1">
      <c r="A3201" s="27"/>
      <c r="B3201" s="110"/>
      <c r="D3201" s="417"/>
      <c r="E3201" s="418"/>
      <c r="F3201" s="418"/>
      <c r="G3201" s="419"/>
      <c r="H3201" s="420" t="s">
        <v>52</v>
      </c>
      <c r="I3201" s="421"/>
      <c r="J3201" s="396">
        <f>SUM(J3197:J3200)</f>
        <v>0</v>
      </c>
    </row>
    <row r="3202" spans="1:10" ht="13">
      <c r="A3202" s="27"/>
      <c r="B3202" s="110"/>
      <c r="D3202" s="406" t="s">
        <v>53</v>
      </c>
      <c r="E3202" s="13" t="s">
        <v>54</v>
      </c>
      <c r="F3202" s="14"/>
      <c r="G3202" s="15"/>
      <c r="H3202" s="451"/>
      <c r="I3202" s="412"/>
      <c r="J3202" s="16"/>
    </row>
    <row r="3203" spans="1:10" ht="13">
      <c r="A3203" s="27"/>
      <c r="B3203" s="110"/>
      <c r="D3203" s="409"/>
      <c r="E3203" s="13" t="s">
        <v>56</v>
      </c>
      <c r="F3203" s="14"/>
      <c r="G3203" s="410" t="s">
        <v>57</v>
      </c>
      <c r="H3203" s="411">
        <v>6.24</v>
      </c>
      <c r="I3203" s="412">
        <f>'BAHAN '!G72</f>
        <v>0</v>
      </c>
      <c r="J3203" s="16">
        <f>H3203*I3203</f>
        <v>0</v>
      </c>
    </row>
    <row r="3204" spans="1:10" ht="13.5" thickBot="1">
      <c r="A3204" s="27"/>
      <c r="B3204" s="110"/>
      <c r="D3204" s="409"/>
      <c r="E3204" s="13" t="s">
        <v>101</v>
      </c>
      <c r="F3204" s="14"/>
      <c r="G3204" s="410" t="s">
        <v>375</v>
      </c>
      <c r="H3204" s="411">
        <v>2.4E-2</v>
      </c>
      <c r="I3204" s="412">
        <v>0</v>
      </c>
      <c r="J3204" s="16">
        <f>H3204*I3204</f>
        <v>0</v>
      </c>
    </row>
    <row r="3205" spans="1:10" ht="13.5" thickBot="1">
      <c r="A3205" s="27"/>
      <c r="B3205" s="110"/>
      <c r="D3205" s="417"/>
      <c r="E3205" s="418"/>
      <c r="F3205" s="418"/>
      <c r="G3205" s="419"/>
      <c r="H3205" s="420" t="s">
        <v>64</v>
      </c>
      <c r="I3205" s="421"/>
      <c r="J3205" s="396">
        <f>SUM(J3203:J3204)</f>
        <v>0</v>
      </c>
    </row>
    <row r="3206" spans="1:10" ht="13.5" thickBot="1">
      <c r="A3206" s="27"/>
      <c r="B3206" s="110"/>
      <c r="D3206" s="406" t="s">
        <v>65</v>
      </c>
      <c r="E3206" s="13" t="s">
        <v>66</v>
      </c>
      <c r="F3206" s="14"/>
      <c r="G3206" s="15"/>
      <c r="H3206" s="451"/>
      <c r="I3206" s="412">
        <f>IF(AND(E3206&lt;&gt;"",G3206&lt;&gt;""),IF(D3206="",IF(G3206="OH",VLOOKUP(E3206,UPAH!$C$4:$H$31,7,0),VLOOKUP(E3206,#REF!,4,0)),0),0)</f>
        <v>0</v>
      </c>
      <c r="J3206" s="16">
        <f>H3206*I3206</f>
        <v>0</v>
      </c>
    </row>
    <row r="3207" spans="1:10" ht="13.5" thickBot="1">
      <c r="A3207" s="27"/>
      <c r="B3207" s="110"/>
      <c r="D3207" s="417"/>
      <c r="E3207" s="418"/>
      <c r="F3207" s="418"/>
      <c r="G3207" s="419"/>
      <c r="H3207" s="420" t="s">
        <v>67</v>
      </c>
      <c r="I3207" s="421"/>
      <c r="J3207" s="396">
        <f>J3206</f>
        <v>0</v>
      </c>
    </row>
    <row r="3208" spans="1:10" ht="13">
      <c r="A3208" s="27"/>
      <c r="B3208" s="110"/>
      <c r="D3208" s="444" t="s">
        <v>68</v>
      </c>
      <c r="E3208" s="445" t="s">
        <v>69</v>
      </c>
      <c r="F3208" s="446"/>
      <c r="G3208" s="447"/>
      <c r="H3208" s="448"/>
      <c r="I3208" s="449">
        <f>IF(AND(E3208&lt;&gt;"",G3208&lt;&gt;""),IF(D3208="",IF(G3208="OH",VLOOKUP(E3208,UPAH!$C$4:$H$31,7,0),VLOOKUP(E3208,#REF!,4,0)),0),0)</f>
        <v>0</v>
      </c>
      <c r="J3208" s="16">
        <f>SUM(J3197:J3207)/2</f>
        <v>0</v>
      </c>
    </row>
    <row r="3209" spans="1:10" ht="13.5" thickBot="1">
      <c r="A3209" s="27"/>
      <c r="B3209" s="110"/>
      <c r="D3209" s="431" t="s">
        <v>70</v>
      </c>
      <c r="E3209" s="432" t="s">
        <v>477</v>
      </c>
      <c r="F3209" s="433"/>
      <c r="G3209" s="434"/>
      <c r="H3209" s="22">
        <v>0.1</v>
      </c>
      <c r="I3209" s="436"/>
      <c r="J3209" s="430">
        <f>H3209*J3208</f>
        <v>0</v>
      </c>
    </row>
    <row r="3210" spans="1:10" ht="13.5" thickBot="1">
      <c r="A3210" s="27"/>
      <c r="B3210" s="110"/>
      <c r="D3210" s="401" t="s">
        <v>71</v>
      </c>
      <c r="E3210" s="402" t="s">
        <v>72</v>
      </c>
      <c r="F3210" s="418"/>
      <c r="G3210" s="419"/>
      <c r="H3210" s="442"/>
      <c r="I3210" s="421">
        <f>IF(AND(E3210&lt;&gt;"",G3210&lt;&gt;""),IF(D3210="",IF(G3210="OH",VLOOKUP(E3210,UPAH!$C$4:$H$31,7,0),VLOOKUP(E3210,#REF!,4,0)),0),0)</f>
        <v>0</v>
      </c>
      <c r="J3210" s="396">
        <f>ROUNDDOWN(J3208+J3209,0)</f>
        <v>0</v>
      </c>
    </row>
    <row r="3211" spans="1:10" ht="13">
      <c r="A3211" s="27"/>
      <c r="B3211" s="110"/>
      <c r="D3211" s="11"/>
      <c r="E3211" s="11"/>
      <c r="H3211" s="443"/>
    </row>
    <row r="3212" spans="1:10" ht="13.5" thickBot="1">
      <c r="A3212" s="27"/>
      <c r="B3212" s="110"/>
      <c r="C3212" s="11" t="s">
        <v>797</v>
      </c>
      <c r="D3212" s="10" t="s">
        <v>798</v>
      </c>
      <c r="H3212" s="443"/>
    </row>
    <row r="3213" spans="1:10" ht="13.5" thickBot="1">
      <c r="A3213" s="27"/>
      <c r="B3213" s="110"/>
      <c r="D3213" s="401" t="s">
        <v>40</v>
      </c>
      <c r="E3213" s="402" t="s">
        <v>41</v>
      </c>
      <c r="F3213" s="402" t="s">
        <v>42</v>
      </c>
      <c r="G3213" s="403" t="s">
        <v>43</v>
      </c>
      <c r="H3213" s="404" t="s">
        <v>44</v>
      </c>
      <c r="I3213" s="402" t="s">
        <v>474</v>
      </c>
      <c r="J3213" s="405" t="s">
        <v>475</v>
      </c>
    </row>
    <row r="3214" spans="1:10" ht="13">
      <c r="A3214" s="27"/>
      <c r="B3214" s="110"/>
      <c r="D3214" s="406" t="s">
        <v>45</v>
      </c>
      <c r="E3214" s="13" t="s">
        <v>46</v>
      </c>
      <c r="F3214" s="14"/>
      <c r="G3214" s="15"/>
      <c r="H3214" s="451"/>
      <c r="I3214" s="412"/>
      <c r="J3214" s="16"/>
    </row>
    <row r="3215" spans="1:10" ht="13">
      <c r="A3215" s="27"/>
      <c r="B3215" s="110"/>
      <c r="D3215" s="409"/>
      <c r="E3215" s="13" t="s">
        <v>47</v>
      </c>
      <c r="F3215" s="13" t="s">
        <v>1918</v>
      </c>
      <c r="G3215" s="410" t="s">
        <v>48</v>
      </c>
      <c r="H3215" s="411">
        <v>0.3</v>
      </c>
      <c r="I3215" s="412">
        <f>IF(AND(E3215&lt;&gt;"",G3215&lt;&gt;""),IF(D3215="",IF(G3215="OH",VLOOKUP(F3215,UPAH!$B$4:$H$101,7,0),VLOOKUP(F3215,#REF!,4,0)),0),0)</f>
        <v>0</v>
      </c>
      <c r="J3215" s="16">
        <f>H3215*I3215</f>
        <v>0</v>
      </c>
    </row>
    <row r="3216" spans="1:10" ht="13">
      <c r="A3216" s="27"/>
      <c r="B3216" s="110"/>
      <c r="D3216" s="409"/>
      <c r="E3216" s="13" t="s">
        <v>115</v>
      </c>
      <c r="F3216" s="13" t="s">
        <v>1921</v>
      </c>
      <c r="G3216" s="410" t="s">
        <v>48</v>
      </c>
      <c r="H3216" s="411">
        <v>0.15</v>
      </c>
      <c r="I3216" s="412">
        <f>IF(AND(E3216&lt;&gt;"",G3216&lt;&gt;""),IF(D3216="",IF(G3216="OH",VLOOKUP(F3216,UPAH!$B$4:$H$101,7,0),VLOOKUP(F3216,#REF!,4,0)),0),0)</f>
        <v>0</v>
      </c>
      <c r="J3216" s="16">
        <f>H3216*I3216</f>
        <v>0</v>
      </c>
    </row>
    <row r="3217" spans="1:10" ht="13">
      <c r="A3217" s="27"/>
      <c r="B3217" s="110"/>
      <c r="D3217" s="409"/>
      <c r="E3217" s="13" t="s">
        <v>97</v>
      </c>
      <c r="F3217" s="13" t="s">
        <v>1928</v>
      </c>
      <c r="G3217" s="410" t="s">
        <v>48</v>
      </c>
      <c r="H3217" s="411">
        <v>1.4999999999999999E-2</v>
      </c>
      <c r="I3217" s="412">
        <f>IF(AND(E3217&lt;&gt;"",G3217&lt;&gt;""),IF(D3217="",IF(G3217="OH",VLOOKUP(F3217,UPAH!$B$4:$H$101,7,0),VLOOKUP(F3217,#REF!,4,0)),0),0)</f>
        <v>0</v>
      </c>
      <c r="J3217" s="16">
        <f>H3217*I3217</f>
        <v>0</v>
      </c>
    </row>
    <row r="3218" spans="1:10" ht="13.5" thickBot="1">
      <c r="A3218" s="27"/>
      <c r="B3218" s="110"/>
      <c r="D3218" s="409"/>
      <c r="E3218" s="13" t="s">
        <v>51</v>
      </c>
      <c r="F3218" s="13" t="s">
        <v>1929</v>
      </c>
      <c r="G3218" s="410" t="s">
        <v>48</v>
      </c>
      <c r="H3218" s="411">
        <v>1.4999999999999999E-2</v>
      </c>
      <c r="I3218" s="412">
        <f>IF(AND(E3218&lt;&gt;"",G3218&lt;&gt;""),IF(D3218="",IF(G3218="OH",VLOOKUP(F3218,UPAH!$B$4:$H$101,7,0),VLOOKUP(F3218,#REF!,4,0)),0),0)</f>
        <v>0</v>
      </c>
      <c r="J3218" s="16">
        <f>H3218*I3218</f>
        <v>0</v>
      </c>
    </row>
    <row r="3219" spans="1:10" ht="13.5" thickBot="1">
      <c r="A3219" s="27"/>
      <c r="B3219" s="110"/>
      <c r="D3219" s="417"/>
      <c r="E3219" s="418"/>
      <c r="F3219" s="418"/>
      <c r="G3219" s="419"/>
      <c r="H3219" s="420" t="s">
        <v>52</v>
      </c>
      <c r="I3219" s="421"/>
      <c r="J3219" s="396">
        <f>SUM(J3215:J3218)</f>
        <v>0</v>
      </c>
    </row>
    <row r="3220" spans="1:10" ht="13">
      <c r="A3220" s="27"/>
      <c r="B3220" s="110"/>
      <c r="D3220" s="406" t="s">
        <v>53</v>
      </c>
      <c r="E3220" s="13" t="s">
        <v>54</v>
      </c>
      <c r="F3220" s="14"/>
      <c r="G3220" s="15"/>
      <c r="H3220" s="451"/>
      <c r="I3220" s="412"/>
      <c r="J3220" s="16"/>
    </row>
    <row r="3221" spans="1:10" ht="13">
      <c r="A3221" s="27"/>
      <c r="B3221" s="110"/>
      <c r="D3221" s="409"/>
      <c r="E3221" s="13" t="s">
        <v>56</v>
      </c>
      <c r="F3221" s="14"/>
      <c r="G3221" s="410" t="s">
        <v>57</v>
      </c>
      <c r="H3221" s="411">
        <v>5.1840000000000002</v>
      </c>
      <c r="I3221" s="412">
        <f>'BAHAN '!G72</f>
        <v>0</v>
      </c>
      <c r="J3221" s="16">
        <f>H3221*I3221</f>
        <v>0</v>
      </c>
    </row>
    <row r="3222" spans="1:10" ht="13.5" thickBot="1">
      <c r="A3222" s="27"/>
      <c r="B3222" s="110"/>
      <c r="D3222" s="409"/>
      <c r="E3222" s="13" t="s">
        <v>101</v>
      </c>
      <c r="F3222" s="14"/>
      <c r="G3222" s="410" t="s">
        <v>375</v>
      </c>
      <c r="H3222" s="411">
        <v>2.5999999999999999E-2</v>
      </c>
      <c r="I3222" s="412">
        <f>'BAHAN '!G59</f>
        <v>0</v>
      </c>
      <c r="J3222" s="16">
        <f>H3222*I3222</f>
        <v>0</v>
      </c>
    </row>
    <row r="3223" spans="1:10" ht="13.5" thickBot="1">
      <c r="A3223" s="27"/>
      <c r="B3223" s="110"/>
      <c r="D3223" s="417"/>
      <c r="E3223" s="418"/>
      <c r="F3223" s="418"/>
      <c r="G3223" s="419"/>
      <c r="H3223" s="420" t="s">
        <v>64</v>
      </c>
      <c r="I3223" s="421"/>
      <c r="J3223" s="396">
        <f>SUM(J3221:J3222)</f>
        <v>0</v>
      </c>
    </row>
    <row r="3224" spans="1:10" ht="13.5" thickBot="1">
      <c r="A3224" s="27"/>
      <c r="B3224" s="110"/>
      <c r="D3224" s="406" t="s">
        <v>65</v>
      </c>
      <c r="E3224" s="13" t="s">
        <v>66</v>
      </c>
      <c r="F3224" s="14"/>
      <c r="G3224" s="15"/>
      <c r="H3224" s="451"/>
      <c r="I3224" s="412">
        <f>IF(AND(E3224&lt;&gt;"",G3224&lt;&gt;""),IF(D3224="",IF(G3224="OH",VLOOKUP(E3224,UPAH!$C$4:$H$31,7,0),VLOOKUP(E3224,#REF!,4,0)),0),0)</f>
        <v>0</v>
      </c>
      <c r="J3224" s="16">
        <f>H3224*I3224</f>
        <v>0</v>
      </c>
    </row>
    <row r="3225" spans="1:10" ht="13.5" thickBot="1">
      <c r="A3225" s="27"/>
      <c r="B3225" s="110"/>
      <c r="D3225" s="417"/>
      <c r="E3225" s="418"/>
      <c r="F3225" s="418"/>
      <c r="G3225" s="419"/>
      <c r="H3225" s="420" t="s">
        <v>67</v>
      </c>
      <c r="I3225" s="421"/>
      <c r="J3225" s="396">
        <f>J3224</f>
        <v>0</v>
      </c>
    </row>
    <row r="3226" spans="1:10" ht="13">
      <c r="A3226" s="27"/>
      <c r="B3226" s="110"/>
      <c r="D3226" s="444" t="s">
        <v>68</v>
      </c>
      <c r="E3226" s="445" t="s">
        <v>69</v>
      </c>
      <c r="F3226" s="446"/>
      <c r="G3226" s="447"/>
      <c r="H3226" s="448"/>
      <c r="I3226" s="449">
        <f>IF(AND(E3226&lt;&gt;"",G3226&lt;&gt;""),IF(D3226="",IF(G3226="OH",VLOOKUP(E3226,UPAH!$C$4:$H$31,7,0),VLOOKUP(E3226,#REF!,4,0)),0),0)</f>
        <v>0</v>
      </c>
      <c r="J3226" s="16">
        <f>SUM(J3215:J3225)/2</f>
        <v>0</v>
      </c>
    </row>
    <row r="3227" spans="1:10" ht="13.5" thickBot="1">
      <c r="A3227" s="27"/>
      <c r="B3227" s="110"/>
      <c r="D3227" s="431" t="s">
        <v>70</v>
      </c>
      <c r="E3227" s="432" t="s">
        <v>477</v>
      </c>
      <c r="F3227" s="433"/>
      <c r="G3227" s="434"/>
      <c r="H3227" s="22">
        <v>0.1</v>
      </c>
      <c r="I3227" s="436"/>
      <c r="J3227" s="430">
        <f>H3227*J3226</f>
        <v>0</v>
      </c>
    </row>
    <row r="3228" spans="1:10" ht="13.5" thickBot="1">
      <c r="A3228" s="27"/>
      <c r="B3228" s="110"/>
      <c r="D3228" s="401" t="s">
        <v>71</v>
      </c>
      <c r="E3228" s="402" t="s">
        <v>72</v>
      </c>
      <c r="F3228" s="418"/>
      <c r="G3228" s="419"/>
      <c r="H3228" s="442"/>
      <c r="I3228" s="421">
        <f>IF(AND(E3228&lt;&gt;"",G3228&lt;&gt;""),IF(D3228="",IF(G3228="OH",VLOOKUP(E3228,UPAH!$C$4:$H$31,7,0),VLOOKUP(E3228,#REF!,4,0)),0),0)</f>
        <v>0</v>
      </c>
      <c r="J3228" s="396">
        <f>ROUNDDOWN(J3226+J3227,0)</f>
        <v>0</v>
      </c>
    </row>
    <row r="3229" spans="1:10" ht="13">
      <c r="A3229" s="27"/>
      <c r="B3229" s="110"/>
      <c r="D3229" s="11"/>
      <c r="E3229" s="11"/>
      <c r="H3229" s="443"/>
    </row>
    <row r="3230" spans="1:10" ht="13.5" thickBot="1">
      <c r="A3230" s="27"/>
      <c r="B3230" s="110"/>
      <c r="C3230" s="11" t="s">
        <v>799</v>
      </c>
      <c r="D3230" s="10" t="s">
        <v>800</v>
      </c>
      <c r="H3230" s="443"/>
    </row>
    <row r="3231" spans="1:10" ht="13.5" thickBot="1">
      <c r="A3231" s="27"/>
      <c r="B3231" s="110"/>
      <c r="D3231" s="401" t="s">
        <v>40</v>
      </c>
      <c r="E3231" s="402" t="s">
        <v>41</v>
      </c>
      <c r="F3231" s="402" t="s">
        <v>42</v>
      </c>
      <c r="G3231" s="403" t="s">
        <v>43</v>
      </c>
      <c r="H3231" s="404" t="s">
        <v>44</v>
      </c>
      <c r="I3231" s="402" t="s">
        <v>474</v>
      </c>
      <c r="J3231" s="405" t="s">
        <v>475</v>
      </c>
    </row>
    <row r="3232" spans="1:10" ht="13">
      <c r="A3232" s="27"/>
      <c r="B3232" s="110"/>
      <c r="D3232" s="406" t="s">
        <v>45</v>
      </c>
      <c r="E3232" s="13" t="s">
        <v>46</v>
      </c>
      <c r="F3232" s="14"/>
      <c r="G3232" s="15"/>
      <c r="H3232" s="451"/>
      <c r="I3232" s="412"/>
      <c r="J3232" s="16"/>
    </row>
    <row r="3233" spans="1:10" ht="13">
      <c r="A3233" s="27"/>
      <c r="B3233" s="110"/>
      <c r="D3233" s="409"/>
      <c r="E3233" s="13" t="s">
        <v>47</v>
      </c>
      <c r="F3233" s="13" t="s">
        <v>1918</v>
      </c>
      <c r="G3233" s="410" t="s">
        <v>48</v>
      </c>
      <c r="H3233" s="411">
        <v>0.3</v>
      </c>
      <c r="I3233" s="412">
        <f>IF(AND(E3233&lt;&gt;"",G3233&lt;&gt;""),IF(D3233="",IF(G3233="OH",VLOOKUP(F3233,UPAH!$B$4:$H$101,7,0),VLOOKUP(F3233,#REF!,4,0)),0),0)</f>
        <v>0</v>
      </c>
      <c r="J3233" s="16">
        <f>H3233*I3233</f>
        <v>0</v>
      </c>
    </row>
    <row r="3234" spans="1:10" ht="13">
      <c r="A3234" s="27"/>
      <c r="B3234" s="110"/>
      <c r="D3234" s="409"/>
      <c r="E3234" s="13" t="s">
        <v>115</v>
      </c>
      <c r="F3234" s="13" t="s">
        <v>1921</v>
      </c>
      <c r="G3234" s="410" t="s">
        <v>48</v>
      </c>
      <c r="H3234" s="411">
        <v>0.15</v>
      </c>
      <c r="I3234" s="412">
        <f>IF(AND(E3234&lt;&gt;"",G3234&lt;&gt;""),IF(D3234="",IF(G3234="OH",VLOOKUP(F3234,UPAH!$B$4:$H$101,7,0),VLOOKUP(F3234,#REF!,4,0)),0),0)</f>
        <v>0</v>
      </c>
      <c r="J3234" s="16">
        <f>H3234*I3234</f>
        <v>0</v>
      </c>
    </row>
    <row r="3235" spans="1:10" ht="13">
      <c r="A3235" s="27"/>
      <c r="B3235" s="110"/>
      <c r="D3235" s="409"/>
      <c r="E3235" s="13" t="s">
        <v>97</v>
      </c>
      <c r="F3235" s="13" t="s">
        <v>1928</v>
      </c>
      <c r="G3235" s="410" t="s">
        <v>48</v>
      </c>
      <c r="H3235" s="411">
        <v>1.4999999999999999E-2</v>
      </c>
      <c r="I3235" s="412">
        <f>IF(AND(E3235&lt;&gt;"",G3235&lt;&gt;""),IF(D3235="",IF(G3235="OH",VLOOKUP(F3235,UPAH!$B$4:$H$101,7,0),VLOOKUP(F3235,#REF!,4,0)),0),0)</f>
        <v>0</v>
      </c>
      <c r="J3235" s="16">
        <f>H3235*I3235</f>
        <v>0</v>
      </c>
    </row>
    <row r="3236" spans="1:10" ht="13.5" thickBot="1">
      <c r="A3236" s="27"/>
      <c r="B3236" s="110"/>
      <c r="D3236" s="409"/>
      <c r="E3236" s="13" t="s">
        <v>51</v>
      </c>
      <c r="F3236" s="13" t="s">
        <v>1929</v>
      </c>
      <c r="G3236" s="410" t="s">
        <v>48</v>
      </c>
      <c r="H3236" s="411">
        <v>1.4999999999999999E-2</v>
      </c>
      <c r="I3236" s="412">
        <f>IF(AND(E3236&lt;&gt;"",G3236&lt;&gt;""),IF(D3236="",IF(G3236="OH",VLOOKUP(F3236,UPAH!$B$4:$H$101,7,0),VLOOKUP(F3236,#REF!,4,0)),0),0)</f>
        <v>0</v>
      </c>
      <c r="J3236" s="16">
        <f>H3236*I3236</f>
        <v>0</v>
      </c>
    </row>
    <row r="3237" spans="1:10" ht="13.5" thickBot="1">
      <c r="A3237" s="27"/>
      <c r="B3237" s="110"/>
      <c r="D3237" s="417"/>
      <c r="E3237" s="418"/>
      <c r="F3237" s="418"/>
      <c r="G3237" s="419"/>
      <c r="H3237" s="420" t="s">
        <v>52</v>
      </c>
      <c r="I3237" s="421"/>
      <c r="J3237" s="396">
        <f>SUM(J3233:J3236)</f>
        <v>0</v>
      </c>
    </row>
    <row r="3238" spans="1:10" ht="13">
      <c r="A3238" s="27"/>
      <c r="B3238" s="110"/>
      <c r="D3238" s="406" t="s">
        <v>53</v>
      </c>
      <c r="E3238" s="13" t="s">
        <v>54</v>
      </c>
      <c r="F3238" s="14"/>
      <c r="G3238" s="15"/>
      <c r="H3238" s="451"/>
      <c r="I3238" s="412"/>
      <c r="J3238" s="16"/>
    </row>
    <row r="3239" spans="1:10" ht="13">
      <c r="A3239" s="27"/>
      <c r="B3239" s="110"/>
      <c r="D3239" s="409"/>
      <c r="E3239" s="13" t="s">
        <v>56</v>
      </c>
      <c r="F3239" s="14"/>
      <c r="G3239" s="410" t="s">
        <v>57</v>
      </c>
      <c r="H3239" s="411">
        <v>4.4160000000000004</v>
      </c>
      <c r="I3239" s="412">
        <f>'BAHAN '!G72</f>
        <v>0</v>
      </c>
      <c r="J3239" s="16">
        <f>H3239*I3239</f>
        <v>0</v>
      </c>
    </row>
    <row r="3240" spans="1:10" ht="13.5" thickBot="1">
      <c r="A3240" s="27"/>
      <c r="B3240" s="110"/>
      <c r="D3240" s="409"/>
      <c r="E3240" s="13" t="s">
        <v>101</v>
      </c>
      <c r="F3240" s="14"/>
      <c r="G3240" s="410" t="s">
        <v>375</v>
      </c>
      <c r="H3240" s="411">
        <v>2.7E-2</v>
      </c>
      <c r="I3240" s="412">
        <f>'BAHAN '!G59</f>
        <v>0</v>
      </c>
      <c r="J3240" s="16">
        <f>H3240*I3240</f>
        <v>0</v>
      </c>
    </row>
    <row r="3241" spans="1:10" ht="13.5" thickBot="1">
      <c r="A3241" s="27"/>
      <c r="B3241" s="110"/>
      <c r="D3241" s="417"/>
      <c r="E3241" s="418"/>
      <c r="F3241" s="418"/>
      <c r="G3241" s="419"/>
      <c r="H3241" s="420" t="s">
        <v>64</v>
      </c>
      <c r="I3241" s="421"/>
      <c r="J3241" s="396">
        <f>SUM(J3239:J3240)</f>
        <v>0</v>
      </c>
    </row>
    <row r="3242" spans="1:10" ht="13.5" thickBot="1">
      <c r="A3242" s="27"/>
      <c r="B3242" s="110"/>
      <c r="D3242" s="406" t="s">
        <v>65</v>
      </c>
      <c r="E3242" s="13" t="s">
        <v>66</v>
      </c>
      <c r="F3242" s="14"/>
      <c r="G3242" s="15"/>
      <c r="H3242" s="451"/>
      <c r="I3242" s="412">
        <f>IF(AND(E3242&lt;&gt;"",G3242&lt;&gt;""),IF(D3242="",IF(G3242="OH",VLOOKUP(E3242,UPAH!$C$4:$H$31,7,0),VLOOKUP(E3242,#REF!,4,0)),0),0)</f>
        <v>0</v>
      </c>
      <c r="J3242" s="16">
        <f>H3242*I3242</f>
        <v>0</v>
      </c>
    </row>
    <row r="3243" spans="1:10" ht="13.5" thickBot="1">
      <c r="A3243" s="27"/>
      <c r="B3243" s="110"/>
      <c r="D3243" s="417"/>
      <c r="E3243" s="418"/>
      <c r="F3243" s="418"/>
      <c r="G3243" s="419"/>
      <c r="H3243" s="420" t="s">
        <v>67</v>
      </c>
      <c r="I3243" s="421"/>
      <c r="J3243" s="396">
        <f>J3242</f>
        <v>0</v>
      </c>
    </row>
    <row r="3244" spans="1:10" ht="13">
      <c r="A3244" s="27"/>
      <c r="B3244" s="110"/>
      <c r="D3244" s="444" t="s">
        <v>68</v>
      </c>
      <c r="E3244" s="445" t="s">
        <v>69</v>
      </c>
      <c r="F3244" s="446"/>
      <c r="G3244" s="447"/>
      <c r="H3244" s="448"/>
      <c r="I3244" s="449">
        <f>IF(AND(E3244&lt;&gt;"",G3244&lt;&gt;""),IF(D3244="",IF(G3244="OH",VLOOKUP(E3244,UPAH!$C$4:$H$31,7,0),VLOOKUP(E3244,#REF!,4,0)),0),0)</f>
        <v>0</v>
      </c>
      <c r="J3244" s="16">
        <f>SUM(J3233:J3243)/2</f>
        <v>0</v>
      </c>
    </row>
    <row r="3245" spans="1:10" ht="13.5" thickBot="1">
      <c r="A3245" s="27"/>
      <c r="B3245" s="110"/>
      <c r="D3245" s="431" t="s">
        <v>70</v>
      </c>
      <c r="E3245" s="432" t="s">
        <v>477</v>
      </c>
      <c r="F3245" s="433"/>
      <c r="G3245" s="434"/>
      <c r="H3245" s="22">
        <v>0.1</v>
      </c>
      <c r="I3245" s="436"/>
      <c r="J3245" s="430">
        <f>H3245*J3244</f>
        <v>0</v>
      </c>
    </row>
    <row r="3246" spans="1:10" ht="13.5" thickBot="1">
      <c r="A3246" s="27"/>
      <c r="B3246" s="110"/>
      <c r="D3246" s="401" t="s">
        <v>71</v>
      </c>
      <c r="E3246" s="402" t="s">
        <v>72</v>
      </c>
      <c r="F3246" s="418"/>
      <c r="G3246" s="419"/>
      <c r="H3246" s="442"/>
      <c r="I3246" s="421">
        <f>IF(AND(E3246&lt;&gt;"",G3246&lt;&gt;""),IF(D3246="",IF(G3246="OH",VLOOKUP(E3246,UPAH!$C$4:$H$31,7,0),VLOOKUP(E3246,#REF!,4,0)),0),0)</f>
        <v>0</v>
      </c>
      <c r="J3246" s="396">
        <f>ROUNDDOWN(J3244+J3245,0)</f>
        <v>0</v>
      </c>
    </row>
    <row r="3247" spans="1:10" ht="13">
      <c r="A3247" s="27"/>
      <c r="B3247" s="110"/>
      <c r="D3247" s="11"/>
      <c r="E3247" s="11"/>
      <c r="H3247" s="443"/>
    </row>
    <row r="3248" spans="1:10" ht="13.5" thickBot="1">
      <c r="A3248" s="27"/>
      <c r="B3248" s="110"/>
      <c r="C3248" s="11" t="s">
        <v>801</v>
      </c>
      <c r="D3248" s="10" t="s">
        <v>802</v>
      </c>
      <c r="H3248" s="443"/>
    </row>
    <row r="3249" spans="1:10" ht="13.5" thickBot="1">
      <c r="A3249" s="27"/>
      <c r="B3249" s="110"/>
      <c r="D3249" s="401" t="s">
        <v>40</v>
      </c>
      <c r="E3249" s="402" t="s">
        <v>41</v>
      </c>
      <c r="F3249" s="402" t="s">
        <v>42</v>
      </c>
      <c r="G3249" s="403" t="s">
        <v>43</v>
      </c>
      <c r="H3249" s="404" t="s">
        <v>44</v>
      </c>
      <c r="I3249" s="402" t="s">
        <v>474</v>
      </c>
      <c r="J3249" s="405" t="s">
        <v>475</v>
      </c>
    </row>
    <row r="3250" spans="1:10" ht="13">
      <c r="A3250" s="27"/>
      <c r="B3250" s="110"/>
      <c r="D3250" s="406" t="s">
        <v>45</v>
      </c>
      <c r="E3250" s="13" t="s">
        <v>46</v>
      </c>
      <c r="F3250" s="14"/>
      <c r="G3250" s="15"/>
      <c r="H3250" s="451"/>
      <c r="I3250" s="412"/>
      <c r="J3250" s="16"/>
    </row>
    <row r="3251" spans="1:10" ht="13">
      <c r="A3251" s="27"/>
      <c r="B3251" s="110"/>
      <c r="D3251" s="409"/>
      <c r="E3251" s="13" t="s">
        <v>47</v>
      </c>
      <c r="F3251" s="13" t="s">
        <v>1918</v>
      </c>
      <c r="G3251" s="410" t="s">
        <v>48</v>
      </c>
      <c r="H3251" s="411">
        <v>0.3</v>
      </c>
      <c r="I3251" s="412">
        <f>IF(AND(E3251&lt;&gt;"",G3251&lt;&gt;""),IF(D3251="",IF(G3251="OH",VLOOKUP(F3251,UPAH!$B$4:$H$101,7,0),VLOOKUP(F3251,#REF!,4,0)),0),0)</f>
        <v>0</v>
      </c>
      <c r="J3251" s="16">
        <f>H3251*I3251</f>
        <v>0</v>
      </c>
    </row>
    <row r="3252" spans="1:10" ht="13">
      <c r="A3252" s="27"/>
      <c r="B3252" s="110"/>
      <c r="D3252" s="409"/>
      <c r="E3252" s="13" t="s">
        <v>115</v>
      </c>
      <c r="F3252" s="13" t="s">
        <v>1921</v>
      </c>
      <c r="G3252" s="410" t="s">
        <v>48</v>
      </c>
      <c r="H3252" s="411">
        <v>0.15</v>
      </c>
      <c r="I3252" s="412">
        <f>IF(AND(E3252&lt;&gt;"",G3252&lt;&gt;""),IF(D3252="",IF(G3252="OH",VLOOKUP(F3252,UPAH!$B$4:$H$101,7,0),VLOOKUP(F3252,#REF!,4,0)),0),0)</f>
        <v>0</v>
      </c>
      <c r="J3252" s="16">
        <f>H3252*I3252</f>
        <v>0</v>
      </c>
    </row>
    <row r="3253" spans="1:10" ht="13">
      <c r="A3253" s="27"/>
      <c r="B3253" s="110"/>
      <c r="D3253" s="409"/>
      <c r="E3253" s="13" t="s">
        <v>97</v>
      </c>
      <c r="F3253" s="13" t="s">
        <v>1928</v>
      </c>
      <c r="G3253" s="410" t="s">
        <v>48</v>
      </c>
      <c r="H3253" s="411">
        <v>1.4999999999999999E-2</v>
      </c>
      <c r="I3253" s="412">
        <f>IF(AND(E3253&lt;&gt;"",G3253&lt;&gt;""),IF(D3253="",IF(G3253="OH",VLOOKUP(F3253,UPAH!$B$4:$H$101,7,0),VLOOKUP(F3253,#REF!,4,0)),0),0)</f>
        <v>0</v>
      </c>
      <c r="J3253" s="16">
        <f>H3253*I3253</f>
        <v>0</v>
      </c>
    </row>
    <row r="3254" spans="1:10" ht="13.5" thickBot="1">
      <c r="A3254" s="27"/>
      <c r="B3254" s="110"/>
      <c r="D3254" s="409"/>
      <c r="E3254" s="13" t="s">
        <v>51</v>
      </c>
      <c r="F3254" s="13" t="s">
        <v>1929</v>
      </c>
      <c r="G3254" s="410" t="s">
        <v>48</v>
      </c>
      <c r="H3254" s="411">
        <v>1.4999999999999999E-2</v>
      </c>
      <c r="I3254" s="412">
        <f>IF(AND(E3254&lt;&gt;"",G3254&lt;&gt;""),IF(D3254="",IF(G3254="OH",VLOOKUP(F3254,UPAH!$B$4:$H$101,7,0),VLOOKUP(F3254,#REF!,4,0)),0),0)</f>
        <v>0</v>
      </c>
      <c r="J3254" s="16">
        <f>H3254*I3254</f>
        <v>0</v>
      </c>
    </row>
    <row r="3255" spans="1:10" ht="13.5" thickBot="1">
      <c r="A3255" s="27"/>
      <c r="B3255" s="110"/>
      <c r="D3255" s="417"/>
      <c r="E3255" s="418"/>
      <c r="F3255" s="418"/>
      <c r="G3255" s="419"/>
      <c r="H3255" s="420" t="s">
        <v>52</v>
      </c>
      <c r="I3255" s="421"/>
      <c r="J3255" s="396">
        <f>SUM(J3251:J3254)</f>
        <v>0</v>
      </c>
    </row>
    <row r="3256" spans="1:10" ht="13">
      <c r="A3256" s="27"/>
      <c r="B3256" s="110"/>
      <c r="D3256" s="406" t="s">
        <v>53</v>
      </c>
      <c r="E3256" s="13" t="s">
        <v>54</v>
      </c>
      <c r="F3256" s="14"/>
      <c r="G3256" s="15"/>
      <c r="H3256" s="451"/>
      <c r="I3256" s="412"/>
      <c r="J3256" s="16"/>
    </row>
    <row r="3257" spans="1:10" ht="13">
      <c r="A3257" s="27"/>
      <c r="B3257" s="110"/>
      <c r="D3257" s="409"/>
      <c r="E3257" s="13" t="s">
        <v>56</v>
      </c>
      <c r="F3257" s="14"/>
      <c r="G3257" s="410" t="s">
        <v>57</v>
      </c>
      <c r="H3257" s="411">
        <v>3.9359999999999999</v>
      </c>
      <c r="I3257" s="412">
        <f>'BAHAN '!G72</f>
        <v>0</v>
      </c>
      <c r="J3257" s="16">
        <f>H3257*I3257</f>
        <v>0</v>
      </c>
    </row>
    <row r="3258" spans="1:10" ht="13.5" thickBot="1">
      <c r="A3258" s="27"/>
      <c r="B3258" s="110"/>
      <c r="D3258" s="409"/>
      <c r="E3258" s="13" t="s">
        <v>101</v>
      </c>
      <c r="F3258" s="14"/>
      <c r="G3258" s="410" t="s">
        <v>375</v>
      </c>
      <c r="H3258" s="411">
        <v>2.8000000000000001E-2</v>
      </c>
      <c r="I3258" s="412">
        <f>'BAHAN '!G59</f>
        <v>0</v>
      </c>
      <c r="J3258" s="16">
        <f>H3258*I3258</f>
        <v>0</v>
      </c>
    </row>
    <row r="3259" spans="1:10" ht="13.5" thickBot="1">
      <c r="A3259" s="27"/>
      <c r="B3259" s="110"/>
      <c r="D3259" s="417"/>
      <c r="E3259" s="418"/>
      <c r="F3259" s="418"/>
      <c r="G3259" s="419"/>
      <c r="H3259" s="420" t="s">
        <v>64</v>
      </c>
      <c r="I3259" s="421"/>
      <c r="J3259" s="396">
        <f>SUM(J3257:J3258)</f>
        <v>0</v>
      </c>
    </row>
    <row r="3260" spans="1:10" ht="13.5" thickBot="1">
      <c r="A3260" s="27"/>
      <c r="B3260" s="110"/>
      <c r="D3260" s="406" t="s">
        <v>65</v>
      </c>
      <c r="E3260" s="13" t="s">
        <v>66</v>
      </c>
      <c r="F3260" s="14"/>
      <c r="G3260" s="15"/>
      <c r="H3260" s="451"/>
      <c r="I3260" s="412">
        <f>IF(AND(E3260&lt;&gt;"",G3260&lt;&gt;""),IF(D3260="",IF(G3260="OH",VLOOKUP(E3260,UPAH!$C$4:$H$31,7,0),VLOOKUP(E3260,#REF!,4,0)),0),0)</f>
        <v>0</v>
      </c>
      <c r="J3260" s="16">
        <f>H3260*I3260</f>
        <v>0</v>
      </c>
    </row>
    <row r="3261" spans="1:10" ht="13.5" thickBot="1">
      <c r="A3261" s="27"/>
      <c r="B3261" s="110"/>
      <c r="D3261" s="417"/>
      <c r="E3261" s="418"/>
      <c r="F3261" s="418"/>
      <c r="G3261" s="419"/>
      <c r="H3261" s="420" t="s">
        <v>67</v>
      </c>
      <c r="I3261" s="421"/>
      <c r="J3261" s="396">
        <f>J3260</f>
        <v>0</v>
      </c>
    </row>
    <row r="3262" spans="1:10" ht="13">
      <c r="A3262" s="27"/>
      <c r="B3262" s="110"/>
      <c r="D3262" s="444" t="s">
        <v>68</v>
      </c>
      <c r="E3262" s="445" t="s">
        <v>69</v>
      </c>
      <c r="F3262" s="446"/>
      <c r="G3262" s="447"/>
      <c r="H3262" s="448"/>
      <c r="I3262" s="449">
        <f>IF(AND(E3262&lt;&gt;"",G3262&lt;&gt;""),IF(D3262="",IF(G3262="OH",VLOOKUP(E3262,UPAH!$C$4:$H$31,7,0),VLOOKUP(E3262,#REF!,4,0)),0),0)</f>
        <v>0</v>
      </c>
      <c r="J3262" s="16">
        <f>SUM(J3251:J3261)/2</f>
        <v>0</v>
      </c>
    </row>
    <row r="3263" spans="1:10" ht="13.5" thickBot="1">
      <c r="A3263" s="27"/>
      <c r="B3263" s="110"/>
      <c r="D3263" s="431" t="s">
        <v>70</v>
      </c>
      <c r="E3263" s="432" t="s">
        <v>477</v>
      </c>
      <c r="F3263" s="433"/>
      <c r="G3263" s="434"/>
      <c r="H3263" s="22">
        <v>0.1</v>
      </c>
      <c r="I3263" s="436"/>
      <c r="J3263" s="430">
        <f>H3263*J3262</f>
        <v>0</v>
      </c>
    </row>
    <row r="3264" spans="1:10" ht="13.5" thickBot="1">
      <c r="A3264" s="27"/>
      <c r="B3264" s="110"/>
      <c r="D3264" s="401" t="s">
        <v>71</v>
      </c>
      <c r="E3264" s="402" t="s">
        <v>72</v>
      </c>
      <c r="F3264" s="418"/>
      <c r="G3264" s="419"/>
      <c r="H3264" s="442"/>
      <c r="I3264" s="421">
        <f>IF(AND(E3264&lt;&gt;"",G3264&lt;&gt;""),IF(D3264="",IF(G3264="OH",VLOOKUP(E3264,UPAH!$C$4:$H$31,7,0),VLOOKUP(E3264,#REF!,4,0)),0),0)</f>
        <v>0</v>
      </c>
      <c r="J3264" s="396">
        <f>ROUNDDOWN(J3262+J3263,0)</f>
        <v>0</v>
      </c>
    </row>
    <row r="3265" spans="1:10" ht="13">
      <c r="A3265" s="27"/>
      <c r="B3265" s="110"/>
      <c r="D3265" s="11"/>
      <c r="E3265" s="11"/>
      <c r="H3265" s="443"/>
    </row>
    <row r="3266" spans="1:10" ht="13.5" thickBot="1">
      <c r="A3266" s="27"/>
      <c r="B3266" s="110"/>
      <c r="C3266" s="11" t="s">
        <v>803</v>
      </c>
      <c r="D3266" s="10" t="s">
        <v>804</v>
      </c>
      <c r="H3266" s="443"/>
    </row>
    <row r="3267" spans="1:10" ht="13.5" thickBot="1">
      <c r="A3267" s="27"/>
      <c r="B3267" s="110"/>
      <c r="D3267" s="401" t="s">
        <v>40</v>
      </c>
      <c r="E3267" s="402" t="s">
        <v>41</v>
      </c>
      <c r="F3267" s="402" t="s">
        <v>42</v>
      </c>
      <c r="G3267" s="403" t="s">
        <v>43</v>
      </c>
      <c r="H3267" s="404" t="s">
        <v>44</v>
      </c>
      <c r="I3267" s="402" t="s">
        <v>474</v>
      </c>
      <c r="J3267" s="405" t="s">
        <v>475</v>
      </c>
    </row>
    <row r="3268" spans="1:10" ht="13">
      <c r="A3268" s="27"/>
      <c r="B3268" s="110"/>
      <c r="D3268" s="406" t="s">
        <v>45</v>
      </c>
      <c r="E3268" s="13" t="s">
        <v>46</v>
      </c>
      <c r="F3268" s="14"/>
      <c r="G3268" s="15"/>
      <c r="H3268" s="451"/>
      <c r="I3268" s="412"/>
      <c r="J3268" s="16"/>
    </row>
    <row r="3269" spans="1:10" ht="13">
      <c r="A3269" s="27"/>
      <c r="B3269" s="110"/>
      <c r="D3269" s="409"/>
      <c r="E3269" s="13" t="s">
        <v>47</v>
      </c>
      <c r="F3269" s="13" t="s">
        <v>1918</v>
      </c>
      <c r="G3269" s="410" t="s">
        <v>48</v>
      </c>
      <c r="H3269" s="411">
        <v>0.3</v>
      </c>
      <c r="I3269" s="412">
        <f>IF(AND(E3269&lt;&gt;"",G3269&lt;&gt;""),IF(D3269="",IF(G3269="OH",VLOOKUP(F3269,UPAH!$B$4:$H$101,7,0),VLOOKUP(F3269,#REF!,4,0)),0),0)</f>
        <v>0</v>
      </c>
      <c r="J3269" s="16">
        <f>H3269*I3269</f>
        <v>0</v>
      </c>
    </row>
    <row r="3270" spans="1:10" ht="13">
      <c r="A3270" s="27"/>
      <c r="B3270" s="110"/>
      <c r="D3270" s="409"/>
      <c r="E3270" s="13" t="s">
        <v>115</v>
      </c>
      <c r="F3270" s="13" t="s">
        <v>1921</v>
      </c>
      <c r="G3270" s="410" t="s">
        <v>48</v>
      </c>
      <c r="H3270" s="411">
        <v>0.15</v>
      </c>
      <c r="I3270" s="412">
        <f>IF(AND(E3270&lt;&gt;"",G3270&lt;&gt;""),IF(D3270="",IF(G3270="OH",VLOOKUP(F3270,UPAH!$B$4:$H$101,7,0),VLOOKUP(F3270,#REF!,4,0)),0),0)</f>
        <v>0</v>
      </c>
      <c r="J3270" s="16">
        <f>H3270*I3270</f>
        <v>0</v>
      </c>
    </row>
    <row r="3271" spans="1:10" ht="13">
      <c r="A3271" s="27"/>
      <c r="B3271" s="110"/>
      <c r="D3271" s="409"/>
      <c r="E3271" s="13" t="s">
        <v>97</v>
      </c>
      <c r="F3271" s="13" t="s">
        <v>1928</v>
      </c>
      <c r="G3271" s="410" t="s">
        <v>48</v>
      </c>
      <c r="H3271" s="411">
        <v>1.4999999999999999E-2</v>
      </c>
      <c r="I3271" s="412">
        <f>IF(AND(E3271&lt;&gt;"",G3271&lt;&gt;""),IF(D3271="",IF(G3271="OH",VLOOKUP(F3271,UPAH!$B$4:$H$101,7,0),VLOOKUP(F3271,#REF!,4,0)),0),0)</f>
        <v>0</v>
      </c>
      <c r="J3271" s="16">
        <f>H3271*I3271</f>
        <v>0</v>
      </c>
    </row>
    <row r="3272" spans="1:10" ht="13.5" thickBot="1">
      <c r="A3272" s="27"/>
      <c r="B3272" s="110"/>
      <c r="D3272" s="409"/>
      <c r="E3272" s="13" t="s">
        <v>51</v>
      </c>
      <c r="F3272" s="13" t="s">
        <v>1929</v>
      </c>
      <c r="G3272" s="410" t="s">
        <v>48</v>
      </c>
      <c r="H3272" s="411">
        <v>1.4999999999999999E-2</v>
      </c>
      <c r="I3272" s="412">
        <f>IF(AND(E3272&lt;&gt;"",G3272&lt;&gt;""),IF(D3272="",IF(G3272="OH",VLOOKUP(F3272,UPAH!$B$4:$H$101,7,0),VLOOKUP(F3272,#REF!,4,0)),0),0)</f>
        <v>0</v>
      </c>
      <c r="J3272" s="16">
        <f>H3272*I3272</f>
        <v>0</v>
      </c>
    </row>
    <row r="3273" spans="1:10" ht="13.5" thickBot="1">
      <c r="A3273" s="27"/>
      <c r="B3273" s="110"/>
      <c r="D3273" s="417"/>
      <c r="E3273" s="418"/>
      <c r="F3273" s="418"/>
      <c r="G3273" s="419"/>
      <c r="H3273" s="420" t="s">
        <v>52</v>
      </c>
      <c r="I3273" s="421"/>
      <c r="J3273" s="396">
        <f>SUM(J3269:J3272)</f>
        <v>0</v>
      </c>
    </row>
    <row r="3274" spans="1:10" ht="13">
      <c r="A3274" s="27"/>
      <c r="B3274" s="110"/>
      <c r="D3274" s="406" t="s">
        <v>53</v>
      </c>
      <c r="E3274" s="13" t="s">
        <v>54</v>
      </c>
      <c r="F3274" s="14"/>
      <c r="G3274" s="15"/>
      <c r="H3274" s="451"/>
      <c r="I3274" s="412"/>
      <c r="J3274" s="16"/>
    </row>
    <row r="3275" spans="1:10" ht="13">
      <c r="A3275" s="27"/>
      <c r="B3275" s="110"/>
      <c r="D3275" s="409"/>
      <c r="E3275" s="13" t="s">
        <v>56</v>
      </c>
      <c r="F3275" s="14"/>
      <c r="G3275" s="410" t="s">
        <v>57</v>
      </c>
      <c r="H3275" s="411">
        <v>3.456</v>
      </c>
      <c r="I3275" s="412">
        <f>'BAHAN '!G72</f>
        <v>0</v>
      </c>
      <c r="J3275" s="16">
        <f>H3275*I3275</f>
        <v>0</v>
      </c>
    </row>
    <row r="3276" spans="1:10" ht="13.5" thickBot="1">
      <c r="A3276" s="27"/>
      <c r="B3276" s="110"/>
      <c r="D3276" s="409"/>
      <c r="E3276" s="13" t="s">
        <v>101</v>
      </c>
      <c r="F3276" s="14"/>
      <c r="G3276" s="410" t="s">
        <v>375</v>
      </c>
      <c r="H3276" s="411">
        <v>2.9000000000000001E-2</v>
      </c>
      <c r="I3276" s="412">
        <f>'BAHAN '!G59</f>
        <v>0</v>
      </c>
      <c r="J3276" s="16">
        <f>H3276*I3276</f>
        <v>0</v>
      </c>
    </row>
    <row r="3277" spans="1:10" ht="13.5" thickBot="1">
      <c r="A3277" s="27"/>
      <c r="B3277" s="110"/>
      <c r="D3277" s="417"/>
      <c r="E3277" s="418"/>
      <c r="F3277" s="418"/>
      <c r="G3277" s="419"/>
      <c r="H3277" s="420" t="s">
        <v>64</v>
      </c>
      <c r="I3277" s="421"/>
      <c r="J3277" s="396">
        <f>SUM(J3275:J3276)</f>
        <v>0</v>
      </c>
    </row>
    <row r="3278" spans="1:10" ht="13.5" thickBot="1">
      <c r="A3278" s="27"/>
      <c r="B3278" s="110"/>
      <c r="D3278" s="406" t="s">
        <v>65</v>
      </c>
      <c r="E3278" s="13" t="s">
        <v>66</v>
      </c>
      <c r="F3278" s="14"/>
      <c r="G3278" s="15"/>
      <c r="H3278" s="451"/>
      <c r="I3278" s="412">
        <f>IF(AND(E3278&lt;&gt;"",G3278&lt;&gt;""),IF(D3278="",IF(G3278="OH",VLOOKUP(E3278,UPAH!$C$4:$H$31,7,0),VLOOKUP(E3278,#REF!,4,0)),0),0)</f>
        <v>0</v>
      </c>
      <c r="J3278" s="16">
        <f>H3278*I3278</f>
        <v>0</v>
      </c>
    </row>
    <row r="3279" spans="1:10" ht="13.5" thickBot="1">
      <c r="A3279" s="27"/>
      <c r="B3279" s="110"/>
      <c r="D3279" s="417"/>
      <c r="E3279" s="418"/>
      <c r="F3279" s="418"/>
      <c r="G3279" s="419"/>
      <c r="H3279" s="420" t="s">
        <v>67</v>
      </c>
      <c r="I3279" s="421"/>
      <c r="J3279" s="396">
        <f>J3278</f>
        <v>0</v>
      </c>
    </row>
    <row r="3280" spans="1:10" ht="13">
      <c r="A3280" s="27"/>
      <c r="B3280" s="110"/>
      <c r="D3280" s="444" t="s">
        <v>68</v>
      </c>
      <c r="E3280" s="445" t="s">
        <v>69</v>
      </c>
      <c r="F3280" s="446"/>
      <c r="G3280" s="447"/>
      <c r="H3280" s="448"/>
      <c r="I3280" s="449">
        <f>IF(AND(E3280&lt;&gt;"",G3280&lt;&gt;""),IF(D3280="",IF(G3280="OH",VLOOKUP(E3280,UPAH!$C$4:$H$31,7,0),VLOOKUP(E3280,#REF!,4,0)),0),0)</f>
        <v>0</v>
      </c>
      <c r="J3280" s="16">
        <f>SUM(J3269:J3279)/2</f>
        <v>0</v>
      </c>
    </row>
    <row r="3281" spans="1:10" ht="13.5" thickBot="1">
      <c r="A3281" s="27"/>
      <c r="B3281" s="110"/>
      <c r="D3281" s="431" t="s">
        <v>70</v>
      </c>
      <c r="E3281" s="432" t="s">
        <v>477</v>
      </c>
      <c r="F3281" s="433"/>
      <c r="G3281" s="434"/>
      <c r="H3281" s="22">
        <v>0.1</v>
      </c>
      <c r="I3281" s="436"/>
      <c r="J3281" s="430">
        <f>H3281*J3280</f>
        <v>0</v>
      </c>
    </row>
    <row r="3282" spans="1:10" ht="13.5" thickBot="1">
      <c r="A3282" s="27"/>
      <c r="B3282" s="110"/>
      <c r="D3282" s="401" t="s">
        <v>71</v>
      </c>
      <c r="E3282" s="402" t="s">
        <v>72</v>
      </c>
      <c r="F3282" s="418"/>
      <c r="G3282" s="419"/>
      <c r="H3282" s="442"/>
      <c r="I3282" s="421">
        <f>IF(AND(E3282&lt;&gt;"",G3282&lt;&gt;""),IF(D3282="",IF(G3282="OH",VLOOKUP(E3282,UPAH!$C$4:$H$31,7,0),VLOOKUP(E3282,#REF!,4,0)),0),0)</f>
        <v>0</v>
      </c>
      <c r="J3282" s="396">
        <f>ROUNDDOWN(J3280+J3281,0)</f>
        <v>0</v>
      </c>
    </row>
    <row r="3283" spans="1:10" ht="13">
      <c r="A3283" s="27"/>
      <c r="B3283" s="110"/>
      <c r="D3283" s="11"/>
      <c r="E3283" s="11"/>
      <c r="H3283" s="443"/>
    </row>
    <row r="3284" spans="1:10" ht="13.5" thickBot="1">
      <c r="A3284" s="27"/>
      <c r="B3284" s="110"/>
      <c r="C3284" s="11" t="s">
        <v>805</v>
      </c>
      <c r="D3284" s="10" t="s">
        <v>806</v>
      </c>
      <c r="H3284" s="443"/>
    </row>
    <row r="3285" spans="1:10" ht="13.5" thickBot="1">
      <c r="A3285" s="27"/>
      <c r="B3285" s="110"/>
      <c r="D3285" s="401" t="s">
        <v>40</v>
      </c>
      <c r="E3285" s="402" t="s">
        <v>41</v>
      </c>
      <c r="F3285" s="402" t="s">
        <v>42</v>
      </c>
      <c r="G3285" s="403" t="s">
        <v>43</v>
      </c>
      <c r="H3285" s="404" t="s">
        <v>44</v>
      </c>
      <c r="I3285" s="402" t="s">
        <v>474</v>
      </c>
      <c r="J3285" s="405" t="s">
        <v>475</v>
      </c>
    </row>
    <row r="3286" spans="1:10" ht="13">
      <c r="A3286" s="27"/>
      <c r="B3286" s="110"/>
      <c r="D3286" s="406" t="s">
        <v>45</v>
      </c>
      <c r="E3286" s="13" t="s">
        <v>46</v>
      </c>
      <c r="F3286" s="14"/>
      <c r="G3286" s="15"/>
      <c r="H3286" s="451"/>
      <c r="I3286" s="412"/>
      <c r="J3286" s="16"/>
    </row>
    <row r="3287" spans="1:10" ht="13">
      <c r="A3287" s="27"/>
      <c r="B3287" s="110"/>
      <c r="D3287" s="409"/>
      <c r="E3287" s="13" t="s">
        <v>47</v>
      </c>
      <c r="F3287" s="13" t="s">
        <v>1918</v>
      </c>
      <c r="G3287" s="410" t="s">
        <v>48</v>
      </c>
      <c r="H3287" s="411">
        <v>0.36</v>
      </c>
      <c r="I3287" s="412">
        <f>IF(AND(E3287&lt;&gt;"",G3287&lt;&gt;""),IF(D3287="",IF(G3287="OH",VLOOKUP(F3287,UPAH!$B$4:$H$101,7,0),VLOOKUP(F3287,#REF!,4,0)),0),0)</f>
        <v>0</v>
      </c>
      <c r="J3287" s="16">
        <f>H3287*I3287</f>
        <v>0</v>
      </c>
    </row>
    <row r="3288" spans="1:10" ht="13">
      <c r="A3288" s="27"/>
      <c r="B3288" s="110"/>
      <c r="D3288" s="409"/>
      <c r="E3288" s="13" t="s">
        <v>115</v>
      </c>
      <c r="F3288" s="13" t="s">
        <v>1921</v>
      </c>
      <c r="G3288" s="410" t="s">
        <v>48</v>
      </c>
      <c r="H3288" s="411">
        <v>0.12</v>
      </c>
      <c r="I3288" s="412">
        <f>IF(AND(E3288&lt;&gt;"",G3288&lt;&gt;""),IF(D3288="",IF(G3288="OH",VLOOKUP(F3288,UPAH!$B$4:$H$101,7,0),VLOOKUP(F3288,#REF!,4,0)),0),0)</f>
        <v>0</v>
      </c>
      <c r="J3288" s="16">
        <f>H3288*I3288</f>
        <v>0</v>
      </c>
    </row>
    <row r="3289" spans="1:10" ht="13">
      <c r="A3289" s="27"/>
      <c r="B3289" s="110"/>
      <c r="D3289" s="409"/>
      <c r="E3289" s="13" t="s">
        <v>97</v>
      </c>
      <c r="F3289" s="13" t="s">
        <v>1928</v>
      </c>
      <c r="G3289" s="410" t="s">
        <v>48</v>
      </c>
      <c r="H3289" s="411">
        <v>1.2E-2</v>
      </c>
      <c r="I3289" s="412">
        <f>IF(AND(E3289&lt;&gt;"",G3289&lt;&gt;""),IF(D3289="",IF(G3289="OH",VLOOKUP(F3289,UPAH!$B$4:$H$101,7,0),VLOOKUP(F3289,#REF!,4,0)),0),0)</f>
        <v>0</v>
      </c>
      <c r="J3289" s="16">
        <f>H3289*I3289</f>
        <v>0</v>
      </c>
    </row>
    <row r="3290" spans="1:10" ht="13.5" thickBot="1">
      <c r="A3290" s="27"/>
      <c r="B3290" s="110"/>
      <c r="D3290" s="409"/>
      <c r="E3290" s="13" t="s">
        <v>51</v>
      </c>
      <c r="F3290" s="13" t="s">
        <v>1929</v>
      </c>
      <c r="G3290" s="410" t="s">
        <v>48</v>
      </c>
      <c r="H3290" s="411">
        <v>1.7999999999999999E-2</v>
      </c>
      <c r="I3290" s="412">
        <f>IF(AND(E3290&lt;&gt;"",G3290&lt;&gt;""),IF(D3290="",IF(G3290="OH",VLOOKUP(F3290,UPAH!$B$4:$H$101,7,0),VLOOKUP(F3290,#REF!,4,0)),0),0)</f>
        <v>0</v>
      </c>
      <c r="J3290" s="16">
        <f>H3290*I3290</f>
        <v>0</v>
      </c>
    </row>
    <row r="3291" spans="1:10" ht="13.5" thickBot="1">
      <c r="A3291" s="27"/>
      <c r="B3291" s="110"/>
      <c r="D3291" s="417"/>
      <c r="E3291" s="418"/>
      <c r="F3291" s="418"/>
      <c r="G3291" s="419"/>
      <c r="H3291" s="420" t="s">
        <v>52</v>
      </c>
      <c r="I3291" s="421"/>
      <c r="J3291" s="396">
        <f>SUM(J3287:J3290)</f>
        <v>0</v>
      </c>
    </row>
    <row r="3292" spans="1:10" ht="13">
      <c r="A3292" s="27"/>
      <c r="B3292" s="110"/>
      <c r="D3292" s="406" t="s">
        <v>53</v>
      </c>
      <c r="E3292" s="13" t="s">
        <v>54</v>
      </c>
      <c r="F3292" s="14"/>
      <c r="G3292" s="15"/>
      <c r="H3292" s="451"/>
      <c r="I3292" s="412"/>
      <c r="J3292" s="16"/>
    </row>
    <row r="3293" spans="1:10" ht="13">
      <c r="A3293" s="27"/>
      <c r="B3293" s="110"/>
      <c r="D3293" s="409"/>
      <c r="E3293" s="13" t="s">
        <v>56</v>
      </c>
      <c r="F3293" s="14"/>
      <c r="G3293" s="410" t="s">
        <v>57</v>
      </c>
      <c r="H3293" s="411">
        <v>5.76</v>
      </c>
      <c r="I3293" s="412">
        <f>'BAHAN '!G72</f>
        <v>0</v>
      </c>
      <c r="J3293" s="16">
        <f>H3293*I3293</f>
        <v>0</v>
      </c>
    </row>
    <row r="3294" spans="1:10" ht="13">
      <c r="A3294" s="27"/>
      <c r="B3294" s="110"/>
      <c r="D3294" s="409"/>
      <c r="E3294" s="13" t="s">
        <v>395</v>
      </c>
      <c r="F3294" s="14"/>
      <c r="G3294" s="410" t="s">
        <v>375</v>
      </c>
      <c r="H3294" s="411">
        <v>3.0000000000000001E-3</v>
      </c>
      <c r="I3294" s="412">
        <f>'BAHAN '!G867</f>
        <v>0</v>
      </c>
      <c r="J3294" s="16">
        <f>H3294*I3294</f>
        <v>0</v>
      </c>
    </row>
    <row r="3295" spans="1:10" ht="13.5" thickBot="1">
      <c r="A3295" s="27"/>
      <c r="B3295" s="110"/>
      <c r="D3295" s="409"/>
      <c r="E3295" s="13" t="s">
        <v>101</v>
      </c>
      <c r="F3295" s="14"/>
      <c r="G3295" s="410" t="s">
        <v>375</v>
      </c>
      <c r="H3295" s="411">
        <v>1.2999999999999999E-2</v>
      </c>
      <c r="I3295" s="412">
        <f>'BAHAN '!G59</f>
        <v>0</v>
      </c>
      <c r="J3295" s="16">
        <f>H3295*I3295</f>
        <v>0</v>
      </c>
    </row>
    <row r="3296" spans="1:10" ht="13.5" thickBot="1">
      <c r="A3296" s="27"/>
      <c r="B3296" s="110"/>
      <c r="D3296" s="417"/>
      <c r="E3296" s="418"/>
      <c r="F3296" s="418"/>
      <c r="G3296" s="419"/>
      <c r="H3296" s="420" t="s">
        <v>64</v>
      </c>
      <c r="I3296" s="421"/>
      <c r="J3296" s="396">
        <f>SUM(J3293:J3295)</f>
        <v>0</v>
      </c>
    </row>
    <row r="3297" spans="1:10" ht="13.5" thickBot="1">
      <c r="A3297" s="27"/>
      <c r="B3297" s="110"/>
      <c r="D3297" s="406" t="s">
        <v>65</v>
      </c>
      <c r="E3297" s="13" t="s">
        <v>66</v>
      </c>
      <c r="F3297" s="14"/>
      <c r="G3297" s="15"/>
      <c r="H3297" s="451"/>
      <c r="I3297" s="412">
        <f>IF(AND(E3297&lt;&gt;"",G3297&lt;&gt;""),IF(D3297="",IF(G3297="OH",VLOOKUP(E3297,UPAH!$C$4:$H$31,7,0),VLOOKUP(E3297,#REF!,4,0)),0),0)</f>
        <v>0</v>
      </c>
      <c r="J3297" s="16">
        <f>H3297*I3297</f>
        <v>0</v>
      </c>
    </row>
    <row r="3298" spans="1:10" ht="13.5" thickBot="1">
      <c r="A3298" s="27"/>
      <c r="B3298" s="110"/>
      <c r="D3298" s="417"/>
      <c r="E3298" s="418"/>
      <c r="F3298" s="418"/>
      <c r="G3298" s="419"/>
      <c r="H3298" s="420" t="s">
        <v>67</v>
      </c>
      <c r="I3298" s="421"/>
      <c r="J3298" s="396">
        <f>J3297</f>
        <v>0</v>
      </c>
    </row>
    <row r="3299" spans="1:10" ht="13">
      <c r="A3299" s="27"/>
      <c r="B3299" s="110"/>
      <c r="D3299" s="444" t="s">
        <v>68</v>
      </c>
      <c r="E3299" s="445" t="s">
        <v>69</v>
      </c>
      <c r="F3299" s="446"/>
      <c r="G3299" s="447"/>
      <c r="H3299" s="448"/>
      <c r="I3299" s="449">
        <f>IF(AND(E3299&lt;&gt;"",G3299&lt;&gt;""),IF(D3299="",IF(G3299="OH",VLOOKUP(E3299,UPAH!$C$4:$H$31,7,0),VLOOKUP(E3299,#REF!,4,0)),0),0)</f>
        <v>0</v>
      </c>
      <c r="J3299" s="16">
        <f>SUM(J3287:J3298)/2</f>
        <v>0</v>
      </c>
    </row>
    <row r="3300" spans="1:10" ht="13.5" thickBot="1">
      <c r="A3300" s="27"/>
      <c r="B3300" s="110"/>
      <c r="D3300" s="431" t="s">
        <v>70</v>
      </c>
      <c r="E3300" s="432" t="s">
        <v>477</v>
      </c>
      <c r="F3300" s="433"/>
      <c r="G3300" s="434"/>
      <c r="H3300" s="22">
        <v>0.1</v>
      </c>
      <c r="I3300" s="436"/>
      <c r="J3300" s="430">
        <f>H3300*J3299</f>
        <v>0</v>
      </c>
    </row>
    <row r="3301" spans="1:10" ht="13.5" thickBot="1">
      <c r="A3301" s="27"/>
      <c r="B3301" s="110"/>
      <c r="D3301" s="401" t="s">
        <v>71</v>
      </c>
      <c r="E3301" s="402" t="s">
        <v>72</v>
      </c>
      <c r="F3301" s="418"/>
      <c r="G3301" s="419"/>
      <c r="H3301" s="442"/>
      <c r="I3301" s="421">
        <f>IF(AND(E3301&lt;&gt;"",G3301&lt;&gt;""),IF(D3301="",IF(G3301="OH",VLOOKUP(E3301,UPAH!$C$4:$H$31,7,0),VLOOKUP(E3301,#REF!,4,0)),0),0)</f>
        <v>0</v>
      </c>
      <c r="J3301" s="396">
        <f>ROUNDDOWN(J3299+J3300,0)</f>
        <v>0</v>
      </c>
    </row>
    <row r="3302" spans="1:10" ht="13">
      <c r="A3302" s="27"/>
      <c r="B3302" s="110"/>
      <c r="D3302" s="11"/>
      <c r="E3302" s="11"/>
      <c r="H3302" s="443"/>
    </row>
    <row r="3303" spans="1:10" ht="13.5" thickBot="1">
      <c r="A3303" s="27"/>
      <c r="B3303" s="110"/>
      <c r="C3303" s="11" t="s">
        <v>807</v>
      </c>
      <c r="D3303" s="10" t="s">
        <v>808</v>
      </c>
      <c r="H3303" s="443"/>
    </row>
    <row r="3304" spans="1:10" ht="13.5" thickBot="1">
      <c r="A3304" s="27"/>
      <c r="B3304" s="110"/>
      <c r="D3304" s="401" t="s">
        <v>40</v>
      </c>
      <c r="E3304" s="402" t="s">
        <v>41</v>
      </c>
      <c r="F3304" s="402" t="s">
        <v>42</v>
      </c>
      <c r="G3304" s="403" t="s">
        <v>43</v>
      </c>
      <c r="H3304" s="404" t="s">
        <v>44</v>
      </c>
      <c r="I3304" s="402" t="s">
        <v>474</v>
      </c>
      <c r="J3304" s="405" t="s">
        <v>475</v>
      </c>
    </row>
    <row r="3305" spans="1:10" ht="13">
      <c r="A3305" s="27"/>
      <c r="B3305" s="110"/>
      <c r="D3305" s="406" t="s">
        <v>45</v>
      </c>
      <c r="E3305" s="13" t="s">
        <v>46</v>
      </c>
      <c r="F3305" s="14"/>
      <c r="G3305" s="15"/>
      <c r="H3305" s="451"/>
      <c r="I3305" s="412"/>
      <c r="J3305" s="16"/>
    </row>
    <row r="3306" spans="1:10" ht="13">
      <c r="A3306" s="27"/>
      <c r="B3306" s="110"/>
      <c r="D3306" s="409"/>
      <c r="E3306" s="13" t="s">
        <v>47</v>
      </c>
      <c r="F3306" s="13" t="s">
        <v>1918</v>
      </c>
      <c r="G3306" s="410" t="s">
        <v>48</v>
      </c>
      <c r="H3306" s="411">
        <v>0.36</v>
      </c>
      <c r="I3306" s="412">
        <f>IF(AND(E3306&lt;&gt;"",G3306&lt;&gt;""),IF(D3306="",IF(G3306="OH",VLOOKUP(F3306,UPAH!$B$4:$H$101,7,0),VLOOKUP(F3306,#REF!,4,0)),0),0)</f>
        <v>0</v>
      </c>
      <c r="J3306" s="16">
        <f>H3306*I3306</f>
        <v>0</v>
      </c>
    </row>
    <row r="3307" spans="1:10" ht="13">
      <c r="A3307" s="27"/>
      <c r="B3307" s="110"/>
      <c r="D3307" s="409"/>
      <c r="E3307" s="13" t="s">
        <v>115</v>
      </c>
      <c r="F3307" s="13" t="s">
        <v>1921</v>
      </c>
      <c r="G3307" s="410" t="s">
        <v>48</v>
      </c>
      <c r="H3307" s="411">
        <v>0.12</v>
      </c>
      <c r="I3307" s="412">
        <f>IF(AND(E3307&lt;&gt;"",G3307&lt;&gt;""),IF(D3307="",IF(G3307="OH",VLOOKUP(F3307,UPAH!$B$4:$H$101,7,0),VLOOKUP(F3307,#REF!,4,0)),0),0)</f>
        <v>0</v>
      </c>
      <c r="J3307" s="16">
        <f>H3307*I3307</f>
        <v>0</v>
      </c>
    </row>
    <row r="3308" spans="1:10" ht="13">
      <c r="A3308" s="27"/>
      <c r="B3308" s="110"/>
      <c r="D3308" s="409"/>
      <c r="E3308" s="13" t="s">
        <v>97</v>
      </c>
      <c r="F3308" s="13" t="s">
        <v>1928</v>
      </c>
      <c r="G3308" s="410" t="s">
        <v>48</v>
      </c>
      <c r="H3308" s="411">
        <v>1.2E-2</v>
      </c>
      <c r="I3308" s="412">
        <f>IF(AND(E3308&lt;&gt;"",G3308&lt;&gt;""),IF(D3308="",IF(G3308="OH",VLOOKUP(F3308,UPAH!$B$4:$H$101,7,0),VLOOKUP(F3308,#REF!,4,0)),0),0)</f>
        <v>0</v>
      </c>
      <c r="J3308" s="16">
        <f>H3308*I3308</f>
        <v>0</v>
      </c>
    </row>
    <row r="3309" spans="1:10" ht="13.5" thickBot="1">
      <c r="A3309" s="27"/>
      <c r="B3309" s="110"/>
      <c r="D3309" s="409"/>
      <c r="E3309" s="13" t="s">
        <v>51</v>
      </c>
      <c r="F3309" s="13" t="s">
        <v>1929</v>
      </c>
      <c r="G3309" s="410" t="s">
        <v>48</v>
      </c>
      <c r="H3309" s="411">
        <v>1.7999999999999999E-2</v>
      </c>
      <c r="I3309" s="412">
        <f>IF(AND(E3309&lt;&gt;"",G3309&lt;&gt;""),IF(D3309="",IF(G3309="OH",VLOOKUP(F3309,UPAH!$B$4:$H$101,7,0),VLOOKUP(F3309,#REF!,4,0)),0),0)</f>
        <v>0</v>
      </c>
      <c r="J3309" s="16">
        <f>H3309*I3309</f>
        <v>0</v>
      </c>
    </row>
    <row r="3310" spans="1:10" ht="13.5" thickBot="1">
      <c r="A3310" s="27"/>
      <c r="B3310" s="110"/>
      <c r="D3310" s="417"/>
      <c r="E3310" s="418"/>
      <c r="F3310" s="418"/>
      <c r="G3310" s="419"/>
      <c r="H3310" s="420" t="s">
        <v>52</v>
      </c>
      <c r="I3310" s="421"/>
      <c r="J3310" s="396">
        <f>SUM(J3306:J3309)</f>
        <v>0</v>
      </c>
    </row>
    <row r="3311" spans="1:10" ht="13">
      <c r="A3311" s="27"/>
      <c r="B3311" s="110"/>
      <c r="D3311" s="406" t="s">
        <v>53</v>
      </c>
      <c r="E3311" s="13" t="s">
        <v>54</v>
      </c>
      <c r="F3311" s="14"/>
      <c r="G3311" s="15"/>
      <c r="H3311" s="451"/>
      <c r="I3311" s="412"/>
      <c r="J3311" s="16"/>
    </row>
    <row r="3312" spans="1:10" ht="13">
      <c r="A3312" s="27"/>
      <c r="B3312" s="110"/>
      <c r="D3312" s="409"/>
      <c r="E3312" s="13" t="s">
        <v>56</v>
      </c>
      <c r="F3312" s="14"/>
      <c r="G3312" s="410" t="s">
        <v>57</v>
      </c>
      <c r="H3312" s="411">
        <v>3</v>
      </c>
      <c r="I3312" s="412">
        <f>'BAHAN '!G72</f>
        <v>0</v>
      </c>
      <c r="J3312" s="16">
        <f>H3312*I3312</f>
        <v>0</v>
      </c>
    </row>
    <row r="3313" spans="1:10" ht="13">
      <c r="A3313" s="27"/>
      <c r="B3313" s="110"/>
      <c r="D3313" s="409"/>
      <c r="E3313" s="13" t="s">
        <v>395</v>
      </c>
      <c r="F3313" s="14"/>
      <c r="G3313" s="410" t="s">
        <v>375</v>
      </c>
      <c r="H3313" s="411">
        <v>5.0000000000000001E-3</v>
      </c>
      <c r="I3313" s="412">
        <f>$I$3294</f>
        <v>0</v>
      </c>
      <c r="J3313" s="16">
        <f>H3313*I3313</f>
        <v>0</v>
      </c>
    </row>
    <row r="3314" spans="1:10" ht="13.5" thickBot="1">
      <c r="A3314" s="27"/>
      <c r="B3314" s="110"/>
      <c r="D3314" s="409"/>
      <c r="E3314" s="13" t="s">
        <v>101</v>
      </c>
      <c r="F3314" s="14"/>
      <c r="G3314" s="410" t="s">
        <v>375</v>
      </c>
      <c r="H3314" s="411">
        <v>0.02</v>
      </c>
      <c r="I3314" s="412">
        <f>'BAHAN '!G59</f>
        <v>0</v>
      </c>
      <c r="J3314" s="16">
        <f>H3314*I3314</f>
        <v>0</v>
      </c>
    </row>
    <row r="3315" spans="1:10" ht="13.5" thickBot="1">
      <c r="A3315" s="27"/>
      <c r="B3315" s="110"/>
      <c r="D3315" s="417"/>
      <c r="E3315" s="418"/>
      <c r="F3315" s="418"/>
      <c r="G3315" s="419"/>
      <c r="H3315" s="420" t="s">
        <v>64</v>
      </c>
      <c r="I3315" s="421"/>
      <c r="J3315" s="396">
        <f>SUM(J3312:J3314)</f>
        <v>0</v>
      </c>
    </row>
    <row r="3316" spans="1:10" ht="13.5" thickBot="1">
      <c r="A3316" s="27"/>
      <c r="B3316" s="110"/>
      <c r="D3316" s="406" t="s">
        <v>65</v>
      </c>
      <c r="E3316" s="13" t="s">
        <v>66</v>
      </c>
      <c r="F3316" s="14"/>
      <c r="G3316" s="15"/>
      <c r="H3316" s="451"/>
      <c r="I3316" s="412">
        <f>IF(AND(E3316&lt;&gt;"",G3316&lt;&gt;""),IF(D3316="",IF(G3316="OH",VLOOKUP(E3316,UPAH!$C$4:$H$31,7,0),VLOOKUP(E3316,#REF!,4,0)),0),0)</f>
        <v>0</v>
      </c>
      <c r="J3316" s="16">
        <f>H3316*I3316</f>
        <v>0</v>
      </c>
    </row>
    <row r="3317" spans="1:10" ht="13.5" thickBot="1">
      <c r="A3317" s="27"/>
      <c r="B3317" s="110"/>
      <c r="D3317" s="417"/>
      <c r="E3317" s="418"/>
      <c r="F3317" s="418"/>
      <c r="G3317" s="419"/>
      <c r="H3317" s="420" t="s">
        <v>67</v>
      </c>
      <c r="I3317" s="421"/>
      <c r="J3317" s="396">
        <f>J3316</f>
        <v>0</v>
      </c>
    </row>
    <row r="3318" spans="1:10" ht="13">
      <c r="A3318" s="27"/>
      <c r="B3318" s="110"/>
      <c r="D3318" s="444" t="s">
        <v>68</v>
      </c>
      <c r="E3318" s="445" t="s">
        <v>69</v>
      </c>
      <c r="F3318" s="446"/>
      <c r="G3318" s="447"/>
      <c r="H3318" s="448"/>
      <c r="I3318" s="449">
        <f>IF(AND(E3318&lt;&gt;"",G3318&lt;&gt;""),IF(D3318="",IF(G3318="OH",VLOOKUP(E3318,UPAH!$C$4:$H$31,7,0),VLOOKUP(E3318,#REF!,4,0)),0),0)</f>
        <v>0</v>
      </c>
      <c r="J3318" s="16">
        <f>SUM(J3305:J3317)/2</f>
        <v>0</v>
      </c>
    </row>
    <row r="3319" spans="1:10" ht="13.5" thickBot="1">
      <c r="A3319" s="27"/>
      <c r="B3319" s="110"/>
      <c r="D3319" s="431" t="s">
        <v>70</v>
      </c>
      <c r="E3319" s="432" t="s">
        <v>477</v>
      </c>
      <c r="F3319" s="433"/>
      <c r="G3319" s="434"/>
      <c r="H3319" s="22">
        <v>0.1</v>
      </c>
      <c r="I3319" s="436"/>
      <c r="J3319" s="430">
        <f>H3319*J3318</f>
        <v>0</v>
      </c>
    </row>
    <row r="3320" spans="1:10" ht="13.5" thickBot="1">
      <c r="A3320" s="27"/>
      <c r="B3320" s="110"/>
      <c r="D3320" s="401" t="s">
        <v>71</v>
      </c>
      <c r="E3320" s="402" t="s">
        <v>72</v>
      </c>
      <c r="F3320" s="418"/>
      <c r="G3320" s="419"/>
      <c r="H3320" s="442"/>
      <c r="I3320" s="421">
        <f>IF(AND(E3320&lt;&gt;"",G3320&lt;&gt;""),IF(D3320="",IF(G3320="OH",VLOOKUP(E3320,UPAH!$C$4:$H$31,7,0),VLOOKUP(E3320,#REF!,4,0)),0),0)</f>
        <v>0</v>
      </c>
      <c r="J3320" s="396">
        <f>ROUNDDOWN(J3318+J3319,0)</f>
        <v>0</v>
      </c>
    </row>
    <row r="3321" spans="1:10" ht="13">
      <c r="A3321" s="27"/>
      <c r="B3321" s="110"/>
      <c r="D3321" s="11"/>
      <c r="E3321" s="11"/>
      <c r="H3321" s="443"/>
    </row>
    <row r="3322" spans="1:10" ht="13.5" thickBot="1">
      <c r="A3322" s="27"/>
      <c r="B3322" s="110"/>
      <c r="C3322" s="11" t="s">
        <v>809</v>
      </c>
      <c r="D3322" s="10" t="s">
        <v>810</v>
      </c>
      <c r="H3322" s="443"/>
    </row>
    <row r="3323" spans="1:10" ht="13.5" thickBot="1">
      <c r="A3323" s="27"/>
      <c r="B3323" s="110"/>
      <c r="D3323" s="401" t="s">
        <v>40</v>
      </c>
      <c r="E3323" s="402" t="s">
        <v>41</v>
      </c>
      <c r="F3323" s="402" t="s">
        <v>42</v>
      </c>
      <c r="G3323" s="403" t="s">
        <v>43</v>
      </c>
      <c r="H3323" s="404" t="s">
        <v>44</v>
      </c>
      <c r="I3323" s="402" t="s">
        <v>474</v>
      </c>
      <c r="J3323" s="405" t="s">
        <v>475</v>
      </c>
    </row>
    <row r="3324" spans="1:10" ht="13">
      <c r="A3324" s="27"/>
      <c r="B3324" s="110"/>
      <c r="D3324" s="406" t="s">
        <v>45</v>
      </c>
      <c r="E3324" s="13" t="s">
        <v>46</v>
      </c>
      <c r="F3324" s="14"/>
      <c r="G3324" s="15"/>
      <c r="H3324" s="451"/>
      <c r="I3324" s="412"/>
      <c r="J3324" s="16"/>
    </row>
    <row r="3325" spans="1:10" ht="13">
      <c r="A3325" s="27"/>
      <c r="B3325" s="110"/>
      <c r="D3325" s="409"/>
      <c r="E3325" s="13" t="s">
        <v>47</v>
      </c>
      <c r="F3325" s="13" t="s">
        <v>1918</v>
      </c>
      <c r="G3325" s="410" t="s">
        <v>48</v>
      </c>
      <c r="H3325" s="411">
        <v>0.36</v>
      </c>
      <c r="I3325" s="412">
        <f>IF(AND(E3325&lt;&gt;"",G3325&lt;&gt;""),IF(D3325="",IF(G3325="OH",VLOOKUP(F3325,UPAH!$B$4:$H$101,7,0),VLOOKUP(F3325,#REF!,4,0)),0),0)</f>
        <v>0</v>
      </c>
      <c r="J3325" s="16">
        <f>H3325*I3325</f>
        <v>0</v>
      </c>
    </row>
    <row r="3326" spans="1:10" ht="13">
      <c r="A3326" s="27"/>
      <c r="B3326" s="110"/>
      <c r="D3326" s="409"/>
      <c r="E3326" s="13" t="s">
        <v>115</v>
      </c>
      <c r="F3326" s="13" t="s">
        <v>1921</v>
      </c>
      <c r="G3326" s="410" t="s">
        <v>48</v>
      </c>
      <c r="H3326" s="411">
        <v>0.12</v>
      </c>
      <c r="I3326" s="412">
        <f>IF(AND(E3326&lt;&gt;"",G3326&lt;&gt;""),IF(D3326="",IF(G3326="OH",VLOOKUP(F3326,UPAH!$B$4:$H$101,7,0),VLOOKUP(F3326,#REF!,4,0)),0),0)</f>
        <v>0</v>
      </c>
      <c r="J3326" s="16">
        <f>H3326*I3326</f>
        <v>0</v>
      </c>
    </row>
    <row r="3327" spans="1:10" ht="13">
      <c r="A3327" s="27"/>
      <c r="B3327" s="110"/>
      <c r="D3327" s="409"/>
      <c r="E3327" s="13" t="s">
        <v>97</v>
      </c>
      <c r="F3327" s="13" t="s">
        <v>1928</v>
      </c>
      <c r="G3327" s="410" t="s">
        <v>48</v>
      </c>
      <c r="H3327" s="411">
        <v>1.2E-2</v>
      </c>
      <c r="I3327" s="412">
        <f>IF(AND(E3327&lt;&gt;"",G3327&lt;&gt;""),IF(D3327="",IF(G3327="OH",VLOOKUP(F3327,UPAH!$B$4:$H$101,7,0),VLOOKUP(F3327,#REF!,4,0)),0),0)</f>
        <v>0</v>
      </c>
      <c r="J3327" s="16">
        <f>H3327*I3327</f>
        <v>0</v>
      </c>
    </row>
    <row r="3328" spans="1:10" ht="13.5" thickBot="1">
      <c r="A3328" s="27"/>
      <c r="B3328" s="110"/>
      <c r="D3328" s="409"/>
      <c r="E3328" s="13" t="s">
        <v>51</v>
      </c>
      <c r="F3328" s="13" t="s">
        <v>1929</v>
      </c>
      <c r="G3328" s="410" t="s">
        <v>48</v>
      </c>
      <c r="H3328" s="411">
        <v>1.7999999999999999E-2</v>
      </c>
      <c r="I3328" s="412">
        <f>IF(AND(E3328&lt;&gt;"",G3328&lt;&gt;""),IF(D3328="",IF(G3328="OH",VLOOKUP(F3328,UPAH!$B$4:$H$101,7,0),VLOOKUP(F3328,#REF!,4,0)),0),0)</f>
        <v>0</v>
      </c>
      <c r="J3328" s="16">
        <f>H3328*I3328</f>
        <v>0</v>
      </c>
    </row>
    <row r="3329" spans="1:10" ht="13.5" thickBot="1">
      <c r="A3329" s="27"/>
      <c r="B3329" s="110"/>
      <c r="D3329" s="417"/>
      <c r="E3329" s="418"/>
      <c r="F3329" s="418"/>
      <c r="G3329" s="419"/>
      <c r="H3329" s="420" t="s">
        <v>52</v>
      </c>
      <c r="I3329" s="421"/>
      <c r="J3329" s="396">
        <f>SUM(J3325:J3328)</f>
        <v>0</v>
      </c>
    </row>
    <row r="3330" spans="1:10" ht="13">
      <c r="A3330" s="27"/>
      <c r="B3330" s="110"/>
      <c r="D3330" s="406" t="s">
        <v>53</v>
      </c>
      <c r="E3330" s="13" t="s">
        <v>54</v>
      </c>
      <c r="F3330" s="14"/>
      <c r="G3330" s="15"/>
      <c r="H3330" s="451"/>
      <c r="I3330" s="412"/>
      <c r="J3330" s="16"/>
    </row>
    <row r="3331" spans="1:10" ht="13">
      <c r="A3331" s="27"/>
      <c r="B3331" s="110"/>
      <c r="D3331" s="409"/>
      <c r="E3331" s="13" t="s">
        <v>56</v>
      </c>
      <c r="F3331" s="14"/>
      <c r="G3331" s="410" t="s">
        <v>93</v>
      </c>
      <c r="H3331" s="411">
        <v>8.9999999999999993E-3</v>
      </c>
      <c r="I3331" s="412">
        <f>'BAHAN '!G72</f>
        <v>0</v>
      </c>
      <c r="J3331" s="16">
        <f>H3331*I3331</f>
        <v>0</v>
      </c>
    </row>
    <row r="3332" spans="1:10" ht="13">
      <c r="A3332" s="27"/>
      <c r="B3332" s="110"/>
      <c r="D3332" s="409"/>
      <c r="E3332" s="13" t="s">
        <v>395</v>
      </c>
      <c r="F3332" s="14"/>
      <c r="G3332" s="410" t="s">
        <v>375</v>
      </c>
      <c r="H3332" s="411">
        <v>8.9999999999999993E-3</v>
      </c>
      <c r="I3332" s="412">
        <f>$I$3294</f>
        <v>0</v>
      </c>
      <c r="J3332" s="16">
        <f>H3332*I3332</f>
        <v>0</v>
      </c>
    </row>
    <row r="3333" spans="1:10" ht="13.5" thickBot="1">
      <c r="A3333" s="27"/>
      <c r="B3333" s="110"/>
      <c r="D3333" s="409"/>
      <c r="E3333" s="13" t="s">
        <v>101</v>
      </c>
      <c r="F3333" s="14"/>
      <c r="G3333" s="410" t="s">
        <v>375</v>
      </c>
      <c r="H3333" s="411">
        <v>8.9999999999999993E-3</v>
      </c>
      <c r="I3333" s="412">
        <f>'BAHAN '!G59</f>
        <v>0</v>
      </c>
      <c r="J3333" s="16">
        <f>H3333*I3333</f>
        <v>0</v>
      </c>
    </row>
    <row r="3334" spans="1:10" ht="13.5" thickBot="1">
      <c r="A3334" s="27"/>
      <c r="B3334" s="110"/>
      <c r="D3334" s="417"/>
      <c r="E3334" s="418"/>
      <c r="F3334" s="418"/>
      <c r="G3334" s="419"/>
      <c r="H3334" s="420" t="s">
        <v>64</v>
      </c>
      <c r="I3334" s="421"/>
      <c r="J3334" s="396">
        <f>SUM(J3331:J3333)</f>
        <v>0</v>
      </c>
    </row>
    <row r="3335" spans="1:10" ht="13.5" thickBot="1">
      <c r="A3335" s="27"/>
      <c r="B3335" s="110"/>
      <c r="D3335" s="406" t="s">
        <v>65</v>
      </c>
      <c r="E3335" s="13" t="s">
        <v>66</v>
      </c>
      <c r="F3335" s="14"/>
      <c r="G3335" s="15"/>
      <c r="H3335" s="451"/>
      <c r="I3335" s="412">
        <f>IF(AND(E3335&lt;&gt;"",G3335&lt;&gt;""),IF(D3335="",IF(G3335="OH",VLOOKUP(E3335,UPAH!$C$4:$H$31,7,0),VLOOKUP(E3335,#REF!,4,0)),0),0)</f>
        <v>0</v>
      </c>
      <c r="J3335" s="16">
        <f>H3335*I3335</f>
        <v>0</v>
      </c>
    </row>
    <row r="3336" spans="1:10" ht="13.5" thickBot="1">
      <c r="A3336" s="27"/>
      <c r="B3336" s="110"/>
      <c r="D3336" s="417"/>
      <c r="E3336" s="418"/>
      <c r="F3336" s="418"/>
      <c r="G3336" s="419"/>
      <c r="H3336" s="420" t="s">
        <v>67</v>
      </c>
      <c r="I3336" s="421"/>
      <c r="J3336" s="396">
        <f>J3335</f>
        <v>0</v>
      </c>
    </row>
    <row r="3337" spans="1:10" ht="13">
      <c r="A3337" s="27"/>
      <c r="B3337" s="110"/>
      <c r="D3337" s="444" t="s">
        <v>68</v>
      </c>
      <c r="E3337" s="445" t="s">
        <v>69</v>
      </c>
      <c r="F3337" s="446"/>
      <c r="G3337" s="447"/>
      <c r="H3337" s="448"/>
      <c r="I3337" s="449">
        <f>IF(AND(E3337&lt;&gt;"",G3337&lt;&gt;""),IF(D3337="",IF(G3337="OH",VLOOKUP(E3337,UPAH!$C$4:$H$31,7,0),VLOOKUP(E3337,#REF!,4,0)),0),0)</f>
        <v>0</v>
      </c>
      <c r="J3337" s="16">
        <f>SUM(J3324:J3336)/2</f>
        <v>0</v>
      </c>
    </row>
    <row r="3338" spans="1:10" ht="13.5" thickBot="1">
      <c r="A3338" s="27"/>
      <c r="B3338" s="110"/>
      <c r="D3338" s="431" t="s">
        <v>70</v>
      </c>
      <c r="E3338" s="432" t="s">
        <v>477</v>
      </c>
      <c r="F3338" s="433"/>
      <c r="G3338" s="434"/>
      <c r="H3338" s="22">
        <v>0.1</v>
      </c>
      <c r="I3338" s="436"/>
      <c r="J3338" s="430">
        <f>H3338*J3337</f>
        <v>0</v>
      </c>
    </row>
    <row r="3339" spans="1:10" ht="13.5" thickBot="1">
      <c r="A3339" s="27"/>
      <c r="B3339" s="110"/>
      <c r="D3339" s="401" t="s">
        <v>71</v>
      </c>
      <c r="E3339" s="402" t="s">
        <v>72</v>
      </c>
      <c r="F3339" s="418"/>
      <c r="G3339" s="419"/>
      <c r="H3339" s="442"/>
      <c r="I3339" s="421">
        <f>IF(AND(E3339&lt;&gt;"",G3339&lt;&gt;""),IF(D3339="",IF(G3339="OH",VLOOKUP(E3339,UPAH!$C$4:$H$31,7,0),VLOOKUP(E3339,#REF!,4,0)),0),0)</f>
        <v>0</v>
      </c>
      <c r="J3339" s="396">
        <f>ROUNDDOWN(J3337+J3338,0)</f>
        <v>0</v>
      </c>
    </row>
    <row r="3340" spans="1:10" ht="13">
      <c r="A3340" s="27"/>
      <c r="B3340" s="110"/>
      <c r="D3340" s="11"/>
      <c r="E3340" s="11"/>
      <c r="H3340" s="443"/>
    </row>
    <row r="3341" spans="1:10" ht="13.5" thickBot="1">
      <c r="A3341" s="27"/>
      <c r="B3341" s="110"/>
      <c r="C3341" s="11" t="s">
        <v>812</v>
      </c>
      <c r="D3341" s="11" t="s">
        <v>811</v>
      </c>
      <c r="H3341" s="443"/>
    </row>
    <row r="3342" spans="1:10" ht="13.5" thickBot="1">
      <c r="A3342" s="27"/>
      <c r="B3342" s="110"/>
      <c r="D3342" s="401" t="s">
        <v>40</v>
      </c>
      <c r="E3342" s="402" t="s">
        <v>41</v>
      </c>
      <c r="F3342" s="402" t="s">
        <v>42</v>
      </c>
      <c r="G3342" s="403" t="s">
        <v>43</v>
      </c>
      <c r="H3342" s="404" t="s">
        <v>44</v>
      </c>
      <c r="I3342" s="402" t="s">
        <v>474</v>
      </c>
      <c r="J3342" s="405" t="s">
        <v>475</v>
      </c>
    </row>
    <row r="3343" spans="1:10" ht="13">
      <c r="A3343" s="27"/>
      <c r="B3343" s="110"/>
      <c r="D3343" s="406" t="s">
        <v>45</v>
      </c>
      <c r="E3343" s="13" t="s">
        <v>46</v>
      </c>
      <c r="F3343" s="14"/>
      <c r="G3343" s="15"/>
      <c r="H3343" s="451"/>
      <c r="I3343" s="412"/>
      <c r="J3343" s="16"/>
    </row>
    <row r="3344" spans="1:10" ht="13">
      <c r="A3344" s="27"/>
      <c r="B3344" s="110"/>
      <c r="D3344" s="409"/>
      <c r="E3344" s="13" t="s">
        <v>47</v>
      </c>
      <c r="F3344" s="13" t="s">
        <v>1918</v>
      </c>
      <c r="G3344" s="410" t="s">
        <v>48</v>
      </c>
      <c r="H3344" s="411">
        <v>0.36</v>
      </c>
      <c r="I3344" s="412">
        <f>IF(AND(E3344&lt;&gt;"",G3344&lt;&gt;""),IF(D3344="",IF(G3344="OH",VLOOKUP(F3344,UPAH!$B$4:$H$101,7,0),VLOOKUP(F3344,#REF!,4,0)),0),0)</f>
        <v>0</v>
      </c>
      <c r="J3344" s="16">
        <f>H3344*I3344</f>
        <v>0</v>
      </c>
    </row>
    <row r="3345" spans="1:10" ht="13">
      <c r="A3345" s="27"/>
      <c r="B3345" s="110"/>
      <c r="D3345" s="409"/>
      <c r="E3345" s="13" t="s">
        <v>115</v>
      </c>
      <c r="F3345" s="13" t="s">
        <v>1921</v>
      </c>
      <c r="G3345" s="410" t="s">
        <v>48</v>
      </c>
      <c r="H3345" s="411">
        <v>0.12</v>
      </c>
      <c r="I3345" s="412">
        <f>IF(AND(E3345&lt;&gt;"",G3345&lt;&gt;""),IF(D3345="",IF(G3345="OH",VLOOKUP(F3345,UPAH!$B$4:$H$101,7,0),VLOOKUP(F3345,#REF!,4,0)),0),0)</f>
        <v>0</v>
      </c>
      <c r="J3345" s="16">
        <f>H3345*I3345</f>
        <v>0</v>
      </c>
    </row>
    <row r="3346" spans="1:10" ht="13">
      <c r="A3346" s="27"/>
      <c r="B3346" s="110"/>
      <c r="D3346" s="409"/>
      <c r="E3346" s="13" t="s">
        <v>97</v>
      </c>
      <c r="F3346" s="13" t="s">
        <v>1928</v>
      </c>
      <c r="G3346" s="410" t="s">
        <v>48</v>
      </c>
      <c r="H3346" s="411">
        <v>1.2E-2</v>
      </c>
      <c r="I3346" s="412">
        <f>IF(AND(E3346&lt;&gt;"",G3346&lt;&gt;""),IF(D3346="",IF(G3346="OH",VLOOKUP(F3346,UPAH!$B$4:$H$101,7,0),VLOOKUP(F3346,#REF!,4,0)),0),0)</f>
        <v>0</v>
      </c>
      <c r="J3346" s="16">
        <f>H3346*I3346</f>
        <v>0</v>
      </c>
    </row>
    <row r="3347" spans="1:10" ht="13.5" thickBot="1">
      <c r="A3347" s="27"/>
      <c r="B3347" s="110"/>
      <c r="D3347" s="409"/>
      <c r="E3347" s="13" t="s">
        <v>51</v>
      </c>
      <c r="F3347" s="13" t="s">
        <v>1929</v>
      </c>
      <c r="G3347" s="410" t="s">
        <v>48</v>
      </c>
      <c r="H3347" s="411">
        <v>1.7999999999999999E-2</v>
      </c>
      <c r="I3347" s="412">
        <f>IF(AND(E3347&lt;&gt;"",G3347&lt;&gt;""),IF(D3347="",IF(G3347="OH",VLOOKUP(F3347,UPAH!$B$4:$H$101,7,0),VLOOKUP(F3347,#REF!,4,0)),0),0)</f>
        <v>0</v>
      </c>
      <c r="J3347" s="16">
        <f>H3347*I3347</f>
        <v>0</v>
      </c>
    </row>
    <row r="3348" spans="1:10" ht="13.5" thickBot="1">
      <c r="A3348" s="27"/>
      <c r="B3348" s="110"/>
      <c r="D3348" s="417"/>
      <c r="E3348" s="418"/>
      <c r="F3348" s="418"/>
      <c r="G3348" s="419"/>
      <c r="H3348" s="420" t="s">
        <v>52</v>
      </c>
      <c r="I3348" s="421"/>
      <c r="J3348" s="396">
        <f>SUM(J3344:J3347)</f>
        <v>0</v>
      </c>
    </row>
    <row r="3349" spans="1:10" ht="13">
      <c r="A3349" s="27"/>
      <c r="B3349" s="110"/>
      <c r="D3349" s="406" t="s">
        <v>53</v>
      </c>
      <c r="E3349" s="13" t="s">
        <v>54</v>
      </c>
      <c r="F3349" s="14"/>
      <c r="G3349" s="15"/>
      <c r="H3349" s="451"/>
      <c r="I3349" s="412"/>
      <c r="J3349" s="16"/>
    </row>
    <row r="3350" spans="1:10" ht="13">
      <c r="A3350" s="27"/>
      <c r="B3350" s="110"/>
      <c r="D3350" s="409"/>
      <c r="E3350" s="13" t="s">
        <v>56</v>
      </c>
      <c r="F3350" s="14"/>
      <c r="G3350" s="410" t="s">
        <v>93</v>
      </c>
      <c r="H3350" s="411">
        <v>7.0000000000000001E-3</v>
      </c>
      <c r="I3350" s="412">
        <f>'BAHAN '!G72</f>
        <v>0</v>
      </c>
      <c r="J3350" s="16">
        <f>H3350*I3350</f>
        <v>0</v>
      </c>
    </row>
    <row r="3351" spans="1:10" ht="13">
      <c r="A3351" s="27"/>
      <c r="B3351" s="110"/>
      <c r="D3351" s="409"/>
      <c r="E3351" s="13" t="s">
        <v>395</v>
      </c>
      <c r="F3351" s="14"/>
      <c r="G3351" s="410" t="s">
        <v>375</v>
      </c>
      <c r="H3351" s="411">
        <v>7.0000000000000001E-3</v>
      </c>
      <c r="I3351" s="412">
        <f>$I$3294</f>
        <v>0</v>
      </c>
      <c r="J3351" s="16">
        <f>H3351*I3351</f>
        <v>0</v>
      </c>
    </row>
    <row r="3352" spans="1:10" ht="13.5" thickBot="1">
      <c r="A3352" s="27"/>
      <c r="B3352" s="110"/>
      <c r="D3352" s="409"/>
      <c r="E3352" s="13" t="s">
        <v>101</v>
      </c>
      <c r="F3352" s="14"/>
      <c r="G3352" s="410" t="s">
        <v>375</v>
      </c>
      <c r="H3352" s="411">
        <v>1.4999999999999999E-2</v>
      </c>
      <c r="I3352" s="412">
        <f>'BAHAN '!G59</f>
        <v>0</v>
      </c>
      <c r="J3352" s="16">
        <f>H3352*I3352</f>
        <v>0</v>
      </c>
    </row>
    <row r="3353" spans="1:10" ht="13.5" thickBot="1">
      <c r="A3353" s="27"/>
      <c r="B3353" s="110"/>
      <c r="D3353" s="417"/>
      <c r="E3353" s="418"/>
      <c r="F3353" s="418"/>
      <c r="G3353" s="419"/>
      <c r="H3353" s="420" t="s">
        <v>64</v>
      </c>
      <c r="I3353" s="421"/>
      <c r="J3353" s="396">
        <f>SUM(J3350:J3352)</f>
        <v>0</v>
      </c>
    </row>
    <row r="3354" spans="1:10" ht="13.5" thickBot="1">
      <c r="A3354" s="27"/>
      <c r="B3354" s="110"/>
      <c r="D3354" s="406" t="s">
        <v>65</v>
      </c>
      <c r="E3354" s="13" t="s">
        <v>66</v>
      </c>
      <c r="F3354" s="14"/>
      <c r="G3354" s="15"/>
      <c r="H3354" s="451"/>
      <c r="I3354" s="412">
        <f>IF(AND(E3354&lt;&gt;"",G3354&lt;&gt;""),IF(D3354="",IF(G3354="OH",VLOOKUP(E3354,UPAH!$C$4:$H$31,7,0),VLOOKUP(E3354,#REF!,4,0)),0),0)</f>
        <v>0</v>
      </c>
      <c r="J3354" s="16">
        <f>H3354*I3354</f>
        <v>0</v>
      </c>
    </row>
    <row r="3355" spans="1:10" ht="13.5" thickBot="1">
      <c r="A3355" s="27"/>
      <c r="B3355" s="110"/>
      <c r="D3355" s="417"/>
      <c r="E3355" s="418"/>
      <c r="F3355" s="418"/>
      <c r="G3355" s="419"/>
      <c r="H3355" s="420" t="s">
        <v>67</v>
      </c>
      <c r="I3355" s="421"/>
      <c r="J3355" s="396">
        <f>J3354</f>
        <v>0</v>
      </c>
    </row>
    <row r="3356" spans="1:10" ht="13">
      <c r="A3356" s="27"/>
      <c r="B3356" s="110"/>
      <c r="D3356" s="444" t="s">
        <v>68</v>
      </c>
      <c r="E3356" s="445" t="s">
        <v>69</v>
      </c>
      <c r="F3356" s="446"/>
      <c r="G3356" s="447"/>
      <c r="H3356" s="448"/>
      <c r="I3356" s="449">
        <f>IF(AND(E3356&lt;&gt;"",G3356&lt;&gt;""),IF(D3356="",IF(G3356="OH",VLOOKUP(E3356,UPAH!$C$4:$H$31,7,0),VLOOKUP(E3356,#REF!,4,0)),0),0)</f>
        <v>0</v>
      </c>
      <c r="J3356" s="16">
        <f>SUM(J3344:J3355)/2</f>
        <v>0</v>
      </c>
    </row>
    <row r="3357" spans="1:10" ht="13.5" thickBot="1">
      <c r="A3357" s="27"/>
      <c r="B3357" s="110"/>
      <c r="D3357" s="431" t="s">
        <v>70</v>
      </c>
      <c r="E3357" s="432" t="s">
        <v>477</v>
      </c>
      <c r="F3357" s="433"/>
      <c r="G3357" s="434"/>
      <c r="H3357" s="22">
        <v>0.1</v>
      </c>
      <c r="I3357" s="436"/>
      <c r="J3357" s="430">
        <f>H3357*J3356</f>
        <v>0</v>
      </c>
    </row>
    <row r="3358" spans="1:10" ht="13.5" thickBot="1">
      <c r="A3358" s="27"/>
      <c r="B3358" s="110"/>
      <c r="D3358" s="401" t="s">
        <v>71</v>
      </c>
      <c r="E3358" s="402" t="s">
        <v>72</v>
      </c>
      <c r="F3358" s="418"/>
      <c r="G3358" s="419"/>
      <c r="H3358" s="442"/>
      <c r="I3358" s="421">
        <f>IF(AND(E3358&lt;&gt;"",G3358&lt;&gt;""),IF(D3358="",IF(G3358="OH",VLOOKUP(E3358,UPAH!$C$4:$H$31,7,0),VLOOKUP(E3358,#REF!,4,0)),0),0)</f>
        <v>0</v>
      </c>
      <c r="J3358" s="396">
        <f>ROUNDDOWN(J3356+J3357,0)</f>
        <v>0</v>
      </c>
    </row>
    <row r="3359" spans="1:10" ht="13">
      <c r="A3359" s="27"/>
      <c r="B3359" s="110"/>
      <c r="D3359" s="11"/>
      <c r="E3359" s="11"/>
      <c r="H3359" s="443"/>
    </row>
    <row r="3360" spans="1:10" ht="13.5" thickBot="1">
      <c r="A3360" s="27"/>
      <c r="B3360" s="110"/>
      <c r="C3360" s="11" t="s">
        <v>813</v>
      </c>
      <c r="D3360" s="10" t="s">
        <v>814</v>
      </c>
      <c r="H3360" s="443"/>
    </row>
    <row r="3361" spans="1:10" ht="13.5" thickBot="1">
      <c r="A3361" s="27"/>
      <c r="B3361" s="110"/>
      <c r="D3361" s="401" t="s">
        <v>40</v>
      </c>
      <c r="E3361" s="402" t="s">
        <v>41</v>
      </c>
      <c r="F3361" s="402" t="s">
        <v>42</v>
      </c>
      <c r="G3361" s="403" t="s">
        <v>43</v>
      </c>
      <c r="H3361" s="404" t="s">
        <v>44</v>
      </c>
      <c r="I3361" s="402" t="s">
        <v>474</v>
      </c>
      <c r="J3361" s="405" t="s">
        <v>475</v>
      </c>
    </row>
    <row r="3362" spans="1:10" ht="13">
      <c r="A3362" s="27"/>
      <c r="B3362" s="110"/>
      <c r="D3362" s="406" t="s">
        <v>45</v>
      </c>
      <c r="E3362" s="13" t="s">
        <v>46</v>
      </c>
      <c r="F3362" s="14"/>
      <c r="G3362" s="15"/>
      <c r="H3362" s="451"/>
      <c r="I3362" s="412"/>
      <c r="J3362" s="16"/>
    </row>
    <row r="3363" spans="1:10" ht="13">
      <c r="A3363" s="27"/>
      <c r="B3363" s="110"/>
      <c r="D3363" s="409"/>
      <c r="E3363" s="13" t="s">
        <v>47</v>
      </c>
      <c r="F3363" s="13" t="s">
        <v>1918</v>
      </c>
      <c r="G3363" s="410" t="s">
        <v>48</v>
      </c>
      <c r="H3363" s="411">
        <v>0.4</v>
      </c>
      <c r="I3363" s="412">
        <f>IF(AND(E3363&lt;&gt;"",G3363&lt;&gt;""),IF(D3363="",IF(G3363="OH",VLOOKUP(F3363,UPAH!$B$4:$H$101,7,0),VLOOKUP(F3363,#REF!,4,0)),0),0)</f>
        <v>0</v>
      </c>
      <c r="J3363" s="16">
        <f>H3363*I3363</f>
        <v>0</v>
      </c>
    </row>
    <row r="3364" spans="1:10" ht="13">
      <c r="A3364" s="27"/>
      <c r="B3364" s="110"/>
      <c r="D3364" s="409"/>
      <c r="E3364" s="13" t="s">
        <v>115</v>
      </c>
      <c r="F3364" s="13" t="s">
        <v>1921</v>
      </c>
      <c r="G3364" s="410" t="s">
        <v>48</v>
      </c>
      <c r="H3364" s="411">
        <v>0.2</v>
      </c>
      <c r="I3364" s="412">
        <f>IF(AND(E3364&lt;&gt;"",G3364&lt;&gt;""),IF(D3364="",IF(G3364="OH",VLOOKUP(F3364,UPAH!$B$4:$H$101,7,0),VLOOKUP(F3364,#REF!,4,0)),0),0)</f>
        <v>0</v>
      </c>
      <c r="J3364" s="16">
        <f>H3364*I3364</f>
        <v>0</v>
      </c>
    </row>
    <row r="3365" spans="1:10" ht="13">
      <c r="A3365" s="27"/>
      <c r="B3365" s="110"/>
      <c r="D3365" s="409"/>
      <c r="E3365" s="13" t="s">
        <v>97</v>
      </c>
      <c r="F3365" s="13" t="s">
        <v>1928</v>
      </c>
      <c r="G3365" s="410" t="s">
        <v>48</v>
      </c>
      <c r="H3365" s="411">
        <v>0.02</v>
      </c>
      <c r="I3365" s="412">
        <f>IF(AND(E3365&lt;&gt;"",G3365&lt;&gt;""),IF(D3365="",IF(G3365="OH",VLOOKUP(F3365,UPAH!$B$4:$H$101,7,0),VLOOKUP(F3365,#REF!,4,0)),0),0)</f>
        <v>0</v>
      </c>
      <c r="J3365" s="16">
        <f>H3365*I3365</f>
        <v>0</v>
      </c>
    </row>
    <row r="3366" spans="1:10" ht="13.5" thickBot="1">
      <c r="A3366" s="27"/>
      <c r="B3366" s="110"/>
      <c r="D3366" s="409"/>
      <c r="E3366" s="13" t="s">
        <v>51</v>
      </c>
      <c r="F3366" s="13" t="s">
        <v>1929</v>
      </c>
      <c r="G3366" s="410" t="s">
        <v>48</v>
      </c>
      <c r="H3366" s="411">
        <v>2.1999999999999999E-2</v>
      </c>
      <c r="I3366" s="412">
        <f>IF(AND(E3366&lt;&gt;"",G3366&lt;&gt;""),IF(D3366="",IF(G3366="OH",VLOOKUP(F3366,UPAH!$B$4:$H$101,7,0),VLOOKUP(F3366,#REF!,4,0)),0),0)</f>
        <v>0</v>
      </c>
      <c r="J3366" s="16">
        <f>H3366*I3366</f>
        <v>0</v>
      </c>
    </row>
    <row r="3367" spans="1:10" ht="13.5" thickBot="1">
      <c r="A3367" s="27"/>
      <c r="B3367" s="110"/>
      <c r="D3367" s="417"/>
      <c r="E3367" s="418"/>
      <c r="F3367" s="418"/>
      <c r="G3367" s="419"/>
      <c r="H3367" s="420" t="s">
        <v>52</v>
      </c>
      <c r="I3367" s="421"/>
      <c r="J3367" s="396">
        <f>SUM(J3363:J3366)</f>
        <v>0</v>
      </c>
    </row>
    <row r="3368" spans="1:10" ht="13">
      <c r="A3368" s="27"/>
      <c r="B3368" s="110"/>
      <c r="D3368" s="406" t="s">
        <v>53</v>
      </c>
      <c r="E3368" s="13" t="s">
        <v>54</v>
      </c>
      <c r="F3368" s="14"/>
      <c r="G3368" s="15"/>
      <c r="H3368" s="451"/>
      <c r="I3368" s="412"/>
      <c r="J3368" s="16"/>
    </row>
    <row r="3369" spans="1:10" ht="13">
      <c r="A3369" s="27"/>
      <c r="B3369" s="110"/>
      <c r="D3369" s="409"/>
      <c r="E3369" s="13" t="s">
        <v>56</v>
      </c>
      <c r="F3369" s="14"/>
      <c r="G3369" s="410" t="s">
        <v>57</v>
      </c>
      <c r="H3369" s="411">
        <v>13.632</v>
      </c>
      <c r="I3369" s="412">
        <f>'BAHAN '!G72</f>
        <v>0</v>
      </c>
      <c r="J3369" s="16">
        <f>H3369*I3369</f>
        <v>0</v>
      </c>
    </row>
    <row r="3370" spans="1:10" ht="13.5" thickBot="1">
      <c r="A3370" s="27"/>
      <c r="B3370" s="110"/>
      <c r="D3370" s="409"/>
      <c r="E3370" s="13" t="s">
        <v>101</v>
      </c>
      <c r="F3370" s="14"/>
      <c r="G3370" s="410" t="s">
        <v>375</v>
      </c>
      <c r="H3370" s="411">
        <v>2.7E-2</v>
      </c>
      <c r="I3370" s="412">
        <f>'BAHAN '!G59</f>
        <v>0</v>
      </c>
      <c r="J3370" s="16">
        <f>H3370*I3370</f>
        <v>0</v>
      </c>
    </row>
    <row r="3371" spans="1:10" ht="13.5" thickBot="1">
      <c r="A3371" s="27"/>
      <c r="B3371" s="110"/>
      <c r="D3371" s="417"/>
      <c r="E3371" s="418"/>
      <c r="F3371" s="418"/>
      <c r="G3371" s="419"/>
      <c r="H3371" s="420" t="s">
        <v>64</v>
      </c>
      <c r="I3371" s="421"/>
      <c r="J3371" s="396">
        <f>SUM(J3369:J3370)</f>
        <v>0</v>
      </c>
    </row>
    <row r="3372" spans="1:10" ht="13.5" thickBot="1">
      <c r="A3372" s="27"/>
      <c r="B3372" s="110"/>
      <c r="D3372" s="406" t="s">
        <v>65</v>
      </c>
      <c r="E3372" s="13" t="s">
        <v>66</v>
      </c>
      <c r="F3372" s="14"/>
      <c r="G3372" s="15"/>
      <c r="H3372" s="451"/>
      <c r="I3372" s="412">
        <f>IF(AND(E3372&lt;&gt;"",G3372&lt;&gt;""),IF(D3372="",IF(G3372="OH",VLOOKUP(E3372,UPAH!$C$4:$H$31,7,0),VLOOKUP(E3372,#REF!,4,0)),0),0)</f>
        <v>0</v>
      </c>
      <c r="J3372" s="16">
        <f>H3372*I3372</f>
        <v>0</v>
      </c>
    </row>
    <row r="3373" spans="1:10" ht="13.5" thickBot="1">
      <c r="A3373" s="27"/>
      <c r="B3373" s="110"/>
      <c r="D3373" s="417"/>
      <c r="E3373" s="418"/>
      <c r="F3373" s="418"/>
      <c r="G3373" s="419"/>
      <c r="H3373" s="420" t="s">
        <v>67</v>
      </c>
      <c r="I3373" s="421"/>
      <c r="J3373" s="396">
        <f>J3372</f>
        <v>0</v>
      </c>
    </row>
    <row r="3374" spans="1:10" ht="13">
      <c r="A3374" s="27"/>
      <c r="B3374" s="110"/>
      <c r="D3374" s="444" t="s">
        <v>68</v>
      </c>
      <c r="E3374" s="445" t="s">
        <v>69</v>
      </c>
      <c r="F3374" s="446"/>
      <c r="G3374" s="447"/>
      <c r="H3374" s="448"/>
      <c r="I3374" s="449">
        <f>IF(AND(E3374&lt;&gt;"",G3374&lt;&gt;""),IF(D3374="",IF(G3374="OH",VLOOKUP(E3374,UPAH!$C$4:$H$31,7,0),VLOOKUP(E3374,#REF!,4,0)),0),0)</f>
        <v>0</v>
      </c>
      <c r="J3374" s="16">
        <f>SUM(J3363:J3373)/2</f>
        <v>0</v>
      </c>
    </row>
    <row r="3375" spans="1:10" ht="13.5" thickBot="1">
      <c r="A3375" s="27"/>
      <c r="B3375" s="110"/>
      <c r="D3375" s="431" t="s">
        <v>70</v>
      </c>
      <c r="E3375" s="432" t="s">
        <v>477</v>
      </c>
      <c r="F3375" s="433"/>
      <c r="G3375" s="434"/>
      <c r="H3375" s="22">
        <v>0.1</v>
      </c>
      <c r="I3375" s="436"/>
      <c r="J3375" s="430">
        <f>H3375*J3374</f>
        <v>0</v>
      </c>
    </row>
    <row r="3376" spans="1:10" ht="13.5" thickBot="1">
      <c r="A3376" s="27"/>
      <c r="B3376" s="110"/>
      <c r="D3376" s="401" t="s">
        <v>71</v>
      </c>
      <c r="E3376" s="402" t="s">
        <v>72</v>
      </c>
      <c r="F3376" s="418"/>
      <c r="G3376" s="419"/>
      <c r="H3376" s="442"/>
      <c r="I3376" s="421">
        <f>IF(AND(E3376&lt;&gt;"",G3376&lt;&gt;""),IF(D3376="",IF(G3376="OH",VLOOKUP(E3376,UPAH!$C$4:$H$31,7,0),VLOOKUP(E3376,#REF!,4,0)),0),0)</f>
        <v>0</v>
      </c>
      <c r="J3376" s="396">
        <f>ROUNDDOWN(J3374+J3375,0)</f>
        <v>0</v>
      </c>
    </row>
    <row r="3377" spans="1:10" ht="13">
      <c r="A3377" s="27"/>
      <c r="B3377" s="110"/>
      <c r="D3377" s="11"/>
      <c r="E3377" s="11"/>
      <c r="H3377" s="443"/>
    </row>
    <row r="3378" spans="1:10" ht="13.5" thickBot="1">
      <c r="A3378" s="27"/>
      <c r="B3378" s="110"/>
      <c r="C3378" s="11" t="s">
        <v>815</v>
      </c>
      <c r="D3378" s="10" t="s">
        <v>816</v>
      </c>
      <c r="H3378" s="443"/>
    </row>
    <row r="3379" spans="1:10" ht="13.5" thickBot="1">
      <c r="A3379" s="27"/>
      <c r="B3379" s="110"/>
      <c r="D3379" s="401" t="s">
        <v>40</v>
      </c>
      <c r="E3379" s="402" t="s">
        <v>41</v>
      </c>
      <c r="F3379" s="402" t="s">
        <v>42</v>
      </c>
      <c r="G3379" s="403" t="s">
        <v>43</v>
      </c>
      <c r="H3379" s="404" t="s">
        <v>44</v>
      </c>
      <c r="I3379" s="402" t="s">
        <v>474</v>
      </c>
      <c r="J3379" s="405" t="s">
        <v>475</v>
      </c>
    </row>
    <row r="3380" spans="1:10" ht="13">
      <c r="A3380" s="27"/>
      <c r="B3380" s="110"/>
      <c r="D3380" s="406" t="s">
        <v>45</v>
      </c>
      <c r="E3380" s="13" t="s">
        <v>46</v>
      </c>
      <c r="F3380" s="14"/>
      <c r="G3380" s="15"/>
      <c r="H3380" s="451"/>
      <c r="I3380" s="412"/>
      <c r="J3380" s="16"/>
    </row>
    <row r="3381" spans="1:10" ht="13">
      <c r="A3381" s="27"/>
      <c r="B3381" s="110"/>
      <c r="D3381" s="409"/>
      <c r="E3381" s="13" t="s">
        <v>47</v>
      </c>
      <c r="F3381" s="13" t="s">
        <v>1918</v>
      </c>
      <c r="G3381" s="410" t="s">
        <v>48</v>
      </c>
      <c r="H3381" s="411">
        <v>0.26</v>
      </c>
      <c r="I3381" s="412">
        <f>IF(AND(E3381&lt;&gt;"",G3381&lt;&gt;""),IF(D3381="",IF(G3381="OH",VLOOKUP(F3381,UPAH!$B$4:$H$101,7,0),VLOOKUP(F3381,#REF!,4,0)),0),0)</f>
        <v>0</v>
      </c>
      <c r="J3381" s="16">
        <f>H3381*I3381</f>
        <v>0</v>
      </c>
    </row>
    <row r="3382" spans="1:10" ht="13">
      <c r="A3382" s="27"/>
      <c r="B3382" s="110"/>
      <c r="D3382" s="409"/>
      <c r="E3382" s="13" t="s">
        <v>115</v>
      </c>
      <c r="F3382" s="13" t="s">
        <v>1921</v>
      </c>
      <c r="G3382" s="410" t="s">
        <v>48</v>
      </c>
      <c r="H3382" s="411">
        <v>0.2</v>
      </c>
      <c r="I3382" s="412">
        <f>IF(AND(E3382&lt;&gt;"",G3382&lt;&gt;""),IF(D3382="",IF(G3382="OH",VLOOKUP(F3382,UPAH!$B$4:$H$101,7,0),VLOOKUP(F3382,#REF!,4,0)),0),0)</f>
        <v>0</v>
      </c>
      <c r="J3382" s="16">
        <f>H3382*I3382</f>
        <v>0</v>
      </c>
    </row>
    <row r="3383" spans="1:10" ht="13">
      <c r="A3383" s="27"/>
      <c r="B3383" s="110"/>
      <c r="D3383" s="409"/>
      <c r="E3383" s="13" t="s">
        <v>97</v>
      </c>
      <c r="F3383" s="13" t="s">
        <v>1928</v>
      </c>
      <c r="G3383" s="410" t="s">
        <v>48</v>
      </c>
      <c r="H3383" s="411">
        <v>0.02</v>
      </c>
      <c r="I3383" s="412">
        <f>IF(AND(E3383&lt;&gt;"",G3383&lt;&gt;""),IF(D3383="",IF(G3383="OH",VLOOKUP(F3383,UPAH!$B$4:$H$101,7,0),VLOOKUP(F3383,#REF!,4,0)),0),0)</f>
        <v>0</v>
      </c>
      <c r="J3383" s="16">
        <f>H3383*I3383</f>
        <v>0</v>
      </c>
    </row>
    <row r="3384" spans="1:10" ht="13.5" thickBot="1">
      <c r="A3384" s="27"/>
      <c r="B3384" s="110"/>
      <c r="D3384" s="409"/>
      <c r="E3384" s="13" t="s">
        <v>51</v>
      </c>
      <c r="F3384" s="13" t="s">
        <v>1929</v>
      </c>
      <c r="G3384" s="410" t="s">
        <v>48</v>
      </c>
      <c r="H3384" s="411">
        <v>1.2999999999999999E-2</v>
      </c>
      <c r="I3384" s="412">
        <f>IF(AND(E3384&lt;&gt;"",G3384&lt;&gt;""),IF(D3384="",IF(G3384="OH",VLOOKUP(F3384,UPAH!$B$4:$H$101,7,0),VLOOKUP(F3384,#REF!,4,0)),0),0)</f>
        <v>0</v>
      </c>
      <c r="J3384" s="16">
        <f>H3384*I3384</f>
        <v>0</v>
      </c>
    </row>
    <row r="3385" spans="1:10" ht="13.5" thickBot="1">
      <c r="A3385" s="27"/>
      <c r="B3385" s="110"/>
      <c r="D3385" s="417"/>
      <c r="E3385" s="418"/>
      <c r="F3385" s="418"/>
      <c r="G3385" s="419"/>
      <c r="H3385" s="420" t="s">
        <v>52</v>
      </c>
      <c r="I3385" s="421"/>
      <c r="J3385" s="396">
        <f>SUM(J3381:J3384)</f>
        <v>0</v>
      </c>
    </row>
    <row r="3386" spans="1:10" ht="13">
      <c r="A3386" s="27"/>
      <c r="B3386" s="110"/>
      <c r="D3386" s="406" t="s">
        <v>53</v>
      </c>
      <c r="E3386" s="13" t="s">
        <v>54</v>
      </c>
      <c r="F3386" s="14"/>
      <c r="G3386" s="15"/>
      <c r="H3386" s="451"/>
      <c r="I3386" s="412"/>
      <c r="J3386" s="16"/>
    </row>
    <row r="3387" spans="1:10" ht="13">
      <c r="A3387" s="27"/>
      <c r="B3387" s="110"/>
      <c r="D3387" s="409"/>
      <c r="E3387" s="13" t="s">
        <v>56</v>
      </c>
      <c r="F3387" s="14"/>
      <c r="G3387" s="410" t="s">
        <v>57</v>
      </c>
      <c r="H3387" s="411">
        <v>10.368</v>
      </c>
      <c r="I3387" s="412">
        <f>'BAHAN '!G72</f>
        <v>0</v>
      </c>
      <c r="J3387" s="16">
        <f>H3387*I3387</f>
        <v>0</v>
      </c>
    </row>
    <row r="3388" spans="1:10" ht="13.5" thickBot="1">
      <c r="A3388" s="27"/>
      <c r="B3388" s="110"/>
      <c r="D3388" s="409"/>
      <c r="E3388" s="13" t="s">
        <v>101</v>
      </c>
      <c r="F3388" s="14"/>
      <c r="G3388" s="410" t="s">
        <v>375</v>
      </c>
      <c r="H3388" s="411">
        <v>3.1E-2</v>
      </c>
      <c r="I3388" s="412">
        <f>'BAHAN '!G59</f>
        <v>0</v>
      </c>
      <c r="J3388" s="16">
        <f>H3388*I3388</f>
        <v>0</v>
      </c>
    </row>
    <row r="3389" spans="1:10" ht="13.5" thickBot="1">
      <c r="A3389" s="27"/>
      <c r="B3389" s="110"/>
      <c r="D3389" s="417"/>
      <c r="E3389" s="418"/>
      <c r="F3389" s="418"/>
      <c r="G3389" s="419"/>
      <c r="H3389" s="420" t="s">
        <v>64</v>
      </c>
      <c r="I3389" s="421"/>
      <c r="J3389" s="396">
        <f>SUM(J3387:J3388)</f>
        <v>0</v>
      </c>
    </row>
    <row r="3390" spans="1:10" ht="13.5" thickBot="1">
      <c r="A3390" s="27"/>
      <c r="B3390" s="110"/>
      <c r="D3390" s="406" t="s">
        <v>65</v>
      </c>
      <c r="E3390" s="13" t="s">
        <v>66</v>
      </c>
      <c r="F3390" s="14"/>
      <c r="G3390" s="15"/>
      <c r="H3390" s="451"/>
      <c r="I3390" s="412">
        <f>IF(AND(E3390&lt;&gt;"",G3390&lt;&gt;""),IF(D3390="",IF(G3390="OH",VLOOKUP(E3390,UPAH!$C$4:$H$31,7,0),VLOOKUP(E3390,#REF!,4,0)),0),0)</f>
        <v>0</v>
      </c>
      <c r="J3390" s="16">
        <f>H3390*I3390</f>
        <v>0</v>
      </c>
    </row>
    <row r="3391" spans="1:10" ht="13.5" thickBot="1">
      <c r="A3391" s="27"/>
      <c r="B3391" s="110"/>
      <c r="D3391" s="417"/>
      <c r="E3391" s="418"/>
      <c r="F3391" s="418"/>
      <c r="G3391" s="419"/>
      <c r="H3391" s="420" t="s">
        <v>67</v>
      </c>
      <c r="I3391" s="421"/>
      <c r="J3391" s="396">
        <f>J3390</f>
        <v>0</v>
      </c>
    </row>
    <row r="3392" spans="1:10" ht="13">
      <c r="A3392" s="27"/>
      <c r="B3392" s="110"/>
      <c r="D3392" s="444" t="s">
        <v>68</v>
      </c>
      <c r="E3392" s="445" t="s">
        <v>69</v>
      </c>
      <c r="F3392" s="446"/>
      <c r="G3392" s="447"/>
      <c r="H3392" s="448"/>
      <c r="I3392" s="449">
        <f>IF(AND(E3392&lt;&gt;"",G3392&lt;&gt;""),IF(D3392="",IF(G3392="OH",VLOOKUP(E3392,UPAH!$C$4:$H$31,7,0),VLOOKUP(E3392,#REF!,4,0)),0),0)</f>
        <v>0</v>
      </c>
      <c r="J3392" s="16">
        <f>SUM(J3381:J3391)/2</f>
        <v>0</v>
      </c>
    </row>
    <row r="3393" spans="1:10" ht="13.5" thickBot="1">
      <c r="A3393" s="27"/>
      <c r="B3393" s="110"/>
      <c r="D3393" s="431" t="s">
        <v>70</v>
      </c>
      <c r="E3393" s="432" t="s">
        <v>477</v>
      </c>
      <c r="F3393" s="433"/>
      <c r="G3393" s="434"/>
      <c r="H3393" s="22">
        <v>0.1</v>
      </c>
      <c r="I3393" s="436"/>
      <c r="J3393" s="430">
        <f>H3393*J3392</f>
        <v>0</v>
      </c>
    </row>
    <row r="3394" spans="1:10" ht="13.5" thickBot="1">
      <c r="A3394" s="27"/>
      <c r="B3394" s="110"/>
      <c r="D3394" s="401" t="s">
        <v>71</v>
      </c>
      <c r="E3394" s="402" t="s">
        <v>72</v>
      </c>
      <c r="F3394" s="418"/>
      <c r="G3394" s="419"/>
      <c r="H3394" s="442"/>
      <c r="I3394" s="421">
        <f>IF(AND(E3394&lt;&gt;"",G3394&lt;&gt;""),IF(D3394="",IF(G3394="OH",VLOOKUP(E3394,UPAH!$C$4:$H$31,7,0),VLOOKUP(E3394,#REF!,4,0)),0),0)</f>
        <v>0</v>
      </c>
      <c r="J3394" s="396">
        <f>ROUNDDOWN(J3392+J3393,0)</f>
        <v>0</v>
      </c>
    </row>
    <row r="3395" spans="1:10" ht="13">
      <c r="A3395" s="27"/>
      <c r="B3395" s="110"/>
      <c r="D3395" s="11"/>
      <c r="E3395" s="11"/>
      <c r="H3395" s="443"/>
    </row>
    <row r="3396" spans="1:10" ht="13.5" thickBot="1">
      <c r="A3396" s="27"/>
      <c r="B3396" s="110"/>
      <c r="C3396" s="11" t="s">
        <v>818</v>
      </c>
      <c r="D3396" s="10" t="s">
        <v>817</v>
      </c>
      <c r="H3396" s="443"/>
    </row>
    <row r="3397" spans="1:10" ht="13.5" thickBot="1">
      <c r="A3397" s="27"/>
      <c r="B3397" s="110"/>
      <c r="D3397" s="401" t="s">
        <v>40</v>
      </c>
      <c r="E3397" s="402" t="s">
        <v>41</v>
      </c>
      <c r="F3397" s="402" t="s">
        <v>42</v>
      </c>
      <c r="G3397" s="403" t="s">
        <v>43</v>
      </c>
      <c r="H3397" s="404" t="s">
        <v>44</v>
      </c>
      <c r="I3397" s="402" t="s">
        <v>474</v>
      </c>
      <c r="J3397" s="405" t="s">
        <v>475</v>
      </c>
    </row>
    <row r="3398" spans="1:10" ht="13">
      <c r="A3398" s="27"/>
      <c r="B3398" s="110"/>
      <c r="D3398" s="406" t="s">
        <v>45</v>
      </c>
      <c r="E3398" s="13" t="s">
        <v>46</v>
      </c>
      <c r="F3398" s="14"/>
      <c r="G3398" s="15"/>
      <c r="H3398" s="451"/>
      <c r="I3398" s="412"/>
      <c r="J3398" s="16"/>
    </row>
    <row r="3399" spans="1:10" ht="13">
      <c r="A3399" s="27"/>
      <c r="B3399" s="110"/>
      <c r="D3399" s="409"/>
      <c r="E3399" s="13" t="s">
        <v>47</v>
      </c>
      <c r="F3399" s="13" t="s">
        <v>1918</v>
      </c>
      <c r="G3399" s="410" t="s">
        <v>48</v>
      </c>
      <c r="H3399" s="411">
        <v>0.4</v>
      </c>
      <c r="I3399" s="412">
        <f>IF(AND(E3399&lt;&gt;"",G3399&lt;&gt;""),IF(D3399="",IF(G3399="OH",VLOOKUP(F3399,UPAH!$B$4:$H$101,7,0),VLOOKUP(F3399,#REF!,4,0)),0),0)</f>
        <v>0</v>
      </c>
      <c r="J3399" s="16">
        <f>H3399*I3399</f>
        <v>0</v>
      </c>
    </row>
    <row r="3400" spans="1:10" ht="13">
      <c r="A3400" s="27"/>
      <c r="B3400" s="110"/>
      <c r="D3400" s="409"/>
      <c r="E3400" s="13" t="s">
        <v>115</v>
      </c>
      <c r="F3400" s="13" t="s">
        <v>1921</v>
      </c>
      <c r="G3400" s="410" t="s">
        <v>48</v>
      </c>
      <c r="H3400" s="411">
        <v>0.2</v>
      </c>
      <c r="I3400" s="412">
        <f>IF(AND(E3400&lt;&gt;"",G3400&lt;&gt;""),IF(D3400="",IF(G3400="OH",VLOOKUP(F3400,UPAH!$B$4:$H$101,7,0),VLOOKUP(F3400,#REF!,4,0)),0),0)</f>
        <v>0</v>
      </c>
      <c r="J3400" s="16">
        <f>H3400*I3400</f>
        <v>0</v>
      </c>
    </row>
    <row r="3401" spans="1:10" ht="13">
      <c r="A3401" s="27"/>
      <c r="B3401" s="110"/>
      <c r="D3401" s="409"/>
      <c r="E3401" s="13" t="s">
        <v>97</v>
      </c>
      <c r="F3401" s="13" t="s">
        <v>1928</v>
      </c>
      <c r="G3401" s="410" t="s">
        <v>48</v>
      </c>
      <c r="H3401" s="411">
        <v>0.02</v>
      </c>
      <c r="I3401" s="412">
        <f>IF(AND(E3401&lt;&gt;"",G3401&lt;&gt;""),IF(D3401="",IF(G3401="OH",VLOOKUP(F3401,UPAH!$B$4:$H$101,7,0),VLOOKUP(F3401,#REF!,4,0)),0),0)</f>
        <v>0</v>
      </c>
      <c r="J3401" s="16">
        <f>H3401*I3401</f>
        <v>0</v>
      </c>
    </row>
    <row r="3402" spans="1:10" ht="13.5" thickBot="1">
      <c r="A3402" s="27"/>
      <c r="B3402" s="110"/>
      <c r="D3402" s="409"/>
      <c r="E3402" s="13" t="s">
        <v>51</v>
      </c>
      <c r="F3402" s="13" t="s">
        <v>1929</v>
      </c>
      <c r="G3402" s="410" t="s">
        <v>48</v>
      </c>
      <c r="H3402" s="411">
        <v>2.1999999999999999E-2</v>
      </c>
      <c r="I3402" s="412">
        <f>IF(AND(E3402&lt;&gt;"",G3402&lt;&gt;""),IF(D3402="",IF(G3402="OH",VLOOKUP(F3402,UPAH!$B$4:$H$101,7,0),VLOOKUP(F3402,#REF!,4,0)),0),0)</f>
        <v>0</v>
      </c>
      <c r="J3402" s="16">
        <f>H3402*I3402</f>
        <v>0</v>
      </c>
    </row>
    <row r="3403" spans="1:10" ht="13.5" thickBot="1">
      <c r="A3403" s="27"/>
      <c r="B3403" s="110"/>
      <c r="D3403" s="417"/>
      <c r="E3403" s="418"/>
      <c r="F3403" s="418"/>
      <c r="G3403" s="419"/>
      <c r="H3403" s="420" t="s">
        <v>52</v>
      </c>
      <c r="I3403" s="421"/>
      <c r="J3403" s="396">
        <f>SUM(J3399:J3402)</f>
        <v>0</v>
      </c>
    </row>
    <row r="3404" spans="1:10" ht="13">
      <c r="A3404" s="27"/>
      <c r="B3404" s="110"/>
      <c r="D3404" s="406" t="s">
        <v>53</v>
      </c>
      <c r="E3404" s="13" t="s">
        <v>54</v>
      </c>
      <c r="F3404" s="14"/>
      <c r="G3404" s="15"/>
      <c r="H3404" s="451"/>
      <c r="I3404" s="412"/>
      <c r="J3404" s="16"/>
    </row>
    <row r="3405" spans="1:10" ht="13">
      <c r="A3405" s="27"/>
      <c r="B3405" s="110"/>
      <c r="D3405" s="409"/>
      <c r="E3405" s="13" t="s">
        <v>56</v>
      </c>
      <c r="F3405" s="14"/>
      <c r="G3405" s="410" t="s">
        <v>57</v>
      </c>
      <c r="H3405" s="411">
        <v>8.32</v>
      </c>
      <c r="I3405" s="412">
        <f>'BAHAN '!G72</f>
        <v>0</v>
      </c>
      <c r="J3405" s="16">
        <f>H3405*I3405</f>
        <v>0</v>
      </c>
    </row>
    <row r="3406" spans="1:10" ht="13.5" thickBot="1">
      <c r="A3406" s="27"/>
      <c r="B3406" s="110"/>
      <c r="D3406" s="409"/>
      <c r="E3406" s="13" t="s">
        <v>101</v>
      </c>
      <c r="F3406" s="14"/>
      <c r="G3406" s="410" t="s">
        <v>375</v>
      </c>
      <c r="H3406" s="411">
        <v>3.2000000000000001E-2</v>
      </c>
      <c r="I3406" s="412">
        <f>'BAHAN '!G59</f>
        <v>0</v>
      </c>
      <c r="J3406" s="16">
        <f>H3406*I3406</f>
        <v>0</v>
      </c>
    </row>
    <row r="3407" spans="1:10" ht="13.5" thickBot="1">
      <c r="A3407" s="27"/>
      <c r="B3407" s="110"/>
      <c r="D3407" s="417"/>
      <c r="E3407" s="418"/>
      <c r="F3407" s="418"/>
      <c r="G3407" s="419"/>
      <c r="H3407" s="420" t="s">
        <v>64</v>
      </c>
      <c r="I3407" s="421"/>
      <c r="J3407" s="396">
        <f>SUM(J3405:J3406)</f>
        <v>0</v>
      </c>
    </row>
    <row r="3408" spans="1:10" ht="13.5" thickBot="1">
      <c r="A3408" s="27"/>
      <c r="B3408" s="110"/>
      <c r="D3408" s="406" t="s">
        <v>65</v>
      </c>
      <c r="E3408" s="13" t="s">
        <v>66</v>
      </c>
      <c r="F3408" s="14"/>
      <c r="G3408" s="15"/>
      <c r="H3408" s="451"/>
      <c r="I3408" s="412">
        <f>IF(AND(E3408&lt;&gt;"",G3408&lt;&gt;""),IF(D3408="",IF(G3408="OH",VLOOKUP(E3408,UPAH!$C$4:$H$31,7,0),VLOOKUP(E3408,#REF!,4,0)),0),0)</f>
        <v>0</v>
      </c>
      <c r="J3408" s="16">
        <f>H3408*I3408</f>
        <v>0</v>
      </c>
    </row>
    <row r="3409" spans="1:10" ht="13.5" thickBot="1">
      <c r="A3409" s="27"/>
      <c r="B3409" s="110"/>
      <c r="D3409" s="417"/>
      <c r="E3409" s="418"/>
      <c r="F3409" s="418"/>
      <c r="G3409" s="419"/>
      <c r="H3409" s="420" t="s">
        <v>67</v>
      </c>
      <c r="I3409" s="421"/>
      <c r="J3409" s="396">
        <f>J3408</f>
        <v>0</v>
      </c>
    </row>
    <row r="3410" spans="1:10" ht="13">
      <c r="A3410" s="27"/>
      <c r="B3410" s="110"/>
      <c r="D3410" s="444" t="s">
        <v>68</v>
      </c>
      <c r="E3410" s="445" t="s">
        <v>69</v>
      </c>
      <c r="F3410" s="446"/>
      <c r="G3410" s="447"/>
      <c r="H3410" s="448"/>
      <c r="I3410" s="449">
        <f>IF(AND(E3410&lt;&gt;"",G3410&lt;&gt;""),IF(D3410="",IF(G3410="OH",VLOOKUP(E3410,UPAH!$C$4:$H$31,7,0),VLOOKUP(E3410,#REF!,4,0)),0),0)</f>
        <v>0</v>
      </c>
      <c r="J3410" s="16">
        <f>SUM(J3399:J3409)/2</f>
        <v>0</v>
      </c>
    </row>
    <row r="3411" spans="1:10" ht="13.5" thickBot="1">
      <c r="A3411" s="27"/>
      <c r="B3411" s="110"/>
      <c r="D3411" s="431" t="s">
        <v>70</v>
      </c>
      <c r="E3411" s="432" t="s">
        <v>477</v>
      </c>
      <c r="F3411" s="433"/>
      <c r="G3411" s="434"/>
      <c r="H3411" s="22">
        <v>0.1</v>
      </c>
      <c r="I3411" s="436"/>
      <c r="J3411" s="430">
        <f>H3411*J3410</f>
        <v>0</v>
      </c>
    </row>
    <row r="3412" spans="1:10" ht="13.5" thickBot="1">
      <c r="A3412" s="27"/>
      <c r="B3412" s="110"/>
      <c r="D3412" s="401" t="s">
        <v>71</v>
      </c>
      <c r="E3412" s="402" t="s">
        <v>72</v>
      </c>
      <c r="F3412" s="418"/>
      <c r="G3412" s="419"/>
      <c r="H3412" s="442"/>
      <c r="I3412" s="421">
        <f>IF(AND(E3412&lt;&gt;"",G3412&lt;&gt;""),IF(D3412="",IF(G3412="OH",VLOOKUP(E3412,UPAH!$C$4:$H$31,7,0),VLOOKUP(E3412,#REF!,4,0)),0),0)</f>
        <v>0</v>
      </c>
      <c r="J3412" s="396">
        <f>ROUNDDOWN(J3410+J3411,0)</f>
        <v>0</v>
      </c>
    </row>
    <row r="3413" spans="1:10" ht="13">
      <c r="A3413" s="27"/>
      <c r="B3413" s="110"/>
      <c r="D3413" s="11"/>
      <c r="E3413" s="11"/>
      <c r="H3413" s="443"/>
    </row>
    <row r="3414" spans="1:10" ht="13.5" thickBot="1">
      <c r="A3414" s="27"/>
      <c r="B3414" s="110"/>
      <c r="C3414" s="11" t="s">
        <v>819</v>
      </c>
      <c r="D3414" s="10" t="s">
        <v>820</v>
      </c>
      <c r="H3414" s="443"/>
    </row>
    <row r="3415" spans="1:10" ht="13.5" thickBot="1">
      <c r="A3415" s="27"/>
      <c r="B3415" s="110"/>
      <c r="D3415" s="401" t="s">
        <v>40</v>
      </c>
      <c r="E3415" s="402" t="s">
        <v>41</v>
      </c>
      <c r="F3415" s="402" t="s">
        <v>42</v>
      </c>
      <c r="G3415" s="403" t="s">
        <v>43</v>
      </c>
      <c r="H3415" s="404" t="s">
        <v>44</v>
      </c>
      <c r="I3415" s="402" t="s">
        <v>474</v>
      </c>
      <c r="J3415" s="405" t="s">
        <v>475</v>
      </c>
    </row>
    <row r="3416" spans="1:10" ht="13">
      <c r="A3416" s="27"/>
      <c r="B3416" s="110"/>
      <c r="D3416" s="444" t="s">
        <v>45</v>
      </c>
      <c r="E3416" s="445" t="s">
        <v>46</v>
      </c>
      <c r="F3416" s="446"/>
      <c r="G3416" s="447"/>
      <c r="H3416" s="448"/>
      <c r="I3416" s="449"/>
      <c r="J3416" s="450"/>
    </row>
    <row r="3417" spans="1:10" ht="13">
      <c r="A3417" s="27"/>
      <c r="B3417" s="110"/>
      <c r="D3417" s="409"/>
      <c r="E3417" s="13" t="s">
        <v>47</v>
      </c>
      <c r="F3417" s="13" t="s">
        <v>1918</v>
      </c>
      <c r="G3417" s="410" t="s">
        <v>48</v>
      </c>
      <c r="H3417" s="411">
        <v>0.4</v>
      </c>
      <c r="I3417" s="412">
        <f>IF(AND(E3417&lt;&gt;"",G3417&lt;&gt;""),IF(D3417="",IF(G3417="OH",VLOOKUP(F3417,UPAH!$B$4:$H$101,7,0),VLOOKUP(F3417,#REF!,4,0)),0),0)</f>
        <v>0</v>
      </c>
      <c r="J3417" s="16">
        <f>H3417*I3417</f>
        <v>0</v>
      </c>
    </row>
    <row r="3418" spans="1:10" ht="13">
      <c r="A3418" s="27"/>
      <c r="B3418" s="110"/>
      <c r="D3418" s="409"/>
      <c r="E3418" s="13" t="s">
        <v>115</v>
      </c>
      <c r="F3418" s="13" t="s">
        <v>1921</v>
      </c>
      <c r="G3418" s="410" t="s">
        <v>48</v>
      </c>
      <c r="H3418" s="411">
        <v>0.2</v>
      </c>
      <c r="I3418" s="412">
        <f>IF(AND(E3418&lt;&gt;"",G3418&lt;&gt;""),IF(D3418="",IF(G3418="OH",VLOOKUP(F3418,UPAH!$B$4:$H$101,7,0),VLOOKUP(F3418,#REF!,4,0)),0),0)</f>
        <v>0</v>
      </c>
      <c r="J3418" s="16">
        <f>H3418*I3418</f>
        <v>0</v>
      </c>
    </row>
    <row r="3419" spans="1:10" ht="13">
      <c r="A3419" s="27"/>
      <c r="B3419" s="110"/>
      <c r="D3419" s="409"/>
      <c r="E3419" s="13" t="s">
        <v>97</v>
      </c>
      <c r="F3419" s="13" t="s">
        <v>1928</v>
      </c>
      <c r="G3419" s="410" t="s">
        <v>48</v>
      </c>
      <c r="H3419" s="411">
        <v>0.02</v>
      </c>
      <c r="I3419" s="412">
        <f>IF(AND(E3419&lt;&gt;"",G3419&lt;&gt;""),IF(D3419="",IF(G3419="OH",VLOOKUP(F3419,UPAH!$B$4:$H$101,7,0),VLOOKUP(F3419,#REF!,4,0)),0),0)</f>
        <v>0</v>
      </c>
      <c r="J3419" s="16">
        <f>H3419*I3419</f>
        <v>0</v>
      </c>
    </row>
    <row r="3420" spans="1:10" ht="13.5" thickBot="1">
      <c r="A3420" s="27"/>
      <c r="B3420" s="110"/>
      <c r="D3420" s="409"/>
      <c r="E3420" s="13" t="s">
        <v>51</v>
      </c>
      <c r="F3420" s="13" t="s">
        <v>1929</v>
      </c>
      <c r="G3420" s="410" t="s">
        <v>48</v>
      </c>
      <c r="H3420" s="411">
        <v>2.1999999999999999E-2</v>
      </c>
      <c r="I3420" s="412">
        <f>IF(AND(E3420&lt;&gt;"",G3420&lt;&gt;""),IF(D3420="",IF(G3420="OH",VLOOKUP(F3420,UPAH!$B$4:$H$101,7,0),VLOOKUP(F3420,#REF!,4,0)),0),0)</f>
        <v>0</v>
      </c>
      <c r="J3420" s="16">
        <f>H3420*I3420</f>
        <v>0</v>
      </c>
    </row>
    <row r="3421" spans="1:10" ht="13.5" thickBot="1">
      <c r="A3421" s="27"/>
      <c r="B3421" s="110"/>
      <c r="D3421" s="417"/>
      <c r="E3421" s="418"/>
      <c r="F3421" s="418"/>
      <c r="G3421" s="419"/>
      <c r="H3421" s="420" t="s">
        <v>52</v>
      </c>
      <c r="I3421" s="421"/>
      <c r="J3421" s="396">
        <f>SUM(J3417:J3420)</f>
        <v>0</v>
      </c>
    </row>
    <row r="3422" spans="1:10" ht="13">
      <c r="A3422" s="27"/>
      <c r="B3422" s="110"/>
      <c r="D3422" s="406" t="s">
        <v>53</v>
      </c>
      <c r="E3422" s="13" t="s">
        <v>54</v>
      </c>
      <c r="F3422" s="14"/>
      <c r="G3422" s="15"/>
      <c r="H3422" s="451"/>
      <c r="I3422" s="412"/>
      <c r="J3422" s="16"/>
    </row>
    <row r="3423" spans="1:10" ht="13">
      <c r="A3423" s="27"/>
      <c r="B3423" s="110"/>
      <c r="D3423" s="409"/>
      <c r="E3423" s="13" t="s">
        <v>56</v>
      </c>
      <c r="F3423" s="14"/>
      <c r="G3423" s="410" t="s">
        <v>57</v>
      </c>
      <c r="H3423" s="411">
        <v>6.9119999999999999</v>
      </c>
      <c r="I3423" s="412">
        <f>'BAHAN '!G72</f>
        <v>0</v>
      </c>
      <c r="J3423" s="16">
        <f>H3423*I3423</f>
        <v>0</v>
      </c>
    </row>
    <row r="3424" spans="1:10" ht="13.5" thickBot="1">
      <c r="A3424" s="27"/>
      <c r="B3424" s="110"/>
      <c r="D3424" s="409"/>
      <c r="E3424" s="13" t="s">
        <v>101</v>
      </c>
      <c r="F3424" s="14"/>
      <c r="G3424" s="410" t="s">
        <v>375</v>
      </c>
      <c r="H3424" s="411">
        <v>3.5000000000000003E-2</v>
      </c>
      <c r="I3424" s="412">
        <f>'BAHAN '!G59</f>
        <v>0</v>
      </c>
      <c r="J3424" s="16">
        <f>H3424*I3424</f>
        <v>0</v>
      </c>
    </row>
    <row r="3425" spans="1:10" ht="13.5" thickBot="1">
      <c r="A3425" s="27"/>
      <c r="B3425" s="110"/>
      <c r="D3425" s="417"/>
      <c r="E3425" s="418"/>
      <c r="F3425" s="418"/>
      <c r="G3425" s="419"/>
      <c r="H3425" s="420" t="s">
        <v>64</v>
      </c>
      <c r="I3425" s="421"/>
      <c r="J3425" s="396">
        <f>SUM(J3423:J3424)</f>
        <v>0</v>
      </c>
    </row>
    <row r="3426" spans="1:10" ht="13.5" thickBot="1">
      <c r="A3426" s="27"/>
      <c r="B3426" s="110"/>
      <c r="D3426" s="406" t="s">
        <v>65</v>
      </c>
      <c r="E3426" s="13" t="s">
        <v>66</v>
      </c>
      <c r="F3426" s="14"/>
      <c r="G3426" s="15"/>
      <c r="H3426" s="451"/>
      <c r="I3426" s="412">
        <f>IF(AND(E3426&lt;&gt;"",G3426&lt;&gt;""),IF(D3426="",IF(G3426="OH",VLOOKUP(E3426,UPAH!$C$4:$H$31,7,0),VLOOKUP(E3426,#REF!,4,0)),0),0)</f>
        <v>0</v>
      </c>
      <c r="J3426" s="16">
        <f>H3426*I3426</f>
        <v>0</v>
      </c>
    </row>
    <row r="3427" spans="1:10" ht="13.5" thickBot="1">
      <c r="A3427" s="27"/>
      <c r="B3427" s="110"/>
      <c r="D3427" s="417"/>
      <c r="E3427" s="418"/>
      <c r="F3427" s="418"/>
      <c r="G3427" s="419"/>
      <c r="H3427" s="420" t="s">
        <v>67</v>
      </c>
      <c r="I3427" s="421"/>
      <c r="J3427" s="396">
        <f>J3426</f>
        <v>0</v>
      </c>
    </row>
    <row r="3428" spans="1:10" ht="13">
      <c r="A3428" s="27"/>
      <c r="B3428" s="110"/>
      <c r="D3428" s="444" t="s">
        <v>68</v>
      </c>
      <c r="E3428" s="445" t="s">
        <v>69</v>
      </c>
      <c r="F3428" s="446"/>
      <c r="G3428" s="447"/>
      <c r="H3428" s="448"/>
      <c r="I3428" s="449">
        <f>IF(AND(E3428&lt;&gt;"",G3428&lt;&gt;""),IF(D3428="",IF(G3428="OH",VLOOKUP(E3428,UPAH!$C$4:$H$31,7,0),VLOOKUP(E3428,#REF!,4,0)),0),0)</f>
        <v>0</v>
      </c>
      <c r="J3428" s="16">
        <f>SUM(J3417:J3427)/2</f>
        <v>0</v>
      </c>
    </row>
    <row r="3429" spans="1:10" ht="13.5" thickBot="1">
      <c r="A3429" s="27"/>
      <c r="B3429" s="110"/>
      <c r="D3429" s="431" t="s">
        <v>70</v>
      </c>
      <c r="E3429" s="432" t="s">
        <v>477</v>
      </c>
      <c r="F3429" s="433"/>
      <c r="G3429" s="434"/>
      <c r="H3429" s="22">
        <v>0.1</v>
      </c>
      <c r="I3429" s="436"/>
      <c r="J3429" s="430">
        <f>H3429*J3428</f>
        <v>0</v>
      </c>
    </row>
    <row r="3430" spans="1:10" ht="13.5" thickBot="1">
      <c r="A3430" s="27"/>
      <c r="B3430" s="110"/>
      <c r="D3430" s="401" t="s">
        <v>71</v>
      </c>
      <c r="E3430" s="402" t="s">
        <v>72</v>
      </c>
      <c r="F3430" s="418"/>
      <c r="G3430" s="419"/>
      <c r="H3430" s="442"/>
      <c r="I3430" s="421">
        <f>IF(AND(E3430&lt;&gt;"",G3430&lt;&gt;""),IF(D3430="",IF(G3430="OH",VLOOKUP(E3430,UPAH!$C$4:$H$31,7,0),VLOOKUP(E3430,#REF!,4,0)),0),0)</f>
        <v>0</v>
      </c>
      <c r="J3430" s="396">
        <f>ROUNDDOWN(J3428+J3429,0)</f>
        <v>0</v>
      </c>
    </row>
    <row r="3431" spans="1:10" ht="13">
      <c r="A3431" s="27"/>
      <c r="B3431" s="110"/>
      <c r="D3431" s="11"/>
      <c r="E3431" s="11"/>
      <c r="H3431" s="443"/>
    </row>
    <row r="3432" spans="1:10" ht="13.5" thickBot="1">
      <c r="A3432" s="27"/>
      <c r="B3432" s="110"/>
      <c r="C3432" s="11" t="s">
        <v>821</v>
      </c>
      <c r="D3432" s="10" t="s">
        <v>822</v>
      </c>
      <c r="H3432" s="443"/>
    </row>
    <row r="3433" spans="1:10" ht="13.5" thickBot="1">
      <c r="A3433" s="27"/>
      <c r="B3433" s="110"/>
      <c r="D3433" s="401" t="s">
        <v>40</v>
      </c>
      <c r="E3433" s="402" t="s">
        <v>41</v>
      </c>
      <c r="F3433" s="402" t="s">
        <v>42</v>
      </c>
      <c r="G3433" s="403" t="s">
        <v>43</v>
      </c>
      <c r="H3433" s="404" t="s">
        <v>44</v>
      </c>
      <c r="I3433" s="402" t="s">
        <v>474</v>
      </c>
      <c r="J3433" s="405" t="s">
        <v>475</v>
      </c>
    </row>
    <row r="3434" spans="1:10" ht="13">
      <c r="A3434" s="27"/>
      <c r="B3434" s="110"/>
      <c r="D3434" s="444" t="s">
        <v>45</v>
      </c>
      <c r="E3434" s="445" t="s">
        <v>46</v>
      </c>
      <c r="F3434" s="446"/>
      <c r="G3434" s="447"/>
      <c r="H3434" s="448"/>
      <c r="I3434" s="449"/>
      <c r="J3434" s="450"/>
    </row>
    <row r="3435" spans="1:10" ht="13">
      <c r="A3435" s="27"/>
      <c r="B3435" s="110"/>
      <c r="D3435" s="409"/>
      <c r="E3435" s="13" t="s">
        <v>47</v>
      </c>
      <c r="F3435" s="13" t="s">
        <v>1918</v>
      </c>
      <c r="G3435" s="410" t="s">
        <v>48</v>
      </c>
      <c r="H3435" s="411">
        <v>0.4</v>
      </c>
      <c r="I3435" s="412">
        <f>IF(AND(E3435&lt;&gt;"",G3435&lt;&gt;""),IF(D3435="",IF(G3435="OH",VLOOKUP(F3435,UPAH!$B$4:$H$101,7,0),VLOOKUP(F3435,#REF!,4,0)),0),0)</f>
        <v>0</v>
      </c>
      <c r="J3435" s="16">
        <f>H3435*I3435</f>
        <v>0</v>
      </c>
    </row>
    <row r="3436" spans="1:10" ht="13">
      <c r="A3436" s="27"/>
      <c r="B3436" s="110"/>
      <c r="D3436" s="409"/>
      <c r="E3436" s="13" t="s">
        <v>115</v>
      </c>
      <c r="F3436" s="13" t="s">
        <v>1921</v>
      </c>
      <c r="G3436" s="410" t="s">
        <v>48</v>
      </c>
      <c r="H3436" s="411">
        <v>0.2</v>
      </c>
      <c r="I3436" s="412">
        <f>IF(AND(E3436&lt;&gt;"",G3436&lt;&gt;""),IF(D3436="",IF(G3436="OH",VLOOKUP(F3436,UPAH!$B$4:$H$101,7,0),VLOOKUP(F3436,#REF!,4,0)),0),0)</f>
        <v>0</v>
      </c>
      <c r="J3436" s="16">
        <f>H3436*I3436</f>
        <v>0</v>
      </c>
    </row>
    <row r="3437" spans="1:10" ht="13">
      <c r="A3437" s="27"/>
      <c r="B3437" s="110"/>
      <c r="D3437" s="409"/>
      <c r="E3437" s="13" t="s">
        <v>97</v>
      </c>
      <c r="F3437" s="13" t="s">
        <v>1928</v>
      </c>
      <c r="G3437" s="410" t="s">
        <v>48</v>
      </c>
      <c r="H3437" s="411">
        <v>0.02</v>
      </c>
      <c r="I3437" s="412">
        <f>IF(AND(E3437&lt;&gt;"",G3437&lt;&gt;""),IF(D3437="",IF(G3437="OH",VLOOKUP(F3437,UPAH!$B$4:$H$101,7,0),VLOOKUP(F3437,#REF!,4,0)),0),0)</f>
        <v>0</v>
      </c>
      <c r="J3437" s="16">
        <f>H3437*I3437</f>
        <v>0</v>
      </c>
    </row>
    <row r="3438" spans="1:10" ht="13.5" thickBot="1">
      <c r="A3438" s="27"/>
      <c r="B3438" s="110"/>
      <c r="D3438" s="409"/>
      <c r="E3438" s="13" t="s">
        <v>51</v>
      </c>
      <c r="F3438" s="13" t="s">
        <v>1929</v>
      </c>
      <c r="G3438" s="410" t="s">
        <v>48</v>
      </c>
      <c r="H3438" s="411">
        <v>2.1999999999999999E-2</v>
      </c>
      <c r="I3438" s="412">
        <f>IF(AND(E3438&lt;&gt;"",G3438&lt;&gt;""),IF(D3438="",IF(G3438="OH",VLOOKUP(F3438,UPAH!$B$4:$H$101,7,0),VLOOKUP(F3438,#REF!,4,0)),0),0)</f>
        <v>0</v>
      </c>
      <c r="J3438" s="16">
        <f>H3438*I3438</f>
        <v>0</v>
      </c>
    </row>
    <row r="3439" spans="1:10" ht="13.5" thickBot="1">
      <c r="A3439" s="27"/>
      <c r="B3439" s="110"/>
      <c r="D3439" s="417"/>
      <c r="E3439" s="418"/>
      <c r="F3439" s="418"/>
      <c r="G3439" s="419"/>
      <c r="H3439" s="420" t="s">
        <v>52</v>
      </c>
      <c r="I3439" s="421"/>
      <c r="J3439" s="396">
        <f>SUM(J3435:J3438)</f>
        <v>0</v>
      </c>
    </row>
    <row r="3440" spans="1:10" ht="13">
      <c r="A3440" s="27"/>
      <c r="B3440" s="110"/>
      <c r="D3440" s="406" t="s">
        <v>53</v>
      </c>
      <c r="E3440" s="13" t="s">
        <v>54</v>
      </c>
      <c r="F3440" s="14"/>
      <c r="G3440" s="15"/>
      <c r="H3440" s="451"/>
      <c r="I3440" s="412"/>
      <c r="J3440" s="16"/>
    </row>
    <row r="3441" spans="1:10" ht="13">
      <c r="A3441" s="27"/>
      <c r="B3441" s="110"/>
      <c r="D3441" s="409"/>
      <c r="E3441" s="13" t="s">
        <v>56</v>
      </c>
      <c r="F3441" s="14"/>
      <c r="G3441" s="410" t="s">
        <v>57</v>
      </c>
      <c r="H3441" s="411">
        <v>5.8879999999999999</v>
      </c>
      <c r="I3441" s="412">
        <f>'BAHAN '!G72</f>
        <v>0</v>
      </c>
      <c r="J3441" s="16">
        <f>H3441*I3441</f>
        <v>0</v>
      </c>
    </row>
    <row r="3442" spans="1:10" ht="13.5" thickBot="1">
      <c r="A3442" s="27"/>
      <c r="B3442" s="110"/>
      <c r="D3442" s="409"/>
      <c r="E3442" s="13" t="s">
        <v>101</v>
      </c>
      <c r="F3442" s="14"/>
      <c r="G3442" s="410" t="s">
        <v>375</v>
      </c>
      <c r="H3442" s="411">
        <v>3.5999999999999997E-2</v>
      </c>
      <c r="I3442" s="412">
        <f>'BAHAN '!G59</f>
        <v>0</v>
      </c>
      <c r="J3442" s="16">
        <f>H3442*I3442</f>
        <v>0</v>
      </c>
    </row>
    <row r="3443" spans="1:10" ht="13.5" thickBot="1">
      <c r="A3443" s="27"/>
      <c r="B3443" s="110"/>
      <c r="D3443" s="417"/>
      <c r="E3443" s="418"/>
      <c r="F3443" s="418"/>
      <c r="G3443" s="419"/>
      <c r="H3443" s="420" t="s">
        <v>64</v>
      </c>
      <c r="I3443" s="421"/>
      <c r="J3443" s="396">
        <f>SUM(J3441:J3442)</f>
        <v>0</v>
      </c>
    </row>
    <row r="3444" spans="1:10" ht="13.5" thickBot="1">
      <c r="A3444" s="27"/>
      <c r="B3444" s="110"/>
      <c r="D3444" s="406" t="s">
        <v>65</v>
      </c>
      <c r="E3444" s="13" t="s">
        <v>66</v>
      </c>
      <c r="F3444" s="14"/>
      <c r="G3444" s="15"/>
      <c r="H3444" s="451"/>
      <c r="I3444" s="412">
        <f>IF(AND(E3444&lt;&gt;"",G3444&lt;&gt;""),IF(D3444="",IF(G3444="OH",VLOOKUP(E3444,UPAH!$C$4:$H$31,7,0),VLOOKUP(E3444,#REF!,4,0)),0),0)</f>
        <v>0</v>
      </c>
      <c r="J3444" s="16">
        <f>H3444*I3444</f>
        <v>0</v>
      </c>
    </row>
    <row r="3445" spans="1:10" ht="13.5" thickBot="1">
      <c r="A3445" s="27"/>
      <c r="B3445" s="110"/>
      <c r="D3445" s="417"/>
      <c r="E3445" s="418"/>
      <c r="F3445" s="418"/>
      <c r="G3445" s="419"/>
      <c r="H3445" s="420" t="s">
        <v>67</v>
      </c>
      <c r="I3445" s="421"/>
      <c r="J3445" s="396">
        <f>J3444</f>
        <v>0</v>
      </c>
    </row>
    <row r="3446" spans="1:10" ht="13">
      <c r="A3446" s="27"/>
      <c r="B3446" s="110"/>
      <c r="D3446" s="444" t="s">
        <v>68</v>
      </c>
      <c r="E3446" s="445" t="s">
        <v>69</v>
      </c>
      <c r="F3446" s="446"/>
      <c r="G3446" s="447"/>
      <c r="H3446" s="448"/>
      <c r="I3446" s="449">
        <f>IF(AND(E3446&lt;&gt;"",G3446&lt;&gt;""),IF(D3446="",IF(G3446="OH",VLOOKUP(E3446,UPAH!$C$4:$H$31,7,0),VLOOKUP(E3446,#REF!,4,0)),0),0)</f>
        <v>0</v>
      </c>
      <c r="J3446" s="16">
        <f>SUM(J3435:J3445)/2</f>
        <v>0</v>
      </c>
    </row>
    <row r="3447" spans="1:10" ht="13.5" thickBot="1">
      <c r="A3447" s="27"/>
      <c r="B3447" s="110"/>
      <c r="D3447" s="431" t="s">
        <v>70</v>
      </c>
      <c r="E3447" s="432" t="s">
        <v>477</v>
      </c>
      <c r="F3447" s="433"/>
      <c r="G3447" s="434"/>
      <c r="H3447" s="22">
        <v>0.1</v>
      </c>
      <c r="I3447" s="436"/>
      <c r="J3447" s="430">
        <f>H3447*J3446</f>
        <v>0</v>
      </c>
    </row>
    <row r="3448" spans="1:10" ht="13.5" thickBot="1">
      <c r="A3448" s="27"/>
      <c r="B3448" s="110"/>
      <c r="D3448" s="401" t="s">
        <v>71</v>
      </c>
      <c r="E3448" s="402" t="s">
        <v>72</v>
      </c>
      <c r="F3448" s="418"/>
      <c r="G3448" s="419"/>
      <c r="H3448" s="442"/>
      <c r="I3448" s="421">
        <f>IF(AND(E3448&lt;&gt;"",G3448&lt;&gt;""),IF(D3448="",IF(G3448="OH",VLOOKUP(E3448,UPAH!$C$4:$H$31,7,0),VLOOKUP(E3448,#REF!,4,0)),0),0)</f>
        <v>0</v>
      </c>
      <c r="J3448" s="396">
        <f>ROUNDDOWN(J3446+J3447,0)</f>
        <v>0</v>
      </c>
    </row>
    <row r="3449" spans="1:10" ht="13">
      <c r="A3449" s="27"/>
      <c r="B3449" s="110"/>
      <c r="D3449" s="11"/>
      <c r="E3449" s="11"/>
      <c r="H3449" s="443"/>
    </row>
    <row r="3450" spans="1:10" ht="13.5" thickBot="1">
      <c r="A3450" s="27"/>
      <c r="B3450" s="110"/>
      <c r="C3450" s="11" t="s">
        <v>823</v>
      </c>
      <c r="D3450" s="10" t="s">
        <v>824</v>
      </c>
      <c r="H3450" s="443"/>
    </row>
    <row r="3451" spans="1:10" ht="13.5" thickBot="1">
      <c r="A3451" s="27"/>
      <c r="B3451" s="110"/>
      <c r="D3451" s="401" t="s">
        <v>40</v>
      </c>
      <c r="E3451" s="402" t="s">
        <v>41</v>
      </c>
      <c r="F3451" s="402" t="s">
        <v>42</v>
      </c>
      <c r="G3451" s="403" t="s">
        <v>43</v>
      </c>
      <c r="H3451" s="404" t="s">
        <v>44</v>
      </c>
      <c r="I3451" s="402" t="s">
        <v>474</v>
      </c>
      <c r="J3451" s="405" t="s">
        <v>475</v>
      </c>
    </row>
    <row r="3452" spans="1:10" ht="13">
      <c r="A3452" s="27"/>
      <c r="B3452" s="110"/>
      <c r="D3452" s="444" t="s">
        <v>45</v>
      </c>
      <c r="E3452" s="445" t="s">
        <v>46</v>
      </c>
      <c r="F3452" s="446"/>
      <c r="G3452" s="447"/>
      <c r="H3452" s="448"/>
      <c r="I3452" s="449"/>
      <c r="J3452" s="450"/>
    </row>
    <row r="3453" spans="1:10" ht="13">
      <c r="A3453" s="27"/>
      <c r="B3453" s="110"/>
      <c r="D3453" s="409"/>
      <c r="E3453" s="13" t="s">
        <v>47</v>
      </c>
      <c r="F3453" s="13" t="s">
        <v>1918</v>
      </c>
      <c r="G3453" s="410" t="s">
        <v>48</v>
      </c>
      <c r="H3453" s="411">
        <v>0.44</v>
      </c>
      <c r="I3453" s="412">
        <f>IF(AND(E3453&lt;&gt;"",G3453&lt;&gt;""),IF(D3453="",IF(G3453="OH",VLOOKUP(F3453,UPAH!$B$4:$H$101,7,0),VLOOKUP(F3453,#REF!,4,0)),0),0)</f>
        <v>0</v>
      </c>
      <c r="J3453" s="16">
        <f>H3453*I3453</f>
        <v>0</v>
      </c>
    </row>
    <row r="3454" spans="1:10" ht="13">
      <c r="A3454" s="27"/>
      <c r="B3454" s="110"/>
      <c r="D3454" s="409"/>
      <c r="E3454" s="13" t="s">
        <v>115</v>
      </c>
      <c r="F3454" s="13" t="s">
        <v>1921</v>
      </c>
      <c r="G3454" s="410" t="s">
        <v>48</v>
      </c>
      <c r="H3454" s="411">
        <v>0.22</v>
      </c>
      <c r="I3454" s="412">
        <f>IF(AND(E3454&lt;&gt;"",G3454&lt;&gt;""),IF(D3454="",IF(G3454="OH",VLOOKUP(F3454,UPAH!$B$4:$H$101,7,0),VLOOKUP(F3454,#REF!,4,0)),0),0)</f>
        <v>0</v>
      </c>
      <c r="J3454" s="16">
        <f>H3454*I3454</f>
        <v>0</v>
      </c>
    </row>
    <row r="3455" spans="1:10" ht="13">
      <c r="A3455" s="27"/>
      <c r="B3455" s="110"/>
      <c r="D3455" s="409"/>
      <c r="E3455" s="13" t="s">
        <v>97</v>
      </c>
      <c r="F3455" s="13" t="s">
        <v>1928</v>
      </c>
      <c r="G3455" s="410" t="s">
        <v>48</v>
      </c>
      <c r="H3455" s="411">
        <v>2.1999999999999999E-2</v>
      </c>
      <c r="I3455" s="412">
        <f>IF(AND(E3455&lt;&gt;"",G3455&lt;&gt;""),IF(D3455="",IF(G3455="OH",VLOOKUP(F3455,UPAH!$B$4:$H$101,7,0),VLOOKUP(F3455,#REF!,4,0)),0),0)</f>
        <v>0</v>
      </c>
      <c r="J3455" s="16">
        <f>H3455*I3455</f>
        <v>0</v>
      </c>
    </row>
    <row r="3456" spans="1:10" ht="13.5" thickBot="1">
      <c r="A3456" s="27"/>
      <c r="B3456" s="110"/>
      <c r="D3456" s="409"/>
      <c r="E3456" s="13" t="s">
        <v>51</v>
      </c>
      <c r="F3456" s="13" t="s">
        <v>1929</v>
      </c>
      <c r="G3456" s="410" t="s">
        <v>48</v>
      </c>
      <c r="H3456" s="411">
        <v>2.1999999999999999E-2</v>
      </c>
      <c r="I3456" s="412">
        <f>IF(AND(E3456&lt;&gt;"",G3456&lt;&gt;""),IF(D3456="",IF(G3456="OH",VLOOKUP(F3456,UPAH!$B$4:$H$101,7,0),VLOOKUP(F3456,#REF!,4,0)),0),0)</f>
        <v>0</v>
      </c>
      <c r="J3456" s="16">
        <f>H3456*I3456</f>
        <v>0</v>
      </c>
    </row>
    <row r="3457" spans="1:10" ht="13.5" thickBot="1">
      <c r="A3457" s="27"/>
      <c r="B3457" s="110"/>
      <c r="D3457" s="417"/>
      <c r="E3457" s="418"/>
      <c r="F3457" s="418"/>
      <c r="G3457" s="419"/>
      <c r="H3457" s="420" t="s">
        <v>52</v>
      </c>
      <c r="I3457" s="421"/>
      <c r="J3457" s="396">
        <f>SUM(J3453:J3456)</f>
        <v>0</v>
      </c>
    </row>
    <row r="3458" spans="1:10" ht="13">
      <c r="A3458" s="27"/>
      <c r="B3458" s="110"/>
      <c r="D3458" s="406" t="s">
        <v>53</v>
      </c>
      <c r="E3458" s="13" t="s">
        <v>54</v>
      </c>
      <c r="F3458" s="14"/>
      <c r="G3458" s="15"/>
      <c r="H3458" s="451"/>
      <c r="I3458" s="412"/>
      <c r="J3458" s="16"/>
    </row>
    <row r="3459" spans="1:10" ht="13">
      <c r="A3459" s="27"/>
      <c r="B3459" s="110"/>
      <c r="D3459" s="409"/>
      <c r="E3459" s="13" t="s">
        <v>56</v>
      </c>
      <c r="F3459" s="14"/>
      <c r="G3459" s="410" t="s">
        <v>93</v>
      </c>
      <c r="H3459" s="411">
        <v>8.9999999999999993E-3</v>
      </c>
      <c r="I3459" s="412">
        <f>'BAHAN '!G72</f>
        <v>0</v>
      </c>
      <c r="J3459" s="16">
        <f>H3459*I3459</f>
        <v>0</v>
      </c>
    </row>
    <row r="3460" spans="1:10" ht="13">
      <c r="A3460" s="27"/>
      <c r="B3460" s="110"/>
      <c r="D3460" s="409"/>
      <c r="E3460" s="13" t="s">
        <v>395</v>
      </c>
      <c r="F3460" s="14"/>
      <c r="G3460" s="410" t="s">
        <v>375</v>
      </c>
      <c r="H3460" s="411">
        <v>8.9999999999999993E-3</v>
      </c>
      <c r="I3460" s="412">
        <f>$I$3294</f>
        <v>0</v>
      </c>
      <c r="J3460" s="16">
        <f>H3460*I3460</f>
        <v>0</v>
      </c>
    </row>
    <row r="3461" spans="1:10" ht="13.5" thickBot="1">
      <c r="A3461" s="27"/>
      <c r="B3461" s="110"/>
      <c r="D3461" s="409"/>
      <c r="E3461" s="13" t="s">
        <v>101</v>
      </c>
      <c r="F3461" s="14"/>
      <c r="G3461" s="410" t="s">
        <v>375</v>
      </c>
      <c r="H3461" s="411">
        <v>1.7999999999999999E-2</v>
      </c>
      <c r="I3461" s="412">
        <f>'BAHAN '!G59</f>
        <v>0</v>
      </c>
      <c r="J3461" s="16">
        <f>H3461*I3461</f>
        <v>0</v>
      </c>
    </row>
    <row r="3462" spans="1:10" ht="13.5" thickBot="1">
      <c r="A3462" s="27"/>
      <c r="B3462" s="110"/>
      <c r="D3462" s="417"/>
      <c r="E3462" s="418"/>
      <c r="F3462" s="418"/>
      <c r="G3462" s="419"/>
      <c r="H3462" s="420" t="s">
        <v>64</v>
      </c>
      <c r="I3462" s="421"/>
      <c r="J3462" s="396">
        <f>SUM(J3459:J3461)</f>
        <v>0</v>
      </c>
    </row>
    <row r="3463" spans="1:10" ht="13.5" thickBot="1">
      <c r="A3463" s="27"/>
      <c r="B3463" s="110"/>
      <c r="D3463" s="406" t="s">
        <v>65</v>
      </c>
      <c r="E3463" s="13" t="s">
        <v>66</v>
      </c>
      <c r="F3463" s="14"/>
      <c r="G3463" s="15"/>
      <c r="H3463" s="451"/>
      <c r="I3463" s="412">
        <f>IF(AND(E3463&lt;&gt;"",G3463&lt;&gt;""),IF(D3463="",IF(G3463="OH",VLOOKUP(E3463,UPAH!$C$4:$H$31,7,0),VLOOKUP(E3463,#REF!,4,0)),0),0)</f>
        <v>0</v>
      </c>
      <c r="J3463" s="16">
        <f>H3463*I3463</f>
        <v>0</v>
      </c>
    </row>
    <row r="3464" spans="1:10" ht="13.5" thickBot="1">
      <c r="A3464" s="27"/>
      <c r="B3464" s="110"/>
      <c r="D3464" s="417"/>
      <c r="E3464" s="418"/>
      <c r="F3464" s="418"/>
      <c r="G3464" s="419"/>
      <c r="H3464" s="420" t="s">
        <v>67</v>
      </c>
      <c r="I3464" s="421"/>
      <c r="J3464" s="396">
        <f>J3463</f>
        <v>0</v>
      </c>
    </row>
    <row r="3465" spans="1:10" ht="13">
      <c r="A3465" s="27"/>
      <c r="B3465" s="110"/>
      <c r="D3465" s="444" t="s">
        <v>68</v>
      </c>
      <c r="E3465" s="445" t="s">
        <v>69</v>
      </c>
      <c r="F3465" s="446"/>
      <c r="G3465" s="447"/>
      <c r="H3465" s="448"/>
      <c r="I3465" s="449">
        <f>IF(AND(E3465&lt;&gt;"",G3465&lt;&gt;""),IF(D3465="",IF(G3465="OH",VLOOKUP(E3465,UPAH!$C$4:$H$31,7,0),VLOOKUP(E3465,#REF!,4,0)),0),0)</f>
        <v>0</v>
      </c>
      <c r="J3465" s="16">
        <f>SUM(J3453:J3464)/2</f>
        <v>0</v>
      </c>
    </row>
    <row r="3466" spans="1:10" ht="13.5" thickBot="1">
      <c r="A3466" s="27"/>
      <c r="B3466" s="110"/>
      <c r="D3466" s="431" t="s">
        <v>70</v>
      </c>
      <c r="E3466" s="432" t="s">
        <v>477</v>
      </c>
      <c r="F3466" s="433"/>
      <c r="G3466" s="434"/>
      <c r="H3466" s="22">
        <v>0.1</v>
      </c>
      <c r="I3466" s="436"/>
      <c r="J3466" s="430">
        <f>H3466*J3465</f>
        <v>0</v>
      </c>
    </row>
    <row r="3467" spans="1:10" ht="13.5" thickBot="1">
      <c r="A3467" s="27"/>
      <c r="B3467" s="110"/>
      <c r="D3467" s="401" t="s">
        <v>71</v>
      </c>
      <c r="E3467" s="402" t="s">
        <v>72</v>
      </c>
      <c r="F3467" s="418"/>
      <c r="G3467" s="419"/>
      <c r="H3467" s="442"/>
      <c r="I3467" s="421">
        <f>IF(AND(E3467&lt;&gt;"",G3467&lt;&gt;""),IF(D3467="",IF(G3467="OH",VLOOKUP(E3467,UPAH!$C$4:$H$31,7,0),VLOOKUP(E3467,#REF!,4,0)),0),0)</f>
        <v>0</v>
      </c>
      <c r="J3467" s="396">
        <f>ROUNDDOWN(J3465+J3466,0)</f>
        <v>0</v>
      </c>
    </row>
    <row r="3468" spans="1:10" ht="13">
      <c r="A3468" s="27"/>
      <c r="B3468" s="110"/>
      <c r="D3468" s="11"/>
      <c r="E3468" s="11"/>
      <c r="H3468" s="443"/>
    </row>
    <row r="3469" spans="1:10" ht="13.5" thickBot="1">
      <c r="A3469" s="27"/>
      <c r="B3469" s="110"/>
      <c r="C3469" s="11" t="s">
        <v>825</v>
      </c>
      <c r="D3469" s="10" t="s">
        <v>826</v>
      </c>
      <c r="H3469" s="443"/>
    </row>
    <row r="3470" spans="1:10" ht="13.5" thickBot="1">
      <c r="A3470" s="27"/>
      <c r="B3470" s="110"/>
      <c r="D3470" s="401" t="s">
        <v>40</v>
      </c>
      <c r="E3470" s="402" t="s">
        <v>41</v>
      </c>
      <c r="F3470" s="402" t="s">
        <v>42</v>
      </c>
      <c r="G3470" s="403" t="s">
        <v>43</v>
      </c>
      <c r="H3470" s="404" t="s">
        <v>44</v>
      </c>
      <c r="I3470" s="402" t="s">
        <v>474</v>
      </c>
      <c r="J3470" s="405" t="s">
        <v>475</v>
      </c>
    </row>
    <row r="3471" spans="1:10" ht="13">
      <c r="A3471" s="27"/>
      <c r="B3471" s="110"/>
      <c r="D3471" s="444" t="s">
        <v>45</v>
      </c>
      <c r="E3471" s="445" t="s">
        <v>46</v>
      </c>
      <c r="F3471" s="446"/>
      <c r="G3471" s="447"/>
      <c r="H3471" s="448"/>
      <c r="I3471" s="449"/>
      <c r="J3471" s="450"/>
    </row>
    <row r="3472" spans="1:10" ht="13">
      <c r="A3472" s="27"/>
      <c r="B3472" s="110"/>
      <c r="D3472" s="409"/>
      <c r="E3472" s="13" t="s">
        <v>47</v>
      </c>
      <c r="F3472" s="13" t="s">
        <v>1918</v>
      </c>
      <c r="G3472" s="410" t="s">
        <v>48</v>
      </c>
      <c r="H3472" s="411">
        <v>0.15</v>
      </c>
      <c r="I3472" s="412">
        <f>IF(AND(E3472&lt;&gt;"",G3472&lt;&gt;""),IF(D3472="",IF(G3472="OH",VLOOKUP(F3472,UPAH!$B$4:$H$101,7,0),VLOOKUP(F3472,#REF!,4,0)),0),0)</f>
        <v>0</v>
      </c>
      <c r="J3472" s="16">
        <f>H3472*I3472</f>
        <v>0</v>
      </c>
    </row>
    <row r="3473" spans="1:10" ht="13">
      <c r="A3473" s="27"/>
      <c r="B3473" s="110"/>
      <c r="D3473" s="409"/>
      <c r="E3473" s="13" t="s">
        <v>115</v>
      </c>
      <c r="F3473" s="13" t="s">
        <v>1921</v>
      </c>
      <c r="G3473" s="410" t="s">
        <v>48</v>
      </c>
      <c r="H3473" s="411">
        <v>7.4999999999999997E-2</v>
      </c>
      <c r="I3473" s="412">
        <f>IF(AND(E3473&lt;&gt;"",G3473&lt;&gt;""),IF(D3473="",IF(G3473="OH",VLOOKUP(F3473,UPAH!$B$4:$H$101,7,0),VLOOKUP(F3473,#REF!,4,0)),0),0)</f>
        <v>0</v>
      </c>
      <c r="J3473" s="16">
        <f>H3473*I3473</f>
        <v>0</v>
      </c>
    </row>
    <row r="3474" spans="1:10" ht="13">
      <c r="A3474" s="27"/>
      <c r="B3474" s="110"/>
      <c r="D3474" s="409"/>
      <c r="E3474" s="13" t="s">
        <v>97</v>
      </c>
      <c r="F3474" s="13" t="s">
        <v>1928</v>
      </c>
      <c r="G3474" s="410" t="s">
        <v>48</v>
      </c>
      <c r="H3474" s="411">
        <v>8.0000000000000002E-3</v>
      </c>
      <c r="I3474" s="412">
        <f>IF(AND(E3474&lt;&gt;"",G3474&lt;&gt;""),IF(D3474="",IF(G3474="OH",VLOOKUP(F3474,UPAH!$B$4:$H$101,7,0),VLOOKUP(F3474,#REF!,4,0)),0),0)</f>
        <v>0</v>
      </c>
      <c r="J3474" s="16">
        <f>H3474*I3474</f>
        <v>0</v>
      </c>
    </row>
    <row r="3475" spans="1:10" ht="13.5" thickBot="1">
      <c r="A3475" s="27"/>
      <c r="B3475" s="110"/>
      <c r="D3475" s="409"/>
      <c r="E3475" s="13" t="s">
        <v>51</v>
      </c>
      <c r="F3475" s="13" t="s">
        <v>1929</v>
      </c>
      <c r="G3475" s="410" t="s">
        <v>48</v>
      </c>
      <c r="H3475" s="411">
        <v>8.0000000000000002E-3</v>
      </c>
      <c r="I3475" s="412">
        <f>IF(AND(E3475&lt;&gt;"",G3475&lt;&gt;""),IF(D3475="",IF(G3475="OH",VLOOKUP(F3475,UPAH!$B$4:$H$101,7,0),VLOOKUP(F3475,#REF!,4,0)),0),0)</f>
        <v>0</v>
      </c>
      <c r="J3475" s="16">
        <f>H3475*I3475</f>
        <v>0</v>
      </c>
    </row>
    <row r="3476" spans="1:10" ht="13.5" thickBot="1">
      <c r="A3476" s="27"/>
      <c r="B3476" s="110"/>
      <c r="D3476" s="417"/>
      <c r="E3476" s="418"/>
      <c r="F3476" s="418"/>
      <c r="G3476" s="419"/>
      <c r="H3476" s="420" t="s">
        <v>52</v>
      </c>
      <c r="I3476" s="421"/>
      <c r="J3476" s="396">
        <f>SUM(J3472:J3475)</f>
        <v>0</v>
      </c>
    </row>
    <row r="3477" spans="1:10" ht="13">
      <c r="A3477" s="27"/>
      <c r="B3477" s="110"/>
      <c r="D3477" s="406" t="s">
        <v>53</v>
      </c>
      <c r="E3477" s="13" t="s">
        <v>54</v>
      </c>
      <c r="F3477" s="14"/>
      <c r="G3477" s="15"/>
      <c r="H3477" s="451"/>
      <c r="I3477" s="412"/>
      <c r="J3477" s="16"/>
    </row>
    <row r="3478" spans="1:10" ht="13">
      <c r="A3478" s="27"/>
      <c r="B3478" s="110"/>
      <c r="D3478" s="409"/>
      <c r="E3478" s="13" t="s">
        <v>56</v>
      </c>
      <c r="F3478" s="14"/>
      <c r="G3478" s="410" t="s">
        <v>57</v>
      </c>
      <c r="H3478" s="411">
        <v>5.1840000000000002</v>
      </c>
      <c r="I3478" s="412">
        <f>'BAHAN '!G72</f>
        <v>0</v>
      </c>
      <c r="J3478" s="16">
        <f>H3478*I3478</f>
        <v>0</v>
      </c>
    </row>
    <row r="3479" spans="1:10" ht="13.5" thickBot="1">
      <c r="A3479" s="27"/>
      <c r="B3479" s="110"/>
      <c r="D3479" s="409"/>
      <c r="E3479" s="13" t="s">
        <v>101</v>
      </c>
      <c r="F3479" s="14"/>
      <c r="G3479" s="410" t="s">
        <v>375</v>
      </c>
      <c r="H3479" s="411">
        <v>2.5999999999999999E-2</v>
      </c>
      <c r="I3479" s="412">
        <f>'BAHAN '!G59</f>
        <v>0</v>
      </c>
      <c r="J3479" s="16">
        <f>H3479*I3479</f>
        <v>0</v>
      </c>
    </row>
    <row r="3480" spans="1:10" ht="13.5" thickBot="1">
      <c r="A3480" s="27"/>
      <c r="B3480" s="110"/>
      <c r="D3480" s="417"/>
      <c r="E3480" s="418"/>
      <c r="F3480" s="418"/>
      <c r="G3480" s="419"/>
      <c r="H3480" s="420" t="s">
        <v>64</v>
      </c>
      <c r="I3480" s="421"/>
      <c r="J3480" s="396">
        <f>SUM(J3478:J3479)</f>
        <v>0</v>
      </c>
    </row>
    <row r="3481" spans="1:10" ht="13.5" thickBot="1">
      <c r="A3481" s="27"/>
      <c r="B3481" s="110"/>
      <c r="D3481" s="406" t="s">
        <v>65</v>
      </c>
      <c r="E3481" s="13" t="s">
        <v>66</v>
      </c>
      <c r="F3481" s="14"/>
      <c r="G3481" s="15"/>
      <c r="H3481" s="451"/>
      <c r="I3481" s="412">
        <f>IF(AND(E3481&lt;&gt;"",G3481&lt;&gt;""),IF(D3481="",IF(G3481="OH",VLOOKUP(E3481,UPAH!$C$4:$H$31,7,0),VLOOKUP(E3481,#REF!,4,0)),0),0)</f>
        <v>0</v>
      </c>
      <c r="J3481" s="16">
        <f>H3481*I3481</f>
        <v>0</v>
      </c>
    </row>
    <row r="3482" spans="1:10" ht="13.5" thickBot="1">
      <c r="A3482" s="27"/>
      <c r="B3482" s="110"/>
      <c r="D3482" s="417"/>
      <c r="E3482" s="418"/>
      <c r="F3482" s="418"/>
      <c r="G3482" s="419"/>
      <c r="H3482" s="420" t="s">
        <v>67</v>
      </c>
      <c r="I3482" s="421"/>
      <c r="J3482" s="396">
        <f>J3481</f>
        <v>0</v>
      </c>
    </row>
    <row r="3483" spans="1:10" ht="13">
      <c r="A3483" s="27"/>
      <c r="B3483" s="110"/>
      <c r="D3483" s="444" t="s">
        <v>68</v>
      </c>
      <c r="E3483" s="445" t="s">
        <v>69</v>
      </c>
      <c r="F3483" s="446"/>
      <c r="G3483" s="447"/>
      <c r="H3483" s="448"/>
      <c r="I3483" s="449">
        <f>IF(AND(E3483&lt;&gt;"",G3483&lt;&gt;""),IF(D3483="",IF(G3483="OH",VLOOKUP(E3483,UPAH!$C$4:$H$31,7,0),VLOOKUP(E3483,#REF!,4,0)),0),0)</f>
        <v>0</v>
      </c>
      <c r="J3483" s="16">
        <f>SUM(J3472:J3482)/2</f>
        <v>0</v>
      </c>
    </row>
    <row r="3484" spans="1:10" ht="13.5" thickBot="1">
      <c r="A3484" s="27"/>
      <c r="B3484" s="110"/>
      <c r="D3484" s="431" t="s">
        <v>70</v>
      </c>
      <c r="E3484" s="432" t="s">
        <v>477</v>
      </c>
      <c r="F3484" s="433"/>
      <c r="G3484" s="434"/>
      <c r="H3484" s="22">
        <v>0.1</v>
      </c>
      <c r="I3484" s="436"/>
      <c r="J3484" s="430">
        <f>H3484*J3483</f>
        <v>0</v>
      </c>
    </row>
    <row r="3485" spans="1:10" ht="13.5" thickBot="1">
      <c r="A3485" s="27"/>
      <c r="B3485" s="110"/>
      <c r="D3485" s="401" t="s">
        <v>71</v>
      </c>
      <c r="E3485" s="402" t="s">
        <v>72</v>
      </c>
      <c r="F3485" s="418"/>
      <c r="G3485" s="419"/>
      <c r="H3485" s="442"/>
      <c r="I3485" s="421">
        <f>IF(AND(E3485&lt;&gt;"",G3485&lt;&gt;""),IF(D3485="",IF(G3485="OH",VLOOKUP(E3485,UPAH!$C$4:$H$31,7,0),VLOOKUP(E3485,#REF!,4,0)),0),0)</f>
        <v>0</v>
      </c>
      <c r="J3485" s="396">
        <f>ROUNDDOWN(J3483+J3484,0)</f>
        <v>0</v>
      </c>
    </row>
    <row r="3486" spans="1:10" ht="13">
      <c r="A3486" s="27"/>
      <c r="B3486" s="110"/>
      <c r="D3486" s="11"/>
      <c r="E3486" s="11"/>
      <c r="H3486" s="443"/>
    </row>
    <row r="3487" spans="1:10" ht="13.5" thickBot="1">
      <c r="A3487" s="27"/>
      <c r="B3487" s="110"/>
      <c r="C3487" s="11" t="s">
        <v>827</v>
      </c>
      <c r="D3487" s="10" t="s">
        <v>828</v>
      </c>
      <c r="H3487" s="443"/>
    </row>
    <row r="3488" spans="1:10" ht="13.5" thickBot="1">
      <c r="A3488" s="27"/>
      <c r="B3488" s="110"/>
      <c r="D3488" s="401" t="s">
        <v>40</v>
      </c>
      <c r="E3488" s="402" t="s">
        <v>41</v>
      </c>
      <c r="F3488" s="402" t="s">
        <v>42</v>
      </c>
      <c r="G3488" s="403" t="s">
        <v>43</v>
      </c>
      <c r="H3488" s="404" t="s">
        <v>44</v>
      </c>
      <c r="I3488" s="402" t="s">
        <v>474</v>
      </c>
      <c r="J3488" s="405" t="s">
        <v>475</v>
      </c>
    </row>
    <row r="3489" spans="1:10" ht="13">
      <c r="A3489" s="27"/>
      <c r="B3489" s="110"/>
      <c r="D3489" s="406" t="s">
        <v>45</v>
      </c>
      <c r="E3489" s="13" t="s">
        <v>46</v>
      </c>
      <c r="F3489" s="14"/>
      <c r="G3489" s="15"/>
      <c r="H3489" s="451"/>
      <c r="I3489" s="412"/>
      <c r="J3489" s="16"/>
    </row>
    <row r="3490" spans="1:10" ht="13">
      <c r="A3490" s="27"/>
      <c r="B3490" s="110"/>
      <c r="D3490" s="409"/>
      <c r="E3490" s="13" t="s">
        <v>47</v>
      </c>
      <c r="F3490" s="13" t="s">
        <v>1918</v>
      </c>
      <c r="G3490" s="410" t="s">
        <v>48</v>
      </c>
      <c r="H3490" s="411">
        <v>0.08</v>
      </c>
      <c r="I3490" s="412">
        <f>IF(AND(E3490&lt;&gt;"",G3490&lt;&gt;""),IF(D3490="",IF(G3490="OH",VLOOKUP(F3490,UPAH!$B$4:$H$101,7,0),VLOOKUP(F3490,#REF!,4,0)),0),0)</f>
        <v>0</v>
      </c>
      <c r="J3490" s="16">
        <f>H3490*I3490</f>
        <v>0</v>
      </c>
    </row>
    <row r="3491" spans="1:10" ht="13">
      <c r="A3491" s="27"/>
      <c r="B3491" s="110"/>
      <c r="D3491" s="409"/>
      <c r="E3491" s="13" t="s">
        <v>115</v>
      </c>
      <c r="F3491" s="13" t="s">
        <v>1921</v>
      </c>
      <c r="G3491" s="410" t="s">
        <v>48</v>
      </c>
      <c r="H3491" s="411">
        <v>0.4</v>
      </c>
      <c r="I3491" s="412">
        <f>IF(AND(E3491&lt;&gt;"",G3491&lt;&gt;""),IF(D3491="",IF(G3491="OH",VLOOKUP(F3491,UPAH!$B$4:$H$101,7,0),VLOOKUP(F3491,#REF!,4,0)),0),0)</f>
        <v>0</v>
      </c>
      <c r="J3491" s="16">
        <f>H3491*I3491</f>
        <v>0</v>
      </c>
    </row>
    <row r="3492" spans="1:10" ht="13">
      <c r="A3492" s="27"/>
      <c r="B3492" s="110"/>
      <c r="D3492" s="409"/>
      <c r="E3492" s="13" t="s">
        <v>97</v>
      </c>
      <c r="F3492" s="13" t="s">
        <v>1928</v>
      </c>
      <c r="G3492" s="410" t="s">
        <v>48</v>
      </c>
      <c r="H3492" s="411">
        <v>0.04</v>
      </c>
      <c r="I3492" s="412">
        <f>IF(AND(E3492&lt;&gt;"",G3492&lt;&gt;""),IF(D3492="",IF(G3492="OH",VLOOKUP(F3492,UPAH!$B$4:$H$101,7,0),VLOOKUP(F3492,#REF!,4,0)),0),0)</f>
        <v>0</v>
      </c>
      <c r="J3492" s="16">
        <f>H3492*I3492</f>
        <v>0</v>
      </c>
    </row>
    <row r="3493" spans="1:10" ht="13.5" thickBot="1">
      <c r="A3493" s="27"/>
      <c r="B3493" s="110"/>
      <c r="D3493" s="409"/>
      <c r="E3493" s="13" t="s">
        <v>51</v>
      </c>
      <c r="F3493" s="13" t="s">
        <v>1929</v>
      </c>
      <c r="G3493" s="410" t="s">
        <v>48</v>
      </c>
      <c r="H3493" s="411">
        <v>4.0000000000000001E-3</v>
      </c>
      <c r="I3493" s="412">
        <f>IF(AND(E3493&lt;&gt;"",G3493&lt;&gt;""),IF(D3493="",IF(G3493="OH",VLOOKUP(F3493,UPAH!$B$4:$H$101,7,0),VLOOKUP(F3493,#REF!,4,0)),0),0)</f>
        <v>0</v>
      </c>
      <c r="J3493" s="16">
        <f>H3493*I3493</f>
        <v>0</v>
      </c>
    </row>
    <row r="3494" spans="1:10" ht="13.5" thickBot="1">
      <c r="A3494" s="27"/>
      <c r="B3494" s="110"/>
      <c r="D3494" s="417"/>
      <c r="E3494" s="418"/>
      <c r="F3494" s="418"/>
      <c r="G3494" s="419"/>
      <c r="H3494" s="420" t="s">
        <v>52</v>
      </c>
      <c r="I3494" s="421"/>
      <c r="J3494" s="396">
        <f>SUM(J3490:J3493)</f>
        <v>0</v>
      </c>
    </row>
    <row r="3495" spans="1:10" ht="13">
      <c r="A3495" s="27"/>
      <c r="B3495" s="110"/>
      <c r="D3495" s="406" t="s">
        <v>53</v>
      </c>
      <c r="E3495" s="13" t="s">
        <v>54</v>
      </c>
      <c r="F3495" s="14"/>
      <c r="G3495" s="15"/>
      <c r="H3495" s="451"/>
      <c r="I3495" s="412"/>
      <c r="J3495" s="16"/>
    </row>
    <row r="3496" spans="1:10" ht="13">
      <c r="A3496" s="27"/>
      <c r="B3496" s="110"/>
      <c r="D3496" s="409"/>
      <c r="E3496" s="13" t="s">
        <v>56</v>
      </c>
      <c r="F3496" s="14"/>
      <c r="G3496" s="410" t="s">
        <v>57</v>
      </c>
      <c r="H3496" s="411">
        <v>0.5</v>
      </c>
      <c r="I3496" s="412">
        <f>'BAHAN '!G72</f>
        <v>0</v>
      </c>
      <c r="J3496" s="16">
        <f>H3496*I3496</f>
        <v>0</v>
      </c>
    </row>
    <row r="3497" spans="1:10" ht="13.5" thickBot="1">
      <c r="A3497" s="27"/>
      <c r="B3497" s="110"/>
      <c r="D3497" s="409"/>
      <c r="E3497" s="13" t="s">
        <v>101</v>
      </c>
      <c r="F3497" s="14"/>
      <c r="G3497" s="410" t="s">
        <v>375</v>
      </c>
      <c r="H3497" s="411">
        <v>1.2999999999999999E-2</v>
      </c>
      <c r="I3497" s="412">
        <f>'BAHAN '!G59</f>
        <v>0</v>
      </c>
      <c r="J3497" s="16">
        <f>H3497*I3497</f>
        <v>0</v>
      </c>
    </row>
    <row r="3498" spans="1:10" ht="13.5" thickBot="1">
      <c r="A3498" s="27"/>
      <c r="B3498" s="110"/>
      <c r="D3498" s="417"/>
      <c r="E3498" s="418"/>
      <c r="F3498" s="418"/>
      <c r="G3498" s="419"/>
      <c r="H3498" s="420" t="s">
        <v>64</v>
      </c>
      <c r="I3498" s="421"/>
      <c r="J3498" s="396">
        <f>SUM(J3496:J3497)</f>
        <v>0</v>
      </c>
    </row>
    <row r="3499" spans="1:10" ht="13.5" thickBot="1">
      <c r="A3499" s="27"/>
      <c r="B3499" s="110"/>
      <c r="D3499" s="406" t="s">
        <v>65</v>
      </c>
      <c r="E3499" s="13" t="s">
        <v>66</v>
      </c>
      <c r="F3499" s="14"/>
      <c r="G3499" s="15"/>
      <c r="H3499" s="451"/>
      <c r="I3499" s="412">
        <f>IF(AND(E3499&lt;&gt;"",G3499&lt;&gt;""),IF(D3499="",IF(G3499="OH",VLOOKUP(E3499,UPAH!$C$4:$H$31,7,0),VLOOKUP(E3499,#REF!,4,0)),0),0)</f>
        <v>0</v>
      </c>
      <c r="J3499" s="16">
        <f>H3499*I3499</f>
        <v>0</v>
      </c>
    </row>
    <row r="3500" spans="1:10" ht="13.5" thickBot="1">
      <c r="A3500" s="27"/>
      <c r="B3500" s="110"/>
      <c r="D3500" s="417"/>
      <c r="E3500" s="418"/>
      <c r="F3500" s="418"/>
      <c r="G3500" s="419"/>
      <c r="H3500" s="420" t="s">
        <v>67</v>
      </c>
      <c r="I3500" s="421"/>
      <c r="J3500" s="396">
        <f>J3499</f>
        <v>0</v>
      </c>
    </row>
    <row r="3501" spans="1:10" ht="13">
      <c r="A3501" s="27"/>
      <c r="B3501" s="110"/>
      <c r="D3501" s="444" t="s">
        <v>68</v>
      </c>
      <c r="E3501" s="445" t="s">
        <v>69</v>
      </c>
      <c r="F3501" s="446"/>
      <c r="G3501" s="447"/>
      <c r="H3501" s="448"/>
      <c r="I3501" s="449">
        <f>IF(AND(E3501&lt;&gt;"",G3501&lt;&gt;""),IF(D3501="",IF(G3501="OH",VLOOKUP(E3501,UPAH!$C$4:$H$31,7,0),VLOOKUP(E3501,#REF!,4,0)),0),0)</f>
        <v>0</v>
      </c>
      <c r="J3501" s="16">
        <f>SUM(J3490:J3500)/2</f>
        <v>0</v>
      </c>
    </row>
    <row r="3502" spans="1:10" ht="13.5" thickBot="1">
      <c r="A3502" s="27"/>
      <c r="B3502" s="110"/>
      <c r="D3502" s="431" t="s">
        <v>70</v>
      </c>
      <c r="E3502" s="432" t="s">
        <v>477</v>
      </c>
      <c r="F3502" s="433"/>
      <c r="G3502" s="434"/>
      <c r="H3502" s="22">
        <v>0.1</v>
      </c>
      <c r="I3502" s="436"/>
      <c r="J3502" s="430">
        <f>H3502*J3501</f>
        <v>0</v>
      </c>
    </row>
    <row r="3503" spans="1:10" ht="13.5" thickBot="1">
      <c r="A3503" s="27"/>
      <c r="B3503" s="110"/>
      <c r="D3503" s="401" t="s">
        <v>71</v>
      </c>
      <c r="E3503" s="402" t="s">
        <v>72</v>
      </c>
      <c r="F3503" s="418"/>
      <c r="G3503" s="419"/>
      <c r="H3503" s="442"/>
      <c r="I3503" s="421">
        <f>IF(AND(E3503&lt;&gt;"",G3503&lt;&gt;""),IF(D3503="",IF(G3503="OH",VLOOKUP(E3503,UPAH!$C$4:$H$31,7,0),VLOOKUP(E3503,#REF!,4,0)),0),0)</f>
        <v>0</v>
      </c>
      <c r="J3503" s="396">
        <f>ROUNDDOWN(J3501+J3502,0)</f>
        <v>0</v>
      </c>
    </row>
    <row r="3504" spans="1:10" ht="13">
      <c r="A3504" s="27"/>
      <c r="B3504" s="110"/>
      <c r="D3504" s="11"/>
      <c r="E3504" s="11"/>
      <c r="H3504" s="443"/>
    </row>
    <row r="3505" spans="1:10" ht="13.5" thickBot="1">
      <c r="A3505" s="27"/>
      <c r="B3505" s="110"/>
      <c r="C3505" s="11" t="s">
        <v>829</v>
      </c>
      <c r="D3505" s="10" t="s">
        <v>830</v>
      </c>
      <c r="H3505" s="443"/>
    </row>
    <row r="3506" spans="1:10" ht="13.5" thickBot="1">
      <c r="A3506" s="27"/>
      <c r="B3506" s="110"/>
      <c r="D3506" s="401" t="s">
        <v>40</v>
      </c>
      <c r="E3506" s="402" t="s">
        <v>41</v>
      </c>
      <c r="F3506" s="402" t="s">
        <v>42</v>
      </c>
      <c r="G3506" s="403" t="s">
        <v>43</v>
      </c>
      <c r="H3506" s="404" t="s">
        <v>44</v>
      </c>
      <c r="I3506" s="402" t="s">
        <v>474</v>
      </c>
      <c r="J3506" s="405" t="s">
        <v>475</v>
      </c>
    </row>
    <row r="3507" spans="1:10" ht="13">
      <c r="A3507" s="27"/>
      <c r="B3507" s="110"/>
      <c r="D3507" s="406" t="s">
        <v>45</v>
      </c>
      <c r="E3507" s="13" t="s">
        <v>46</v>
      </c>
      <c r="F3507" s="14"/>
      <c r="G3507" s="15"/>
      <c r="H3507" s="451"/>
      <c r="I3507" s="412"/>
      <c r="J3507" s="16"/>
    </row>
    <row r="3508" spans="1:10" ht="13">
      <c r="A3508" s="27"/>
      <c r="B3508" s="110"/>
      <c r="D3508" s="409"/>
      <c r="E3508" s="13" t="s">
        <v>47</v>
      </c>
      <c r="F3508" s="13" t="s">
        <v>1918</v>
      </c>
      <c r="G3508" s="410" t="s">
        <v>48</v>
      </c>
      <c r="H3508" s="411">
        <v>0.45</v>
      </c>
      <c r="I3508" s="412">
        <f>IF(AND(E3508&lt;&gt;"",G3508&lt;&gt;""),IF(D3508="",IF(G3508="OH",VLOOKUP(F3508,UPAH!$B$4:$H$101,7,0),VLOOKUP(F3508,#REF!,4,0)),0),0)</f>
        <v>0</v>
      </c>
      <c r="J3508" s="16">
        <f>H3508*I3508</f>
        <v>0</v>
      </c>
    </row>
    <row r="3509" spans="1:10" ht="13">
      <c r="A3509" s="27"/>
      <c r="B3509" s="110"/>
      <c r="D3509" s="409"/>
      <c r="E3509" s="13" t="s">
        <v>115</v>
      </c>
      <c r="F3509" s="13" t="s">
        <v>1921</v>
      </c>
      <c r="G3509" s="410" t="s">
        <v>48</v>
      </c>
      <c r="H3509" s="411">
        <v>0.22500000000000001</v>
      </c>
      <c r="I3509" s="412">
        <f>IF(AND(E3509&lt;&gt;"",G3509&lt;&gt;""),IF(D3509="",IF(G3509="OH",VLOOKUP(F3509,UPAH!$B$4:$H$101,7,0),VLOOKUP(F3509,#REF!,4,0)),0),0)</f>
        <v>0</v>
      </c>
      <c r="J3509" s="16">
        <f>H3509*I3509</f>
        <v>0</v>
      </c>
    </row>
    <row r="3510" spans="1:10" ht="13">
      <c r="A3510" s="27"/>
      <c r="B3510" s="110"/>
      <c r="D3510" s="409"/>
      <c r="E3510" s="13" t="s">
        <v>97</v>
      </c>
      <c r="F3510" s="13" t="s">
        <v>1928</v>
      </c>
      <c r="G3510" s="410" t="s">
        <v>48</v>
      </c>
      <c r="H3510" s="411">
        <v>2.3E-2</v>
      </c>
      <c r="I3510" s="412">
        <f>IF(AND(E3510&lt;&gt;"",G3510&lt;&gt;""),IF(D3510="",IF(G3510="OH",VLOOKUP(F3510,UPAH!$B$4:$H$101,7,0),VLOOKUP(F3510,#REF!,4,0)),0),0)</f>
        <v>0</v>
      </c>
      <c r="J3510" s="16">
        <f>H3510*I3510</f>
        <v>0</v>
      </c>
    </row>
    <row r="3511" spans="1:10" ht="13.5" thickBot="1">
      <c r="A3511" s="27"/>
      <c r="B3511" s="110"/>
      <c r="D3511" s="409"/>
      <c r="E3511" s="13" t="s">
        <v>51</v>
      </c>
      <c r="F3511" s="13" t="s">
        <v>1929</v>
      </c>
      <c r="G3511" s="410" t="s">
        <v>48</v>
      </c>
      <c r="H3511" s="411">
        <v>2.3E-2</v>
      </c>
      <c r="I3511" s="412">
        <f>IF(AND(E3511&lt;&gt;"",G3511&lt;&gt;""),IF(D3511="",IF(G3511="OH",VLOOKUP(F3511,UPAH!$B$4:$H$101,7,0),VLOOKUP(F3511,#REF!,4,0)),0),0)</f>
        <v>0</v>
      </c>
      <c r="J3511" s="16">
        <f>H3511*I3511</f>
        <v>0</v>
      </c>
    </row>
    <row r="3512" spans="1:10" ht="13.5" thickBot="1">
      <c r="A3512" s="27"/>
      <c r="B3512" s="110"/>
      <c r="D3512" s="417"/>
      <c r="E3512" s="418"/>
      <c r="F3512" s="418"/>
      <c r="G3512" s="419"/>
      <c r="H3512" s="420" t="s">
        <v>52</v>
      </c>
      <c r="I3512" s="421"/>
      <c r="J3512" s="396">
        <f>SUM(J3508:J3511)</f>
        <v>0</v>
      </c>
    </row>
    <row r="3513" spans="1:10" ht="13">
      <c r="A3513" s="27"/>
      <c r="B3513" s="110"/>
      <c r="D3513" s="406" t="s">
        <v>53</v>
      </c>
      <c r="E3513" s="13" t="s">
        <v>54</v>
      </c>
      <c r="F3513" s="14"/>
      <c r="G3513" s="15"/>
      <c r="H3513" s="451"/>
      <c r="I3513" s="412"/>
      <c r="J3513" s="16"/>
    </row>
    <row r="3514" spans="1:10" ht="13">
      <c r="A3514" s="27"/>
      <c r="B3514" s="110"/>
      <c r="D3514" s="409"/>
      <c r="E3514" s="13" t="s">
        <v>56</v>
      </c>
      <c r="F3514" s="14"/>
      <c r="G3514" s="410" t="s">
        <v>57</v>
      </c>
      <c r="H3514" s="411">
        <v>10</v>
      </c>
      <c r="I3514" s="412">
        <f>'BAHAN '!G72</f>
        <v>0</v>
      </c>
      <c r="J3514" s="16">
        <f>H3514*I3514</f>
        <v>0</v>
      </c>
    </row>
    <row r="3515" spans="1:10" ht="13.5" thickBot="1">
      <c r="A3515" s="27"/>
      <c r="B3515" s="110"/>
      <c r="D3515" s="409"/>
      <c r="E3515" s="13" t="s">
        <v>167</v>
      </c>
      <c r="F3515" s="14"/>
      <c r="G3515" s="410" t="s">
        <v>57</v>
      </c>
      <c r="H3515" s="411">
        <v>15</v>
      </c>
      <c r="I3515" s="412">
        <f>'BAHAN '!G257/2</f>
        <v>0</v>
      </c>
      <c r="J3515" s="16">
        <f>H3515*I3515</f>
        <v>0</v>
      </c>
    </row>
    <row r="3516" spans="1:10" ht="13.5" thickBot="1">
      <c r="A3516" s="27"/>
      <c r="B3516" s="110"/>
      <c r="D3516" s="417"/>
      <c r="E3516" s="418"/>
      <c r="F3516" s="418"/>
      <c r="G3516" s="419"/>
      <c r="H3516" s="420" t="s">
        <v>64</v>
      </c>
      <c r="I3516" s="421"/>
      <c r="J3516" s="396">
        <f>SUM(J3514:J3515)</f>
        <v>0</v>
      </c>
    </row>
    <row r="3517" spans="1:10" ht="13.5" thickBot="1">
      <c r="A3517" s="27"/>
      <c r="B3517" s="110"/>
      <c r="D3517" s="406" t="s">
        <v>65</v>
      </c>
      <c r="E3517" s="13" t="s">
        <v>66</v>
      </c>
      <c r="F3517" s="14"/>
      <c r="G3517" s="15"/>
      <c r="H3517" s="451"/>
      <c r="I3517" s="412">
        <f>IF(AND(E3517&lt;&gt;"",G3517&lt;&gt;""),IF(D3517="",IF(G3517="OH",VLOOKUP(E3517,UPAH!$C$4:$H$31,7,0),VLOOKUP(E3517,#REF!,4,0)),0),0)</f>
        <v>0</v>
      </c>
      <c r="J3517" s="16">
        <f>H3517*I3517</f>
        <v>0</v>
      </c>
    </row>
    <row r="3518" spans="1:10" ht="13.5" thickBot="1">
      <c r="A3518" s="27"/>
      <c r="B3518" s="110"/>
      <c r="D3518" s="417"/>
      <c r="E3518" s="418"/>
      <c r="F3518" s="418"/>
      <c r="G3518" s="419"/>
      <c r="H3518" s="420" t="s">
        <v>67</v>
      </c>
      <c r="I3518" s="421"/>
      <c r="J3518" s="396">
        <f>J3517</f>
        <v>0</v>
      </c>
    </row>
    <row r="3519" spans="1:10" ht="13">
      <c r="A3519" s="27"/>
      <c r="B3519" s="110"/>
      <c r="D3519" s="444" t="s">
        <v>68</v>
      </c>
      <c r="E3519" s="445" t="s">
        <v>69</v>
      </c>
      <c r="F3519" s="446"/>
      <c r="G3519" s="447"/>
      <c r="H3519" s="448"/>
      <c r="I3519" s="449">
        <f>IF(AND(E3519&lt;&gt;"",G3519&lt;&gt;""),IF(D3519="",IF(G3519="OH",VLOOKUP(E3519,UPAH!$C$4:$H$31,7,0),VLOOKUP(E3519,#REF!,4,0)),0),0)</f>
        <v>0</v>
      </c>
      <c r="J3519" s="16">
        <f>SUM(J3508:J3518)/2</f>
        <v>0</v>
      </c>
    </row>
    <row r="3520" spans="1:10" ht="13.5" thickBot="1">
      <c r="A3520" s="27"/>
      <c r="B3520" s="110"/>
      <c r="D3520" s="431" t="s">
        <v>70</v>
      </c>
      <c r="E3520" s="432" t="s">
        <v>477</v>
      </c>
      <c r="F3520" s="433"/>
      <c r="G3520" s="434"/>
      <c r="H3520" s="22">
        <v>0.1</v>
      </c>
      <c r="I3520" s="436"/>
      <c r="J3520" s="430">
        <f>H3520*J3519</f>
        <v>0</v>
      </c>
    </row>
    <row r="3521" spans="1:10" ht="13.5" thickBot="1">
      <c r="A3521" s="27"/>
      <c r="B3521" s="110"/>
      <c r="D3521" s="401" t="s">
        <v>71</v>
      </c>
      <c r="E3521" s="402" t="s">
        <v>72</v>
      </c>
      <c r="F3521" s="418"/>
      <c r="G3521" s="419"/>
      <c r="H3521" s="442"/>
      <c r="I3521" s="421">
        <f>IF(AND(E3521&lt;&gt;"",G3521&lt;&gt;""),IF(D3521="",IF(G3521="OH",VLOOKUP(E3521,UPAH!$C$4:$H$31,7,0),VLOOKUP(E3521,#REF!,4,0)),0),0)</f>
        <v>0</v>
      </c>
      <c r="J3521" s="396">
        <f>ROUNDDOWN(J3519+J3520,0)</f>
        <v>0</v>
      </c>
    </row>
    <row r="3522" spans="1:10" ht="13">
      <c r="A3522" s="27"/>
      <c r="B3522" s="110"/>
      <c r="D3522" s="11"/>
      <c r="E3522" s="11"/>
      <c r="H3522" s="443"/>
    </row>
    <row r="3523" spans="1:10" ht="13.5" thickBot="1">
      <c r="A3523" s="27"/>
      <c r="B3523" s="110"/>
      <c r="C3523" s="11" t="s">
        <v>831</v>
      </c>
      <c r="D3523" s="10" t="s">
        <v>832</v>
      </c>
      <c r="H3523" s="443"/>
    </row>
    <row r="3524" spans="1:10" ht="13.5" thickBot="1">
      <c r="A3524" s="27"/>
      <c r="B3524" s="110"/>
      <c r="D3524" s="401" t="s">
        <v>40</v>
      </c>
      <c r="E3524" s="402" t="s">
        <v>41</v>
      </c>
      <c r="F3524" s="402" t="s">
        <v>42</v>
      </c>
      <c r="G3524" s="403" t="s">
        <v>43</v>
      </c>
      <c r="H3524" s="404" t="s">
        <v>44</v>
      </c>
      <c r="I3524" s="402" t="s">
        <v>474</v>
      </c>
      <c r="J3524" s="405" t="s">
        <v>475</v>
      </c>
    </row>
    <row r="3525" spans="1:10" ht="13">
      <c r="A3525" s="27"/>
      <c r="B3525" s="110"/>
      <c r="D3525" s="406" t="s">
        <v>45</v>
      </c>
      <c r="E3525" s="13" t="s">
        <v>46</v>
      </c>
      <c r="F3525" s="14"/>
      <c r="G3525" s="15"/>
      <c r="H3525" s="451"/>
      <c r="I3525" s="412"/>
      <c r="J3525" s="16"/>
    </row>
    <row r="3526" spans="1:10" ht="13">
      <c r="A3526" s="27"/>
      <c r="B3526" s="110"/>
      <c r="D3526" s="409"/>
      <c r="E3526" s="13" t="s">
        <v>47</v>
      </c>
      <c r="F3526" s="13" t="s">
        <v>1918</v>
      </c>
      <c r="G3526" s="410" t="s">
        <v>48</v>
      </c>
      <c r="H3526" s="411">
        <v>0.45</v>
      </c>
      <c r="I3526" s="412">
        <f>IF(AND(E3526&lt;&gt;"",G3526&lt;&gt;""),IF(D3526="",IF(G3526="OH",VLOOKUP(F3526,UPAH!$B$4:$H$101,7,0),VLOOKUP(F3526,#REF!,4,0)),0),0)</f>
        <v>0</v>
      </c>
      <c r="J3526" s="16">
        <f>H3526*I3526</f>
        <v>0</v>
      </c>
    </row>
    <row r="3527" spans="1:10" ht="13">
      <c r="A3527" s="27"/>
      <c r="B3527" s="110"/>
      <c r="D3527" s="409"/>
      <c r="E3527" s="13" t="s">
        <v>115</v>
      </c>
      <c r="F3527" s="13" t="s">
        <v>1921</v>
      </c>
      <c r="G3527" s="410" t="s">
        <v>48</v>
      </c>
      <c r="H3527" s="411">
        <v>0.22500000000000001</v>
      </c>
      <c r="I3527" s="412">
        <f>IF(AND(E3527&lt;&gt;"",G3527&lt;&gt;""),IF(D3527="",IF(G3527="OH",VLOOKUP(F3527,UPAH!$B$4:$H$101,7,0),VLOOKUP(F3527,#REF!,4,0)),0),0)</f>
        <v>0</v>
      </c>
      <c r="J3527" s="16">
        <f>H3527*I3527</f>
        <v>0</v>
      </c>
    </row>
    <row r="3528" spans="1:10" ht="13">
      <c r="A3528" s="27"/>
      <c r="B3528" s="110"/>
      <c r="D3528" s="409"/>
      <c r="E3528" s="13" t="s">
        <v>97</v>
      </c>
      <c r="F3528" s="13" t="s">
        <v>1928</v>
      </c>
      <c r="G3528" s="410" t="s">
        <v>48</v>
      </c>
      <c r="H3528" s="411">
        <v>2.3E-2</v>
      </c>
      <c r="I3528" s="412">
        <f>IF(AND(E3528&lt;&gt;"",G3528&lt;&gt;""),IF(D3528="",IF(G3528="OH",VLOOKUP(F3528,UPAH!$B$4:$H$101,7,0),VLOOKUP(F3528,#REF!,4,0)),0),0)</f>
        <v>0</v>
      </c>
      <c r="J3528" s="16">
        <f>H3528*I3528</f>
        <v>0</v>
      </c>
    </row>
    <row r="3529" spans="1:10" ht="13.5" thickBot="1">
      <c r="A3529" s="27"/>
      <c r="B3529" s="110"/>
      <c r="D3529" s="409"/>
      <c r="E3529" s="13" t="s">
        <v>51</v>
      </c>
      <c r="F3529" s="13" t="s">
        <v>1929</v>
      </c>
      <c r="G3529" s="410" t="s">
        <v>48</v>
      </c>
      <c r="H3529" s="411">
        <v>2.3E-2</v>
      </c>
      <c r="I3529" s="412">
        <f>IF(AND(E3529&lt;&gt;"",G3529&lt;&gt;""),IF(D3529="",IF(G3529="OH",VLOOKUP(F3529,UPAH!$B$4:$H$101,7,0),VLOOKUP(F3529,#REF!,4,0)),0),0)</f>
        <v>0</v>
      </c>
      <c r="J3529" s="16">
        <f>H3529*I3529</f>
        <v>0</v>
      </c>
    </row>
    <row r="3530" spans="1:10" ht="13.5" thickBot="1">
      <c r="A3530" s="27"/>
      <c r="B3530" s="110"/>
      <c r="D3530" s="417"/>
      <c r="E3530" s="418"/>
      <c r="F3530" s="418"/>
      <c r="G3530" s="419"/>
      <c r="H3530" s="420" t="s">
        <v>52</v>
      </c>
      <c r="I3530" s="421"/>
      <c r="J3530" s="396">
        <f>SUM(J3526:J3529)</f>
        <v>0</v>
      </c>
    </row>
    <row r="3531" spans="1:10" ht="13">
      <c r="A3531" s="27"/>
      <c r="B3531" s="110"/>
      <c r="D3531" s="406" t="s">
        <v>53</v>
      </c>
      <c r="E3531" s="13" t="s">
        <v>54</v>
      </c>
      <c r="F3531" s="14"/>
      <c r="G3531" s="15"/>
      <c r="H3531" s="451"/>
      <c r="I3531" s="412"/>
      <c r="J3531" s="16"/>
    </row>
    <row r="3532" spans="1:10" ht="13">
      <c r="A3532" s="27"/>
      <c r="B3532" s="110"/>
      <c r="D3532" s="409"/>
      <c r="E3532" s="13" t="s">
        <v>56</v>
      </c>
      <c r="F3532" s="14"/>
      <c r="G3532" s="410" t="s">
        <v>57</v>
      </c>
      <c r="H3532" s="411">
        <v>10</v>
      </c>
      <c r="I3532" s="412">
        <f>'BAHAN '!G72</f>
        <v>0</v>
      </c>
      <c r="J3532" s="16">
        <f>H3532*I3532</f>
        <v>0</v>
      </c>
    </row>
    <row r="3533" spans="1:10" ht="13.5" thickBot="1">
      <c r="A3533" s="27"/>
      <c r="B3533" s="110"/>
      <c r="D3533" s="409"/>
      <c r="E3533" s="13" t="s">
        <v>168</v>
      </c>
      <c r="F3533" s="14"/>
      <c r="G3533" s="410" t="s">
        <v>57</v>
      </c>
      <c r="H3533" s="411">
        <v>15</v>
      </c>
      <c r="I3533" s="412">
        <f>'BAHAN '!G257/2</f>
        <v>0</v>
      </c>
      <c r="J3533" s="16">
        <f>H3533*I3533</f>
        <v>0</v>
      </c>
    </row>
    <row r="3534" spans="1:10" ht="13.5" thickBot="1">
      <c r="A3534" s="27"/>
      <c r="B3534" s="110"/>
      <c r="D3534" s="417"/>
      <c r="E3534" s="418"/>
      <c r="F3534" s="418"/>
      <c r="G3534" s="419"/>
      <c r="H3534" s="420" t="s">
        <v>64</v>
      </c>
      <c r="I3534" s="421"/>
      <c r="J3534" s="396">
        <f>SUM(J3532:J3533)</f>
        <v>0</v>
      </c>
    </row>
    <row r="3535" spans="1:10" ht="13.5" thickBot="1">
      <c r="A3535" s="27"/>
      <c r="B3535" s="110"/>
      <c r="D3535" s="406" t="s">
        <v>65</v>
      </c>
      <c r="E3535" s="13" t="s">
        <v>66</v>
      </c>
      <c r="F3535" s="14"/>
      <c r="G3535" s="15"/>
      <c r="H3535" s="451"/>
      <c r="I3535" s="412">
        <f>IF(AND(E3535&lt;&gt;"",G3535&lt;&gt;""),IF(D3535="",IF(G3535="OH",VLOOKUP(E3535,UPAH!$C$4:$H$31,7,0),VLOOKUP(E3535,#REF!,4,0)),0),0)</f>
        <v>0</v>
      </c>
      <c r="J3535" s="16">
        <f>H3535*I3535</f>
        <v>0</v>
      </c>
    </row>
    <row r="3536" spans="1:10" ht="13.5" thickBot="1">
      <c r="A3536" s="27"/>
      <c r="B3536" s="110"/>
      <c r="D3536" s="417"/>
      <c r="E3536" s="418"/>
      <c r="F3536" s="418"/>
      <c r="G3536" s="419"/>
      <c r="H3536" s="420" t="s">
        <v>67</v>
      </c>
      <c r="I3536" s="421"/>
      <c r="J3536" s="396">
        <f>J3535</f>
        <v>0</v>
      </c>
    </row>
    <row r="3537" spans="1:10" ht="13">
      <c r="A3537" s="27"/>
      <c r="B3537" s="110"/>
      <c r="D3537" s="444" t="s">
        <v>68</v>
      </c>
      <c r="E3537" s="445" t="s">
        <v>69</v>
      </c>
      <c r="F3537" s="446"/>
      <c r="G3537" s="447"/>
      <c r="H3537" s="448"/>
      <c r="I3537" s="449">
        <f>IF(AND(E3537&lt;&gt;"",G3537&lt;&gt;""),IF(D3537="",IF(G3537="OH",VLOOKUP(E3537,UPAH!$C$4:$H$31,7,0),VLOOKUP(E3537,#REF!,4,0)),0),0)</f>
        <v>0</v>
      </c>
      <c r="J3537" s="16">
        <f>SUM(J3526:J3536)/2</f>
        <v>0</v>
      </c>
    </row>
    <row r="3538" spans="1:10" ht="13.5" thickBot="1">
      <c r="A3538" s="27"/>
      <c r="B3538" s="110"/>
      <c r="D3538" s="431" t="s">
        <v>70</v>
      </c>
      <c r="E3538" s="432" t="s">
        <v>477</v>
      </c>
      <c r="F3538" s="433"/>
      <c r="G3538" s="434"/>
      <c r="H3538" s="22">
        <v>0.1</v>
      </c>
      <c r="I3538" s="436"/>
      <c r="J3538" s="430">
        <f>H3538*J3537</f>
        <v>0</v>
      </c>
    </row>
    <row r="3539" spans="1:10" ht="13.5" thickBot="1">
      <c r="A3539" s="27"/>
      <c r="B3539" s="110"/>
      <c r="D3539" s="401" t="s">
        <v>71</v>
      </c>
      <c r="E3539" s="402" t="s">
        <v>72</v>
      </c>
      <c r="F3539" s="418"/>
      <c r="G3539" s="419"/>
      <c r="H3539" s="442"/>
      <c r="I3539" s="421">
        <f>IF(AND(E3539&lt;&gt;"",G3539&lt;&gt;""),IF(D3539="",IF(G3539="OH",VLOOKUP(E3539,UPAH!$C$4:$H$31,7,0),VLOOKUP(E3539,#REF!,4,0)),0),0)</f>
        <v>0</v>
      </c>
      <c r="J3539" s="396">
        <f>ROUNDDOWN(J3537+J3538,0)</f>
        <v>0</v>
      </c>
    </row>
    <row r="3540" spans="1:10" ht="13">
      <c r="A3540" s="27"/>
      <c r="B3540" s="110"/>
      <c r="D3540" s="11"/>
      <c r="E3540" s="11"/>
      <c r="H3540" s="443"/>
    </row>
    <row r="3541" spans="1:10" ht="13.5" thickBot="1">
      <c r="A3541" s="27"/>
      <c r="B3541" s="110"/>
      <c r="C3541" s="11" t="s">
        <v>833</v>
      </c>
      <c r="D3541" s="10" t="s">
        <v>834</v>
      </c>
      <c r="H3541" s="443"/>
    </row>
    <row r="3542" spans="1:10" ht="13.5" thickBot="1">
      <c r="A3542" s="27"/>
      <c r="B3542" s="110"/>
      <c r="D3542" s="401" t="s">
        <v>40</v>
      </c>
      <c r="E3542" s="402" t="s">
        <v>41</v>
      </c>
      <c r="F3542" s="402" t="s">
        <v>42</v>
      </c>
      <c r="G3542" s="403" t="s">
        <v>43</v>
      </c>
      <c r="H3542" s="404" t="s">
        <v>44</v>
      </c>
      <c r="I3542" s="402" t="s">
        <v>474</v>
      </c>
      <c r="J3542" s="405" t="s">
        <v>475</v>
      </c>
    </row>
    <row r="3543" spans="1:10" ht="13">
      <c r="A3543" s="27"/>
      <c r="B3543" s="110"/>
      <c r="D3543" s="406" t="s">
        <v>45</v>
      </c>
      <c r="E3543" s="13" t="s">
        <v>46</v>
      </c>
      <c r="F3543" s="14"/>
      <c r="G3543" s="15"/>
      <c r="H3543" s="451"/>
      <c r="I3543" s="412"/>
      <c r="J3543" s="16"/>
    </row>
    <row r="3544" spans="1:10" ht="13">
      <c r="A3544" s="27"/>
      <c r="B3544" s="110"/>
      <c r="D3544" s="409"/>
      <c r="E3544" s="13" t="s">
        <v>47</v>
      </c>
      <c r="F3544" s="13" t="s">
        <v>1918</v>
      </c>
      <c r="G3544" s="410" t="s">
        <v>48</v>
      </c>
      <c r="H3544" s="411">
        <v>0.3</v>
      </c>
      <c r="I3544" s="412">
        <f>IF(AND(E3544&lt;&gt;"",G3544&lt;&gt;""),IF(D3544="",IF(G3544="OH",VLOOKUP(F3544,UPAH!$B$4:$H$101,7,0),VLOOKUP(F3544,#REF!,4,0)),0),0)</f>
        <v>0</v>
      </c>
      <c r="J3544" s="16">
        <f>H3544*I3544</f>
        <v>0</v>
      </c>
    </row>
    <row r="3545" spans="1:10" ht="13">
      <c r="A3545" s="27"/>
      <c r="B3545" s="110"/>
      <c r="D3545" s="409"/>
      <c r="E3545" s="13" t="s">
        <v>115</v>
      </c>
      <c r="F3545" s="13" t="s">
        <v>1921</v>
      </c>
      <c r="G3545" s="410" t="s">
        <v>48</v>
      </c>
      <c r="H3545" s="411">
        <v>0.1</v>
      </c>
      <c r="I3545" s="412">
        <f>IF(AND(E3545&lt;&gt;"",G3545&lt;&gt;""),IF(D3545="",IF(G3545="OH",VLOOKUP(F3545,UPAH!$B$4:$H$101,7,0),VLOOKUP(F3545,#REF!,4,0)),0),0)</f>
        <v>0</v>
      </c>
      <c r="J3545" s="16">
        <f>H3545*I3545</f>
        <v>0</v>
      </c>
    </row>
    <row r="3546" spans="1:10" ht="13">
      <c r="A3546" s="27"/>
      <c r="B3546" s="110"/>
      <c r="D3546" s="409"/>
      <c r="E3546" s="13" t="s">
        <v>97</v>
      </c>
      <c r="F3546" s="13" t="s">
        <v>1928</v>
      </c>
      <c r="G3546" s="410" t="s">
        <v>48</v>
      </c>
      <c r="H3546" s="411">
        <v>0.01</v>
      </c>
      <c r="I3546" s="412">
        <f>IF(AND(E3546&lt;&gt;"",G3546&lt;&gt;""),IF(D3546="",IF(G3546="OH",VLOOKUP(F3546,UPAH!$B$4:$H$101,7,0),VLOOKUP(F3546,#REF!,4,0)),0),0)</f>
        <v>0</v>
      </c>
      <c r="J3546" s="16">
        <f>H3546*I3546</f>
        <v>0</v>
      </c>
    </row>
    <row r="3547" spans="1:10" ht="13.5" thickBot="1">
      <c r="A3547" s="27"/>
      <c r="B3547" s="110"/>
      <c r="D3547" s="409"/>
      <c r="E3547" s="13" t="s">
        <v>51</v>
      </c>
      <c r="F3547" s="13" t="s">
        <v>1929</v>
      </c>
      <c r="G3547" s="410" t="s">
        <v>48</v>
      </c>
      <c r="H3547" s="411">
        <v>1.4999999999999999E-2</v>
      </c>
      <c r="I3547" s="412">
        <f>IF(AND(E3547&lt;&gt;"",G3547&lt;&gt;""),IF(D3547="",IF(G3547="OH",VLOOKUP(F3547,UPAH!$B$4:$H$101,7,0),VLOOKUP(F3547,#REF!,4,0)),0),0)</f>
        <v>0</v>
      </c>
      <c r="J3547" s="16">
        <f>H3547*I3547</f>
        <v>0</v>
      </c>
    </row>
    <row r="3548" spans="1:10" ht="13.5" thickBot="1">
      <c r="A3548" s="27"/>
      <c r="B3548" s="110"/>
      <c r="D3548" s="417"/>
      <c r="E3548" s="418"/>
      <c r="F3548" s="418"/>
      <c r="G3548" s="419"/>
      <c r="H3548" s="420" t="s">
        <v>52</v>
      </c>
      <c r="I3548" s="421"/>
      <c r="J3548" s="396">
        <f>SUM(J3544:J3547)</f>
        <v>0</v>
      </c>
    </row>
    <row r="3549" spans="1:10" ht="13">
      <c r="A3549" s="27"/>
      <c r="B3549" s="110"/>
      <c r="D3549" s="406" t="s">
        <v>53</v>
      </c>
      <c r="E3549" s="13" t="s">
        <v>54</v>
      </c>
      <c r="F3549" s="14"/>
      <c r="G3549" s="15"/>
      <c r="H3549" s="451"/>
      <c r="I3549" s="412"/>
      <c r="J3549" s="16"/>
    </row>
    <row r="3550" spans="1:10" ht="13">
      <c r="A3550" s="27"/>
      <c r="B3550" s="110"/>
      <c r="D3550" s="409"/>
      <c r="E3550" s="13" t="s">
        <v>56</v>
      </c>
      <c r="F3550" s="14"/>
      <c r="G3550" s="410" t="s">
        <v>57</v>
      </c>
      <c r="H3550" s="411">
        <v>4.32</v>
      </c>
      <c r="I3550" s="412">
        <f>'BAHAN '!G72</f>
        <v>0</v>
      </c>
      <c r="J3550" s="16">
        <f>H3550*I3550</f>
        <v>0</v>
      </c>
    </row>
    <row r="3551" spans="1:10" ht="13.5" thickBot="1">
      <c r="A3551" s="27"/>
      <c r="B3551" s="110"/>
      <c r="D3551" s="409"/>
      <c r="E3551" s="13" t="s">
        <v>101</v>
      </c>
      <c r="F3551" s="14"/>
      <c r="G3551" s="410" t="s">
        <v>375</v>
      </c>
      <c r="H3551" s="411">
        <v>6.0000000000000001E-3</v>
      </c>
      <c r="I3551" s="412">
        <f>'BAHAN '!G59</f>
        <v>0</v>
      </c>
      <c r="J3551" s="16">
        <f>H3551*I3551</f>
        <v>0</v>
      </c>
    </row>
    <row r="3552" spans="1:10" ht="13.5" thickBot="1">
      <c r="A3552" s="27"/>
      <c r="B3552" s="110"/>
      <c r="D3552" s="417"/>
      <c r="E3552" s="418"/>
      <c r="F3552" s="418"/>
      <c r="G3552" s="419"/>
      <c r="H3552" s="420" t="s">
        <v>64</v>
      </c>
      <c r="I3552" s="421"/>
      <c r="J3552" s="396">
        <f>SUM(J3550:J3551)</f>
        <v>0</v>
      </c>
    </row>
    <row r="3553" spans="1:10" ht="13.5" thickBot="1">
      <c r="A3553" s="27"/>
      <c r="B3553" s="110"/>
      <c r="D3553" s="406" t="s">
        <v>65</v>
      </c>
      <c r="E3553" s="13" t="s">
        <v>66</v>
      </c>
      <c r="F3553" s="14"/>
      <c r="G3553" s="15"/>
      <c r="H3553" s="451"/>
      <c r="I3553" s="412">
        <f>IF(AND(E3553&lt;&gt;"",G3553&lt;&gt;""),IF(D3553="",IF(G3553="OH",VLOOKUP(E3553,UPAH!$C$4:$H$31,7,0),VLOOKUP(E3553,#REF!,4,0)),0),0)</f>
        <v>0</v>
      </c>
      <c r="J3553" s="16">
        <f>H3553*I3553</f>
        <v>0</v>
      </c>
    </row>
    <row r="3554" spans="1:10" ht="13.5" thickBot="1">
      <c r="A3554" s="27"/>
      <c r="B3554" s="110"/>
      <c r="D3554" s="417"/>
      <c r="E3554" s="418"/>
      <c r="F3554" s="418"/>
      <c r="G3554" s="419"/>
      <c r="H3554" s="420" t="s">
        <v>67</v>
      </c>
      <c r="I3554" s="421"/>
      <c r="J3554" s="396">
        <f>J3553</f>
        <v>0</v>
      </c>
    </row>
    <row r="3555" spans="1:10" ht="13">
      <c r="A3555" s="27"/>
      <c r="B3555" s="110"/>
      <c r="D3555" s="444" t="s">
        <v>68</v>
      </c>
      <c r="E3555" s="445" t="s">
        <v>69</v>
      </c>
      <c r="F3555" s="446"/>
      <c r="G3555" s="447"/>
      <c r="H3555" s="448"/>
      <c r="I3555" s="449">
        <f>IF(AND(E3555&lt;&gt;"",G3555&lt;&gt;""),IF(D3555="",IF(G3555="OH",VLOOKUP(E3555,UPAH!$C$4:$H$31,7,0),VLOOKUP(E3555,#REF!,4,0)),0),0)</f>
        <v>0</v>
      </c>
      <c r="J3555" s="16">
        <f>SUM(J3544:J3554)/2</f>
        <v>0</v>
      </c>
    </row>
    <row r="3556" spans="1:10" ht="13.5" thickBot="1">
      <c r="A3556" s="27"/>
      <c r="B3556" s="110"/>
      <c r="D3556" s="431" t="s">
        <v>70</v>
      </c>
      <c r="E3556" s="432" t="s">
        <v>477</v>
      </c>
      <c r="F3556" s="433"/>
      <c r="G3556" s="434"/>
      <c r="H3556" s="22">
        <v>0.1</v>
      </c>
      <c r="I3556" s="436"/>
      <c r="J3556" s="430">
        <f>H3556*J3555</f>
        <v>0</v>
      </c>
    </row>
    <row r="3557" spans="1:10" ht="13.5" thickBot="1">
      <c r="A3557" s="27"/>
      <c r="B3557" s="110"/>
      <c r="D3557" s="401" t="s">
        <v>71</v>
      </c>
      <c r="E3557" s="402" t="s">
        <v>72</v>
      </c>
      <c r="F3557" s="418"/>
      <c r="G3557" s="419"/>
      <c r="H3557" s="442"/>
      <c r="I3557" s="421">
        <f>IF(AND(E3557&lt;&gt;"",G3557&lt;&gt;""),IF(D3557="",IF(G3557="OH",VLOOKUP(E3557,UPAH!$C$4:$H$31,7,0),VLOOKUP(E3557,#REF!,4,0)),0),0)</f>
        <v>0</v>
      </c>
      <c r="J3557" s="396">
        <f>ROUNDDOWN(J3555+J3556,0)</f>
        <v>0</v>
      </c>
    </row>
    <row r="3558" spans="1:10" ht="13">
      <c r="A3558" s="27"/>
      <c r="B3558" s="110"/>
      <c r="D3558" s="11"/>
      <c r="E3558" s="11"/>
      <c r="H3558" s="443"/>
    </row>
    <row r="3559" spans="1:10" ht="13.5" thickBot="1">
      <c r="A3559" s="27"/>
      <c r="B3559" s="110"/>
      <c r="C3559" s="10" t="s">
        <v>835</v>
      </c>
      <c r="D3559" s="11" t="s">
        <v>1074</v>
      </c>
      <c r="H3559" s="443"/>
    </row>
    <row r="3560" spans="1:10" ht="13.5" thickBot="1">
      <c r="A3560" s="27"/>
      <c r="B3560" s="110"/>
      <c r="D3560" s="401" t="s">
        <v>40</v>
      </c>
      <c r="E3560" s="402" t="s">
        <v>41</v>
      </c>
      <c r="F3560" s="402" t="s">
        <v>42</v>
      </c>
      <c r="G3560" s="403" t="s">
        <v>43</v>
      </c>
      <c r="H3560" s="404" t="s">
        <v>44</v>
      </c>
      <c r="I3560" s="402" t="s">
        <v>474</v>
      </c>
      <c r="J3560" s="405" t="s">
        <v>475</v>
      </c>
    </row>
    <row r="3561" spans="1:10" ht="13">
      <c r="A3561" s="27"/>
      <c r="B3561" s="110"/>
      <c r="D3561" s="406" t="s">
        <v>45</v>
      </c>
      <c r="E3561" s="13" t="s">
        <v>46</v>
      </c>
      <c r="F3561" s="14"/>
      <c r="G3561" s="15"/>
      <c r="H3561" s="451"/>
      <c r="I3561" s="412"/>
      <c r="J3561" s="16"/>
    </row>
    <row r="3562" spans="1:10" ht="13">
      <c r="A3562" s="27"/>
      <c r="B3562" s="110"/>
      <c r="D3562" s="409"/>
      <c r="E3562" s="13" t="s">
        <v>47</v>
      </c>
      <c r="F3562" s="13" t="s">
        <v>1918</v>
      </c>
      <c r="G3562" s="410" t="s">
        <v>48</v>
      </c>
      <c r="H3562" s="411">
        <v>0.15</v>
      </c>
      <c r="I3562" s="412">
        <f>IF(AND(E3562&lt;&gt;"",G3562&lt;&gt;""),IF(D3562="",IF(G3562="OH",VLOOKUP(F3562,UPAH!$B$4:$H$101,7,0),VLOOKUP(F3562,#REF!,4,0)),0),0)</f>
        <v>0</v>
      </c>
      <c r="J3562" s="16">
        <f>H3562*I3562</f>
        <v>0</v>
      </c>
    </row>
    <row r="3563" spans="1:10" ht="13">
      <c r="A3563" s="27"/>
      <c r="B3563" s="110"/>
      <c r="D3563" s="409"/>
      <c r="E3563" s="13" t="s">
        <v>115</v>
      </c>
      <c r="F3563" s="13" t="s">
        <v>1921</v>
      </c>
      <c r="G3563" s="410" t="s">
        <v>48</v>
      </c>
      <c r="H3563" s="411">
        <v>7.4999999999999997E-2</v>
      </c>
      <c r="I3563" s="412">
        <f>IF(AND(E3563&lt;&gt;"",G3563&lt;&gt;""),IF(D3563="",IF(G3563="OH",VLOOKUP(F3563,UPAH!$B$4:$H$101,7,0),VLOOKUP(F3563,#REF!,4,0)),0),0)</f>
        <v>0</v>
      </c>
      <c r="J3563" s="16">
        <f>H3563*I3563</f>
        <v>0</v>
      </c>
    </row>
    <row r="3564" spans="1:10" ht="13">
      <c r="A3564" s="27"/>
      <c r="B3564" s="110"/>
      <c r="D3564" s="409"/>
      <c r="E3564" s="13" t="s">
        <v>97</v>
      </c>
      <c r="F3564" s="13" t="s">
        <v>1928</v>
      </c>
      <c r="G3564" s="410" t="s">
        <v>48</v>
      </c>
      <c r="H3564" s="411">
        <v>8.0000000000000002E-3</v>
      </c>
      <c r="I3564" s="412">
        <f>IF(AND(E3564&lt;&gt;"",G3564&lt;&gt;""),IF(D3564="",IF(G3564="OH",VLOOKUP(F3564,UPAH!$B$4:$H$101,7,0),VLOOKUP(F3564,#REF!,4,0)),0),0)</f>
        <v>0</v>
      </c>
      <c r="J3564" s="16">
        <f>H3564*I3564</f>
        <v>0</v>
      </c>
    </row>
    <row r="3565" spans="1:10" ht="13.5" thickBot="1">
      <c r="A3565" s="27"/>
      <c r="B3565" s="110"/>
      <c r="D3565" s="409"/>
      <c r="E3565" s="13" t="s">
        <v>51</v>
      </c>
      <c r="F3565" s="13" t="s">
        <v>1929</v>
      </c>
      <c r="G3565" s="410" t="s">
        <v>48</v>
      </c>
      <c r="H3565" s="411">
        <v>8.0000000000000002E-3</v>
      </c>
      <c r="I3565" s="412">
        <f>IF(AND(E3565&lt;&gt;"",G3565&lt;&gt;""),IF(D3565="",IF(G3565="OH",VLOOKUP(F3565,UPAH!$B$4:$H$101,7,0),VLOOKUP(F3565,#REF!,4,0)),0),0)</f>
        <v>0</v>
      </c>
      <c r="J3565" s="16">
        <f>H3565*I3565</f>
        <v>0</v>
      </c>
    </row>
    <row r="3566" spans="1:10" ht="13.5" thickBot="1">
      <c r="A3566" s="27"/>
      <c r="B3566" s="110"/>
      <c r="D3566" s="417"/>
      <c r="E3566" s="418"/>
      <c r="F3566" s="418"/>
      <c r="G3566" s="419"/>
      <c r="H3566" s="420" t="s">
        <v>52</v>
      </c>
      <c r="I3566" s="421"/>
      <c r="J3566" s="396">
        <f>SUM(J3562:J3565)</f>
        <v>0</v>
      </c>
    </row>
    <row r="3567" spans="1:10" ht="13">
      <c r="A3567" s="27"/>
      <c r="B3567" s="110"/>
      <c r="D3567" s="406" t="s">
        <v>53</v>
      </c>
      <c r="E3567" s="13" t="s">
        <v>54</v>
      </c>
      <c r="F3567" s="14"/>
      <c r="G3567" s="15"/>
      <c r="H3567" s="451"/>
      <c r="I3567" s="412"/>
      <c r="J3567" s="16"/>
    </row>
    <row r="3568" spans="1:10" ht="13.5" thickBot="1">
      <c r="A3568" s="27"/>
      <c r="B3568" s="110"/>
      <c r="D3568" s="409"/>
      <c r="E3568" s="13" t="s">
        <v>56</v>
      </c>
      <c r="F3568" s="14"/>
      <c r="G3568" s="410" t="s">
        <v>57</v>
      </c>
      <c r="H3568" s="411">
        <v>3.1080000000000001</v>
      </c>
      <c r="I3568" s="412">
        <f>'BAHAN '!G72</f>
        <v>0</v>
      </c>
      <c r="J3568" s="16">
        <f>H3568*I3568</f>
        <v>0</v>
      </c>
    </row>
    <row r="3569" spans="1:10" ht="13.5" thickBot="1">
      <c r="A3569" s="27"/>
      <c r="B3569" s="110"/>
      <c r="D3569" s="417"/>
      <c r="E3569" s="418"/>
      <c r="F3569" s="418"/>
      <c r="G3569" s="419"/>
      <c r="H3569" s="420" t="s">
        <v>64</v>
      </c>
      <c r="I3569" s="421"/>
      <c r="J3569" s="396">
        <f>SUM(J3568)</f>
        <v>0</v>
      </c>
    </row>
    <row r="3570" spans="1:10" ht="13.5" thickBot="1">
      <c r="A3570" s="27"/>
      <c r="B3570" s="110"/>
      <c r="D3570" s="406" t="s">
        <v>65</v>
      </c>
      <c r="E3570" s="13" t="s">
        <v>66</v>
      </c>
      <c r="F3570" s="14"/>
      <c r="G3570" s="15"/>
      <c r="H3570" s="451"/>
      <c r="I3570" s="412">
        <f>IF(AND(E3570&lt;&gt;"",G3570&lt;&gt;""),IF(D3570="",IF(G3570="OH",VLOOKUP(E3570,UPAH!$C$4:$H$31,7,0),VLOOKUP(E3570,#REF!,4,0)),0),0)</f>
        <v>0</v>
      </c>
      <c r="J3570" s="16">
        <f>H3570*I3570</f>
        <v>0</v>
      </c>
    </row>
    <row r="3571" spans="1:10" ht="13.5" thickBot="1">
      <c r="A3571" s="27"/>
      <c r="B3571" s="110"/>
      <c r="D3571" s="417"/>
      <c r="E3571" s="418"/>
      <c r="F3571" s="418"/>
      <c r="G3571" s="419"/>
      <c r="H3571" s="420" t="s">
        <v>67</v>
      </c>
      <c r="I3571" s="421"/>
      <c r="J3571" s="396">
        <f>J3570</f>
        <v>0</v>
      </c>
    </row>
    <row r="3572" spans="1:10" ht="13">
      <c r="A3572" s="27"/>
      <c r="B3572" s="110"/>
      <c r="D3572" s="444" t="s">
        <v>68</v>
      </c>
      <c r="E3572" s="445" t="s">
        <v>69</v>
      </c>
      <c r="F3572" s="446"/>
      <c r="G3572" s="447"/>
      <c r="H3572" s="448"/>
      <c r="I3572" s="449">
        <f>IF(AND(E3572&lt;&gt;"",G3572&lt;&gt;""),IF(D3572="",IF(G3572="OH",VLOOKUP(E3572,UPAH!$C$4:$H$31,7,0),VLOOKUP(E3572,#REF!,4,0)),0),0)</f>
        <v>0</v>
      </c>
      <c r="J3572" s="16">
        <f>SUM(J3561:J3571)/2</f>
        <v>0</v>
      </c>
    </row>
    <row r="3573" spans="1:10" ht="13.5" thickBot="1">
      <c r="A3573" s="27"/>
      <c r="B3573" s="110"/>
      <c r="D3573" s="431" t="s">
        <v>70</v>
      </c>
      <c r="E3573" s="432" t="s">
        <v>477</v>
      </c>
      <c r="F3573" s="433"/>
      <c r="G3573" s="434"/>
      <c r="H3573" s="22">
        <v>0.1</v>
      </c>
      <c r="I3573" s="436"/>
      <c r="J3573" s="430">
        <f>H3573*J3572</f>
        <v>0</v>
      </c>
    </row>
    <row r="3574" spans="1:10" ht="13.5" thickBot="1">
      <c r="A3574" s="27"/>
      <c r="B3574" s="110"/>
      <c r="D3574" s="401" t="s">
        <v>71</v>
      </c>
      <c r="E3574" s="402" t="s">
        <v>72</v>
      </c>
      <c r="F3574" s="418"/>
      <c r="G3574" s="419"/>
      <c r="H3574" s="442"/>
      <c r="I3574" s="421">
        <f>IF(AND(E3574&lt;&gt;"",G3574&lt;&gt;""),IF(D3574="",IF(G3574="OH",VLOOKUP(E3574,UPAH!$C$4:$H$31,7,0),VLOOKUP(E3574,#REF!,4,0)),0),0)</f>
        <v>0</v>
      </c>
      <c r="J3574" s="396">
        <f>ROUNDDOWN(J3572+J3573,0)</f>
        <v>0</v>
      </c>
    </row>
    <row r="3575" spans="1:10" ht="13">
      <c r="A3575" s="27"/>
      <c r="B3575" s="110"/>
      <c r="D3575" s="11"/>
      <c r="E3575" s="11"/>
      <c r="H3575" s="443"/>
    </row>
    <row r="3576" spans="1:10" ht="13.5" thickBot="1">
      <c r="A3576" s="27"/>
      <c r="B3576" s="110"/>
      <c r="C3576" s="11" t="s">
        <v>836</v>
      </c>
      <c r="D3576" s="10" t="s">
        <v>837</v>
      </c>
      <c r="H3576" s="443"/>
    </row>
    <row r="3577" spans="1:10" ht="13.5" thickBot="1">
      <c r="A3577" s="27"/>
      <c r="B3577" s="110"/>
      <c r="D3577" s="401" t="s">
        <v>40</v>
      </c>
      <c r="E3577" s="402" t="s">
        <v>41</v>
      </c>
      <c r="F3577" s="402" t="s">
        <v>42</v>
      </c>
      <c r="G3577" s="403" t="s">
        <v>43</v>
      </c>
      <c r="H3577" s="404" t="s">
        <v>44</v>
      </c>
      <c r="I3577" s="402" t="s">
        <v>474</v>
      </c>
      <c r="J3577" s="405" t="s">
        <v>475</v>
      </c>
    </row>
    <row r="3578" spans="1:10" ht="13">
      <c r="A3578" s="27"/>
      <c r="B3578" s="110"/>
      <c r="D3578" s="406" t="s">
        <v>45</v>
      </c>
      <c r="E3578" s="13" t="s">
        <v>46</v>
      </c>
      <c r="F3578" s="14"/>
      <c r="G3578" s="15"/>
      <c r="H3578" s="451"/>
      <c r="I3578" s="412"/>
      <c r="J3578" s="16"/>
    </row>
    <row r="3579" spans="1:10" ht="13">
      <c r="A3579" s="27"/>
      <c r="B3579" s="110"/>
      <c r="D3579" s="409"/>
      <c r="E3579" s="13" t="s">
        <v>47</v>
      </c>
      <c r="F3579" s="13" t="s">
        <v>1918</v>
      </c>
      <c r="G3579" s="410" t="s">
        <v>48</v>
      </c>
      <c r="H3579" s="411">
        <v>7.0000000000000007E-2</v>
      </c>
      <c r="I3579" s="412">
        <f>IF(AND(E3579&lt;&gt;"",G3579&lt;&gt;""),IF(D3579="",IF(G3579="OH",VLOOKUP(F3579,UPAH!$B$4:$H$101,7,0),VLOOKUP(F3579,#REF!,4,0)),0),0)</f>
        <v>0</v>
      </c>
      <c r="J3579" s="16">
        <f>H3579*I3579</f>
        <v>0</v>
      </c>
    </row>
    <row r="3580" spans="1:10" ht="13">
      <c r="A3580" s="27"/>
      <c r="B3580" s="110"/>
      <c r="D3580" s="409"/>
      <c r="E3580" s="13" t="s">
        <v>115</v>
      </c>
      <c r="F3580" s="13" t="s">
        <v>1921</v>
      </c>
      <c r="G3580" s="410" t="s">
        <v>48</v>
      </c>
      <c r="H3580" s="411">
        <v>3.5000000000000003E-2</v>
      </c>
      <c r="I3580" s="412">
        <f>IF(AND(E3580&lt;&gt;"",G3580&lt;&gt;""),IF(D3580="",IF(G3580="OH",VLOOKUP(F3580,UPAH!$B$4:$H$101,7,0),VLOOKUP(F3580,#REF!,4,0)),0),0)</f>
        <v>0</v>
      </c>
      <c r="J3580" s="16">
        <f>H3580*I3580</f>
        <v>0</v>
      </c>
    </row>
    <row r="3581" spans="1:10" ht="13">
      <c r="A3581" s="27"/>
      <c r="B3581" s="110"/>
      <c r="D3581" s="409"/>
      <c r="E3581" s="13" t="s">
        <v>97</v>
      </c>
      <c r="F3581" s="13" t="s">
        <v>1928</v>
      </c>
      <c r="G3581" s="410" t="s">
        <v>48</v>
      </c>
      <c r="H3581" s="411">
        <v>4.0000000000000001E-3</v>
      </c>
      <c r="I3581" s="412">
        <f>IF(AND(E3581&lt;&gt;"",G3581&lt;&gt;""),IF(D3581="",IF(G3581="OH",VLOOKUP(F3581,UPAH!$B$4:$H$101,7,0),VLOOKUP(F3581,#REF!,4,0)),0),0)</f>
        <v>0</v>
      </c>
      <c r="J3581" s="16">
        <f>H3581*I3581</f>
        <v>0</v>
      </c>
    </row>
    <row r="3582" spans="1:10" ht="13.5" thickBot="1">
      <c r="A3582" s="27"/>
      <c r="B3582" s="110"/>
      <c r="D3582" s="409"/>
      <c r="E3582" s="13" t="s">
        <v>51</v>
      </c>
      <c r="F3582" s="13" t="s">
        <v>1929</v>
      </c>
      <c r="G3582" s="410" t="s">
        <v>48</v>
      </c>
      <c r="H3582" s="411">
        <v>4.0000000000000001E-3</v>
      </c>
      <c r="I3582" s="412">
        <f>IF(AND(E3582&lt;&gt;"",G3582&lt;&gt;""),IF(D3582="",IF(G3582="OH",VLOOKUP(F3582,UPAH!$B$4:$H$101,7,0),VLOOKUP(F3582,#REF!,4,0)),0),0)</f>
        <v>0</v>
      </c>
      <c r="J3582" s="16">
        <f>H3582*I3582</f>
        <v>0</v>
      </c>
    </row>
    <row r="3583" spans="1:10" ht="13.5" thickBot="1">
      <c r="A3583" s="27"/>
      <c r="B3583" s="110"/>
      <c r="D3583" s="417"/>
      <c r="E3583" s="418"/>
      <c r="F3583" s="418"/>
      <c r="G3583" s="419"/>
      <c r="H3583" s="420" t="s">
        <v>52</v>
      </c>
      <c r="I3583" s="421"/>
      <c r="J3583" s="396">
        <f>SUM(J3579:J3582)</f>
        <v>0</v>
      </c>
    </row>
    <row r="3584" spans="1:10" ht="13">
      <c r="A3584" s="27"/>
      <c r="B3584" s="110"/>
      <c r="D3584" s="406" t="s">
        <v>53</v>
      </c>
      <c r="E3584" s="13" t="s">
        <v>54</v>
      </c>
      <c r="F3584" s="14"/>
      <c r="G3584" s="15"/>
      <c r="H3584" s="451"/>
      <c r="I3584" s="412"/>
      <c r="J3584" s="16"/>
    </row>
    <row r="3585" spans="1:10" ht="13.5" thickBot="1">
      <c r="A3585" s="27"/>
      <c r="B3585" s="110"/>
      <c r="D3585" s="409"/>
      <c r="E3585" s="13" t="s">
        <v>56</v>
      </c>
      <c r="F3585" s="14"/>
      <c r="G3585" s="410" t="s">
        <v>57</v>
      </c>
      <c r="H3585" s="411">
        <v>1.6</v>
      </c>
      <c r="I3585" s="412">
        <f>'BAHAN '!G72</f>
        <v>0</v>
      </c>
      <c r="J3585" s="16">
        <f>H3585*I3585</f>
        <v>0</v>
      </c>
    </row>
    <row r="3586" spans="1:10" ht="13.5" thickBot="1">
      <c r="A3586" s="27"/>
      <c r="B3586" s="110"/>
      <c r="D3586" s="417"/>
      <c r="E3586" s="418"/>
      <c r="F3586" s="418"/>
      <c r="G3586" s="419"/>
      <c r="H3586" s="420" t="s">
        <v>64</v>
      </c>
      <c r="I3586" s="421"/>
      <c r="J3586" s="396">
        <f>SUM(J3585)</f>
        <v>0</v>
      </c>
    </row>
    <row r="3587" spans="1:10" ht="13.5" thickBot="1">
      <c r="A3587" s="27"/>
      <c r="B3587" s="110"/>
      <c r="D3587" s="406" t="s">
        <v>65</v>
      </c>
      <c r="E3587" s="13" t="s">
        <v>66</v>
      </c>
      <c r="F3587" s="14"/>
      <c r="G3587" s="15"/>
      <c r="H3587" s="451"/>
      <c r="I3587" s="412">
        <f>IF(AND(E3587&lt;&gt;"",G3587&lt;&gt;""),IF(D3587="",IF(G3587="OH",VLOOKUP(E3587,UPAH!$C$4:$H$31,7,0),VLOOKUP(E3587,#REF!,4,0)),0),0)</f>
        <v>0</v>
      </c>
      <c r="J3587" s="16">
        <f>H3587*I3587</f>
        <v>0</v>
      </c>
    </row>
    <row r="3588" spans="1:10" ht="13.5" thickBot="1">
      <c r="A3588" s="27"/>
      <c r="B3588" s="110"/>
      <c r="D3588" s="417"/>
      <c r="E3588" s="418"/>
      <c r="F3588" s="418"/>
      <c r="G3588" s="419"/>
      <c r="H3588" s="420" t="s">
        <v>67</v>
      </c>
      <c r="I3588" s="421"/>
      <c r="J3588" s="396">
        <f>J3587</f>
        <v>0</v>
      </c>
    </row>
    <row r="3589" spans="1:10" ht="13">
      <c r="A3589" s="27"/>
      <c r="B3589" s="110"/>
      <c r="D3589" s="444" t="s">
        <v>68</v>
      </c>
      <c r="E3589" s="445" t="s">
        <v>69</v>
      </c>
      <c r="F3589" s="446"/>
      <c r="G3589" s="447"/>
      <c r="H3589" s="448"/>
      <c r="I3589" s="449">
        <f>IF(AND(E3589&lt;&gt;"",G3589&lt;&gt;""),IF(D3589="",IF(G3589="OH",VLOOKUP(E3589,UPAH!$C$4:$H$31,7,0),VLOOKUP(E3589,#REF!,4,0)),0),0)</f>
        <v>0</v>
      </c>
      <c r="J3589" s="16">
        <f>SUM(J3578:J3588)/2</f>
        <v>0</v>
      </c>
    </row>
    <row r="3590" spans="1:10" ht="13.5" thickBot="1">
      <c r="A3590" s="27"/>
      <c r="B3590" s="110"/>
      <c r="D3590" s="431" t="s">
        <v>70</v>
      </c>
      <c r="E3590" s="432" t="s">
        <v>477</v>
      </c>
      <c r="F3590" s="433"/>
      <c r="G3590" s="434"/>
      <c r="H3590" s="22">
        <v>0.1</v>
      </c>
      <c r="I3590" s="436"/>
      <c r="J3590" s="430">
        <f>H3590*J3589</f>
        <v>0</v>
      </c>
    </row>
    <row r="3591" spans="1:10" ht="13.5" thickBot="1">
      <c r="A3591" s="27"/>
      <c r="B3591" s="110"/>
      <c r="D3591" s="401" t="s">
        <v>71</v>
      </c>
      <c r="E3591" s="402" t="s">
        <v>72</v>
      </c>
      <c r="F3591" s="418"/>
      <c r="G3591" s="419"/>
      <c r="H3591" s="442"/>
      <c r="I3591" s="421">
        <f>IF(AND(E3591&lt;&gt;"",G3591&lt;&gt;""),IF(D3591="",IF(G3591="OH",VLOOKUP(E3591,UPAH!$C$4:$H$31,7,0),VLOOKUP(E3591,#REF!,4,0)),0),0)</f>
        <v>0</v>
      </c>
      <c r="J3591" s="396">
        <f>ROUNDDOWN(J3589+J3590,0)</f>
        <v>0</v>
      </c>
    </row>
    <row r="3592" spans="1:10" ht="13">
      <c r="A3592" s="27"/>
      <c r="B3592" s="110"/>
      <c r="D3592" s="11"/>
      <c r="E3592" s="11"/>
      <c r="H3592" s="443"/>
    </row>
    <row r="3593" spans="1:10" ht="13.5" thickBot="1">
      <c r="A3593" s="27"/>
      <c r="B3593" s="110"/>
      <c r="C3593" s="11" t="s">
        <v>838</v>
      </c>
      <c r="D3593" s="10" t="s">
        <v>839</v>
      </c>
      <c r="H3593" s="443"/>
    </row>
    <row r="3594" spans="1:10" ht="13.5" thickBot="1">
      <c r="A3594" s="27"/>
      <c r="B3594" s="110"/>
      <c r="D3594" s="401" t="s">
        <v>40</v>
      </c>
      <c r="E3594" s="402" t="s">
        <v>41</v>
      </c>
      <c r="F3594" s="402" t="s">
        <v>42</v>
      </c>
      <c r="G3594" s="403" t="s">
        <v>43</v>
      </c>
      <c r="H3594" s="404" t="s">
        <v>44</v>
      </c>
      <c r="I3594" s="402" t="s">
        <v>474</v>
      </c>
      <c r="J3594" s="405" t="s">
        <v>475</v>
      </c>
    </row>
    <row r="3595" spans="1:10" ht="13">
      <c r="A3595" s="27"/>
      <c r="B3595" s="110"/>
      <c r="D3595" s="406" t="s">
        <v>45</v>
      </c>
      <c r="E3595" s="13" t="s">
        <v>46</v>
      </c>
      <c r="F3595" s="14"/>
      <c r="G3595" s="15"/>
      <c r="H3595" s="451"/>
      <c r="I3595" s="412"/>
      <c r="J3595" s="16"/>
    </row>
    <row r="3596" spans="1:10" ht="13">
      <c r="A3596" s="27"/>
      <c r="B3596" s="110"/>
      <c r="D3596" s="409"/>
      <c r="E3596" s="13" t="s">
        <v>47</v>
      </c>
      <c r="F3596" s="13" t="s">
        <v>1918</v>
      </c>
      <c r="G3596" s="410" t="s">
        <v>48</v>
      </c>
      <c r="H3596" s="411">
        <v>0.3</v>
      </c>
      <c r="I3596" s="412">
        <f>IF(AND(E3596&lt;&gt;"",G3596&lt;&gt;""),IF(D3596="",IF(G3596="OH",VLOOKUP(F3596,UPAH!$B$4:$H$101,7,0),VLOOKUP(F3596,#REF!,4,0)),0),0)</f>
        <v>0</v>
      </c>
      <c r="J3596" s="16">
        <f>H3596*I3596</f>
        <v>0</v>
      </c>
    </row>
    <row r="3597" spans="1:10" ht="13">
      <c r="A3597" s="27"/>
      <c r="B3597" s="110"/>
      <c r="D3597" s="409"/>
      <c r="E3597" s="13" t="s">
        <v>115</v>
      </c>
      <c r="F3597" s="13" t="s">
        <v>1921</v>
      </c>
      <c r="G3597" s="410" t="s">
        <v>48</v>
      </c>
      <c r="H3597" s="411">
        <v>0.15</v>
      </c>
      <c r="I3597" s="412">
        <f>IF(AND(E3597&lt;&gt;"",G3597&lt;&gt;""),IF(D3597="",IF(G3597="OH",VLOOKUP(F3597,UPAH!$B$4:$H$101,7,0),VLOOKUP(F3597,#REF!,4,0)),0),0)</f>
        <v>0</v>
      </c>
      <c r="J3597" s="16">
        <f>H3597*I3597</f>
        <v>0</v>
      </c>
    </row>
    <row r="3598" spans="1:10" ht="13">
      <c r="A3598" s="27"/>
      <c r="B3598" s="110"/>
      <c r="D3598" s="409"/>
      <c r="E3598" s="13" t="s">
        <v>97</v>
      </c>
      <c r="F3598" s="13" t="s">
        <v>1928</v>
      </c>
      <c r="G3598" s="410" t="s">
        <v>48</v>
      </c>
      <c r="H3598" s="411">
        <v>1.4999999999999999E-2</v>
      </c>
      <c r="I3598" s="412">
        <f>IF(AND(E3598&lt;&gt;"",G3598&lt;&gt;""),IF(D3598="",IF(G3598="OH",VLOOKUP(F3598,UPAH!$B$4:$H$101,7,0),VLOOKUP(F3598,#REF!,4,0)),0),0)</f>
        <v>0</v>
      </c>
      <c r="J3598" s="16">
        <f>H3598*I3598</f>
        <v>0</v>
      </c>
    </row>
    <row r="3599" spans="1:10" ht="13.5" thickBot="1">
      <c r="A3599" s="27"/>
      <c r="B3599" s="110"/>
      <c r="D3599" s="409"/>
      <c r="E3599" s="13" t="s">
        <v>51</v>
      </c>
      <c r="F3599" s="13" t="s">
        <v>1929</v>
      </c>
      <c r="G3599" s="410" t="s">
        <v>48</v>
      </c>
      <c r="H3599" s="411">
        <v>1.4999999999999999E-2</v>
      </c>
      <c r="I3599" s="412">
        <f>IF(AND(E3599&lt;&gt;"",G3599&lt;&gt;""),IF(D3599="",IF(G3599="OH",VLOOKUP(F3599,UPAH!$B$4:$H$101,7,0),VLOOKUP(F3599,#REF!,4,0)),0),0)</f>
        <v>0</v>
      </c>
      <c r="J3599" s="16">
        <f>H3599*I3599</f>
        <v>0</v>
      </c>
    </row>
    <row r="3600" spans="1:10" ht="13.5" thickBot="1">
      <c r="A3600" s="27"/>
      <c r="B3600" s="110"/>
      <c r="D3600" s="417"/>
      <c r="E3600" s="418"/>
      <c r="F3600" s="418"/>
      <c r="G3600" s="419"/>
      <c r="H3600" s="420" t="s">
        <v>52</v>
      </c>
      <c r="I3600" s="421"/>
      <c r="J3600" s="396">
        <f>SUM(J3596:J3599)</f>
        <v>0</v>
      </c>
    </row>
    <row r="3601" spans="1:10" ht="13">
      <c r="A3601" s="27"/>
      <c r="B3601" s="110"/>
      <c r="D3601" s="406" t="s">
        <v>53</v>
      </c>
      <c r="E3601" s="13" t="s">
        <v>54</v>
      </c>
      <c r="F3601" s="14"/>
      <c r="G3601" s="15"/>
      <c r="H3601" s="451"/>
      <c r="I3601" s="412"/>
      <c r="J3601" s="16"/>
    </row>
    <row r="3602" spans="1:10" ht="13">
      <c r="A3602" s="27"/>
      <c r="B3602" s="110"/>
      <c r="D3602" s="409"/>
      <c r="E3602" s="13" t="s">
        <v>56</v>
      </c>
      <c r="F3602" s="14"/>
      <c r="G3602" s="410" t="s">
        <v>57</v>
      </c>
      <c r="H3602" s="411">
        <v>6.34</v>
      </c>
      <c r="I3602" s="412">
        <f>'BAHAN '!G72</f>
        <v>0</v>
      </c>
      <c r="J3602" s="16">
        <f>H3602*I3602</f>
        <v>0</v>
      </c>
    </row>
    <row r="3603" spans="1:10" ht="13.5" thickBot="1">
      <c r="A3603" s="27"/>
      <c r="B3603" s="110"/>
      <c r="D3603" s="409"/>
      <c r="E3603" s="13" t="s">
        <v>101</v>
      </c>
      <c r="F3603" s="14"/>
      <c r="G3603" s="410" t="s">
        <v>375</v>
      </c>
      <c r="H3603" s="411">
        <v>1.2E-2</v>
      </c>
      <c r="I3603" s="412">
        <f>'BAHAN '!G59</f>
        <v>0</v>
      </c>
      <c r="J3603" s="16">
        <f>H3603*I3603</f>
        <v>0</v>
      </c>
    </row>
    <row r="3604" spans="1:10" ht="13.5" thickBot="1">
      <c r="A3604" s="27"/>
      <c r="B3604" s="110"/>
      <c r="D3604" s="417"/>
      <c r="E3604" s="418"/>
      <c r="F3604" s="418"/>
      <c r="G3604" s="419"/>
      <c r="H3604" s="420" t="s">
        <v>64</v>
      </c>
      <c r="I3604" s="421"/>
      <c r="J3604" s="396">
        <f>SUM(J3602:J3603)</f>
        <v>0</v>
      </c>
    </row>
    <row r="3605" spans="1:10" ht="13.5" thickBot="1">
      <c r="A3605" s="27"/>
      <c r="B3605" s="110"/>
      <c r="D3605" s="406" t="s">
        <v>65</v>
      </c>
      <c r="E3605" s="13" t="s">
        <v>66</v>
      </c>
      <c r="F3605" s="14"/>
      <c r="G3605" s="15"/>
      <c r="H3605" s="451"/>
      <c r="I3605" s="412">
        <f>IF(AND(E3605&lt;&gt;"",G3605&lt;&gt;""),IF(D3605="",IF(G3605="OH",VLOOKUP(E3605,UPAH!$C$4:$H$31,7,0),VLOOKUP(E3605,#REF!,4,0)),0),0)</f>
        <v>0</v>
      </c>
      <c r="J3605" s="16">
        <f>H3605*I3605</f>
        <v>0</v>
      </c>
    </row>
    <row r="3606" spans="1:10" ht="13.5" thickBot="1">
      <c r="A3606" s="27"/>
      <c r="B3606" s="110"/>
      <c r="D3606" s="417"/>
      <c r="E3606" s="418"/>
      <c r="F3606" s="418"/>
      <c r="G3606" s="419"/>
      <c r="H3606" s="420" t="s">
        <v>67</v>
      </c>
      <c r="I3606" s="421"/>
      <c r="J3606" s="396">
        <f>J3605</f>
        <v>0</v>
      </c>
    </row>
    <row r="3607" spans="1:10" ht="13">
      <c r="A3607" s="27"/>
      <c r="B3607" s="110"/>
      <c r="D3607" s="444" t="s">
        <v>68</v>
      </c>
      <c r="E3607" s="445" t="s">
        <v>69</v>
      </c>
      <c r="F3607" s="446"/>
      <c r="G3607" s="447"/>
      <c r="H3607" s="448"/>
      <c r="I3607" s="449">
        <f>IF(AND(E3607&lt;&gt;"",G3607&lt;&gt;""),IF(D3607="",IF(G3607="OH",VLOOKUP(E3607,UPAH!$C$4:$H$31,7,0),VLOOKUP(E3607,#REF!,4,0)),0),0)</f>
        <v>0</v>
      </c>
      <c r="J3607" s="16">
        <f>SUM(J3596:J3606)/2</f>
        <v>0</v>
      </c>
    </row>
    <row r="3608" spans="1:10" ht="13.5" thickBot="1">
      <c r="A3608" s="27"/>
      <c r="B3608" s="110"/>
      <c r="D3608" s="431" t="s">
        <v>70</v>
      </c>
      <c r="E3608" s="432" t="s">
        <v>477</v>
      </c>
      <c r="F3608" s="433"/>
      <c r="G3608" s="434"/>
      <c r="H3608" s="22">
        <v>0.1</v>
      </c>
      <c r="I3608" s="436"/>
      <c r="J3608" s="430">
        <f>H3608*J3607</f>
        <v>0</v>
      </c>
    </row>
    <row r="3609" spans="1:10" ht="13.5" thickBot="1">
      <c r="A3609" s="27"/>
      <c r="B3609" s="110"/>
      <c r="D3609" s="401" t="s">
        <v>71</v>
      </c>
      <c r="E3609" s="402" t="s">
        <v>72</v>
      </c>
      <c r="F3609" s="418"/>
      <c r="G3609" s="419"/>
      <c r="H3609" s="442"/>
      <c r="I3609" s="421">
        <f>IF(AND(E3609&lt;&gt;"",G3609&lt;&gt;""),IF(D3609="",IF(G3609="OH",VLOOKUP(E3609,UPAH!$C$4:$H$31,7,0),VLOOKUP(E3609,#REF!,4,0)),0),0)</f>
        <v>0</v>
      </c>
      <c r="J3609" s="396">
        <f>ROUNDDOWN(J3607+J3608,0)</f>
        <v>0</v>
      </c>
    </row>
    <row r="3610" spans="1:10" ht="13">
      <c r="A3610" s="27"/>
      <c r="B3610" s="110"/>
      <c r="D3610" s="11"/>
      <c r="E3610" s="11"/>
      <c r="H3610" s="443"/>
    </row>
    <row r="3611" spans="1:10" ht="13.5" thickBot="1">
      <c r="A3611" s="27"/>
      <c r="B3611" s="110"/>
      <c r="C3611" s="11" t="s">
        <v>840</v>
      </c>
      <c r="D3611" s="10" t="s">
        <v>841</v>
      </c>
      <c r="H3611" s="443"/>
    </row>
    <row r="3612" spans="1:10" ht="13.5" thickBot="1">
      <c r="A3612" s="27"/>
      <c r="B3612" s="110"/>
      <c r="D3612" s="401" t="s">
        <v>40</v>
      </c>
      <c r="E3612" s="402" t="s">
        <v>41</v>
      </c>
      <c r="F3612" s="402" t="s">
        <v>42</v>
      </c>
      <c r="G3612" s="403" t="s">
        <v>43</v>
      </c>
      <c r="H3612" s="404" t="s">
        <v>44</v>
      </c>
      <c r="I3612" s="402" t="s">
        <v>474</v>
      </c>
      <c r="J3612" s="405" t="s">
        <v>475</v>
      </c>
    </row>
    <row r="3613" spans="1:10" ht="13">
      <c r="A3613" s="27"/>
      <c r="B3613" s="110"/>
      <c r="D3613" s="406" t="s">
        <v>45</v>
      </c>
      <c r="E3613" s="13" t="s">
        <v>46</v>
      </c>
      <c r="F3613" s="14"/>
      <c r="G3613" s="15"/>
      <c r="H3613" s="451"/>
      <c r="I3613" s="412"/>
      <c r="J3613" s="16"/>
    </row>
    <row r="3614" spans="1:10" ht="13">
      <c r="A3614" s="27"/>
      <c r="B3614" s="110"/>
      <c r="D3614" s="409"/>
      <c r="E3614" s="13" t="s">
        <v>47</v>
      </c>
      <c r="F3614" s="13" t="s">
        <v>1918</v>
      </c>
      <c r="G3614" s="410" t="s">
        <v>48</v>
      </c>
      <c r="H3614" s="411">
        <v>0.2</v>
      </c>
      <c r="I3614" s="412">
        <f>IF(AND(E3614&lt;&gt;"",G3614&lt;&gt;""),IF(D3614="",IF(G3614="OH",VLOOKUP(F3614,UPAH!$B$4:$H$101,7,0),VLOOKUP(F3614,#REF!,4,0)),0),0)</f>
        <v>0</v>
      </c>
      <c r="J3614" s="16">
        <f>H3614*I3614</f>
        <v>0</v>
      </c>
    </row>
    <row r="3615" spans="1:10" ht="13">
      <c r="A3615" s="27"/>
      <c r="B3615" s="110"/>
      <c r="D3615" s="409"/>
      <c r="E3615" s="13" t="s">
        <v>115</v>
      </c>
      <c r="F3615" s="13" t="s">
        <v>1921</v>
      </c>
      <c r="G3615" s="410" t="s">
        <v>48</v>
      </c>
      <c r="H3615" s="411">
        <v>0.1</v>
      </c>
      <c r="I3615" s="412">
        <f>IF(AND(E3615&lt;&gt;"",G3615&lt;&gt;""),IF(D3615="",IF(G3615="OH",VLOOKUP(F3615,UPAH!$B$4:$H$101,7,0),VLOOKUP(F3615,#REF!,4,0)),0),0)</f>
        <v>0</v>
      </c>
      <c r="J3615" s="16">
        <f>H3615*I3615</f>
        <v>0</v>
      </c>
    </row>
    <row r="3616" spans="1:10" ht="13">
      <c r="A3616" s="27"/>
      <c r="B3616" s="110"/>
      <c r="D3616" s="409"/>
      <c r="E3616" s="13" t="s">
        <v>97</v>
      </c>
      <c r="F3616" s="13" t="s">
        <v>1928</v>
      </c>
      <c r="G3616" s="410" t="s">
        <v>48</v>
      </c>
      <c r="H3616" s="411">
        <v>0.01</v>
      </c>
      <c r="I3616" s="412">
        <f>IF(AND(E3616&lt;&gt;"",G3616&lt;&gt;""),IF(D3616="",IF(G3616="OH",VLOOKUP(F3616,UPAH!$B$4:$H$101,7,0),VLOOKUP(F3616,#REF!,4,0)),0),0)</f>
        <v>0</v>
      </c>
      <c r="J3616" s="16">
        <f>H3616*I3616</f>
        <v>0</v>
      </c>
    </row>
    <row r="3617" spans="1:10" ht="13.5" thickBot="1">
      <c r="A3617" s="27"/>
      <c r="B3617" s="110"/>
      <c r="D3617" s="409"/>
      <c r="E3617" s="13" t="s">
        <v>51</v>
      </c>
      <c r="F3617" s="13" t="s">
        <v>1929</v>
      </c>
      <c r="G3617" s="410" t="s">
        <v>48</v>
      </c>
      <c r="H3617" s="411">
        <v>0.01</v>
      </c>
      <c r="I3617" s="412">
        <f>IF(AND(E3617&lt;&gt;"",G3617&lt;&gt;""),IF(D3617="",IF(G3617="OH",VLOOKUP(F3617,UPAH!$B$4:$H$101,7,0),VLOOKUP(F3617,#REF!,4,0)),0),0)</f>
        <v>0</v>
      </c>
      <c r="J3617" s="16">
        <f>H3617*I3617</f>
        <v>0</v>
      </c>
    </row>
    <row r="3618" spans="1:10" ht="13.5" thickBot="1">
      <c r="A3618" s="27"/>
      <c r="B3618" s="110"/>
      <c r="D3618" s="417"/>
      <c r="E3618" s="418"/>
      <c r="F3618" s="418"/>
      <c r="G3618" s="419"/>
      <c r="H3618" s="420" t="s">
        <v>52</v>
      </c>
      <c r="I3618" s="421"/>
      <c r="J3618" s="396">
        <f>SUM(J3614:J3617)</f>
        <v>0</v>
      </c>
    </row>
    <row r="3619" spans="1:10" ht="13">
      <c r="A3619" s="27"/>
      <c r="B3619" s="110"/>
      <c r="D3619" s="406" t="s">
        <v>53</v>
      </c>
      <c r="E3619" s="13" t="s">
        <v>54</v>
      </c>
      <c r="F3619" s="14"/>
      <c r="G3619" s="15"/>
      <c r="H3619" s="451"/>
      <c r="I3619" s="412"/>
      <c r="J3619" s="16"/>
    </row>
    <row r="3620" spans="1:10" ht="13.5" thickBot="1">
      <c r="A3620" s="27"/>
      <c r="B3620" s="110"/>
      <c r="D3620" s="409"/>
      <c r="E3620" s="13" t="s">
        <v>56</v>
      </c>
      <c r="F3620" s="14"/>
      <c r="G3620" s="410" t="s">
        <v>57</v>
      </c>
      <c r="H3620" s="411">
        <v>3.25</v>
      </c>
      <c r="I3620" s="412">
        <f>'BAHAN '!G72</f>
        <v>0</v>
      </c>
      <c r="J3620" s="16">
        <f>H3620*I3620</f>
        <v>0</v>
      </c>
    </row>
    <row r="3621" spans="1:10" ht="13.5" thickBot="1">
      <c r="A3621" s="27"/>
      <c r="B3621" s="110"/>
      <c r="D3621" s="417"/>
      <c r="E3621" s="418"/>
      <c r="F3621" s="418"/>
      <c r="G3621" s="419"/>
      <c r="H3621" s="420" t="s">
        <v>64</v>
      </c>
      <c r="I3621" s="421"/>
      <c r="J3621" s="396">
        <f>SUM(J3620)</f>
        <v>0</v>
      </c>
    </row>
    <row r="3622" spans="1:10" ht="13.5" thickBot="1">
      <c r="A3622" s="27"/>
      <c r="B3622" s="110"/>
      <c r="D3622" s="406" t="s">
        <v>65</v>
      </c>
      <c r="E3622" s="13" t="s">
        <v>66</v>
      </c>
      <c r="F3622" s="14"/>
      <c r="G3622" s="15"/>
      <c r="H3622" s="451"/>
      <c r="I3622" s="412">
        <f>IF(AND(E3622&lt;&gt;"",G3622&lt;&gt;""),IF(D3622="",IF(G3622="OH",VLOOKUP(E3622,UPAH!$C$4:$H$31,7,0),VLOOKUP(E3622,#REF!,4,0)),0),0)</f>
        <v>0</v>
      </c>
      <c r="J3622" s="16">
        <f>H3622*I3622</f>
        <v>0</v>
      </c>
    </row>
    <row r="3623" spans="1:10" ht="13.5" thickBot="1">
      <c r="A3623" s="27"/>
      <c r="B3623" s="110"/>
      <c r="D3623" s="417"/>
      <c r="E3623" s="418"/>
      <c r="F3623" s="418"/>
      <c r="G3623" s="419"/>
      <c r="H3623" s="420" t="s">
        <v>67</v>
      </c>
      <c r="I3623" s="421"/>
      <c r="J3623" s="396">
        <f>J3622</f>
        <v>0</v>
      </c>
    </row>
    <row r="3624" spans="1:10" ht="13">
      <c r="A3624" s="27"/>
      <c r="B3624" s="110"/>
      <c r="D3624" s="444" t="s">
        <v>68</v>
      </c>
      <c r="E3624" s="445" t="s">
        <v>69</v>
      </c>
      <c r="F3624" s="446"/>
      <c r="G3624" s="447"/>
      <c r="H3624" s="448"/>
      <c r="I3624" s="449">
        <f>IF(AND(E3624&lt;&gt;"",G3624&lt;&gt;""),IF(D3624="",IF(G3624="OH",VLOOKUP(E3624,UPAH!$C$4:$H$31,7,0),VLOOKUP(E3624,#REF!,4,0)),0),0)</f>
        <v>0</v>
      </c>
      <c r="J3624" s="16">
        <f>SUM(J3613:J3623)/2</f>
        <v>0</v>
      </c>
    </row>
    <row r="3625" spans="1:10" ht="13.5" thickBot="1">
      <c r="A3625" s="27"/>
      <c r="B3625" s="110"/>
      <c r="D3625" s="431" t="s">
        <v>70</v>
      </c>
      <c r="E3625" s="432" t="s">
        <v>477</v>
      </c>
      <c r="F3625" s="433"/>
      <c r="G3625" s="434"/>
      <c r="H3625" s="22">
        <v>0.1</v>
      </c>
      <c r="I3625" s="436"/>
      <c r="J3625" s="430">
        <f>H3625*J3624</f>
        <v>0</v>
      </c>
    </row>
    <row r="3626" spans="1:10" ht="13.5" thickBot="1">
      <c r="A3626" s="27"/>
      <c r="B3626" s="110"/>
      <c r="D3626" s="401" t="s">
        <v>71</v>
      </c>
      <c r="E3626" s="402" t="s">
        <v>72</v>
      </c>
      <c r="F3626" s="418"/>
      <c r="G3626" s="419"/>
      <c r="H3626" s="442"/>
      <c r="I3626" s="421">
        <f>IF(AND(E3626&lt;&gt;"",G3626&lt;&gt;""),IF(D3626="",IF(G3626="OH",VLOOKUP(E3626,UPAH!$C$4:$H$31,7,0),VLOOKUP(E3626,#REF!,4,0)),0),0)</f>
        <v>0</v>
      </c>
      <c r="J3626" s="396">
        <f>ROUNDDOWN(J3624+J3625,0)</f>
        <v>0</v>
      </c>
    </row>
    <row r="3627" spans="1:10" ht="13">
      <c r="A3627" s="27"/>
      <c r="B3627" s="110"/>
      <c r="D3627" s="11"/>
      <c r="E3627" s="11"/>
      <c r="H3627" s="443"/>
      <c r="I3627" s="17"/>
      <c r="J3627" s="18"/>
    </row>
    <row r="3628" spans="1:10" ht="13.5" thickBot="1">
      <c r="A3628" s="27"/>
      <c r="B3628" s="110"/>
      <c r="C3628" s="11" t="s">
        <v>864</v>
      </c>
      <c r="D3628" s="11" t="s">
        <v>865</v>
      </c>
      <c r="E3628" s="11"/>
      <c r="H3628" s="443"/>
      <c r="I3628" s="17"/>
      <c r="J3628" s="18"/>
    </row>
    <row r="3629" spans="1:10" ht="13.5" thickBot="1">
      <c r="A3629" s="27"/>
      <c r="B3629" s="110"/>
      <c r="D3629" s="401" t="s">
        <v>40</v>
      </c>
      <c r="E3629" s="402" t="s">
        <v>41</v>
      </c>
      <c r="F3629" s="402" t="s">
        <v>42</v>
      </c>
      <c r="G3629" s="403" t="s">
        <v>43</v>
      </c>
      <c r="H3629" s="404" t="s">
        <v>44</v>
      </c>
      <c r="I3629" s="402" t="s">
        <v>474</v>
      </c>
      <c r="J3629" s="405" t="s">
        <v>475</v>
      </c>
    </row>
    <row r="3630" spans="1:10" ht="13">
      <c r="A3630" s="27"/>
      <c r="B3630" s="110"/>
      <c r="D3630" s="406" t="s">
        <v>45</v>
      </c>
      <c r="E3630" s="13" t="s">
        <v>46</v>
      </c>
      <c r="F3630" s="14"/>
      <c r="G3630" s="15"/>
      <c r="H3630" s="451"/>
      <c r="I3630" s="412"/>
      <c r="J3630" s="16"/>
    </row>
    <row r="3631" spans="1:10" ht="13">
      <c r="A3631" s="27"/>
      <c r="B3631" s="110"/>
      <c r="D3631" s="409"/>
      <c r="E3631" s="13" t="s">
        <v>47</v>
      </c>
      <c r="F3631" s="13" t="s">
        <v>1918</v>
      </c>
      <c r="G3631" s="410" t="s">
        <v>48</v>
      </c>
      <c r="H3631" s="411">
        <v>0.16669999999999999</v>
      </c>
      <c r="I3631" s="412">
        <f>IF(AND(E3631&lt;&gt;"",G3631&lt;&gt;""),IF(D3631="",IF(G3631="OH",VLOOKUP(F3631,UPAH!$B$4:$H$101,7,0),VLOOKUP(F3631,#REF!,4,0)),0),0)</f>
        <v>0</v>
      </c>
      <c r="J3631" s="16">
        <f>H3631*I3631</f>
        <v>0</v>
      </c>
    </row>
    <row r="3632" spans="1:10" ht="13">
      <c r="A3632" s="27"/>
      <c r="B3632" s="110"/>
      <c r="D3632" s="409"/>
      <c r="E3632" s="13" t="s">
        <v>115</v>
      </c>
      <c r="F3632" s="13" t="s">
        <v>1921</v>
      </c>
      <c r="G3632" s="410" t="s">
        <v>48</v>
      </c>
      <c r="H3632" s="411">
        <v>8.3299999999999999E-2</v>
      </c>
      <c r="I3632" s="412">
        <f>IF(AND(E3632&lt;&gt;"",G3632&lt;&gt;""),IF(D3632="",IF(G3632="OH",VLOOKUP(F3632,UPAH!$B$4:$H$101,7,0),VLOOKUP(F3632,#REF!,4,0)),0),0)</f>
        <v>0</v>
      </c>
      <c r="J3632" s="16">
        <f>H3632*I3632</f>
        <v>0</v>
      </c>
    </row>
    <row r="3633" spans="1:10" ht="13">
      <c r="A3633" s="27"/>
      <c r="B3633" s="110"/>
      <c r="D3633" s="409"/>
      <c r="E3633" s="13" t="s">
        <v>97</v>
      </c>
      <c r="F3633" s="13" t="s">
        <v>1928</v>
      </c>
      <c r="G3633" s="410" t="s">
        <v>48</v>
      </c>
      <c r="H3633" s="411">
        <v>8.3000000000000001E-3</v>
      </c>
      <c r="I3633" s="412">
        <f>IF(AND(E3633&lt;&gt;"",G3633&lt;&gt;""),IF(D3633="",IF(G3633="OH",VLOOKUP(F3633,UPAH!$B$4:$H$101,7,0),VLOOKUP(F3633,#REF!,4,0)),0),0)</f>
        <v>0</v>
      </c>
      <c r="J3633" s="16">
        <f>H3633*I3633</f>
        <v>0</v>
      </c>
    </row>
    <row r="3634" spans="1:10" ht="13.5" thickBot="1">
      <c r="A3634" s="27"/>
      <c r="B3634" s="110"/>
      <c r="D3634" s="409"/>
      <c r="E3634" s="13" t="s">
        <v>51</v>
      </c>
      <c r="F3634" s="13" t="s">
        <v>1929</v>
      </c>
      <c r="G3634" s="410" t="s">
        <v>48</v>
      </c>
      <c r="H3634" s="411">
        <v>2.8E-3</v>
      </c>
      <c r="I3634" s="412">
        <f>IF(AND(E3634&lt;&gt;"",G3634&lt;&gt;""),IF(D3634="",IF(G3634="OH",VLOOKUP(F3634,UPAH!$B$4:$H$101,7,0),VLOOKUP(F3634,#REF!,4,0)),0),0)</f>
        <v>0</v>
      </c>
      <c r="J3634" s="16">
        <f>H3634*I3634</f>
        <v>0</v>
      </c>
    </row>
    <row r="3635" spans="1:10" ht="13.5" thickBot="1">
      <c r="A3635" s="27"/>
      <c r="B3635" s="110"/>
      <c r="D3635" s="417"/>
      <c r="E3635" s="418"/>
      <c r="F3635" s="418"/>
      <c r="G3635" s="419"/>
      <c r="H3635" s="420" t="s">
        <v>52</v>
      </c>
      <c r="I3635" s="421"/>
      <c r="J3635" s="396">
        <f>SUM(J3631:J3634)</f>
        <v>0</v>
      </c>
    </row>
    <row r="3636" spans="1:10" ht="13">
      <c r="A3636" s="27"/>
      <c r="B3636" s="110"/>
      <c r="D3636" s="406" t="s">
        <v>53</v>
      </c>
      <c r="E3636" s="13" t="s">
        <v>54</v>
      </c>
      <c r="F3636" s="14"/>
      <c r="G3636" s="15"/>
      <c r="H3636" s="451">
        <v>16.670000000000002</v>
      </c>
      <c r="I3636" s="412"/>
      <c r="J3636" s="16"/>
    </row>
    <row r="3637" spans="1:10" ht="13.5" thickBot="1">
      <c r="A3637" s="27"/>
      <c r="B3637" s="110"/>
      <c r="D3637" s="409"/>
      <c r="E3637" s="13" t="s">
        <v>441</v>
      </c>
      <c r="F3637" s="14"/>
      <c r="G3637" s="410" t="s">
        <v>57</v>
      </c>
      <c r="H3637" s="411">
        <f>0.4*40</f>
        <v>16</v>
      </c>
      <c r="I3637" s="412">
        <f>'BAHAN '!G982</f>
        <v>0</v>
      </c>
      <c r="J3637" s="16">
        <f>H3637*I3637</f>
        <v>0</v>
      </c>
    </row>
    <row r="3638" spans="1:10" ht="13.5" thickBot="1">
      <c r="A3638" s="27"/>
      <c r="B3638" s="110"/>
      <c r="D3638" s="417"/>
      <c r="E3638" s="418"/>
      <c r="F3638" s="418"/>
      <c r="G3638" s="419"/>
      <c r="H3638" s="420" t="s">
        <v>64</v>
      </c>
      <c r="I3638" s="421"/>
      <c r="J3638" s="396">
        <f>SUM(J3637)</f>
        <v>0</v>
      </c>
    </row>
    <row r="3639" spans="1:10" ht="13.5" thickBot="1">
      <c r="A3639" s="27"/>
      <c r="B3639" s="110"/>
      <c r="D3639" s="406" t="s">
        <v>65</v>
      </c>
      <c r="E3639" s="13" t="s">
        <v>66</v>
      </c>
      <c r="F3639" s="14"/>
      <c r="G3639" s="15"/>
      <c r="H3639" s="451"/>
      <c r="I3639" s="412">
        <f>IF(AND(E3639&lt;&gt;"",G3639&lt;&gt;""),IF(D3639="",IF(G3639="OH",VLOOKUP(E3639,UPAH!$C$4:$H$31,7,0),VLOOKUP(E3639,#REF!,4,0)),0),0)</f>
        <v>0</v>
      </c>
      <c r="J3639" s="16">
        <f>H3639*I3639</f>
        <v>0</v>
      </c>
    </row>
    <row r="3640" spans="1:10" ht="13.5" thickBot="1">
      <c r="A3640" s="27"/>
      <c r="B3640" s="110"/>
      <c r="D3640" s="417"/>
      <c r="E3640" s="418"/>
      <c r="F3640" s="418"/>
      <c r="G3640" s="419"/>
      <c r="H3640" s="420" t="s">
        <v>67</v>
      </c>
      <c r="I3640" s="421"/>
      <c r="J3640" s="396">
        <f>J3639</f>
        <v>0</v>
      </c>
    </row>
    <row r="3641" spans="1:10" ht="13">
      <c r="A3641" s="27"/>
      <c r="B3641" s="110"/>
      <c r="D3641" s="444" t="s">
        <v>68</v>
      </c>
      <c r="E3641" s="445" t="s">
        <v>69</v>
      </c>
      <c r="F3641" s="446"/>
      <c r="G3641" s="447"/>
      <c r="H3641" s="448"/>
      <c r="I3641" s="449">
        <f>IF(AND(E3641&lt;&gt;"",G3641&lt;&gt;""),IF(D3641="",IF(G3641="OH",VLOOKUP(E3641,UPAH!$C$4:$H$31,7,0),VLOOKUP(E3641,#REF!,4,0)),0),0)</f>
        <v>0</v>
      </c>
      <c r="J3641" s="16">
        <f>SUM(J3630:J3640)/2</f>
        <v>0</v>
      </c>
    </row>
    <row r="3642" spans="1:10" ht="13.5" thickBot="1">
      <c r="A3642" s="27"/>
      <c r="B3642" s="110"/>
      <c r="D3642" s="431" t="s">
        <v>70</v>
      </c>
      <c r="E3642" s="432" t="s">
        <v>477</v>
      </c>
      <c r="F3642" s="433"/>
      <c r="G3642" s="434"/>
      <c r="H3642" s="22">
        <v>0.1</v>
      </c>
      <c r="I3642" s="436"/>
      <c r="J3642" s="430">
        <f>H3642*J3641</f>
        <v>0</v>
      </c>
    </row>
    <row r="3643" spans="1:10" ht="13.5" thickBot="1">
      <c r="A3643" s="27"/>
      <c r="B3643" s="110"/>
      <c r="D3643" s="401" t="s">
        <v>71</v>
      </c>
      <c r="E3643" s="402" t="s">
        <v>72</v>
      </c>
      <c r="F3643" s="418"/>
      <c r="G3643" s="419"/>
      <c r="H3643" s="442"/>
      <c r="I3643" s="421">
        <f>IF(AND(E3643&lt;&gt;"",G3643&lt;&gt;""),IF(D3643="",IF(G3643="OH",VLOOKUP(E3643,UPAH!$C$4:$H$31,7,0),VLOOKUP(E3643,#REF!,4,0)),0),0)</f>
        <v>0</v>
      </c>
      <c r="J3643" s="396">
        <f>ROUNDDOWN(J3641+J3642,0)</f>
        <v>0</v>
      </c>
    </row>
    <row r="3644" spans="1:10" ht="13">
      <c r="A3644" s="27"/>
      <c r="B3644" s="110"/>
      <c r="D3644" s="11"/>
      <c r="E3644" s="11"/>
      <c r="H3644" s="443"/>
      <c r="I3644" s="17"/>
      <c r="J3644" s="18"/>
    </row>
    <row r="3645" spans="1:10" ht="13.5" thickBot="1">
      <c r="A3645" s="27"/>
      <c r="B3645" s="110"/>
      <c r="C3645" s="11" t="s">
        <v>867</v>
      </c>
      <c r="D3645" s="11" t="s">
        <v>866</v>
      </c>
      <c r="E3645" s="11"/>
      <c r="H3645" s="443"/>
      <c r="I3645" s="17"/>
      <c r="J3645" s="18"/>
    </row>
    <row r="3646" spans="1:10" ht="13.5" thickBot="1">
      <c r="A3646" s="27"/>
      <c r="B3646" s="110"/>
      <c r="D3646" s="401" t="s">
        <v>40</v>
      </c>
      <c r="E3646" s="402" t="s">
        <v>41</v>
      </c>
      <c r="F3646" s="402" t="s">
        <v>42</v>
      </c>
      <c r="G3646" s="403" t="s">
        <v>43</v>
      </c>
      <c r="H3646" s="404" t="s">
        <v>44</v>
      </c>
      <c r="I3646" s="402" t="s">
        <v>474</v>
      </c>
      <c r="J3646" s="405" t="s">
        <v>475</v>
      </c>
    </row>
    <row r="3647" spans="1:10" ht="13">
      <c r="A3647" s="27"/>
      <c r="B3647" s="110"/>
      <c r="D3647" s="406" t="s">
        <v>45</v>
      </c>
      <c r="E3647" s="13" t="s">
        <v>46</v>
      </c>
      <c r="F3647" s="14"/>
      <c r="G3647" s="15"/>
      <c r="H3647" s="451"/>
      <c r="I3647" s="412"/>
      <c r="J3647" s="16"/>
    </row>
    <row r="3648" spans="1:10" ht="13">
      <c r="A3648" s="27"/>
      <c r="B3648" s="110"/>
      <c r="D3648" s="409"/>
      <c r="E3648" s="13" t="s">
        <v>47</v>
      </c>
      <c r="F3648" s="13" t="s">
        <v>1918</v>
      </c>
      <c r="G3648" s="410" t="s">
        <v>48</v>
      </c>
      <c r="H3648" s="411">
        <v>0.16669999999999999</v>
      </c>
      <c r="I3648" s="412">
        <f>IF(AND(E3648&lt;&gt;"",G3648&lt;&gt;""),IF(D3648="",IF(G3648="OH",VLOOKUP(F3648,UPAH!$B$4:$H$101,7,0),VLOOKUP(F3648,#REF!,4,0)),0),0)</f>
        <v>0</v>
      </c>
      <c r="J3648" s="16">
        <f>H3648*I3648</f>
        <v>0</v>
      </c>
    </row>
    <row r="3649" spans="1:10" ht="13">
      <c r="A3649" s="27"/>
      <c r="B3649" s="110"/>
      <c r="D3649" s="409"/>
      <c r="E3649" s="13" t="s">
        <v>115</v>
      </c>
      <c r="F3649" s="13" t="s">
        <v>1921</v>
      </c>
      <c r="G3649" s="410" t="s">
        <v>48</v>
      </c>
      <c r="H3649" s="411">
        <v>8.3299999999999999E-2</v>
      </c>
      <c r="I3649" s="412">
        <f>IF(AND(E3649&lt;&gt;"",G3649&lt;&gt;""),IF(D3649="",IF(G3649="OH",VLOOKUP(F3649,UPAH!$B$4:$H$101,7,0),VLOOKUP(F3649,#REF!,4,0)),0),0)</f>
        <v>0</v>
      </c>
      <c r="J3649" s="16">
        <f>H3649*I3649</f>
        <v>0</v>
      </c>
    </row>
    <row r="3650" spans="1:10" ht="13">
      <c r="A3650" s="27"/>
      <c r="B3650" s="110"/>
      <c r="D3650" s="409"/>
      <c r="E3650" s="13" t="s">
        <v>97</v>
      </c>
      <c r="F3650" s="13" t="s">
        <v>1928</v>
      </c>
      <c r="G3650" s="410" t="s">
        <v>48</v>
      </c>
      <c r="H3650" s="411">
        <v>8.3000000000000001E-3</v>
      </c>
      <c r="I3650" s="412">
        <f>IF(AND(E3650&lt;&gt;"",G3650&lt;&gt;""),IF(D3650="",IF(G3650="OH",VLOOKUP(F3650,UPAH!$B$4:$H$101,7,0),VLOOKUP(F3650,#REF!,4,0)),0),0)</f>
        <v>0</v>
      </c>
      <c r="J3650" s="16">
        <f>H3650*I3650</f>
        <v>0</v>
      </c>
    </row>
    <row r="3651" spans="1:10" ht="13.5" thickBot="1">
      <c r="A3651" s="27"/>
      <c r="B3651" s="110"/>
      <c r="D3651" s="409"/>
      <c r="E3651" s="13" t="s">
        <v>51</v>
      </c>
      <c r="F3651" s="13" t="s">
        <v>1929</v>
      </c>
      <c r="G3651" s="410" t="s">
        <v>48</v>
      </c>
      <c r="H3651" s="411">
        <v>2.8E-3</v>
      </c>
      <c r="I3651" s="412">
        <f>IF(AND(E3651&lt;&gt;"",G3651&lt;&gt;""),IF(D3651="",IF(G3651="OH",VLOOKUP(F3651,UPAH!$B$4:$H$101,7,0),VLOOKUP(F3651,#REF!,4,0)),0),0)</f>
        <v>0</v>
      </c>
      <c r="J3651" s="16">
        <f>H3651*I3651</f>
        <v>0</v>
      </c>
    </row>
    <row r="3652" spans="1:10" ht="13.5" thickBot="1">
      <c r="A3652" s="27"/>
      <c r="B3652" s="110"/>
      <c r="D3652" s="417"/>
      <c r="E3652" s="418"/>
      <c r="F3652" s="418"/>
      <c r="G3652" s="419"/>
      <c r="H3652" s="420" t="s">
        <v>52</v>
      </c>
      <c r="I3652" s="421"/>
      <c r="J3652" s="396">
        <f>SUM(J3648:J3651)</f>
        <v>0</v>
      </c>
    </row>
    <row r="3653" spans="1:10" ht="13">
      <c r="A3653" s="27"/>
      <c r="B3653" s="110"/>
      <c r="D3653" s="406" t="s">
        <v>53</v>
      </c>
      <c r="E3653" s="13" t="s">
        <v>54</v>
      </c>
      <c r="F3653" s="14"/>
      <c r="G3653" s="15"/>
      <c r="H3653" s="451"/>
      <c r="I3653" s="412"/>
      <c r="J3653" s="16"/>
    </row>
    <row r="3654" spans="1:10" ht="13.5" thickBot="1">
      <c r="A3654" s="27"/>
      <c r="B3654" s="110"/>
      <c r="D3654" s="409"/>
      <c r="E3654" s="13" t="s">
        <v>440</v>
      </c>
      <c r="F3654" s="14"/>
      <c r="G3654" s="410" t="s">
        <v>57</v>
      </c>
      <c r="H3654" s="411">
        <f>0.09*40</f>
        <v>3.5999999999999996</v>
      </c>
      <c r="I3654" s="412">
        <f>'BAHAN '!G982</f>
        <v>0</v>
      </c>
      <c r="J3654" s="16">
        <f>H3654*I3654</f>
        <v>0</v>
      </c>
    </row>
    <row r="3655" spans="1:10" ht="13.5" thickBot="1">
      <c r="A3655" s="27"/>
      <c r="B3655" s="110"/>
      <c r="D3655" s="417"/>
      <c r="E3655" s="418"/>
      <c r="F3655" s="418"/>
      <c r="G3655" s="419"/>
      <c r="H3655" s="420" t="s">
        <v>64</v>
      </c>
      <c r="I3655" s="421"/>
      <c r="J3655" s="396">
        <f>SUM(J3654)</f>
        <v>0</v>
      </c>
    </row>
    <row r="3656" spans="1:10" ht="13.5" thickBot="1">
      <c r="A3656" s="27"/>
      <c r="B3656" s="110"/>
      <c r="D3656" s="406" t="s">
        <v>65</v>
      </c>
      <c r="E3656" s="13" t="s">
        <v>66</v>
      </c>
      <c r="F3656" s="14"/>
      <c r="G3656" s="15"/>
      <c r="H3656" s="451"/>
      <c r="I3656" s="412">
        <f>IF(AND(E3656&lt;&gt;"",G3656&lt;&gt;""),IF(D3656="",IF(G3656="OH",VLOOKUP(E3656,UPAH!$C$4:$H$31,7,0),VLOOKUP(E3656,#REF!,4,0)),0),0)</f>
        <v>0</v>
      </c>
      <c r="J3656" s="16">
        <f>H3656*I3656</f>
        <v>0</v>
      </c>
    </row>
    <row r="3657" spans="1:10" ht="13.5" thickBot="1">
      <c r="A3657" s="27"/>
      <c r="B3657" s="110"/>
      <c r="D3657" s="417"/>
      <c r="E3657" s="418"/>
      <c r="F3657" s="418"/>
      <c r="G3657" s="419"/>
      <c r="H3657" s="420" t="s">
        <v>67</v>
      </c>
      <c r="I3657" s="421"/>
      <c r="J3657" s="396">
        <f>J3656</f>
        <v>0</v>
      </c>
    </row>
    <row r="3658" spans="1:10" ht="13">
      <c r="A3658" s="27"/>
      <c r="B3658" s="110"/>
      <c r="D3658" s="444" t="s">
        <v>68</v>
      </c>
      <c r="E3658" s="445" t="s">
        <v>69</v>
      </c>
      <c r="F3658" s="446"/>
      <c r="G3658" s="447"/>
      <c r="H3658" s="448"/>
      <c r="I3658" s="449">
        <f>IF(AND(E3658&lt;&gt;"",G3658&lt;&gt;""),IF(D3658="",IF(G3658="OH",VLOOKUP(E3658,UPAH!$C$4:$H$31,7,0),VLOOKUP(E3658,#REF!,4,0)),0),0)</f>
        <v>0</v>
      </c>
      <c r="J3658" s="16">
        <f>SUM(J3647:J3657)/2</f>
        <v>0</v>
      </c>
    </row>
    <row r="3659" spans="1:10" ht="13.5" thickBot="1">
      <c r="A3659" s="27"/>
      <c r="B3659" s="110"/>
      <c r="D3659" s="431" t="s">
        <v>70</v>
      </c>
      <c r="E3659" s="432" t="s">
        <v>477</v>
      </c>
      <c r="F3659" s="433"/>
      <c r="G3659" s="434"/>
      <c r="H3659" s="22">
        <v>0.1</v>
      </c>
      <c r="I3659" s="436"/>
      <c r="J3659" s="430">
        <f>H3659*J3658</f>
        <v>0</v>
      </c>
    </row>
    <row r="3660" spans="1:10" ht="13.5" thickBot="1">
      <c r="A3660" s="27"/>
      <c r="B3660" s="110"/>
      <c r="D3660" s="401" t="s">
        <v>71</v>
      </c>
      <c r="E3660" s="402" t="s">
        <v>72</v>
      </c>
      <c r="F3660" s="418"/>
      <c r="G3660" s="419"/>
      <c r="H3660" s="442"/>
      <c r="I3660" s="421">
        <f>IF(AND(E3660&lt;&gt;"",G3660&lt;&gt;""),IF(D3660="",IF(G3660="OH",VLOOKUP(E3660,UPAH!$C$4:$H$31,7,0),VLOOKUP(E3660,#REF!,4,0)),0),0)</f>
        <v>0</v>
      </c>
      <c r="J3660" s="396">
        <f>ROUNDDOWN(J3658+J3659,0)</f>
        <v>0</v>
      </c>
    </row>
    <row r="3661" spans="1:10" ht="13">
      <c r="A3661" s="27"/>
      <c r="B3661" s="110"/>
      <c r="D3661" s="11"/>
      <c r="E3661" s="11"/>
      <c r="H3661" s="443"/>
      <c r="I3661" s="17"/>
      <c r="J3661" s="18"/>
    </row>
    <row r="3662" spans="1:10" s="27" customFormat="1" ht="13">
      <c r="B3662" s="110"/>
      <c r="C3662" s="452" t="s">
        <v>501</v>
      </c>
      <c r="G3662" s="399"/>
      <c r="H3662" s="453"/>
    </row>
    <row r="3663" spans="1:10" ht="13.5" thickBot="1">
      <c r="A3663" s="27"/>
      <c r="B3663" s="110"/>
      <c r="C3663" s="11" t="s">
        <v>842</v>
      </c>
      <c r="D3663" s="10" t="s">
        <v>843</v>
      </c>
      <c r="H3663" s="443"/>
    </row>
    <row r="3664" spans="1:10" ht="13.5" thickBot="1">
      <c r="A3664" s="27"/>
      <c r="B3664" s="110"/>
      <c r="D3664" s="401" t="s">
        <v>40</v>
      </c>
      <c r="E3664" s="402" t="s">
        <v>41</v>
      </c>
      <c r="F3664" s="402" t="s">
        <v>42</v>
      </c>
      <c r="G3664" s="403" t="s">
        <v>43</v>
      </c>
      <c r="H3664" s="404" t="s">
        <v>44</v>
      </c>
      <c r="I3664" s="402" t="s">
        <v>474</v>
      </c>
      <c r="J3664" s="405" t="s">
        <v>475</v>
      </c>
    </row>
    <row r="3665" spans="1:10" ht="13">
      <c r="A3665" s="27"/>
      <c r="B3665" s="110"/>
      <c r="D3665" s="406" t="s">
        <v>45</v>
      </c>
      <c r="E3665" s="13" t="s">
        <v>46</v>
      </c>
      <c r="F3665" s="14"/>
      <c r="G3665" s="15"/>
      <c r="H3665" s="451"/>
      <c r="I3665" s="412"/>
      <c r="J3665" s="16"/>
    </row>
    <row r="3666" spans="1:10" ht="13">
      <c r="A3666" s="27"/>
      <c r="B3666" s="110"/>
      <c r="D3666" s="409"/>
      <c r="E3666" s="13" t="s">
        <v>47</v>
      </c>
      <c r="F3666" s="13" t="s">
        <v>1918</v>
      </c>
      <c r="G3666" s="410" t="s">
        <v>48</v>
      </c>
      <c r="H3666" s="411">
        <v>0.25</v>
      </c>
      <c r="I3666" s="412">
        <f>IF(AND(E3666&lt;&gt;"",G3666&lt;&gt;""),IF(D3666="",IF(G3666="OH",VLOOKUP(F3666,UPAH!$B$4:$H$101,7,0),VLOOKUP(F3666,#REF!,4,0)),0),0)</f>
        <v>0</v>
      </c>
      <c r="J3666" s="16">
        <f>H3666*I3666</f>
        <v>0</v>
      </c>
    </row>
    <row r="3667" spans="1:10" ht="13">
      <c r="A3667" s="27"/>
      <c r="B3667" s="110"/>
      <c r="D3667" s="409"/>
      <c r="E3667" s="13" t="s">
        <v>115</v>
      </c>
      <c r="F3667" s="13" t="s">
        <v>1921</v>
      </c>
      <c r="G3667" s="410" t="s">
        <v>48</v>
      </c>
      <c r="H3667" s="411">
        <v>0.125</v>
      </c>
      <c r="I3667" s="412">
        <f>IF(AND(E3667&lt;&gt;"",G3667&lt;&gt;""),IF(D3667="",IF(G3667="OH",VLOOKUP(F3667,UPAH!$B$4:$H$101,7,0),VLOOKUP(F3667,#REF!,4,0)),0),0)</f>
        <v>0</v>
      </c>
      <c r="J3667" s="16">
        <f>H3667*I3667</f>
        <v>0</v>
      </c>
    </row>
    <row r="3668" spans="1:10" ht="13">
      <c r="A3668" s="27"/>
      <c r="B3668" s="110"/>
      <c r="D3668" s="409"/>
      <c r="E3668" s="13" t="s">
        <v>50</v>
      </c>
      <c r="F3668" s="13" t="s">
        <v>1928</v>
      </c>
      <c r="G3668" s="410" t="s">
        <v>48</v>
      </c>
      <c r="H3668" s="411">
        <v>1.2999999999999999E-2</v>
      </c>
      <c r="I3668" s="412">
        <f>IF(AND(E3668&lt;&gt;"",G3668&lt;&gt;""),IF(D3668="",IF(G3668="OH",VLOOKUP(F3668,UPAH!$B$4:$H$101,7,0),VLOOKUP(F3668,#REF!,4,0)),0),0)</f>
        <v>0</v>
      </c>
      <c r="J3668" s="16">
        <f>H3668*I3668</f>
        <v>0</v>
      </c>
    </row>
    <row r="3669" spans="1:10" ht="13.5" thickBot="1">
      <c r="A3669" s="27"/>
      <c r="B3669" s="110"/>
      <c r="D3669" s="409"/>
      <c r="E3669" s="13" t="s">
        <v>51</v>
      </c>
      <c r="F3669" s="13" t="s">
        <v>1929</v>
      </c>
      <c r="G3669" s="410" t="s">
        <v>48</v>
      </c>
      <c r="H3669" s="411">
        <v>1.2999999999999999E-2</v>
      </c>
      <c r="I3669" s="412">
        <f>IF(AND(E3669&lt;&gt;"",G3669&lt;&gt;""),IF(D3669="",IF(G3669="OH",VLOOKUP(F3669,UPAH!$B$4:$H$101,7,0),VLOOKUP(F3669,#REF!,4,0)),0),0)</f>
        <v>0</v>
      </c>
      <c r="J3669" s="16">
        <f>H3669*I3669</f>
        <v>0</v>
      </c>
    </row>
    <row r="3670" spans="1:10" ht="13.5" thickBot="1">
      <c r="A3670" s="27"/>
      <c r="B3670" s="110"/>
      <c r="D3670" s="417"/>
      <c r="E3670" s="418"/>
      <c r="F3670" s="418"/>
      <c r="G3670" s="419"/>
      <c r="H3670" s="420" t="s">
        <v>52</v>
      </c>
      <c r="I3670" s="421"/>
      <c r="J3670" s="396">
        <f>SUM(J3666:J3669)</f>
        <v>0</v>
      </c>
    </row>
    <row r="3671" spans="1:10" ht="13">
      <c r="A3671" s="27"/>
      <c r="B3671" s="110"/>
      <c r="D3671" s="406" t="s">
        <v>53</v>
      </c>
      <c r="E3671" s="13" t="s">
        <v>54</v>
      </c>
      <c r="F3671" s="14"/>
      <c r="G3671" s="15"/>
      <c r="H3671" s="451"/>
      <c r="I3671" s="412"/>
      <c r="J3671" s="16"/>
    </row>
    <row r="3672" spans="1:10" ht="13">
      <c r="A3672" s="27"/>
      <c r="B3672" s="110"/>
      <c r="D3672" s="409"/>
      <c r="E3672" s="13" t="s">
        <v>868</v>
      </c>
      <c r="F3672" s="14"/>
      <c r="G3672" s="410" t="s">
        <v>87</v>
      </c>
      <c r="H3672" s="411">
        <v>6.63</v>
      </c>
      <c r="I3672" s="412">
        <f>'BAHAN '!G252</f>
        <v>0</v>
      </c>
      <c r="J3672" s="16">
        <f>H3672*I3672</f>
        <v>0</v>
      </c>
    </row>
    <row r="3673" spans="1:10" ht="13">
      <c r="A3673" s="27"/>
      <c r="B3673" s="110"/>
      <c r="D3673" s="409"/>
      <c r="E3673" s="13" t="s">
        <v>56</v>
      </c>
      <c r="F3673" s="14"/>
      <c r="G3673" s="410" t="s">
        <v>93</v>
      </c>
      <c r="H3673" s="411">
        <v>9.8000000000000007</v>
      </c>
      <c r="I3673" s="412">
        <f>'BAHAN '!G72</f>
        <v>0</v>
      </c>
      <c r="J3673" s="16">
        <f>H3673*I3673</f>
        <v>0</v>
      </c>
    </row>
    <row r="3674" spans="1:10" ht="13.5" thickBot="1">
      <c r="A3674" s="27"/>
      <c r="B3674" s="110"/>
      <c r="D3674" s="409"/>
      <c r="E3674" s="13" t="s">
        <v>101</v>
      </c>
      <c r="F3674" s="14"/>
      <c r="G3674" s="410" t="s">
        <v>170</v>
      </c>
      <c r="H3674" s="411">
        <v>4.4999999999999998E-2</v>
      </c>
      <c r="I3674" s="412">
        <f>'BAHAN '!G59</f>
        <v>0</v>
      </c>
      <c r="J3674" s="16">
        <f>H3674*I3674</f>
        <v>0</v>
      </c>
    </row>
    <row r="3675" spans="1:10" ht="13.5" thickBot="1">
      <c r="A3675" s="27"/>
      <c r="B3675" s="110"/>
      <c r="D3675" s="417"/>
      <c r="E3675" s="418"/>
      <c r="F3675" s="418"/>
      <c r="G3675" s="419"/>
      <c r="H3675" s="420" t="s">
        <v>64</v>
      </c>
      <c r="I3675" s="421"/>
      <c r="J3675" s="396">
        <f>SUM(J3672:J3674)</f>
        <v>0</v>
      </c>
    </row>
    <row r="3676" spans="1:10" ht="13.5" thickBot="1">
      <c r="A3676" s="27"/>
      <c r="B3676" s="110"/>
      <c r="D3676" s="406" t="s">
        <v>65</v>
      </c>
      <c r="E3676" s="13" t="s">
        <v>66</v>
      </c>
      <c r="F3676" s="14"/>
      <c r="G3676" s="15"/>
      <c r="H3676" s="451"/>
      <c r="I3676" s="412">
        <f>IF(AND(E3676&lt;&gt;"",G3676&lt;&gt;""),IF(D3676="",IF(G3676="OH",VLOOKUP(E3676,UPAH!$C$4:$H$31,7,0),VLOOKUP(E3676,#REF!,4,0)),0),0)</f>
        <v>0</v>
      </c>
      <c r="J3676" s="16">
        <f>H3676*I3676</f>
        <v>0</v>
      </c>
    </row>
    <row r="3677" spans="1:10" ht="13.5" thickBot="1">
      <c r="A3677" s="27"/>
      <c r="B3677" s="110"/>
      <c r="D3677" s="417"/>
      <c r="E3677" s="418"/>
      <c r="F3677" s="418"/>
      <c r="G3677" s="419"/>
      <c r="H3677" s="420" t="s">
        <v>67</v>
      </c>
      <c r="I3677" s="421"/>
      <c r="J3677" s="396">
        <f>J3676</f>
        <v>0</v>
      </c>
    </row>
    <row r="3678" spans="1:10" ht="13">
      <c r="A3678" s="27"/>
      <c r="B3678" s="110"/>
      <c r="D3678" s="444" t="s">
        <v>68</v>
      </c>
      <c r="E3678" s="445" t="s">
        <v>69</v>
      </c>
      <c r="F3678" s="446"/>
      <c r="G3678" s="447"/>
      <c r="H3678" s="448"/>
      <c r="I3678" s="449">
        <f>IF(AND(E3678&lt;&gt;"",G3678&lt;&gt;""),IF(D3678="",IF(G3678="OH",VLOOKUP(E3678,UPAH!$C$4:$H$31,7,0),VLOOKUP(E3678,#REF!,4,0)),0),0)</f>
        <v>0</v>
      </c>
      <c r="J3678" s="16">
        <f>SUM(J3666:J3677)/2</f>
        <v>0</v>
      </c>
    </row>
    <row r="3679" spans="1:10" ht="13.5" thickBot="1">
      <c r="A3679" s="27"/>
      <c r="B3679" s="110"/>
      <c r="D3679" s="431" t="s">
        <v>70</v>
      </c>
      <c r="E3679" s="432" t="s">
        <v>477</v>
      </c>
      <c r="F3679" s="433"/>
      <c r="G3679" s="434"/>
      <c r="H3679" s="22">
        <v>0.1</v>
      </c>
      <c r="I3679" s="436"/>
      <c r="J3679" s="430">
        <f>H3679*J3678</f>
        <v>0</v>
      </c>
    </row>
    <row r="3680" spans="1:10" ht="13.5" thickBot="1">
      <c r="A3680" s="27"/>
      <c r="B3680" s="110"/>
      <c r="D3680" s="401" t="s">
        <v>71</v>
      </c>
      <c r="E3680" s="402" t="s">
        <v>72</v>
      </c>
      <c r="F3680" s="418"/>
      <c r="G3680" s="419"/>
      <c r="H3680" s="442"/>
      <c r="I3680" s="421">
        <f>IF(AND(E3680&lt;&gt;"",G3680&lt;&gt;""),IF(D3680="",IF(G3680="OH",VLOOKUP(E3680,UPAH!$C$4:$H$31,7,0),VLOOKUP(E3680,#REF!,4,0)),0),0)</f>
        <v>0</v>
      </c>
      <c r="J3680" s="396">
        <f>ROUNDDOWN(J3678+J3679,0)</f>
        <v>0</v>
      </c>
    </row>
    <row r="3681" spans="1:10" ht="13">
      <c r="A3681" s="27"/>
      <c r="B3681" s="110"/>
      <c r="D3681" s="11"/>
      <c r="E3681" s="11"/>
      <c r="H3681" s="443"/>
    </row>
    <row r="3682" spans="1:10" ht="13.5" thickBot="1">
      <c r="A3682" s="27"/>
      <c r="B3682" s="110"/>
      <c r="C3682" s="11" t="s">
        <v>844</v>
      </c>
      <c r="D3682" s="10" t="s">
        <v>845</v>
      </c>
      <c r="H3682" s="443"/>
    </row>
    <row r="3683" spans="1:10" ht="13.5" thickBot="1">
      <c r="A3683" s="27"/>
      <c r="B3683" s="110"/>
      <c r="D3683" s="401" t="s">
        <v>40</v>
      </c>
      <c r="E3683" s="402" t="s">
        <v>41</v>
      </c>
      <c r="F3683" s="402" t="s">
        <v>42</v>
      </c>
      <c r="G3683" s="403" t="s">
        <v>43</v>
      </c>
      <c r="H3683" s="404" t="s">
        <v>44</v>
      </c>
      <c r="I3683" s="402" t="s">
        <v>474</v>
      </c>
      <c r="J3683" s="405" t="s">
        <v>475</v>
      </c>
    </row>
    <row r="3684" spans="1:10" ht="13">
      <c r="A3684" s="27"/>
      <c r="B3684" s="110"/>
      <c r="D3684" s="406" t="s">
        <v>45</v>
      </c>
      <c r="E3684" s="13" t="s">
        <v>46</v>
      </c>
      <c r="F3684" s="14"/>
      <c r="G3684" s="15"/>
      <c r="H3684" s="451"/>
      <c r="I3684" s="412"/>
      <c r="J3684" s="16"/>
    </row>
    <row r="3685" spans="1:10" ht="13">
      <c r="A3685" s="27"/>
      <c r="B3685" s="110"/>
      <c r="D3685" s="409"/>
      <c r="E3685" s="13" t="s">
        <v>47</v>
      </c>
      <c r="F3685" s="13" t="s">
        <v>1918</v>
      </c>
      <c r="G3685" s="410" t="s">
        <v>48</v>
      </c>
      <c r="H3685" s="411">
        <v>0.25</v>
      </c>
      <c r="I3685" s="412">
        <f>IF(AND(E3685&lt;&gt;"",G3685&lt;&gt;""),IF(D3685="",IF(G3685="OH",VLOOKUP(F3685,UPAH!$B$4:$H$101,7,0),VLOOKUP(F3685,#REF!,4,0)),0),0)</f>
        <v>0</v>
      </c>
      <c r="J3685" s="16">
        <f>H3685*I3685</f>
        <v>0</v>
      </c>
    </row>
    <row r="3686" spans="1:10" ht="13">
      <c r="A3686" s="27"/>
      <c r="B3686" s="110"/>
      <c r="D3686" s="409"/>
      <c r="E3686" s="13" t="s">
        <v>115</v>
      </c>
      <c r="F3686" s="13" t="s">
        <v>1921</v>
      </c>
      <c r="G3686" s="410" t="s">
        <v>48</v>
      </c>
      <c r="H3686" s="411">
        <v>0.125</v>
      </c>
      <c r="I3686" s="412">
        <f>IF(AND(E3686&lt;&gt;"",G3686&lt;&gt;""),IF(D3686="",IF(G3686="OH",VLOOKUP(F3686,UPAH!$B$4:$H$101,7,0),VLOOKUP(F3686,#REF!,4,0)),0),0)</f>
        <v>0</v>
      </c>
      <c r="J3686" s="16">
        <f>H3686*I3686</f>
        <v>0</v>
      </c>
    </row>
    <row r="3687" spans="1:10" ht="13">
      <c r="A3687" s="27"/>
      <c r="B3687" s="110"/>
      <c r="D3687" s="409"/>
      <c r="E3687" s="13" t="s">
        <v>50</v>
      </c>
      <c r="F3687" s="13" t="s">
        <v>1928</v>
      </c>
      <c r="G3687" s="410" t="s">
        <v>48</v>
      </c>
      <c r="H3687" s="411">
        <v>1.2999999999999999E-2</v>
      </c>
      <c r="I3687" s="412">
        <f>IF(AND(E3687&lt;&gt;"",G3687&lt;&gt;""),IF(D3687="",IF(G3687="OH",VLOOKUP(F3687,UPAH!$B$4:$H$101,7,0),VLOOKUP(F3687,#REF!,4,0)),0),0)</f>
        <v>0</v>
      </c>
      <c r="J3687" s="16">
        <f>H3687*I3687</f>
        <v>0</v>
      </c>
    </row>
    <row r="3688" spans="1:10" ht="13.5" thickBot="1">
      <c r="A3688" s="27"/>
      <c r="B3688" s="110"/>
      <c r="D3688" s="409"/>
      <c r="E3688" s="13" t="s">
        <v>51</v>
      </c>
      <c r="F3688" s="13" t="s">
        <v>1929</v>
      </c>
      <c r="G3688" s="410" t="s">
        <v>48</v>
      </c>
      <c r="H3688" s="411">
        <v>1.2999999999999999E-2</v>
      </c>
      <c r="I3688" s="412">
        <f>IF(AND(E3688&lt;&gt;"",G3688&lt;&gt;""),IF(D3688="",IF(G3688="OH",VLOOKUP(F3688,UPAH!$B$4:$H$101,7,0),VLOOKUP(F3688,#REF!,4,0)),0),0)</f>
        <v>0</v>
      </c>
      <c r="J3688" s="16">
        <f>H3688*I3688</f>
        <v>0</v>
      </c>
    </row>
    <row r="3689" spans="1:10" ht="13.5" thickBot="1">
      <c r="A3689" s="27"/>
      <c r="B3689" s="110"/>
      <c r="D3689" s="417"/>
      <c r="E3689" s="418"/>
      <c r="F3689" s="418"/>
      <c r="G3689" s="419"/>
      <c r="H3689" s="420" t="s">
        <v>52</v>
      </c>
      <c r="I3689" s="421"/>
      <c r="J3689" s="396">
        <f>SUM(J3685:J3688)</f>
        <v>0</v>
      </c>
    </row>
    <row r="3690" spans="1:10" ht="13">
      <c r="A3690" s="27"/>
      <c r="B3690" s="110"/>
      <c r="D3690" s="406" t="s">
        <v>53</v>
      </c>
      <c r="E3690" s="13" t="s">
        <v>54</v>
      </c>
      <c r="F3690" s="14"/>
      <c r="G3690" s="15"/>
      <c r="H3690" s="451"/>
      <c r="I3690" s="412"/>
      <c r="J3690" s="16"/>
    </row>
    <row r="3691" spans="1:10" ht="13">
      <c r="A3691" s="27"/>
      <c r="B3691" s="110"/>
      <c r="D3691" s="409"/>
      <c r="E3691" s="13" t="s">
        <v>869</v>
      </c>
      <c r="F3691" s="14"/>
      <c r="G3691" s="410" t="s">
        <v>87</v>
      </c>
      <c r="H3691" s="411">
        <v>11.87</v>
      </c>
      <c r="I3691" s="412">
        <f>'BAHAN '!G251</f>
        <v>0</v>
      </c>
      <c r="J3691" s="16">
        <f>H3691*I3691</f>
        <v>0</v>
      </c>
    </row>
    <row r="3692" spans="1:10" ht="13">
      <c r="A3692" s="27"/>
      <c r="B3692" s="110"/>
      <c r="D3692" s="409"/>
      <c r="E3692" s="13" t="s">
        <v>56</v>
      </c>
      <c r="F3692" s="14"/>
      <c r="G3692" s="410" t="s">
        <v>93</v>
      </c>
      <c r="H3692" s="411">
        <v>10</v>
      </c>
      <c r="I3692" s="412">
        <f>'BAHAN '!G72</f>
        <v>0</v>
      </c>
      <c r="J3692" s="16">
        <f>H3692*I3692</f>
        <v>0</v>
      </c>
    </row>
    <row r="3693" spans="1:10" ht="13.5" thickBot="1">
      <c r="A3693" s="27"/>
      <c r="B3693" s="110"/>
      <c r="D3693" s="409"/>
      <c r="E3693" s="13" t="s">
        <v>101</v>
      </c>
      <c r="F3693" s="14"/>
      <c r="G3693" s="410" t="s">
        <v>170</v>
      </c>
      <c r="H3693" s="411">
        <v>4.4999999999999998E-2</v>
      </c>
      <c r="I3693" s="412">
        <f>'BAHAN '!G59</f>
        <v>0</v>
      </c>
      <c r="J3693" s="16">
        <f>H3693*I3693</f>
        <v>0</v>
      </c>
    </row>
    <row r="3694" spans="1:10" ht="13.5" thickBot="1">
      <c r="A3694" s="27"/>
      <c r="B3694" s="110"/>
      <c r="D3694" s="417"/>
      <c r="E3694" s="418"/>
      <c r="F3694" s="418"/>
      <c r="G3694" s="419"/>
      <c r="H3694" s="420" t="s">
        <v>64</v>
      </c>
      <c r="I3694" s="421"/>
      <c r="J3694" s="396">
        <f>SUM(J3691:J3693)</f>
        <v>0</v>
      </c>
    </row>
    <row r="3695" spans="1:10" ht="13.5" thickBot="1">
      <c r="A3695" s="27"/>
      <c r="B3695" s="110"/>
      <c r="D3695" s="406" t="s">
        <v>65</v>
      </c>
      <c r="E3695" s="13" t="s">
        <v>66</v>
      </c>
      <c r="F3695" s="14"/>
      <c r="G3695" s="15"/>
      <c r="H3695" s="451"/>
      <c r="I3695" s="412">
        <f>IF(AND(E3695&lt;&gt;"",G3695&lt;&gt;""),IF(D3695="",IF(G3695="OH",VLOOKUP(E3695,UPAH!$C$4:$H$31,7,0),VLOOKUP(E3695,#REF!,4,0)),0),0)</f>
        <v>0</v>
      </c>
      <c r="J3695" s="16">
        <f>H3695*I3695</f>
        <v>0</v>
      </c>
    </row>
    <row r="3696" spans="1:10" ht="13.5" thickBot="1">
      <c r="A3696" s="27"/>
      <c r="B3696" s="110"/>
      <c r="D3696" s="417"/>
      <c r="E3696" s="418"/>
      <c r="F3696" s="418"/>
      <c r="G3696" s="419"/>
      <c r="H3696" s="420" t="s">
        <v>67</v>
      </c>
      <c r="I3696" s="421"/>
      <c r="J3696" s="396">
        <f>J3695</f>
        <v>0</v>
      </c>
    </row>
    <row r="3697" spans="1:10" ht="13">
      <c r="A3697" s="27"/>
      <c r="B3697" s="110"/>
      <c r="D3697" s="444" t="s">
        <v>68</v>
      </c>
      <c r="E3697" s="445" t="s">
        <v>69</v>
      </c>
      <c r="F3697" s="446"/>
      <c r="G3697" s="447"/>
      <c r="H3697" s="448"/>
      <c r="I3697" s="449">
        <f>IF(AND(E3697&lt;&gt;"",G3697&lt;&gt;""),IF(D3697="",IF(G3697="OH",VLOOKUP(E3697,UPAH!$C$4:$H$31,7,0),VLOOKUP(E3697,#REF!,4,0)),0),0)</f>
        <v>0</v>
      </c>
      <c r="J3697" s="16">
        <f>SUM(J3684:J3696)/2</f>
        <v>0</v>
      </c>
    </row>
    <row r="3698" spans="1:10" ht="13.5" thickBot="1">
      <c r="A3698" s="27"/>
      <c r="B3698" s="110"/>
      <c r="D3698" s="478" t="s">
        <v>70</v>
      </c>
      <c r="E3698" s="479" t="s">
        <v>477</v>
      </c>
      <c r="F3698" s="480"/>
      <c r="G3698" s="481"/>
      <c r="H3698" s="512">
        <v>0.1</v>
      </c>
      <c r="I3698" s="483"/>
      <c r="J3698" s="465">
        <f>H3698*J3697</f>
        <v>0</v>
      </c>
    </row>
    <row r="3699" spans="1:10" ht="13.5" thickBot="1">
      <c r="A3699" s="27"/>
      <c r="B3699" s="110"/>
      <c r="D3699" s="401" t="s">
        <v>71</v>
      </c>
      <c r="E3699" s="402" t="s">
        <v>72</v>
      </c>
      <c r="F3699" s="418"/>
      <c r="G3699" s="419"/>
      <c r="H3699" s="442"/>
      <c r="I3699" s="421">
        <f>IF(AND(E3699&lt;&gt;"",G3699&lt;&gt;""),IF(D3699="",IF(G3699="OH",VLOOKUP(E3699,UPAH!$C$4:$H$31,7,0),VLOOKUP(E3699,#REF!,4,0)),0),0)</f>
        <v>0</v>
      </c>
      <c r="J3699" s="396">
        <f>ROUNDDOWN(J3697+J3698,0)</f>
        <v>0</v>
      </c>
    </row>
    <row r="3700" spans="1:10" ht="13">
      <c r="A3700" s="27"/>
      <c r="B3700" s="110"/>
      <c r="D3700" s="11"/>
      <c r="E3700" s="11"/>
      <c r="H3700" s="443"/>
    </row>
    <row r="3701" spans="1:10" ht="13.5" thickBot="1">
      <c r="A3701" s="27"/>
      <c r="B3701" s="110"/>
      <c r="C3701" s="11" t="s">
        <v>846</v>
      </c>
      <c r="D3701" s="10" t="s">
        <v>847</v>
      </c>
      <c r="H3701" s="443"/>
    </row>
    <row r="3702" spans="1:10" ht="13.5" thickBot="1">
      <c r="A3702" s="27"/>
      <c r="B3702" s="110"/>
      <c r="D3702" s="401" t="s">
        <v>40</v>
      </c>
      <c r="E3702" s="402" t="s">
        <v>41</v>
      </c>
      <c r="F3702" s="402" t="s">
        <v>42</v>
      </c>
      <c r="G3702" s="403" t="s">
        <v>43</v>
      </c>
      <c r="H3702" s="404" t="s">
        <v>44</v>
      </c>
      <c r="I3702" s="402" t="s">
        <v>474</v>
      </c>
      <c r="J3702" s="405" t="s">
        <v>475</v>
      </c>
    </row>
    <row r="3703" spans="1:10" ht="13">
      <c r="A3703" s="27"/>
      <c r="B3703" s="110"/>
      <c r="D3703" s="406" t="s">
        <v>45</v>
      </c>
      <c r="E3703" s="13" t="s">
        <v>46</v>
      </c>
      <c r="F3703" s="14"/>
      <c r="G3703" s="15"/>
      <c r="H3703" s="451"/>
      <c r="I3703" s="412"/>
      <c r="J3703" s="16"/>
    </row>
    <row r="3704" spans="1:10" ht="13">
      <c r="A3704" s="27"/>
      <c r="B3704" s="110"/>
      <c r="D3704" s="409"/>
      <c r="E3704" s="13" t="s">
        <v>47</v>
      </c>
      <c r="F3704" s="13" t="s">
        <v>1918</v>
      </c>
      <c r="G3704" s="410" t="s">
        <v>48</v>
      </c>
      <c r="H3704" s="411">
        <v>0.27</v>
      </c>
      <c r="I3704" s="412">
        <f>IF(AND(E3704&lt;&gt;"",G3704&lt;&gt;""),IF(D3704="",IF(G3704="OH",VLOOKUP(F3704,UPAH!$B$4:$H$101,7,0),VLOOKUP(F3704,#REF!,4,0)),0),0)</f>
        <v>0</v>
      </c>
      <c r="J3704" s="16">
        <f>H3704*I3704</f>
        <v>0</v>
      </c>
    </row>
    <row r="3705" spans="1:10" ht="13">
      <c r="A3705" s="27"/>
      <c r="B3705" s="110"/>
      <c r="D3705" s="409"/>
      <c r="E3705" s="13" t="s">
        <v>115</v>
      </c>
      <c r="F3705" s="13" t="s">
        <v>1921</v>
      </c>
      <c r="G3705" s="410" t="s">
        <v>48</v>
      </c>
      <c r="H3705" s="411">
        <v>0.13500000000000001</v>
      </c>
      <c r="I3705" s="412">
        <f>IF(AND(E3705&lt;&gt;"",G3705&lt;&gt;""),IF(D3705="",IF(G3705="OH",VLOOKUP(F3705,UPAH!$B$4:$H$101,7,0),VLOOKUP(F3705,#REF!,4,0)),0),0)</f>
        <v>0</v>
      </c>
      <c r="J3705" s="16">
        <f>H3705*I3705</f>
        <v>0</v>
      </c>
    </row>
    <row r="3706" spans="1:10" ht="13">
      <c r="A3706" s="27"/>
      <c r="B3706" s="110"/>
      <c r="D3706" s="409"/>
      <c r="E3706" s="13" t="s">
        <v>50</v>
      </c>
      <c r="F3706" s="13" t="s">
        <v>1928</v>
      </c>
      <c r="G3706" s="410" t="s">
        <v>48</v>
      </c>
      <c r="H3706" s="411">
        <v>1.4E-2</v>
      </c>
      <c r="I3706" s="412">
        <f>IF(AND(E3706&lt;&gt;"",G3706&lt;&gt;""),IF(D3706="",IF(G3706="OH",VLOOKUP(F3706,UPAH!$B$4:$H$101,7,0),VLOOKUP(F3706,#REF!,4,0)),0),0)</f>
        <v>0</v>
      </c>
      <c r="J3706" s="16">
        <f>H3706*I3706</f>
        <v>0</v>
      </c>
    </row>
    <row r="3707" spans="1:10" ht="13.5" thickBot="1">
      <c r="A3707" s="27"/>
      <c r="B3707" s="110"/>
      <c r="D3707" s="409"/>
      <c r="E3707" s="13" t="s">
        <v>51</v>
      </c>
      <c r="F3707" s="13" t="s">
        <v>1929</v>
      </c>
      <c r="G3707" s="410" t="s">
        <v>48</v>
      </c>
      <c r="H3707" s="411">
        <v>1.4E-2</v>
      </c>
      <c r="I3707" s="412">
        <f>IF(AND(E3707&lt;&gt;"",G3707&lt;&gt;""),IF(D3707="",IF(G3707="OH",VLOOKUP(F3707,UPAH!$B$4:$H$101,7,0),VLOOKUP(F3707,#REF!,4,0)),0),0)</f>
        <v>0</v>
      </c>
      <c r="J3707" s="16">
        <f>H3707*I3707</f>
        <v>0</v>
      </c>
    </row>
    <row r="3708" spans="1:10" ht="13.5" thickBot="1">
      <c r="A3708" s="27"/>
      <c r="B3708" s="110"/>
      <c r="D3708" s="417"/>
      <c r="E3708" s="418"/>
      <c r="F3708" s="418"/>
      <c r="G3708" s="419"/>
      <c r="H3708" s="420" t="s">
        <v>52</v>
      </c>
      <c r="I3708" s="421"/>
      <c r="J3708" s="396">
        <f>SUM(J3704:J3707)</f>
        <v>0</v>
      </c>
    </row>
    <row r="3709" spans="1:10" ht="13">
      <c r="A3709" s="27"/>
      <c r="B3709" s="110"/>
      <c r="D3709" s="406" t="s">
        <v>53</v>
      </c>
      <c r="E3709" s="13" t="s">
        <v>54</v>
      </c>
      <c r="F3709" s="14"/>
      <c r="G3709" s="15"/>
      <c r="H3709" s="451"/>
      <c r="I3709" s="412"/>
      <c r="J3709" s="16"/>
    </row>
    <row r="3710" spans="1:10" ht="13">
      <c r="A3710" s="27"/>
      <c r="B3710" s="110"/>
      <c r="D3710" s="409"/>
      <c r="E3710" s="13" t="s">
        <v>870</v>
      </c>
      <c r="F3710" s="14"/>
      <c r="G3710" s="410" t="s">
        <v>87</v>
      </c>
      <c r="H3710" s="411">
        <v>26.5</v>
      </c>
      <c r="I3710" s="412">
        <f>'BAHAN '!G250</f>
        <v>0</v>
      </c>
      <c r="J3710" s="16">
        <f>H3710*I3710</f>
        <v>0</v>
      </c>
    </row>
    <row r="3711" spans="1:10" ht="13">
      <c r="A3711" s="27"/>
      <c r="B3711" s="110"/>
      <c r="D3711" s="409"/>
      <c r="E3711" s="13" t="s">
        <v>56</v>
      </c>
      <c r="F3711" s="14"/>
      <c r="G3711" s="410" t="s">
        <v>93</v>
      </c>
      <c r="H3711" s="411">
        <v>10.4</v>
      </c>
      <c r="I3711" s="412">
        <f>'BAHAN '!G72</f>
        <v>0</v>
      </c>
      <c r="J3711" s="16">
        <f>H3711*I3711</f>
        <v>0</v>
      </c>
    </row>
    <row r="3712" spans="1:10" ht="13.5" thickBot="1">
      <c r="A3712" s="27"/>
      <c r="B3712" s="110"/>
      <c r="D3712" s="409"/>
      <c r="E3712" s="13" t="s">
        <v>101</v>
      </c>
      <c r="F3712" s="14"/>
      <c r="G3712" s="410" t="s">
        <v>170</v>
      </c>
      <c r="H3712" s="411">
        <v>4.4999999999999998E-2</v>
      </c>
      <c r="I3712" s="412">
        <f>'BAHAN '!G59</f>
        <v>0</v>
      </c>
      <c r="J3712" s="16">
        <f>H3712*I3712</f>
        <v>0</v>
      </c>
    </row>
    <row r="3713" spans="1:10" ht="13.5" thickBot="1">
      <c r="A3713" s="27"/>
      <c r="B3713" s="110"/>
      <c r="D3713" s="417"/>
      <c r="E3713" s="418"/>
      <c r="F3713" s="418"/>
      <c r="G3713" s="419"/>
      <c r="H3713" s="420" t="s">
        <v>64</v>
      </c>
      <c r="I3713" s="421"/>
      <c r="J3713" s="396">
        <f>SUM(J3710:J3712)</f>
        <v>0</v>
      </c>
    </row>
    <row r="3714" spans="1:10" ht="13.5" thickBot="1">
      <c r="A3714" s="27"/>
      <c r="B3714" s="110"/>
      <c r="D3714" s="406" t="s">
        <v>65</v>
      </c>
      <c r="E3714" s="13" t="s">
        <v>66</v>
      </c>
      <c r="F3714" s="14"/>
      <c r="G3714" s="15"/>
      <c r="H3714" s="451"/>
      <c r="I3714" s="412">
        <f>IF(AND(E3714&lt;&gt;"",G3714&lt;&gt;""),IF(D3714="",IF(G3714="OH",VLOOKUP(E3714,UPAH!$C$4:$H$31,7,0),VLOOKUP(E3714,#REF!,4,0)),0),0)</f>
        <v>0</v>
      </c>
      <c r="J3714" s="16">
        <f>H3714*I3714</f>
        <v>0</v>
      </c>
    </row>
    <row r="3715" spans="1:10" ht="13.5" thickBot="1">
      <c r="A3715" s="27"/>
      <c r="B3715" s="110"/>
      <c r="D3715" s="417"/>
      <c r="E3715" s="418"/>
      <c r="F3715" s="418"/>
      <c r="G3715" s="419"/>
      <c r="H3715" s="420" t="s">
        <v>67</v>
      </c>
      <c r="I3715" s="421"/>
      <c r="J3715" s="396">
        <f>J3714</f>
        <v>0</v>
      </c>
    </row>
    <row r="3716" spans="1:10" ht="13">
      <c r="A3716" s="27"/>
      <c r="B3716" s="110"/>
      <c r="D3716" s="444" t="s">
        <v>68</v>
      </c>
      <c r="E3716" s="445" t="s">
        <v>69</v>
      </c>
      <c r="F3716" s="446"/>
      <c r="G3716" s="447"/>
      <c r="H3716" s="448"/>
      <c r="I3716" s="449">
        <f>IF(AND(E3716&lt;&gt;"",G3716&lt;&gt;""),IF(D3716="",IF(G3716="OH",VLOOKUP(E3716,UPAH!$C$4:$H$31,7,0),VLOOKUP(E3716,#REF!,4,0)),0),0)</f>
        <v>0</v>
      </c>
      <c r="J3716" s="16">
        <f>SUM(J3703:J3715)/2</f>
        <v>0</v>
      </c>
    </row>
    <row r="3717" spans="1:10" ht="13.5" thickBot="1">
      <c r="A3717" s="27"/>
      <c r="B3717" s="110"/>
      <c r="D3717" s="431" t="s">
        <v>70</v>
      </c>
      <c r="E3717" s="432" t="s">
        <v>477</v>
      </c>
      <c r="F3717" s="433"/>
      <c r="G3717" s="434"/>
      <c r="H3717" s="22">
        <v>0.1</v>
      </c>
      <c r="I3717" s="436"/>
      <c r="J3717" s="430">
        <f>H3717*J3716</f>
        <v>0</v>
      </c>
    </row>
    <row r="3718" spans="1:10" ht="13.5" thickBot="1">
      <c r="A3718" s="27"/>
      <c r="B3718" s="110"/>
      <c r="D3718" s="401" t="s">
        <v>71</v>
      </c>
      <c r="E3718" s="402" t="s">
        <v>72</v>
      </c>
      <c r="F3718" s="418"/>
      <c r="G3718" s="419"/>
      <c r="H3718" s="442"/>
      <c r="I3718" s="421">
        <f>IF(AND(E3718&lt;&gt;"",G3718&lt;&gt;""),IF(D3718="",IF(G3718="OH",VLOOKUP(E3718,UPAH!$C$4:$H$31,7,0),VLOOKUP(E3718,#REF!,4,0)),0),0)</f>
        <v>0</v>
      </c>
      <c r="J3718" s="396">
        <f>ROUNDDOWN(J3716+J3717,0)</f>
        <v>0</v>
      </c>
    </row>
    <row r="3719" spans="1:10" ht="13">
      <c r="A3719" s="27"/>
      <c r="B3719" s="110"/>
      <c r="D3719" s="11"/>
      <c r="E3719" s="11"/>
      <c r="H3719" s="443"/>
    </row>
    <row r="3720" spans="1:10" ht="13.5" thickBot="1">
      <c r="A3720" s="27"/>
      <c r="B3720" s="110"/>
      <c r="C3720" s="11" t="s">
        <v>848</v>
      </c>
      <c r="D3720" s="10" t="s">
        <v>849</v>
      </c>
      <c r="H3720" s="443"/>
    </row>
    <row r="3721" spans="1:10" ht="13.5" thickBot="1">
      <c r="A3721" s="27"/>
      <c r="B3721" s="110"/>
      <c r="D3721" s="401" t="s">
        <v>40</v>
      </c>
      <c r="E3721" s="402" t="s">
        <v>41</v>
      </c>
      <c r="F3721" s="402" t="s">
        <v>42</v>
      </c>
      <c r="G3721" s="403" t="s">
        <v>43</v>
      </c>
      <c r="H3721" s="404" t="s">
        <v>44</v>
      </c>
      <c r="I3721" s="402" t="s">
        <v>474</v>
      </c>
      <c r="J3721" s="405" t="s">
        <v>475</v>
      </c>
    </row>
    <row r="3722" spans="1:10" ht="13">
      <c r="A3722" s="27"/>
      <c r="B3722" s="110"/>
      <c r="D3722" s="406" t="s">
        <v>45</v>
      </c>
      <c r="E3722" s="13" t="s">
        <v>46</v>
      </c>
      <c r="F3722" s="14"/>
      <c r="G3722" s="15"/>
      <c r="H3722" s="451"/>
      <c r="I3722" s="412"/>
      <c r="J3722" s="16"/>
    </row>
    <row r="3723" spans="1:10" ht="13">
      <c r="A3723" s="27"/>
      <c r="B3723" s="110"/>
      <c r="D3723" s="409"/>
      <c r="E3723" s="13" t="s">
        <v>47</v>
      </c>
      <c r="F3723" s="13" t="s">
        <v>1918</v>
      </c>
      <c r="G3723" s="410" t="s">
        <v>48</v>
      </c>
      <c r="H3723" s="411">
        <v>0.25</v>
      </c>
      <c r="I3723" s="412">
        <f>IF(AND(E3723&lt;&gt;"",G3723&lt;&gt;""),IF(D3723="",IF(G3723="OH",VLOOKUP(F3723,UPAH!$B$4:$H$101,7,0),VLOOKUP(F3723,#REF!,4,0)),0),0)</f>
        <v>0</v>
      </c>
      <c r="J3723" s="16">
        <f>H3723*I3723</f>
        <v>0</v>
      </c>
    </row>
    <row r="3724" spans="1:10" ht="13">
      <c r="A3724" s="27"/>
      <c r="B3724" s="110"/>
      <c r="D3724" s="409"/>
      <c r="E3724" s="13" t="s">
        <v>115</v>
      </c>
      <c r="F3724" s="13" t="s">
        <v>1921</v>
      </c>
      <c r="G3724" s="410" t="s">
        <v>48</v>
      </c>
      <c r="H3724" s="411">
        <v>0.125</v>
      </c>
      <c r="I3724" s="412">
        <f>IF(AND(E3724&lt;&gt;"",G3724&lt;&gt;""),IF(D3724="",IF(G3724="OH",VLOOKUP(F3724,UPAH!$B$4:$H$101,7,0),VLOOKUP(F3724,#REF!,4,0)),0),0)</f>
        <v>0</v>
      </c>
      <c r="J3724" s="16">
        <f>H3724*I3724</f>
        <v>0</v>
      </c>
    </row>
    <row r="3725" spans="1:10" ht="13">
      <c r="A3725" s="27"/>
      <c r="B3725" s="110"/>
      <c r="D3725" s="409"/>
      <c r="E3725" s="13" t="s">
        <v>50</v>
      </c>
      <c r="F3725" s="13" t="s">
        <v>1928</v>
      </c>
      <c r="G3725" s="410" t="s">
        <v>48</v>
      </c>
      <c r="H3725" s="411">
        <v>1.2999999999999999E-2</v>
      </c>
      <c r="I3725" s="412">
        <f>IF(AND(E3725&lt;&gt;"",G3725&lt;&gt;""),IF(D3725="",IF(G3725="OH",VLOOKUP(F3725,UPAH!$B$4:$H$101,7,0),VLOOKUP(F3725,#REF!,4,0)),0),0)</f>
        <v>0</v>
      </c>
      <c r="J3725" s="16">
        <f>H3725*I3725</f>
        <v>0</v>
      </c>
    </row>
    <row r="3726" spans="1:10" ht="13.5" thickBot="1">
      <c r="A3726" s="27"/>
      <c r="B3726" s="110"/>
      <c r="D3726" s="409"/>
      <c r="E3726" s="13" t="s">
        <v>51</v>
      </c>
      <c r="F3726" s="13" t="s">
        <v>1929</v>
      </c>
      <c r="G3726" s="410" t="s">
        <v>48</v>
      </c>
      <c r="H3726" s="411">
        <v>1.2999999999999999E-2</v>
      </c>
      <c r="I3726" s="412">
        <f>IF(AND(E3726&lt;&gt;"",G3726&lt;&gt;""),IF(D3726="",IF(G3726="OH",VLOOKUP(F3726,UPAH!$B$4:$H$101,7,0),VLOOKUP(F3726,#REF!,4,0)),0),0)</f>
        <v>0</v>
      </c>
      <c r="J3726" s="16">
        <f>H3726*I3726</f>
        <v>0</v>
      </c>
    </row>
    <row r="3727" spans="1:10" ht="13.5" thickBot="1">
      <c r="A3727" s="27"/>
      <c r="B3727" s="110"/>
      <c r="D3727" s="417"/>
      <c r="E3727" s="418"/>
      <c r="F3727" s="418"/>
      <c r="G3727" s="419"/>
      <c r="H3727" s="420" t="s">
        <v>52</v>
      </c>
      <c r="I3727" s="421"/>
      <c r="J3727" s="396">
        <f>SUM(J3723:J3726)</f>
        <v>0</v>
      </c>
    </row>
    <row r="3728" spans="1:10" ht="13">
      <c r="A3728" s="27"/>
      <c r="B3728" s="110"/>
      <c r="D3728" s="406" t="s">
        <v>53</v>
      </c>
      <c r="E3728" s="13" t="s">
        <v>54</v>
      </c>
      <c r="F3728" s="14"/>
      <c r="G3728" s="15"/>
      <c r="H3728" s="451"/>
      <c r="I3728" s="412"/>
      <c r="J3728" s="16"/>
    </row>
    <row r="3729" spans="1:10" ht="13">
      <c r="A3729" s="27"/>
      <c r="B3729" s="110"/>
      <c r="D3729" s="409"/>
      <c r="E3729" s="13" t="s">
        <v>871</v>
      </c>
      <c r="F3729" s="14"/>
      <c r="G3729" s="410" t="s">
        <v>87</v>
      </c>
      <c r="H3729" s="411">
        <v>6.63</v>
      </c>
      <c r="I3729" s="412">
        <f>'BAHAN '!G255</f>
        <v>0</v>
      </c>
      <c r="J3729" s="16">
        <f>H3729*I3729</f>
        <v>0</v>
      </c>
    </row>
    <row r="3730" spans="1:10" ht="13">
      <c r="A3730" s="27"/>
      <c r="B3730" s="110"/>
      <c r="D3730" s="409"/>
      <c r="E3730" s="13" t="s">
        <v>56</v>
      </c>
      <c r="F3730" s="14"/>
      <c r="G3730" s="410" t="s">
        <v>93</v>
      </c>
      <c r="H3730" s="411">
        <v>9.8000000000000007</v>
      </c>
      <c r="I3730" s="412">
        <f>'BAHAN '!G72</f>
        <v>0</v>
      </c>
      <c r="J3730" s="16">
        <f>H3730*I3730</f>
        <v>0</v>
      </c>
    </row>
    <row r="3731" spans="1:10" ht="13">
      <c r="A3731" s="27"/>
      <c r="B3731" s="110"/>
      <c r="D3731" s="409"/>
      <c r="E3731" s="13" t="s">
        <v>442</v>
      </c>
      <c r="F3731" s="14"/>
      <c r="G3731" s="410" t="s">
        <v>57</v>
      </c>
      <c r="H3731" s="411">
        <v>1.3</v>
      </c>
      <c r="I3731" s="412">
        <f>'BAHAN '!G74</f>
        <v>0</v>
      </c>
      <c r="J3731" s="16">
        <f>H3731*I3731</f>
        <v>0</v>
      </c>
    </row>
    <row r="3732" spans="1:10" ht="13.5" thickBot="1">
      <c r="A3732" s="27"/>
      <c r="B3732" s="110"/>
      <c r="D3732" s="409"/>
      <c r="E3732" s="13" t="s">
        <v>101</v>
      </c>
      <c r="F3732" s="14"/>
      <c r="G3732" s="410" t="s">
        <v>170</v>
      </c>
      <c r="H3732" s="411">
        <v>4.4999999999999998E-2</v>
      </c>
      <c r="I3732" s="412">
        <f>'BAHAN '!G59</f>
        <v>0</v>
      </c>
      <c r="J3732" s="16">
        <f>H3732*I3732</f>
        <v>0</v>
      </c>
    </row>
    <row r="3733" spans="1:10" ht="13.5" thickBot="1">
      <c r="A3733" s="27"/>
      <c r="B3733" s="110"/>
      <c r="D3733" s="417"/>
      <c r="E3733" s="418"/>
      <c r="F3733" s="418"/>
      <c r="G3733" s="419"/>
      <c r="H3733" s="420" t="s">
        <v>64</v>
      </c>
      <c r="I3733" s="421"/>
      <c r="J3733" s="396">
        <f>SUM(J3729:J3732)</f>
        <v>0</v>
      </c>
    </row>
    <row r="3734" spans="1:10" ht="13.5" thickBot="1">
      <c r="A3734" s="27"/>
      <c r="B3734" s="110"/>
      <c r="D3734" s="406" t="s">
        <v>65</v>
      </c>
      <c r="E3734" s="13" t="s">
        <v>66</v>
      </c>
      <c r="F3734" s="14"/>
      <c r="G3734" s="15"/>
      <c r="H3734" s="451"/>
      <c r="I3734" s="412">
        <f>IF(AND(E3734&lt;&gt;"",G3734&lt;&gt;""),IF(D3734="",IF(G3734="OH",VLOOKUP(E3734,UPAH!$C$4:$H$31,7,0),VLOOKUP(E3734,#REF!,4,0)),0),0)</f>
        <v>0</v>
      </c>
      <c r="J3734" s="16">
        <f>H3734*I3734</f>
        <v>0</v>
      </c>
    </row>
    <row r="3735" spans="1:10" ht="13.5" thickBot="1">
      <c r="A3735" s="27"/>
      <c r="B3735" s="110"/>
      <c r="D3735" s="417"/>
      <c r="E3735" s="418"/>
      <c r="F3735" s="418"/>
      <c r="G3735" s="419"/>
      <c r="H3735" s="420" t="s">
        <v>67</v>
      </c>
      <c r="I3735" s="421"/>
      <c r="J3735" s="396">
        <f>J3734</f>
        <v>0</v>
      </c>
    </row>
    <row r="3736" spans="1:10" ht="13">
      <c r="A3736" s="27"/>
      <c r="B3736" s="110"/>
      <c r="D3736" s="444" t="s">
        <v>68</v>
      </c>
      <c r="E3736" s="445" t="s">
        <v>69</v>
      </c>
      <c r="F3736" s="446"/>
      <c r="G3736" s="447"/>
      <c r="H3736" s="448"/>
      <c r="I3736" s="449">
        <f>IF(AND(E3736&lt;&gt;"",G3736&lt;&gt;""),IF(D3736="",IF(G3736="OH",VLOOKUP(E3736,UPAH!$C$4:$H$31,7,0),VLOOKUP(E3736,#REF!,4,0)),0),0)</f>
        <v>0</v>
      </c>
      <c r="J3736" s="16">
        <f>SUM(J3722:J3735)/2</f>
        <v>0</v>
      </c>
    </row>
    <row r="3737" spans="1:10" ht="13.5" thickBot="1">
      <c r="A3737" s="27"/>
      <c r="B3737" s="110"/>
      <c r="D3737" s="431" t="s">
        <v>70</v>
      </c>
      <c r="E3737" s="432" t="s">
        <v>477</v>
      </c>
      <c r="F3737" s="433"/>
      <c r="G3737" s="434"/>
      <c r="H3737" s="22">
        <v>0.1</v>
      </c>
      <c r="I3737" s="436"/>
      <c r="J3737" s="430">
        <f>H3737*J3736</f>
        <v>0</v>
      </c>
    </row>
    <row r="3738" spans="1:10" ht="13.5" thickBot="1">
      <c r="A3738" s="27"/>
      <c r="B3738" s="110"/>
      <c r="D3738" s="401" t="s">
        <v>71</v>
      </c>
      <c r="E3738" s="402" t="s">
        <v>72</v>
      </c>
      <c r="F3738" s="418"/>
      <c r="G3738" s="419"/>
      <c r="H3738" s="442"/>
      <c r="I3738" s="421">
        <f>IF(AND(E3738&lt;&gt;"",G3738&lt;&gt;""),IF(D3738="",IF(G3738="OH",VLOOKUP(E3738,UPAH!$C$4:$H$31,7,0),VLOOKUP(E3738,#REF!,4,0)),0),0)</f>
        <v>0</v>
      </c>
      <c r="J3738" s="396">
        <f>ROUNDDOWN(J3736+J3737,0)</f>
        <v>0</v>
      </c>
    </row>
    <row r="3739" spans="1:10" ht="13">
      <c r="A3739" s="27"/>
      <c r="B3739" s="110"/>
      <c r="D3739" s="11"/>
      <c r="E3739" s="11"/>
      <c r="H3739" s="443"/>
    </row>
    <row r="3740" spans="1:10" ht="13.5" thickBot="1">
      <c r="A3740" s="27"/>
      <c r="B3740" s="110"/>
      <c r="C3740" s="11" t="s">
        <v>850</v>
      </c>
      <c r="D3740" s="10" t="s">
        <v>851</v>
      </c>
      <c r="H3740" s="443"/>
    </row>
    <row r="3741" spans="1:10" ht="13.5" thickBot="1">
      <c r="A3741" s="27"/>
      <c r="B3741" s="110"/>
      <c r="D3741" s="401" t="s">
        <v>40</v>
      </c>
      <c r="E3741" s="402" t="s">
        <v>41</v>
      </c>
      <c r="F3741" s="402" t="s">
        <v>42</v>
      </c>
      <c r="G3741" s="403" t="s">
        <v>43</v>
      </c>
      <c r="H3741" s="404" t="s">
        <v>44</v>
      </c>
      <c r="I3741" s="402" t="s">
        <v>474</v>
      </c>
      <c r="J3741" s="405" t="s">
        <v>475</v>
      </c>
    </row>
    <row r="3742" spans="1:10" ht="13">
      <c r="A3742" s="27"/>
      <c r="B3742" s="110"/>
      <c r="D3742" s="406" t="s">
        <v>45</v>
      </c>
      <c r="E3742" s="13" t="s">
        <v>46</v>
      </c>
      <c r="F3742" s="14"/>
      <c r="G3742" s="15"/>
      <c r="H3742" s="451"/>
      <c r="I3742" s="412"/>
      <c r="J3742" s="16"/>
    </row>
    <row r="3743" spans="1:10" ht="13">
      <c r="A3743" s="27"/>
      <c r="B3743" s="110"/>
      <c r="D3743" s="409"/>
      <c r="E3743" s="13" t="s">
        <v>47</v>
      </c>
      <c r="F3743" s="13" t="s">
        <v>1918</v>
      </c>
      <c r="G3743" s="410" t="s">
        <v>48</v>
      </c>
      <c r="H3743" s="411">
        <v>0.26</v>
      </c>
      <c r="I3743" s="412">
        <f>IF(AND(E3743&lt;&gt;"",G3743&lt;&gt;""),IF(D3743="",IF(G3743="OH",VLOOKUP(F3743,UPAH!$B$4:$H$101,7,0),VLOOKUP(F3743,#REF!,4,0)),0),0)</f>
        <v>0</v>
      </c>
      <c r="J3743" s="16">
        <f>H3743*I3743</f>
        <v>0</v>
      </c>
    </row>
    <row r="3744" spans="1:10" ht="13">
      <c r="A3744" s="27"/>
      <c r="B3744" s="110"/>
      <c r="D3744" s="409"/>
      <c r="E3744" s="13" t="s">
        <v>115</v>
      </c>
      <c r="F3744" s="13" t="s">
        <v>1921</v>
      </c>
      <c r="G3744" s="410" t="s">
        <v>48</v>
      </c>
      <c r="H3744" s="411">
        <v>0.13</v>
      </c>
      <c r="I3744" s="412">
        <f>IF(AND(E3744&lt;&gt;"",G3744&lt;&gt;""),IF(D3744="",IF(G3744="OH",VLOOKUP(F3744,UPAH!$B$4:$H$101,7,0),VLOOKUP(F3744,#REF!,4,0)),0),0)</f>
        <v>0</v>
      </c>
      <c r="J3744" s="16">
        <f>H3744*I3744</f>
        <v>0</v>
      </c>
    </row>
    <row r="3745" spans="1:10" ht="13">
      <c r="A3745" s="27"/>
      <c r="B3745" s="110"/>
      <c r="D3745" s="409"/>
      <c r="E3745" s="13" t="s">
        <v>50</v>
      </c>
      <c r="F3745" s="13" t="s">
        <v>1928</v>
      </c>
      <c r="G3745" s="410" t="s">
        <v>48</v>
      </c>
      <c r="H3745" s="411">
        <v>1.2999999999999999E-2</v>
      </c>
      <c r="I3745" s="412">
        <f>IF(AND(E3745&lt;&gt;"",G3745&lt;&gt;""),IF(D3745="",IF(G3745="OH",VLOOKUP(F3745,UPAH!$B$4:$H$101,7,0),VLOOKUP(F3745,#REF!,4,0)),0),0)</f>
        <v>0</v>
      </c>
      <c r="J3745" s="16">
        <f>H3745*I3745</f>
        <v>0</v>
      </c>
    </row>
    <row r="3746" spans="1:10" ht="13.5" thickBot="1">
      <c r="A3746" s="27"/>
      <c r="B3746" s="110"/>
      <c r="D3746" s="409"/>
      <c r="E3746" s="13" t="s">
        <v>51</v>
      </c>
      <c r="F3746" s="13" t="s">
        <v>1929</v>
      </c>
      <c r="G3746" s="410" t="s">
        <v>48</v>
      </c>
      <c r="H3746" s="411">
        <v>1.2999999999999999E-2</v>
      </c>
      <c r="I3746" s="412">
        <f>IF(AND(E3746&lt;&gt;"",G3746&lt;&gt;""),IF(D3746="",IF(G3746="OH",VLOOKUP(F3746,UPAH!$B$4:$H$101,7,0),VLOOKUP(F3746,#REF!,4,0)),0),0)</f>
        <v>0</v>
      </c>
      <c r="J3746" s="16">
        <f>H3746*I3746</f>
        <v>0</v>
      </c>
    </row>
    <row r="3747" spans="1:10" ht="13.5" thickBot="1">
      <c r="A3747" s="27"/>
      <c r="B3747" s="110"/>
      <c r="D3747" s="417"/>
      <c r="E3747" s="418"/>
      <c r="F3747" s="418"/>
      <c r="G3747" s="419"/>
      <c r="H3747" s="420" t="s">
        <v>52</v>
      </c>
      <c r="I3747" s="421"/>
      <c r="J3747" s="396">
        <f>SUM(J3743:J3746)</f>
        <v>0</v>
      </c>
    </row>
    <row r="3748" spans="1:10" ht="13">
      <c r="A3748" s="27"/>
      <c r="B3748" s="110"/>
      <c r="D3748" s="406" t="s">
        <v>53</v>
      </c>
      <c r="E3748" s="13" t="s">
        <v>54</v>
      </c>
      <c r="F3748" s="14"/>
      <c r="G3748" s="15"/>
      <c r="H3748" s="451"/>
      <c r="I3748" s="412"/>
      <c r="J3748" s="16"/>
    </row>
    <row r="3749" spans="1:10" ht="13">
      <c r="A3749" s="27"/>
      <c r="B3749" s="110"/>
      <c r="D3749" s="409"/>
      <c r="E3749" s="13" t="s">
        <v>872</v>
      </c>
      <c r="F3749" s="14"/>
      <c r="G3749" s="410" t="s">
        <v>87</v>
      </c>
      <c r="H3749" s="411">
        <v>11.87</v>
      </c>
      <c r="I3749" s="412">
        <f>'BAHAN '!G254</f>
        <v>0</v>
      </c>
      <c r="J3749" s="16">
        <f>H3749*I3749</f>
        <v>0</v>
      </c>
    </row>
    <row r="3750" spans="1:10" ht="13">
      <c r="A3750" s="27"/>
      <c r="B3750" s="110"/>
      <c r="D3750" s="409"/>
      <c r="E3750" s="13" t="s">
        <v>56</v>
      </c>
      <c r="F3750" s="14"/>
      <c r="G3750" s="410" t="s">
        <v>93</v>
      </c>
      <c r="H3750" s="411">
        <v>10</v>
      </c>
      <c r="I3750" s="412">
        <f>'BAHAN '!G72</f>
        <v>0</v>
      </c>
      <c r="J3750" s="16">
        <f>H3750*I3750</f>
        <v>0</v>
      </c>
    </row>
    <row r="3751" spans="1:10" ht="13">
      <c r="A3751" s="27"/>
      <c r="B3751" s="110"/>
      <c r="D3751" s="409"/>
      <c r="E3751" s="13" t="s">
        <v>442</v>
      </c>
      <c r="F3751" s="14"/>
      <c r="G3751" s="410" t="s">
        <v>57</v>
      </c>
      <c r="H3751" s="411">
        <v>1.5</v>
      </c>
      <c r="I3751" s="412">
        <f>'BAHAN '!G74</f>
        <v>0</v>
      </c>
      <c r="J3751" s="16">
        <f>H3751*I3751</f>
        <v>0</v>
      </c>
    </row>
    <row r="3752" spans="1:10" ht="13.5" thickBot="1">
      <c r="A3752" s="27"/>
      <c r="B3752" s="110"/>
      <c r="D3752" s="409"/>
      <c r="E3752" s="13" t="s">
        <v>101</v>
      </c>
      <c r="F3752" s="14"/>
      <c r="G3752" s="410" t="s">
        <v>170</v>
      </c>
      <c r="H3752" s="411">
        <v>4.4999999999999998E-2</v>
      </c>
      <c r="I3752" s="412">
        <f>'BAHAN '!G59</f>
        <v>0</v>
      </c>
      <c r="J3752" s="16">
        <f>H3752*I3752</f>
        <v>0</v>
      </c>
    </row>
    <row r="3753" spans="1:10" ht="13.5" thickBot="1">
      <c r="A3753" s="27"/>
      <c r="B3753" s="110"/>
      <c r="D3753" s="417"/>
      <c r="E3753" s="418"/>
      <c r="F3753" s="418"/>
      <c r="G3753" s="419"/>
      <c r="H3753" s="420" t="s">
        <v>64</v>
      </c>
      <c r="I3753" s="421"/>
      <c r="J3753" s="396">
        <f>SUM(J3749:J3752)</f>
        <v>0</v>
      </c>
    </row>
    <row r="3754" spans="1:10" ht="13.5" thickBot="1">
      <c r="A3754" s="27"/>
      <c r="B3754" s="110"/>
      <c r="D3754" s="406" t="s">
        <v>65</v>
      </c>
      <c r="E3754" s="13" t="s">
        <v>66</v>
      </c>
      <c r="F3754" s="14"/>
      <c r="G3754" s="15"/>
      <c r="H3754" s="451"/>
      <c r="I3754" s="412">
        <f>IF(AND(E3754&lt;&gt;"",G3754&lt;&gt;""),IF(D3754="",IF(G3754="OH",VLOOKUP(E3754,UPAH!$C$4:$H$31,7,0),VLOOKUP(E3754,#REF!,4,0)),0),0)</f>
        <v>0</v>
      </c>
      <c r="J3754" s="16">
        <f>H3754*I3754</f>
        <v>0</v>
      </c>
    </row>
    <row r="3755" spans="1:10" ht="13.5" thickBot="1">
      <c r="A3755" s="27"/>
      <c r="B3755" s="110"/>
      <c r="D3755" s="417"/>
      <c r="E3755" s="418"/>
      <c r="F3755" s="418"/>
      <c r="G3755" s="419"/>
      <c r="H3755" s="420" t="s">
        <v>67</v>
      </c>
      <c r="I3755" s="421"/>
      <c r="J3755" s="396">
        <f>J3754</f>
        <v>0</v>
      </c>
    </row>
    <row r="3756" spans="1:10" ht="13">
      <c r="A3756" s="27"/>
      <c r="B3756" s="110"/>
      <c r="D3756" s="444" t="s">
        <v>68</v>
      </c>
      <c r="E3756" s="445" t="s">
        <v>69</v>
      </c>
      <c r="F3756" s="446"/>
      <c r="G3756" s="447"/>
      <c r="H3756" s="448"/>
      <c r="I3756" s="449">
        <f>IF(AND(E3756&lt;&gt;"",G3756&lt;&gt;""),IF(D3756="",IF(G3756="OH",VLOOKUP(E3756,UPAH!$C$4:$H$31,7,0),VLOOKUP(E3756,#REF!,4,0)),0),0)</f>
        <v>0</v>
      </c>
      <c r="J3756" s="16">
        <f>SUM(J3743:J3755)/2</f>
        <v>0</v>
      </c>
    </row>
    <row r="3757" spans="1:10" ht="13.5" thickBot="1">
      <c r="A3757" s="27"/>
      <c r="B3757" s="110"/>
      <c r="D3757" s="431" t="s">
        <v>70</v>
      </c>
      <c r="E3757" s="432" t="s">
        <v>477</v>
      </c>
      <c r="F3757" s="433"/>
      <c r="G3757" s="434"/>
      <c r="H3757" s="22">
        <v>0.1</v>
      </c>
      <c r="I3757" s="436"/>
      <c r="J3757" s="430">
        <f>H3757*J3756</f>
        <v>0</v>
      </c>
    </row>
    <row r="3758" spans="1:10" ht="13.5" thickBot="1">
      <c r="A3758" s="27"/>
      <c r="B3758" s="110"/>
      <c r="D3758" s="401" t="s">
        <v>71</v>
      </c>
      <c r="E3758" s="402" t="s">
        <v>72</v>
      </c>
      <c r="F3758" s="418"/>
      <c r="G3758" s="419"/>
      <c r="H3758" s="442"/>
      <c r="I3758" s="421">
        <f>IF(AND(E3758&lt;&gt;"",G3758&lt;&gt;""),IF(D3758="",IF(G3758="OH",VLOOKUP(E3758,UPAH!$C$4:$H$31,7,0),VLOOKUP(E3758,#REF!,4,0)),0),0)</f>
        <v>0</v>
      </c>
      <c r="J3758" s="396">
        <f>ROUNDDOWN(J3756+J3757,0)</f>
        <v>0</v>
      </c>
    </row>
    <row r="3759" spans="1:10" ht="13">
      <c r="A3759" s="27"/>
      <c r="B3759" s="110"/>
      <c r="D3759" s="11"/>
      <c r="E3759" s="11"/>
      <c r="H3759" s="443"/>
    </row>
    <row r="3760" spans="1:10" ht="13.5" thickBot="1">
      <c r="A3760" s="27"/>
      <c r="B3760" s="110"/>
      <c r="C3760" s="11" t="s">
        <v>852</v>
      </c>
      <c r="D3760" s="10" t="s">
        <v>853</v>
      </c>
      <c r="H3760" s="443"/>
    </row>
    <row r="3761" spans="1:10" ht="13.5" thickBot="1">
      <c r="A3761" s="27"/>
      <c r="B3761" s="110"/>
      <c r="D3761" s="401" t="s">
        <v>40</v>
      </c>
      <c r="E3761" s="402" t="s">
        <v>41</v>
      </c>
      <c r="F3761" s="402" t="s">
        <v>42</v>
      </c>
      <c r="G3761" s="403" t="s">
        <v>43</v>
      </c>
      <c r="H3761" s="404" t="s">
        <v>44</v>
      </c>
      <c r="I3761" s="402" t="s">
        <v>474</v>
      </c>
      <c r="J3761" s="405" t="s">
        <v>475</v>
      </c>
    </row>
    <row r="3762" spans="1:10" ht="13">
      <c r="A3762" s="27"/>
      <c r="B3762" s="110"/>
      <c r="D3762" s="406" t="s">
        <v>45</v>
      </c>
      <c r="E3762" s="13" t="s">
        <v>46</v>
      </c>
      <c r="F3762" s="14"/>
      <c r="G3762" s="15"/>
      <c r="H3762" s="451"/>
      <c r="I3762" s="412"/>
      <c r="J3762" s="16"/>
    </row>
    <row r="3763" spans="1:10" ht="13">
      <c r="A3763" s="27"/>
      <c r="B3763" s="110"/>
      <c r="D3763" s="409"/>
      <c r="E3763" s="13" t="s">
        <v>47</v>
      </c>
      <c r="F3763" s="13" t="s">
        <v>1918</v>
      </c>
      <c r="G3763" s="410" t="s">
        <v>48</v>
      </c>
      <c r="H3763" s="411">
        <v>0.27</v>
      </c>
      <c r="I3763" s="412">
        <f>IF(AND(E3763&lt;&gt;"",G3763&lt;&gt;""),IF(D3763="",IF(G3763="OH",VLOOKUP(F3763,UPAH!$B$4:$H$101,7,0),VLOOKUP(F3763,#REF!,4,0)),0),0)</f>
        <v>0</v>
      </c>
      <c r="J3763" s="16">
        <f>H3763*I3763</f>
        <v>0</v>
      </c>
    </row>
    <row r="3764" spans="1:10" ht="13">
      <c r="A3764" s="27"/>
      <c r="B3764" s="110"/>
      <c r="D3764" s="409"/>
      <c r="E3764" s="13" t="s">
        <v>115</v>
      </c>
      <c r="F3764" s="13" t="s">
        <v>1921</v>
      </c>
      <c r="G3764" s="410" t="s">
        <v>48</v>
      </c>
      <c r="H3764" s="411">
        <v>0.13500000000000001</v>
      </c>
      <c r="I3764" s="412">
        <f>IF(AND(E3764&lt;&gt;"",G3764&lt;&gt;""),IF(D3764="",IF(G3764="OH",VLOOKUP(F3764,UPAH!$B$4:$H$101,7,0),VLOOKUP(F3764,#REF!,4,0)),0),0)</f>
        <v>0</v>
      </c>
      <c r="J3764" s="16">
        <f>H3764*I3764</f>
        <v>0</v>
      </c>
    </row>
    <row r="3765" spans="1:10" ht="13">
      <c r="A3765" s="27"/>
      <c r="B3765" s="110"/>
      <c r="D3765" s="409"/>
      <c r="E3765" s="13" t="s">
        <v>50</v>
      </c>
      <c r="F3765" s="13" t="s">
        <v>1928</v>
      </c>
      <c r="G3765" s="410" t="s">
        <v>48</v>
      </c>
      <c r="H3765" s="411">
        <v>1.4E-2</v>
      </c>
      <c r="I3765" s="412">
        <f>IF(AND(E3765&lt;&gt;"",G3765&lt;&gt;""),IF(D3765="",IF(G3765="OH",VLOOKUP(F3765,UPAH!$B$4:$H$101,7,0),VLOOKUP(F3765,#REF!,4,0)),0),0)</f>
        <v>0</v>
      </c>
      <c r="J3765" s="16">
        <f>H3765*I3765</f>
        <v>0</v>
      </c>
    </row>
    <row r="3766" spans="1:10" ht="13.5" thickBot="1">
      <c r="A3766" s="27"/>
      <c r="B3766" s="110"/>
      <c r="D3766" s="409"/>
      <c r="E3766" s="13" t="s">
        <v>51</v>
      </c>
      <c r="F3766" s="13" t="s">
        <v>1929</v>
      </c>
      <c r="G3766" s="410" t="s">
        <v>48</v>
      </c>
      <c r="H3766" s="411">
        <v>1.4E-2</v>
      </c>
      <c r="I3766" s="412">
        <f>IF(AND(E3766&lt;&gt;"",G3766&lt;&gt;""),IF(D3766="",IF(G3766="OH",VLOOKUP(F3766,UPAH!$B$4:$H$101,7,0),VLOOKUP(F3766,#REF!,4,0)),0),0)</f>
        <v>0</v>
      </c>
      <c r="J3766" s="16">
        <f>H3766*I3766</f>
        <v>0</v>
      </c>
    </row>
    <row r="3767" spans="1:10" ht="13.5" thickBot="1">
      <c r="A3767" s="27"/>
      <c r="B3767" s="110"/>
      <c r="D3767" s="417"/>
      <c r="E3767" s="418"/>
      <c r="F3767" s="418"/>
      <c r="G3767" s="419"/>
      <c r="H3767" s="420" t="s">
        <v>52</v>
      </c>
      <c r="I3767" s="421"/>
      <c r="J3767" s="396">
        <f>SUM(J3763:J3766)</f>
        <v>0</v>
      </c>
    </row>
    <row r="3768" spans="1:10" ht="13">
      <c r="A3768" s="27"/>
      <c r="B3768" s="110"/>
      <c r="D3768" s="406" t="s">
        <v>53</v>
      </c>
      <c r="E3768" s="13" t="s">
        <v>54</v>
      </c>
      <c r="F3768" s="14"/>
      <c r="G3768" s="15"/>
      <c r="H3768" s="451"/>
      <c r="I3768" s="412"/>
      <c r="J3768" s="16"/>
    </row>
    <row r="3769" spans="1:10" ht="13">
      <c r="A3769" s="27"/>
      <c r="B3769" s="110"/>
      <c r="D3769" s="409"/>
      <c r="E3769" s="13" t="s">
        <v>873</v>
      </c>
      <c r="F3769" s="14"/>
      <c r="G3769" s="410" t="s">
        <v>87</v>
      </c>
      <c r="H3769" s="411">
        <v>26.5</v>
      </c>
      <c r="I3769" s="412">
        <f>'BAHAN '!G253</f>
        <v>0</v>
      </c>
      <c r="J3769" s="16">
        <f>H3769*I3769</f>
        <v>0</v>
      </c>
    </row>
    <row r="3770" spans="1:10" ht="13">
      <c r="A3770" s="27"/>
      <c r="B3770" s="110"/>
      <c r="D3770" s="409"/>
      <c r="E3770" s="13" t="s">
        <v>56</v>
      </c>
      <c r="F3770" s="14"/>
      <c r="G3770" s="410" t="s">
        <v>93</v>
      </c>
      <c r="H3770" s="411">
        <v>10.4</v>
      </c>
      <c r="I3770" s="412">
        <f>'BAHAN '!G72</f>
        <v>0</v>
      </c>
      <c r="J3770" s="16">
        <f>H3770*I3770</f>
        <v>0</v>
      </c>
    </row>
    <row r="3771" spans="1:10" ht="13">
      <c r="A3771" s="27"/>
      <c r="B3771" s="110"/>
      <c r="D3771" s="409"/>
      <c r="E3771" s="13" t="s">
        <v>442</v>
      </c>
      <c r="F3771" s="14"/>
      <c r="G3771" s="410" t="s">
        <v>57</v>
      </c>
      <c r="H3771" s="411">
        <v>1.62</v>
      </c>
      <c r="I3771" s="412">
        <f>'BAHAN '!G74</f>
        <v>0</v>
      </c>
      <c r="J3771" s="16">
        <f>H3771*I3771</f>
        <v>0</v>
      </c>
    </row>
    <row r="3772" spans="1:10" ht="13.5" thickBot="1">
      <c r="A3772" s="27"/>
      <c r="B3772" s="110"/>
      <c r="D3772" s="409"/>
      <c r="E3772" s="13" t="s">
        <v>101</v>
      </c>
      <c r="F3772" s="14"/>
      <c r="G3772" s="410" t="s">
        <v>170</v>
      </c>
      <c r="H3772" s="411">
        <v>4.4999999999999998E-2</v>
      </c>
      <c r="I3772" s="412">
        <f>'BAHAN '!G59</f>
        <v>0</v>
      </c>
      <c r="J3772" s="16">
        <f>H3772*I3772</f>
        <v>0</v>
      </c>
    </row>
    <row r="3773" spans="1:10" ht="13.5" thickBot="1">
      <c r="A3773" s="27"/>
      <c r="B3773" s="110"/>
      <c r="D3773" s="417"/>
      <c r="E3773" s="418"/>
      <c r="F3773" s="418"/>
      <c r="G3773" s="419"/>
      <c r="H3773" s="420" t="s">
        <v>64</v>
      </c>
      <c r="I3773" s="421"/>
      <c r="J3773" s="396">
        <f>SUM(J3769:J3772)</f>
        <v>0</v>
      </c>
    </row>
    <row r="3774" spans="1:10" ht="13.5" thickBot="1">
      <c r="A3774" s="27"/>
      <c r="B3774" s="110"/>
      <c r="D3774" s="406" t="s">
        <v>65</v>
      </c>
      <c r="E3774" s="13" t="s">
        <v>66</v>
      </c>
      <c r="F3774" s="14"/>
      <c r="G3774" s="15"/>
      <c r="H3774" s="451"/>
      <c r="I3774" s="412">
        <f>IF(AND(E3774&lt;&gt;"",G3774&lt;&gt;""),IF(D3774="",IF(G3774="OH",VLOOKUP(E3774,UPAH!$C$4:$H$31,7,0),VLOOKUP(E3774,#REF!,4,0)),0),0)</f>
        <v>0</v>
      </c>
      <c r="J3774" s="16">
        <f>H3774*I3774</f>
        <v>0</v>
      </c>
    </row>
    <row r="3775" spans="1:10" ht="13.5" thickBot="1">
      <c r="A3775" s="27"/>
      <c r="B3775" s="110"/>
      <c r="D3775" s="417"/>
      <c r="E3775" s="418"/>
      <c r="F3775" s="418"/>
      <c r="G3775" s="419"/>
      <c r="H3775" s="420" t="s">
        <v>67</v>
      </c>
      <c r="I3775" s="421"/>
      <c r="J3775" s="396">
        <f>J3774</f>
        <v>0</v>
      </c>
    </row>
    <row r="3776" spans="1:10" ht="13">
      <c r="A3776" s="27"/>
      <c r="B3776" s="110"/>
      <c r="D3776" s="444" t="s">
        <v>68</v>
      </c>
      <c r="E3776" s="445" t="s">
        <v>69</v>
      </c>
      <c r="F3776" s="446"/>
      <c r="G3776" s="447"/>
      <c r="H3776" s="448"/>
      <c r="I3776" s="449">
        <f>IF(AND(E3776&lt;&gt;"",G3776&lt;&gt;""),IF(D3776="",IF(G3776="OH",VLOOKUP(E3776,UPAH!$C$4:$H$31,7,0),VLOOKUP(E3776,#REF!,4,0)),0),0)</f>
        <v>0</v>
      </c>
      <c r="J3776" s="16">
        <f>SUM(J3763:J3775)/2</f>
        <v>0</v>
      </c>
    </row>
    <row r="3777" spans="1:10" ht="13.5" thickBot="1">
      <c r="A3777" s="27"/>
      <c r="B3777" s="110"/>
      <c r="D3777" s="431" t="s">
        <v>70</v>
      </c>
      <c r="E3777" s="432" t="s">
        <v>477</v>
      </c>
      <c r="F3777" s="433"/>
      <c r="G3777" s="434"/>
      <c r="H3777" s="22">
        <v>0.1</v>
      </c>
      <c r="I3777" s="436"/>
      <c r="J3777" s="430">
        <f>H3777*J3776</f>
        <v>0</v>
      </c>
    </row>
    <row r="3778" spans="1:10" ht="13.5" thickBot="1">
      <c r="A3778" s="27"/>
      <c r="B3778" s="110"/>
      <c r="D3778" s="401" t="s">
        <v>71</v>
      </c>
      <c r="E3778" s="402" t="s">
        <v>72</v>
      </c>
      <c r="F3778" s="418"/>
      <c r="G3778" s="419"/>
      <c r="H3778" s="442"/>
      <c r="I3778" s="421">
        <f>IF(AND(E3778&lt;&gt;"",G3778&lt;&gt;""),IF(D3778="",IF(G3778="OH",VLOOKUP(E3778,UPAH!$C$4:$H$31,7,0),VLOOKUP(E3778,#REF!,4,0)),0),0)</f>
        <v>0</v>
      </c>
      <c r="J3778" s="396">
        <f>ROUNDDOWN(J3776+J3777,0)</f>
        <v>0</v>
      </c>
    </row>
    <row r="3779" spans="1:10" ht="13">
      <c r="A3779" s="27"/>
      <c r="B3779" s="110"/>
      <c r="D3779" s="11"/>
      <c r="E3779" s="11"/>
      <c r="H3779" s="443"/>
    </row>
    <row r="3780" spans="1:10" ht="13.5" thickBot="1">
      <c r="A3780" s="27"/>
      <c r="B3780" s="110"/>
      <c r="C3780" s="11" t="s">
        <v>854</v>
      </c>
      <c r="D3780" s="10" t="s">
        <v>855</v>
      </c>
      <c r="H3780" s="443"/>
    </row>
    <row r="3781" spans="1:10" ht="13.5" thickBot="1">
      <c r="A3781" s="27"/>
      <c r="B3781" s="110"/>
      <c r="D3781" s="401" t="s">
        <v>40</v>
      </c>
      <c r="E3781" s="402" t="s">
        <v>41</v>
      </c>
      <c r="F3781" s="402" t="s">
        <v>42</v>
      </c>
      <c r="G3781" s="403" t="s">
        <v>43</v>
      </c>
      <c r="H3781" s="404" t="s">
        <v>44</v>
      </c>
      <c r="I3781" s="402" t="s">
        <v>474</v>
      </c>
      <c r="J3781" s="405" t="s">
        <v>475</v>
      </c>
    </row>
    <row r="3782" spans="1:10" ht="13">
      <c r="A3782" s="27"/>
      <c r="B3782" s="110"/>
      <c r="D3782" s="406" t="s">
        <v>45</v>
      </c>
      <c r="E3782" s="13" t="s">
        <v>46</v>
      </c>
      <c r="F3782" s="14"/>
      <c r="G3782" s="15"/>
      <c r="H3782" s="451"/>
      <c r="I3782" s="412"/>
      <c r="J3782" s="16"/>
    </row>
    <row r="3783" spans="1:10" ht="13">
      <c r="A3783" s="27"/>
      <c r="B3783" s="110"/>
      <c r="D3783" s="409"/>
      <c r="E3783" s="13" t="s">
        <v>47</v>
      </c>
      <c r="F3783" s="13" t="s">
        <v>1918</v>
      </c>
      <c r="G3783" s="410" t="s">
        <v>48</v>
      </c>
      <c r="H3783" s="411">
        <v>0.25</v>
      </c>
      <c r="I3783" s="412">
        <f>IF(AND(E3783&lt;&gt;"",G3783&lt;&gt;""),IF(D3783="",IF(G3783="OH",VLOOKUP(F3783,UPAH!$B$4:$H$101,7,0),VLOOKUP(F3783,#REF!,4,0)),0),0)</f>
        <v>0</v>
      </c>
      <c r="J3783" s="16">
        <f>H3783*I3783</f>
        <v>0</v>
      </c>
    </row>
    <row r="3784" spans="1:10" ht="13">
      <c r="A3784" s="27"/>
      <c r="B3784" s="110"/>
      <c r="D3784" s="409"/>
      <c r="E3784" s="13" t="s">
        <v>115</v>
      </c>
      <c r="F3784" s="13" t="s">
        <v>1921</v>
      </c>
      <c r="G3784" s="410" t="s">
        <v>48</v>
      </c>
      <c r="H3784" s="411">
        <v>0.125</v>
      </c>
      <c r="I3784" s="412">
        <f>IF(AND(E3784&lt;&gt;"",G3784&lt;&gt;""),IF(D3784="",IF(G3784="OH",VLOOKUP(F3784,UPAH!$B$4:$H$101,7,0),VLOOKUP(F3784,#REF!,4,0)),0),0)</f>
        <v>0</v>
      </c>
      <c r="J3784" s="16">
        <f>H3784*I3784</f>
        <v>0</v>
      </c>
    </row>
    <row r="3785" spans="1:10" ht="13">
      <c r="A3785" s="27"/>
      <c r="B3785" s="110"/>
      <c r="D3785" s="409"/>
      <c r="E3785" s="13" t="s">
        <v>50</v>
      </c>
      <c r="F3785" s="13" t="s">
        <v>1928</v>
      </c>
      <c r="G3785" s="410" t="s">
        <v>48</v>
      </c>
      <c r="H3785" s="411">
        <v>1.2999999999999999E-2</v>
      </c>
      <c r="I3785" s="412">
        <f>IF(AND(E3785&lt;&gt;"",G3785&lt;&gt;""),IF(D3785="",IF(G3785="OH",VLOOKUP(F3785,UPAH!$B$4:$H$101,7,0),VLOOKUP(F3785,#REF!,4,0)),0),0)</f>
        <v>0</v>
      </c>
      <c r="J3785" s="16">
        <f>H3785*I3785</f>
        <v>0</v>
      </c>
    </row>
    <row r="3786" spans="1:10" ht="13.5" thickBot="1">
      <c r="A3786" s="27"/>
      <c r="B3786" s="110"/>
      <c r="D3786" s="409"/>
      <c r="E3786" s="13" t="s">
        <v>51</v>
      </c>
      <c r="F3786" s="13" t="s">
        <v>1929</v>
      </c>
      <c r="G3786" s="410" t="s">
        <v>48</v>
      </c>
      <c r="H3786" s="411">
        <v>1.2999999999999999E-2</v>
      </c>
      <c r="I3786" s="412">
        <f>IF(AND(E3786&lt;&gt;"",G3786&lt;&gt;""),IF(D3786="",IF(G3786="OH",VLOOKUP(F3786,UPAH!$B$4:$H$101,7,0),VLOOKUP(F3786,#REF!,4,0)),0),0)</f>
        <v>0</v>
      </c>
      <c r="J3786" s="16">
        <f>H3786*I3786</f>
        <v>0</v>
      </c>
    </row>
    <row r="3787" spans="1:10" ht="13.5" thickBot="1">
      <c r="A3787" s="27"/>
      <c r="B3787" s="110"/>
      <c r="D3787" s="417"/>
      <c r="E3787" s="418"/>
      <c r="F3787" s="418"/>
      <c r="G3787" s="419"/>
      <c r="H3787" s="420" t="s">
        <v>52</v>
      </c>
      <c r="I3787" s="421"/>
      <c r="J3787" s="396">
        <f>SUM(J3783:J3786)</f>
        <v>0</v>
      </c>
    </row>
    <row r="3788" spans="1:10" ht="13">
      <c r="A3788" s="27"/>
      <c r="B3788" s="110"/>
      <c r="D3788" s="406" t="s">
        <v>53</v>
      </c>
      <c r="E3788" s="13" t="s">
        <v>54</v>
      </c>
      <c r="F3788" s="14"/>
      <c r="G3788" s="15"/>
      <c r="H3788" s="451"/>
      <c r="I3788" s="412"/>
      <c r="J3788" s="16"/>
    </row>
    <row r="3789" spans="1:10" ht="13">
      <c r="A3789" s="27"/>
      <c r="B3789" s="110"/>
      <c r="D3789" s="409"/>
      <c r="E3789" s="13" t="s">
        <v>874</v>
      </c>
      <c r="F3789" s="14"/>
      <c r="G3789" s="410" t="s">
        <v>87</v>
      </c>
      <c r="H3789" s="411">
        <v>6.63</v>
      </c>
      <c r="I3789" s="412">
        <f>'BAHAN '!G1029</f>
        <v>0</v>
      </c>
      <c r="J3789" s="16">
        <f>H3789*I3789</f>
        <v>0</v>
      </c>
    </row>
    <row r="3790" spans="1:10" ht="13">
      <c r="A3790" s="27"/>
      <c r="B3790" s="110"/>
      <c r="D3790" s="409"/>
      <c r="E3790" s="13" t="s">
        <v>56</v>
      </c>
      <c r="F3790" s="14"/>
      <c r="G3790" s="410" t="s">
        <v>93</v>
      </c>
      <c r="H3790" s="411">
        <v>9.8000000000000007</v>
      </c>
      <c r="I3790" s="412">
        <f>'BAHAN '!G72</f>
        <v>0</v>
      </c>
      <c r="J3790" s="16">
        <f>H3790*I3790</f>
        <v>0</v>
      </c>
    </row>
    <row r="3791" spans="1:10" ht="13">
      <c r="A3791" s="27"/>
      <c r="B3791" s="110"/>
      <c r="D3791" s="409"/>
      <c r="E3791" s="13" t="s">
        <v>442</v>
      </c>
      <c r="F3791" s="14"/>
      <c r="G3791" s="410" t="s">
        <v>57</v>
      </c>
      <c r="H3791" s="411">
        <v>1.3</v>
      </c>
      <c r="I3791" s="412">
        <f>'BAHAN '!G74</f>
        <v>0</v>
      </c>
      <c r="J3791" s="16">
        <f>H3791*I3791</f>
        <v>0</v>
      </c>
    </row>
    <row r="3792" spans="1:10" ht="13.5" thickBot="1">
      <c r="A3792" s="27"/>
      <c r="B3792" s="110"/>
      <c r="D3792" s="409"/>
      <c r="E3792" s="13" t="s">
        <v>101</v>
      </c>
      <c r="F3792" s="14"/>
      <c r="G3792" s="410" t="s">
        <v>170</v>
      </c>
      <c r="H3792" s="411">
        <v>4.4999999999999998E-2</v>
      </c>
      <c r="I3792" s="412">
        <f>'BAHAN '!G59</f>
        <v>0</v>
      </c>
      <c r="J3792" s="16">
        <f>H3792*I3792</f>
        <v>0</v>
      </c>
    </row>
    <row r="3793" spans="1:10" ht="13.5" thickBot="1">
      <c r="A3793" s="27"/>
      <c r="B3793" s="110"/>
      <c r="D3793" s="417"/>
      <c r="E3793" s="418"/>
      <c r="F3793" s="418"/>
      <c r="G3793" s="419"/>
      <c r="H3793" s="420" t="s">
        <v>64</v>
      </c>
      <c r="I3793" s="421"/>
      <c r="J3793" s="396">
        <f>SUM(J3789:J3792)</f>
        <v>0</v>
      </c>
    </row>
    <row r="3794" spans="1:10" ht="13.5" thickBot="1">
      <c r="A3794" s="27"/>
      <c r="B3794" s="110"/>
      <c r="D3794" s="406" t="s">
        <v>65</v>
      </c>
      <c r="E3794" s="13" t="s">
        <v>66</v>
      </c>
      <c r="F3794" s="14"/>
      <c r="G3794" s="15"/>
      <c r="H3794" s="451"/>
      <c r="I3794" s="412">
        <f>IF(AND(E3794&lt;&gt;"",G3794&lt;&gt;""),IF(D3794="",IF(G3794="OH",VLOOKUP(E3794,UPAH!$C$4:$H$31,7,0),VLOOKUP(E3794,#REF!,4,0)),0),0)</f>
        <v>0</v>
      </c>
      <c r="J3794" s="16">
        <f>H3794*I3794</f>
        <v>0</v>
      </c>
    </row>
    <row r="3795" spans="1:10" ht="13.5" thickBot="1">
      <c r="A3795" s="27"/>
      <c r="B3795" s="110"/>
      <c r="D3795" s="417"/>
      <c r="E3795" s="418"/>
      <c r="F3795" s="418"/>
      <c r="G3795" s="419"/>
      <c r="H3795" s="420" t="s">
        <v>67</v>
      </c>
      <c r="I3795" s="421"/>
      <c r="J3795" s="396">
        <f>J3794</f>
        <v>0</v>
      </c>
    </row>
    <row r="3796" spans="1:10" ht="13">
      <c r="A3796" s="27"/>
      <c r="B3796" s="110"/>
      <c r="D3796" s="444" t="s">
        <v>68</v>
      </c>
      <c r="E3796" s="445" t="s">
        <v>69</v>
      </c>
      <c r="F3796" s="446"/>
      <c r="G3796" s="447"/>
      <c r="H3796" s="448"/>
      <c r="I3796" s="449">
        <f>IF(AND(E3796&lt;&gt;"",G3796&lt;&gt;""),IF(D3796="",IF(G3796="OH",VLOOKUP(E3796,UPAH!$C$4:$H$31,7,0),VLOOKUP(E3796,#REF!,4,0)),0),0)</f>
        <v>0</v>
      </c>
      <c r="J3796" s="16">
        <f>SUM(J3783:J3795)/2</f>
        <v>0</v>
      </c>
    </row>
    <row r="3797" spans="1:10" ht="13.5" thickBot="1">
      <c r="A3797" s="27"/>
      <c r="B3797" s="110"/>
      <c r="D3797" s="431" t="s">
        <v>70</v>
      </c>
      <c r="E3797" s="432" t="s">
        <v>477</v>
      </c>
      <c r="F3797" s="433"/>
      <c r="G3797" s="434"/>
      <c r="H3797" s="22">
        <v>0.1</v>
      </c>
      <c r="I3797" s="436"/>
      <c r="J3797" s="430">
        <f>H3797*J3796</f>
        <v>0</v>
      </c>
    </row>
    <row r="3798" spans="1:10" ht="13.5" thickBot="1">
      <c r="A3798" s="27"/>
      <c r="B3798" s="110"/>
      <c r="D3798" s="401" t="s">
        <v>71</v>
      </c>
      <c r="E3798" s="402" t="s">
        <v>72</v>
      </c>
      <c r="F3798" s="418"/>
      <c r="G3798" s="419"/>
      <c r="H3798" s="442"/>
      <c r="I3798" s="421">
        <f>IF(AND(E3798&lt;&gt;"",G3798&lt;&gt;""),IF(D3798="",IF(G3798="OH",VLOOKUP(E3798,UPAH!$C$4:$H$31,7,0),VLOOKUP(E3798,#REF!,4,0)),0),0)</f>
        <v>0</v>
      </c>
      <c r="J3798" s="396">
        <f>ROUNDDOWN(J3796+J3797,0)</f>
        <v>0</v>
      </c>
    </row>
    <row r="3799" spans="1:10" ht="13">
      <c r="A3799" s="27"/>
      <c r="B3799" s="110"/>
      <c r="D3799" s="11"/>
      <c r="E3799" s="11"/>
      <c r="H3799" s="443"/>
    </row>
    <row r="3800" spans="1:10" ht="13.5" thickBot="1">
      <c r="A3800" s="27"/>
      <c r="B3800" s="110"/>
      <c r="C3800" s="11" t="s">
        <v>856</v>
      </c>
      <c r="D3800" s="10" t="s">
        <v>857</v>
      </c>
      <c r="H3800" s="443"/>
    </row>
    <row r="3801" spans="1:10" ht="13.5" thickBot="1">
      <c r="A3801" s="27"/>
      <c r="B3801" s="110"/>
      <c r="D3801" s="401" t="s">
        <v>40</v>
      </c>
      <c r="E3801" s="402" t="s">
        <v>41</v>
      </c>
      <c r="F3801" s="402" t="s">
        <v>42</v>
      </c>
      <c r="G3801" s="403" t="s">
        <v>43</v>
      </c>
      <c r="H3801" s="404" t="s">
        <v>44</v>
      </c>
      <c r="I3801" s="402" t="s">
        <v>474</v>
      </c>
      <c r="J3801" s="405" t="s">
        <v>475</v>
      </c>
    </row>
    <row r="3802" spans="1:10" ht="13">
      <c r="A3802" s="27"/>
      <c r="B3802" s="110"/>
      <c r="D3802" s="406" t="s">
        <v>45</v>
      </c>
      <c r="E3802" s="13" t="s">
        <v>46</v>
      </c>
      <c r="F3802" s="14"/>
      <c r="G3802" s="15"/>
      <c r="H3802" s="451"/>
      <c r="I3802" s="412"/>
      <c r="J3802" s="16"/>
    </row>
    <row r="3803" spans="1:10" ht="13">
      <c r="A3803" s="27"/>
      <c r="B3803" s="110"/>
      <c r="D3803" s="409"/>
      <c r="E3803" s="13" t="s">
        <v>47</v>
      </c>
      <c r="F3803" s="13" t="s">
        <v>1918</v>
      </c>
      <c r="G3803" s="410" t="s">
        <v>48</v>
      </c>
      <c r="H3803" s="411">
        <v>0.26</v>
      </c>
      <c r="I3803" s="412">
        <f>IF(AND(E3803&lt;&gt;"",G3803&lt;&gt;""),IF(D3803="",IF(G3803="OH",VLOOKUP(F3803,UPAH!$B$4:$H$101,7,0),VLOOKUP(F3803,#REF!,4,0)),0),0)</f>
        <v>0</v>
      </c>
      <c r="J3803" s="16">
        <f>H3803*I3803</f>
        <v>0</v>
      </c>
    </row>
    <row r="3804" spans="1:10" ht="13">
      <c r="A3804" s="27"/>
      <c r="B3804" s="110"/>
      <c r="D3804" s="409"/>
      <c r="E3804" s="13" t="s">
        <v>115</v>
      </c>
      <c r="F3804" s="13" t="s">
        <v>1921</v>
      </c>
      <c r="G3804" s="410" t="s">
        <v>48</v>
      </c>
      <c r="H3804" s="411">
        <v>0.13</v>
      </c>
      <c r="I3804" s="412">
        <f>IF(AND(E3804&lt;&gt;"",G3804&lt;&gt;""),IF(D3804="",IF(G3804="OH",VLOOKUP(F3804,UPAH!$B$4:$H$101,7,0),VLOOKUP(F3804,#REF!,4,0)),0),0)</f>
        <v>0</v>
      </c>
      <c r="J3804" s="16">
        <f>H3804*I3804</f>
        <v>0</v>
      </c>
    </row>
    <row r="3805" spans="1:10" ht="13">
      <c r="A3805" s="27"/>
      <c r="B3805" s="110"/>
      <c r="D3805" s="409"/>
      <c r="E3805" s="13" t="s">
        <v>50</v>
      </c>
      <c r="F3805" s="13" t="s">
        <v>1928</v>
      </c>
      <c r="G3805" s="410" t="s">
        <v>48</v>
      </c>
      <c r="H3805" s="411">
        <v>1.2999999999999999E-2</v>
      </c>
      <c r="I3805" s="412">
        <f>IF(AND(E3805&lt;&gt;"",G3805&lt;&gt;""),IF(D3805="",IF(G3805="OH",VLOOKUP(F3805,UPAH!$B$4:$H$101,7,0),VLOOKUP(F3805,#REF!,4,0)),0),0)</f>
        <v>0</v>
      </c>
      <c r="J3805" s="16">
        <f>H3805*I3805</f>
        <v>0</v>
      </c>
    </row>
    <row r="3806" spans="1:10" ht="13.5" thickBot="1">
      <c r="A3806" s="27"/>
      <c r="B3806" s="110"/>
      <c r="D3806" s="409"/>
      <c r="E3806" s="13" t="s">
        <v>51</v>
      </c>
      <c r="F3806" s="13" t="s">
        <v>1929</v>
      </c>
      <c r="G3806" s="410" t="s">
        <v>48</v>
      </c>
      <c r="H3806" s="411">
        <v>1.2999999999999999E-2</v>
      </c>
      <c r="I3806" s="412">
        <f>IF(AND(E3806&lt;&gt;"",G3806&lt;&gt;""),IF(D3806="",IF(G3806="OH",VLOOKUP(F3806,UPAH!$B$4:$H$101,7,0),VLOOKUP(F3806,#REF!,4,0)),0),0)</f>
        <v>0</v>
      </c>
      <c r="J3806" s="16">
        <f>H3806*I3806</f>
        <v>0</v>
      </c>
    </row>
    <row r="3807" spans="1:10" ht="13.5" thickBot="1">
      <c r="A3807" s="27"/>
      <c r="B3807" s="110"/>
      <c r="D3807" s="417"/>
      <c r="E3807" s="418"/>
      <c r="F3807" s="418"/>
      <c r="G3807" s="419"/>
      <c r="H3807" s="420" t="s">
        <v>52</v>
      </c>
      <c r="I3807" s="421"/>
      <c r="J3807" s="396">
        <f>SUM(J3803:J3806)</f>
        <v>0</v>
      </c>
    </row>
    <row r="3808" spans="1:10" ht="13">
      <c r="A3808" s="27"/>
      <c r="B3808" s="110"/>
      <c r="D3808" s="406" t="s">
        <v>53</v>
      </c>
      <c r="E3808" s="13" t="s">
        <v>54</v>
      </c>
      <c r="F3808" s="14"/>
      <c r="G3808" s="15"/>
      <c r="H3808" s="451"/>
      <c r="I3808" s="412"/>
      <c r="J3808" s="16"/>
    </row>
    <row r="3809" spans="1:10" ht="13">
      <c r="A3809" s="27"/>
      <c r="B3809" s="110"/>
      <c r="D3809" s="409"/>
      <c r="E3809" s="13" t="s">
        <v>875</v>
      </c>
      <c r="F3809" s="14"/>
      <c r="G3809" s="410" t="s">
        <v>87</v>
      </c>
      <c r="H3809" s="411">
        <v>11.87</v>
      </c>
      <c r="I3809" s="412">
        <f>'BAHAN '!G1028</f>
        <v>0</v>
      </c>
      <c r="J3809" s="16">
        <f>H3809*I3809</f>
        <v>0</v>
      </c>
    </row>
    <row r="3810" spans="1:10" ht="13">
      <c r="A3810" s="27"/>
      <c r="B3810" s="110"/>
      <c r="D3810" s="409"/>
      <c r="E3810" s="13" t="s">
        <v>56</v>
      </c>
      <c r="F3810" s="14"/>
      <c r="G3810" s="410" t="s">
        <v>93</v>
      </c>
      <c r="H3810" s="411">
        <v>10</v>
      </c>
      <c r="I3810" s="412">
        <f>'BAHAN '!G72</f>
        <v>0</v>
      </c>
      <c r="J3810" s="16">
        <f>H3810*I3810</f>
        <v>0</v>
      </c>
    </row>
    <row r="3811" spans="1:10" ht="13">
      <c r="A3811" s="27"/>
      <c r="B3811" s="110"/>
      <c r="D3811" s="409"/>
      <c r="E3811" s="13" t="s">
        <v>442</v>
      </c>
      <c r="F3811" s="14"/>
      <c r="G3811" s="410" t="s">
        <v>57</v>
      </c>
      <c r="H3811" s="411">
        <v>1.5</v>
      </c>
      <c r="I3811" s="412">
        <f>'BAHAN '!G74</f>
        <v>0</v>
      </c>
      <c r="J3811" s="16">
        <f>H3811*I3811</f>
        <v>0</v>
      </c>
    </row>
    <row r="3812" spans="1:10" ht="13.5" thickBot="1">
      <c r="A3812" s="27"/>
      <c r="B3812" s="110"/>
      <c r="D3812" s="409"/>
      <c r="E3812" s="13" t="s">
        <v>101</v>
      </c>
      <c r="F3812" s="14"/>
      <c r="G3812" s="410" t="s">
        <v>170</v>
      </c>
      <c r="H3812" s="411">
        <v>4.4999999999999998E-2</v>
      </c>
      <c r="I3812" s="412">
        <f>'BAHAN '!G59</f>
        <v>0</v>
      </c>
      <c r="J3812" s="16">
        <f>H3812*I3812</f>
        <v>0</v>
      </c>
    </row>
    <row r="3813" spans="1:10" ht="13.5" thickBot="1">
      <c r="A3813" s="27"/>
      <c r="B3813" s="110"/>
      <c r="D3813" s="417"/>
      <c r="E3813" s="418"/>
      <c r="F3813" s="418"/>
      <c r="G3813" s="419"/>
      <c r="H3813" s="420" t="s">
        <v>64</v>
      </c>
      <c r="I3813" s="421"/>
      <c r="J3813" s="396">
        <f>SUM(J3809:J3812)</f>
        <v>0</v>
      </c>
    </row>
    <row r="3814" spans="1:10" ht="13.5" thickBot="1">
      <c r="A3814" s="27"/>
      <c r="B3814" s="110"/>
      <c r="D3814" s="406" t="s">
        <v>65</v>
      </c>
      <c r="E3814" s="13" t="s">
        <v>66</v>
      </c>
      <c r="F3814" s="14"/>
      <c r="G3814" s="15"/>
      <c r="H3814" s="451"/>
      <c r="I3814" s="412">
        <f>IF(AND(E3814&lt;&gt;"",G3814&lt;&gt;""),IF(D3814="",IF(G3814="OH",VLOOKUP(E3814,UPAH!$C$4:$H$31,7,0),VLOOKUP(E3814,#REF!,4,0)),0),0)</f>
        <v>0</v>
      </c>
      <c r="J3814" s="16">
        <f>H3814*I3814</f>
        <v>0</v>
      </c>
    </row>
    <row r="3815" spans="1:10" ht="13.5" thickBot="1">
      <c r="A3815" s="27"/>
      <c r="B3815" s="110"/>
      <c r="D3815" s="417"/>
      <c r="E3815" s="418"/>
      <c r="F3815" s="418"/>
      <c r="G3815" s="419"/>
      <c r="H3815" s="420" t="s">
        <v>67</v>
      </c>
      <c r="I3815" s="421"/>
      <c r="J3815" s="396">
        <f>J3814</f>
        <v>0</v>
      </c>
    </row>
    <row r="3816" spans="1:10" ht="13">
      <c r="A3816" s="27"/>
      <c r="B3816" s="110"/>
      <c r="D3816" s="444" t="s">
        <v>68</v>
      </c>
      <c r="E3816" s="445" t="s">
        <v>69</v>
      </c>
      <c r="F3816" s="446"/>
      <c r="G3816" s="447"/>
      <c r="H3816" s="448"/>
      <c r="I3816" s="449">
        <f>IF(AND(E3816&lt;&gt;"",G3816&lt;&gt;""),IF(D3816="",IF(G3816="OH",VLOOKUP(E3816,UPAH!$C$4:$H$31,7,0),VLOOKUP(E3816,#REF!,4,0)),0),0)</f>
        <v>0</v>
      </c>
      <c r="J3816" s="16">
        <f>SUM(J3803:J3815)/2</f>
        <v>0</v>
      </c>
    </row>
    <row r="3817" spans="1:10" ht="13.5" thickBot="1">
      <c r="A3817" s="27"/>
      <c r="B3817" s="110"/>
      <c r="D3817" s="431" t="s">
        <v>70</v>
      </c>
      <c r="E3817" s="432" t="s">
        <v>477</v>
      </c>
      <c r="F3817" s="433"/>
      <c r="G3817" s="434"/>
      <c r="H3817" s="22">
        <v>0.1</v>
      </c>
      <c r="I3817" s="436"/>
      <c r="J3817" s="430">
        <f>H3817*J3816</f>
        <v>0</v>
      </c>
    </row>
    <row r="3818" spans="1:10" ht="13.5" thickBot="1">
      <c r="A3818" s="27"/>
      <c r="B3818" s="110"/>
      <c r="D3818" s="401" t="s">
        <v>71</v>
      </c>
      <c r="E3818" s="402" t="s">
        <v>72</v>
      </c>
      <c r="F3818" s="418"/>
      <c r="G3818" s="419"/>
      <c r="H3818" s="442"/>
      <c r="I3818" s="421">
        <f>IF(AND(E3818&lt;&gt;"",G3818&lt;&gt;""),IF(D3818="",IF(G3818="OH",VLOOKUP(E3818,UPAH!$C$4:$H$31,7,0),VLOOKUP(E3818,#REF!,4,0)),0),0)</f>
        <v>0</v>
      </c>
      <c r="J3818" s="396">
        <f>ROUNDDOWN(J3816+J3817,0)</f>
        <v>0</v>
      </c>
    </row>
    <row r="3819" spans="1:10" ht="13">
      <c r="A3819" s="27"/>
      <c r="B3819" s="110"/>
      <c r="D3819" s="11"/>
      <c r="E3819" s="11"/>
      <c r="H3819" s="443"/>
    </row>
    <row r="3820" spans="1:10" ht="13.5" thickBot="1">
      <c r="A3820" s="27"/>
      <c r="B3820" s="110"/>
      <c r="C3820" s="11" t="s">
        <v>858</v>
      </c>
      <c r="D3820" s="10" t="s">
        <v>859</v>
      </c>
      <c r="H3820" s="443"/>
    </row>
    <row r="3821" spans="1:10" ht="13.5" thickBot="1">
      <c r="A3821" s="27"/>
      <c r="B3821" s="110"/>
      <c r="D3821" s="401" t="s">
        <v>40</v>
      </c>
      <c r="E3821" s="402" t="s">
        <v>41</v>
      </c>
      <c r="F3821" s="402" t="s">
        <v>42</v>
      </c>
      <c r="G3821" s="403" t="s">
        <v>43</v>
      </c>
      <c r="H3821" s="404" t="s">
        <v>44</v>
      </c>
      <c r="I3821" s="402" t="s">
        <v>474</v>
      </c>
      <c r="J3821" s="405" t="s">
        <v>475</v>
      </c>
    </row>
    <row r="3822" spans="1:10" ht="13">
      <c r="A3822" s="27"/>
      <c r="B3822" s="110"/>
      <c r="D3822" s="444" t="s">
        <v>45</v>
      </c>
      <c r="E3822" s="445" t="s">
        <v>46</v>
      </c>
      <c r="F3822" s="446"/>
      <c r="G3822" s="447"/>
      <c r="H3822" s="448"/>
      <c r="I3822" s="449"/>
      <c r="J3822" s="450"/>
    </row>
    <row r="3823" spans="1:10" ht="13">
      <c r="A3823" s="27"/>
      <c r="B3823" s="110"/>
      <c r="D3823" s="409"/>
      <c r="E3823" s="13" t="s">
        <v>47</v>
      </c>
      <c r="F3823" s="13" t="s">
        <v>1918</v>
      </c>
      <c r="G3823" s="410" t="s">
        <v>48</v>
      </c>
      <c r="H3823" s="411">
        <v>0.25</v>
      </c>
      <c r="I3823" s="412">
        <f>IF(AND(E3823&lt;&gt;"",G3823&lt;&gt;""),IF(D3823="",IF(G3823="OH",VLOOKUP(F3823,UPAH!$B$4:$H$101,7,0),VLOOKUP(F3823,#REF!,4,0)),0),0)</f>
        <v>0</v>
      </c>
      <c r="J3823" s="16">
        <f>H3823*I3823</f>
        <v>0</v>
      </c>
    </row>
    <row r="3824" spans="1:10" ht="13">
      <c r="A3824" s="27"/>
      <c r="B3824" s="110"/>
      <c r="D3824" s="409"/>
      <c r="E3824" s="13" t="s">
        <v>115</v>
      </c>
      <c r="F3824" s="13" t="s">
        <v>1921</v>
      </c>
      <c r="G3824" s="410" t="s">
        <v>48</v>
      </c>
      <c r="H3824" s="411">
        <v>0.125</v>
      </c>
      <c r="I3824" s="412">
        <f>IF(AND(E3824&lt;&gt;"",G3824&lt;&gt;""),IF(D3824="",IF(G3824="OH",VLOOKUP(F3824,UPAH!$B$4:$H$101,7,0),VLOOKUP(F3824,#REF!,4,0)),0),0)</f>
        <v>0</v>
      </c>
      <c r="J3824" s="16">
        <f>H3824*I3824</f>
        <v>0</v>
      </c>
    </row>
    <row r="3825" spans="1:10" ht="13">
      <c r="A3825" s="27"/>
      <c r="B3825" s="110"/>
      <c r="D3825" s="409"/>
      <c r="E3825" s="13" t="s">
        <v>50</v>
      </c>
      <c r="F3825" s="13" t="s">
        <v>1928</v>
      </c>
      <c r="G3825" s="410" t="s">
        <v>48</v>
      </c>
      <c r="H3825" s="411">
        <v>1.2999999999999999E-2</v>
      </c>
      <c r="I3825" s="412">
        <f>IF(AND(E3825&lt;&gt;"",G3825&lt;&gt;""),IF(D3825="",IF(G3825="OH",VLOOKUP(F3825,UPAH!$B$4:$H$101,7,0),VLOOKUP(F3825,#REF!,4,0)),0),0)</f>
        <v>0</v>
      </c>
      <c r="J3825" s="16">
        <f>H3825*I3825</f>
        <v>0</v>
      </c>
    </row>
    <row r="3826" spans="1:10" ht="13.5" thickBot="1">
      <c r="A3826" s="27"/>
      <c r="B3826" s="110"/>
      <c r="D3826" s="409"/>
      <c r="E3826" s="13" t="s">
        <v>51</v>
      </c>
      <c r="F3826" s="13" t="s">
        <v>1929</v>
      </c>
      <c r="G3826" s="410" t="s">
        <v>48</v>
      </c>
      <c r="H3826" s="411">
        <v>1.2999999999999999E-2</v>
      </c>
      <c r="I3826" s="412">
        <f>IF(AND(E3826&lt;&gt;"",G3826&lt;&gt;""),IF(D3826="",IF(G3826="OH",VLOOKUP(F3826,UPAH!$B$4:$H$101,7,0),VLOOKUP(F3826,#REF!,4,0)),0),0)</f>
        <v>0</v>
      </c>
      <c r="J3826" s="16">
        <f>H3826*I3826</f>
        <v>0</v>
      </c>
    </row>
    <row r="3827" spans="1:10" ht="13.5" thickBot="1">
      <c r="A3827" s="27"/>
      <c r="B3827" s="110"/>
      <c r="D3827" s="417"/>
      <c r="E3827" s="418"/>
      <c r="F3827" s="418"/>
      <c r="G3827" s="419"/>
      <c r="H3827" s="420" t="s">
        <v>52</v>
      </c>
      <c r="I3827" s="421"/>
      <c r="J3827" s="396">
        <f>SUM(J3823:J3826)</f>
        <v>0</v>
      </c>
    </row>
    <row r="3828" spans="1:10" ht="13">
      <c r="A3828" s="27"/>
      <c r="B3828" s="110"/>
      <c r="D3828" s="406" t="s">
        <v>53</v>
      </c>
      <c r="E3828" s="13" t="s">
        <v>54</v>
      </c>
      <c r="F3828" s="14"/>
      <c r="G3828" s="15"/>
      <c r="H3828" s="451"/>
      <c r="I3828" s="412"/>
      <c r="J3828" s="16"/>
    </row>
    <row r="3829" spans="1:10" ht="13">
      <c r="A3829" s="27"/>
      <c r="B3829" s="110"/>
      <c r="D3829" s="409"/>
      <c r="E3829" s="13" t="s">
        <v>876</v>
      </c>
      <c r="F3829" s="14"/>
      <c r="G3829" s="410" t="s">
        <v>87</v>
      </c>
      <c r="H3829" s="411">
        <v>6.63</v>
      </c>
      <c r="I3829" s="412">
        <f>'BAHAN '!G264</f>
        <v>0</v>
      </c>
      <c r="J3829" s="16">
        <f>H3829*I3829</f>
        <v>0</v>
      </c>
    </row>
    <row r="3830" spans="1:10" ht="13">
      <c r="A3830" s="27"/>
      <c r="B3830" s="110"/>
      <c r="D3830" s="409"/>
      <c r="E3830" s="13" t="s">
        <v>56</v>
      </c>
      <c r="F3830" s="14"/>
      <c r="G3830" s="410" t="s">
        <v>93</v>
      </c>
      <c r="H3830" s="411">
        <v>9.8000000000000007</v>
      </c>
      <c r="I3830" s="412">
        <f>'BAHAN '!G72</f>
        <v>0</v>
      </c>
      <c r="J3830" s="16">
        <f>H3830*I3830</f>
        <v>0</v>
      </c>
    </row>
    <row r="3831" spans="1:10" ht="13">
      <c r="A3831" s="27"/>
      <c r="B3831" s="110"/>
      <c r="D3831" s="409"/>
      <c r="E3831" s="13" t="s">
        <v>442</v>
      </c>
      <c r="F3831" s="14"/>
      <c r="G3831" s="410" t="s">
        <v>57</v>
      </c>
      <c r="H3831" s="411">
        <v>1.3</v>
      </c>
      <c r="I3831" s="412">
        <f>'BAHAN '!G74</f>
        <v>0</v>
      </c>
      <c r="J3831" s="16">
        <f>H3831*I3831</f>
        <v>0</v>
      </c>
    </row>
    <row r="3832" spans="1:10" ht="13.5" thickBot="1">
      <c r="A3832" s="27"/>
      <c r="B3832" s="110"/>
      <c r="D3832" s="409"/>
      <c r="E3832" s="13" t="s">
        <v>101</v>
      </c>
      <c r="F3832" s="14"/>
      <c r="G3832" s="410" t="s">
        <v>170</v>
      </c>
      <c r="H3832" s="411">
        <v>4.4999999999999998E-2</v>
      </c>
      <c r="I3832" s="412">
        <f>'BAHAN '!G59</f>
        <v>0</v>
      </c>
      <c r="J3832" s="16">
        <f>H3832*I3832</f>
        <v>0</v>
      </c>
    </row>
    <row r="3833" spans="1:10" ht="13.5" thickBot="1">
      <c r="A3833" s="27"/>
      <c r="B3833" s="110"/>
      <c r="D3833" s="417"/>
      <c r="E3833" s="418"/>
      <c r="F3833" s="418"/>
      <c r="G3833" s="419"/>
      <c r="H3833" s="420" t="s">
        <v>64</v>
      </c>
      <c r="I3833" s="421"/>
      <c r="J3833" s="396">
        <f>SUM(J3829:J3832)</f>
        <v>0</v>
      </c>
    </row>
    <row r="3834" spans="1:10" ht="13.5" thickBot="1">
      <c r="A3834" s="27"/>
      <c r="B3834" s="110"/>
      <c r="D3834" s="406" t="s">
        <v>65</v>
      </c>
      <c r="E3834" s="13" t="s">
        <v>66</v>
      </c>
      <c r="F3834" s="14"/>
      <c r="G3834" s="15"/>
      <c r="H3834" s="451"/>
      <c r="I3834" s="412">
        <f>IF(AND(E3834&lt;&gt;"",G3834&lt;&gt;""),IF(D3834="",IF(G3834="OH",VLOOKUP(E3834,UPAH!$C$4:$H$31,7,0),VLOOKUP(E3834,#REF!,4,0)),0),0)</f>
        <v>0</v>
      </c>
      <c r="J3834" s="16">
        <f>H3834*I3834</f>
        <v>0</v>
      </c>
    </row>
    <row r="3835" spans="1:10" ht="13.5" thickBot="1">
      <c r="A3835" s="27"/>
      <c r="B3835" s="110"/>
      <c r="D3835" s="417"/>
      <c r="E3835" s="418"/>
      <c r="F3835" s="418"/>
      <c r="G3835" s="419"/>
      <c r="H3835" s="420" t="s">
        <v>67</v>
      </c>
      <c r="I3835" s="421"/>
      <c r="J3835" s="396">
        <f>J3834</f>
        <v>0</v>
      </c>
    </row>
    <row r="3836" spans="1:10" ht="13">
      <c r="A3836" s="27"/>
      <c r="B3836" s="110"/>
      <c r="D3836" s="444" t="s">
        <v>68</v>
      </c>
      <c r="E3836" s="445" t="s">
        <v>69</v>
      </c>
      <c r="F3836" s="446"/>
      <c r="G3836" s="447"/>
      <c r="H3836" s="448"/>
      <c r="I3836" s="449">
        <f>IF(AND(E3836&lt;&gt;"",G3836&lt;&gt;""),IF(D3836="",IF(G3836="OH",VLOOKUP(E3836,UPAH!$C$4:$H$31,7,0),VLOOKUP(E3836,#REF!,4,0)),0),0)</f>
        <v>0</v>
      </c>
      <c r="J3836" s="16">
        <f>SUM(J3823:J3835)/2</f>
        <v>0</v>
      </c>
    </row>
    <row r="3837" spans="1:10" ht="13.5" thickBot="1">
      <c r="A3837" s="27"/>
      <c r="B3837" s="110"/>
      <c r="D3837" s="431" t="s">
        <v>70</v>
      </c>
      <c r="E3837" s="432" t="s">
        <v>477</v>
      </c>
      <c r="F3837" s="433"/>
      <c r="G3837" s="434"/>
      <c r="H3837" s="22">
        <v>0.1</v>
      </c>
      <c r="I3837" s="436"/>
      <c r="J3837" s="430">
        <f>H3837*J3836</f>
        <v>0</v>
      </c>
    </row>
    <row r="3838" spans="1:10" ht="13.5" thickBot="1">
      <c r="A3838" s="27"/>
      <c r="B3838" s="110"/>
      <c r="D3838" s="401" t="s">
        <v>71</v>
      </c>
      <c r="E3838" s="402" t="s">
        <v>72</v>
      </c>
      <c r="F3838" s="418"/>
      <c r="G3838" s="419"/>
      <c r="H3838" s="442"/>
      <c r="I3838" s="421">
        <f>IF(AND(E3838&lt;&gt;"",G3838&lt;&gt;""),IF(D3838="",IF(G3838="OH",VLOOKUP(E3838,UPAH!$C$4:$H$31,7,0),VLOOKUP(E3838,#REF!,4,0)),0),0)</f>
        <v>0</v>
      </c>
      <c r="J3838" s="396">
        <f>ROUNDDOWN(J3836+J3837,0)</f>
        <v>0</v>
      </c>
    </row>
    <row r="3839" spans="1:10" ht="13">
      <c r="A3839" s="27"/>
      <c r="B3839" s="110"/>
      <c r="D3839" s="11"/>
      <c r="E3839" s="11"/>
      <c r="H3839" s="443"/>
    </row>
    <row r="3840" spans="1:10" ht="13.5" thickBot="1">
      <c r="A3840" s="27"/>
      <c r="B3840" s="110"/>
      <c r="C3840" s="11" t="s">
        <v>860</v>
      </c>
      <c r="D3840" s="10" t="s">
        <v>861</v>
      </c>
      <c r="H3840" s="443"/>
    </row>
    <row r="3841" spans="1:10" ht="13.5" thickBot="1">
      <c r="A3841" s="27"/>
      <c r="B3841" s="110"/>
      <c r="D3841" s="401" t="s">
        <v>40</v>
      </c>
      <c r="E3841" s="402" t="s">
        <v>41</v>
      </c>
      <c r="F3841" s="402" t="s">
        <v>42</v>
      </c>
      <c r="G3841" s="403" t="s">
        <v>43</v>
      </c>
      <c r="H3841" s="404" t="s">
        <v>44</v>
      </c>
      <c r="I3841" s="402" t="s">
        <v>474</v>
      </c>
      <c r="J3841" s="405" t="s">
        <v>475</v>
      </c>
    </row>
    <row r="3842" spans="1:10" ht="13">
      <c r="A3842" s="27"/>
      <c r="B3842" s="110"/>
      <c r="D3842" s="406" t="s">
        <v>45</v>
      </c>
      <c r="E3842" s="13" t="s">
        <v>46</v>
      </c>
      <c r="F3842" s="14"/>
      <c r="G3842" s="15"/>
      <c r="H3842" s="451"/>
      <c r="I3842" s="412"/>
      <c r="J3842" s="16"/>
    </row>
    <row r="3843" spans="1:10" ht="13">
      <c r="A3843" s="27"/>
      <c r="B3843" s="110"/>
      <c r="D3843" s="409"/>
      <c r="E3843" s="13" t="s">
        <v>47</v>
      </c>
      <c r="F3843" s="13" t="s">
        <v>1918</v>
      </c>
      <c r="G3843" s="410" t="s">
        <v>48</v>
      </c>
      <c r="H3843" s="411">
        <v>0.26</v>
      </c>
      <c r="I3843" s="412">
        <f>IF(AND(E3843&lt;&gt;"",G3843&lt;&gt;""),IF(D3843="",IF(G3843="OH",VLOOKUP(F3843,UPAH!$B$4:$H$101,7,0),VLOOKUP(F3843,#REF!,4,0)),0),0)</f>
        <v>0</v>
      </c>
      <c r="J3843" s="16">
        <f>H3843*I3843</f>
        <v>0</v>
      </c>
    </row>
    <row r="3844" spans="1:10" ht="13">
      <c r="A3844" s="27"/>
      <c r="B3844" s="110"/>
      <c r="D3844" s="409"/>
      <c r="E3844" s="13" t="s">
        <v>115</v>
      </c>
      <c r="F3844" s="13" t="s">
        <v>1921</v>
      </c>
      <c r="G3844" s="410" t="s">
        <v>48</v>
      </c>
      <c r="H3844" s="411">
        <v>0.13</v>
      </c>
      <c r="I3844" s="412">
        <f>IF(AND(E3844&lt;&gt;"",G3844&lt;&gt;""),IF(D3844="",IF(G3844="OH",VLOOKUP(F3844,UPAH!$B$4:$H$101,7,0),VLOOKUP(F3844,#REF!,4,0)),0),0)</f>
        <v>0</v>
      </c>
      <c r="J3844" s="16">
        <f>H3844*I3844</f>
        <v>0</v>
      </c>
    </row>
    <row r="3845" spans="1:10" ht="13">
      <c r="A3845" s="27"/>
      <c r="B3845" s="110"/>
      <c r="D3845" s="409"/>
      <c r="E3845" s="13" t="s">
        <v>50</v>
      </c>
      <c r="F3845" s="13" t="s">
        <v>1928</v>
      </c>
      <c r="G3845" s="410" t="s">
        <v>48</v>
      </c>
      <c r="H3845" s="411">
        <v>1.2999999999999999E-2</v>
      </c>
      <c r="I3845" s="412">
        <f>IF(AND(E3845&lt;&gt;"",G3845&lt;&gt;""),IF(D3845="",IF(G3845="OH",VLOOKUP(F3845,UPAH!$B$4:$H$101,7,0),VLOOKUP(F3845,#REF!,4,0)),0),0)</f>
        <v>0</v>
      </c>
      <c r="J3845" s="16">
        <f>H3845*I3845</f>
        <v>0</v>
      </c>
    </row>
    <row r="3846" spans="1:10" ht="13.5" thickBot="1">
      <c r="A3846" s="27"/>
      <c r="B3846" s="110"/>
      <c r="D3846" s="409"/>
      <c r="E3846" s="13" t="s">
        <v>51</v>
      </c>
      <c r="F3846" s="13" t="s">
        <v>1929</v>
      </c>
      <c r="G3846" s="410" t="s">
        <v>48</v>
      </c>
      <c r="H3846" s="411">
        <v>1.2999999999999999E-2</v>
      </c>
      <c r="I3846" s="412">
        <f>IF(AND(E3846&lt;&gt;"",G3846&lt;&gt;""),IF(D3846="",IF(G3846="OH",VLOOKUP(F3846,UPAH!$B$4:$H$101,7,0),VLOOKUP(F3846,#REF!,4,0)),0),0)</f>
        <v>0</v>
      </c>
      <c r="J3846" s="16">
        <f>H3846*I3846</f>
        <v>0</v>
      </c>
    </row>
    <row r="3847" spans="1:10" ht="13.5" thickBot="1">
      <c r="A3847" s="27"/>
      <c r="B3847" s="110"/>
      <c r="D3847" s="417"/>
      <c r="E3847" s="418"/>
      <c r="F3847" s="418"/>
      <c r="G3847" s="419"/>
      <c r="H3847" s="420" t="s">
        <v>52</v>
      </c>
      <c r="I3847" s="421"/>
      <c r="J3847" s="396">
        <f>SUM(J3843:J3846)</f>
        <v>0</v>
      </c>
    </row>
    <row r="3848" spans="1:10" ht="13">
      <c r="A3848" s="27"/>
      <c r="B3848" s="110"/>
      <c r="D3848" s="406" t="s">
        <v>53</v>
      </c>
      <c r="E3848" s="13" t="s">
        <v>54</v>
      </c>
      <c r="F3848" s="14"/>
      <c r="G3848" s="15"/>
      <c r="H3848" s="451"/>
      <c r="I3848" s="412"/>
      <c r="J3848" s="16"/>
    </row>
    <row r="3849" spans="1:10" ht="13">
      <c r="A3849" s="27"/>
      <c r="B3849" s="110"/>
      <c r="D3849" s="409"/>
      <c r="E3849" s="13" t="s">
        <v>877</v>
      </c>
      <c r="F3849" s="14"/>
      <c r="G3849" s="410" t="s">
        <v>87</v>
      </c>
      <c r="H3849" s="411">
        <v>11.87</v>
      </c>
      <c r="I3849" s="412">
        <f>'BAHAN '!G263</f>
        <v>0</v>
      </c>
      <c r="J3849" s="16">
        <f>H3849*I3849</f>
        <v>0</v>
      </c>
    </row>
    <row r="3850" spans="1:10" ht="13">
      <c r="A3850" s="27"/>
      <c r="B3850" s="110"/>
      <c r="D3850" s="409"/>
      <c r="E3850" s="13" t="s">
        <v>56</v>
      </c>
      <c r="F3850" s="14"/>
      <c r="G3850" s="410" t="s">
        <v>93</v>
      </c>
      <c r="H3850" s="411">
        <v>10</v>
      </c>
      <c r="I3850" s="412">
        <f>'BAHAN '!G72</f>
        <v>0</v>
      </c>
      <c r="J3850" s="16">
        <f>H3850*I3850</f>
        <v>0</v>
      </c>
    </row>
    <row r="3851" spans="1:10" ht="13">
      <c r="A3851" s="27"/>
      <c r="B3851" s="110"/>
      <c r="D3851" s="409"/>
      <c r="E3851" s="13" t="s">
        <v>442</v>
      </c>
      <c r="F3851" s="14"/>
      <c r="G3851" s="410" t="s">
        <v>57</v>
      </c>
      <c r="H3851" s="411">
        <v>1.5</v>
      </c>
      <c r="I3851" s="412">
        <f>'BAHAN '!G74</f>
        <v>0</v>
      </c>
      <c r="J3851" s="16">
        <f>H3851*I3851</f>
        <v>0</v>
      </c>
    </row>
    <row r="3852" spans="1:10" ht="13.5" thickBot="1">
      <c r="A3852" s="27"/>
      <c r="B3852" s="110"/>
      <c r="D3852" s="409"/>
      <c r="E3852" s="13" t="s">
        <v>101</v>
      </c>
      <c r="F3852" s="14"/>
      <c r="G3852" s="410" t="s">
        <v>170</v>
      </c>
      <c r="H3852" s="411">
        <v>4.4999999999999998E-2</v>
      </c>
      <c r="I3852" s="412">
        <f>'BAHAN '!G59</f>
        <v>0</v>
      </c>
      <c r="J3852" s="16">
        <f>H3852*I3852</f>
        <v>0</v>
      </c>
    </row>
    <row r="3853" spans="1:10" ht="13.5" thickBot="1">
      <c r="A3853" s="27"/>
      <c r="B3853" s="110"/>
      <c r="D3853" s="417"/>
      <c r="E3853" s="418"/>
      <c r="F3853" s="418"/>
      <c r="G3853" s="419"/>
      <c r="H3853" s="420" t="s">
        <v>64</v>
      </c>
      <c r="I3853" s="421"/>
      <c r="J3853" s="396">
        <f>SUM(J3849:J3852)</f>
        <v>0</v>
      </c>
    </row>
    <row r="3854" spans="1:10" ht="13.5" thickBot="1">
      <c r="A3854" s="27"/>
      <c r="B3854" s="110"/>
      <c r="D3854" s="406" t="s">
        <v>65</v>
      </c>
      <c r="E3854" s="13" t="s">
        <v>66</v>
      </c>
      <c r="F3854" s="14"/>
      <c r="G3854" s="15"/>
      <c r="H3854" s="451"/>
      <c r="I3854" s="412">
        <f>IF(AND(E3854&lt;&gt;"",G3854&lt;&gt;""),IF(D3854="",IF(G3854="OH",VLOOKUP(E3854,UPAH!$C$4:$H$31,7,0),VLOOKUP(E3854,#REF!,4,0)),0),0)</f>
        <v>0</v>
      </c>
      <c r="J3854" s="16">
        <f>H3854*I3854</f>
        <v>0</v>
      </c>
    </row>
    <row r="3855" spans="1:10" ht="13.5" thickBot="1">
      <c r="A3855" s="27"/>
      <c r="B3855" s="110"/>
      <c r="D3855" s="417"/>
      <c r="E3855" s="418"/>
      <c r="F3855" s="418"/>
      <c r="G3855" s="419"/>
      <c r="H3855" s="420" t="s">
        <v>67</v>
      </c>
      <c r="I3855" s="421"/>
      <c r="J3855" s="396">
        <f>J3854</f>
        <v>0</v>
      </c>
    </row>
    <row r="3856" spans="1:10" ht="13">
      <c r="A3856" s="27"/>
      <c r="B3856" s="110"/>
      <c r="D3856" s="444" t="s">
        <v>68</v>
      </c>
      <c r="E3856" s="445" t="s">
        <v>69</v>
      </c>
      <c r="F3856" s="446"/>
      <c r="G3856" s="447"/>
      <c r="H3856" s="448"/>
      <c r="I3856" s="449">
        <f>IF(AND(E3856&lt;&gt;"",G3856&lt;&gt;""),IF(D3856="",IF(G3856="OH",VLOOKUP(E3856,UPAH!$C$4:$H$31,7,0),VLOOKUP(E3856,#REF!,4,0)),0),0)</f>
        <v>0</v>
      </c>
      <c r="J3856" s="16">
        <f>SUM(J3843:J3855)/2</f>
        <v>0</v>
      </c>
    </row>
    <row r="3857" spans="1:10" ht="13.5" thickBot="1">
      <c r="A3857" s="27"/>
      <c r="B3857" s="110"/>
      <c r="D3857" s="431" t="s">
        <v>70</v>
      </c>
      <c r="E3857" s="432" t="s">
        <v>477</v>
      </c>
      <c r="F3857" s="433"/>
      <c r="G3857" s="434"/>
      <c r="H3857" s="22">
        <v>0.1</v>
      </c>
      <c r="I3857" s="436"/>
      <c r="J3857" s="430">
        <f>H3857*J3856</f>
        <v>0</v>
      </c>
    </row>
    <row r="3858" spans="1:10" ht="13.5" thickBot="1">
      <c r="A3858" s="27"/>
      <c r="B3858" s="110"/>
      <c r="D3858" s="401" t="s">
        <v>71</v>
      </c>
      <c r="E3858" s="402" t="s">
        <v>72</v>
      </c>
      <c r="F3858" s="418"/>
      <c r="G3858" s="419"/>
      <c r="H3858" s="442"/>
      <c r="I3858" s="421">
        <f>IF(AND(E3858&lt;&gt;"",G3858&lt;&gt;""),IF(D3858="",IF(G3858="OH",VLOOKUP(E3858,UPAH!$C$4:$H$31,7,0),VLOOKUP(E3858,#REF!,4,0)),0),0)</f>
        <v>0</v>
      </c>
      <c r="J3858" s="396">
        <f>ROUNDDOWN(J3856+J3857,0)</f>
        <v>0</v>
      </c>
    </row>
    <row r="3859" spans="1:10" ht="13">
      <c r="A3859" s="27"/>
      <c r="B3859" s="110"/>
      <c r="D3859" s="11"/>
      <c r="E3859" s="11"/>
      <c r="H3859" s="443"/>
    </row>
    <row r="3860" spans="1:10" ht="13.5" thickBot="1">
      <c r="A3860" s="27"/>
      <c r="B3860" s="110"/>
      <c r="C3860" s="11" t="s">
        <v>862</v>
      </c>
      <c r="D3860" s="10" t="s">
        <v>863</v>
      </c>
      <c r="H3860" s="443"/>
    </row>
    <row r="3861" spans="1:10" ht="13.5" thickBot="1">
      <c r="A3861" s="27"/>
      <c r="B3861" s="110"/>
      <c r="D3861" s="401" t="s">
        <v>40</v>
      </c>
      <c r="E3861" s="402" t="s">
        <v>41</v>
      </c>
      <c r="F3861" s="402" t="s">
        <v>42</v>
      </c>
      <c r="G3861" s="403" t="s">
        <v>43</v>
      </c>
      <c r="H3861" s="404" t="s">
        <v>44</v>
      </c>
      <c r="I3861" s="402" t="s">
        <v>474</v>
      </c>
      <c r="J3861" s="405" t="s">
        <v>475</v>
      </c>
    </row>
    <row r="3862" spans="1:10" ht="13">
      <c r="A3862" s="27"/>
      <c r="B3862" s="110"/>
      <c r="D3862" s="406" t="s">
        <v>45</v>
      </c>
      <c r="E3862" s="13" t="s">
        <v>46</v>
      </c>
      <c r="F3862" s="14"/>
      <c r="G3862" s="15"/>
      <c r="H3862" s="451"/>
      <c r="I3862" s="412"/>
      <c r="J3862" s="16"/>
    </row>
    <row r="3863" spans="1:10" ht="13">
      <c r="A3863" s="27"/>
      <c r="B3863" s="110"/>
      <c r="D3863" s="409"/>
      <c r="E3863" s="13" t="s">
        <v>47</v>
      </c>
      <c r="F3863" s="13" t="s">
        <v>1918</v>
      </c>
      <c r="G3863" s="410" t="s">
        <v>48</v>
      </c>
      <c r="H3863" s="411">
        <v>0.25</v>
      </c>
      <c r="I3863" s="412">
        <f>IF(AND(E3863&lt;&gt;"",G3863&lt;&gt;""),IF(D3863="",IF(G3863="OH",VLOOKUP(F3863,UPAH!$B$4:$H$101,7,0),VLOOKUP(F3863,#REF!,4,0)),0),0)</f>
        <v>0</v>
      </c>
      <c r="J3863" s="16">
        <f>H3863*I3863</f>
        <v>0</v>
      </c>
    </row>
    <row r="3864" spans="1:10" ht="13">
      <c r="A3864" s="27"/>
      <c r="B3864" s="110"/>
      <c r="D3864" s="409"/>
      <c r="E3864" s="13" t="s">
        <v>115</v>
      </c>
      <c r="F3864" s="13" t="s">
        <v>1921</v>
      </c>
      <c r="G3864" s="410" t="s">
        <v>48</v>
      </c>
      <c r="H3864" s="411">
        <v>0.125</v>
      </c>
      <c r="I3864" s="412">
        <f>IF(AND(E3864&lt;&gt;"",G3864&lt;&gt;""),IF(D3864="",IF(G3864="OH",VLOOKUP(F3864,UPAH!$B$4:$H$101,7,0),VLOOKUP(F3864,#REF!,4,0)),0),0)</f>
        <v>0</v>
      </c>
      <c r="J3864" s="16">
        <f>H3864*I3864</f>
        <v>0</v>
      </c>
    </row>
    <row r="3865" spans="1:10" ht="13">
      <c r="A3865" s="27"/>
      <c r="B3865" s="110"/>
      <c r="D3865" s="409"/>
      <c r="E3865" s="13" t="s">
        <v>50</v>
      </c>
      <c r="F3865" s="13" t="s">
        <v>1928</v>
      </c>
      <c r="G3865" s="410" t="s">
        <v>48</v>
      </c>
      <c r="H3865" s="411">
        <v>1.2999999999999999E-2</v>
      </c>
      <c r="I3865" s="412">
        <f>IF(AND(E3865&lt;&gt;"",G3865&lt;&gt;""),IF(D3865="",IF(G3865="OH",VLOOKUP(F3865,UPAH!$B$4:$H$101,7,0),VLOOKUP(F3865,#REF!,4,0)),0),0)</f>
        <v>0</v>
      </c>
      <c r="J3865" s="16">
        <f>H3865*I3865</f>
        <v>0</v>
      </c>
    </row>
    <row r="3866" spans="1:10" ht="13.5" thickBot="1">
      <c r="A3866" s="27"/>
      <c r="B3866" s="110"/>
      <c r="D3866" s="409"/>
      <c r="E3866" s="13" t="s">
        <v>51</v>
      </c>
      <c r="F3866" s="13" t="s">
        <v>1929</v>
      </c>
      <c r="G3866" s="410" t="s">
        <v>48</v>
      </c>
      <c r="H3866" s="411">
        <v>1.2999999999999999E-2</v>
      </c>
      <c r="I3866" s="412">
        <f>IF(AND(E3866&lt;&gt;"",G3866&lt;&gt;""),IF(D3866="",IF(G3866="OH",VLOOKUP(F3866,UPAH!$B$4:$H$101,7,0),VLOOKUP(F3866,#REF!,4,0)),0),0)</f>
        <v>0</v>
      </c>
      <c r="J3866" s="16">
        <f>H3866*I3866</f>
        <v>0</v>
      </c>
    </row>
    <row r="3867" spans="1:10" ht="13.5" thickBot="1">
      <c r="A3867" s="27"/>
      <c r="B3867" s="110"/>
      <c r="D3867" s="417"/>
      <c r="E3867" s="418"/>
      <c r="F3867" s="418"/>
      <c r="G3867" s="419"/>
      <c r="H3867" s="420" t="s">
        <v>52</v>
      </c>
      <c r="I3867" s="421"/>
      <c r="J3867" s="396">
        <f>SUM(J3863:J3866)</f>
        <v>0</v>
      </c>
    </row>
    <row r="3868" spans="1:10" ht="13">
      <c r="A3868" s="27"/>
      <c r="B3868" s="110"/>
      <c r="D3868" s="406" t="s">
        <v>53</v>
      </c>
      <c r="E3868" s="13" t="s">
        <v>54</v>
      </c>
      <c r="F3868" s="14"/>
      <c r="G3868" s="15"/>
      <c r="H3868" s="451"/>
      <c r="I3868" s="412"/>
      <c r="J3868" s="16"/>
    </row>
    <row r="3869" spans="1:10" ht="13">
      <c r="A3869" s="27"/>
      <c r="B3869" s="110"/>
      <c r="D3869" s="409"/>
      <c r="E3869" s="13" t="s">
        <v>878</v>
      </c>
      <c r="F3869" s="14"/>
      <c r="G3869" s="410" t="s">
        <v>87</v>
      </c>
      <c r="H3869" s="411">
        <v>6.63</v>
      </c>
      <c r="I3869" s="412">
        <f>'BAHAN '!G304</f>
        <v>0</v>
      </c>
      <c r="J3869" s="16">
        <f>H3869*I3869</f>
        <v>0</v>
      </c>
    </row>
    <row r="3870" spans="1:10" ht="13">
      <c r="A3870" s="27"/>
      <c r="B3870" s="110"/>
      <c r="D3870" s="409"/>
      <c r="E3870" s="13" t="s">
        <v>56</v>
      </c>
      <c r="F3870" s="14"/>
      <c r="G3870" s="410" t="s">
        <v>93</v>
      </c>
      <c r="H3870" s="411">
        <v>9.8000000000000007</v>
      </c>
      <c r="I3870" s="412">
        <f>'BAHAN '!G72</f>
        <v>0</v>
      </c>
      <c r="J3870" s="16">
        <f>H3870*I3870</f>
        <v>0</v>
      </c>
    </row>
    <row r="3871" spans="1:10" ht="13">
      <c r="A3871" s="27"/>
      <c r="B3871" s="110"/>
      <c r="D3871" s="409"/>
      <c r="E3871" s="13" t="s">
        <v>442</v>
      </c>
      <c r="F3871" s="14"/>
      <c r="G3871" s="410" t="s">
        <v>57</v>
      </c>
      <c r="H3871" s="411">
        <v>1.3</v>
      </c>
      <c r="I3871" s="412">
        <f>'BAHAN '!G74</f>
        <v>0</v>
      </c>
      <c r="J3871" s="16">
        <f>H3871*I3871</f>
        <v>0</v>
      </c>
    </row>
    <row r="3872" spans="1:10" ht="13.5" thickBot="1">
      <c r="A3872" s="27"/>
      <c r="B3872" s="110"/>
      <c r="D3872" s="409"/>
      <c r="E3872" s="13" t="s">
        <v>101</v>
      </c>
      <c r="F3872" s="14"/>
      <c r="G3872" s="410" t="s">
        <v>170</v>
      </c>
      <c r="H3872" s="411">
        <v>4.4999999999999998E-2</v>
      </c>
      <c r="I3872" s="412">
        <f>'BAHAN '!G59</f>
        <v>0</v>
      </c>
      <c r="J3872" s="16">
        <f>H3872*I3872</f>
        <v>0</v>
      </c>
    </row>
    <row r="3873" spans="1:10" ht="13.5" thickBot="1">
      <c r="A3873" s="27"/>
      <c r="B3873" s="110"/>
      <c r="D3873" s="417"/>
      <c r="E3873" s="418"/>
      <c r="F3873" s="418"/>
      <c r="G3873" s="419"/>
      <c r="H3873" s="420" t="s">
        <v>64</v>
      </c>
      <c r="I3873" s="421"/>
      <c r="J3873" s="396">
        <f>SUM(J3869:J3872)</f>
        <v>0</v>
      </c>
    </row>
    <row r="3874" spans="1:10" ht="13.5" thickBot="1">
      <c r="A3874" s="27"/>
      <c r="B3874" s="110"/>
      <c r="D3874" s="406" t="s">
        <v>65</v>
      </c>
      <c r="E3874" s="13" t="s">
        <v>66</v>
      </c>
      <c r="F3874" s="14"/>
      <c r="G3874" s="15"/>
      <c r="H3874" s="451"/>
      <c r="I3874" s="412">
        <f>IF(AND(E3874&lt;&gt;"",G3874&lt;&gt;""),IF(D3874="",IF(G3874="OH",VLOOKUP(E3874,UPAH!$C$4:$H$31,7,0),VLOOKUP(E3874,#REF!,4,0)),0),0)</f>
        <v>0</v>
      </c>
      <c r="J3874" s="16">
        <f>H3874*I3874</f>
        <v>0</v>
      </c>
    </row>
    <row r="3875" spans="1:10" ht="13.5" thickBot="1">
      <c r="A3875" s="27"/>
      <c r="B3875" s="110"/>
      <c r="D3875" s="417"/>
      <c r="E3875" s="418"/>
      <c r="F3875" s="418"/>
      <c r="G3875" s="419"/>
      <c r="H3875" s="420" t="s">
        <v>67</v>
      </c>
      <c r="I3875" s="421"/>
      <c r="J3875" s="396">
        <f>J3874</f>
        <v>0</v>
      </c>
    </row>
    <row r="3876" spans="1:10" ht="13">
      <c r="A3876" s="27"/>
      <c r="B3876" s="110"/>
      <c r="D3876" s="444" t="s">
        <v>68</v>
      </c>
      <c r="E3876" s="445" t="s">
        <v>69</v>
      </c>
      <c r="F3876" s="446"/>
      <c r="G3876" s="447"/>
      <c r="H3876" s="448"/>
      <c r="I3876" s="449">
        <f>IF(AND(E3876&lt;&gt;"",G3876&lt;&gt;""),IF(D3876="",IF(G3876="OH",VLOOKUP(E3876,UPAH!$C$4:$H$31,7,0),VLOOKUP(E3876,#REF!,4,0)),0),0)</f>
        <v>0</v>
      </c>
      <c r="J3876" s="16">
        <f>SUM(J3863:J3875)/2</f>
        <v>0</v>
      </c>
    </row>
    <row r="3877" spans="1:10" ht="13.5" thickBot="1">
      <c r="A3877" s="27"/>
      <c r="B3877" s="110"/>
      <c r="D3877" s="431" t="s">
        <v>70</v>
      </c>
      <c r="E3877" s="432" t="s">
        <v>477</v>
      </c>
      <c r="F3877" s="433"/>
      <c r="G3877" s="434"/>
      <c r="H3877" s="22">
        <v>0.1</v>
      </c>
      <c r="I3877" s="436"/>
      <c r="J3877" s="430">
        <f>H3877*J3876</f>
        <v>0</v>
      </c>
    </row>
    <row r="3878" spans="1:10" ht="13.5" thickBot="1">
      <c r="A3878" s="27"/>
      <c r="B3878" s="110"/>
      <c r="D3878" s="401" t="s">
        <v>71</v>
      </c>
      <c r="E3878" s="402" t="s">
        <v>72</v>
      </c>
      <c r="F3878" s="418"/>
      <c r="G3878" s="419"/>
      <c r="H3878" s="442"/>
      <c r="I3878" s="421">
        <f>IF(AND(E3878&lt;&gt;"",G3878&lt;&gt;""),IF(D3878="",IF(G3878="OH",VLOOKUP(E3878,UPAH!$C$4:$H$31,7,0),VLOOKUP(E3878,#REF!,4,0)),0),0)</f>
        <v>0</v>
      </c>
      <c r="J3878" s="396">
        <f>ROUNDDOWN(J3876+J3877,0)</f>
        <v>0</v>
      </c>
    </row>
    <row r="3879" spans="1:10" ht="13">
      <c r="A3879" s="27"/>
      <c r="B3879" s="110"/>
      <c r="D3879" s="11"/>
      <c r="E3879" s="11"/>
      <c r="H3879" s="443"/>
    </row>
    <row r="3880" spans="1:10" ht="13.5" thickBot="1">
      <c r="A3880" s="27"/>
      <c r="B3880" s="110"/>
      <c r="C3880" s="11" t="s">
        <v>879</v>
      </c>
      <c r="D3880" s="10" t="s">
        <v>880</v>
      </c>
      <c r="H3880" s="443"/>
    </row>
    <row r="3881" spans="1:10" ht="13.5" thickBot="1">
      <c r="A3881" s="27"/>
      <c r="B3881" s="110"/>
      <c r="D3881" s="401" t="s">
        <v>40</v>
      </c>
      <c r="E3881" s="402" t="s">
        <v>41</v>
      </c>
      <c r="F3881" s="402" t="s">
        <v>42</v>
      </c>
      <c r="G3881" s="403" t="s">
        <v>43</v>
      </c>
      <c r="H3881" s="404" t="s">
        <v>44</v>
      </c>
      <c r="I3881" s="402" t="s">
        <v>474</v>
      </c>
      <c r="J3881" s="405" t="s">
        <v>475</v>
      </c>
    </row>
    <row r="3882" spans="1:10" ht="13">
      <c r="A3882" s="27"/>
      <c r="B3882" s="110"/>
      <c r="D3882" s="406" t="s">
        <v>45</v>
      </c>
      <c r="E3882" s="13" t="s">
        <v>46</v>
      </c>
      <c r="F3882" s="14"/>
      <c r="G3882" s="15"/>
      <c r="H3882" s="451"/>
      <c r="I3882" s="412"/>
      <c r="J3882" s="16"/>
    </row>
    <row r="3883" spans="1:10" ht="13">
      <c r="A3883" s="27"/>
      <c r="B3883" s="110"/>
      <c r="D3883" s="409"/>
      <c r="E3883" s="13" t="s">
        <v>47</v>
      </c>
      <c r="F3883" s="13" t="s">
        <v>1918</v>
      </c>
      <c r="G3883" s="410" t="s">
        <v>48</v>
      </c>
      <c r="H3883" s="411">
        <v>0.26</v>
      </c>
      <c r="I3883" s="412">
        <f>IF(AND(E3883&lt;&gt;"",G3883&lt;&gt;""),IF(D3883="",IF(G3883="OH",VLOOKUP(F3883,UPAH!$B$4:$H$101,7,0),VLOOKUP(F3883,#REF!,4,0)),0),0)</f>
        <v>0</v>
      </c>
      <c r="J3883" s="16">
        <f>H3883*I3883</f>
        <v>0</v>
      </c>
    </row>
    <row r="3884" spans="1:10" ht="13">
      <c r="A3884" s="27"/>
      <c r="B3884" s="110"/>
      <c r="D3884" s="409"/>
      <c r="E3884" s="13" t="s">
        <v>115</v>
      </c>
      <c r="F3884" s="13" t="s">
        <v>1921</v>
      </c>
      <c r="G3884" s="410" t="s">
        <v>48</v>
      </c>
      <c r="H3884" s="411">
        <v>0.13</v>
      </c>
      <c r="I3884" s="412">
        <f>IF(AND(E3884&lt;&gt;"",G3884&lt;&gt;""),IF(D3884="",IF(G3884="OH",VLOOKUP(F3884,UPAH!$B$4:$H$101,7,0),VLOOKUP(F3884,#REF!,4,0)),0),0)</f>
        <v>0</v>
      </c>
      <c r="J3884" s="16">
        <f>H3884*I3884</f>
        <v>0</v>
      </c>
    </row>
    <row r="3885" spans="1:10" ht="13">
      <c r="A3885" s="27"/>
      <c r="B3885" s="110"/>
      <c r="D3885" s="409"/>
      <c r="E3885" s="13" t="s">
        <v>50</v>
      </c>
      <c r="F3885" s="13" t="s">
        <v>1928</v>
      </c>
      <c r="G3885" s="410" t="s">
        <v>48</v>
      </c>
      <c r="H3885" s="411">
        <v>1.2999999999999999E-2</v>
      </c>
      <c r="I3885" s="412">
        <f>IF(AND(E3885&lt;&gt;"",G3885&lt;&gt;""),IF(D3885="",IF(G3885="OH",VLOOKUP(F3885,UPAH!$B$4:$H$101,7,0),VLOOKUP(F3885,#REF!,4,0)),0),0)</f>
        <v>0</v>
      </c>
      <c r="J3885" s="16">
        <f>H3885*I3885</f>
        <v>0</v>
      </c>
    </row>
    <row r="3886" spans="1:10" ht="13.5" thickBot="1">
      <c r="A3886" s="27"/>
      <c r="B3886" s="110"/>
      <c r="D3886" s="409"/>
      <c r="E3886" s="13" t="s">
        <v>51</v>
      </c>
      <c r="F3886" s="13" t="s">
        <v>1929</v>
      </c>
      <c r="G3886" s="410" t="s">
        <v>48</v>
      </c>
      <c r="H3886" s="411">
        <v>1.2999999999999999E-2</v>
      </c>
      <c r="I3886" s="412">
        <f>IF(AND(E3886&lt;&gt;"",G3886&lt;&gt;""),IF(D3886="",IF(G3886="OH",VLOOKUP(F3886,UPAH!$B$4:$H$101,7,0),VLOOKUP(F3886,#REF!,4,0)),0),0)</f>
        <v>0</v>
      </c>
      <c r="J3886" s="16">
        <f>H3886*I3886</f>
        <v>0</v>
      </c>
    </row>
    <row r="3887" spans="1:10" ht="13.5" thickBot="1">
      <c r="A3887" s="27"/>
      <c r="B3887" s="110"/>
      <c r="D3887" s="417"/>
      <c r="E3887" s="418"/>
      <c r="F3887" s="418"/>
      <c r="G3887" s="419"/>
      <c r="H3887" s="420" t="s">
        <v>52</v>
      </c>
      <c r="I3887" s="421"/>
      <c r="J3887" s="396">
        <f>SUM(J3883:J3886)</f>
        <v>0</v>
      </c>
    </row>
    <row r="3888" spans="1:10" ht="13">
      <c r="A3888" s="27"/>
      <c r="B3888" s="110"/>
      <c r="D3888" s="406" t="s">
        <v>53</v>
      </c>
      <c r="E3888" s="13" t="s">
        <v>54</v>
      </c>
      <c r="F3888" s="14"/>
      <c r="G3888" s="15"/>
      <c r="H3888" s="451"/>
      <c r="I3888" s="412"/>
      <c r="J3888" s="16"/>
    </row>
    <row r="3889" spans="1:10" ht="13">
      <c r="A3889" s="27"/>
      <c r="B3889" s="110"/>
      <c r="D3889" s="409"/>
      <c r="E3889" s="13" t="s">
        <v>881</v>
      </c>
      <c r="F3889" s="14"/>
      <c r="G3889" s="410" t="s">
        <v>87</v>
      </c>
      <c r="H3889" s="411">
        <v>11.87</v>
      </c>
      <c r="I3889" s="412">
        <f>'BAHAN '!G302</f>
        <v>0</v>
      </c>
      <c r="J3889" s="16">
        <f>H3889*I3889</f>
        <v>0</v>
      </c>
    </row>
    <row r="3890" spans="1:10" ht="13">
      <c r="A3890" s="27"/>
      <c r="B3890" s="110"/>
      <c r="D3890" s="409"/>
      <c r="E3890" s="13" t="s">
        <v>56</v>
      </c>
      <c r="F3890" s="14"/>
      <c r="G3890" s="410" t="s">
        <v>93</v>
      </c>
      <c r="H3890" s="411">
        <v>10</v>
      </c>
      <c r="I3890" s="412">
        <f>'BAHAN '!G72</f>
        <v>0</v>
      </c>
      <c r="J3890" s="16">
        <f>H3890*I3890</f>
        <v>0</v>
      </c>
    </row>
    <row r="3891" spans="1:10" ht="13">
      <c r="A3891" s="27"/>
      <c r="B3891" s="110"/>
      <c r="D3891" s="409"/>
      <c r="E3891" s="13" t="s">
        <v>442</v>
      </c>
      <c r="F3891" s="14"/>
      <c r="G3891" s="410" t="s">
        <v>57</v>
      </c>
      <c r="H3891" s="411">
        <v>1.5</v>
      </c>
      <c r="I3891" s="412">
        <f>'BAHAN '!G74</f>
        <v>0</v>
      </c>
      <c r="J3891" s="16">
        <f>H3891*I3891</f>
        <v>0</v>
      </c>
    </row>
    <row r="3892" spans="1:10" ht="13.5" thickBot="1">
      <c r="A3892" s="27"/>
      <c r="B3892" s="110"/>
      <c r="D3892" s="409"/>
      <c r="E3892" s="13" t="s">
        <v>101</v>
      </c>
      <c r="F3892" s="14"/>
      <c r="G3892" s="410" t="s">
        <v>170</v>
      </c>
      <c r="H3892" s="411">
        <v>4.4999999999999998E-2</v>
      </c>
      <c r="I3892" s="412">
        <f>'BAHAN '!G59</f>
        <v>0</v>
      </c>
      <c r="J3892" s="16">
        <f>H3892*I3892</f>
        <v>0</v>
      </c>
    </row>
    <row r="3893" spans="1:10" ht="13.5" thickBot="1">
      <c r="A3893" s="27"/>
      <c r="B3893" s="110"/>
      <c r="D3893" s="417"/>
      <c r="E3893" s="418"/>
      <c r="F3893" s="418"/>
      <c r="G3893" s="419"/>
      <c r="H3893" s="420" t="s">
        <v>64</v>
      </c>
      <c r="I3893" s="421"/>
      <c r="J3893" s="396">
        <f>SUM(J3889:J3892)</f>
        <v>0</v>
      </c>
    </row>
    <row r="3894" spans="1:10" ht="13.5" thickBot="1">
      <c r="A3894" s="27"/>
      <c r="B3894" s="110"/>
      <c r="D3894" s="406" t="s">
        <v>65</v>
      </c>
      <c r="E3894" s="13" t="s">
        <v>66</v>
      </c>
      <c r="F3894" s="14"/>
      <c r="G3894" s="15"/>
      <c r="H3894" s="451"/>
      <c r="I3894" s="412">
        <f>IF(AND(E3894&lt;&gt;"",G3894&lt;&gt;""),IF(D3894="",IF(G3894="OH",VLOOKUP(E3894,UPAH!$C$4:$H$31,7,0),VLOOKUP(E3894,#REF!,4,0)),0),0)</f>
        <v>0</v>
      </c>
      <c r="J3894" s="16">
        <f>H3894*I3894</f>
        <v>0</v>
      </c>
    </row>
    <row r="3895" spans="1:10" ht="13.5" thickBot="1">
      <c r="A3895" s="27"/>
      <c r="B3895" s="110"/>
      <c r="D3895" s="417"/>
      <c r="E3895" s="418"/>
      <c r="F3895" s="418"/>
      <c r="G3895" s="419"/>
      <c r="H3895" s="420" t="s">
        <v>67</v>
      </c>
      <c r="I3895" s="421"/>
      <c r="J3895" s="396">
        <f>J3894</f>
        <v>0</v>
      </c>
    </row>
    <row r="3896" spans="1:10" ht="13">
      <c r="A3896" s="27"/>
      <c r="B3896" s="110"/>
      <c r="D3896" s="444" t="s">
        <v>68</v>
      </c>
      <c r="E3896" s="445" t="s">
        <v>69</v>
      </c>
      <c r="F3896" s="446"/>
      <c r="G3896" s="447"/>
      <c r="H3896" s="448"/>
      <c r="I3896" s="449">
        <f>IF(AND(E3896&lt;&gt;"",G3896&lt;&gt;""),IF(D3896="",IF(G3896="OH",VLOOKUP(E3896,UPAH!$C$4:$H$31,7,0),VLOOKUP(E3896,#REF!,4,0)),0),0)</f>
        <v>0</v>
      </c>
      <c r="J3896" s="16">
        <f>SUM(J3883:J3895)/2</f>
        <v>0</v>
      </c>
    </row>
    <row r="3897" spans="1:10" ht="13.5" thickBot="1">
      <c r="A3897" s="27"/>
      <c r="B3897" s="110"/>
      <c r="D3897" s="431" t="s">
        <v>70</v>
      </c>
      <c r="E3897" s="432" t="s">
        <v>477</v>
      </c>
      <c r="F3897" s="433"/>
      <c r="G3897" s="434"/>
      <c r="H3897" s="22">
        <v>0.1</v>
      </c>
      <c r="I3897" s="436"/>
      <c r="J3897" s="430">
        <f>H3897*J3896</f>
        <v>0</v>
      </c>
    </row>
    <row r="3898" spans="1:10" ht="13.5" thickBot="1">
      <c r="A3898" s="27"/>
      <c r="B3898" s="110"/>
      <c r="D3898" s="401" t="s">
        <v>71</v>
      </c>
      <c r="E3898" s="402" t="s">
        <v>72</v>
      </c>
      <c r="F3898" s="418"/>
      <c r="G3898" s="419"/>
      <c r="H3898" s="442"/>
      <c r="I3898" s="421">
        <f>IF(AND(E3898&lt;&gt;"",G3898&lt;&gt;""),IF(D3898="",IF(G3898="OH",VLOOKUP(E3898,UPAH!$C$4:$H$31,7,0),VLOOKUP(E3898,#REF!,4,0)),0),0)</f>
        <v>0</v>
      </c>
      <c r="J3898" s="396">
        <f>ROUNDDOWN(J3896+J3897,0)</f>
        <v>0</v>
      </c>
    </row>
    <row r="3899" spans="1:10" ht="13">
      <c r="A3899" s="27"/>
      <c r="B3899" s="110"/>
      <c r="D3899" s="11"/>
      <c r="E3899" s="11"/>
      <c r="H3899" s="443"/>
    </row>
    <row r="3900" spans="1:10" ht="13.5" thickBot="1">
      <c r="A3900" s="27"/>
      <c r="B3900" s="110"/>
      <c r="C3900" s="11" t="s">
        <v>882</v>
      </c>
      <c r="D3900" s="10" t="s">
        <v>883</v>
      </c>
      <c r="H3900" s="443"/>
    </row>
    <row r="3901" spans="1:10" ht="13.5" thickBot="1">
      <c r="A3901" s="27"/>
      <c r="B3901" s="110"/>
      <c r="D3901" s="401" t="s">
        <v>40</v>
      </c>
      <c r="E3901" s="402" t="s">
        <v>41</v>
      </c>
      <c r="F3901" s="402" t="s">
        <v>42</v>
      </c>
      <c r="G3901" s="403" t="s">
        <v>43</v>
      </c>
      <c r="H3901" s="404" t="s">
        <v>44</v>
      </c>
      <c r="I3901" s="402" t="s">
        <v>474</v>
      </c>
      <c r="J3901" s="405" t="s">
        <v>475</v>
      </c>
    </row>
    <row r="3902" spans="1:10" ht="13">
      <c r="A3902" s="27"/>
      <c r="B3902" s="110"/>
      <c r="D3902" s="406" t="s">
        <v>45</v>
      </c>
      <c r="E3902" s="13" t="s">
        <v>46</v>
      </c>
      <c r="F3902" s="14"/>
      <c r="G3902" s="15"/>
      <c r="H3902" s="451"/>
      <c r="I3902" s="412"/>
      <c r="J3902" s="16"/>
    </row>
    <row r="3903" spans="1:10" ht="13">
      <c r="A3903" s="27"/>
      <c r="B3903" s="110"/>
      <c r="D3903" s="409"/>
      <c r="E3903" s="13" t="s">
        <v>47</v>
      </c>
      <c r="F3903" s="13" t="s">
        <v>1918</v>
      </c>
      <c r="G3903" s="410" t="s">
        <v>48</v>
      </c>
      <c r="H3903" s="411">
        <v>0.24</v>
      </c>
      <c r="I3903" s="412">
        <f>IF(AND(E3903&lt;&gt;"",G3903&lt;&gt;""),IF(D3903="",IF(G3903="OH",VLOOKUP(F3903,UPAH!$B$4:$H$101,7,0),VLOOKUP(F3903,#REF!,4,0)),0),0)</f>
        <v>0</v>
      </c>
      <c r="J3903" s="16">
        <f>H3903*I3903</f>
        <v>0</v>
      </c>
    </row>
    <row r="3904" spans="1:10" ht="13">
      <c r="A3904" s="27"/>
      <c r="B3904" s="110"/>
      <c r="D3904" s="409"/>
      <c r="E3904" s="13" t="s">
        <v>115</v>
      </c>
      <c r="F3904" s="13" t="s">
        <v>1921</v>
      </c>
      <c r="G3904" s="410" t="s">
        <v>48</v>
      </c>
      <c r="H3904" s="411">
        <v>0.12</v>
      </c>
      <c r="I3904" s="412">
        <f>IF(AND(E3904&lt;&gt;"",G3904&lt;&gt;""),IF(D3904="",IF(G3904="OH",VLOOKUP(F3904,UPAH!$B$4:$H$101,7,0),VLOOKUP(F3904,#REF!,4,0)),0),0)</f>
        <v>0</v>
      </c>
      <c r="J3904" s="16">
        <f>H3904*I3904</f>
        <v>0</v>
      </c>
    </row>
    <row r="3905" spans="1:10" ht="13">
      <c r="A3905" s="27"/>
      <c r="B3905" s="110"/>
      <c r="D3905" s="409"/>
      <c r="E3905" s="13" t="s">
        <v>50</v>
      </c>
      <c r="F3905" s="13" t="s">
        <v>1928</v>
      </c>
      <c r="G3905" s="410" t="s">
        <v>48</v>
      </c>
      <c r="H3905" s="411">
        <v>1.2E-2</v>
      </c>
      <c r="I3905" s="412">
        <f>IF(AND(E3905&lt;&gt;"",G3905&lt;&gt;""),IF(D3905="",IF(G3905="OH",VLOOKUP(F3905,UPAH!$B$4:$H$101,7,0),VLOOKUP(F3905,#REF!,4,0)),0),0)</f>
        <v>0</v>
      </c>
      <c r="J3905" s="16">
        <f>H3905*I3905</f>
        <v>0</v>
      </c>
    </row>
    <row r="3906" spans="1:10" ht="13.5" thickBot="1">
      <c r="A3906" s="27"/>
      <c r="B3906" s="110"/>
      <c r="D3906" s="409"/>
      <c r="E3906" s="13" t="s">
        <v>51</v>
      </c>
      <c r="F3906" s="13" t="s">
        <v>1929</v>
      </c>
      <c r="G3906" s="410" t="s">
        <v>48</v>
      </c>
      <c r="H3906" s="411">
        <v>1.2E-2</v>
      </c>
      <c r="I3906" s="412">
        <f>IF(AND(E3906&lt;&gt;"",G3906&lt;&gt;""),IF(D3906="",IF(G3906="OH",VLOOKUP(F3906,UPAH!$B$4:$H$101,7,0),VLOOKUP(F3906,#REF!,4,0)),0),0)</f>
        <v>0</v>
      </c>
      <c r="J3906" s="16">
        <f>H3906*I3906</f>
        <v>0</v>
      </c>
    </row>
    <row r="3907" spans="1:10" ht="13.5" thickBot="1">
      <c r="A3907" s="27"/>
      <c r="B3907" s="110"/>
      <c r="D3907" s="417"/>
      <c r="E3907" s="418"/>
      <c r="F3907" s="418"/>
      <c r="G3907" s="419"/>
      <c r="H3907" s="420" t="s">
        <v>52</v>
      </c>
      <c r="I3907" s="421"/>
      <c r="J3907" s="396">
        <f>SUM(J3903:J3906)</f>
        <v>0</v>
      </c>
    </row>
    <row r="3908" spans="1:10" ht="13">
      <c r="A3908" s="27"/>
      <c r="B3908" s="110"/>
      <c r="D3908" s="406" t="s">
        <v>53</v>
      </c>
      <c r="E3908" s="13" t="s">
        <v>54</v>
      </c>
      <c r="F3908" s="14"/>
      <c r="G3908" s="15"/>
      <c r="H3908" s="451"/>
      <c r="I3908" s="412"/>
      <c r="J3908" s="16"/>
    </row>
    <row r="3909" spans="1:10" ht="13">
      <c r="A3909" s="27"/>
      <c r="B3909" s="110"/>
      <c r="D3909" s="409"/>
      <c r="E3909" s="13" t="s">
        <v>884</v>
      </c>
      <c r="F3909" s="14"/>
      <c r="G3909" s="410" t="s">
        <v>87</v>
      </c>
      <c r="H3909" s="411">
        <v>3.1</v>
      </c>
      <c r="I3909" s="412">
        <f>'BAHAN '!G305</f>
        <v>0</v>
      </c>
      <c r="J3909" s="16">
        <f>H3909*I3909</f>
        <v>0</v>
      </c>
    </row>
    <row r="3910" spans="1:10" ht="13">
      <c r="A3910" s="27"/>
      <c r="B3910" s="110"/>
      <c r="D3910" s="409"/>
      <c r="E3910" s="13" t="s">
        <v>56</v>
      </c>
      <c r="F3910" s="14"/>
      <c r="G3910" s="410" t="s">
        <v>93</v>
      </c>
      <c r="H3910" s="411">
        <v>9.6</v>
      </c>
      <c r="I3910" s="412">
        <f>'BAHAN '!G72</f>
        <v>0</v>
      </c>
      <c r="J3910" s="16">
        <f>H3910*I3910</f>
        <v>0</v>
      </c>
    </row>
    <row r="3911" spans="1:10" ht="13">
      <c r="A3911" s="27"/>
      <c r="B3911" s="110"/>
      <c r="D3911" s="409"/>
      <c r="E3911" s="13" t="s">
        <v>442</v>
      </c>
      <c r="F3911" s="14"/>
      <c r="G3911" s="410" t="s">
        <v>57</v>
      </c>
      <c r="H3911" s="411">
        <v>1.5</v>
      </c>
      <c r="I3911" s="412">
        <f>'BAHAN '!G74</f>
        <v>0</v>
      </c>
      <c r="J3911" s="16">
        <f>H3911*I3911</f>
        <v>0</v>
      </c>
    </row>
    <row r="3912" spans="1:10" ht="13.5" thickBot="1">
      <c r="A3912" s="27"/>
      <c r="B3912" s="110"/>
      <c r="D3912" s="409"/>
      <c r="E3912" s="13" t="s">
        <v>101</v>
      </c>
      <c r="F3912" s="14"/>
      <c r="G3912" s="410" t="s">
        <v>170</v>
      </c>
      <c r="H3912" s="411">
        <v>4.4999999999999998E-2</v>
      </c>
      <c r="I3912" s="412">
        <f>'BAHAN '!G59</f>
        <v>0</v>
      </c>
      <c r="J3912" s="16">
        <f>H3912*I3912</f>
        <v>0</v>
      </c>
    </row>
    <row r="3913" spans="1:10" ht="13.5" thickBot="1">
      <c r="A3913" s="27"/>
      <c r="B3913" s="110"/>
      <c r="D3913" s="417"/>
      <c r="E3913" s="418"/>
      <c r="F3913" s="418"/>
      <c r="G3913" s="419"/>
      <c r="H3913" s="420" t="s">
        <v>64</v>
      </c>
      <c r="I3913" s="421"/>
      <c r="J3913" s="396">
        <f>SUM(J3909:J3912)</f>
        <v>0</v>
      </c>
    </row>
    <row r="3914" spans="1:10" ht="13.5" thickBot="1">
      <c r="A3914" s="27"/>
      <c r="B3914" s="110"/>
      <c r="D3914" s="406" t="s">
        <v>65</v>
      </c>
      <c r="E3914" s="13" t="s">
        <v>66</v>
      </c>
      <c r="F3914" s="14"/>
      <c r="G3914" s="15"/>
      <c r="H3914" s="451"/>
      <c r="I3914" s="412">
        <f>IF(AND(E3914&lt;&gt;"",G3914&lt;&gt;""),IF(D3914="",IF(G3914="OH",VLOOKUP(E3914,UPAH!$C$4:$H$31,7,0),VLOOKUP(E3914,#REF!,4,0)),0),0)</f>
        <v>0</v>
      </c>
      <c r="J3914" s="16">
        <f>H3914*I3914</f>
        <v>0</v>
      </c>
    </row>
    <row r="3915" spans="1:10" ht="13.5" thickBot="1">
      <c r="A3915" s="27"/>
      <c r="B3915" s="110"/>
      <c r="D3915" s="417"/>
      <c r="E3915" s="418"/>
      <c r="F3915" s="418"/>
      <c r="G3915" s="419"/>
      <c r="H3915" s="420" t="s">
        <v>67</v>
      </c>
      <c r="I3915" s="421"/>
      <c r="J3915" s="396">
        <f>J3914</f>
        <v>0</v>
      </c>
    </row>
    <row r="3916" spans="1:10" ht="13">
      <c r="A3916" s="27"/>
      <c r="B3916" s="110"/>
      <c r="D3916" s="444" t="s">
        <v>68</v>
      </c>
      <c r="E3916" s="445" t="s">
        <v>69</v>
      </c>
      <c r="F3916" s="446"/>
      <c r="G3916" s="447"/>
      <c r="H3916" s="448"/>
      <c r="I3916" s="449">
        <f>IF(AND(E3916&lt;&gt;"",G3916&lt;&gt;""),IF(D3916="",IF(G3916="OH",VLOOKUP(E3916,UPAH!$C$4:$H$31,7,0),VLOOKUP(E3916,#REF!,4,0)),0),0)</f>
        <v>0</v>
      </c>
      <c r="J3916" s="16">
        <f>SUM(J3903:J3915)/2</f>
        <v>0</v>
      </c>
    </row>
    <row r="3917" spans="1:10" ht="13.5" thickBot="1">
      <c r="A3917" s="27"/>
      <c r="B3917" s="110"/>
      <c r="D3917" s="431" t="s">
        <v>70</v>
      </c>
      <c r="E3917" s="432" t="s">
        <v>477</v>
      </c>
      <c r="F3917" s="433"/>
      <c r="G3917" s="434"/>
      <c r="H3917" s="22">
        <v>0.1</v>
      </c>
      <c r="I3917" s="436"/>
      <c r="J3917" s="430">
        <f>H3917*J3916</f>
        <v>0</v>
      </c>
    </row>
    <row r="3918" spans="1:10" ht="13.5" thickBot="1">
      <c r="A3918" s="27"/>
      <c r="B3918" s="110"/>
      <c r="D3918" s="401" t="s">
        <v>71</v>
      </c>
      <c r="E3918" s="402" t="s">
        <v>72</v>
      </c>
      <c r="F3918" s="418"/>
      <c r="G3918" s="419"/>
      <c r="H3918" s="442"/>
      <c r="I3918" s="421">
        <f>IF(AND(E3918&lt;&gt;"",G3918&lt;&gt;""),IF(D3918="",IF(G3918="OH",VLOOKUP(E3918,UPAH!$C$4:$H$31,7,0),VLOOKUP(E3918,#REF!,4,0)),0),0)</f>
        <v>0</v>
      </c>
      <c r="J3918" s="396">
        <f>ROUNDDOWN(J3916+J3917,0)</f>
        <v>0</v>
      </c>
    </row>
    <row r="3919" spans="1:10" ht="13">
      <c r="A3919" s="27"/>
      <c r="B3919" s="110"/>
      <c r="D3919" s="11"/>
      <c r="E3919" s="11"/>
      <c r="H3919" s="443"/>
    </row>
    <row r="3920" spans="1:10" ht="13.5" thickBot="1">
      <c r="A3920" s="27"/>
      <c r="B3920" s="110"/>
      <c r="C3920" s="11" t="s">
        <v>885</v>
      </c>
      <c r="D3920" s="10" t="s">
        <v>886</v>
      </c>
      <c r="H3920" s="443"/>
    </row>
    <row r="3921" spans="1:10" ht="13.5" thickBot="1">
      <c r="A3921" s="27"/>
      <c r="B3921" s="110"/>
      <c r="D3921" s="401" t="s">
        <v>40</v>
      </c>
      <c r="E3921" s="402" t="s">
        <v>41</v>
      </c>
      <c r="F3921" s="402" t="s">
        <v>42</v>
      </c>
      <c r="G3921" s="403" t="s">
        <v>43</v>
      </c>
      <c r="H3921" s="404" t="s">
        <v>44</v>
      </c>
      <c r="I3921" s="402" t="s">
        <v>474</v>
      </c>
      <c r="J3921" s="405" t="s">
        <v>475</v>
      </c>
    </row>
    <row r="3922" spans="1:10" ht="13">
      <c r="A3922" s="27"/>
      <c r="B3922" s="110"/>
      <c r="D3922" s="406" t="s">
        <v>45</v>
      </c>
      <c r="E3922" s="13" t="s">
        <v>46</v>
      </c>
      <c r="F3922" s="14"/>
      <c r="G3922" s="15"/>
      <c r="H3922" s="451"/>
      <c r="I3922" s="412"/>
      <c r="J3922" s="16"/>
    </row>
    <row r="3923" spans="1:10" ht="13">
      <c r="A3923" s="27"/>
      <c r="B3923" s="110"/>
      <c r="D3923" s="409"/>
      <c r="E3923" s="13" t="s">
        <v>47</v>
      </c>
      <c r="F3923" s="13" t="s">
        <v>1918</v>
      </c>
      <c r="G3923" s="410" t="s">
        <v>48</v>
      </c>
      <c r="H3923" s="411">
        <v>0.25</v>
      </c>
      <c r="I3923" s="412">
        <f>IF(AND(E3923&lt;&gt;"",G3923&lt;&gt;""),IF(D3923="",IF(G3923="OH",VLOOKUP(F3923,UPAH!$B$4:$H$101,7,0),VLOOKUP(F3923,#REF!,4,0)),0),0)</f>
        <v>0</v>
      </c>
      <c r="J3923" s="16">
        <f>H3923*I3923</f>
        <v>0</v>
      </c>
    </row>
    <row r="3924" spans="1:10" ht="13">
      <c r="A3924" s="27"/>
      <c r="B3924" s="110"/>
      <c r="D3924" s="409"/>
      <c r="E3924" s="13" t="s">
        <v>115</v>
      </c>
      <c r="F3924" s="13" t="s">
        <v>1921</v>
      </c>
      <c r="G3924" s="410" t="s">
        <v>48</v>
      </c>
      <c r="H3924" s="411">
        <v>0.125</v>
      </c>
      <c r="I3924" s="412">
        <f>IF(AND(E3924&lt;&gt;"",G3924&lt;&gt;""),IF(D3924="",IF(G3924="OH",VLOOKUP(F3924,UPAH!$B$4:$H$101,7,0),VLOOKUP(F3924,#REF!,4,0)),0),0)</f>
        <v>0</v>
      </c>
      <c r="J3924" s="16">
        <f>H3924*I3924</f>
        <v>0</v>
      </c>
    </row>
    <row r="3925" spans="1:10" ht="13">
      <c r="A3925" s="27"/>
      <c r="B3925" s="110"/>
      <c r="D3925" s="409"/>
      <c r="E3925" s="13" t="s">
        <v>50</v>
      </c>
      <c r="F3925" s="13" t="s">
        <v>1928</v>
      </c>
      <c r="G3925" s="410" t="s">
        <v>48</v>
      </c>
      <c r="H3925" s="411">
        <v>1.2999999999999999E-2</v>
      </c>
      <c r="I3925" s="412">
        <f>IF(AND(E3925&lt;&gt;"",G3925&lt;&gt;""),IF(D3925="",IF(G3925="OH",VLOOKUP(F3925,UPAH!$B$4:$H$101,7,0),VLOOKUP(F3925,#REF!,4,0)),0),0)</f>
        <v>0</v>
      </c>
      <c r="J3925" s="16">
        <f>H3925*I3925</f>
        <v>0</v>
      </c>
    </row>
    <row r="3926" spans="1:10" ht="13.5" thickBot="1">
      <c r="A3926" s="27"/>
      <c r="B3926" s="110"/>
      <c r="D3926" s="409"/>
      <c r="E3926" s="13" t="s">
        <v>51</v>
      </c>
      <c r="F3926" s="13" t="s">
        <v>1929</v>
      </c>
      <c r="G3926" s="410" t="s">
        <v>48</v>
      </c>
      <c r="H3926" s="411">
        <v>1.2999999999999999E-2</v>
      </c>
      <c r="I3926" s="412">
        <f>IF(AND(E3926&lt;&gt;"",G3926&lt;&gt;""),IF(D3926="",IF(G3926="OH",VLOOKUP(F3926,UPAH!$B$4:$H$101,7,0),VLOOKUP(F3926,#REF!,4,0)),0),0)</f>
        <v>0</v>
      </c>
      <c r="J3926" s="16">
        <f>H3926*I3926</f>
        <v>0</v>
      </c>
    </row>
    <row r="3927" spans="1:10" ht="13.5" thickBot="1">
      <c r="A3927" s="27"/>
      <c r="B3927" s="110"/>
      <c r="D3927" s="417"/>
      <c r="E3927" s="418"/>
      <c r="F3927" s="418"/>
      <c r="G3927" s="419"/>
      <c r="H3927" s="420" t="s">
        <v>52</v>
      </c>
      <c r="I3927" s="421"/>
      <c r="J3927" s="396">
        <f>SUM(J3923:J3926)</f>
        <v>0</v>
      </c>
    </row>
    <row r="3928" spans="1:10" ht="13">
      <c r="A3928" s="27"/>
      <c r="B3928" s="110"/>
      <c r="D3928" s="406" t="s">
        <v>53</v>
      </c>
      <c r="E3928" s="13" t="s">
        <v>54</v>
      </c>
      <c r="F3928" s="14"/>
      <c r="G3928" s="15"/>
      <c r="H3928" s="451"/>
      <c r="I3928" s="412"/>
      <c r="J3928" s="16"/>
    </row>
    <row r="3929" spans="1:10" ht="13">
      <c r="A3929" s="27"/>
      <c r="B3929" s="110"/>
      <c r="D3929" s="409"/>
      <c r="E3929" s="13" t="s">
        <v>887</v>
      </c>
      <c r="F3929" s="14"/>
      <c r="G3929" s="410" t="s">
        <v>87</v>
      </c>
      <c r="H3929" s="411">
        <v>6.63</v>
      </c>
      <c r="I3929" s="412">
        <f>'BAHAN '!G304</f>
        <v>0</v>
      </c>
      <c r="J3929" s="16">
        <f>H3929*I3929</f>
        <v>0</v>
      </c>
    </row>
    <row r="3930" spans="1:10" ht="13">
      <c r="A3930" s="27"/>
      <c r="B3930" s="110"/>
      <c r="D3930" s="409"/>
      <c r="E3930" s="13" t="s">
        <v>56</v>
      </c>
      <c r="F3930" s="14"/>
      <c r="G3930" s="410" t="s">
        <v>93</v>
      </c>
      <c r="H3930" s="411">
        <v>9.8000000000000007</v>
      </c>
      <c r="I3930" s="412">
        <f>'BAHAN '!G72</f>
        <v>0</v>
      </c>
      <c r="J3930" s="16">
        <f>H3930*I3930</f>
        <v>0</v>
      </c>
    </row>
    <row r="3931" spans="1:10" ht="13">
      <c r="A3931" s="27"/>
      <c r="B3931" s="110"/>
      <c r="D3931" s="409"/>
      <c r="E3931" s="13" t="s">
        <v>442</v>
      </c>
      <c r="F3931" s="14"/>
      <c r="G3931" s="410" t="s">
        <v>57</v>
      </c>
      <c r="H3931" s="411">
        <v>1.3</v>
      </c>
      <c r="I3931" s="412">
        <f>'BAHAN '!G74</f>
        <v>0</v>
      </c>
      <c r="J3931" s="16">
        <f>H3931*I3931</f>
        <v>0</v>
      </c>
    </row>
    <row r="3932" spans="1:10" ht="13.5" thickBot="1">
      <c r="A3932" s="27"/>
      <c r="B3932" s="110"/>
      <c r="D3932" s="409"/>
      <c r="E3932" s="13" t="s">
        <v>101</v>
      </c>
      <c r="F3932" s="14"/>
      <c r="G3932" s="410" t="s">
        <v>170</v>
      </c>
      <c r="H3932" s="411">
        <v>4.4999999999999998E-2</v>
      </c>
      <c r="I3932" s="412">
        <f>'BAHAN '!G59</f>
        <v>0</v>
      </c>
      <c r="J3932" s="16">
        <f>H3932*I3932</f>
        <v>0</v>
      </c>
    </row>
    <row r="3933" spans="1:10" ht="13.5" thickBot="1">
      <c r="A3933" s="27"/>
      <c r="B3933" s="110"/>
      <c r="D3933" s="417"/>
      <c r="E3933" s="418"/>
      <c r="F3933" s="418"/>
      <c r="G3933" s="419"/>
      <c r="H3933" s="420" t="s">
        <v>64</v>
      </c>
      <c r="I3933" s="421"/>
      <c r="J3933" s="396">
        <f>SUM(J3929:J3932)</f>
        <v>0</v>
      </c>
    </row>
    <row r="3934" spans="1:10" ht="13.5" thickBot="1">
      <c r="A3934" s="27"/>
      <c r="B3934" s="110"/>
      <c r="D3934" s="406" t="s">
        <v>65</v>
      </c>
      <c r="E3934" s="13" t="s">
        <v>66</v>
      </c>
      <c r="F3934" s="14"/>
      <c r="G3934" s="15"/>
      <c r="H3934" s="451"/>
      <c r="I3934" s="412">
        <f>IF(AND(E3934&lt;&gt;"",G3934&lt;&gt;""),IF(D3934="",IF(G3934="OH",VLOOKUP(E3934,UPAH!$C$4:$H$31,7,0),VLOOKUP(E3934,#REF!,4,0)),0),0)</f>
        <v>0</v>
      </c>
      <c r="J3934" s="16">
        <f>H3934*I3934</f>
        <v>0</v>
      </c>
    </row>
    <row r="3935" spans="1:10" ht="13.5" thickBot="1">
      <c r="A3935" s="27"/>
      <c r="B3935" s="110"/>
      <c r="D3935" s="417"/>
      <c r="E3935" s="418"/>
      <c r="F3935" s="418"/>
      <c r="G3935" s="419"/>
      <c r="H3935" s="420" t="s">
        <v>67</v>
      </c>
      <c r="I3935" s="421"/>
      <c r="J3935" s="396">
        <f>J3934</f>
        <v>0</v>
      </c>
    </row>
    <row r="3936" spans="1:10" ht="13">
      <c r="A3936" s="27"/>
      <c r="B3936" s="110"/>
      <c r="D3936" s="444" t="s">
        <v>68</v>
      </c>
      <c r="E3936" s="445" t="s">
        <v>69</v>
      </c>
      <c r="F3936" s="446"/>
      <c r="G3936" s="447"/>
      <c r="H3936" s="448"/>
      <c r="I3936" s="449">
        <f>IF(AND(E3936&lt;&gt;"",G3936&lt;&gt;""),IF(D3936="",IF(G3936="OH",VLOOKUP(E3936,UPAH!$C$4:$H$31,7,0),VLOOKUP(E3936,#REF!,4,0)),0),0)</f>
        <v>0</v>
      </c>
      <c r="J3936" s="16">
        <f>SUM(J3923:J3935)/2</f>
        <v>0</v>
      </c>
    </row>
    <row r="3937" spans="1:10" ht="13.5" thickBot="1">
      <c r="A3937" s="27"/>
      <c r="B3937" s="110"/>
      <c r="D3937" s="431" t="s">
        <v>70</v>
      </c>
      <c r="E3937" s="432" t="s">
        <v>477</v>
      </c>
      <c r="F3937" s="433"/>
      <c r="G3937" s="434"/>
      <c r="H3937" s="22">
        <v>0.1</v>
      </c>
      <c r="I3937" s="436"/>
      <c r="J3937" s="430">
        <f>H3937*J3936</f>
        <v>0</v>
      </c>
    </row>
    <row r="3938" spans="1:10" ht="13.5" thickBot="1">
      <c r="A3938" s="27"/>
      <c r="B3938" s="110"/>
      <c r="D3938" s="401" t="s">
        <v>71</v>
      </c>
      <c r="E3938" s="402" t="s">
        <v>72</v>
      </c>
      <c r="F3938" s="418"/>
      <c r="G3938" s="419"/>
      <c r="H3938" s="442"/>
      <c r="I3938" s="421">
        <f>IF(AND(E3938&lt;&gt;"",G3938&lt;&gt;""),IF(D3938="",IF(G3938="OH",VLOOKUP(E3938,UPAH!$C$4:$H$31,7,0),VLOOKUP(E3938,#REF!,4,0)),0),0)</f>
        <v>0</v>
      </c>
      <c r="J3938" s="396">
        <f>ROUNDDOWN(J3936+J3937,0)</f>
        <v>0</v>
      </c>
    </row>
    <row r="3939" spans="1:10" ht="13">
      <c r="A3939" s="27"/>
      <c r="B3939" s="110"/>
      <c r="D3939" s="11"/>
      <c r="E3939" s="11"/>
      <c r="H3939" s="443"/>
    </row>
    <row r="3940" spans="1:10" ht="13.5" thickBot="1">
      <c r="A3940" s="27"/>
      <c r="B3940" s="110"/>
      <c r="C3940" s="11" t="s">
        <v>888</v>
      </c>
      <c r="D3940" s="10" t="s">
        <v>889</v>
      </c>
      <c r="H3940" s="443"/>
    </row>
    <row r="3941" spans="1:10" ht="13.5" thickBot="1">
      <c r="A3941" s="27"/>
      <c r="B3941" s="110"/>
      <c r="D3941" s="401" t="s">
        <v>40</v>
      </c>
      <c r="E3941" s="402" t="s">
        <v>41</v>
      </c>
      <c r="F3941" s="402" t="s">
        <v>42</v>
      </c>
      <c r="G3941" s="403" t="s">
        <v>43</v>
      </c>
      <c r="H3941" s="404" t="s">
        <v>44</v>
      </c>
      <c r="I3941" s="402" t="s">
        <v>474</v>
      </c>
      <c r="J3941" s="405" t="s">
        <v>475</v>
      </c>
    </row>
    <row r="3942" spans="1:10" ht="13">
      <c r="A3942" s="27"/>
      <c r="B3942" s="110"/>
      <c r="D3942" s="406" t="s">
        <v>45</v>
      </c>
      <c r="E3942" s="13" t="s">
        <v>46</v>
      </c>
      <c r="F3942" s="14"/>
      <c r="G3942" s="15"/>
      <c r="H3942" s="451"/>
      <c r="I3942" s="412"/>
      <c r="J3942" s="16"/>
    </row>
    <row r="3943" spans="1:10" ht="13">
      <c r="A3943" s="27"/>
      <c r="B3943" s="110"/>
      <c r="D3943" s="409"/>
      <c r="E3943" s="13" t="s">
        <v>47</v>
      </c>
      <c r="F3943" s="13" t="s">
        <v>1918</v>
      </c>
      <c r="G3943" s="410" t="s">
        <v>48</v>
      </c>
      <c r="H3943" s="411">
        <v>0.26</v>
      </c>
      <c r="I3943" s="412">
        <f>IF(AND(E3943&lt;&gt;"",G3943&lt;&gt;""),IF(D3943="",IF(G3943="OH",VLOOKUP(F3943,UPAH!$B$4:$H$101,7,0),VLOOKUP(F3943,#REF!,4,0)),0),0)</f>
        <v>0</v>
      </c>
      <c r="J3943" s="16">
        <f>H3943*I3943</f>
        <v>0</v>
      </c>
    </row>
    <row r="3944" spans="1:10" ht="13">
      <c r="A3944" s="27"/>
      <c r="B3944" s="110"/>
      <c r="D3944" s="409"/>
      <c r="E3944" s="13" t="s">
        <v>115</v>
      </c>
      <c r="F3944" s="13" t="s">
        <v>1921</v>
      </c>
      <c r="G3944" s="410" t="s">
        <v>48</v>
      </c>
      <c r="H3944" s="411">
        <v>0.13</v>
      </c>
      <c r="I3944" s="412">
        <f>IF(AND(E3944&lt;&gt;"",G3944&lt;&gt;""),IF(D3944="",IF(G3944="OH",VLOOKUP(F3944,UPAH!$B$4:$H$101,7,0),VLOOKUP(F3944,#REF!,4,0)),0),0)</f>
        <v>0</v>
      </c>
      <c r="J3944" s="16">
        <f>H3944*I3944</f>
        <v>0</v>
      </c>
    </row>
    <row r="3945" spans="1:10" ht="13">
      <c r="A3945" s="27"/>
      <c r="B3945" s="110"/>
      <c r="D3945" s="409"/>
      <c r="E3945" s="13" t="s">
        <v>50</v>
      </c>
      <c r="F3945" s="13" t="s">
        <v>1928</v>
      </c>
      <c r="G3945" s="410" t="s">
        <v>48</v>
      </c>
      <c r="H3945" s="411">
        <v>1.2999999999999999E-2</v>
      </c>
      <c r="I3945" s="412">
        <f>IF(AND(E3945&lt;&gt;"",G3945&lt;&gt;""),IF(D3945="",IF(G3945="OH",VLOOKUP(F3945,UPAH!$B$4:$H$101,7,0),VLOOKUP(F3945,#REF!,4,0)),0),0)</f>
        <v>0</v>
      </c>
      <c r="J3945" s="16">
        <f>H3945*I3945</f>
        <v>0</v>
      </c>
    </row>
    <row r="3946" spans="1:10" ht="13.5" thickBot="1">
      <c r="A3946" s="27"/>
      <c r="B3946" s="110"/>
      <c r="D3946" s="409"/>
      <c r="E3946" s="13" t="s">
        <v>51</v>
      </c>
      <c r="F3946" s="13" t="s">
        <v>1929</v>
      </c>
      <c r="G3946" s="410" t="s">
        <v>48</v>
      </c>
      <c r="H3946" s="411">
        <v>1.2999999999999999E-2</v>
      </c>
      <c r="I3946" s="412">
        <f>IF(AND(E3946&lt;&gt;"",G3946&lt;&gt;""),IF(D3946="",IF(G3946="OH",VLOOKUP(F3946,UPAH!$B$4:$H$101,7,0),VLOOKUP(F3946,#REF!,4,0)),0),0)</f>
        <v>0</v>
      </c>
      <c r="J3946" s="16">
        <f>H3946*I3946</f>
        <v>0</v>
      </c>
    </row>
    <row r="3947" spans="1:10" ht="13.5" thickBot="1">
      <c r="A3947" s="27"/>
      <c r="B3947" s="110"/>
      <c r="D3947" s="417"/>
      <c r="E3947" s="418"/>
      <c r="F3947" s="418"/>
      <c r="G3947" s="419"/>
      <c r="H3947" s="420" t="s">
        <v>52</v>
      </c>
      <c r="I3947" s="421"/>
      <c r="J3947" s="396">
        <f>SUM(J3943:J3946)</f>
        <v>0</v>
      </c>
    </row>
    <row r="3948" spans="1:10" ht="13">
      <c r="A3948" s="27"/>
      <c r="B3948" s="110"/>
      <c r="D3948" s="406" t="s">
        <v>53</v>
      </c>
      <c r="E3948" s="13" t="s">
        <v>54</v>
      </c>
      <c r="F3948" s="14"/>
      <c r="G3948" s="15"/>
      <c r="H3948" s="451"/>
      <c r="I3948" s="412"/>
      <c r="J3948" s="16"/>
    </row>
    <row r="3949" spans="1:10" ht="13">
      <c r="A3949" s="27"/>
      <c r="B3949" s="110"/>
      <c r="D3949" s="409"/>
      <c r="E3949" s="13" t="s">
        <v>890</v>
      </c>
      <c r="F3949" s="14"/>
      <c r="G3949" s="410" t="s">
        <v>87</v>
      </c>
      <c r="H3949" s="411">
        <v>11.87</v>
      </c>
      <c r="I3949" s="412">
        <f>I3889</f>
        <v>0</v>
      </c>
      <c r="J3949" s="16">
        <f>H3949*I3949</f>
        <v>0</v>
      </c>
    </row>
    <row r="3950" spans="1:10" ht="13">
      <c r="A3950" s="27"/>
      <c r="B3950" s="110"/>
      <c r="D3950" s="409"/>
      <c r="E3950" s="13" t="s">
        <v>56</v>
      </c>
      <c r="F3950" s="14"/>
      <c r="G3950" s="410" t="s">
        <v>93</v>
      </c>
      <c r="H3950" s="411">
        <v>10</v>
      </c>
      <c r="I3950" s="412">
        <f>'BAHAN '!G72</f>
        <v>0</v>
      </c>
      <c r="J3950" s="16">
        <f>H3950*I3950</f>
        <v>0</v>
      </c>
    </row>
    <row r="3951" spans="1:10" ht="13">
      <c r="A3951" s="27"/>
      <c r="B3951" s="110"/>
      <c r="D3951" s="409"/>
      <c r="E3951" s="13" t="s">
        <v>442</v>
      </c>
      <c r="F3951" s="14"/>
      <c r="G3951" s="410" t="s">
        <v>57</v>
      </c>
      <c r="H3951" s="411">
        <v>1.5</v>
      </c>
      <c r="I3951" s="412">
        <f>'BAHAN '!G74</f>
        <v>0</v>
      </c>
      <c r="J3951" s="16">
        <f>H3951*I3951</f>
        <v>0</v>
      </c>
    </row>
    <row r="3952" spans="1:10" ht="13.5" thickBot="1">
      <c r="A3952" s="27"/>
      <c r="B3952" s="110"/>
      <c r="D3952" s="409"/>
      <c r="E3952" s="13" t="s">
        <v>101</v>
      </c>
      <c r="F3952" s="14"/>
      <c r="G3952" s="410" t="s">
        <v>170</v>
      </c>
      <c r="H3952" s="411">
        <v>4.4999999999999998E-2</v>
      </c>
      <c r="I3952" s="412">
        <f>'BAHAN '!G59</f>
        <v>0</v>
      </c>
      <c r="J3952" s="16">
        <f>H3952*I3952</f>
        <v>0</v>
      </c>
    </row>
    <row r="3953" spans="1:10" ht="13.5" thickBot="1">
      <c r="A3953" s="27"/>
      <c r="B3953" s="110"/>
      <c r="D3953" s="417"/>
      <c r="E3953" s="418"/>
      <c r="F3953" s="418"/>
      <c r="G3953" s="419"/>
      <c r="H3953" s="420" t="s">
        <v>64</v>
      </c>
      <c r="I3953" s="421"/>
      <c r="J3953" s="396">
        <f>SUM(J3949:J3952)</f>
        <v>0</v>
      </c>
    </row>
    <row r="3954" spans="1:10" ht="13.5" thickBot="1">
      <c r="A3954" s="27"/>
      <c r="B3954" s="110"/>
      <c r="D3954" s="406" t="s">
        <v>65</v>
      </c>
      <c r="E3954" s="13" t="s">
        <v>66</v>
      </c>
      <c r="F3954" s="14"/>
      <c r="G3954" s="15"/>
      <c r="H3954" s="451"/>
      <c r="I3954" s="412">
        <f>IF(AND(E3954&lt;&gt;"",G3954&lt;&gt;""),IF(D3954="",IF(G3954="OH",VLOOKUP(E3954,UPAH!$C$4:$H$31,7,0),VLOOKUP(E3954,#REF!,4,0)),0),0)</f>
        <v>0</v>
      </c>
      <c r="J3954" s="16">
        <f>H3954*I3954</f>
        <v>0</v>
      </c>
    </row>
    <row r="3955" spans="1:10" ht="13.5" thickBot="1">
      <c r="A3955" s="27"/>
      <c r="B3955" s="110"/>
      <c r="D3955" s="417"/>
      <c r="E3955" s="418"/>
      <c r="F3955" s="418"/>
      <c r="G3955" s="419"/>
      <c r="H3955" s="420" t="s">
        <v>67</v>
      </c>
      <c r="I3955" s="421"/>
      <c r="J3955" s="396">
        <f>J3954</f>
        <v>0</v>
      </c>
    </row>
    <row r="3956" spans="1:10" ht="13">
      <c r="A3956" s="27"/>
      <c r="B3956" s="110"/>
      <c r="D3956" s="444" t="s">
        <v>68</v>
      </c>
      <c r="E3956" s="445" t="s">
        <v>69</v>
      </c>
      <c r="F3956" s="446"/>
      <c r="G3956" s="447"/>
      <c r="H3956" s="448"/>
      <c r="I3956" s="449">
        <f>IF(AND(E3956&lt;&gt;"",G3956&lt;&gt;""),IF(D3956="",IF(G3956="OH",VLOOKUP(E3956,UPAH!$C$4:$H$31,7,0),VLOOKUP(E3956,#REF!,4,0)),0),0)</f>
        <v>0</v>
      </c>
      <c r="J3956" s="16">
        <f>SUM(J3943:J3955)/2</f>
        <v>0</v>
      </c>
    </row>
    <row r="3957" spans="1:10" ht="13.5" thickBot="1">
      <c r="A3957" s="27"/>
      <c r="B3957" s="110"/>
      <c r="D3957" s="431" t="s">
        <v>70</v>
      </c>
      <c r="E3957" s="432" t="s">
        <v>477</v>
      </c>
      <c r="F3957" s="433"/>
      <c r="G3957" s="434"/>
      <c r="H3957" s="22">
        <v>0.1</v>
      </c>
      <c r="I3957" s="436"/>
      <c r="J3957" s="430">
        <f>H3957*J3956</f>
        <v>0</v>
      </c>
    </row>
    <row r="3958" spans="1:10" ht="13.5" thickBot="1">
      <c r="A3958" s="27"/>
      <c r="B3958" s="110"/>
      <c r="D3958" s="401" t="s">
        <v>71</v>
      </c>
      <c r="E3958" s="402" t="s">
        <v>72</v>
      </c>
      <c r="F3958" s="418"/>
      <c r="G3958" s="419"/>
      <c r="H3958" s="442"/>
      <c r="I3958" s="421">
        <f>IF(AND(E3958&lt;&gt;"",G3958&lt;&gt;""),IF(D3958="",IF(G3958="OH",VLOOKUP(E3958,UPAH!$C$4:$H$31,7,0),VLOOKUP(E3958,#REF!,4,0)),0),0)</f>
        <v>0</v>
      </c>
      <c r="J3958" s="396">
        <f>ROUNDDOWN(J3956+J3957,0)</f>
        <v>0</v>
      </c>
    </row>
    <row r="3959" spans="1:10" ht="13">
      <c r="A3959" s="27"/>
      <c r="B3959" s="110"/>
      <c r="D3959" s="11"/>
      <c r="E3959" s="11"/>
      <c r="H3959" s="443"/>
    </row>
    <row r="3960" spans="1:10" ht="13.5" thickBot="1">
      <c r="A3960" s="27"/>
      <c r="B3960" s="110"/>
      <c r="C3960" s="11" t="s">
        <v>891</v>
      </c>
      <c r="D3960" s="10" t="s">
        <v>892</v>
      </c>
      <c r="H3960" s="443"/>
    </row>
    <row r="3961" spans="1:10" ht="13.5" thickBot="1">
      <c r="A3961" s="27"/>
      <c r="B3961" s="110"/>
      <c r="D3961" s="401" t="s">
        <v>40</v>
      </c>
      <c r="E3961" s="402" t="s">
        <v>41</v>
      </c>
      <c r="F3961" s="402" t="s">
        <v>42</v>
      </c>
      <c r="G3961" s="403" t="s">
        <v>43</v>
      </c>
      <c r="H3961" s="404" t="s">
        <v>44</v>
      </c>
      <c r="I3961" s="402" t="s">
        <v>474</v>
      </c>
      <c r="J3961" s="405" t="s">
        <v>475</v>
      </c>
    </row>
    <row r="3962" spans="1:10" ht="13">
      <c r="A3962" s="27"/>
      <c r="B3962" s="110"/>
      <c r="D3962" s="406" t="s">
        <v>45</v>
      </c>
      <c r="E3962" s="13" t="s">
        <v>46</v>
      </c>
      <c r="F3962" s="14"/>
      <c r="G3962" s="15"/>
      <c r="H3962" s="451"/>
      <c r="I3962" s="412"/>
      <c r="J3962" s="16"/>
    </row>
    <row r="3963" spans="1:10" ht="13">
      <c r="A3963" s="27"/>
      <c r="B3963" s="110"/>
      <c r="D3963" s="409"/>
      <c r="E3963" s="13" t="s">
        <v>47</v>
      </c>
      <c r="F3963" s="13" t="s">
        <v>1918</v>
      </c>
      <c r="G3963" s="410" t="s">
        <v>48</v>
      </c>
      <c r="H3963" s="411">
        <v>0.09</v>
      </c>
      <c r="I3963" s="412">
        <f>IF(AND(E3963&lt;&gt;"",G3963&lt;&gt;""),IF(D3963="",IF(G3963="OH",VLOOKUP(F3963,UPAH!$B$4:$H$101,7,0),VLOOKUP(F3963,#REF!,4,0)),0),0)</f>
        <v>0</v>
      </c>
      <c r="J3963" s="16">
        <f>H3963*I3963</f>
        <v>0</v>
      </c>
    </row>
    <row r="3964" spans="1:10" ht="13">
      <c r="A3964" s="27"/>
      <c r="B3964" s="110"/>
      <c r="D3964" s="409"/>
      <c r="E3964" s="13" t="s">
        <v>115</v>
      </c>
      <c r="F3964" s="13" t="s">
        <v>1921</v>
      </c>
      <c r="G3964" s="410" t="s">
        <v>48</v>
      </c>
      <c r="H3964" s="411">
        <v>0.09</v>
      </c>
      <c r="I3964" s="412">
        <f>IF(AND(E3964&lt;&gt;"",G3964&lt;&gt;""),IF(D3964="",IF(G3964="OH",VLOOKUP(F3964,UPAH!$B$4:$H$101,7,0),VLOOKUP(F3964,#REF!,4,0)),0),0)</f>
        <v>0</v>
      </c>
      <c r="J3964" s="16">
        <f>H3964*I3964</f>
        <v>0</v>
      </c>
    </row>
    <row r="3965" spans="1:10" ht="13">
      <c r="A3965" s="27"/>
      <c r="B3965" s="110"/>
      <c r="D3965" s="409"/>
      <c r="E3965" s="13" t="s">
        <v>50</v>
      </c>
      <c r="F3965" s="13" t="s">
        <v>1928</v>
      </c>
      <c r="G3965" s="410" t="s">
        <v>48</v>
      </c>
      <c r="H3965" s="411">
        <v>8.9999999999999993E-3</v>
      </c>
      <c r="I3965" s="412">
        <f>IF(AND(E3965&lt;&gt;"",G3965&lt;&gt;""),IF(D3965="",IF(G3965="OH",VLOOKUP(F3965,UPAH!$B$4:$H$101,7,0),VLOOKUP(F3965,#REF!,4,0)),0),0)</f>
        <v>0</v>
      </c>
      <c r="J3965" s="16">
        <f>H3965*I3965</f>
        <v>0</v>
      </c>
    </row>
    <row r="3966" spans="1:10" ht="13.5" thickBot="1">
      <c r="A3966" s="27"/>
      <c r="B3966" s="110"/>
      <c r="D3966" s="409"/>
      <c r="E3966" s="13" t="s">
        <v>51</v>
      </c>
      <c r="F3966" s="13" t="s">
        <v>1929</v>
      </c>
      <c r="G3966" s="410" t="s">
        <v>48</v>
      </c>
      <c r="H3966" s="411">
        <v>5.0000000000000001E-3</v>
      </c>
      <c r="I3966" s="412">
        <f>IF(AND(E3966&lt;&gt;"",G3966&lt;&gt;""),IF(D3966="",IF(G3966="OH",VLOOKUP(F3966,UPAH!$B$4:$H$101,7,0),VLOOKUP(F3966,#REF!,4,0)),0),0)</f>
        <v>0</v>
      </c>
      <c r="J3966" s="16">
        <f>H3966*I3966</f>
        <v>0</v>
      </c>
    </row>
    <row r="3967" spans="1:10" ht="13.5" thickBot="1">
      <c r="A3967" s="27"/>
      <c r="B3967" s="110"/>
      <c r="D3967" s="417"/>
      <c r="E3967" s="418"/>
      <c r="F3967" s="418"/>
      <c r="G3967" s="419"/>
      <c r="H3967" s="420" t="s">
        <v>52</v>
      </c>
      <c r="I3967" s="421"/>
      <c r="J3967" s="396">
        <f>SUM(J3963:J3966)</f>
        <v>0</v>
      </c>
    </row>
    <row r="3968" spans="1:10" ht="13">
      <c r="A3968" s="27"/>
      <c r="B3968" s="110"/>
      <c r="D3968" s="406" t="s">
        <v>53</v>
      </c>
      <c r="E3968" s="13" t="s">
        <v>54</v>
      </c>
      <c r="F3968" s="14"/>
      <c r="G3968" s="15"/>
      <c r="H3968" s="451"/>
      <c r="I3968" s="412"/>
      <c r="J3968" s="16"/>
    </row>
    <row r="3969" spans="1:10" ht="13">
      <c r="A3969" s="27"/>
      <c r="B3969" s="110"/>
      <c r="D3969" s="409"/>
      <c r="E3969" s="13" t="s">
        <v>893</v>
      </c>
      <c r="F3969" s="14"/>
      <c r="G3969" s="410" t="s">
        <v>87</v>
      </c>
      <c r="H3969" s="411">
        <v>5.3</v>
      </c>
      <c r="I3969" s="412">
        <f>'BAHAN '!G287</f>
        <v>0</v>
      </c>
      <c r="J3969" s="16">
        <f>H3969*I3969</f>
        <v>0</v>
      </c>
    </row>
    <row r="3970" spans="1:10" ht="13">
      <c r="A3970" s="27"/>
      <c r="B3970" s="110"/>
      <c r="D3970" s="409"/>
      <c r="E3970" s="13" t="s">
        <v>56</v>
      </c>
      <c r="F3970" s="14"/>
      <c r="G3970" s="410" t="s">
        <v>93</v>
      </c>
      <c r="H3970" s="411">
        <v>1.65</v>
      </c>
      <c r="I3970" s="412">
        <f>'BAHAN '!G72</f>
        <v>0</v>
      </c>
      <c r="J3970" s="16">
        <f>H3970*I3970</f>
        <v>0</v>
      </c>
    </row>
    <row r="3971" spans="1:10" ht="13.5" thickBot="1">
      <c r="A3971" s="27"/>
      <c r="B3971" s="110"/>
      <c r="D3971" s="409"/>
      <c r="E3971" s="13" t="s">
        <v>101</v>
      </c>
      <c r="F3971" s="14"/>
      <c r="G3971" s="410" t="s">
        <v>170</v>
      </c>
      <c r="H3971" s="411">
        <v>4.0000000000000001E-3</v>
      </c>
      <c r="I3971" s="412">
        <f>'BAHAN '!G59</f>
        <v>0</v>
      </c>
      <c r="J3971" s="16">
        <f>H3971*I3971</f>
        <v>0</v>
      </c>
    </row>
    <row r="3972" spans="1:10" ht="13.5" thickBot="1">
      <c r="A3972" s="27"/>
      <c r="B3972" s="110"/>
      <c r="D3972" s="417"/>
      <c r="E3972" s="418"/>
      <c r="F3972" s="418"/>
      <c r="G3972" s="419"/>
      <c r="H3972" s="420" t="s">
        <v>64</v>
      </c>
      <c r="I3972" s="421"/>
      <c r="J3972" s="396">
        <f>SUM(J3969:J3971)</f>
        <v>0</v>
      </c>
    </row>
    <row r="3973" spans="1:10" ht="13.5" thickBot="1">
      <c r="A3973" s="27"/>
      <c r="B3973" s="110"/>
      <c r="D3973" s="406" t="s">
        <v>65</v>
      </c>
      <c r="E3973" s="13" t="s">
        <v>66</v>
      </c>
      <c r="F3973" s="14"/>
      <c r="G3973" s="15"/>
      <c r="H3973" s="451"/>
      <c r="I3973" s="412">
        <f>IF(AND(E3973&lt;&gt;"",G3973&lt;&gt;""),IF(D3973="",IF(G3973="OH",VLOOKUP(E3973,UPAH!$C$4:$H$31,7,0),VLOOKUP(E3973,#REF!,4,0)),0),0)</f>
        <v>0</v>
      </c>
      <c r="J3973" s="16">
        <f>H3973*I3973</f>
        <v>0</v>
      </c>
    </row>
    <row r="3974" spans="1:10" ht="13.5" thickBot="1">
      <c r="A3974" s="27"/>
      <c r="B3974" s="110"/>
      <c r="D3974" s="417"/>
      <c r="E3974" s="418"/>
      <c r="F3974" s="418"/>
      <c r="G3974" s="419"/>
      <c r="H3974" s="420" t="s">
        <v>67</v>
      </c>
      <c r="I3974" s="421"/>
      <c r="J3974" s="396">
        <f>J3973</f>
        <v>0</v>
      </c>
    </row>
    <row r="3975" spans="1:10" ht="13">
      <c r="A3975" s="27"/>
      <c r="B3975" s="110"/>
      <c r="D3975" s="444" t="s">
        <v>68</v>
      </c>
      <c r="E3975" s="445" t="s">
        <v>69</v>
      </c>
      <c r="F3975" s="446"/>
      <c r="G3975" s="447"/>
      <c r="H3975" s="448"/>
      <c r="I3975" s="449">
        <f>IF(AND(E3975&lt;&gt;"",G3975&lt;&gt;""),IF(D3975="",IF(G3975="OH",VLOOKUP(E3975,UPAH!$C$4:$H$31,7,0),VLOOKUP(E3975,#REF!,4,0)),0),0)</f>
        <v>0</v>
      </c>
      <c r="J3975" s="16">
        <f>SUM(J3963:J3974)/2</f>
        <v>0</v>
      </c>
    </row>
    <row r="3976" spans="1:10" ht="13.5" thickBot="1">
      <c r="A3976" s="27"/>
      <c r="B3976" s="110"/>
      <c r="D3976" s="431" t="s">
        <v>70</v>
      </c>
      <c r="E3976" s="432" t="s">
        <v>477</v>
      </c>
      <c r="F3976" s="433"/>
      <c r="G3976" s="434"/>
      <c r="H3976" s="22">
        <v>0.1</v>
      </c>
      <c r="I3976" s="436"/>
      <c r="J3976" s="430">
        <f>H3976*J3975</f>
        <v>0</v>
      </c>
    </row>
    <row r="3977" spans="1:10" ht="13.5" thickBot="1">
      <c r="A3977" s="27"/>
      <c r="B3977" s="110"/>
      <c r="D3977" s="401" t="s">
        <v>71</v>
      </c>
      <c r="E3977" s="402" t="s">
        <v>72</v>
      </c>
      <c r="F3977" s="418"/>
      <c r="G3977" s="419"/>
      <c r="H3977" s="442"/>
      <c r="I3977" s="421">
        <f>IF(AND(E3977&lt;&gt;"",G3977&lt;&gt;""),IF(D3977="",IF(G3977="OH",VLOOKUP(E3977,UPAH!$C$4:$H$31,7,0),VLOOKUP(E3977,#REF!,4,0)),0),0)</f>
        <v>0</v>
      </c>
      <c r="J3977" s="396">
        <f>ROUNDDOWN(J3975+J3976,0)</f>
        <v>0</v>
      </c>
    </row>
    <row r="3978" spans="1:10" ht="13">
      <c r="A3978" s="27"/>
      <c r="B3978" s="110"/>
      <c r="D3978" s="11"/>
      <c r="E3978" s="11"/>
      <c r="H3978" s="443"/>
    </row>
    <row r="3979" spans="1:10" ht="13.5" thickBot="1">
      <c r="A3979" s="27"/>
      <c r="B3979" s="110"/>
      <c r="C3979" s="11" t="s">
        <v>894</v>
      </c>
      <c r="D3979" s="10" t="s">
        <v>895</v>
      </c>
      <c r="H3979" s="443"/>
    </row>
    <row r="3980" spans="1:10" ht="13.5" thickBot="1">
      <c r="A3980" s="27"/>
      <c r="B3980" s="110"/>
      <c r="D3980" s="401" t="s">
        <v>40</v>
      </c>
      <c r="E3980" s="402" t="s">
        <v>41</v>
      </c>
      <c r="F3980" s="402" t="s">
        <v>42</v>
      </c>
      <c r="G3980" s="403" t="s">
        <v>43</v>
      </c>
      <c r="H3980" s="404" t="s">
        <v>44</v>
      </c>
      <c r="I3980" s="402" t="s">
        <v>474</v>
      </c>
      <c r="J3980" s="405" t="s">
        <v>475</v>
      </c>
    </row>
    <row r="3981" spans="1:10" ht="13">
      <c r="A3981" s="27"/>
      <c r="B3981" s="110"/>
      <c r="D3981" s="406" t="s">
        <v>45</v>
      </c>
      <c r="E3981" s="13" t="s">
        <v>46</v>
      </c>
      <c r="F3981" s="14"/>
      <c r="G3981" s="15"/>
      <c r="H3981" s="451"/>
      <c r="I3981" s="412">
        <f>IF(AND(E3981&lt;&gt;"",G3981&lt;&gt;""),IF(D3981="",IF(G3981="OH",VLOOKUP(F3981,UPAH!$B$4:$H$101,7,0),VLOOKUP(F3981,#REF!,4,0)),0),0)</f>
        <v>0</v>
      </c>
      <c r="J3981" s="16"/>
    </row>
    <row r="3982" spans="1:10" ht="13">
      <c r="A3982" s="27"/>
      <c r="B3982" s="110"/>
      <c r="D3982" s="409"/>
      <c r="E3982" s="13" t="s">
        <v>47</v>
      </c>
      <c r="F3982" s="13" t="s">
        <v>1918</v>
      </c>
      <c r="G3982" s="410" t="s">
        <v>48</v>
      </c>
      <c r="H3982" s="411">
        <v>0.09</v>
      </c>
      <c r="I3982" s="412">
        <f>IF(AND(E3982&lt;&gt;"",G3982&lt;&gt;""),IF(D3982="",IF(G3982="OH",VLOOKUP(F3982,UPAH!$B$4:$H$101,7,0),VLOOKUP(F3982,#REF!,4,0)),0),0)</f>
        <v>0</v>
      </c>
      <c r="J3982" s="16">
        <f>H3982*I3982</f>
        <v>0</v>
      </c>
    </row>
    <row r="3983" spans="1:10" ht="13">
      <c r="A3983" s="27"/>
      <c r="B3983" s="110"/>
      <c r="D3983" s="409"/>
      <c r="E3983" s="13" t="s">
        <v>115</v>
      </c>
      <c r="F3983" s="13" t="s">
        <v>1921</v>
      </c>
      <c r="G3983" s="410" t="s">
        <v>48</v>
      </c>
      <c r="H3983" s="411">
        <v>0.09</v>
      </c>
      <c r="I3983" s="412">
        <f>IF(AND(E3983&lt;&gt;"",G3983&lt;&gt;""),IF(D3983="",IF(G3983="OH",VLOOKUP(F3983,UPAH!$B$4:$H$101,7,0),VLOOKUP(F3983,#REF!,4,0)),0),0)</f>
        <v>0</v>
      </c>
      <c r="J3983" s="16">
        <f>H3983*I3983</f>
        <v>0</v>
      </c>
    </row>
    <row r="3984" spans="1:10" ht="13">
      <c r="A3984" s="27"/>
      <c r="B3984" s="110"/>
      <c r="D3984" s="409"/>
      <c r="E3984" s="13" t="s">
        <v>50</v>
      </c>
      <c r="F3984" s="13" t="s">
        <v>1928</v>
      </c>
      <c r="G3984" s="410" t="s">
        <v>48</v>
      </c>
      <c r="H3984" s="411">
        <v>8.9999999999999993E-3</v>
      </c>
      <c r="I3984" s="412">
        <f>IF(AND(E3984&lt;&gt;"",G3984&lt;&gt;""),IF(D3984="",IF(G3984="OH",VLOOKUP(F3984,UPAH!$B$4:$H$101,7,0),VLOOKUP(F3984,#REF!,4,0)),0),0)</f>
        <v>0</v>
      </c>
      <c r="J3984" s="16">
        <f>H3984*I3984</f>
        <v>0</v>
      </c>
    </row>
    <row r="3985" spans="1:10" ht="13.5" thickBot="1">
      <c r="A3985" s="27"/>
      <c r="B3985" s="110"/>
      <c r="D3985" s="409"/>
      <c r="E3985" s="13" t="s">
        <v>51</v>
      </c>
      <c r="F3985" s="13" t="s">
        <v>1929</v>
      </c>
      <c r="G3985" s="410" t="s">
        <v>48</v>
      </c>
      <c r="H3985" s="411">
        <v>5.0000000000000001E-3</v>
      </c>
      <c r="I3985" s="412">
        <f>IF(AND(E3985&lt;&gt;"",G3985&lt;&gt;""),IF(D3985="",IF(G3985="OH",VLOOKUP(F3985,UPAH!$B$4:$H$101,7,0),VLOOKUP(F3985,#REF!,4,0)),0),0)</f>
        <v>0</v>
      </c>
      <c r="J3985" s="16">
        <f>H3985*I3985</f>
        <v>0</v>
      </c>
    </row>
    <row r="3986" spans="1:10" ht="13.5" thickBot="1">
      <c r="A3986" s="27"/>
      <c r="B3986" s="110"/>
      <c r="D3986" s="417"/>
      <c r="E3986" s="418"/>
      <c r="F3986" s="418"/>
      <c r="G3986" s="419"/>
      <c r="H3986" s="420" t="s">
        <v>52</v>
      </c>
      <c r="I3986" s="421"/>
      <c r="J3986" s="396">
        <f>SUM(J3982:J3985)</f>
        <v>0</v>
      </c>
    </row>
    <row r="3987" spans="1:10" ht="13">
      <c r="A3987" s="27"/>
      <c r="B3987" s="110"/>
      <c r="D3987" s="406" t="s">
        <v>53</v>
      </c>
      <c r="E3987" s="13" t="s">
        <v>54</v>
      </c>
      <c r="F3987" s="14"/>
      <c r="G3987" s="15"/>
      <c r="H3987" s="451"/>
      <c r="I3987" s="412"/>
      <c r="J3987" s="16"/>
    </row>
    <row r="3988" spans="1:10" ht="13">
      <c r="A3988" s="27"/>
      <c r="B3988" s="110"/>
      <c r="D3988" s="409"/>
      <c r="E3988" s="13" t="s">
        <v>896</v>
      </c>
      <c r="F3988" s="14"/>
      <c r="G3988" s="410" t="s">
        <v>87</v>
      </c>
      <c r="H3988" s="411">
        <v>3.53</v>
      </c>
      <c r="I3988" s="412">
        <f>'BAHAN '!G288</f>
        <v>0</v>
      </c>
      <c r="J3988" s="16">
        <f>H3988*I3988</f>
        <v>0</v>
      </c>
    </row>
    <row r="3989" spans="1:10" ht="13">
      <c r="A3989" s="27"/>
      <c r="B3989" s="110"/>
      <c r="D3989" s="409"/>
      <c r="E3989" s="13" t="s">
        <v>56</v>
      </c>
      <c r="F3989" s="14"/>
      <c r="G3989" s="410" t="s">
        <v>93</v>
      </c>
      <c r="H3989" s="411">
        <v>1.24</v>
      </c>
      <c r="I3989" s="412">
        <f>'BAHAN '!G72</f>
        <v>0</v>
      </c>
      <c r="J3989" s="16">
        <f>H3989*I3989</f>
        <v>0</v>
      </c>
    </row>
    <row r="3990" spans="1:10" ht="13.5" thickBot="1">
      <c r="A3990" s="27"/>
      <c r="B3990" s="110"/>
      <c r="D3990" s="409"/>
      <c r="E3990" s="13" t="s">
        <v>101</v>
      </c>
      <c r="F3990" s="14"/>
      <c r="G3990" s="410" t="s">
        <v>170</v>
      </c>
      <c r="H3990" s="411">
        <v>3.0000000000000001E-3</v>
      </c>
      <c r="I3990" s="412">
        <f>'BAHAN '!G59</f>
        <v>0</v>
      </c>
      <c r="J3990" s="16">
        <f>H3990*I3990</f>
        <v>0</v>
      </c>
    </row>
    <row r="3991" spans="1:10" ht="13.5" thickBot="1">
      <c r="A3991" s="27"/>
      <c r="B3991" s="110"/>
      <c r="D3991" s="417"/>
      <c r="E3991" s="418"/>
      <c r="F3991" s="418"/>
      <c r="G3991" s="419"/>
      <c r="H3991" s="420" t="s">
        <v>64</v>
      </c>
      <c r="I3991" s="421"/>
      <c r="J3991" s="396">
        <f>SUM(J3988:J3990)</f>
        <v>0</v>
      </c>
    </row>
    <row r="3992" spans="1:10" ht="13.5" thickBot="1">
      <c r="A3992" s="27"/>
      <c r="B3992" s="110"/>
      <c r="D3992" s="406" t="s">
        <v>65</v>
      </c>
      <c r="E3992" s="13" t="s">
        <v>66</v>
      </c>
      <c r="F3992" s="14"/>
      <c r="G3992" s="15"/>
      <c r="H3992" s="451"/>
      <c r="I3992" s="412">
        <f>IF(AND(E3992&lt;&gt;"",G3992&lt;&gt;""),IF(D3992="",IF(G3992="OH",VLOOKUP(E3992,UPAH!$C$4:$H$31,7,0),VLOOKUP(E3992,#REF!,4,0)),0),0)</f>
        <v>0</v>
      </c>
      <c r="J3992" s="16">
        <f>H3992*I3992</f>
        <v>0</v>
      </c>
    </row>
    <row r="3993" spans="1:10" ht="13.5" thickBot="1">
      <c r="A3993" s="27"/>
      <c r="B3993" s="110"/>
      <c r="D3993" s="417"/>
      <c r="E3993" s="418"/>
      <c r="F3993" s="418"/>
      <c r="G3993" s="419"/>
      <c r="H3993" s="420" t="s">
        <v>67</v>
      </c>
      <c r="I3993" s="421"/>
      <c r="J3993" s="396">
        <f>J3992</f>
        <v>0</v>
      </c>
    </row>
    <row r="3994" spans="1:10" ht="13">
      <c r="A3994" s="27"/>
      <c r="B3994" s="110"/>
      <c r="D3994" s="444" t="s">
        <v>68</v>
      </c>
      <c r="E3994" s="445" t="s">
        <v>69</v>
      </c>
      <c r="F3994" s="446"/>
      <c r="G3994" s="447"/>
      <c r="H3994" s="448"/>
      <c r="I3994" s="449">
        <f>IF(AND(E3994&lt;&gt;"",G3994&lt;&gt;""),IF(D3994="",IF(G3994="OH",VLOOKUP(E3994,UPAH!$C$4:$H$31,7,0),VLOOKUP(E3994,#REF!,4,0)),0),0)</f>
        <v>0</v>
      </c>
      <c r="J3994" s="16">
        <f>SUM(J3981:J3993)/2</f>
        <v>0</v>
      </c>
    </row>
    <row r="3995" spans="1:10" ht="13.5" thickBot="1">
      <c r="A3995" s="27"/>
      <c r="B3995" s="110"/>
      <c r="D3995" s="431" t="s">
        <v>70</v>
      </c>
      <c r="E3995" s="432" t="s">
        <v>477</v>
      </c>
      <c r="F3995" s="433"/>
      <c r="G3995" s="434"/>
      <c r="H3995" s="22">
        <v>0.1</v>
      </c>
      <c r="I3995" s="436"/>
      <c r="J3995" s="430">
        <f>H3995*J3994</f>
        <v>0</v>
      </c>
    </row>
    <row r="3996" spans="1:10" ht="13.5" thickBot="1">
      <c r="A3996" s="27"/>
      <c r="B3996" s="110"/>
      <c r="D3996" s="401" t="s">
        <v>71</v>
      </c>
      <c r="E3996" s="402" t="s">
        <v>72</v>
      </c>
      <c r="F3996" s="418"/>
      <c r="G3996" s="419"/>
      <c r="H3996" s="442"/>
      <c r="I3996" s="421">
        <f>IF(AND(E3996&lt;&gt;"",G3996&lt;&gt;""),IF(D3996="",IF(G3996="OH",VLOOKUP(E3996,UPAH!$C$4:$H$31,7,0),VLOOKUP(E3996,#REF!,4,0)),0),0)</f>
        <v>0</v>
      </c>
      <c r="J3996" s="396">
        <f>ROUNDDOWN(J3994+J3995,0)</f>
        <v>0</v>
      </c>
    </row>
    <row r="3997" spans="1:10" ht="13">
      <c r="A3997" s="27"/>
      <c r="B3997" s="110"/>
      <c r="D3997" s="11"/>
      <c r="E3997" s="11"/>
      <c r="H3997" s="443"/>
    </row>
    <row r="3998" spans="1:10" ht="13.5" thickBot="1">
      <c r="A3998" s="27"/>
      <c r="B3998" s="110"/>
      <c r="C3998" s="11" t="s">
        <v>930</v>
      </c>
      <c r="D3998" s="10" t="s">
        <v>931</v>
      </c>
      <c r="H3998" s="443"/>
    </row>
    <row r="3999" spans="1:10" ht="13.5" thickBot="1">
      <c r="A3999" s="27"/>
      <c r="B3999" s="110"/>
      <c r="D3999" s="401" t="s">
        <v>40</v>
      </c>
      <c r="E3999" s="402" t="s">
        <v>41</v>
      </c>
      <c r="F3999" s="402" t="s">
        <v>42</v>
      </c>
      <c r="G3999" s="403" t="s">
        <v>43</v>
      </c>
      <c r="H3999" s="404" t="s">
        <v>44</v>
      </c>
      <c r="I3999" s="402" t="s">
        <v>474</v>
      </c>
      <c r="J3999" s="405" t="s">
        <v>475</v>
      </c>
    </row>
    <row r="4000" spans="1:10" ht="13">
      <c r="A4000" s="27"/>
      <c r="B4000" s="110"/>
      <c r="D4000" s="406" t="s">
        <v>45</v>
      </c>
      <c r="E4000" s="13" t="s">
        <v>46</v>
      </c>
      <c r="F4000" s="14"/>
      <c r="G4000" s="15"/>
      <c r="H4000" s="451"/>
      <c r="I4000" s="412"/>
      <c r="J4000" s="16"/>
    </row>
    <row r="4001" spans="1:10" ht="13">
      <c r="A4001" s="27"/>
      <c r="B4001" s="110"/>
      <c r="D4001" s="409"/>
      <c r="E4001" s="13" t="s">
        <v>47</v>
      </c>
      <c r="F4001" s="13" t="s">
        <v>1918</v>
      </c>
      <c r="G4001" s="410" t="s">
        <v>48</v>
      </c>
      <c r="H4001" s="411">
        <v>0.09</v>
      </c>
      <c r="I4001" s="412">
        <f>IF(AND(E4001&lt;&gt;"",G4001&lt;&gt;""),IF(D4001="",IF(G4001="OH",VLOOKUP(F4001,UPAH!$B$4:$H$101,7,0),VLOOKUP(F4001,#REF!,4,0)),0),0)</f>
        <v>0</v>
      </c>
      <c r="J4001" s="16">
        <f>H4001*I4001</f>
        <v>0</v>
      </c>
    </row>
    <row r="4002" spans="1:10" ht="13">
      <c r="A4002" s="27"/>
      <c r="B4002" s="110"/>
      <c r="D4002" s="409"/>
      <c r="E4002" s="13" t="s">
        <v>115</v>
      </c>
      <c r="F4002" s="13" t="s">
        <v>1921</v>
      </c>
      <c r="G4002" s="410" t="s">
        <v>48</v>
      </c>
      <c r="H4002" s="411">
        <v>0.09</v>
      </c>
      <c r="I4002" s="412">
        <f>IF(AND(E4002&lt;&gt;"",G4002&lt;&gt;""),IF(D4002="",IF(G4002="OH",VLOOKUP(F4002,UPAH!$B$4:$H$101,7,0),VLOOKUP(F4002,#REF!,4,0)),0),0)</f>
        <v>0</v>
      </c>
      <c r="J4002" s="16">
        <f>H4002*I4002</f>
        <v>0</v>
      </c>
    </row>
    <row r="4003" spans="1:10" ht="13">
      <c r="A4003" s="27"/>
      <c r="B4003" s="110"/>
      <c r="D4003" s="409"/>
      <c r="E4003" s="13" t="s">
        <v>50</v>
      </c>
      <c r="F4003" s="13" t="s">
        <v>1928</v>
      </c>
      <c r="G4003" s="410" t="s">
        <v>48</v>
      </c>
      <c r="H4003" s="411">
        <v>8.9999999999999993E-3</v>
      </c>
      <c r="I4003" s="412">
        <f>IF(AND(E4003&lt;&gt;"",G4003&lt;&gt;""),IF(D4003="",IF(G4003="OH",VLOOKUP(F4003,UPAH!$B$4:$H$101,7,0),VLOOKUP(F4003,#REF!,4,0)),0),0)</f>
        <v>0</v>
      </c>
      <c r="J4003" s="16">
        <f>H4003*I4003</f>
        <v>0</v>
      </c>
    </row>
    <row r="4004" spans="1:10" ht="13.5" thickBot="1">
      <c r="A4004" s="27"/>
      <c r="B4004" s="110"/>
      <c r="D4004" s="409"/>
      <c r="E4004" s="13" t="s">
        <v>51</v>
      </c>
      <c r="F4004" s="13" t="s">
        <v>1929</v>
      </c>
      <c r="G4004" s="410" t="s">
        <v>48</v>
      </c>
      <c r="H4004" s="411">
        <v>5.0000000000000001E-3</v>
      </c>
      <c r="I4004" s="412">
        <f>IF(AND(E4004&lt;&gt;"",G4004&lt;&gt;""),IF(D4004="",IF(G4004="OH",VLOOKUP(F4004,UPAH!$B$4:$H$101,7,0),VLOOKUP(F4004,#REF!,4,0)),0),0)</f>
        <v>0</v>
      </c>
      <c r="J4004" s="16">
        <f>H4004*I4004</f>
        <v>0</v>
      </c>
    </row>
    <row r="4005" spans="1:10" ht="13.5" thickBot="1">
      <c r="A4005" s="27"/>
      <c r="B4005" s="110"/>
      <c r="D4005" s="417"/>
      <c r="E4005" s="418"/>
      <c r="F4005" s="418"/>
      <c r="G4005" s="419"/>
      <c r="H4005" s="420" t="s">
        <v>52</v>
      </c>
      <c r="I4005" s="421"/>
      <c r="J4005" s="396">
        <f>SUM(J4001:J4004)</f>
        <v>0</v>
      </c>
    </row>
    <row r="4006" spans="1:10" ht="13">
      <c r="A4006" s="27"/>
      <c r="B4006" s="110"/>
      <c r="D4006" s="406" t="s">
        <v>53</v>
      </c>
      <c r="E4006" s="13" t="s">
        <v>54</v>
      </c>
      <c r="F4006" s="14"/>
      <c r="G4006" s="15"/>
      <c r="H4006" s="451"/>
      <c r="I4006" s="412"/>
      <c r="J4006" s="16"/>
    </row>
    <row r="4007" spans="1:10" ht="13">
      <c r="A4007" s="27"/>
      <c r="B4007" s="110"/>
      <c r="D4007" s="409"/>
      <c r="E4007" s="13" t="s">
        <v>932</v>
      </c>
      <c r="F4007" s="14"/>
      <c r="G4007" s="410" t="s">
        <v>87</v>
      </c>
      <c r="H4007" s="411">
        <v>2.65</v>
      </c>
      <c r="I4007" s="412">
        <f>'BAHAN '!G289</f>
        <v>0</v>
      </c>
      <c r="J4007" s="16">
        <f>H4007*I4007</f>
        <v>0</v>
      </c>
    </row>
    <row r="4008" spans="1:10" ht="13">
      <c r="A4008" s="27"/>
      <c r="B4008" s="110"/>
      <c r="D4008" s="409"/>
      <c r="E4008" s="13" t="s">
        <v>56</v>
      </c>
      <c r="F4008" s="14"/>
      <c r="G4008" s="410" t="s">
        <v>93</v>
      </c>
      <c r="H4008" s="411">
        <v>1.24</v>
      </c>
      <c r="I4008" s="412">
        <f>'BAHAN '!G72</f>
        <v>0</v>
      </c>
      <c r="J4008" s="16">
        <f>H4008*I4008</f>
        <v>0</v>
      </c>
    </row>
    <row r="4009" spans="1:10" ht="13.5" thickBot="1">
      <c r="A4009" s="27"/>
      <c r="B4009" s="110"/>
      <c r="D4009" s="409"/>
      <c r="E4009" s="13" t="s">
        <v>85</v>
      </c>
      <c r="F4009" s="14"/>
      <c r="G4009" s="410" t="s">
        <v>170</v>
      </c>
      <c r="H4009" s="411">
        <v>3.0000000000000001E-3</v>
      </c>
      <c r="I4009" s="412">
        <f>'BAHAN '!G59</f>
        <v>0</v>
      </c>
      <c r="J4009" s="16">
        <f>H4009*I4009</f>
        <v>0</v>
      </c>
    </row>
    <row r="4010" spans="1:10" ht="13.5" thickBot="1">
      <c r="A4010" s="27"/>
      <c r="B4010" s="110"/>
      <c r="D4010" s="417"/>
      <c r="E4010" s="418"/>
      <c r="F4010" s="418"/>
      <c r="G4010" s="419"/>
      <c r="H4010" s="420" t="s">
        <v>64</v>
      </c>
      <c r="I4010" s="421"/>
      <c r="J4010" s="396">
        <f>SUM(J4007:J4009)</f>
        <v>0</v>
      </c>
    </row>
    <row r="4011" spans="1:10" ht="13.5" thickBot="1">
      <c r="A4011" s="27"/>
      <c r="B4011" s="110"/>
      <c r="D4011" s="406" t="s">
        <v>65</v>
      </c>
      <c r="E4011" s="13" t="s">
        <v>66</v>
      </c>
      <c r="F4011" s="14"/>
      <c r="G4011" s="15"/>
      <c r="H4011" s="451"/>
      <c r="I4011" s="412">
        <f>IF(AND(E4011&lt;&gt;"",G4011&lt;&gt;""),IF(D4011="",IF(G4011="OH",VLOOKUP(E4011,UPAH!$C$4:$H$31,7,0),VLOOKUP(E4011,#REF!,4,0)),0),0)</f>
        <v>0</v>
      </c>
      <c r="J4011" s="16">
        <f>H4011*I4011</f>
        <v>0</v>
      </c>
    </row>
    <row r="4012" spans="1:10" ht="13.5" thickBot="1">
      <c r="A4012" s="27"/>
      <c r="B4012" s="110"/>
      <c r="D4012" s="417"/>
      <c r="E4012" s="418"/>
      <c r="F4012" s="418"/>
      <c r="G4012" s="419"/>
      <c r="H4012" s="420" t="s">
        <v>67</v>
      </c>
      <c r="I4012" s="421"/>
      <c r="J4012" s="396">
        <f>J4011</f>
        <v>0</v>
      </c>
    </row>
    <row r="4013" spans="1:10" ht="13">
      <c r="A4013" s="27"/>
      <c r="B4013" s="110"/>
      <c r="D4013" s="444" t="s">
        <v>68</v>
      </c>
      <c r="E4013" s="445" t="s">
        <v>69</v>
      </c>
      <c r="F4013" s="446"/>
      <c r="G4013" s="447"/>
      <c r="H4013" s="448"/>
      <c r="I4013" s="449">
        <f>IF(AND(E4013&lt;&gt;"",G4013&lt;&gt;""),IF(D4013="",IF(G4013="OH",VLOOKUP(E4013,UPAH!$C$4:$H$31,7,0),VLOOKUP(E4013,#REF!,4,0)),0),0)</f>
        <v>0</v>
      </c>
      <c r="J4013" s="16">
        <f>SUM(J4000:J4012)/2</f>
        <v>0</v>
      </c>
    </row>
    <row r="4014" spans="1:10" ht="13.5" thickBot="1">
      <c r="A4014" s="27"/>
      <c r="B4014" s="110"/>
      <c r="D4014" s="431" t="s">
        <v>70</v>
      </c>
      <c r="E4014" s="432" t="s">
        <v>477</v>
      </c>
      <c r="F4014" s="433"/>
      <c r="G4014" s="434"/>
      <c r="H4014" s="22">
        <v>0.1</v>
      </c>
      <c r="I4014" s="436"/>
      <c r="J4014" s="430">
        <f>H4014*J4013</f>
        <v>0</v>
      </c>
    </row>
    <row r="4015" spans="1:10" ht="13.5" thickBot="1">
      <c r="A4015" s="27"/>
      <c r="B4015" s="110"/>
      <c r="D4015" s="401" t="s">
        <v>71</v>
      </c>
      <c r="E4015" s="402" t="s">
        <v>72</v>
      </c>
      <c r="F4015" s="418"/>
      <c r="G4015" s="419"/>
      <c r="H4015" s="442"/>
      <c r="I4015" s="421">
        <f>IF(AND(E4015&lt;&gt;"",G4015&lt;&gt;""),IF(D4015="",IF(G4015="OH",VLOOKUP(E4015,UPAH!$C$4:$H$31,7,0),VLOOKUP(E4015,#REF!,4,0)),0),0)</f>
        <v>0</v>
      </c>
      <c r="J4015" s="396">
        <f>ROUNDDOWN(J4013+J4014,0)</f>
        <v>0</v>
      </c>
    </row>
    <row r="4016" spans="1:10" ht="13">
      <c r="A4016" s="27"/>
      <c r="B4016" s="110"/>
      <c r="D4016" s="11"/>
      <c r="E4016" s="11"/>
      <c r="H4016" s="443"/>
    </row>
    <row r="4017" spans="1:10" ht="13.5" thickBot="1">
      <c r="A4017" s="27"/>
      <c r="B4017" s="110"/>
      <c r="C4017" s="11" t="s">
        <v>924</v>
      </c>
      <c r="D4017" s="10" t="s">
        <v>925</v>
      </c>
      <c r="H4017" s="443"/>
    </row>
    <row r="4018" spans="1:10" ht="13.5" thickBot="1">
      <c r="A4018" s="27"/>
      <c r="B4018" s="110"/>
      <c r="D4018" s="401" t="s">
        <v>40</v>
      </c>
      <c r="E4018" s="402" t="s">
        <v>41</v>
      </c>
      <c r="F4018" s="402" t="s">
        <v>42</v>
      </c>
      <c r="G4018" s="403" t="s">
        <v>43</v>
      </c>
      <c r="H4018" s="404" t="s">
        <v>44</v>
      </c>
      <c r="I4018" s="402" t="s">
        <v>474</v>
      </c>
      <c r="J4018" s="405" t="s">
        <v>475</v>
      </c>
    </row>
    <row r="4019" spans="1:10" ht="13">
      <c r="A4019" s="27"/>
      <c r="B4019" s="110"/>
      <c r="D4019" s="406" t="s">
        <v>45</v>
      </c>
      <c r="E4019" s="13" t="s">
        <v>46</v>
      </c>
      <c r="F4019" s="14"/>
      <c r="G4019" s="15"/>
      <c r="H4019" s="451"/>
      <c r="I4019" s="412"/>
      <c r="J4019" s="16"/>
    </row>
    <row r="4020" spans="1:10" ht="13">
      <c r="A4020" s="27"/>
      <c r="B4020" s="110"/>
      <c r="D4020" s="409"/>
      <c r="E4020" s="13" t="s">
        <v>47</v>
      </c>
      <c r="F4020" s="13" t="s">
        <v>1918</v>
      </c>
      <c r="G4020" s="410" t="s">
        <v>48</v>
      </c>
      <c r="H4020" s="411">
        <v>0.09</v>
      </c>
      <c r="I4020" s="412">
        <f>IF(AND(E4020&lt;&gt;"",G4020&lt;&gt;""),IF(D4020="",IF(G4020="OH",VLOOKUP(F4020,UPAH!$B$4:$H$101,7,0),VLOOKUP(F4020,#REF!,4,0)),0),0)</f>
        <v>0</v>
      </c>
      <c r="J4020" s="16">
        <f>H4020*I4020</f>
        <v>0</v>
      </c>
    </row>
    <row r="4021" spans="1:10" ht="13">
      <c r="A4021" s="27"/>
      <c r="B4021" s="110"/>
      <c r="D4021" s="409"/>
      <c r="E4021" s="13" t="s">
        <v>115</v>
      </c>
      <c r="F4021" s="13" t="s">
        <v>1921</v>
      </c>
      <c r="G4021" s="410" t="s">
        <v>48</v>
      </c>
      <c r="H4021" s="411">
        <v>0.09</v>
      </c>
      <c r="I4021" s="412">
        <f>IF(AND(E4021&lt;&gt;"",G4021&lt;&gt;""),IF(D4021="",IF(G4021="OH",VLOOKUP(F4021,UPAH!$B$4:$H$101,7,0),VLOOKUP(F4021,#REF!,4,0)),0),0)</f>
        <v>0</v>
      </c>
      <c r="J4021" s="16">
        <f>H4021*I4021</f>
        <v>0</v>
      </c>
    </row>
    <row r="4022" spans="1:10" ht="13">
      <c r="A4022" s="27"/>
      <c r="B4022" s="110"/>
      <c r="D4022" s="409"/>
      <c r="E4022" s="13" t="s">
        <v>50</v>
      </c>
      <c r="F4022" s="13" t="s">
        <v>1928</v>
      </c>
      <c r="G4022" s="410" t="s">
        <v>48</v>
      </c>
      <c r="H4022" s="411">
        <v>8.9999999999999993E-3</v>
      </c>
      <c r="I4022" s="412">
        <f>IF(AND(E4022&lt;&gt;"",G4022&lt;&gt;""),IF(D4022="",IF(G4022="OH",VLOOKUP(F4022,UPAH!$B$4:$H$101,7,0),VLOOKUP(F4022,#REF!,4,0)),0),0)</f>
        <v>0</v>
      </c>
      <c r="J4022" s="16">
        <f>H4022*I4022</f>
        <v>0</v>
      </c>
    </row>
    <row r="4023" spans="1:10" ht="13.5" thickBot="1">
      <c r="A4023" s="27"/>
      <c r="B4023" s="110"/>
      <c r="D4023" s="409"/>
      <c r="E4023" s="13" t="s">
        <v>51</v>
      </c>
      <c r="F4023" s="13" t="s">
        <v>1929</v>
      </c>
      <c r="G4023" s="410" t="s">
        <v>48</v>
      </c>
      <c r="H4023" s="411">
        <v>5.0000000000000001E-3</v>
      </c>
      <c r="I4023" s="412">
        <f>IF(AND(E4023&lt;&gt;"",G4023&lt;&gt;""),IF(D4023="",IF(G4023="OH",VLOOKUP(F4023,UPAH!$B$4:$H$101,7,0),VLOOKUP(F4023,#REF!,4,0)),0),0)</f>
        <v>0</v>
      </c>
      <c r="J4023" s="16">
        <f>H4023*I4023</f>
        <v>0</v>
      </c>
    </row>
    <row r="4024" spans="1:10" ht="13.5" thickBot="1">
      <c r="A4024" s="27"/>
      <c r="B4024" s="110"/>
      <c r="D4024" s="417"/>
      <c r="E4024" s="418"/>
      <c r="F4024" s="418"/>
      <c r="G4024" s="419"/>
      <c r="H4024" s="420" t="s">
        <v>52</v>
      </c>
      <c r="I4024" s="421"/>
      <c r="J4024" s="396">
        <f>SUM(J4020:J4023)</f>
        <v>0</v>
      </c>
    </row>
    <row r="4025" spans="1:10" ht="13">
      <c r="A4025" s="27"/>
      <c r="B4025" s="110"/>
      <c r="D4025" s="406" t="s">
        <v>53</v>
      </c>
      <c r="E4025" s="13" t="s">
        <v>54</v>
      </c>
      <c r="F4025" s="14"/>
      <c r="G4025" s="15"/>
      <c r="H4025" s="451"/>
      <c r="I4025" s="412"/>
      <c r="J4025" s="16"/>
    </row>
    <row r="4026" spans="1:10" ht="13">
      <c r="A4026" s="27"/>
      <c r="B4026" s="110"/>
      <c r="D4026" s="409"/>
      <c r="E4026" s="13" t="s">
        <v>926</v>
      </c>
      <c r="F4026" s="14"/>
      <c r="G4026" s="410" t="s">
        <v>87</v>
      </c>
      <c r="H4026" s="411">
        <v>5</v>
      </c>
      <c r="I4026" s="412">
        <f>'BAHAN '!G300</f>
        <v>0</v>
      </c>
      <c r="J4026" s="16">
        <f>H4026*I4026</f>
        <v>0</v>
      </c>
    </row>
    <row r="4027" spans="1:10" ht="13">
      <c r="A4027" s="27"/>
      <c r="B4027" s="110"/>
      <c r="D4027" s="409"/>
      <c r="E4027" s="13" t="s">
        <v>56</v>
      </c>
      <c r="F4027" s="14"/>
      <c r="G4027" s="410" t="s">
        <v>93</v>
      </c>
      <c r="H4027" s="411">
        <v>1.1399999999999999</v>
      </c>
      <c r="I4027" s="412">
        <f>'BAHAN '!G72</f>
        <v>0</v>
      </c>
      <c r="J4027" s="16">
        <f>H4027*I4027</f>
        <v>0</v>
      </c>
    </row>
    <row r="4028" spans="1:10" ht="13">
      <c r="A4028" s="27"/>
      <c r="B4028" s="110"/>
      <c r="D4028" s="409"/>
      <c r="E4028" s="13" t="s">
        <v>442</v>
      </c>
      <c r="F4028" s="14"/>
      <c r="G4028" s="410" t="s">
        <v>57</v>
      </c>
      <c r="H4028" s="411">
        <v>0.1</v>
      </c>
      <c r="I4028" s="412">
        <f>'BAHAN '!G74</f>
        <v>0</v>
      </c>
      <c r="J4028" s="16">
        <f>H4028*I4028</f>
        <v>0</v>
      </c>
    </row>
    <row r="4029" spans="1:10" ht="13.5" thickBot="1">
      <c r="A4029" s="27"/>
      <c r="B4029" s="110"/>
      <c r="D4029" s="409"/>
      <c r="E4029" s="13" t="s">
        <v>101</v>
      </c>
      <c r="F4029" s="14"/>
      <c r="G4029" s="410" t="s">
        <v>170</v>
      </c>
      <c r="H4029" s="411">
        <v>3.0000000000000001E-3</v>
      </c>
      <c r="I4029" s="412">
        <f>'BAHAN '!G59</f>
        <v>0</v>
      </c>
      <c r="J4029" s="16">
        <f>H4029*I4029</f>
        <v>0</v>
      </c>
    </row>
    <row r="4030" spans="1:10" ht="13.5" thickBot="1">
      <c r="A4030" s="27"/>
      <c r="B4030" s="110"/>
      <c r="D4030" s="417"/>
      <c r="E4030" s="418"/>
      <c r="F4030" s="418"/>
      <c r="G4030" s="419"/>
      <c r="H4030" s="420" t="s">
        <v>64</v>
      </c>
      <c r="I4030" s="421"/>
      <c r="J4030" s="396">
        <f>SUM(J4026:J4029)</f>
        <v>0</v>
      </c>
    </row>
    <row r="4031" spans="1:10" ht="13.5" thickBot="1">
      <c r="A4031" s="27"/>
      <c r="B4031" s="110"/>
      <c r="D4031" s="406" t="s">
        <v>65</v>
      </c>
      <c r="E4031" s="13" t="s">
        <v>66</v>
      </c>
      <c r="F4031" s="14"/>
      <c r="G4031" s="15"/>
      <c r="H4031" s="451"/>
      <c r="I4031" s="412">
        <f>IF(AND(E4031&lt;&gt;"",G4031&lt;&gt;""),IF(D4031="",IF(G4031="OH",VLOOKUP(E4031,UPAH!$C$4:$H$31,7,0),VLOOKUP(E4031,#REF!,4,0)),0),0)</f>
        <v>0</v>
      </c>
      <c r="J4031" s="16">
        <f>H4031*I4031</f>
        <v>0</v>
      </c>
    </row>
    <row r="4032" spans="1:10" ht="13.5" thickBot="1">
      <c r="A4032" s="27"/>
      <c r="B4032" s="110"/>
      <c r="D4032" s="417"/>
      <c r="E4032" s="418"/>
      <c r="F4032" s="418"/>
      <c r="G4032" s="419"/>
      <c r="H4032" s="420" t="s">
        <v>67</v>
      </c>
      <c r="I4032" s="421"/>
      <c r="J4032" s="396">
        <f>J4031</f>
        <v>0</v>
      </c>
    </row>
    <row r="4033" spans="1:10" ht="13">
      <c r="A4033" s="27"/>
      <c r="B4033" s="110"/>
      <c r="D4033" s="444" t="s">
        <v>68</v>
      </c>
      <c r="E4033" s="445" t="s">
        <v>69</v>
      </c>
      <c r="F4033" s="446"/>
      <c r="G4033" s="447"/>
      <c r="H4033" s="448"/>
      <c r="I4033" s="449">
        <f>IF(AND(E4033&lt;&gt;"",G4033&lt;&gt;""),IF(D4033="",IF(G4033="OH",VLOOKUP(E4033,UPAH!$C$4:$H$31,7,0),VLOOKUP(E4033,#REF!,4,0)),0),0)</f>
        <v>0</v>
      </c>
      <c r="J4033" s="16">
        <f>SUM(J4020:J4032)/2</f>
        <v>0</v>
      </c>
    </row>
    <row r="4034" spans="1:10" ht="13.5" thickBot="1">
      <c r="A4034" s="27"/>
      <c r="B4034" s="110"/>
      <c r="D4034" s="431" t="s">
        <v>70</v>
      </c>
      <c r="E4034" s="432" t="s">
        <v>477</v>
      </c>
      <c r="F4034" s="433"/>
      <c r="G4034" s="434"/>
      <c r="H4034" s="22">
        <v>0.1</v>
      </c>
      <c r="I4034" s="436"/>
      <c r="J4034" s="430">
        <f>H4034*J4033</f>
        <v>0</v>
      </c>
    </row>
    <row r="4035" spans="1:10" ht="13.5" thickBot="1">
      <c r="A4035" s="27"/>
      <c r="B4035" s="110"/>
      <c r="D4035" s="401" t="s">
        <v>71</v>
      </c>
      <c r="E4035" s="402" t="s">
        <v>72</v>
      </c>
      <c r="F4035" s="418"/>
      <c r="G4035" s="419"/>
      <c r="H4035" s="442"/>
      <c r="I4035" s="421">
        <f>IF(AND(E4035&lt;&gt;"",G4035&lt;&gt;""),IF(D4035="",IF(G4035="OH",VLOOKUP(E4035,UPAH!$C$4:$H$31,7,0),VLOOKUP(E4035,#REF!,4,0)),0),0)</f>
        <v>0</v>
      </c>
      <c r="J4035" s="396">
        <f>ROUNDDOWN(J4033+J4034,0)</f>
        <v>0</v>
      </c>
    </row>
    <row r="4036" spans="1:10" ht="13">
      <c r="A4036" s="27"/>
      <c r="B4036" s="110"/>
      <c r="D4036" s="11"/>
      <c r="E4036" s="11"/>
      <c r="H4036" s="443"/>
    </row>
    <row r="4037" spans="1:10" ht="13.5" thickBot="1">
      <c r="A4037" s="27"/>
      <c r="B4037" s="110"/>
      <c r="C4037" s="11" t="s">
        <v>927</v>
      </c>
      <c r="D4037" s="10" t="s">
        <v>928</v>
      </c>
      <c r="H4037" s="443"/>
    </row>
    <row r="4038" spans="1:10" ht="13.5" thickBot="1">
      <c r="A4038" s="27"/>
      <c r="B4038" s="110"/>
      <c r="D4038" s="401" t="s">
        <v>40</v>
      </c>
      <c r="E4038" s="402" t="s">
        <v>41</v>
      </c>
      <c r="F4038" s="402" t="s">
        <v>42</v>
      </c>
      <c r="G4038" s="403" t="s">
        <v>43</v>
      </c>
      <c r="H4038" s="404" t="s">
        <v>44</v>
      </c>
      <c r="I4038" s="402" t="s">
        <v>474</v>
      </c>
      <c r="J4038" s="405" t="s">
        <v>475</v>
      </c>
    </row>
    <row r="4039" spans="1:10" ht="13">
      <c r="A4039" s="27"/>
      <c r="B4039" s="110"/>
      <c r="D4039" s="406" t="s">
        <v>45</v>
      </c>
      <c r="E4039" s="13" t="s">
        <v>46</v>
      </c>
      <c r="F4039" s="14"/>
      <c r="G4039" s="15"/>
      <c r="H4039" s="451"/>
      <c r="I4039" s="412"/>
      <c r="J4039" s="16"/>
    </row>
    <row r="4040" spans="1:10" ht="13">
      <c r="A4040" s="27"/>
      <c r="B4040" s="110"/>
      <c r="D4040" s="409"/>
      <c r="E4040" s="13" t="s">
        <v>47</v>
      </c>
      <c r="F4040" s="13" t="s">
        <v>1918</v>
      </c>
      <c r="G4040" s="410" t="s">
        <v>48</v>
      </c>
      <c r="H4040" s="411">
        <v>0.09</v>
      </c>
      <c r="I4040" s="412">
        <f>IF(AND(E4040&lt;&gt;"",G4040&lt;&gt;""),IF(D4040="",IF(G4040="OH",VLOOKUP(F4040,UPAH!$B$4:$H$101,7,0),VLOOKUP(F4040,#REF!,4,0)),0),0)</f>
        <v>0</v>
      </c>
      <c r="J4040" s="16">
        <f>H4040*I4040</f>
        <v>0</v>
      </c>
    </row>
    <row r="4041" spans="1:10" ht="13">
      <c r="A4041" s="27"/>
      <c r="B4041" s="110"/>
      <c r="D4041" s="409"/>
      <c r="E4041" s="13" t="s">
        <v>115</v>
      </c>
      <c r="F4041" s="13" t="s">
        <v>1921</v>
      </c>
      <c r="G4041" s="410" t="s">
        <v>48</v>
      </c>
      <c r="H4041" s="411">
        <v>0.09</v>
      </c>
      <c r="I4041" s="412">
        <f>IF(AND(E4041&lt;&gt;"",G4041&lt;&gt;""),IF(D4041="",IF(G4041="OH",VLOOKUP(F4041,UPAH!$B$4:$H$101,7,0),VLOOKUP(F4041,#REF!,4,0)),0),0)</f>
        <v>0</v>
      </c>
      <c r="J4041" s="16">
        <f>H4041*I4041</f>
        <v>0</v>
      </c>
    </row>
    <row r="4042" spans="1:10" ht="13">
      <c r="A4042" s="27"/>
      <c r="B4042" s="110"/>
      <c r="D4042" s="409"/>
      <c r="E4042" s="13" t="s">
        <v>50</v>
      </c>
      <c r="F4042" s="13" t="s">
        <v>1928</v>
      </c>
      <c r="G4042" s="410" t="s">
        <v>48</v>
      </c>
      <c r="H4042" s="411">
        <v>8.9999999999999993E-3</v>
      </c>
      <c r="I4042" s="412">
        <f>IF(AND(E4042&lt;&gt;"",G4042&lt;&gt;""),IF(D4042="",IF(G4042="OH",VLOOKUP(F4042,UPAH!$B$4:$H$101,7,0),VLOOKUP(F4042,#REF!,4,0)),0),0)</f>
        <v>0</v>
      </c>
      <c r="J4042" s="16">
        <f>H4042*I4042</f>
        <v>0</v>
      </c>
    </row>
    <row r="4043" spans="1:10" ht="13.5" thickBot="1">
      <c r="A4043" s="27"/>
      <c r="B4043" s="110"/>
      <c r="D4043" s="409"/>
      <c r="E4043" s="13" t="s">
        <v>51</v>
      </c>
      <c r="F4043" s="13" t="s">
        <v>1929</v>
      </c>
      <c r="G4043" s="410" t="s">
        <v>48</v>
      </c>
      <c r="H4043" s="411">
        <v>5.0000000000000001E-3</v>
      </c>
      <c r="I4043" s="412">
        <f>IF(AND(E4043&lt;&gt;"",G4043&lt;&gt;""),IF(D4043="",IF(G4043="OH",VLOOKUP(F4043,UPAH!$B$4:$H$101,7,0),VLOOKUP(F4043,#REF!,4,0)),0),0)</f>
        <v>0</v>
      </c>
      <c r="J4043" s="16">
        <f>H4043*I4043</f>
        <v>0</v>
      </c>
    </row>
    <row r="4044" spans="1:10" ht="13.5" thickBot="1">
      <c r="A4044" s="27"/>
      <c r="B4044" s="110"/>
      <c r="D4044" s="417"/>
      <c r="E4044" s="418"/>
      <c r="F4044" s="418"/>
      <c r="G4044" s="419"/>
      <c r="H4044" s="420" t="s">
        <v>52</v>
      </c>
      <c r="I4044" s="421"/>
      <c r="J4044" s="396">
        <f>SUM(J4040:J4043)</f>
        <v>0</v>
      </c>
    </row>
    <row r="4045" spans="1:10" ht="13">
      <c r="A4045" s="27"/>
      <c r="B4045" s="110"/>
      <c r="D4045" s="406" t="s">
        <v>53</v>
      </c>
      <c r="E4045" s="13" t="s">
        <v>54</v>
      </c>
      <c r="F4045" s="14"/>
      <c r="G4045" s="15"/>
      <c r="H4045" s="451"/>
      <c r="I4045" s="412"/>
      <c r="J4045" s="16"/>
    </row>
    <row r="4046" spans="1:10" ht="13">
      <c r="A4046" s="27"/>
      <c r="B4046" s="110"/>
      <c r="D4046" s="409"/>
      <c r="E4046" s="13" t="s">
        <v>929</v>
      </c>
      <c r="F4046" s="14"/>
      <c r="G4046" s="410" t="s">
        <v>87</v>
      </c>
      <c r="H4046" s="411">
        <v>3.53</v>
      </c>
      <c r="I4046" s="412">
        <f>'BAHAN '!G300</f>
        <v>0</v>
      </c>
      <c r="J4046" s="16">
        <f>H4046*I4046</f>
        <v>0</v>
      </c>
    </row>
    <row r="4047" spans="1:10" ht="13">
      <c r="A4047" s="27"/>
      <c r="B4047" s="110"/>
      <c r="D4047" s="409"/>
      <c r="E4047" s="13" t="s">
        <v>56</v>
      </c>
      <c r="F4047" s="14"/>
      <c r="G4047" s="410" t="s">
        <v>93</v>
      </c>
      <c r="H4047" s="411">
        <v>1.1399999999999999</v>
      </c>
      <c r="I4047" s="412">
        <f>'BAHAN '!G72</f>
        <v>0</v>
      </c>
      <c r="J4047" s="16">
        <f>H4047*I4047</f>
        <v>0</v>
      </c>
    </row>
    <row r="4048" spans="1:10" ht="13">
      <c r="A4048" s="27"/>
      <c r="B4048" s="110"/>
      <c r="D4048" s="409"/>
      <c r="E4048" s="13" t="s">
        <v>442</v>
      </c>
      <c r="F4048" s="14"/>
      <c r="G4048" s="410" t="s">
        <v>57</v>
      </c>
      <c r="H4048" s="411">
        <v>0.1</v>
      </c>
      <c r="I4048" s="412">
        <f>'BAHAN '!G74</f>
        <v>0</v>
      </c>
      <c r="J4048" s="16">
        <f>H4048*I4048</f>
        <v>0</v>
      </c>
    </row>
    <row r="4049" spans="1:10" ht="13.5" thickBot="1">
      <c r="A4049" s="27"/>
      <c r="B4049" s="110"/>
      <c r="D4049" s="409"/>
      <c r="E4049" s="13" t="s">
        <v>101</v>
      </c>
      <c r="F4049" s="14"/>
      <c r="G4049" s="410" t="s">
        <v>170</v>
      </c>
      <c r="H4049" s="411">
        <v>3.0000000000000001E-3</v>
      </c>
      <c r="I4049" s="412">
        <f>'BAHAN '!G59</f>
        <v>0</v>
      </c>
      <c r="J4049" s="16">
        <f>H4049*I4049</f>
        <v>0</v>
      </c>
    </row>
    <row r="4050" spans="1:10" ht="13.5" thickBot="1">
      <c r="A4050" s="27"/>
      <c r="B4050" s="110"/>
      <c r="D4050" s="417"/>
      <c r="E4050" s="418"/>
      <c r="F4050" s="418"/>
      <c r="G4050" s="419"/>
      <c r="H4050" s="420" t="s">
        <v>64</v>
      </c>
      <c r="I4050" s="421"/>
      <c r="J4050" s="396">
        <f>SUM(J4046:J4049)</f>
        <v>0</v>
      </c>
    </row>
    <row r="4051" spans="1:10" ht="13.5" thickBot="1">
      <c r="A4051" s="27"/>
      <c r="B4051" s="110"/>
      <c r="D4051" s="406" t="s">
        <v>65</v>
      </c>
      <c r="E4051" s="13" t="s">
        <v>66</v>
      </c>
      <c r="F4051" s="14"/>
      <c r="G4051" s="15"/>
      <c r="H4051" s="451"/>
      <c r="I4051" s="412">
        <f>IF(AND(E4051&lt;&gt;"",G4051&lt;&gt;""),IF(D4051="",IF(G4051="OH",VLOOKUP(E4051,UPAH!$C$4:$H$31,7,0),VLOOKUP(E4051,#REF!,4,0)),0),0)</f>
        <v>0</v>
      </c>
      <c r="J4051" s="16">
        <f>H4051*I4051</f>
        <v>0</v>
      </c>
    </row>
    <row r="4052" spans="1:10" ht="13.5" thickBot="1">
      <c r="A4052" s="27"/>
      <c r="B4052" s="110"/>
      <c r="D4052" s="417"/>
      <c r="E4052" s="418"/>
      <c r="F4052" s="418"/>
      <c r="G4052" s="419"/>
      <c r="H4052" s="420" t="s">
        <v>67</v>
      </c>
      <c r="I4052" s="421"/>
      <c r="J4052" s="396">
        <f>J4051</f>
        <v>0</v>
      </c>
    </row>
    <row r="4053" spans="1:10" ht="13">
      <c r="A4053" s="27"/>
      <c r="B4053" s="110"/>
      <c r="D4053" s="444" t="s">
        <v>68</v>
      </c>
      <c r="E4053" s="445" t="s">
        <v>69</v>
      </c>
      <c r="F4053" s="446"/>
      <c r="G4053" s="447"/>
      <c r="H4053" s="448"/>
      <c r="I4053" s="449">
        <f>IF(AND(E4053&lt;&gt;"",G4053&lt;&gt;""),IF(D4053="",IF(G4053="OH",VLOOKUP(E4053,UPAH!$C$4:$H$31,7,0),VLOOKUP(E4053,#REF!,4,0)),0),0)</f>
        <v>0</v>
      </c>
      <c r="J4053" s="16">
        <f>SUM(J4040:J4052)/2</f>
        <v>0</v>
      </c>
    </row>
    <row r="4054" spans="1:10" ht="13.5" thickBot="1">
      <c r="A4054" s="27"/>
      <c r="B4054" s="110"/>
      <c r="D4054" s="431" t="s">
        <v>70</v>
      </c>
      <c r="E4054" s="432" t="s">
        <v>477</v>
      </c>
      <c r="F4054" s="433"/>
      <c r="G4054" s="434"/>
      <c r="H4054" s="22">
        <v>0.1</v>
      </c>
      <c r="I4054" s="436"/>
      <c r="J4054" s="430">
        <f>H4054*J4053</f>
        <v>0</v>
      </c>
    </row>
    <row r="4055" spans="1:10" ht="13.5" thickBot="1">
      <c r="A4055" s="27"/>
      <c r="B4055" s="110"/>
      <c r="D4055" s="401" t="s">
        <v>71</v>
      </c>
      <c r="E4055" s="402" t="s">
        <v>72</v>
      </c>
      <c r="F4055" s="418"/>
      <c r="G4055" s="419"/>
      <c r="H4055" s="442"/>
      <c r="I4055" s="421">
        <f>IF(AND(E4055&lt;&gt;"",G4055&lt;&gt;""),IF(D4055="",IF(G4055="OH",VLOOKUP(E4055,UPAH!$C$4:$H$31,7,0),VLOOKUP(E4055,#REF!,4,0)),0),0)</f>
        <v>0</v>
      </c>
      <c r="J4055" s="396">
        <f>ROUNDDOWN(J4053+J4054,0)</f>
        <v>0</v>
      </c>
    </row>
    <row r="4056" spans="1:10" ht="13">
      <c r="A4056" s="27"/>
      <c r="B4056" s="110"/>
      <c r="D4056" s="11"/>
      <c r="E4056" s="11"/>
      <c r="H4056" s="443"/>
    </row>
    <row r="4057" spans="1:10" ht="13.5" thickBot="1">
      <c r="A4057" s="27"/>
      <c r="B4057" s="110"/>
      <c r="C4057" s="11" t="s">
        <v>918</v>
      </c>
      <c r="D4057" s="10" t="s">
        <v>919</v>
      </c>
      <c r="H4057" s="443"/>
    </row>
    <row r="4058" spans="1:10" ht="13.5" thickBot="1">
      <c r="A4058" s="27"/>
      <c r="B4058" s="110"/>
      <c r="D4058" s="401" t="s">
        <v>40</v>
      </c>
      <c r="E4058" s="402" t="s">
        <v>41</v>
      </c>
      <c r="F4058" s="402" t="s">
        <v>42</v>
      </c>
      <c r="G4058" s="403" t="s">
        <v>43</v>
      </c>
      <c r="H4058" s="404" t="s">
        <v>44</v>
      </c>
      <c r="I4058" s="402" t="s">
        <v>474</v>
      </c>
      <c r="J4058" s="405" t="s">
        <v>475</v>
      </c>
    </row>
    <row r="4059" spans="1:10" ht="13">
      <c r="A4059" s="27"/>
      <c r="B4059" s="110"/>
      <c r="D4059" s="406" t="s">
        <v>45</v>
      </c>
      <c r="E4059" s="13" t="s">
        <v>46</v>
      </c>
      <c r="F4059" s="14"/>
      <c r="G4059" s="15"/>
      <c r="H4059" s="451"/>
      <c r="I4059" s="412"/>
      <c r="J4059" s="16"/>
    </row>
    <row r="4060" spans="1:10" ht="13">
      <c r="A4060" s="27"/>
      <c r="B4060" s="110"/>
      <c r="D4060" s="409"/>
      <c r="E4060" s="13" t="s">
        <v>47</v>
      </c>
      <c r="F4060" s="13" t="s">
        <v>1918</v>
      </c>
      <c r="G4060" s="410" t="s">
        <v>48</v>
      </c>
      <c r="H4060" s="411">
        <v>0.09</v>
      </c>
      <c r="I4060" s="412">
        <f>IF(AND(E4060&lt;&gt;"",G4060&lt;&gt;""),IF(D4060="",IF(G4060="OH",VLOOKUP(F4060,UPAH!$B$4:$H$101,7,0),VLOOKUP(F4060,#REF!,4,0)),0),0)</f>
        <v>0</v>
      </c>
      <c r="J4060" s="16">
        <f>H4060*I4060</f>
        <v>0</v>
      </c>
    </row>
    <row r="4061" spans="1:10" ht="13">
      <c r="A4061" s="27"/>
      <c r="B4061" s="110"/>
      <c r="D4061" s="409"/>
      <c r="E4061" s="13" t="s">
        <v>115</v>
      </c>
      <c r="F4061" s="13" t="s">
        <v>1921</v>
      </c>
      <c r="G4061" s="410" t="s">
        <v>48</v>
      </c>
      <c r="H4061" s="411">
        <v>0.09</v>
      </c>
      <c r="I4061" s="412">
        <f>IF(AND(E4061&lt;&gt;"",G4061&lt;&gt;""),IF(D4061="",IF(G4061="OH",VLOOKUP(F4061,UPAH!$B$4:$H$101,7,0),VLOOKUP(F4061,#REF!,4,0)),0),0)</f>
        <v>0</v>
      </c>
      <c r="J4061" s="16">
        <f>H4061*I4061</f>
        <v>0</v>
      </c>
    </row>
    <row r="4062" spans="1:10" ht="13">
      <c r="A4062" s="27"/>
      <c r="B4062" s="110"/>
      <c r="D4062" s="409"/>
      <c r="E4062" s="13" t="s">
        <v>50</v>
      </c>
      <c r="F4062" s="13" t="s">
        <v>1928</v>
      </c>
      <c r="G4062" s="410" t="s">
        <v>48</v>
      </c>
      <c r="H4062" s="411">
        <v>8.9999999999999993E-3</v>
      </c>
      <c r="I4062" s="412">
        <f>IF(AND(E4062&lt;&gt;"",G4062&lt;&gt;""),IF(D4062="",IF(G4062="OH",VLOOKUP(F4062,UPAH!$B$4:$H$101,7,0),VLOOKUP(F4062,#REF!,4,0)),0),0)</f>
        <v>0</v>
      </c>
      <c r="J4062" s="16">
        <f>H4062*I4062</f>
        <v>0</v>
      </c>
    </row>
    <row r="4063" spans="1:10" ht="13.5" thickBot="1">
      <c r="A4063" s="27"/>
      <c r="B4063" s="110"/>
      <c r="D4063" s="409"/>
      <c r="E4063" s="13" t="s">
        <v>51</v>
      </c>
      <c r="F4063" s="13" t="s">
        <v>1929</v>
      </c>
      <c r="G4063" s="410" t="s">
        <v>48</v>
      </c>
      <c r="H4063" s="411">
        <v>5.0000000000000001E-3</v>
      </c>
      <c r="I4063" s="412">
        <f>IF(AND(E4063&lt;&gt;"",G4063&lt;&gt;""),IF(D4063="",IF(G4063="OH",VLOOKUP(F4063,UPAH!$B$4:$H$101,7,0),VLOOKUP(F4063,#REF!,4,0)),0),0)</f>
        <v>0</v>
      </c>
      <c r="J4063" s="16">
        <f>H4063*I4063</f>
        <v>0</v>
      </c>
    </row>
    <row r="4064" spans="1:10" ht="13.5" thickBot="1">
      <c r="A4064" s="27"/>
      <c r="B4064" s="110"/>
      <c r="D4064" s="417"/>
      <c r="E4064" s="418"/>
      <c r="F4064" s="418"/>
      <c r="G4064" s="419"/>
      <c r="H4064" s="420" t="s">
        <v>52</v>
      </c>
      <c r="I4064" s="421"/>
      <c r="J4064" s="396">
        <f>SUM(J4060:J4063)</f>
        <v>0</v>
      </c>
    </row>
    <row r="4065" spans="1:10" ht="13">
      <c r="A4065" s="27"/>
      <c r="B4065" s="110"/>
      <c r="D4065" s="406" t="s">
        <v>53</v>
      </c>
      <c r="E4065" s="13" t="s">
        <v>54</v>
      </c>
      <c r="F4065" s="14"/>
      <c r="G4065" s="15"/>
      <c r="H4065" s="451"/>
      <c r="I4065" s="412"/>
      <c r="J4065" s="16"/>
    </row>
    <row r="4066" spans="1:10" ht="13">
      <c r="A4066" s="27"/>
      <c r="B4066" s="110"/>
      <c r="D4066" s="409"/>
      <c r="E4066" s="13" t="s">
        <v>920</v>
      </c>
      <c r="F4066" s="14"/>
      <c r="G4066" s="410" t="s">
        <v>87</v>
      </c>
      <c r="H4066" s="411">
        <v>2.65</v>
      </c>
      <c r="I4066" s="412">
        <f>$I$4046</f>
        <v>0</v>
      </c>
      <c r="J4066" s="16">
        <f>H4066*I4066</f>
        <v>0</v>
      </c>
    </row>
    <row r="4067" spans="1:10" ht="13">
      <c r="A4067" s="27"/>
      <c r="B4067" s="110"/>
      <c r="D4067" s="409"/>
      <c r="E4067" s="13" t="s">
        <v>56</v>
      </c>
      <c r="F4067" s="14"/>
      <c r="G4067" s="410" t="s">
        <v>93</v>
      </c>
      <c r="H4067" s="411">
        <v>1.1399999999999999</v>
      </c>
      <c r="I4067" s="412">
        <f>'BAHAN '!G72</f>
        <v>0</v>
      </c>
      <c r="J4067" s="16">
        <f>H4067*I4067</f>
        <v>0</v>
      </c>
    </row>
    <row r="4068" spans="1:10" ht="13">
      <c r="A4068" s="27"/>
      <c r="B4068" s="110"/>
      <c r="D4068" s="409"/>
      <c r="E4068" s="13" t="s">
        <v>442</v>
      </c>
      <c r="F4068" s="14"/>
      <c r="G4068" s="410" t="s">
        <v>57</v>
      </c>
      <c r="H4068" s="411">
        <v>0.1</v>
      </c>
      <c r="I4068" s="412">
        <f>'BAHAN '!G74</f>
        <v>0</v>
      </c>
      <c r="J4068" s="16">
        <f>H4068*I4068</f>
        <v>0</v>
      </c>
    </row>
    <row r="4069" spans="1:10" ht="13.5" thickBot="1">
      <c r="A4069" s="27"/>
      <c r="B4069" s="110"/>
      <c r="D4069" s="409"/>
      <c r="E4069" s="13" t="s">
        <v>101</v>
      </c>
      <c r="F4069" s="14"/>
      <c r="G4069" s="410" t="s">
        <v>170</v>
      </c>
      <c r="H4069" s="411">
        <v>3.0000000000000001E-3</v>
      </c>
      <c r="I4069" s="412">
        <f>'BAHAN '!G59</f>
        <v>0</v>
      </c>
      <c r="J4069" s="16">
        <f>H4069*I4069</f>
        <v>0</v>
      </c>
    </row>
    <row r="4070" spans="1:10" ht="13.5" thickBot="1">
      <c r="A4070" s="27"/>
      <c r="B4070" s="110"/>
      <c r="D4070" s="417"/>
      <c r="E4070" s="418"/>
      <c r="F4070" s="418"/>
      <c r="G4070" s="419"/>
      <c r="H4070" s="420" t="s">
        <v>64</v>
      </c>
      <c r="I4070" s="421"/>
      <c r="J4070" s="396">
        <f>SUM(J4066:J4069)</f>
        <v>0</v>
      </c>
    </row>
    <row r="4071" spans="1:10" ht="13.5" thickBot="1">
      <c r="A4071" s="27"/>
      <c r="B4071" s="110"/>
      <c r="D4071" s="406" t="s">
        <v>65</v>
      </c>
      <c r="E4071" s="13" t="s">
        <v>66</v>
      </c>
      <c r="F4071" s="14"/>
      <c r="G4071" s="15"/>
      <c r="H4071" s="451"/>
      <c r="I4071" s="412">
        <f>IF(AND(E4071&lt;&gt;"",G4071&lt;&gt;""),IF(D4071="",IF(G4071="OH",VLOOKUP(E4071,UPAH!$C$4:$H$31,7,0),VLOOKUP(E4071,#REF!,4,0)),0),0)</f>
        <v>0</v>
      </c>
      <c r="J4071" s="16">
        <f>H4071*I4071</f>
        <v>0</v>
      </c>
    </row>
    <row r="4072" spans="1:10" ht="13.5" thickBot="1">
      <c r="A4072" s="27"/>
      <c r="B4072" s="110"/>
      <c r="D4072" s="417"/>
      <c r="E4072" s="418"/>
      <c r="F4072" s="418"/>
      <c r="G4072" s="419"/>
      <c r="H4072" s="420" t="s">
        <v>67</v>
      </c>
      <c r="I4072" s="421"/>
      <c r="J4072" s="396">
        <f>J4071</f>
        <v>0</v>
      </c>
    </row>
    <row r="4073" spans="1:10" ht="13">
      <c r="A4073" s="27"/>
      <c r="B4073" s="110"/>
      <c r="D4073" s="444" t="s">
        <v>68</v>
      </c>
      <c r="E4073" s="445" t="s">
        <v>69</v>
      </c>
      <c r="F4073" s="446"/>
      <c r="G4073" s="447"/>
      <c r="H4073" s="448"/>
      <c r="I4073" s="449">
        <f>IF(AND(E4073&lt;&gt;"",G4073&lt;&gt;""),IF(D4073="",IF(G4073="OH",VLOOKUP(E4073,UPAH!$C$4:$H$31,7,0),VLOOKUP(E4073,#REF!,4,0)),0),0)</f>
        <v>0</v>
      </c>
      <c r="J4073" s="16">
        <f>SUM(J4060:J4072)/2</f>
        <v>0</v>
      </c>
    </row>
    <row r="4074" spans="1:10" ht="13.5" thickBot="1">
      <c r="A4074" s="27"/>
      <c r="B4074" s="110"/>
      <c r="D4074" s="431" t="s">
        <v>70</v>
      </c>
      <c r="E4074" s="432" t="s">
        <v>477</v>
      </c>
      <c r="F4074" s="433"/>
      <c r="G4074" s="434"/>
      <c r="H4074" s="22">
        <v>0.1</v>
      </c>
      <c r="I4074" s="436"/>
      <c r="J4074" s="430">
        <f>H4074*J4073</f>
        <v>0</v>
      </c>
    </row>
    <row r="4075" spans="1:10" ht="13.5" thickBot="1">
      <c r="A4075" s="27"/>
      <c r="B4075" s="110"/>
      <c r="D4075" s="401" t="s">
        <v>71</v>
      </c>
      <c r="E4075" s="402" t="s">
        <v>72</v>
      </c>
      <c r="F4075" s="418"/>
      <c r="G4075" s="419"/>
      <c r="H4075" s="442"/>
      <c r="I4075" s="421">
        <f>IF(AND(E4075&lt;&gt;"",G4075&lt;&gt;""),IF(D4075="",IF(G4075="OH",VLOOKUP(E4075,UPAH!$C$4:$H$31,7,0),VLOOKUP(E4075,#REF!,4,0)),0),0)</f>
        <v>0</v>
      </c>
      <c r="J4075" s="396">
        <f>ROUNDDOWN(J4073+J4074,0)</f>
        <v>0</v>
      </c>
    </row>
    <row r="4076" spans="1:10" ht="13">
      <c r="A4076" s="27"/>
      <c r="B4076" s="110"/>
      <c r="D4076" s="11"/>
      <c r="E4076" s="11"/>
      <c r="H4076" s="443"/>
    </row>
    <row r="4077" spans="1:10" ht="13.5" thickBot="1">
      <c r="A4077" s="27"/>
      <c r="B4077" s="110"/>
      <c r="C4077" s="11" t="s">
        <v>921</v>
      </c>
      <c r="D4077" s="10" t="s">
        <v>922</v>
      </c>
      <c r="H4077" s="443"/>
    </row>
    <row r="4078" spans="1:10" ht="13.5" thickBot="1">
      <c r="A4078" s="27"/>
      <c r="B4078" s="110"/>
      <c r="D4078" s="401" t="s">
        <v>40</v>
      </c>
      <c r="E4078" s="402" t="s">
        <v>41</v>
      </c>
      <c r="F4078" s="402" t="s">
        <v>42</v>
      </c>
      <c r="G4078" s="403" t="s">
        <v>43</v>
      </c>
      <c r="H4078" s="404" t="s">
        <v>44</v>
      </c>
      <c r="I4078" s="402" t="s">
        <v>474</v>
      </c>
      <c r="J4078" s="405" t="s">
        <v>475</v>
      </c>
    </row>
    <row r="4079" spans="1:10" ht="13">
      <c r="A4079" s="27"/>
      <c r="B4079" s="110"/>
      <c r="D4079" s="406" t="s">
        <v>45</v>
      </c>
      <c r="E4079" s="13" t="s">
        <v>46</v>
      </c>
      <c r="F4079" s="14"/>
      <c r="G4079" s="15"/>
      <c r="H4079" s="451"/>
      <c r="I4079" s="412"/>
      <c r="J4079" s="16"/>
    </row>
    <row r="4080" spans="1:10" ht="13">
      <c r="A4080" s="27"/>
      <c r="B4080" s="110"/>
      <c r="D4080" s="409"/>
      <c r="E4080" s="13" t="s">
        <v>47</v>
      </c>
      <c r="F4080" s="13" t="s">
        <v>1918</v>
      </c>
      <c r="G4080" s="410" t="s">
        <v>48</v>
      </c>
      <c r="H4080" s="411">
        <v>0.09</v>
      </c>
      <c r="I4080" s="412">
        <f>IF(AND(E4080&lt;&gt;"",G4080&lt;&gt;""),IF(D4080="",IF(G4080="OH",VLOOKUP(F4080,UPAH!$B$4:$H$101,7,0),VLOOKUP(F4080,#REF!,4,0)),0),0)</f>
        <v>0</v>
      </c>
      <c r="J4080" s="16">
        <f>H4080*I4080</f>
        <v>0</v>
      </c>
    </row>
    <row r="4081" spans="1:10" ht="13">
      <c r="A4081" s="27"/>
      <c r="B4081" s="110"/>
      <c r="D4081" s="409"/>
      <c r="E4081" s="13" t="s">
        <v>115</v>
      </c>
      <c r="F4081" s="13" t="s">
        <v>1928</v>
      </c>
      <c r="G4081" s="410" t="s">
        <v>48</v>
      </c>
      <c r="H4081" s="411">
        <v>0.09</v>
      </c>
      <c r="I4081" s="412">
        <f>IF(AND(E4081&lt;&gt;"",G4081&lt;&gt;""),IF(D4081="",IF(G4081="OH",VLOOKUP(F4081,UPAH!$B$4:$H$101,7,0),VLOOKUP(F4081,#REF!,4,0)),0),0)</f>
        <v>0</v>
      </c>
      <c r="J4081" s="16">
        <f>H4081*I4081</f>
        <v>0</v>
      </c>
    </row>
    <row r="4082" spans="1:10" ht="13">
      <c r="A4082" s="27"/>
      <c r="B4082" s="110"/>
      <c r="D4082" s="409"/>
      <c r="E4082" s="13" t="s">
        <v>50</v>
      </c>
      <c r="F4082" s="13" t="s">
        <v>1928</v>
      </c>
      <c r="G4082" s="410" t="s">
        <v>48</v>
      </c>
      <c r="H4082" s="411">
        <v>8.9999999999999993E-3</v>
      </c>
      <c r="I4082" s="412">
        <f>IF(AND(E4082&lt;&gt;"",G4082&lt;&gt;""),IF(D4082="",IF(G4082="OH",VLOOKUP(F4082,UPAH!$B$4:$H$101,7,0),VLOOKUP(F4082,#REF!,4,0)),0),0)</f>
        <v>0</v>
      </c>
      <c r="J4082" s="16">
        <f>H4082*I4082</f>
        <v>0</v>
      </c>
    </row>
    <row r="4083" spans="1:10" ht="13.5" thickBot="1">
      <c r="A4083" s="27"/>
      <c r="B4083" s="110"/>
      <c r="D4083" s="409"/>
      <c r="E4083" s="13" t="s">
        <v>51</v>
      </c>
      <c r="F4083" s="13" t="s">
        <v>1929</v>
      </c>
      <c r="G4083" s="410" t="s">
        <v>48</v>
      </c>
      <c r="H4083" s="411">
        <v>5.0000000000000001E-3</v>
      </c>
      <c r="I4083" s="412">
        <f>IF(AND(E4083&lt;&gt;"",G4083&lt;&gt;""),IF(D4083="",IF(G4083="OH",VLOOKUP(F4083,UPAH!$B$4:$H$101,7,0),VLOOKUP(F4083,#REF!,4,0)),0),0)</f>
        <v>0</v>
      </c>
      <c r="J4083" s="16">
        <f>H4083*I4083</f>
        <v>0</v>
      </c>
    </row>
    <row r="4084" spans="1:10" ht="13.5" thickBot="1">
      <c r="A4084" s="27"/>
      <c r="B4084" s="110"/>
      <c r="D4084" s="417"/>
      <c r="E4084" s="418"/>
      <c r="F4084" s="418"/>
      <c r="G4084" s="419"/>
      <c r="H4084" s="420" t="s">
        <v>52</v>
      </c>
      <c r="I4084" s="421"/>
      <c r="J4084" s="396">
        <f>SUM(J4080:J4083)</f>
        <v>0</v>
      </c>
    </row>
    <row r="4085" spans="1:10" ht="13">
      <c r="A4085" s="27"/>
      <c r="B4085" s="110"/>
      <c r="D4085" s="406" t="s">
        <v>53</v>
      </c>
      <c r="E4085" s="13" t="s">
        <v>54</v>
      </c>
      <c r="F4085" s="14"/>
      <c r="G4085" s="15"/>
      <c r="H4085" s="451"/>
      <c r="I4085" s="412"/>
      <c r="J4085" s="16"/>
    </row>
    <row r="4086" spans="1:10" ht="13">
      <c r="A4086" s="27"/>
      <c r="B4086" s="110"/>
      <c r="D4086" s="409"/>
      <c r="E4086" s="13" t="s">
        <v>923</v>
      </c>
      <c r="F4086" s="14"/>
      <c r="G4086" s="410" t="s">
        <v>87</v>
      </c>
      <c r="H4086" s="411">
        <v>3.53</v>
      </c>
      <c r="I4086" s="412">
        <f>'BAHAN '!G297</f>
        <v>0</v>
      </c>
      <c r="J4086" s="16">
        <f>H4086*I4086</f>
        <v>0</v>
      </c>
    </row>
    <row r="4087" spans="1:10" ht="13">
      <c r="A4087" s="27"/>
      <c r="B4087" s="110"/>
      <c r="D4087" s="409"/>
      <c r="E4087" s="13" t="s">
        <v>56</v>
      </c>
      <c r="F4087" s="14"/>
      <c r="G4087" s="410" t="s">
        <v>93</v>
      </c>
      <c r="H4087" s="411">
        <v>1.1399999999999999</v>
      </c>
      <c r="I4087" s="412">
        <f>'BAHAN '!G72</f>
        <v>0</v>
      </c>
      <c r="J4087" s="16">
        <f>H4087*I4087</f>
        <v>0</v>
      </c>
    </row>
    <row r="4088" spans="1:10" ht="13">
      <c r="A4088" s="27"/>
      <c r="B4088" s="110"/>
      <c r="D4088" s="409"/>
      <c r="E4088" s="13" t="s">
        <v>442</v>
      </c>
      <c r="F4088" s="14"/>
      <c r="G4088" s="410" t="s">
        <v>57</v>
      </c>
      <c r="H4088" s="411">
        <v>0.1</v>
      </c>
      <c r="I4088" s="412">
        <f>'BAHAN '!G74</f>
        <v>0</v>
      </c>
      <c r="J4088" s="16">
        <f>H4088*I4088</f>
        <v>0</v>
      </c>
    </row>
    <row r="4089" spans="1:10" ht="13.5" thickBot="1">
      <c r="A4089" s="27"/>
      <c r="B4089" s="110"/>
      <c r="D4089" s="409"/>
      <c r="E4089" s="13" t="s">
        <v>101</v>
      </c>
      <c r="F4089" s="14"/>
      <c r="G4089" s="410" t="s">
        <v>170</v>
      </c>
      <c r="H4089" s="411">
        <v>3.0000000000000001E-3</v>
      </c>
      <c r="I4089" s="412">
        <f>'BAHAN '!G59</f>
        <v>0</v>
      </c>
      <c r="J4089" s="16">
        <f>H4089*I4089</f>
        <v>0</v>
      </c>
    </row>
    <row r="4090" spans="1:10" ht="13.5" thickBot="1">
      <c r="A4090" s="27"/>
      <c r="B4090" s="110"/>
      <c r="D4090" s="417"/>
      <c r="E4090" s="418"/>
      <c r="F4090" s="418"/>
      <c r="G4090" s="419"/>
      <c r="H4090" s="420" t="s">
        <v>64</v>
      </c>
      <c r="I4090" s="421"/>
      <c r="J4090" s="396">
        <f>SUM(J4086:J4089)</f>
        <v>0</v>
      </c>
    </row>
    <row r="4091" spans="1:10" ht="13.5" thickBot="1">
      <c r="A4091" s="27"/>
      <c r="B4091" s="110"/>
      <c r="D4091" s="406" t="s">
        <v>65</v>
      </c>
      <c r="E4091" s="13" t="s">
        <v>66</v>
      </c>
      <c r="F4091" s="14"/>
      <c r="G4091" s="15"/>
      <c r="H4091" s="451"/>
      <c r="I4091" s="412">
        <f>IF(AND(E4091&lt;&gt;"",G4091&lt;&gt;""),IF(D4091="",IF(G4091="OH",VLOOKUP(E4091,UPAH!$C$4:$H$31,7,0),VLOOKUP(E4091,#REF!,4,0)),0),0)</f>
        <v>0</v>
      </c>
      <c r="J4091" s="16">
        <f>H4091*I4091</f>
        <v>0</v>
      </c>
    </row>
    <row r="4092" spans="1:10" ht="13.5" thickBot="1">
      <c r="A4092" s="27"/>
      <c r="B4092" s="110"/>
      <c r="D4092" s="417"/>
      <c r="E4092" s="418"/>
      <c r="F4092" s="418"/>
      <c r="G4092" s="419"/>
      <c r="H4092" s="420" t="s">
        <v>67</v>
      </c>
      <c r="I4092" s="421"/>
      <c r="J4092" s="396">
        <f>J4091</f>
        <v>0</v>
      </c>
    </row>
    <row r="4093" spans="1:10" ht="13">
      <c r="A4093" s="27"/>
      <c r="B4093" s="110"/>
      <c r="D4093" s="444" t="s">
        <v>68</v>
      </c>
      <c r="E4093" s="445" t="s">
        <v>69</v>
      </c>
      <c r="F4093" s="446"/>
      <c r="G4093" s="447"/>
      <c r="H4093" s="448"/>
      <c r="I4093" s="449">
        <f>IF(AND(E4093&lt;&gt;"",G4093&lt;&gt;""),IF(D4093="",IF(G4093="OH",VLOOKUP(E4093,UPAH!$C$4:$H$31,7,0),VLOOKUP(E4093,#REF!,4,0)),0),0)</f>
        <v>0</v>
      </c>
      <c r="J4093" s="16">
        <f>SUM(J4080:J4092)/2</f>
        <v>0</v>
      </c>
    </row>
    <row r="4094" spans="1:10" ht="13.5" thickBot="1">
      <c r="A4094" s="27"/>
      <c r="B4094" s="110"/>
      <c r="D4094" s="431" t="s">
        <v>70</v>
      </c>
      <c r="E4094" s="432" t="s">
        <v>477</v>
      </c>
      <c r="F4094" s="433"/>
      <c r="G4094" s="434"/>
      <c r="H4094" s="22">
        <v>0.1</v>
      </c>
      <c r="I4094" s="436"/>
      <c r="J4094" s="430">
        <f>H4094*J4093</f>
        <v>0</v>
      </c>
    </row>
    <row r="4095" spans="1:10" ht="13.5" thickBot="1">
      <c r="A4095" s="27"/>
      <c r="B4095" s="110"/>
      <c r="D4095" s="401" t="s">
        <v>71</v>
      </c>
      <c r="E4095" s="402" t="s">
        <v>72</v>
      </c>
      <c r="F4095" s="418"/>
      <c r="G4095" s="419"/>
      <c r="H4095" s="442"/>
      <c r="I4095" s="421">
        <f>IF(AND(E4095&lt;&gt;"",G4095&lt;&gt;""),IF(D4095="",IF(G4095="OH",VLOOKUP(E4095,UPAH!$C$4:$H$31,7,0),VLOOKUP(E4095,#REF!,4,0)),0),0)</f>
        <v>0</v>
      </c>
      <c r="J4095" s="396">
        <f>ROUNDDOWN(J4093+J4094,0)</f>
        <v>0</v>
      </c>
    </row>
    <row r="4096" spans="1:10" ht="13">
      <c r="A4096" s="27"/>
      <c r="B4096" s="110"/>
      <c r="D4096" s="11"/>
      <c r="E4096" s="11"/>
      <c r="H4096" s="443"/>
    </row>
    <row r="4097" spans="1:10" ht="13.5" thickBot="1">
      <c r="A4097" s="27"/>
      <c r="B4097" s="110"/>
      <c r="C4097" s="11" t="s">
        <v>917</v>
      </c>
      <c r="D4097" s="10" t="s">
        <v>916</v>
      </c>
      <c r="H4097" s="443"/>
    </row>
    <row r="4098" spans="1:10" ht="13.5" thickBot="1">
      <c r="A4098" s="27"/>
      <c r="B4098" s="110"/>
      <c r="D4098" s="401" t="s">
        <v>40</v>
      </c>
      <c r="E4098" s="402" t="s">
        <v>41</v>
      </c>
      <c r="F4098" s="402" t="s">
        <v>42</v>
      </c>
      <c r="G4098" s="403" t="s">
        <v>43</v>
      </c>
      <c r="H4098" s="404" t="s">
        <v>44</v>
      </c>
      <c r="I4098" s="402" t="s">
        <v>474</v>
      </c>
      <c r="J4098" s="405" t="s">
        <v>475</v>
      </c>
    </row>
    <row r="4099" spans="1:10" ht="13">
      <c r="A4099" s="27"/>
      <c r="B4099" s="110"/>
      <c r="D4099" s="406" t="s">
        <v>45</v>
      </c>
      <c r="E4099" s="13" t="s">
        <v>46</v>
      </c>
      <c r="F4099" s="14"/>
      <c r="G4099" s="15"/>
      <c r="H4099" s="451"/>
      <c r="I4099" s="412"/>
      <c r="J4099" s="16"/>
    </row>
    <row r="4100" spans="1:10" ht="13">
      <c r="A4100" s="27"/>
      <c r="B4100" s="110"/>
      <c r="D4100" s="409"/>
      <c r="E4100" s="13" t="s">
        <v>47</v>
      </c>
      <c r="F4100" s="13" t="s">
        <v>1918</v>
      </c>
      <c r="G4100" s="410" t="s">
        <v>48</v>
      </c>
      <c r="H4100" s="411">
        <v>0.09</v>
      </c>
      <c r="I4100" s="412">
        <f>IF(AND(E4100&lt;&gt;"",G4100&lt;&gt;""),IF(D4100="",IF(G4100="OH",VLOOKUP(F4100,UPAH!$B$4:$H$101,7,0),VLOOKUP(F4100,#REF!,4,0)),0),0)</f>
        <v>0</v>
      </c>
      <c r="J4100" s="16">
        <f>H4100*I4100</f>
        <v>0</v>
      </c>
    </row>
    <row r="4101" spans="1:10" ht="13">
      <c r="A4101" s="27"/>
      <c r="B4101" s="110"/>
      <c r="D4101" s="409"/>
      <c r="E4101" s="13" t="s">
        <v>115</v>
      </c>
      <c r="F4101" s="13" t="s">
        <v>1921</v>
      </c>
      <c r="G4101" s="410" t="s">
        <v>48</v>
      </c>
      <c r="H4101" s="411">
        <v>0.09</v>
      </c>
      <c r="I4101" s="412">
        <f>IF(AND(E4101&lt;&gt;"",G4101&lt;&gt;""),IF(D4101="",IF(G4101="OH",VLOOKUP(F4101,UPAH!$B$4:$H$101,7,0),VLOOKUP(F4101,#REF!,4,0)),0),0)</f>
        <v>0</v>
      </c>
      <c r="J4101" s="16">
        <f>H4101*I4101</f>
        <v>0</v>
      </c>
    </row>
    <row r="4102" spans="1:10" ht="13">
      <c r="A4102" s="27"/>
      <c r="B4102" s="110"/>
      <c r="D4102" s="409"/>
      <c r="E4102" s="13" t="s">
        <v>50</v>
      </c>
      <c r="F4102" s="13" t="s">
        <v>1928</v>
      </c>
      <c r="G4102" s="410" t="s">
        <v>48</v>
      </c>
      <c r="H4102" s="411">
        <v>8.9999999999999993E-3</v>
      </c>
      <c r="I4102" s="412">
        <f>IF(AND(E4102&lt;&gt;"",G4102&lt;&gt;""),IF(D4102="",IF(G4102="OH",VLOOKUP(F4102,UPAH!$B$4:$H$101,7,0),VLOOKUP(F4102,#REF!,4,0)),0),0)</f>
        <v>0</v>
      </c>
      <c r="J4102" s="16">
        <f>H4102*I4102</f>
        <v>0</v>
      </c>
    </row>
    <row r="4103" spans="1:10" ht="13.5" thickBot="1">
      <c r="A4103" s="27"/>
      <c r="B4103" s="110"/>
      <c r="D4103" s="409"/>
      <c r="E4103" s="13" t="s">
        <v>51</v>
      </c>
      <c r="F4103" s="13" t="s">
        <v>1929</v>
      </c>
      <c r="G4103" s="410" t="s">
        <v>48</v>
      </c>
      <c r="H4103" s="411">
        <v>5.0000000000000001E-3</v>
      </c>
      <c r="I4103" s="412">
        <f>IF(AND(E4103&lt;&gt;"",G4103&lt;&gt;""),IF(D4103="",IF(G4103="OH",VLOOKUP(F4103,UPAH!$B$4:$H$101,7,0),VLOOKUP(F4103,#REF!,4,0)),0),0)</f>
        <v>0</v>
      </c>
      <c r="J4103" s="16">
        <f>H4103*I4103</f>
        <v>0</v>
      </c>
    </row>
    <row r="4104" spans="1:10" ht="13.5" thickBot="1">
      <c r="A4104" s="27"/>
      <c r="B4104" s="110"/>
      <c r="D4104" s="417"/>
      <c r="E4104" s="418"/>
      <c r="F4104" s="418"/>
      <c r="G4104" s="419"/>
      <c r="H4104" s="420" t="s">
        <v>52</v>
      </c>
      <c r="I4104" s="421"/>
      <c r="J4104" s="396">
        <f>SUM(J4100:J4103)</f>
        <v>0</v>
      </c>
    </row>
    <row r="4105" spans="1:10" ht="13">
      <c r="A4105" s="27"/>
      <c r="B4105" s="110"/>
      <c r="D4105" s="406" t="s">
        <v>53</v>
      </c>
      <c r="E4105" s="13" t="s">
        <v>54</v>
      </c>
      <c r="F4105" s="14"/>
      <c r="G4105" s="15"/>
      <c r="H4105" s="451"/>
      <c r="I4105" s="412"/>
      <c r="J4105" s="16"/>
    </row>
    <row r="4106" spans="1:10" ht="13">
      <c r="A4106" s="27"/>
      <c r="B4106" s="110"/>
      <c r="D4106" s="409"/>
      <c r="E4106" s="13" t="s">
        <v>915</v>
      </c>
      <c r="F4106" s="14"/>
      <c r="G4106" s="410" t="s">
        <v>87</v>
      </c>
      <c r="H4106" s="411">
        <v>2.65</v>
      </c>
      <c r="I4106" s="412">
        <f>'BAHAN '!G298</f>
        <v>0</v>
      </c>
      <c r="J4106" s="16">
        <f>H4106*I4106</f>
        <v>0</v>
      </c>
    </row>
    <row r="4107" spans="1:10" ht="13">
      <c r="A4107" s="27"/>
      <c r="B4107" s="110"/>
      <c r="D4107" s="409"/>
      <c r="E4107" s="13" t="s">
        <v>56</v>
      </c>
      <c r="F4107" s="14"/>
      <c r="G4107" s="410" t="s">
        <v>93</v>
      </c>
      <c r="H4107" s="411">
        <v>1.1399999999999999</v>
      </c>
      <c r="I4107" s="412">
        <f>'BAHAN '!G72</f>
        <v>0</v>
      </c>
      <c r="J4107" s="16">
        <f>H4107*I4107</f>
        <v>0</v>
      </c>
    </row>
    <row r="4108" spans="1:10" ht="13">
      <c r="A4108" s="27"/>
      <c r="B4108" s="110"/>
      <c r="D4108" s="409"/>
      <c r="E4108" s="13" t="s">
        <v>442</v>
      </c>
      <c r="F4108" s="14"/>
      <c r="G4108" s="410" t="s">
        <v>57</v>
      </c>
      <c r="H4108" s="411">
        <v>0.1</v>
      </c>
      <c r="I4108" s="412">
        <f>'BAHAN '!G74</f>
        <v>0</v>
      </c>
      <c r="J4108" s="16">
        <f>H4108*I4108</f>
        <v>0</v>
      </c>
    </row>
    <row r="4109" spans="1:10" ht="13.5" thickBot="1">
      <c r="A4109" s="27"/>
      <c r="B4109" s="110"/>
      <c r="D4109" s="409"/>
      <c r="E4109" s="13" t="s">
        <v>101</v>
      </c>
      <c r="F4109" s="14"/>
      <c r="G4109" s="410" t="s">
        <v>170</v>
      </c>
      <c r="H4109" s="411">
        <v>3.0000000000000001E-3</v>
      </c>
      <c r="I4109" s="412">
        <f>'BAHAN '!G59</f>
        <v>0</v>
      </c>
      <c r="J4109" s="16">
        <f>H4109*I4109</f>
        <v>0</v>
      </c>
    </row>
    <row r="4110" spans="1:10" ht="13.5" thickBot="1">
      <c r="A4110" s="27"/>
      <c r="B4110" s="110"/>
      <c r="D4110" s="417"/>
      <c r="E4110" s="418"/>
      <c r="F4110" s="418"/>
      <c r="G4110" s="419"/>
      <c r="H4110" s="420" t="s">
        <v>64</v>
      </c>
      <c r="I4110" s="421"/>
      <c r="J4110" s="396">
        <f>SUM(J4106:J4109)</f>
        <v>0</v>
      </c>
    </row>
    <row r="4111" spans="1:10" ht="13.5" thickBot="1">
      <c r="A4111" s="27"/>
      <c r="B4111" s="110"/>
      <c r="D4111" s="406" t="s">
        <v>65</v>
      </c>
      <c r="E4111" s="13" t="s">
        <v>66</v>
      </c>
      <c r="F4111" s="14"/>
      <c r="G4111" s="15"/>
      <c r="H4111" s="451"/>
      <c r="I4111" s="412">
        <f>IF(AND(E4111&lt;&gt;"",G4111&lt;&gt;""),IF(D4111="",IF(G4111="OH",VLOOKUP(E4111,UPAH!$C$4:$H$31,7,0),VLOOKUP(E4111,#REF!,4,0)),0),0)</f>
        <v>0</v>
      </c>
      <c r="J4111" s="16">
        <f>H4111*I4111</f>
        <v>0</v>
      </c>
    </row>
    <row r="4112" spans="1:10" ht="13.5" thickBot="1">
      <c r="A4112" s="27"/>
      <c r="B4112" s="110"/>
      <c r="D4112" s="417"/>
      <c r="E4112" s="418"/>
      <c r="F4112" s="418"/>
      <c r="G4112" s="419"/>
      <c r="H4112" s="420" t="s">
        <v>67</v>
      </c>
      <c r="I4112" s="421"/>
      <c r="J4112" s="396">
        <f>J4111</f>
        <v>0</v>
      </c>
    </row>
    <row r="4113" spans="1:10" ht="13">
      <c r="A4113" s="27"/>
      <c r="B4113" s="110"/>
      <c r="D4113" s="444" t="s">
        <v>68</v>
      </c>
      <c r="E4113" s="445" t="s">
        <v>69</v>
      </c>
      <c r="F4113" s="446"/>
      <c r="G4113" s="447"/>
      <c r="H4113" s="448"/>
      <c r="I4113" s="449">
        <f>IF(AND(E4113&lt;&gt;"",G4113&lt;&gt;""),IF(D4113="",IF(G4113="OH",VLOOKUP(E4113,UPAH!$C$4:$H$31,7,0),VLOOKUP(E4113,#REF!,4,0)),0),0)</f>
        <v>0</v>
      </c>
      <c r="J4113" s="16">
        <f>SUM(J4100:J4112)/2</f>
        <v>0</v>
      </c>
    </row>
    <row r="4114" spans="1:10" ht="13.5" thickBot="1">
      <c r="A4114" s="27"/>
      <c r="B4114" s="110"/>
      <c r="D4114" s="431" t="s">
        <v>70</v>
      </c>
      <c r="E4114" s="432" t="s">
        <v>477</v>
      </c>
      <c r="F4114" s="433"/>
      <c r="G4114" s="434"/>
      <c r="H4114" s="22">
        <v>0.1</v>
      </c>
      <c r="I4114" s="436"/>
      <c r="J4114" s="430">
        <f>H4114*J4113</f>
        <v>0</v>
      </c>
    </row>
    <row r="4115" spans="1:10" ht="13.5" thickBot="1">
      <c r="A4115" s="27"/>
      <c r="B4115" s="110"/>
      <c r="D4115" s="401" t="s">
        <v>71</v>
      </c>
      <c r="E4115" s="402" t="s">
        <v>72</v>
      </c>
      <c r="F4115" s="418"/>
      <c r="G4115" s="419"/>
      <c r="H4115" s="442"/>
      <c r="I4115" s="421">
        <f>IF(AND(E4115&lt;&gt;"",G4115&lt;&gt;""),IF(D4115="",IF(G4115="OH",VLOOKUP(E4115,UPAH!$C$4:$H$31,7,0),VLOOKUP(E4115,#REF!,4,0)),0),0)</f>
        <v>0</v>
      </c>
      <c r="J4115" s="396">
        <f>ROUNDDOWN(J4113+J4114,0)</f>
        <v>0</v>
      </c>
    </row>
    <row r="4116" spans="1:10" ht="13">
      <c r="A4116" s="27"/>
      <c r="B4116" s="110"/>
      <c r="D4116" s="11"/>
      <c r="E4116" s="11"/>
      <c r="H4116" s="443"/>
    </row>
    <row r="4117" spans="1:10" ht="13.5" thickBot="1">
      <c r="A4117" s="27"/>
      <c r="B4117" s="110"/>
      <c r="C4117" s="11" t="s">
        <v>912</v>
      </c>
      <c r="D4117" s="10" t="s">
        <v>913</v>
      </c>
      <c r="H4117" s="443"/>
    </row>
    <row r="4118" spans="1:10" ht="13.5" thickBot="1">
      <c r="A4118" s="27"/>
      <c r="B4118" s="110"/>
      <c r="D4118" s="401" t="s">
        <v>40</v>
      </c>
      <c r="E4118" s="402" t="s">
        <v>41</v>
      </c>
      <c r="F4118" s="402" t="s">
        <v>42</v>
      </c>
      <c r="G4118" s="403" t="s">
        <v>43</v>
      </c>
      <c r="H4118" s="404" t="s">
        <v>44</v>
      </c>
      <c r="I4118" s="402" t="s">
        <v>474</v>
      </c>
      <c r="J4118" s="405" t="s">
        <v>475</v>
      </c>
    </row>
    <row r="4119" spans="1:10" ht="13">
      <c r="A4119" s="27"/>
      <c r="B4119" s="110"/>
      <c r="D4119" s="406" t="s">
        <v>45</v>
      </c>
      <c r="E4119" s="13" t="s">
        <v>46</v>
      </c>
      <c r="F4119" s="14"/>
      <c r="G4119" s="15"/>
      <c r="H4119" s="451"/>
      <c r="I4119" s="412"/>
      <c r="J4119" s="16"/>
    </row>
    <row r="4120" spans="1:10" ht="13">
      <c r="A4120" s="27"/>
      <c r="B4120" s="110"/>
      <c r="D4120" s="409"/>
      <c r="E4120" s="13" t="s">
        <v>47</v>
      </c>
      <c r="F4120" s="13" t="s">
        <v>1918</v>
      </c>
      <c r="G4120" s="410" t="s">
        <v>48</v>
      </c>
      <c r="H4120" s="411">
        <v>0.09</v>
      </c>
      <c r="I4120" s="412">
        <f>IF(AND(E4120&lt;&gt;"",G4120&lt;&gt;""),IF(D4120="",IF(G4120="OH",VLOOKUP(F4120,UPAH!$B$4:$H$101,7,0),VLOOKUP(F4120,#REF!,4,0)),0),0)</f>
        <v>0</v>
      </c>
      <c r="J4120" s="16">
        <f>H4120*I4120</f>
        <v>0</v>
      </c>
    </row>
    <row r="4121" spans="1:10" ht="13">
      <c r="A4121" s="27"/>
      <c r="B4121" s="110"/>
      <c r="D4121" s="409"/>
      <c r="E4121" s="13" t="s">
        <v>115</v>
      </c>
      <c r="F4121" s="13" t="s">
        <v>1921</v>
      </c>
      <c r="G4121" s="410" t="s">
        <v>48</v>
      </c>
      <c r="H4121" s="411">
        <v>0.09</v>
      </c>
      <c r="I4121" s="412">
        <f>IF(AND(E4121&lt;&gt;"",G4121&lt;&gt;""),IF(D4121="",IF(G4121="OH",VLOOKUP(F4121,UPAH!$B$4:$H$101,7,0),VLOOKUP(F4121,#REF!,4,0)),0),0)</f>
        <v>0</v>
      </c>
      <c r="J4121" s="16">
        <f>H4121*I4121</f>
        <v>0</v>
      </c>
    </row>
    <row r="4122" spans="1:10" ht="13">
      <c r="A4122" s="27"/>
      <c r="B4122" s="110"/>
      <c r="D4122" s="409"/>
      <c r="E4122" s="13" t="s">
        <v>50</v>
      </c>
      <c r="F4122" s="13" t="s">
        <v>1928</v>
      </c>
      <c r="G4122" s="410" t="s">
        <v>48</v>
      </c>
      <c r="H4122" s="411">
        <v>8.9999999999999993E-3</v>
      </c>
      <c r="I4122" s="412">
        <f>IF(AND(E4122&lt;&gt;"",G4122&lt;&gt;""),IF(D4122="",IF(G4122="OH",VLOOKUP(F4122,UPAH!$B$4:$H$101,7,0),VLOOKUP(F4122,#REF!,4,0)),0),0)</f>
        <v>0</v>
      </c>
      <c r="J4122" s="16">
        <f>H4122*I4122</f>
        <v>0</v>
      </c>
    </row>
    <row r="4123" spans="1:10" ht="13.5" thickBot="1">
      <c r="A4123" s="27"/>
      <c r="B4123" s="110"/>
      <c r="D4123" s="409"/>
      <c r="E4123" s="13" t="s">
        <v>51</v>
      </c>
      <c r="F4123" s="13" t="s">
        <v>1929</v>
      </c>
      <c r="G4123" s="410" t="s">
        <v>48</v>
      </c>
      <c r="H4123" s="411">
        <v>5.0000000000000001E-3</v>
      </c>
      <c r="I4123" s="412">
        <f>IF(AND(E4123&lt;&gt;"",G4123&lt;&gt;""),IF(D4123="",IF(G4123="OH",VLOOKUP(F4123,UPAH!$B$4:$H$101,7,0),VLOOKUP(F4123,#REF!,4,0)),0),0)</f>
        <v>0</v>
      </c>
      <c r="J4123" s="16">
        <f>H4123*I4123</f>
        <v>0</v>
      </c>
    </row>
    <row r="4124" spans="1:10" ht="13.5" thickBot="1">
      <c r="A4124" s="27"/>
      <c r="B4124" s="110"/>
      <c r="D4124" s="417"/>
      <c r="E4124" s="418"/>
      <c r="F4124" s="418"/>
      <c r="G4124" s="419"/>
      <c r="H4124" s="420" t="s">
        <v>52</v>
      </c>
      <c r="I4124" s="421"/>
      <c r="J4124" s="396">
        <f>SUM(J4120:J4123)</f>
        <v>0</v>
      </c>
    </row>
    <row r="4125" spans="1:10" ht="13">
      <c r="A4125" s="27"/>
      <c r="B4125" s="110"/>
      <c r="D4125" s="406" t="s">
        <v>53</v>
      </c>
      <c r="E4125" s="13" t="s">
        <v>54</v>
      </c>
      <c r="F4125" s="14"/>
      <c r="G4125" s="15"/>
      <c r="H4125" s="451"/>
      <c r="I4125" s="412"/>
      <c r="J4125" s="16"/>
    </row>
    <row r="4126" spans="1:10" ht="13">
      <c r="A4126" s="27"/>
      <c r="B4126" s="110"/>
      <c r="D4126" s="409"/>
      <c r="E4126" s="13" t="s">
        <v>914</v>
      </c>
      <c r="F4126" s="14"/>
      <c r="G4126" s="410" t="s">
        <v>87</v>
      </c>
      <c r="H4126" s="411">
        <v>2.65</v>
      </c>
      <c r="I4126" s="412">
        <f>'BAHAN '!G285</f>
        <v>0</v>
      </c>
      <c r="J4126" s="16">
        <f>H4126*I4126</f>
        <v>0</v>
      </c>
    </row>
    <row r="4127" spans="1:10" ht="13">
      <c r="A4127" s="27"/>
      <c r="B4127" s="110"/>
      <c r="D4127" s="409"/>
      <c r="E4127" s="13" t="s">
        <v>56</v>
      </c>
      <c r="F4127" s="14"/>
      <c r="G4127" s="410" t="s">
        <v>93</v>
      </c>
      <c r="H4127" s="411">
        <v>1.1399999999999999</v>
      </c>
      <c r="I4127" s="412">
        <f>'BAHAN '!G72</f>
        <v>0</v>
      </c>
      <c r="J4127" s="16">
        <f>H4127*I4127</f>
        <v>0</v>
      </c>
    </row>
    <row r="4128" spans="1:10" ht="13">
      <c r="A4128" s="27"/>
      <c r="B4128" s="110"/>
      <c r="D4128" s="409"/>
      <c r="E4128" s="13" t="s">
        <v>442</v>
      </c>
      <c r="F4128" s="14"/>
      <c r="G4128" s="410" t="s">
        <v>57</v>
      </c>
      <c r="H4128" s="411">
        <v>0.1</v>
      </c>
      <c r="I4128" s="412">
        <f>'BAHAN '!G74</f>
        <v>0</v>
      </c>
      <c r="J4128" s="16">
        <f>H4128*I4128</f>
        <v>0</v>
      </c>
    </row>
    <row r="4129" spans="1:10" ht="13.5" thickBot="1">
      <c r="A4129" s="27"/>
      <c r="B4129" s="110"/>
      <c r="D4129" s="409"/>
      <c r="E4129" s="13" t="s">
        <v>101</v>
      </c>
      <c r="F4129" s="14"/>
      <c r="G4129" s="410" t="s">
        <v>170</v>
      </c>
      <c r="H4129" s="411">
        <v>3.0000000000000001E-3</v>
      </c>
      <c r="I4129" s="412">
        <f>'BAHAN '!G59</f>
        <v>0</v>
      </c>
      <c r="J4129" s="16">
        <f>H4129*I4129</f>
        <v>0</v>
      </c>
    </row>
    <row r="4130" spans="1:10" ht="13.5" thickBot="1">
      <c r="A4130" s="27"/>
      <c r="B4130" s="110"/>
      <c r="D4130" s="417"/>
      <c r="E4130" s="418"/>
      <c r="F4130" s="418"/>
      <c r="G4130" s="419"/>
      <c r="H4130" s="420" t="s">
        <v>64</v>
      </c>
      <c r="I4130" s="421"/>
      <c r="J4130" s="396">
        <f>SUM(J4126:J4129)</f>
        <v>0</v>
      </c>
    </row>
    <row r="4131" spans="1:10" ht="13.5" thickBot="1">
      <c r="A4131" s="27"/>
      <c r="B4131" s="110"/>
      <c r="D4131" s="406" t="s">
        <v>65</v>
      </c>
      <c r="E4131" s="13" t="s">
        <v>66</v>
      </c>
      <c r="F4131" s="14"/>
      <c r="G4131" s="15"/>
      <c r="H4131" s="451"/>
      <c r="I4131" s="412">
        <f>IF(AND(E4131&lt;&gt;"",G4131&lt;&gt;""),IF(D4131="",IF(G4131="OH",VLOOKUP(E4131,UPAH!$C$4:$H$31,7,0),VLOOKUP(E4131,#REF!,4,0)),0),0)</f>
        <v>0</v>
      </c>
      <c r="J4131" s="16">
        <f>H4131*I4131</f>
        <v>0</v>
      </c>
    </row>
    <row r="4132" spans="1:10" ht="13.5" thickBot="1">
      <c r="A4132" s="27"/>
      <c r="B4132" s="110"/>
      <c r="D4132" s="417"/>
      <c r="E4132" s="418"/>
      <c r="F4132" s="418"/>
      <c r="G4132" s="419"/>
      <c r="H4132" s="420" t="s">
        <v>67</v>
      </c>
      <c r="I4132" s="421"/>
      <c r="J4132" s="396">
        <f>J4131</f>
        <v>0</v>
      </c>
    </row>
    <row r="4133" spans="1:10" ht="13">
      <c r="A4133" s="27"/>
      <c r="B4133" s="110"/>
      <c r="D4133" s="444" t="s">
        <v>68</v>
      </c>
      <c r="E4133" s="445" t="s">
        <v>69</v>
      </c>
      <c r="F4133" s="446"/>
      <c r="G4133" s="447"/>
      <c r="H4133" s="448"/>
      <c r="I4133" s="449">
        <f>IF(AND(E4133&lt;&gt;"",G4133&lt;&gt;""),IF(D4133="",IF(G4133="OH",VLOOKUP(E4133,UPAH!$C$4:$H$31,7,0),VLOOKUP(E4133,#REF!,4,0)),0),0)</f>
        <v>0</v>
      </c>
      <c r="J4133" s="16">
        <f>SUM(J4120:J4132)/2</f>
        <v>0</v>
      </c>
    </row>
    <row r="4134" spans="1:10" ht="13.5" thickBot="1">
      <c r="A4134" s="27"/>
      <c r="B4134" s="110"/>
      <c r="D4134" s="431" t="s">
        <v>70</v>
      </c>
      <c r="E4134" s="432" t="s">
        <v>477</v>
      </c>
      <c r="F4134" s="433"/>
      <c r="G4134" s="434"/>
      <c r="H4134" s="22">
        <v>0.1</v>
      </c>
      <c r="I4134" s="436"/>
      <c r="J4134" s="430">
        <f>H4134*J4133</f>
        <v>0</v>
      </c>
    </row>
    <row r="4135" spans="1:10" ht="13.5" thickBot="1">
      <c r="A4135" s="27"/>
      <c r="B4135" s="110"/>
      <c r="D4135" s="401" t="s">
        <v>71</v>
      </c>
      <c r="E4135" s="402" t="s">
        <v>72</v>
      </c>
      <c r="F4135" s="418"/>
      <c r="G4135" s="419"/>
      <c r="H4135" s="442"/>
      <c r="I4135" s="421">
        <f>IF(AND(E4135&lt;&gt;"",G4135&lt;&gt;""),IF(D4135="",IF(G4135="OH",VLOOKUP(E4135,UPAH!$C$4:$H$31,7,0),VLOOKUP(E4135,#REF!,4,0)),0),0)</f>
        <v>0</v>
      </c>
      <c r="J4135" s="396">
        <f>ROUNDDOWN(J4133+J4134,0)</f>
        <v>0</v>
      </c>
    </row>
    <row r="4136" spans="1:10" ht="13">
      <c r="A4136" s="27"/>
      <c r="B4136" s="110"/>
      <c r="D4136" s="11"/>
      <c r="E4136" s="11"/>
      <c r="H4136" s="443"/>
    </row>
    <row r="4137" spans="1:10" ht="13.5" thickBot="1">
      <c r="A4137" s="27"/>
      <c r="B4137" s="110"/>
      <c r="C4137" s="11" t="s">
        <v>909</v>
      </c>
      <c r="D4137" s="10" t="s">
        <v>910</v>
      </c>
      <c r="H4137" s="443"/>
    </row>
    <row r="4138" spans="1:10" ht="13.5" thickBot="1">
      <c r="A4138" s="27"/>
      <c r="B4138" s="110"/>
      <c r="D4138" s="401" t="s">
        <v>40</v>
      </c>
      <c r="E4138" s="402" t="s">
        <v>41</v>
      </c>
      <c r="F4138" s="402" t="s">
        <v>42</v>
      </c>
      <c r="G4138" s="403" t="s">
        <v>43</v>
      </c>
      <c r="H4138" s="404" t="s">
        <v>44</v>
      </c>
      <c r="I4138" s="402" t="s">
        <v>474</v>
      </c>
      <c r="J4138" s="405" t="s">
        <v>475</v>
      </c>
    </row>
    <row r="4139" spans="1:10" ht="13">
      <c r="A4139" s="27"/>
      <c r="B4139" s="110"/>
      <c r="D4139" s="406" t="s">
        <v>45</v>
      </c>
      <c r="E4139" s="13" t="s">
        <v>46</v>
      </c>
      <c r="F4139" s="14"/>
      <c r="G4139" s="15"/>
      <c r="H4139" s="451"/>
      <c r="I4139" s="412"/>
      <c r="J4139" s="16"/>
    </row>
    <row r="4140" spans="1:10" ht="13">
      <c r="A4140" s="27"/>
      <c r="B4140" s="110"/>
      <c r="D4140" s="409"/>
      <c r="E4140" s="13" t="s">
        <v>47</v>
      </c>
      <c r="F4140" s="13" t="s">
        <v>1918</v>
      </c>
      <c r="G4140" s="410" t="s">
        <v>48</v>
      </c>
      <c r="H4140" s="411">
        <v>0.09</v>
      </c>
      <c r="I4140" s="412">
        <f>IF(AND(E4140&lt;&gt;"",G4140&lt;&gt;""),IF(D4140="",IF(G4140="OH",VLOOKUP(F4140,UPAH!$B$4:$H$101,7,0),VLOOKUP(F4140,#REF!,4,0)),0),0)</f>
        <v>0</v>
      </c>
      <c r="J4140" s="16">
        <f>H4140*I4140</f>
        <v>0</v>
      </c>
    </row>
    <row r="4141" spans="1:10" ht="13">
      <c r="A4141" s="27"/>
      <c r="B4141" s="110"/>
      <c r="D4141" s="409"/>
      <c r="E4141" s="13" t="s">
        <v>115</v>
      </c>
      <c r="F4141" s="13" t="s">
        <v>1921</v>
      </c>
      <c r="G4141" s="410" t="s">
        <v>48</v>
      </c>
      <c r="H4141" s="411">
        <v>0.09</v>
      </c>
      <c r="I4141" s="412">
        <f>IF(AND(E4141&lt;&gt;"",G4141&lt;&gt;""),IF(D4141="",IF(G4141="OH",VLOOKUP(F4141,UPAH!$B$4:$H$101,7,0),VLOOKUP(F4141,#REF!,4,0)),0),0)</f>
        <v>0</v>
      </c>
      <c r="J4141" s="16">
        <f>H4141*I4141</f>
        <v>0</v>
      </c>
    </row>
    <row r="4142" spans="1:10" ht="13">
      <c r="A4142" s="27"/>
      <c r="B4142" s="110"/>
      <c r="D4142" s="409"/>
      <c r="E4142" s="13" t="s">
        <v>50</v>
      </c>
      <c r="F4142" s="13" t="s">
        <v>1928</v>
      </c>
      <c r="G4142" s="410" t="s">
        <v>48</v>
      </c>
      <c r="H4142" s="411">
        <v>8.9999999999999993E-3</v>
      </c>
      <c r="I4142" s="412">
        <f>IF(AND(E4142&lt;&gt;"",G4142&lt;&gt;""),IF(D4142="",IF(G4142="OH",VLOOKUP(F4142,UPAH!$B$4:$H$101,7,0),VLOOKUP(F4142,#REF!,4,0)),0),0)</f>
        <v>0</v>
      </c>
      <c r="J4142" s="16">
        <f>H4142*I4142</f>
        <v>0</v>
      </c>
    </row>
    <row r="4143" spans="1:10" ht="13.5" thickBot="1">
      <c r="A4143" s="27"/>
      <c r="B4143" s="110"/>
      <c r="D4143" s="409"/>
      <c r="E4143" s="13" t="s">
        <v>51</v>
      </c>
      <c r="F4143" s="13" t="s">
        <v>1929</v>
      </c>
      <c r="G4143" s="410" t="s">
        <v>48</v>
      </c>
      <c r="H4143" s="411">
        <v>5.0000000000000001E-3</v>
      </c>
      <c r="I4143" s="412">
        <f>IF(AND(E4143&lt;&gt;"",G4143&lt;&gt;""),IF(D4143="",IF(G4143="OH",VLOOKUP(F4143,UPAH!$B$4:$H$101,7,0),VLOOKUP(F4143,#REF!,4,0)),0),0)</f>
        <v>0</v>
      </c>
      <c r="J4143" s="16">
        <f>H4143*I4143</f>
        <v>0</v>
      </c>
    </row>
    <row r="4144" spans="1:10" ht="13.5" thickBot="1">
      <c r="A4144" s="27"/>
      <c r="B4144" s="110"/>
      <c r="D4144" s="417"/>
      <c r="E4144" s="418"/>
      <c r="F4144" s="418"/>
      <c r="G4144" s="419"/>
      <c r="H4144" s="420" t="s">
        <v>52</v>
      </c>
      <c r="I4144" s="421"/>
      <c r="J4144" s="396">
        <f>SUM(J4140:J4143)</f>
        <v>0</v>
      </c>
    </row>
    <row r="4145" spans="1:10" ht="13">
      <c r="A4145" s="27"/>
      <c r="B4145" s="110"/>
      <c r="D4145" s="406" t="s">
        <v>53</v>
      </c>
      <c r="E4145" s="13" t="s">
        <v>54</v>
      </c>
      <c r="F4145" s="14"/>
      <c r="G4145" s="15"/>
      <c r="H4145" s="451"/>
      <c r="I4145" s="412"/>
      <c r="J4145" s="16"/>
    </row>
    <row r="4146" spans="1:10" ht="13">
      <c r="A4146" s="27"/>
      <c r="B4146" s="110"/>
      <c r="D4146" s="409"/>
      <c r="E4146" s="13" t="s">
        <v>911</v>
      </c>
      <c r="F4146" s="14"/>
      <c r="G4146" s="410" t="s">
        <v>87</v>
      </c>
      <c r="H4146" s="411">
        <v>3.53</v>
      </c>
      <c r="I4146" s="412">
        <f>'BAHAN '!G284</f>
        <v>0</v>
      </c>
      <c r="J4146" s="16">
        <f>H4146*I4146</f>
        <v>0</v>
      </c>
    </row>
    <row r="4147" spans="1:10" ht="13">
      <c r="A4147" s="27"/>
      <c r="B4147" s="110"/>
      <c r="D4147" s="409"/>
      <c r="E4147" s="13" t="s">
        <v>56</v>
      </c>
      <c r="F4147" s="14"/>
      <c r="G4147" s="410" t="s">
        <v>93</v>
      </c>
      <c r="H4147" s="411">
        <v>1.1399999999999999</v>
      </c>
      <c r="I4147" s="412">
        <f>'BAHAN '!G72</f>
        <v>0</v>
      </c>
      <c r="J4147" s="16">
        <f>H4147*I4147</f>
        <v>0</v>
      </c>
    </row>
    <row r="4148" spans="1:10" ht="13">
      <c r="A4148" s="27"/>
      <c r="B4148" s="110"/>
      <c r="D4148" s="409"/>
      <c r="E4148" s="13" t="s">
        <v>442</v>
      </c>
      <c r="F4148" s="14"/>
      <c r="G4148" s="410" t="s">
        <v>57</v>
      </c>
      <c r="H4148" s="411">
        <v>0.1</v>
      </c>
      <c r="I4148" s="412">
        <f>'BAHAN '!G74</f>
        <v>0</v>
      </c>
      <c r="J4148" s="16">
        <f>H4148*I4148</f>
        <v>0</v>
      </c>
    </row>
    <row r="4149" spans="1:10" ht="13.5" thickBot="1">
      <c r="A4149" s="27"/>
      <c r="B4149" s="110"/>
      <c r="D4149" s="409"/>
      <c r="E4149" s="13" t="s">
        <v>101</v>
      </c>
      <c r="F4149" s="14"/>
      <c r="G4149" s="410" t="s">
        <v>170</v>
      </c>
      <c r="H4149" s="411">
        <v>3.0000000000000001E-3</v>
      </c>
      <c r="I4149" s="412">
        <f>'BAHAN '!G59</f>
        <v>0</v>
      </c>
      <c r="J4149" s="16">
        <f>H4149*I4149</f>
        <v>0</v>
      </c>
    </row>
    <row r="4150" spans="1:10" ht="13.5" thickBot="1">
      <c r="A4150" s="27"/>
      <c r="B4150" s="110"/>
      <c r="D4150" s="417"/>
      <c r="E4150" s="418"/>
      <c r="F4150" s="418"/>
      <c r="G4150" s="419"/>
      <c r="H4150" s="420" t="s">
        <v>64</v>
      </c>
      <c r="I4150" s="421"/>
      <c r="J4150" s="396">
        <f>SUM(J4146:J4149)</f>
        <v>0</v>
      </c>
    </row>
    <row r="4151" spans="1:10" ht="13.5" thickBot="1">
      <c r="A4151" s="27"/>
      <c r="B4151" s="110"/>
      <c r="D4151" s="406" t="s">
        <v>65</v>
      </c>
      <c r="E4151" s="13" t="s">
        <v>66</v>
      </c>
      <c r="F4151" s="14"/>
      <c r="G4151" s="15"/>
      <c r="H4151" s="451"/>
      <c r="I4151" s="412">
        <f>IF(AND(E4151&lt;&gt;"",G4151&lt;&gt;""),IF(D4151="",IF(G4151="OH",VLOOKUP(E4151,UPAH!$C$4:$H$31,7,0),VLOOKUP(E4151,#REF!,4,0)),0),0)</f>
        <v>0</v>
      </c>
      <c r="J4151" s="16">
        <f>H4151*I4151</f>
        <v>0</v>
      </c>
    </row>
    <row r="4152" spans="1:10" ht="13.5" thickBot="1">
      <c r="A4152" s="27"/>
      <c r="B4152" s="110"/>
      <c r="D4152" s="417"/>
      <c r="E4152" s="418"/>
      <c r="F4152" s="418"/>
      <c r="G4152" s="419"/>
      <c r="H4152" s="420" t="s">
        <v>67</v>
      </c>
      <c r="I4152" s="421"/>
      <c r="J4152" s="396">
        <f>J4151</f>
        <v>0</v>
      </c>
    </row>
    <row r="4153" spans="1:10" ht="13">
      <c r="A4153" s="27"/>
      <c r="B4153" s="110"/>
      <c r="D4153" s="444" t="s">
        <v>68</v>
      </c>
      <c r="E4153" s="445" t="s">
        <v>69</v>
      </c>
      <c r="F4153" s="446"/>
      <c r="G4153" s="447"/>
      <c r="H4153" s="448"/>
      <c r="I4153" s="449">
        <f>IF(AND(E4153&lt;&gt;"",G4153&lt;&gt;""),IF(D4153="",IF(G4153="OH",VLOOKUP(E4153,UPAH!$C$4:$H$31,7,0),VLOOKUP(E4153,#REF!,4,0)),0),0)</f>
        <v>0</v>
      </c>
      <c r="J4153" s="16">
        <f>SUM(J4140:J4152)/2</f>
        <v>0</v>
      </c>
    </row>
    <row r="4154" spans="1:10" ht="13.5" thickBot="1">
      <c r="A4154" s="27"/>
      <c r="B4154" s="110"/>
      <c r="D4154" s="431" t="s">
        <v>70</v>
      </c>
      <c r="E4154" s="432" t="s">
        <v>477</v>
      </c>
      <c r="F4154" s="433"/>
      <c r="G4154" s="434"/>
      <c r="H4154" s="22">
        <v>0.1</v>
      </c>
      <c r="I4154" s="436"/>
      <c r="J4154" s="430">
        <f>H4154*J4153</f>
        <v>0</v>
      </c>
    </row>
    <row r="4155" spans="1:10" ht="13.5" thickBot="1">
      <c r="A4155" s="27"/>
      <c r="B4155" s="110"/>
      <c r="D4155" s="401" t="s">
        <v>71</v>
      </c>
      <c r="E4155" s="402" t="s">
        <v>72</v>
      </c>
      <c r="F4155" s="418"/>
      <c r="G4155" s="419"/>
      <c r="H4155" s="442"/>
      <c r="I4155" s="421">
        <f>IF(AND(E4155&lt;&gt;"",G4155&lt;&gt;""),IF(D4155="",IF(G4155="OH",VLOOKUP(E4155,UPAH!$C$4:$H$31,7,0),VLOOKUP(E4155,#REF!,4,0)),0),0)</f>
        <v>0</v>
      </c>
      <c r="J4155" s="396">
        <f>ROUNDDOWN(J4153+J4154,0)</f>
        <v>0</v>
      </c>
    </row>
    <row r="4156" spans="1:10" ht="13">
      <c r="A4156" s="27"/>
      <c r="B4156" s="110"/>
      <c r="D4156" s="11"/>
      <c r="E4156" s="11"/>
      <c r="H4156" s="443"/>
    </row>
    <row r="4157" spans="1:10" ht="13.5" thickBot="1">
      <c r="A4157" s="27"/>
      <c r="B4157" s="110"/>
      <c r="C4157" s="11" t="s">
        <v>906</v>
      </c>
      <c r="D4157" s="10" t="s">
        <v>907</v>
      </c>
      <c r="H4157" s="443"/>
    </row>
    <row r="4158" spans="1:10" ht="13.5" thickBot="1">
      <c r="A4158" s="27"/>
      <c r="B4158" s="110"/>
      <c r="D4158" s="401" t="s">
        <v>40</v>
      </c>
      <c r="E4158" s="402" t="s">
        <v>41</v>
      </c>
      <c r="F4158" s="402" t="s">
        <v>42</v>
      </c>
      <c r="G4158" s="403" t="s">
        <v>43</v>
      </c>
      <c r="H4158" s="404" t="s">
        <v>44</v>
      </c>
      <c r="I4158" s="402" t="s">
        <v>474</v>
      </c>
      <c r="J4158" s="405" t="s">
        <v>475</v>
      </c>
    </row>
    <row r="4159" spans="1:10" ht="13">
      <c r="A4159" s="27"/>
      <c r="B4159" s="110"/>
      <c r="D4159" s="406" t="s">
        <v>45</v>
      </c>
      <c r="E4159" s="13" t="s">
        <v>46</v>
      </c>
      <c r="F4159" s="14"/>
      <c r="G4159" s="15"/>
      <c r="H4159" s="451"/>
      <c r="I4159" s="412"/>
      <c r="J4159" s="16"/>
    </row>
    <row r="4160" spans="1:10" ht="13">
      <c r="A4160" s="27"/>
      <c r="B4160" s="110"/>
      <c r="D4160" s="409"/>
      <c r="E4160" s="13" t="s">
        <v>47</v>
      </c>
      <c r="F4160" s="13" t="s">
        <v>1918</v>
      </c>
      <c r="G4160" s="410" t="s">
        <v>48</v>
      </c>
      <c r="H4160" s="411">
        <v>0.09</v>
      </c>
      <c r="I4160" s="412">
        <f>IF(AND(E4160&lt;&gt;"",G4160&lt;&gt;""),IF(D4160="",IF(G4160="OH",VLOOKUP(F4160,UPAH!$B$4:$H$101,7,0),VLOOKUP(F4160,#REF!,4,0)),0),0)</f>
        <v>0</v>
      </c>
      <c r="J4160" s="16">
        <f>H4160*I4160</f>
        <v>0</v>
      </c>
    </row>
    <row r="4161" spans="1:10" ht="13">
      <c r="A4161" s="27"/>
      <c r="B4161" s="110"/>
      <c r="D4161" s="409"/>
      <c r="E4161" s="13" t="s">
        <v>115</v>
      </c>
      <c r="F4161" s="13" t="s">
        <v>1921</v>
      </c>
      <c r="G4161" s="410" t="s">
        <v>48</v>
      </c>
      <c r="H4161" s="411">
        <v>0.09</v>
      </c>
      <c r="I4161" s="412">
        <f>IF(AND(E4161&lt;&gt;"",G4161&lt;&gt;""),IF(D4161="",IF(G4161="OH",VLOOKUP(F4161,UPAH!$B$4:$H$101,7,0),VLOOKUP(F4161,#REF!,4,0)),0),0)</f>
        <v>0</v>
      </c>
      <c r="J4161" s="16">
        <f>H4161*I4161</f>
        <v>0</v>
      </c>
    </row>
    <row r="4162" spans="1:10" ht="13">
      <c r="A4162" s="27"/>
      <c r="B4162" s="110"/>
      <c r="D4162" s="409"/>
      <c r="E4162" s="13" t="s">
        <v>50</v>
      </c>
      <c r="F4162" s="13" t="s">
        <v>1928</v>
      </c>
      <c r="G4162" s="410" t="s">
        <v>48</v>
      </c>
      <c r="H4162" s="411">
        <v>8.9999999999999993E-3</v>
      </c>
      <c r="I4162" s="412">
        <f>IF(AND(E4162&lt;&gt;"",G4162&lt;&gt;""),IF(D4162="",IF(G4162="OH",VLOOKUP(F4162,UPAH!$B$4:$H$101,7,0),VLOOKUP(F4162,#REF!,4,0)),0),0)</f>
        <v>0</v>
      </c>
      <c r="J4162" s="16">
        <f>H4162*I4162</f>
        <v>0</v>
      </c>
    </row>
    <row r="4163" spans="1:10" ht="13.5" thickBot="1">
      <c r="A4163" s="27"/>
      <c r="B4163" s="110"/>
      <c r="D4163" s="409"/>
      <c r="E4163" s="13" t="s">
        <v>51</v>
      </c>
      <c r="F4163" s="13" t="s">
        <v>1929</v>
      </c>
      <c r="G4163" s="410" t="s">
        <v>48</v>
      </c>
      <c r="H4163" s="411">
        <v>5.0000000000000001E-3</v>
      </c>
      <c r="I4163" s="412">
        <f>IF(AND(E4163&lt;&gt;"",G4163&lt;&gt;""),IF(D4163="",IF(G4163="OH",VLOOKUP(F4163,UPAH!$B$4:$H$101,7,0),VLOOKUP(F4163,#REF!,4,0)),0),0)</f>
        <v>0</v>
      </c>
      <c r="J4163" s="16">
        <f>H4163*I4163</f>
        <v>0</v>
      </c>
    </row>
    <row r="4164" spans="1:10" ht="13.5" thickBot="1">
      <c r="A4164" s="27"/>
      <c r="B4164" s="110"/>
      <c r="D4164" s="417"/>
      <c r="E4164" s="418"/>
      <c r="F4164" s="418"/>
      <c r="G4164" s="419"/>
      <c r="H4164" s="420" t="s">
        <v>52</v>
      </c>
      <c r="I4164" s="421"/>
      <c r="J4164" s="396">
        <f>SUM(J4160:J4163)</f>
        <v>0</v>
      </c>
    </row>
    <row r="4165" spans="1:10" ht="13">
      <c r="A4165" s="27"/>
      <c r="B4165" s="110"/>
      <c r="D4165" s="406" t="s">
        <v>53</v>
      </c>
      <c r="E4165" s="13" t="s">
        <v>54</v>
      </c>
      <c r="F4165" s="14"/>
      <c r="G4165" s="15"/>
      <c r="H4165" s="451"/>
      <c r="I4165" s="412"/>
      <c r="J4165" s="16"/>
    </row>
    <row r="4166" spans="1:10" ht="13">
      <c r="A4166" s="27"/>
      <c r="B4166" s="110"/>
      <c r="D4166" s="409"/>
      <c r="E4166" s="13" t="s">
        <v>908</v>
      </c>
      <c r="F4166" s="14"/>
      <c r="G4166" s="410" t="s">
        <v>87</v>
      </c>
      <c r="H4166" s="411">
        <v>2.63</v>
      </c>
      <c r="I4166" s="412">
        <f>'BAHAN '!G292</f>
        <v>0</v>
      </c>
      <c r="J4166" s="16">
        <f>H4166*I4166</f>
        <v>0</v>
      </c>
    </row>
    <row r="4167" spans="1:10" ht="13">
      <c r="A4167" s="27"/>
      <c r="B4167" s="110"/>
      <c r="D4167" s="409"/>
      <c r="E4167" s="13" t="s">
        <v>56</v>
      </c>
      <c r="F4167" s="14"/>
      <c r="G4167" s="410" t="s">
        <v>93</v>
      </c>
      <c r="H4167" s="411">
        <v>1.1399999999999999</v>
      </c>
      <c r="I4167" s="412">
        <f>'BAHAN '!G72</f>
        <v>0</v>
      </c>
      <c r="J4167" s="16">
        <f>H4167*I4167</f>
        <v>0</v>
      </c>
    </row>
    <row r="4168" spans="1:10" ht="13">
      <c r="A4168" s="27"/>
      <c r="B4168" s="110"/>
      <c r="D4168" s="409"/>
      <c r="E4168" s="13" t="s">
        <v>442</v>
      </c>
      <c r="F4168" s="14"/>
      <c r="G4168" s="410" t="s">
        <v>57</v>
      </c>
      <c r="H4168" s="411">
        <v>0.1</v>
      </c>
      <c r="I4168" s="412">
        <f>'BAHAN '!G74</f>
        <v>0</v>
      </c>
      <c r="J4168" s="16">
        <f>H4168*I4168</f>
        <v>0</v>
      </c>
    </row>
    <row r="4169" spans="1:10" ht="13.5" thickBot="1">
      <c r="A4169" s="27"/>
      <c r="B4169" s="110"/>
      <c r="D4169" s="409"/>
      <c r="E4169" s="13" t="s">
        <v>101</v>
      </c>
      <c r="F4169" s="14"/>
      <c r="G4169" s="410" t="s">
        <v>170</v>
      </c>
      <c r="H4169" s="411">
        <v>3.0000000000000001E-3</v>
      </c>
      <c r="I4169" s="412">
        <f>'BAHAN '!G59</f>
        <v>0</v>
      </c>
      <c r="J4169" s="16">
        <f>H4169*I4169</f>
        <v>0</v>
      </c>
    </row>
    <row r="4170" spans="1:10" ht="13.5" thickBot="1">
      <c r="A4170" s="27"/>
      <c r="B4170" s="110"/>
      <c r="D4170" s="417"/>
      <c r="E4170" s="418"/>
      <c r="F4170" s="418"/>
      <c r="G4170" s="419"/>
      <c r="H4170" s="420" t="s">
        <v>64</v>
      </c>
      <c r="I4170" s="421"/>
      <c r="J4170" s="396">
        <f>SUM(J4166:J4169)</f>
        <v>0</v>
      </c>
    </row>
    <row r="4171" spans="1:10" ht="13.5" thickBot="1">
      <c r="A4171" s="27"/>
      <c r="B4171" s="110"/>
      <c r="D4171" s="406" t="s">
        <v>65</v>
      </c>
      <c r="E4171" s="13" t="s">
        <v>66</v>
      </c>
      <c r="F4171" s="14"/>
      <c r="G4171" s="15"/>
      <c r="H4171" s="451"/>
      <c r="I4171" s="412">
        <f>IF(AND(E4171&lt;&gt;"",G4171&lt;&gt;""),IF(D4171="",IF(G4171="OH",VLOOKUP(E4171,UPAH!$C$4:$H$31,7,0),VLOOKUP(E4171,#REF!,4,0)),0),0)</f>
        <v>0</v>
      </c>
      <c r="J4171" s="16">
        <f>H4171*I4171</f>
        <v>0</v>
      </c>
    </row>
    <row r="4172" spans="1:10" ht="13.5" thickBot="1">
      <c r="A4172" s="27"/>
      <c r="B4172" s="110"/>
      <c r="D4172" s="417"/>
      <c r="E4172" s="418"/>
      <c r="F4172" s="418"/>
      <c r="G4172" s="419"/>
      <c r="H4172" s="420" t="s">
        <v>67</v>
      </c>
      <c r="I4172" s="421"/>
      <c r="J4172" s="396">
        <f>J4171</f>
        <v>0</v>
      </c>
    </row>
    <row r="4173" spans="1:10" ht="13">
      <c r="A4173" s="27"/>
      <c r="B4173" s="110"/>
      <c r="D4173" s="444" t="s">
        <v>68</v>
      </c>
      <c r="E4173" s="445" t="s">
        <v>69</v>
      </c>
      <c r="F4173" s="446"/>
      <c r="G4173" s="447"/>
      <c r="H4173" s="448"/>
      <c r="I4173" s="449">
        <f>IF(AND(E4173&lt;&gt;"",G4173&lt;&gt;""),IF(D4173="",IF(G4173="OH",VLOOKUP(E4173,UPAH!$C$4:$H$31,7,0),VLOOKUP(E4173,#REF!,4,0)),0),0)</f>
        <v>0</v>
      </c>
      <c r="J4173" s="16">
        <f>SUM(J4160:J4172)/2</f>
        <v>0</v>
      </c>
    </row>
    <row r="4174" spans="1:10" ht="13.5" thickBot="1">
      <c r="A4174" s="27"/>
      <c r="B4174" s="110"/>
      <c r="D4174" s="478" t="s">
        <v>70</v>
      </c>
      <c r="E4174" s="479" t="s">
        <v>477</v>
      </c>
      <c r="F4174" s="480"/>
      <c r="G4174" s="481"/>
      <c r="H4174" s="512">
        <v>0.1</v>
      </c>
      <c r="I4174" s="483"/>
      <c r="J4174" s="465">
        <f>H4174*J4173</f>
        <v>0</v>
      </c>
    </row>
    <row r="4175" spans="1:10" ht="13.5" thickBot="1">
      <c r="A4175" s="27"/>
      <c r="B4175" s="110"/>
      <c r="D4175" s="401" t="s">
        <v>71</v>
      </c>
      <c r="E4175" s="402" t="s">
        <v>72</v>
      </c>
      <c r="F4175" s="418"/>
      <c r="G4175" s="419"/>
      <c r="H4175" s="442"/>
      <c r="I4175" s="421">
        <f>IF(AND(E4175&lt;&gt;"",G4175&lt;&gt;""),IF(D4175="",IF(G4175="OH",VLOOKUP(E4175,UPAH!$C$4:$H$31,7,0),VLOOKUP(E4175,#REF!,4,0)),0),0)</f>
        <v>0</v>
      </c>
      <c r="J4175" s="396">
        <f>ROUNDDOWN(J4173+J4174,0)</f>
        <v>0</v>
      </c>
    </row>
    <row r="4176" spans="1:10" ht="13">
      <c r="A4176" s="27"/>
      <c r="B4176" s="110"/>
      <c r="D4176" s="11"/>
      <c r="E4176" s="11"/>
      <c r="H4176" s="443"/>
    </row>
    <row r="4177" spans="1:10" ht="13.5" thickBot="1">
      <c r="A4177" s="27"/>
      <c r="B4177" s="110"/>
      <c r="C4177" s="11" t="s">
        <v>903</v>
      </c>
      <c r="D4177" s="10" t="s">
        <v>904</v>
      </c>
      <c r="H4177" s="443"/>
    </row>
    <row r="4178" spans="1:10" ht="13.5" thickBot="1">
      <c r="A4178" s="27"/>
      <c r="B4178" s="110"/>
      <c r="D4178" s="401" t="s">
        <v>40</v>
      </c>
      <c r="E4178" s="402" t="s">
        <v>41</v>
      </c>
      <c r="F4178" s="402" t="s">
        <v>42</v>
      </c>
      <c r="G4178" s="403" t="s">
        <v>43</v>
      </c>
      <c r="H4178" s="404" t="s">
        <v>44</v>
      </c>
      <c r="I4178" s="402" t="s">
        <v>474</v>
      </c>
      <c r="J4178" s="405" t="s">
        <v>475</v>
      </c>
    </row>
    <row r="4179" spans="1:10" ht="13">
      <c r="A4179" s="27"/>
      <c r="B4179" s="110"/>
      <c r="D4179" s="406" t="s">
        <v>45</v>
      </c>
      <c r="E4179" s="13" t="s">
        <v>46</v>
      </c>
      <c r="F4179" s="14"/>
      <c r="G4179" s="15"/>
      <c r="H4179" s="451"/>
      <c r="I4179" s="412"/>
      <c r="J4179" s="16"/>
    </row>
    <row r="4180" spans="1:10" ht="13">
      <c r="A4180" s="27"/>
      <c r="B4180" s="110"/>
      <c r="D4180" s="409"/>
      <c r="E4180" s="13" t="s">
        <v>47</v>
      </c>
      <c r="F4180" s="13" t="s">
        <v>1918</v>
      </c>
      <c r="G4180" s="410" t="s">
        <v>48</v>
      </c>
      <c r="H4180" s="411">
        <v>0.09</v>
      </c>
      <c r="I4180" s="412">
        <f>IF(AND(E4180&lt;&gt;"",G4180&lt;&gt;""),IF(D4180="",IF(G4180="OH",VLOOKUP(F4180,UPAH!$B$4:$H$101,7,0),VLOOKUP(F4180,#REF!,4,0)),0),0)</f>
        <v>0</v>
      </c>
      <c r="J4180" s="16">
        <f>H4180*I4180</f>
        <v>0</v>
      </c>
    </row>
    <row r="4181" spans="1:10" ht="13">
      <c r="A4181" s="27"/>
      <c r="B4181" s="110"/>
      <c r="D4181" s="409"/>
      <c r="E4181" s="13" t="s">
        <v>115</v>
      </c>
      <c r="F4181" s="13" t="s">
        <v>1921</v>
      </c>
      <c r="G4181" s="410" t="s">
        <v>48</v>
      </c>
      <c r="H4181" s="411">
        <v>0.09</v>
      </c>
      <c r="I4181" s="412">
        <f>IF(AND(E4181&lt;&gt;"",G4181&lt;&gt;""),IF(D4181="",IF(G4181="OH",VLOOKUP(F4181,UPAH!$B$4:$H$101,7,0),VLOOKUP(F4181,#REF!,4,0)),0),0)</f>
        <v>0</v>
      </c>
      <c r="J4181" s="16">
        <f>H4181*I4181</f>
        <v>0</v>
      </c>
    </row>
    <row r="4182" spans="1:10" ht="13">
      <c r="A4182" s="27"/>
      <c r="B4182" s="110"/>
      <c r="D4182" s="409"/>
      <c r="E4182" s="13" t="s">
        <v>50</v>
      </c>
      <c r="F4182" s="13" t="s">
        <v>1928</v>
      </c>
      <c r="G4182" s="410" t="s">
        <v>48</v>
      </c>
      <c r="H4182" s="411">
        <v>8.9999999999999993E-3</v>
      </c>
      <c r="I4182" s="412">
        <f>IF(AND(E4182&lt;&gt;"",G4182&lt;&gt;""),IF(D4182="",IF(G4182="OH",VLOOKUP(F4182,UPAH!$B$4:$H$101,7,0),VLOOKUP(F4182,#REF!,4,0)),0),0)</f>
        <v>0</v>
      </c>
      <c r="J4182" s="16">
        <f>H4182*I4182</f>
        <v>0</v>
      </c>
    </row>
    <row r="4183" spans="1:10" ht="13.5" thickBot="1">
      <c r="A4183" s="27"/>
      <c r="B4183" s="110"/>
      <c r="D4183" s="409"/>
      <c r="E4183" s="13" t="s">
        <v>51</v>
      </c>
      <c r="F4183" s="13" t="s">
        <v>1929</v>
      </c>
      <c r="G4183" s="410" t="s">
        <v>48</v>
      </c>
      <c r="H4183" s="411">
        <v>5.0000000000000001E-3</v>
      </c>
      <c r="I4183" s="412">
        <f>IF(AND(E4183&lt;&gt;"",G4183&lt;&gt;""),IF(D4183="",IF(G4183="OH",VLOOKUP(F4183,UPAH!$B$4:$H$101,7,0),VLOOKUP(F4183,#REF!,4,0)),0),0)</f>
        <v>0</v>
      </c>
      <c r="J4183" s="16">
        <f>H4183*I4183</f>
        <v>0</v>
      </c>
    </row>
    <row r="4184" spans="1:10" ht="13.5" thickBot="1">
      <c r="A4184" s="27"/>
      <c r="B4184" s="110"/>
      <c r="D4184" s="417"/>
      <c r="E4184" s="418"/>
      <c r="F4184" s="418"/>
      <c r="G4184" s="419"/>
      <c r="H4184" s="420" t="s">
        <v>52</v>
      </c>
      <c r="I4184" s="421"/>
      <c r="J4184" s="396">
        <f>SUM(J4180:J4183)</f>
        <v>0</v>
      </c>
    </row>
    <row r="4185" spans="1:10" ht="13">
      <c r="A4185" s="27"/>
      <c r="B4185" s="110"/>
      <c r="D4185" s="406" t="s">
        <v>53</v>
      </c>
      <c r="E4185" s="13" t="s">
        <v>54</v>
      </c>
      <c r="F4185" s="14"/>
      <c r="G4185" s="15"/>
      <c r="H4185" s="451"/>
      <c r="I4185" s="412"/>
      <c r="J4185" s="16"/>
    </row>
    <row r="4186" spans="1:10" ht="13">
      <c r="A4186" s="27"/>
      <c r="B4186" s="110"/>
      <c r="D4186" s="409"/>
      <c r="E4186" s="13" t="s">
        <v>905</v>
      </c>
      <c r="F4186" s="14"/>
      <c r="G4186" s="410" t="s">
        <v>87</v>
      </c>
      <c r="H4186" s="411">
        <v>3.53</v>
      </c>
      <c r="I4186" s="412">
        <f>'BAHAN '!G291</f>
        <v>0</v>
      </c>
      <c r="J4186" s="16">
        <f>H4186*I4186</f>
        <v>0</v>
      </c>
    </row>
    <row r="4187" spans="1:10" ht="13">
      <c r="A4187" s="27"/>
      <c r="B4187" s="110"/>
      <c r="D4187" s="409"/>
      <c r="E4187" s="13" t="s">
        <v>56</v>
      </c>
      <c r="F4187" s="14"/>
      <c r="G4187" s="410" t="s">
        <v>93</v>
      </c>
      <c r="H4187" s="411">
        <v>1.1399999999999999</v>
      </c>
      <c r="I4187" s="412">
        <f>'BAHAN '!G72</f>
        <v>0</v>
      </c>
      <c r="J4187" s="16">
        <f>H4187*I4187</f>
        <v>0</v>
      </c>
    </row>
    <row r="4188" spans="1:10" ht="13">
      <c r="A4188" s="27"/>
      <c r="B4188" s="110"/>
      <c r="D4188" s="409"/>
      <c r="E4188" s="13" t="s">
        <v>442</v>
      </c>
      <c r="F4188" s="14"/>
      <c r="G4188" s="410" t="s">
        <v>57</v>
      </c>
      <c r="H4188" s="411">
        <v>0.1</v>
      </c>
      <c r="I4188" s="412">
        <f>'BAHAN '!G74</f>
        <v>0</v>
      </c>
      <c r="J4188" s="16">
        <f>H4188*I4188</f>
        <v>0</v>
      </c>
    </row>
    <row r="4189" spans="1:10" ht="13.5" thickBot="1">
      <c r="A4189" s="27"/>
      <c r="B4189" s="110"/>
      <c r="D4189" s="409"/>
      <c r="E4189" s="13" t="s">
        <v>101</v>
      </c>
      <c r="F4189" s="14"/>
      <c r="G4189" s="410" t="s">
        <v>170</v>
      </c>
      <c r="H4189" s="411">
        <v>3.0000000000000001E-3</v>
      </c>
      <c r="I4189" s="412">
        <f>'BAHAN '!G59</f>
        <v>0</v>
      </c>
      <c r="J4189" s="16">
        <f>H4189*I4189</f>
        <v>0</v>
      </c>
    </row>
    <row r="4190" spans="1:10" ht="13.5" thickBot="1">
      <c r="A4190" s="27"/>
      <c r="B4190" s="110"/>
      <c r="D4190" s="417"/>
      <c r="E4190" s="418"/>
      <c r="F4190" s="418"/>
      <c r="G4190" s="419"/>
      <c r="H4190" s="420" t="s">
        <v>64</v>
      </c>
      <c r="I4190" s="421"/>
      <c r="J4190" s="396">
        <f>SUM(J4186:J4189)</f>
        <v>0</v>
      </c>
    </row>
    <row r="4191" spans="1:10" ht="13.5" thickBot="1">
      <c r="A4191" s="27"/>
      <c r="B4191" s="110"/>
      <c r="D4191" s="406" t="s">
        <v>65</v>
      </c>
      <c r="E4191" s="13" t="s">
        <v>66</v>
      </c>
      <c r="F4191" s="14"/>
      <c r="G4191" s="15"/>
      <c r="H4191" s="451"/>
      <c r="I4191" s="412">
        <f>IF(AND(E4191&lt;&gt;"",G4191&lt;&gt;""),IF(D4191="",IF(G4191="OH",VLOOKUP(E4191,UPAH!$C$4:$H$31,7,0),VLOOKUP(E4191,#REF!,4,0)),0),0)</f>
        <v>0</v>
      </c>
      <c r="J4191" s="16">
        <f>H4191*I4191</f>
        <v>0</v>
      </c>
    </row>
    <row r="4192" spans="1:10" ht="13.5" thickBot="1">
      <c r="A4192" s="27"/>
      <c r="B4192" s="110"/>
      <c r="D4192" s="417"/>
      <c r="E4192" s="418"/>
      <c r="F4192" s="418"/>
      <c r="G4192" s="419"/>
      <c r="H4192" s="420" t="s">
        <v>67</v>
      </c>
      <c r="I4192" s="421"/>
      <c r="J4192" s="396">
        <f>J4191</f>
        <v>0</v>
      </c>
    </row>
    <row r="4193" spans="1:10" ht="13">
      <c r="A4193" s="27"/>
      <c r="B4193" s="110"/>
      <c r="D4193" s="444" t="s">
        <v>68</v>
      </c>
      <c r="E4193" s="445" t="s">
        <v>69</v>
      </c>
      <c r="F4193" s="446"/>
      <c r="G4193" s="447"/>
      <c r="H4193" s="448"/>
      <c r="I4193" s="449">
        <f>IF(AND(E4193&lt;&gt;"",G4193&lt;&gt;""),IF(D4193="",IF(G4193="OH",VLOOKUP(E4193,UPAH!$C$4:$H$31,7,0),VLOOKUP(E4193,#REF!,4,0)),0),0)</f>
        <v>0</v>
      </c>
      <c r="J4193" s="16">
        <f>SUM(J4180:J4192)/2</f>
        <v>0</v>
      </c>
    </row>
    <row r="4194" spans="1:10" ht="13.5" thickBot="1">
      <c r="A4194" s="27"/>
      <c r="B4194" s="110"/>
      <c r="D4194" s="431" t="s">
        <v>70</v>
      </c>
      <c r="E4194" s="432" t="s">
        <v>477</v>
      </c>
      <c r="F4194" s="433"/>
      <c r="G4194" s="434"/>
      <c r="H4194" s="22">
        <v>0.1</v>
      </c>
      <c r="I4194" s="436"/>
      <c r="J4194" s="430">
        <f>H4194*J4193</f>
        <v>0</v>
      </c>
    </row>
    <row r="4195" spans="1:10" ht="13.5" thickBot="1">
      <c r="A4195" s="27"/>
      <c r="B4195" s="110"/>
      <c r="D4195" s="401" t="s">
        <v>71</v>
      </c>
      <c r="E4195" s="402" t="s">
        <v>72</v>
      </c>
      <c r="F4195" s="418"/>
      <c r="G4195" s="419"/>
      <c r="H4195" s="442"/>
      <c r="I4195" s="421">
        <f>IF(AND(E4195&lt;&gt;"",G4195&lt;&gt;""),IF(D4195="",IF(G4195="OH",VLOOKUP(E4195,UPAH!$C$4:$H$31,7,0),VLOOKUP(E4195,#REF!,4,0)),0),0)</f>
        <v>0</v>
      </c>
      <c r="J4195" s="396">
        <f>ROUNDDOWN(J4193+J4194,0)</f>
        <v>0</v>
      </c>
    </row>
    <row r="4196" spans="1:10" ht="13">
      <c r="A4196" s="27"/>
      <c r="B4196" s="110"/>
      <c r="D4196" s="11"/>
      <c r="E4196" s="11"/>
      <c r="H4196" s="443"/>
    </row>
    <row r="4197" spans="1:10" ht="13.5" thickBot="1">
      <c r="A4197" s="27"/>
      <c r="B4197" s="110"/>
      <c r="C4197" s="11" t="s">
        <v>900</v>
      </c>
      <c r="D4197" s="10" t="s">
        <v>901</v>
      </c>
      <c r="H4197" s="443"/>
    </row>
    <row r="4198" spans="1:10" ht="13.5" thickBot="1">
      <c r="A4198" s="27"/>
      <c r="B4198" s="110"/>
      <c r="D4198" s="401" t="s">
        <v>40</v>
      </c>
      <c r="E4198" s="402" t="s">
        <v>41</v>
      </c>
      <c r="F4198" s="402" t="s">
        <v>42</v>
      </c>
      <c r="G4198" s="403" t="s">
        <v>43</v>
      </c>
      <c r="H4198" s="404" t="s">
        <v>44</v>
      </c>
      <c r="I4198" s="402" t="s">
        <v>474</v>
      </c>
      <c r="J4198" s="405" t="s">
        <v>475</v>
      </c>
    </row>
    <row r="4199" spans="1:10" ht="13">
      <c r="A4199" s="27"/>
      <c r="B4199" s="110"/>
      <c r="D4199" s="406" t="s">
        <v>45</v>
      </c>
      <c r="E4199" s="13" t="s">
        <v>46</v>
      </c>
      <c r="F4199" s="14"/>
      <c r="G4199" s="15"/>
      <c r="H4199" s="451"/>
      <c r="I4199" s="412"/>
      <c r="J4199" s="16"/>
    </row>
    <row r="4200" spans="1:10" ht="13">
      <c r="A4200" s="27"/>
      <c r="B4200" s="110"/>
      <c r="D4200" s="409"/>
      <c r="E4200" s="13" t="s">
        <v>47</v>
      </c>
      <c r="F4200" s="13" t="s">
        <v>1918</v>
      </c>
      <c r="G4200" s="410" t="s">
        <v>48</v>
      </c>
      <c r="H4200" s="411">
        <v>0.09</v>
      </c>
      <c r="I4200" s="412">
        <f>IF(AND(E4200&lt;&gt;"",G4200&lt;&gt;""),IF(D4200="",IF(G4200="OH",VLOOKUP(F4200,UPAH!$B$4:$H$101,7,0),VLOOKUP(F4200,#REF!,4,0)),0),0)</f>
        <v>0</v>
      </c>
      <c r="J4200" s="16">
        <f>H4200*I4200</f>
        <v>0</v>
      </c>
    </row>
    <row r="4201" spans="1:10" ht="13">
      <c r="A4201" s="27"/>
      <c r="B4201" s="110"/>
      <c r="D4201" s="409"/>
      <c r="E4201" s="13" t="s">
        <v>115</v>
      </c>
      <c r="F4201" s="13" t="s">
        <v>1921</v>
      </c>
      <c r="G4201" s="410" t="s">
        <v>48</v>
      </c>
      <c r="H4201" s="411">
        <v>0.09</v>
      </c>
      <c r="I4201" s="412">
        <f>IF(AND(E4201&lt;&gt;"",G4201&lt;&gt;""),IF(D4201="",IF(G4201="OH",VLOOKUP(F4201,UPAH!$B$4:$H$101,7,0),VLOOKUP(F4201,#REF!,4,0)),0),0)</f>
        <v>0</v>
      </c>
      <c r="J4201" s="16">
        <f>H4201*I4201</f>
        <v>0</v>
      </c>
    </row>
    <row r="4202" spans="1:10" ht="13">
      <c r="A4202" s="27"/>
      <c r="B4202" s="110"/>
      <c r="D4202" s="409"/>
      <c r="E4202" s="13" t="s">
        <v>50</v>
      </c>
      <c r="F4202" s="13" t="s">
        <v>1928</v>
      </c>
      <c r="G4202" s="410" t="s">
        <v>48</v>
      </c>
      <c r="H4202" s="411">
        <v>8.9999999999999993E-3</v>
      </c>
      <c r="I4202" s="412">
        <f>IF(AND(E4202&lt;&gt;"",G4202&lt;&gt;""),IF(D4202="",IF(G4202="OH",VLOOKUP(F4202,UPAH!$B$4:$H$101,7,0),VLOOKUP(F4202,#REF!,4,0)),0),0)</f>
        <v>0</v>
      </c>
      <c r="J4202" s="16">
        <f>H4202*I4202</f>
        <v>0</v>
      </c>
    </row>
    <row r="4203" spans="1:10" ht="13.5" thickBot="1">
      <c r="A4203" s="27"/>
      <c r="B4203" s="110"/>
      <c r="D4203" s="409"/>
      <c r="E4203" s="13" t="s">
        <v>51</v>
      </c>
      <c r="F4203" s="13" t="s">
        <v>1929</v>
      </c>
      <c r="G4203" s="410" t="s">
        <v>48</v>
      </c>
      <c r="H4203" s="411">
        <v>5.0000000000000001E-3</v>
      </c>
      <c r="I4203" s="412">
        <f>IF(AND(E4203&lt;&gt;"",G4203&lt;&gt;""),IF(D4203="",IF(G4203="OH",VLOOKUP(F4203,UPAH!$B$4:$H$101,7,0),VLOOKUP(F4203,#REF!,4,0)),0),0)</f>
        <v>0</v>
      </c>
      <c r="J4203" s="16">
        <f>H4203*I4203</f>
        <v>0</v>
      </c>
    </row>
    <row r="4204" spans="1:10" ht="13.5" thickBot="1">
      <c r="A4204" s="27"/>
      <c r="B4204" s="110"/>
      <c r="D4204" s="417"/>
      <c r="E4204" s="418"/>
      <c r="F4204" s="418"/>
      <c r="G4204" s="419"/>
      <c r="H4204" s="420" t="s">
        <v>52</v>
      </c>
      <c r="I4204" s="421"/>
      <c r="J4204" s="396">
        <f>SUM(J4200:J4203)</f>
        <v>0</v>
      </c>
    </row>
    <row r="4205" spans="1:10" ht="13">
      <c r="A4205" s="27"/>
      <c r="B4205" s="110"/>
      <c r="D4205" s="406" t="s">
        <v>53</v>
      </c>
      <c r="E4205" s="13" t="s">
        <v>54</v>
      </c>
      <c r="F4205" s="14"/>
      <c r="G4205" s="15"/>
      <c r="H4205" s="451"/>
      <c r="I4205" s="412"/>
      <c r="J4205" s="16"/>
    </row>
    <row r="4206" spans="1:10" ht="13">
      <c r="A4206" s="27"/>
      <c r="B4206" s="110"/>
      <c r="D4206" s="409"/>
      <c r="E4206" s="13" t="s">
        <v>902</v>
      </c>
      <c r="F4206" s="14"/>
      <c r="G4206" s="410" t="s">
        <v>87</v>
      </c>
      <c r="H4206" s="411">
        <v>1.7</v>
      </c>
      <c r="I4206" s="412">
        <f>'BAHAN '!G296</f>
        <v>0</v>
      </c>
      <c r="J4206" s="16">
        <f>H4206*I4206</f>
        <v>0</v>
      </c>
    </row>
    <row r="4207" spans="1:10" ht="13">
      <c r="A4207" s="27"/>
      <c r="B4207" s="110"/>
      <c r="D4207" s="409"/>
      <c r="E4207" s="13" t="s">
        <v>56</v>
      </c>
      <c r="F4207" s="14"/>
      <c r="G4207" s="410" t="s">
        <v>93</v>
      </c>
      <c r="H4207" s="411">
        <v>1.1399999999999999</v>
      </c>
      <c r="I4207" s="412">
        <f>'BAHAN '!G72</f>
        <v>0</v>
      </c>
      <c r="J4207" s="16">
        <f>H4207*I4207</f>
        <v>0</v>
      </c>
    </row>
    <row r="4208" spans="1:10" ht="13">
      <c r="A4208" s="27"/>
      <c r="B4208" s="110"/>
      <c r="D4208" s="409"/>
      <c r="E4208" s="13" t="s">
        <v>442</v>
      </c>
      <c r="F4208" s="14"/>
      <c r="G4208" s="410" t="s">
        <v>57</v>
      </c>
      <c r="H4208" s="411">
        <v>0.1</v>
      </c>
      <c r="I4208" s="412">
        <f>'BAHAN '!G74</f>
        <v>0</v>
      </c>
      <c r="J4208" s="16">
        <f>H4208*I4208</f>
        <v>0</v>
      </c>
    </row>
    <row r="4209" spans="1:10" ht="13.5" thickBot="1">
      <c r="A4209" s="27"/>
      <c r="B4209" s="110"/>
      <c r="D4209" s="409"/>
      <c r="E4209" s="13" t="s">
        <v>101</v>
      </c>
      <c r="F4209" s="14"/>
      <c r="G4209" s="410" t="s">
        <v>170</v>
      </c>
      <c r="H4209" s="411">
        <v>3.0000000000000001E-3</v>
      </c>
      <c r="I4209" s="412">
        <f>'BAHAN '!G59</f>
        <v>0</v>
      </c>
      <c r="J4209" s="16">
        <f>H4209*I4209</f>
        <v>0</v>
      </c>
    </row>
    <row r="4210" spans="1:10" ht="13.5" thickBot="1">
      <c r="A4210" s="27"/>
      <c r="B4210" s="110"/>
      <c r="D4210" s="417"/>
      <c r="E4210" s="418"/>
      <c r="F4210" s="418"/>
      <c r="G4210" s="419"/>
      <c r="H4210" s="420" t="s">
        <v>64</v>
      </c>
      <c r="I4210" s="421"/>
      <c r="J4210" s="396">
        <f>SUM(J4206:J4209)</f>
        <v>0</v>
      </c>
    </row>
    <row r="4211" spans="1:10" ht="13.5" thickBot="1">
      <c r="A4211" s="27"/>
      <c r="B4211" s="110"/>
      <c r="D4211" s="406" t="s">
        <v>65</v>
      </c>
      <c r="E4211" s="13" t="s">
        <v>66</v>
      </c>
      <c r="F4211" s="14"/>
      <c r="G4211" s="15"/>
      <c r="H4211" s="451"/>
      <c r="I4211" s="412">
        <f>IF(AND(E4211&lt;&gt;"",G4211&lt;&gt;""),IF(D4211="",IF(G4211="OH",VLOOKUP(E4211,UPAH!$C$4:$H$31,7,0),VLOOKUP(E4211,#REF!,4,0)),0),0)</f>
        <v>0</v>
      </c>
      <c r="J4211" s="16">
        <f>H4211*I4211</f>
        <v>0</v>
      </c>
    </row>
    <row r="4212" spans="1:10" ht="13.5" thickBot="1">
      <c r="A4212" s="27"/>
      <c r="B4212" s="110"/>
      <c r="D4212" s="417"/>
      <c r="E4212" s="418"/>
      <c r="F4212" s="418"/>
      <c r="G4212" s="419"/>
      <c r="H4212" s="420" t="s">
        <v>67</v>
      </c>
      <c r="I4212" s="421"/>
      <c r="J4212" s="396">
        <f>J4211</f>
        <v>0</v>
      </c>
    </row>
    <row r="4213" spans="1:10" ht="13">
      <c r="A4213" s="27"/>
      <c r="B4213" s="110"/>
      <c r="D4213" s="444" t="s">
        <v>68</v>
      </c>
      <c r="E4213" s="445" t="s">
        <v>69</v>
      </c>
      <c r="F4213" s="446"/>
      <c r="G4213" s="447"/>
      <c r="H4213" s="448"/>
      <c r="I4213" s="449">
        <f>IF(AND(E4213&lt;&gt;"",G4213&lt;&gt;""),IF(D4213="",IF(G4213="OH",VLOOKUP(E4213,UPAH!$C$4:$H$31,7,0),VLOOKUP(E4213,#REF!,4,0)),0),0)</f>
        <v>0</v>
      </c>
      <c r="J4213" s="16">
        <f>SUM(J4200:J4212)/2</f>
        <v>0</v>
      </c>
    </row>
    <row r="4214" spans="1:10" ht="13.5" thickBot="1">
      <c r="A4214" s="27"/>
      <c r="B4214" s="110"/>
      <c r="D4214" s="431" t="s">
        <v>70</v>
      </c>
      <c r="E4214" s="432" t="s">
        <v>477</v>
      </c>
      <c r="F4214" s="433"/>
      <c r="G4214" s="434"/>
      <c r="H4214" s="22">
        <v>0.1</v>
      </c>
      <c r="I4214" s="436"/>
      <c r="J4214" s="430">
        <f>H4214*J4213</f>
        <v>0</v>
      </c>
    </row>
    <row r="4215" spans="1:10" ht="13.5" thickBot="1">
      <c r="A4215" s="27"/>
      <c r="B4215" s="110"/>
      <c r="D4215" s="401" t="s">
        <v>71</v>
      </c>
      <c r="E4215" s="402" t="s">
        <v>72</v>
      </c>
      <c r="F4215" s="418"/>
      <c r="G4215" s="419"/>
      <c r="H4215" s="442"/>
      <c r="I4215" s="421">
        <f>IF(AND(E4215&lt;&gt;"",G4215&lt;&gt;""),IF(D4215="",IF(G4215="OH",VLOOKUP(E4215,UPAH!$C$4:$H$31,7,0),VLOOKUP(E4215,#REF!,4,0)),0),0)</f>
        <v>0</v>
      </c>
      <c r="J4215" s="396">
        <f>ROUNDDOWN(J4213+J4214,0)</f>
        <v>0</v>
      </c>
    </row>
    <row r="4216" spans="1:10" ht="13">
      <c r="A4216" s="27"/>
      <c r="B4216" s="110"/>
      <c r="D4216" s="11"/>
      <c r="E4216" s="11"/>
      <c r="H4216" s="443"/>
    </row>
    <row r="4217" spans="1:10" ht="13.5" thickBot="1">
      <c r="A4217" s="27"/>
      <c r="B4217" s="110"/>
      <c r="C4217" s="11" t="s">
        <v>897</v>
      </c>
      <c r="D4217" s="10" t="s">
        <v>898</v>
      </c>
      <c r="H4217" s="443"/>
    </row>
    <row r="4218" spans="1:10" ht="13.5" thickBot="1">
      <c r="A4218" s="27"/>
      <c r="B4218" s="110"/>
      <c r="D4218" s="401" t="s">
        <v>40</v>
      </c>
      <c r="E4218" s="402" t="s">
        <v>41</v>
      </c>
      <c r="F4218" s="402" t="s">
        <v>42</v>
      </c>
      <c r="G4218" s="403" t="s">
        <v>43</v>
      </c>
      <c r="H4218" s="404" t="s">
        <v>44</v>
      </c>
      <c r="I4218" s="402" t="s">
        <v>474</v>
      </c>
      <c r="J4218" s="405" t="s">
        <v>475</v>
      </c>
    </row>
    <row r="4219" spans="1:10" ht="13">
      <c r="A4219" s="27"/>
      <c r="B4219" s="110"/>
      <c r="D4219" s="406" t="s">
        <v>45</v>
      </c>
      <c r="E4219" s="13" t="s">
        <v>46</v>
      </c>
      <c r="F4219" s="14"/>
      <c r="G4219" s="15"/>
      <c r="H4219" s="451"/>
      <c r="I4219" s="412"/>
      <c r="J4219" s="16"/>
    </row>
    <row r="4220" spans="1:10" ht="13">
      <c r="A4220" s="27"/>
      <c r="B4220" s="110"/>
      <c r="D4220" s="409"/>
      <c r="E4220" s="13" t="s">
        <v>47</v>
      </c>
      <c r="F4220" s="13" t="s">
        <v>1918</v>
      </c>
      <c r="G4220" s="410" t="s">
        <v>48</v>
      </c>
      <c r="H4220" s="411">
        <v>0.09</v>
      </c>
      <c r="I4220" s="412">
        <f>IF(AND(E4220&lt;&gt;"",G4220&lt;&gt;""),IF(D4220="",IF(G4220="OH",VLOOKUP(F4220,UPAH!$B$4:$H$101,7,0),VLOOKUP(F4220,#REF!,4,0)),0),0)</f>
        <v>0</v>
      </c>
      <c r="J4220" s="16">
        <f>H4220*I4220</f>
        <v>0</v>
      </c>
    </row>
    <row r="4221" spans="1:10" ht="13">
      <c r="A4221" s="27"/>
      <c r="B4221" s="110"/>
      <c r="D4221" s="409"/>
      <c r="E4221" s="13" t="s">
        <v>115</v>
      </c>
      <c r="F4221" s="13" t="s">
        <v>1921</v>
      </c>
      <c r="G4221" s="410" t="s">
        <v>48</v>
      </c>
      <c r="H4221" s="411">
        <v>0.09</v>
      </c>
      <c r="I4221" s="412">
        <f>IF(AND(E4221&lt;&gt;"",G4221&lt;&gt;""),IF(D4221="",IF(G4221="OH",VLOOKUP(F4221,UPAH!$B$4:$H$101,7,0),VLOOKUP(F4221,#REF!,4,0)),0),0)</f>
        <v>0</v>
      </c>
      <c r="J4221" s="16">
        <f>H4221*I4221</f>
        <v>0</v>
      </c>
    </row>
    <row r="4222" spans="1:10" ht="13">
      <c r="A4222" s="27"/>
      <c r="B4222" s="110"/>
      <c r="D4222" s="409"/>
      <c r="E4222" s="13" t="s">
        <v>50</v>
      </c>
      <c r="F4222" s="13" t="s">
        <v>1928</v>
      </c>
      <c r="G4222" s="410" t="s">
        <v>48</v>
      </c>
      <c r="H4222" s="411">
        <v>8.9999999999999993E-3</v>
      </c>
      <c r="I4222" s="412">
        <f>IF(AND(E4222&lt;&gt;"",G4222&lt;&gt;""),IF(D4222="",IF(G4222="OH",VLOOKUP(F4222,UPAH!$B$4:$H$101,7,0),VLOOKUP(F4222,#REF!,4,0)),0),0)</f>
        <v>0</v>
      </c>
      <c r="J4222" s="16">
        <f>H4222*I4222</f>
        <v>0</v>
      </c>
    </row>
    <row r="4223" spans="1:10" ht="13.5" thickBot="1">
      <c r="A4223" s="27"/>
      <c r="B4223" s="110"/>
      <c r="D4223" s="409"/>
      <c r="E4223" s="13" t="s">
        <v>51</v>
      </c>
      <c r="F4223" s="13" t="s">
        <v>1929</v>
      </c>
      <c r="G4223" s="410" t="s">
        <v>48</v>
      </c>
      <c r="H4223" s="411">
        <v>5.0000000000000001E-3</v>
      </c>
      <c r="I4223" s="412">
        <f>IF(AND(E4223&lt;&gt;"",G4223&lt;&gt;""),IF(D4223="",IF(G4223="OH",VLOOKUP(F4223,UPAH!$B$4:$H$101,7,0),VLOOKUP(F4223,#REF!,4,0)),0),0)</f>
        <v>0</v>
      </c>
      <c r="J4223" s="16">
        <f>H4223*I4223</f>
        <v>0</v>
      </c>
    </row>
    <row r="4224" spans="1:10" ht="13.5" thickBot="1">
      <c r="A4224" s="27"/>
      <c r="B4224" s="110"/>
      <c r="D4224" s="417"/>
      <c r="E4224" s="418"/>
      <c r="F4224" s="418"/>
      <c r="G4224" s="419"/>
      <c r="H4224" s="420" t="s">
        <v>52</v>
      </c>
      <c r="I4224" s="421"/>
      <c r="J4224" s="396">
        <f>SUM(J4220:J4223)</f>
        <v>0</v>
      </c>
    </row>
    <row r="4225" spans="1:10" ht="13">
      <c r="A4225" s="27"/>
      <c r="B4225" s="110"/>
      <c r="D4225" s="406" t="s">
        <v>53</v>
      </c>
      <c r="E4225" s="13" t="s">
        <v>54</v>
      </c>
      <c r="F4225" s="14"/>
      <c r="G4225" s="15"/>
      <c r="H4225" s="451"/>
      <c r="I4225" s="412"/>
      <c r="J4225" s="16"/>
    </row>
    <row r="4226" spans="1:10" ht="13">
      <c r="A4226" s="27"/>
      <c r="B4226" s="110"/>
      <c r="D4226" s="409"/>
      <c r="E4226" s="13" t="s">
        <v>899</v>
      </c>
      <c r="F4226" s="14"/>
      <c r="G4226" s="410" t="s">
        <v>87</v>
      </c>
      <c r="H4226" s="411">
        <v>2.65</v>
      </c>
      <c r="I4226" s="412">
        <f>'BAHAN '!G295</f>
        <v>0</v>
      </c>
      <c r="J4226" s="16">
        <f>H4226*I4226</f>
        <v>0</v>
      </c>
    </row>
    <row r="4227" spans="1:10" ht="13">
      <c r="A4227" s="27"/>
      <c r="B4227" s="110"/>
      <c r="D4227" s="409"/>
      <c r="E4227" s="13" t="s">
        <v>56</v>
      </c>
      <c r="F4227" s="14"/>
      <c r="G4227" s="410" t="s">
        <v>93</v>
      </c>
      <c r="H4227" s="411">
        <v>1.1399999999999999</v>
      </c>
      <c r="I4227" s="412">
        <f>'BAHAN '!G72</f>
        <v>0</v>
      </c>
      <c r="J4227" s="16">
        <f>H4227*I4227</f>
        <v>0</v>
      </c>
    </row>
    <row r="4228" spans="1:10" ht="13">
      <c r="A4228" s="27"/>
      <c r="B4228" s="110"/>
      <c r="D4228" s="409"/>
      <c r="E4228" s="13" t="s">
        <v>442</v>
      </c>
      <c r="F4228" s="14"/>
      <c r="G4228" s="410" t="s">
        <v>57</v>
      </c>
      <c r="H4228" s="411">
        <v>0.1</v>
      </c>
      <c r="I4228" s="412">
        <f>'BAHAN '!G74</f>
        <v>0</v>
      </c>
      <c r="J4228" s="16">
        <f>H4228*I4228</f>
        <v>0</v>
      </c>
    </row>
    <row r="4229" spans="1:10" ht="13.5" thickBot="1">
      <c r="A4229" s="27"/>
      <c r="B4229" s="110"/>
      <c r="D4229" s="409"/>
      <c r="E4229" s="13" t="s">
        <v>101</v>
      </c>
      <c r="F4229" s="14"/>
      <c r="G4229" s="410" t="s">
        <v>170</v>
      </c>
      <c r="H4229" s="411">
        <v>3.0000000000000001E-3</v>
      </c>
      <c r="I4229" s="412">
        <f>'BAHAN '!G59</f>
        <v>0</v>
      </c>
      <c r="J4229" s="16">
        <f>H4229*I4229</f>
        <v>0</v>
      </c>
    </row>
    <row r="4230" spans="1:10" ht="13.5" thickBot="1">
      <c r="A4230" s="27"/>
      <c r="B4230" s="110"/>
      <c r="D4230" s="417"/>
      <c r="E4230" s="418"/>
      <c r="F4230" s="418"/>
      <c r="G4230" s="419"/>
      <c r="H4230" s="420" t="s">
        <v>64</v>
      </c>
      <c r="I4230" s="421"/>
      <c r="J4230" s="396">
        <f>SUM(J4226:J4229)</f>
        <v>0</v>
      </c>
    </row>
    <row r="4231" spans="1:10" ht="13.5" thickBot="1">
      <c r="A4231" s="27"/>
      <c r="B4231" s="110"/>
      <c r="D4231" s="406" t="s">
        <v>65</v>
      </c>
      <c r="E4231" s="13" t="s">
        <v>66</v>
      </c>
      <c r="F4231" s="14"/>
      <c r="G4231" s="15"/>
      <c r="H4231" s="451"/>
      <c r="I4231" s="412">
        <f>IF(AND(E4231&lt;&gt;"",G4231&lt;&gt;""),IF(D4231="",IF(G4231="OH",VLOOKUP(E4231,UPAH!$C$4:$H$31,7,0),VLOOKUP(E4231,#REF!,4,0)),0),0)</f>
        <v>0</v>
      </c>
      <c r="J4231" s="16">
        <f>H4231*I4231</f>
        <v>0</v>
      </c>
    </row>
    <row r="4232" spans="1:10" ht="13.5" thickBot="1">
      <c r="A4232" s="27"/>
      <c r="B4232" s="110"/>
      <c r="D4232" s="417"/>
      <c r="E4232" s="418"/>
      <c r="F4232" s="418"/>
      <c r="G4232" s="419"/>
      <c r="H4232" s="420" t="s">
        <v>67</v>
      </c>
      <c r="I4232" s="421"/>
      <c r="J4232" s="396">
        <f>J4231</f>
        <v>0</v>
      </c>
    </row>
    <row r="4233" spans="1:10" ht="13">
      <c r="A4233" s="27"/>
      <c r="B4233" s="110"/>
      <c r="D4233" s="444" t="s">
        <v>68</v>
      </c>
      <c r="E4233" s="445" t="s">
        <v>69</v>
      </c>
      <c r="F4233" s="446"/>
      <c r="G4233" s="447"/>
      <c r="H4233" s="448"/>
      <c r="I4233" s="449">
        <f>IF(AND(E4233&lt;&gt;"",G4233&lt;&gt;""),IF(D4233="",IF(G4233="OH",VLOOKUP(E4233,UPAH!$C$4:$H$31,7,0),VLOOKUP(E4233,#REF!,4,0)),0),0)</f>
        <v>0</v>
      </c>
      <c r="J4233" s="16">
        <f>SUM(J4220:J4232)/2</f>
        <v>0</v>
      </c>
    </row>
    <row r="4234" spans="1:10" ht="13.5" thickBot="1">
      <c r="A4234" s="27"/>
      <c r="B4234" s="110"/>
      <c r="D4234" s="431" t="s">
        <v>70</v>
      </c>
      <c r="E4234" s="432" t="s">
        <v>477</v>
      </c>
      <c r="F4234" s="433"/>
      <c r="G4234" s="434"/>
      <c r="H4234" s="22">
        <v>0.1</v>
      </c>
      <c r="I4234" s="436"/>
      <c r="J4234" s="430">
        <f>H4234*J4233</f>
        <v>0</v>
      </c>
    </row>
    <row r="4235" spans="1:10" ht="13.5" thickBot="1">
      <c r="A4235" s="27"/>
      <c r="B4235" s="110"/>
      <c r="D4235" s="401" t="s">
        <v>71</v>
      </c>
      <c r="E4235" s="402" t="s">
        <v>72</v>
      </c>
      <c r="F4235" s="418"/>
      <c r="G4235" s="419"/>
      <c r="H4235" s="442"/>
      <c r="I4235" s="421">
        <f>IF(AND(E4235&lt;&gt;"",G4235&lt;&gt;""),IF(D4235="",IF(G4235="OH",VLOOKUP(E4235,UPAH!$C$4:$H$31,7,0),VLOOKUP(E4235,#REF!,4,0)),0),0)</f>
        <v>0</v>
      </c>
      <c r="J4235" s="396">
        <f>ROUNDDOWN(J4233+J4234,0)</f>
        <v>0</v>
      </c>
    </row>
    <row r="4236" spans="1:10" ht="13">
      <c r="A4236" s="27"/>
      <c r="B4236" s="110"/>
      <c r="D4236" s="11"/>
      <c r="E4236" s="11"/>
      <c r="H4236" s="443"/>
    </row>
    <row r="4237" spans="1:10" ht="13.5" thickBot="1">
      <c r="A4237" s="27"/>
      <c r="B4237" s="110"/>
      <c r="C4237" s="11" t="s">
        <v>933</v>
      </c>
      <c r="D4237" s="10" t="s">
        <v>934</v>
      </c>
      <c r="H4237" s="443"/>
    </row>
    <row r="4238" spans="1:10" ht="13.5" thickBot="1">
      <c r="A4238" s="27"/>
      <c r="B4238" s="110"/>
      <c r="D4238" s="401" t="s">
        <v>40</v>
      </c>
      <c r="E4238" s="402" t="s">
        <v>41</v>
      </c>
      <c r="F4238" s="402" t="s">
        <v>42</v>
      </c>
      <c r="G4238" s="403" t="s">
        <v>43</v>
      </c>
      <c r="H4238" s="404" t="s">
        <v>44</v>
      </c>
      <c r="I4238" s="402" t="s">
        <v>474</v>
      </c>
      <c r="J4238" s="405" t="s">
        <v>475</v>
      </c>
    </row>
    <row r="4239" spans="1:10" ht="13">
      <c r="A4239" s="27"/>
      <c r="B4239" s="110"/>
      <c r="D4239" s="406" t="s">
        <v>45</v>
      </c>
      <c r="E4239" s="13" t="s">
        <v>46</v>
      </c>
      <c r="F4239" s="14"/>
      <c r="G4239" s="15"/>
      <c r="H4239" s="451"/>
      <c r="I4239" s="412"/>
      <c r="J4239" s="16"/>
    </row>
    <row r="4240" spans="1:10" ht="13">
      <c r="A4240" s="27"/>
      <c r="B4240" s="110"/>
      <c r="D4240" s="409"/>
      <c r="E4240" s="13" t="s">
        <v>47</v>
      </c>
      <c r="F4240" s="13" t="s">
        <v>1918</v>
      </c>
      <c r="G4240" s="410" t="s">
        <v>48</v>
      </c>
      <c r="H4240" s="411">
        <v>0.09</v>
      </c>
      <c r="I4240" s="412">
        <f>IF(AND(E4240&lt;&gt;"",G4240&lt;&gt;""),IF(D4240="",IF(G4240="OH",VLOOKUP(F4240,UPAH!$B$4:$H$101,7,0),VLOOKUP(F4240,#REF!,4,0)),0),0)</f>
        <v>0</v>
      </c>
      <c r="J4240" s="16">
        <f>H4240*I4240</f>
        <v>0</v>
      </c>
    </row>
    <row r="4241" spans="1:10" ht="13">
      <c r="A4241" s="27"/>
      <c r="B4241" s="110"/>
      <c r="D4241" s="409"/>
      <c r="E4241" s="13" t="s">
        <v>115</v>
      </c>
      <c r="F4241" s="13" t="s">
        <v>1921</v>
      </c>
      <c r="G4241" s="410" t="s">
        <v>48</v>
      </c>
      <c r="H4241" s="411">
        <v>0.09</v>
      </c>
      <c r="I4241" s="412">
        <f>IF(AND(E4241&lt;&gt;"",G4241&lt;&gt;""),IF(D4241="",IF(G4241="OH",VLOOKUP(F4241,UPAH!$B$4:$H$101,7,0),VLOOKUP(F4241,#REF!,4,0)),0),0)</f>
        <v>0</v>
      </c>
      <c r="J4241" s="16">
        <f>H4241*I4241</f>
        <v>0</v>
      </c>
    </row>
    <row r="4242" spans="1:10" ht="13">
      <c r="A4242" s="27"/>
      <c r="B4242" s="110"/>
      <c r="D4242" s="409"/>
      <c r="E4242" s="13" t="s">
        <v>50</v>
      </c>
      <c r="F4242" s="13" t="s">
        <v>1928</v>
      </c>
      <c r="G4242" s="410" t="s">
        <v>48</v>
      </c>
      <c r="H4242" s="411">
        <v>8.9999999999999993E-3</v>
      </c>
      <c r="I4242" s="412">
        <f>IF(AND(E4242&lt;&gt;"",G4242&lt;&gt;""),IF(D4242="",IF(G4242="OH",VLOOKUP(F4242,UPAH!$B$4:$H$101,7,0),VLOOKUP(F4242,#REF!,4,0)),0),0)</f>
        <v>0</v>
      </c>
      <c r="J4242" s="16">
        <f>H4242*I4242</f>
        <v>0</v>
      </c>
    </row>
    <row r="4243" spans="1:10" ht="13.5" thickBot="1">
      <c r="A4243" s="27"/>
      <c r="B4243" s="110"/>
      <c r="D4243" s="409"/>
      <c r="E4243" s="13" t="s">
        <v>51</v>
      </c>
      <c r="F4243" s="13" t="s">
        <v>1929</v>
      </c>
      <c r="G4243" s="410" t="s">
        <v>48</v>
      </c>
      <c r="H4243" s="411">
        <v>5.0000000000000001E-3</v>
      </c>
      <c r="I4243" s="412">
        <f>IF(AND(E4243&lt;&gt;"",G4243&lt;&gt;""),IF(D4243="",IF(G4243="OH",VLOOKUP(F4243,UPAH!$B$4:$H$101,7,0),VLOOKUP(F4243,#REF!,4,0)),0),0)</f>
        <v>0</v>
      </c>
      <c r="J4243" s="16">
        <f>H4243*I4243</f>
        <v>0</v>
      </c>
    </row>
    <row r="4244" spans="1:10" ht="13.5" thickBot="1">
      <c r="A4244" s="27"/>
      <c r="B4244" s="110"/>
      <c r="D4244" s="417"/>
      <c r="E4244" s="418"/>
      <c r="F4244" s="418"/>
      <c r="G4244" s="419"/>
      <c r="H4244" s="420" t="s">
        <v>52</v>
      </c>
      <c r="I4244" s="421"/>
      <c r="J4244" s="396">
        <f>SUM(J4240:J4243)</f>
        <v>0</v>
      </c>
    </row>
    <row r="4245" spans="1:10" ht="13">
      <c r="A4245" s="27"/>
      <c r="B4245" s="110"/>
      <c r="D4245" s="406" t="s">
        <v>53</v>
      </c>
      <c r="E4245" s="13" t="s">
        <v>54</v>
      </c>
      <c r="F4245" s="14"/>
      <c r="G4245" s="15"/>
      <c r="H4245" s="451"/>
      <c r="I4245" s="412"/>
      <c r="J4245" s="16"/>
    </row>
    <row r="4246" spans="1:10" ht="13">
      <c r="A4246" s="27"/>
      <c r="B4246" s="110"/>
      <c r="D4246" s="409"/>
      <c r="E4246" s="13" t="s">
        <v>935</v>
      </c>
      <c r="F4246" s="14"/>
      <c r="G4246" s="410" t="s">
        <v>87</v>
      </c>
      <c r="H4246" s="411">
        <v>3.53</v>
      </c>
      <c r="I4246" s="412">
        <f>'BAHAN '!G294</f>
        <v>0</v>
      </c>
      <c r="J4246" s="16">
        <f>H4246*I4246</f>
        <v>0</v>
      </c>
    </row>
    <row r="4247" spans="1:10" ht="13">
      <c r="A4247" s="27"/>
      <c r="B4247" s="110"/>
      <c r="D4247" s="409"/>
      <c r="E4247" s="13" t="s">
        <v>56</v>
      </c>
      <c r="F4247" s="14"/>
      <c r="G4247" s="410" t="s">
        <v>93</v>
      </c>
      <c r="H4247" s="411">
        <v>1.1399999999999999</v>
      </c>
      <c r="I4247" s="412">
        <f>'BAHAN '!G72</f>
        <v>0</v>
      </c>
      <c r="J4247" s="16">
        <f>H4247*I4247</f>
        <v>0</v>
      </c>
    </row>
    <row r="4248" spans="1:10" ht="13">
      <c r="A4248" s="27"/>
      <c r="B4248" s="110"/>
      <c r="D4248" s="409"/>
      <c r="E4248" s="13" t="s">
        <v>442</v>
      </c>
      <c r="F4248" s="14"/>
      <c r="G4248" s="410" t="s">
        <v>57</v>
      </c>
      <c r="H4248" s="411">
        <v>0.1</v>
      </c>
      <c r="I4248" s="412">
        <f>'BAHAN '!G74</f>
        <v>0</v>
      </c>
      <c r="J4248" s="16">
        <f>H4248*I4248</f>
        <v>0</v>
      </c>
    </row>
    <row r="4249" spans="1:10" ht="13.5" thickBot="1">
      <c r="A4249" s="27"/>
      <c r="B4249" s="110"/>
      <c r="D4249" s="409"/>
      <c r="E4249" s="13" t="s">
        <v>101</v>
      </c>
      <c r="F4249" s="14"/>
      <c r="G4249" s="410" t="s">
        <v>170</v>
      </c>
      <c r="H4249" s="411">
        <v>3.0000000000000001E-3</v>
      </c>
      <c r="I4249" s="412">
        <f>'BAHAN '!G59</f>
        <v>0</v>
      </c>
      <c r="J4249" s="16">
        <f>H4249*I4249</f>
        <v>0</v>
      </c>
    </row>
    <row r="4250" spans="1:10" ht="13.5" thickBot="1">
      <c r="A4250" s="27"/>
      <c r="B4250" s="110"/>
      <c r="D4250" s="417"/>
      <c r="E4250" s="418"/>
      <c r="F4250" s="418"/>
      <c r="G4250" s="419"/>
      <c r="H4250" s="420" t="s">
        <v>64</v>
      </c>
      <c r="I4250" s="421"/>
      <c r="J4250" s="396">
        <f>SUM(J4246:J4249)</f>
        <v>0</v>
      </c>
    </row>
    <row r="4251" spans="1:10" ht="13.5" thickBot="1">
      <c r="A4251" s="27"/>
      <c r="B4251" s="110"/>
      <c r="D4251" s="406" t="s">
        <v>65</v>
      </c>
      <c r="E4251" s="13" t="s">
        <v>66</v>
      </c>
      <c r="F4251" s="14"/>
      <c r="G4251" s="15"/>
      <c r="H4251" s="451"/>
      <c r="I4251" s="412">
        <f>IF(AND(E4251&lt;&gt;"",G4251&lt;&gt;""),IF(D4251="",IF(G4251="OH",VLOOKUP(E4251,UPAH!$C$4:$H$31,7,0),VLOOKUP(E4251,#REF!,4,0)),0),0)</f>
        <v>0</v>
      </c>
      <c r="J4251" s="16">
        <f>H4251*I4251</f>
        <v>0</v>
      </c>
    </row>
    <row r="4252" spans="1:10" ht="13.5" thickBot="1">
      <c r="A4252" s="27"/>
      <c r="B4252" s="110"/>
      <c r="D4252" s="417"/>
      <c r="E4252" s="418"/>
      <c r="F4252" s="418"/>
      <c r="G4252" s="419"/>
      <c r="H4252" s="420" t="s">
        <v>67</v>
      </c>
      <c r="I4252" s="421"/>
      <c r="J4252" s="396">
        <f>J4251</f>
        <v>0</v>
      </c>
    </row>
    <row r="4253" spans="1:10" ht="13">
      <c r="A4253" s="27"/>
      <c r="B4253" s="110"/>
      <c r="D4253" s="444" t="s">
        <v>68</v>
      </c>
      <c r="E4253" s="445" t="s">
        <v>69</v>
      </c>
      <c r="F4253" s="446"/>
      <c r="G4253" s="447"/>
      <c r="H4253" s="448"/>
      <c r="I4253" s="449">
        <f>IF(AND(E4253&lt;&gt;"",G4253&lt;&gt;""),IF(D4253="",IF(G4253="OH",VLOOKUP(E4253,UPAH!$C$4:$H$31,7,0),VLOOKUP(E4253,#REF!,4,0)),0),0)</f>
        <v>0</v>
      </c>
      <c r="J4253" s="16">
        <f>SUM(J4240:J4252)/2</f>
        <v>0</v>
      </c>
    </row>
    <row r="4254" spans="1:10" ht="13.5" thickBot="1">
      <c r="A4254" s="27"/>
      <c r="B4254" s="110"/>
      <c r="D4254" s="431" t="s">
        <v>70</v>
      </c>
      <c r="E4254" s="432" t="s">
        <v>477</v>
      </c>
      <c r="F4254" s="433"/>
      <c r="G4254" s="434"/>
      <c r="H4254" s="22">
        <v>0.1</v>
      </c>
      <c r="I4254" s="436"/>
      <c r="J4254" s="430">
        <f>H4254*J4253</f>
        <v>0</v>
      </c>
    </row>
    <row r="4255" spans="1:10" ht="13.5" thickBot="1">
      <c r="A4255" s="27"/>
      <c r="B4255" s="110"/>
      <c r="D4255" s="401" t="s">
        <v>71</v>
      </c>
      <c r="E4255" s="402" t="s">
        <v>72</v>
      </c>
      <c r="F4255" s="418"/>
      <c r="G4255" s="419"/>
      <c r="H4255" s="442"/>
      <c r="I4255" s="421">
        <f>IF(AND(E4255&lt;&gt;"",G4255&lt;&gt;""),IF(D4255="",IF(G4255="OH",VLOOKUP(E4255,UPAH!$C$4:$H$31,7,0),VLOOKUP(E4255,#REF!,4,0)),0),0)</f>
        <v>0</v>
      </c>
      <c r="J4255" s="396">
        <f>ROUNDDOWN(J4253+J4254,0)</f>
        <v>0</v>
      </c>
    </row>
    <row r="4256" spans="1:10" ht="13">
      <c r="A4256" s="27"/>
      <c r="B4256" s="110"/>
      <c r="D4256" s="11"/>
      <c r="E4256" s="11"/>
      <c r="H4256" s="443"/>
    </row>
    <row r="4257" spans="1:10" ht="13.5" thickBot="1">
      <c r="A4257" s="27"/>
      <c r="B4257" s="110"/>
      <c r="C4257" s="11" t="s">
        <v>936</v>
      </c>
      <c r="D4257" s="10" t="s">
        <v>937</v>
      </c>
      <c r="H4257" s="443"/>
    </row>
    <row r="4258" spans="1:10" ht="13.5" thickBot="1">
      <c r="A4258" s="27"/>
      <c r="B4258" s="110"/>
      <c r="D4258" s="401" t="s">
        <v>40</v>
      </c>
      <c r="E4258" s="402" t="s">
        <v>41</v>
      </c>
      <c r="F4258" s="402" t="s">
        <v>42</v>
      </c>
      <c r="G4258" s="403" t="s">
        <v>43</v>
      </c>
      <c r="H4258" s="404" t="s">
        <v>44</v>
      </c>
      <c r="I4258" s="402" t="s">
        <v>474</v>
      </c>
      <c r="J4258" s="405" t="s">
        <v>475</v>
      </c>
    </row>
    <row r="4259" spans="1:10" ht="13">
      <c r="A4259" s="27"/>
      <c r="B4259" s="110"/>
      <c r="D4259" s="406" t="s">
        <v>45</v>
      </c>
      <c r="E4259" s="13" t="s">
        <v>46</v>
      </c>
      <c r="F4259" s="14"/>
      <c r="G4259" s="15"/>
      <c r="H4259" s="451"/>
      <c r="I4259" s="412"/>
      <c r="J4259" s="16"/>
    </row>
    <row r="4260" spans="1:10" ht="13">
      <c r="A4260" s="27"/>
      <c r="B4260" s="110"/>
      <c r="D4260" s="409"/>
      <c r="E4260" s="13" t="s">
        <v>47</v>
      </c>
      <c r="F4260" s="13" t="s">
        <v>1918</v>
      </c>
      <c r="G4260" s="410" t="s">
        <v>48</v>
      </c>
      <c r="H4260" s="411">
        <v>0.36</v>
      </c>
      <c r="I4260" s="412">
        <f>IF(AND(E4260&lt;&gt;"",G4260&lt;&gt;""),IF(D4260="",IF(G4260="OH",VLOOKUP(F4260,UPAH!$B$4:$H$101,7,0),VLOOKUP(F4260,#REF!,4,0)),0),0)</f>
        <v>0</v>
      </c>
      <c r="J4260" s="16">
        <f>H4260*I4260</f>
        <v>0</v>
      </c>
    </row>
    <row r="4261" spans="1:10" ht="13">
      <c r="A4261" s="27"/>
      <c r="B4261" s="110"/>
      <c r="D4261" s="409"/>
      <c r="E4261" s="13" t="s">
        <v>115</v>
      </c>
      <c r="F4261" s="13" t="s">
        <v>1921</v>
      </c>
      <c r="G4261" s="410" t="s">
        <v>48</v>
      </c>
      <c r="H4261" s="411">
        <v>0.18</v>
      </c>
      <c r="I4261" s="412">
        <f>IF(AND(E4261&lt;&gt;"",G4261&lt;&gt;""),IF(D4261="",IF(G4261="OH",VLOOKUP(F4261,UPAH!$B$4:$H$101,7,0),VLOOKUP(F4261,#REF!,4,0)),0),0)</f>
        <v>0</v>
      </c>
      <c r="J4261" s="16">
        <f>H4261*I4261</f>
        <v>0</v>
      </c>
    </row>
    <row r="4262" spans="1:10" ht="13">
      <c r="A4262" s="27"/>
      <c r="B4262" s="110"/>
      <c r="D4262" s="409"/>
      <c r="E4262" s="13" t="s">
        <v>50</v>
      </c>
      <c r="F4262" s="13" t="s">
        <v>1928</v>
      </c>
      <c r="G4262" s="410" t="s">
        <v>48</v>
      </c>
      <c r="H4262" s="411">
        <v>1.7999999999999999E-2</v>
      </c>
      <c r="I4262" s="412">
        <f>IF(AND(E4262&lt;&gt;"",G4262&lt;&gt;""),IF(D4262="",IF(G4262="OH",VLOOKUP(F4262,UPAH!$B$4:$H$101,7,0),VLOOKUP(F4262,#REF!,4,0)),0),0)</f>
        <v>0</v>
      </c>
      <c r="J4262" s="16">
        <f>H4262*I4262</f>
        <v>0</v>
      </c>
    </row>
    <row r="4263" spans="1:10" ht="13.5" thickBot="1">
      <c r="A4263" s="27"/>
      <c r="B4263" s="110"/>
      <c r="D4263" s="409"/>
      <c r="E4263" s="13" t="s">
        <v>51</v>
      </c>
      <c r="F4263" s="13" t="s">
        <v>1929</v>
      </c>
      <c r="G4263" s="410" t="s">
        <v>48</v>
      </c>
      <c r="H4263" s="411">
        <v>1.7999999999999999E-2</v>
      </c>
      <c r="I4263" s="412">
        <f>IF(AND(E4263&lt;&gt;"",G4263&lt;&gt;""),IF(D4263="",IF(G4263="OH",VLOOKUP(F4263,UPAH!$B$4:$H$101,7,0),VLOOKUP(F4263,#REF!,4,0)),0),0)</f>
        <v>0</v>
      </c>
      <c r="J4263" s="16">
        <f>H4263*I4263</f>
        <v>0</v>
      </c>
    </row>
    <row r="4264" spans="1:10" ht="13.5" thickBot="1">
      <c r="A4264" s="27"/>
      <c r="B4264" s="110"/>
      <c r="D4264" s="417"/>
      <c r="E4264" s="418"/>
      <c r="F4264" s="418"/>
      <c r="G4264" s="419"/>
      <c r="H4264" s="420" t="s">
        <v>52</v>
      </c>
      <c r="I4264" s="421"/>
      <c r="J4264" s="396">
        <f>SUM(J4260:J4263)</f>
        <v>0</v>
      </c>
    </row>
    <row r="4265" spans="1:10" ht="13">
      <c r="A4265" s="27"/>
      <c r="B4265" s="110"/>
      <c r="D4265" s="406" t="s">
        <v>53</v>
      </c>
      <c r="E4265" s="13" t="s">
        <v>54</v>
      </c>
      <c r="F4265" s="14"/>
      <c r="G4265" s="15"/>
      <c r="H4265" s="451"/>
      <c r="I4265" s="412"/>
      <c r="J4265" s="16"/>
    </row>
    <row r="4266" spans="1:10" ht="13">
      <c r="A4266" s="27"/>
      <c r="B4266" s="110"/>
      <c r="D4266" s="409"/>
      <c r="E4266" s="13" t="s">
        <v>938</v>
      </c>
      <c r="F4266" s="14"/>
      <c r="G4266" s="410" t="s">
        <v>170</v>
      </c>
      <c r="H4266" s="411">
        <v>3.5999999999999997E-2</v>
      </c>
      <c r="I4266" s="412">
        <f>'BAHAN '!G983</f>
        <v>0</v>
      </c>
      <c r="J4266" s="16">
        <f>H4266*I4266</f>
        <v>0</v>
      </c>
    </row>
    <row r="4267" spans="1:10" ht="13.5" thickBot="1">
      <c r="A4267" s="27"/>
      <c r="B4267" s="110"/>
      <c r="D4267" s="409"/>
      <c r="E4267" s="13" t="s">
        <v>169</v>
      </c>
      <c r="F4267" s="14"/>
      <c r="G4267" s="410" t="s">
        <v>57</v>
      </c>
      <c r="H4267" s="411">
        <v>0.1</v>
      </c>
      <c r="I4267" s="412">
        <f>'BAHAN '!G74</f>
        <v>0</v>
      </c>
      <c r="J4267" s="16">
        <f>H4267*I4267</f>
        <v>0</v>
      </c>
    </row>
    <row r="4268" spans="1:10" ht="13.5" thickBot="1">
      <c r="A4268" s="27"/>
      <c r="B4268" s="110"/>
      <c r="D4268" s="417"/>
      <c r="E4268" s="418"/>
      <c r="F4268" s="418"/>
      <c r="G4268" s="419"/>
      <c r="H4268" s="420" t="s">
        <v>64</v>
      </c>
      <c r="I4268" s="421"/>
      <c r="J4268" s="396">
        <f>SUM(J4266:J4267)</f>
        <v>0</v>
      </c>
    </row>
    <row r="4269" spans="1:10" ht="13.5" thickBot="1">
      <c r="A4269" s="27"/>
      <c r="B4269" s="110"/>
      <c r="D4269" s="406" t="s">
        <v>65</v>
      </c>
      <c r="E4269" s="13" t="s">
        <v>66</v>
      </c>
      <c r="F4269" s="14"/>
      <c r="G4269" s="15"/>
      <c r="H4269" s="451"/>
      <c r="I4269" s="412">
        <f>IF(AND(E4269&lt;&gt;"",G4269&lt;&gt;""),IF(D4269="",IF(G4269="OH",VLOOKUP(E4269,UPAH!$C$4:$H$31,7,0),VLOOKUP(E4269,#REF!,4,0)),0),0)</f>
        <v>0</v>
      </c>
      <c r="J4269" s="16">
        <f>H4269*I4269</f>
        <v>0</v>
      </c>
    </row>
    <row r="4270" spans="1:10" ht="13.5" thickBot="1">
      <c r="A4270" s="27"/>
      <c r="B4270" s="110"/>
      <c r="D4270" s="417"/>
      <c r="E4270" s="418"/>
      <c r="F4270" s="418"/>
      <c r="G4270" s="419"/>
      <c r="H4270" s="420" t="s">
        <v>67</v>
      </c>
      <c r="I4270" s="421"/>
      <c r="J4270" s="396">
        <f>J4269</f>
        <v>0</v>
      </c>
    </row>
    <row r="4271" spans="1:10" ht="13">
      <c r="A4271" s="27"/>
      <c r="B4271" s="110"/>
      <c r="D4271" s="444" t="s">
        <v>68</v>
      </c>
      <c r="E4271" s="445" t="s">
        <v>69</v>
      </c>
      <c r="F4271" s="446"/>
      <c r="G4271" s="447"/>
      <c r="H4271" s="448"/>
      <c r="I4271" s="449">
        <f>IF(AND(E4271&lt;&gt;"",G4271&lt;&gt;""),IF(D4271="",IF(G4271="OH",VLOOKUP(E4271,UPAH!$C$4:$H$31,7,0),VLOOKUP(E4271,#REF!,4,0)),0),0)</f>
        <v>0</v>
      </c>
      <c r="J4271" s="16">
        <f>SUM(J4260:J4270)/2</f>
        <v>0</v>
      </c>
    </row>
    <row r="4272" spans="1:10" ht="13.5" thickBot="1">
      <c r="A4272" s="27"/>
      <c r="B4272" s="110"/>
      <c r="D4272" s="431" t="s">
        <v>70</v>
      </c>
      <c r="E4272" s="432" t="s">
        <v>477</v>
      </c>
      <c r="F4272" s="433"/>
      <c r="G4272" s="434"/>
      <c r="H4272" s="22">
        <v>0.1</v>
      </c>
      <c r="I4272" s="436"/>
      <c r="J4272" s="430">
        <f>H4272*J4271</f>
        <v>0</v>
      </c>
    </row>
    <row r="4273" spans="1:10" ht="13.5" thickBot="1">
      <c r="A4273" s="27"/>
      <c r="B4273" s="110"/>
      <c r="D4273" s="401" t="s">
        <v>71</v>
      </c>
      <c r="E4273" s="402" t="s">
        <v>72</v>
      </c>
      <c r="F4273" s="418"/>
      <c r="G4273" s="419"/>
      <c r="H4273" s="442"/>
      <c r="I4273" s="421">
        <f>IF(AND(E4273&lt;&gt;"",G4273&lt;&gt;""),IF(D4273="",IF(G4273="OH",VLOOKUP(E4273,UPAH!$C$4:$H$31,7,0),VLOOKUP(E4273,#REF!,4,0)),0),0)</f>
        <v>0</v>
      </c>
      <c r="J4273" s="396">
        <f>ROUNDDOWN(J4271+J4272,0)</f>
        <v>0</v>
      </c>
    </row>
    <row r="4274" spans="1:10" ht="13">
      <c r="A4274" s="27"/>
      <c r="B4274" s="110"/>
      <c r="D4274" s="11"/>
      <c r="E4274" s="11"/>
      <c r="H4274" s="443"/>
    </row>
    <row r="4275" spans="1:10" ht="13.5" thickBot="1">
      <c r="A4275" s="27"/>
      <c r="B4275" s="110"/>
      <c r="C4275" s="11" t="s">
        <v>939</v>
      </c>
      <c r="D4275" s="10" t="s">
        <v>940</v>
      </c>
      <c r="H4275" s="443"/>
    </row>
    <row r="4276" spans="1:10" ht="13.5" thickBot="1">
      <c r="A4276" s="27"/>
      <c r="B4276" s="110"/>
      <c r="D4276" s="401" t="s">
        <v>40</v>
      </c>
      <c r="E4276" s="402" t="s">
        <v>41</v>
      </c>
      <c r="F4276" s="402" t="s">
        <v>42</v>
      </c>
      <c r="G4276" s="403" t="s">
        <v>43</v>
      </c>
      <c r="H4276" s="404" t="s">
        <v>44</v>
      </c>
      <c r="I4276" s="402" t="s">
        <v>474</v>
      </c>
      <c r="J4276" s="405" t="s">
        <v>475</v>
      </c>
    </row>
    <row r="4277" spans="1:10" ht="13">
      <c r="A4277" s="27"/>
      <c r="B4277" s="110"/>
      <c r="D4277" s="406" t="s">
        <v>45</v>
      </c>
      <c r="E4277" s="13" t="s">
        <v>46</v>
      </c>
      <c r="F4277" s="14"/>
      <c r="G4277" s="15"/>
      <c r="H4277" s="451"/>
      <c r="I4277" s="412"/>
      <c r="J4277" s="16"/>
    </row>
    <row r="4278" spans="1:10" ht="13">
      <c r="A4278" s="27"/>
      <c r="B4278" s="110"/>
      <c r="D4278" s="409"/>
      <c r="E4278" s="13" t="s">
        <v>47</v>
      </c>
      <c r="F4278" s="13" t="s">
        <v>1918</v>
      </c>
      <c r="G4278" s="410" t="s">
        <v>48</v>
      </c>
      <c r="H4278" s="411">
        <v>0.7</v>
      </c>
      <c r="I4278" s="412">
        <f>IF(AND(E4278&lt;&gt;"",G4278&lt;&gt;""),IF(D4278="",IF(G4278="OH",VLOOKUP(F4278,UPAH!$B$4:$H$101,7,0),VLOOKUP(F4278,#REF!,4,0)),0),0)</f>
        <v>0</v>
      </c>
      <c r="J4278" s="16">
        <f>H4278*I4278</f>
        <v>0</v>
      </c>
    </row>
    <row r="4279" spans="1:10" ht="13">
      <c r="A4279" s="27"/>
      <c r="B4279" s="110"/>
      <c r="D4279" s="409"/>
      <c r="E4279" s="13" t="s">
        <v>115</v>
      </c>
      <c r="F4279" s="13" t="s">
        <v>1921</v>
      </c>
      <c r="G4279" s="410" t="s">
        <v>48</v>
      </c>
      <c r="H4279" s="411">
        <v>0.35</v>
      </c>
      <c r="I4279" s="412">
        <f>IF(AND(E4279&lt;&gt;"",G4279&lt;&gt;""),IF(D4279="",IF(G4279="OH",VLOOKUP(F4279,UPAH!$B$4:$H$101,7,0),VLOOKUP(F4279,#REF!,4,0)),0),0)</f>
        <v>0</v>
      </c>
      <c r="J4279" s="16">
        <f>H4279*I4279</f>
        <v>0</v>
      </c>
    </row>
    <row r="4280" spans="1:10" ht="13">
      <c r="A4280" s="27"/>
      <c r="B4280" s="110"/>
      <c r="D4280" s="409"/>
      <c r="E4280" s="13" t="s">
        <v>50</v>
      </c>
      <c r="F4280" s="13" t="s">
        <v>1928</v>
      </c>
      <c r="G4280" s="410" t="s">
        <v>48</v>
      </c>
      <c r="H4280" s="411">
        <v>3.5000000000000003E-2</v>
      </c>
      <c r="I4280" s="412">
        <f>IF(AND(E4280&lt;&gt;"",G4280&lt;&gt;""),IF(D4280="",IF(G4280="OH",VLOOKUP(F4280,UPAH!$B$4:$H$101,7,0),VLOOKUP(F4280,#REF!,4,0)),0),0)</f>
        <v>0</v>
      </c>
      <c r="J4280" s="16">
        <f>H4280*I4280</f>
        <v>0</v>
      </c>
    </row>
    <row r="4281" spans="1:10" ht="13.5" thickBot="1">
      <c r="A4281" s="27"/>
      <c r="B4281" s="110"/>
      <c r="D4281" s="409"/>
      <c r="E4281" s="13" t="s">
        <v>51</v>
      </c>
      <c r="F4281" s="13" t="s">
        <v>1929</v>
      </c>
      <c r="G4281" s="410" t="s">
        <v>48</v>
      </c>
      <c r="H4281" s="411">
        <v>3.5000000000000003E-2</v>
      </c>
      <c r="I4281" s="412">
        <f>IF(AND(E4281&lt;&gt;"",G4281&lt;&gt;""),IF(D4281="",IF(G4281="OH",VLOOKUP(F4281,UPAH!$B$4:$H$101,7,0),VLOOKUP(F4281,#REF!,4,0)),0),0)</f>
        <v>0</v>
      </c>
      <c r="J4281" s="16">
        <f>H4281*I4281</f>
        <v>0</v>
      </c>
    </row>
    <row r="4282" spans="1:10" ht="13.5" thickBot="1">
      <c r="A4282" s="27"/>
      <c r="B4282" s="110"/>
      <c r="D4282" s="417"/>
      <c r="E4282" s="418"/>
      <c r="F4282" s="418"/>
      <c r="G4282" s="419"/>
      <c r="H4282" s="420" t="s">
        <v>52</v>
      </c>
      <c r="I4282" s="421"/>
      <c r="J4282" s="396">
        <f>SUM(J4278:J4281)</f>
        <v>0</v>
      </c>
    </row>
    <row r="4283" spans="1:10" ht="13">
      <c r="A4283" s="27"/>
      <c r="B4283" s="110"/>
      <c r="D4283" s="406" t="s">
        <v>53</v>
      </c>
      <c r="E4283" s="13" t="s">
        <v>54</v>
      </c>
      <c r="F4283" s="14"/>
      <c r="G4283" s="15"/>
      <c r="H4283" s="451"/>
      <c r="I4283" s="412"/>
      <c r="J4283" s="16"/>
    </row>
    <row r="4284" spans="1:10" ht="13">
      <c r="A4284" s="27"/>
      <c r="B4284" s="110"/>
      <c r="D4284" s="409"/>
      <c r="E4284" s="13" t="s">
        <v>944</v>
      </c>
      <c r="F4284" s="14"/>
      <c r="G4284" s="410" t="s">
        <v>87</v>
      </c>
      <c r="H4284" s="411">
        <v>53</v>
      </c>
      <c r="I4284" s="412">
        <f>'BAHAN '!G311</f>
        <v>0</v>
      </c>
      <c r="J4284" s="16">
        <f>H4284*I4284</f>
        <v>0</v>
      </c>
    </row>
    <row r="4285" spans="1:10" ht="13">
      <c r="A4285" s="27"/>
      <c r="B4285" s="110"/>
      <c r="D4285" s="409"/>
      <c r="E4285" s="13" t="s">
        <v>56</v>
      </c>
      <c r="F4285" s="14"/>
      <c r="G4285" s="410" t="s">
        <v>57</v>
      </c>
      <c r="H4285" s="411">
        <v>8.19</v>
      </c>
      <c r="I4285" s="412">
        <f>'BAHAN '!G72</f>
        <v>0</v>
      </c>
      <c r="J4285" s="16">
        <f>H4285*I4285</f>
        <v>0</v>
      </c>
    </row>
    <row r="4286" spans="1:10" ht="13">
      <c r="A4286" s="27"/>
      <c r="B4286" s="110"/>
      <c r="D4286" s="409"/>
      <c r="E4286" s="13" t="s">
        <v>85</v>
      </c>
      <c r="F4286" s="14"/>
      <c r="G4286" s="410" t="s">
        <v>170</v>
      </c>
      <c r="H4286" s="411">
        <v>4.4999999999999998E-2</v>
      </c>
      <c r="I4286" s="412">
        <f>'BAHAN '!G59</f>
        <v>0</v>
      </c>
      <c r="J4286" s="16">
        <f>H4286*I4286</f>
        <v>0</v>
      </c>
    </row>
    <row r="4287" spans="1:10" ht="13.5" thickBot="1">
      <c r="A4287" s="27"/>
      <c r="B4287" s="110"/>
      <c r="D4287" s="409"/>
      <c r="E4287" s="13" t="s">
        <v>169</v>
      </c>
      <c r="F4287" s="14"/>
      <c r="G4287" s="410" t="s">
        <v>57</v>
      </c>
      <c r="H4287" s="411">
        <v>2.75</v>
      </c>
      <c r="I4287" s="412">
        <f>'BAHAN '!G74</f>
        <v>0</v>
      </c>
      <c r="J4287" s="16">
        <f>H4287*I4287</f>
        <v>0</v>
      </c>
    </row>
    <row r="4288" spans="1:10" ht="13.5" thickBot="1">
      <c r="A4288" s="27"/>
      <c r="B4288" s="110"/>
      <c r="D4288" s="417"/>
      <c r="E4288" s="418"/>
      <c r="F4288" s="418"/>
      <c r="G4288" s="419"/>
      <c r="H4288" s="420" t="s">
        <v>64</v>
      </c>
      <c r="I4288" s="421"/>
      <c r="J4288" s="396">
        <f>SUM(J4284:J4287)</f>
        <v>0</v>
      </c>
    </row>
    <row r="4289" spans="1:10" ht="13.5" thickBot="1">
      <c r="A4289" s="27"/>
      <c r="B4289" s="110"/>
      <c r="D4289" s="406" t="s">
        <v>65</v>
      </c>
      <c r="E4289" s="13" t="s">
        <v>66</v>
      </c>
      <c r="F4289" s="14"/>
      <c r="G4289" s="15"/>
      <c r="H4289" s="451"/>
      <c r="I4289" s="412">
        <f>IF(AND(E4289&lt;&gt;"",G4289&lt;&gt;""),IF(D4289="",IF(G4289="OH",VLOOKUP(E4289,UPAH!$C$4:$H$31,7,0),VLOOKUP(E4289,#REF!,4,0)),0),0)</f>
        <v>0</v>
      </c>
      <c r="J4289" s="16">
        <f>H4289*I4289</f>
        <v>0</v>
      </c>
    </row>
    <row r="4290" spans="1:10" ht="13.5" thickBot="1">
      <c r="A4290" s="27"/>
      <c r="B4290" s="110"/>
      <c r="D4290" s="417"/>
      <c r="E4290" s="418"/>
      <c r="F4290" s="418"/>
      <c r="G4290" s="419"/>
      <c r="H4290" s="420" t="s">
        <v>67</v>
      </c>
      <c r="I4290" s="421"/>
      <c r="J4290" s="396">
        <f>J4289</f>
        <v>0</v>
      </c>
    </row>
    <row r="4291" spans="1:10" ht="13">
      <c r="A4291" s="27"/>
      <c r="B4291" s="110"/>
      <c r="D4291" s="444" t="s">
        <v>68</v>
      </c>
      <c r="E4291" s="445" t="s">
        <v>69</v>
      </c>
      <c r="F4291" s="446"/>
      <c r="G4291" s="447"/>
      <c r="H4291" s="448"/>
      <c r="I4291" s="449">
        <f>IF(AND(E4291&lt;&gt;"",G4291&lt;&gt;""),IF(D4291="",IF(G4291="OH",VLOOKUP(E4291,UPAH!$C$4:$H$31,7,0),VLOOKUP(E4291,#REF!,4,0)),0),0)</f>
        <v>0</v>
      </c>
      <c r="J4291" s="16">
        <f>SUM(J4278:J4290)/2</f>
        <v>0</v>
      </c>
    </row>
    <row r="4292" spans="1:10" ht="13.5" thickBot="1">
      <c r="A4292" s="27"/>
      <c r="B4292" s="110"/>
      <c r="D4292" s="431" t="s">
        <v>70</v>
      </c>
      <c r="E4292" s="432" t="s">
        <v>477</v>
      </c>
      <c r="F4292" s="433"/>
      <c r="G4292" s="434"/>
      <c r="H4292" s="22">
        <v>0.1</v>
      </c>
      <c r="I4292" s="436"/>
      <c r="J4292" s="430">
        <f>H4292*J4291</f>
        <v>0</v>
      </c>
    </row>
    <row r="4293" spans="1:10" ht="13.5" thickBot="1">
      <c r="A4293" s="27"/>
      <c r="B4293" s="110"/>
      <c r="D4293" s="401" t="s">
        <v>71</v>
      </c>
      <c r="E4293" s="402" t="s">
        <v>72</v>
      </c>
      <c r="F4293" s="418"/>
      <c r="G4293" s="419"/>
      <c r="H4293" s="442"/>
      <c r="I4293" s="421">
        <f>IF(AND(E4293&lt;&gt;"",G4293&lt;&gt;""),IF(D4293="",IF(G4293="OH",VLOOKUP(E4293,UPAH!$C$4:$H$31,7,0),VLOOKUP(E4293,#REF!,4,0)),0),0)</f>
        <v>0</v>
      </c>
      <c r="J4293" s="396">
        <f>ROUNDDOWN(J4291+J4292,0)</f>
        <v>0</v>
      </c>
    </row>
    <row r="4294" spans="1:10" ht="13">
      <c r="A4294" s="27"/>
      <c r="B4294" s="110"/>
      <c r="D4294" s="11"/>
      <c r="E4294" s="11"/>
      <c r="H4294" s="443"/>
    </row>
    <row r="4295" spans="1:10" ht="13.5" thickBot="1">
      <c r="A4295" s="27"/>
      <c r="B4295" s="110"/>
      <c r="C4295" s="11" t="s">
        <v>941</v>
      </c>
      <c r="D4295" s="10" t="s">
        <v>942</v>
      </c>
      <c r="H4295" s="443"/>
    </row>
    <row r="4296" spans="1:10" ht="13.5" thickBot="1">
      <c r="A4296" s="27"/>
      <c r="B4296" s="110"/>
      <c r="D4296" s="401" t="s">
        <v>40</v>
      </c>
      <c r="E4296" s="402" t="s">
        <v>41</v>
      </c>
      <c r="F4296" s="402" t="s">
        <v>42</v>
      </c>
      <c r="G4296" s="403" t="s">
        <v>43</v>
      </c>
      <c r="H4296" s="404" t="s">
        <v>44</v>
      </c>
      <c r="I4296" s="402" t="s">
        <v>474</v>
      </c>
      <c r="J4296" s="405" t="s">
        <v>475</v>
      </c>
    </row>
    <row r="4297" spans="1:10" ht="13">
      <c r="A4297" s="27"/>
      <c r="B4297" s="110"/>
      <c r="D4297" s="406" t="s">
        <v>45</v>
      </c>
      <c r="E4297" s="13" t="s">
        <v>46</v>
      </c>
      <c r="F4297" s="14"/>
      <c r="G4297" s="15"/>
      <c r="H4297" s="451"/>
      <c r="I4297" s="412"/>
      <c r="J4297" s="16"/>
    </row>
    <row r="4298" spans="1:10" ht="13">
      <c r="A4298" s="27"/>
      <c r="B4298" s="110"/>
      <c r="D4298" s="409"/>
      <c r="E4298" s="13" t="s">
        <v>47</v>
      </c>
      <c r="F4298" s="13" t="s">
        <v>1918</v>
      </c>
      <c r="G4298" s="410" t="s">
        <v>48</v>
      </c>
      <c r="H4298" s="411">
        <v>0.7</v>
      </c>
      <c r="I4298" s="412">
        <f>IF(AND(E4298&lt;&gt;"",G4298&lt;&gt;""),IF(D4298="",IF(G4298="OH",VLOOKUP(F4298,UPAH!$B$4:$H$101,7,0),VLOOKUP(F4298,#REF!,4,0)),0),0)</f>
        <v>0</v>
      </c>
      <c r="J4298" s="16">
        <f>H4298*I4298</f>
        <v>0</v>
      </c>
    </row>
    <row r="4299" spans="1:10" ht="13">
      <c r="A4299" s="27"/>
      <c r="B4299" s="110"/>
      <c r="D4299" s="409"/>
      <c r="E4299" s="13" t="s">
        <v>115</v>
      </c>
      <c r="F4299" s="13" t="s">
        <v>1921</v>
      </c>
      <c r="G4299" s="410" t="s">
        <v>48</v>
      </c>
      <c r="H4299" s="411">
        <v>0.35</v>
      </c>
      <c r="I4299" s="412">
        <f>IF(AND(E4299&lt;&gt;"",G4299&lt;&gt;""),IF(D4299="",IF(G4299="OH",VLOOKUP(F4299,UPAH!$B$4:$H$101,7,0),VLOOKUP(F4299,#REF!,4,0)),0),0)</f>
        <v>0</v>
      </c>
      <c r="J4299" s="16">
        <f>H4299*I4299</f>
        <v>0</v>
      </c>
    </row>
    <row r="4300" spans="1:10" ht="13">
      <c r="A4300" s="27"/>
      <c r="B4300" s="110"/>
      <c r="D4300" s="409"/>
      <c r="E4300" s="13" t="s">
        <v>50</v>
      </c>
      <c r="F4300" s="13" t="s">
        <v>1928</v>
      </c>
      <c r="G4300" s="410" t="s">
        <v>48</v>
      </c>
      <c r="H4300" s="411">
        <v>3.5000000000000003E-2</v>
      </c>
      <c r="I4300" s="412">
        <f>IF(AND(E4300&lt;&gt;"",G4300&lt;&gt;""),IF(D4300="",IF(G4300="OH",VLOOKUP(F4300,UPAH!$B$4:$H$101,7,0),VLOOKUP(F4300,#REF!,4,0)),0),0)</f>
        <v>0</v>
      </c>
      <c r="J4300" s="16">
        <f>H4300*I4300</f>
        <v>0</v>
      </c>
    </row>
    <row r="4301" spans="1:10" ht="13.5" thickBot="1">
      <c r="A4301" s="27"/>
      <c r="B4301" s="110"/>
      <c r="D4301" s="409"/>
      <c r="E4301" s="13" t="s">
        <v>51</v>
      </c>
      <c r="F4301" s="13" t="s">
        <v>1929</v>
      </c>
      <c r="G4301" s="410" t="s">
        <v>48</v>
      </c>
      <c r="H4301" s="411">
        <v>3.5000000000000003E-2</v>
      </c>
      <c r="I4301" s="412">
        <f>IF(AND(E4301&lt;&gt;"",G4301&lt;&gt;""),IF(D4301="",IF(G4301="OH",VLOOKUP(F4301,UPAH!$B$4:$H$101,7,0),VLOOKUP(F4301,#REF!,4,0)),0),0)</f>
        <v>0</v>
      </c>
      <c r="J4301" s="16">
        <f>H4301*I4301</f>
        <v>0</v>
      </c>
    </row>
    <row r="4302" spans="1:10" ht="13.5" thickBot="1">
      <c r="A4302" s="27"/>
      <c r="B4302" s="110"/>
      <c r="D4302" s="417"/>
      <c r="E4302" s="418"/>
      <c r="F4302" s="418"/>
      <c r="G4302" s="419"/>
      <c r="H4302" s="420" t="s">
        <v>52</v>
      </c>
      <c r="I4302" s="421"/>
      <c r="J4302" s="396">
        <f>SUM(J4298:J4301)</f>
        <v>0</v>
      </c>
    </row>
    <row r="4303" spans="1:10" ht="13">
      <c r="A4303" s="27"/>
      <c r="B4303" s="110"/>
      <c r="D4303" s="406" t="s">
        <v>53</v>
      </c>
      <c r="E4303" s="13" t="s">
        <v>54</v>
      </c>
      <c r="F4303" s="14"/>
      <c r="G4303" s="15"/>
      <c r="H4303" s="451"/>
      <c r="I4303" s="412"/>
      <c r="J4303" s="16"/>
    </row>
    <row r="4304" spans="1:10" ht="13">
      <c r="A4304" s="27"/>
      <c r="B4304" s="110"/>
      <c r="D4304" s="409"/>
      <c r="E4304" s="13" t="s">
        <v>943</v>
      </c>
      <c r="F4304" s="14"/>
      <c r="G4304" s="410" t="s">
        <v>87</v>
      </c>
      <c r="H4304" s="411">
        <v>106</v>
      </c>
      <c r="I4304" s="412">
        <f>'BAHAN '!G310</f>
        <v>0</v>
      </c>
      <c r="J4304" s="16">
        <f>H4304*I4304</f>
        <v>0</v>
      </c>
    </row>
    <row r="4305" spans="1:10" ht="13">
      <c r="A4305" s="27"/>
      <c r="B4305" s="110"/>
      <c r="D4305" s="409"/>
      <c r="E4305" s="13" t="s">
        <v>56</v>
      </c>
      <c r="F4305" s="14"/>
      <c r="G4305" s="410" t="s">
        <v>57</v>
      </c>
      <c r="H4305" s="411">
        <v>8.19</v>
      </c>
      <c r="I4305" s="412">
        <f>'BAHAN '!G72</f>
        <v>0</v>
      </c>
      <c r="J4305" s="16">
        <f>H4305*I4305</f>
        <v>0</v>
      </c>
    </row>
    <row r="4306" spans="1:10" ht="13">
      <c r="A4306" s="27"/>
      <c r="B4306" s="110"/>
      <c r="D4306" s="409"/>
      <c r="E4306" s="13" t="s">
        <v>101</v>
      </c>
      <c r="F4306" s="14"/>
      <c r="G4306" s="410" t="s">
        <v>170</v>
      </c>
      <c r="H4306" s="411">
        <v>4.4999999999999998E-2</v>
      </c>
      <c r="I4306" s="412">
        <f>'BAHAN '!G59</f>
        <v>0</v>
      </c>
      <c r="J4306" s="16">
        <f>H4306*I4306</f>
        <v>0</v>
      </c>
    </row>
    <row r="4307" spans="1:10" ht="13.5" thickBot="1">
      <c r="A4307" s="27"/>
      <c r="B4307" s="110"/>
      <c r="D4307" s="409"/>
      <c r="E4307" s="13" t="s">
        <v>442</v>
      </c>
      <c r="F4307" s="14"/>
      <c r="G4307" s="410" t="s">
        <v>57</v>
      </c>
      <c r="H4307" s="411">
        <v>3.2</v>
      </c>
      <c r="I4307" s="412">
        <f>'BAHAN '!G74</f>
        <v>0</v>
      </c>
      <c r="J4307" s="16">
        <f>H4307*I4307</f>
        <v>0</v>
      </c>
    </row>
    <row r="4308" spans="1:10" ht="13.5" thickBot="1">
      <c r="A4308" s="27"/>
      <c r="B4308" s="110"/>
      <c r="D4308" s="417"/>
      <c r="E4308" s="418"/>
      <c r="F4308" s="418"/>
      <c r="G4308" s="419"/>
      <c r="H4308" s="420" t="s">
        <v>64</v>
      </c>
      <c r="I4308" s="421"/>
      <c r="J4308" s="396">
        <f>SUM(J4304:J4307)</f>
        <v>0</v>
      </c>
    </row>
    <row r="4309" spans="1:10" ht="13.5" thickBot="1">
      <c r="A4309" s="27"/>
      <c r="B4309" s="110"/>
      <c r="D4309" s="406" t="s">
        <v>65</v>
      </c>
      <c r="E4309" s="13" t="s">
        <v>66</v>
      </c>
      <c r="F4309" s="14"/>
      <c r="G4309" s="15"/>
      <c r="H4309" s="451"/>
      <c r="I4309" s="412">
        <f>IF(AND(E4309&lt;&gt;"",G4309&lt;&gt;""),IF(D4309="",IF(G4309="OH",VLOOKUP(E4309,UPAH!$C$4:$H$31,7,0),VLOOKUP(E4309,#REF!,4,0)),0),0)</f>
        <v>0</v>
      </c>
      <c r="J4309" s="16">
        <f>H4309*I4309</f>
        <v>0</v>
      </c>
    </row>
    <row r="4310" spans="1:10" ht="13.5" thickBot="1">
      <c r="A4310" s="27"/>
      <c r="B4310" s="110"/>
      <c r="D4310" s="417"/>
      <c r="E4310" s="418"/>
      <c r="F4310" s="418"/>
      <c r="G4310" s="419"/>
      <c r="H4310" s="420" t="s">
        <v>67</v>
      </c>
      <c r="I4310" s="421"/>
      <c r="J4310" s="396">
        <f>J4309</f>
        <v>0</v>
      </c>
    </row>
    <row r="4311" spans="1:10" ht="13">
      <c r="A4311" s="27"/>
      <c r="B4311" s="110"/>
      <c r="D4311" s="444" t="s">
        <v>68</v>
      </c>
      <c r="E4311" s="445" t="s">
        <v>69</v>
      </c>
      <c r="F4311" s="446"/>
      <c r="G4311" s="447"/>
      <c r="H4311" s="448"/>
      <c r="I4311" s="449">
        <f>IF(AND(E4311&lt;&gt;"",G4311&lt;&gt;""),IF(D4311="",IF(G4311="OH",VLOOKUP(E4311,UPAH!$C$4:$H$31,7,0),VLOOKUP(E4311,#REF!,4,0)),0),0)</f>
        <v>0</v>
      </c>
      <c r="J4311" s="16">
        <f>SUM(J4298:J4310)/2</f>
        <v>0</v>
      </c>
    </row>
    <row r="4312" spans="1:10" ht="13.5" thickBot="1">
      <c r="A4312" s="27"/>
      <c r="B4312" s="110"/>
      <c r="D4312" s="431" t="s">
        <v>70</v>
      </c>
      <c r="E4312" s="432" t="s">
        <v>477</v>
      </c>
      <c r="F4312" s="433"/>
      <c r="G4312" s="434"/>
      <c r="H4312" s="22">
        <v>0.1</v>
      </c>
      <c r="I4312" s="436"/>
      <c r="J4312" s="430">
        <f>H4312*J4311</f>
        <v>0</v>
      </c>
    </row>
    <row r="4313" spans="1:10" ht="13.5" thickBot="1">
      <c r="A4313" s="27"/>
      <c r="B4313" s="110"/>
      <c r="D4313" s="401" t="s">
        <v>71</v>
      </c>
      <c r="E4313" s="402" t="s">
        <v>72</v>
      </c>
      <c r="F4313" s="418"/>
      <c r="G4313" s="419"/>
      <c r="H4313" s="442"/>
      <c r="I4313" s="421">
        <f>IF(AND(E4313&lt;&gt;"",G4313&lt;&gt;""),IF(D4313="",IF(G4313="OH",VLOOKUP(E4313,UPAH!$C$4:$H$31,7,0),VLOOKUP(E4313,#REF!,4,0)),0),0)</f>
        <v>0</v>
      </c>
      <c r="J4313" s="396">
        <f>ROUNDDOWN(J4311+J4312,0)</f>
        <v>0</v>
      </c>
    </row>
    <row r="4314" spans="1:10" ht="13">
      <c r="A4314" s="27"/>
      <c r="B4314" s="110"/>
      <c r="D4314" s="11"/>
      <c r="E4314" s="11"/>
      <c r="H4314" s="443"/>
    </row>
    <row r="4315" spans="1:10" ht="13.5" thickBot="1">
      <c r="A4315" s="27"/>
      <c r="B4315" s="110"/>
      <c r="C4315" s="11" t="s">
        <v>3555</v>
      </c>
      <c r="D4315" s="10" t="s">
        <v>3556</v>
      </c>
      <c r="H4315" s="443"/>
    </row>
    <row r="4316" spans="1:10" ht="13.5" thickBot="1">
      <c r="A4316" s="27"/>
      <c r="B4316" s="110"/>
      <c r="D4316" s="401" t="s">
        <v>40</v>
      </c>
      <c r="E4316" s="402" t="s">
        <v>41</v>
      </c>
      <c r="F4316" s="402" t="s">
        <v>42</v>
      </c>
      <c r="G4316" s="403" t="s">
        <v>43</v>
      </c>
      <c r="H4316" s="404" t="s">
        <v>44</v>
      </c>
      <c r="I4316" s="402" t="s">
        <v>474</v>
      </c>
      <c r="J4316" s="405" t="s">
        <v>475</v>
      </c>
    </row>
    <row r="4317" spans="1:10" ht="13">
      <c r="A4317" s="27"/>
      <c r="B4317" s="110"/>
      <c r="D4317" s="406" t="s">
        <v>45</v>
      </c>
      <c r="E4317" s="13" t="s">
        <v>46</v>
      </c>
      <c r="F4317" s="14"/>
      <c r="G4317" s="15"/>
      <c r="H4317" s="451"/>
      <c r="I4317" s="412"/>
      <c r="J4317" s="16"/>
    </row>
    <row r="4318" spans="1:10" ht="13">
      <c r="A4318" s="27"/>
      <c r="B4318" s="110"/>
      <c r="D4318" s="409"/>
      <c r="E4318" s="13" t="s">
        <v>47</v>
      </c>
      <c r="F4318" s="13" t="s">
        <v>1918</v>
      </c>
      <c r="G4318" s="410" t="s">
        <v>48</v>
      </c>
      <c r="H4318" s="411">
        <v>0.25</v>
      </c>
      <c r="I4318" s="412">
        <f>IF(AND(E4318&lt;&gt;"",G4318&lt;&gt;""),IF(D4318="",IF(G4318="OH",VLOOKUP(F4318,UPAH!$B$4:$H$101,7,0),VLOOKUP(F4318,#REF!,4,0)),0),0)</f>
        <v>0</v>
      </c>
      <c r="J4318" s="16">
        <f>H4318*I4318</f>
        <v>0</v>
      </c>
    </row>
    <row r="4319" spans="1:10" ht="13">
      <c r="A4319" s="27"/>
      <c r="B4319" s="110"/>
      <c r="D4319" s="409"/>
      <c r="E4319" s="13" t="s">
        <v>115</v>
      </c>
      <c r="F4319" s="13" t="s">
        <v>1921</v>
      </c>
      <c r="G4319" s="410" t="s">
        <v>48</v>
      </c>
      <c r="H4319" s="411">
        <v>8.3299999999999999E-2</v>
      </c>
      <c r="I4319" s="412">
        <f>IF(AND(E4319&lt;&gt;"",G4319&lt;&gt;""),IF(D4319="",IF(G4319="OH",VLOOKUP(F4319,UPAH!$B$4:$H$101,7,0),VLOOKUP(F4319,#REF!,4,0)),0),0)</f>
        <v>0</v>
      </c>
      <c r="J4319" s="16">
        <f>H4319*I4319</f>
        <v>0</v>
      </c>
    </row>
    <row r="4320" spans="1:10" ht="13">
      <c r="A4320" s="27"/>
      <c r="B4320" s="110"/>
      <c r="D4320" s="409"/>
      <c r="E4320" s="13" t="s">
        <v>50</v>
      </c>
      <c r="F4320" s="13" t="s">
        <v>1928</v>
      </c>
      <c r="G4320" s="410" t="s">
        <v>48</v>
      </c>
      <c r="H4320" s="411">
        <v>8.3000000000000001E-3</v>
      </c>
      <c r="I4320" s="412">
        <f>IF(AND(E4320&lt;&gt;"",G4320&lt;&gt;""),IF(D4320="",IF(G4320="OH",VLOOKUP(F4320,UPAH!$B$4:$H$101,7,0),VLOOKUP(F4320,#REF!,4,0)),0),0)</f>
        <v>0</v>
      </c>
      <c r="J4320" s="16">
        <f>H4320*I4320</f>
        <v>0</v>
      </c>
    </row>
    <row r="4321" spans="1:10" ht="13.5" thickBot="1">
      <c r="A4321" s="27"/>
      <c r="B4321" s="110"/>
      <c r="D4321" s="409"/>
      <c r="E4321" s="13" t="s">
        <v>51</v>
      </c>
      <c r="F4321" s="13" t="s">
        <v>1929</v>
      </c>
      <c r="G4321" s="410" t="s">
        <v>48</v>
      </c>
      <c r="H4321" s="411">
        <v>2.8E-3</v>
      </c>
      <c r="I4321" s="412">
        <f>IF(AND(E4321&lt;&gt;"",G4321&lt;&gt;""),IF(D4321="",IF(G4321="OH",VLOOKUP(F4321,UPAH!$B$4:$H$101,7,0),VLOOKUP(F4321,#REF!,4,0)),0),0)</f>
        <v>0</v>
      </c>
      <c r="J4321" s="16">
        <f>H4321*I4321</f>
        <v>0</v>
      </c>
    </row>
    <row r="4322" spans="1:10" ht="13.5" thickBot="1">
      <c r="A4322" s="27"/>
      <c r="B4322" s="110"/>
      <c r="D4322" s="417"/>
      <c r="E4322" s="418"/>
      <c r="F4322" s="418"/>
      <c r="G4322" s="419"/>
      <c r="H4322" s="420" t="s">
        <v>52</v>
      </c>
      <c r="I4322" s="421"/>
      <c r="J4322" s="396">
        <f>SUM(J4318:J4321)</f>
        <v>0</v>
      </c>
    </row>
    <row r="4323" spans="1:10" ht="13">
      <c r="A4323" s="27"/>
      <c r="B4323" s="110"/>
      <c r="D4323" s="406" t="s">
        <v>53</v>
      </c>
      <c r="E4323" s="13" t="s">
        <v>54</v>
      </c>
      <c r="F4323" s="14"/>
      <c r="G4323" s="15"/>
      <c r="H4323" s="451"/>
      <c r="I4323" s="412"/>
      <c r="J4323" s="16"/>
    </row>
    <row r="4324" spans="1:10" ht="13">
      <c r="A4324" s="27"/>
      <c r="B4324" s="110"/>
      <c r="D4324" s="409"/>
      <c r="E4324" s="458" t="s">
        <v>3557</v>
      </c>
      <c r="F4324" s="13"/>
      <c r="G4324" s="410" t="s">
        <v>87</v>
      </c>
      <c r="H4324" s="411">
        <v>2.9169999999999998</v>
      </c>
      <c r="I4324" s="412">
        <f>+'BAHAN '!G307</f>
        <v>0</v>
      </c>
      <c r="J4324" s="16">
        <f>H4324*I4324</f>
        <v>0</v>
      </c>
    </row>
    <row r="4325" spans="1:10" ht="13">
      <c r="A4325" s="27"/>
      <c r="B4325" s="110"/>
      <c r="D4325" s="409"/>
      <c r="E4325" s="458" t="s">
        <v>56</v>
      </c>
      <c r="F4325" s="13"/>
      <c r="G4325" s="410" t="s">
        <v>57</v>
      </c>
      <c r="H4325" s="411">
        <v>13.632</v>
      </c>
      <c r="I4325" s="412">
        <f>+I4305</f>
        <v>0</v>
      </c>
      <c r="J4325" s="16">
        <f>H4325*I4325</f>
        <v>0</v>
      </c>
    </row>
    <row r="4326" spans="1:10" ht="13">
      <c r="A4326" s="27"/>
      <c r="B4326" s="110"/>
      <c r="D4326" s="409"/>
      <c r="E4326" s="458" t="s">
        <v>169</v>
      </c>
      <c r="F4326" s="13"/>
      <c r="G4326" s="410" t="s">
        <v>170</v>
      </c>
      <c r="H4326" s="411">
        <v>1.5</v>
      </c>
      <c r="I4326" s="412">
        <f>+I4307</f>
        <v>0</v>
      </c>
      <c r="J4326" s="16">
        <f>H4326*I4326</f>
        <v>0</v>
      </c>
    </row>
    <row r="4327" spans="1:10" ht="13.5" thickBot="1">
      <c r="A4327" s="27"/>
      <c r="B4327" s="110"/>
      <c r="D4327" s="409"/>
      <c r="E4327" s="458" t="s">
        <v>3768</v>
      </c>
      <c r="F4327" s="13"/>
      <c r="G4327" s="410" t="s">
        <v>57</v>
      </c>
      <c r="H4327" s="411">
        <v>2.7E-2</v>
      </c>
      <c r="I4327" s="412">
        <f>+I4306</f>
        <v>0</v>
      </c>
      <c r="J4327" s="16">
        <f>H4327*I4327</f>
        <v>0</v>
      </c>
    </row>
    <row r="4328" spans="1:10" ht="13.5" thickBot="1">
      <c r="A4328" s="27"/>
      <c r="B4328" s="110"/>
      <c r="D4328" s="417"/>
      <c r="E4328" s="418"/>
      <c r="F4328" s="418"/>
      <c r="G4328" s="419"/>
      <c r="H4328" s="420" t="s">
        <v>64</v>
      </c>
      <c r="I4328" s="421"/>
      <c r="J4328" s="396">
        <f>SUM(J4324:J4327)</f>
        <v>0</v>
      </c>
    </row>
    <row r="4329" spans="1:10" ht="13.5" thickBot="1">
      <c r="A4329" s="27"/>
      <c r="B4329" s="110"/>
      <c r="D4329" s="406" t="s">
        <v>65</v>
      </c>
      <c r="E4329" s="13" t="s">
        <v>66</v>
      </c>
      <c r="F4329" s="14"/>
      <c r="G4329" s="15"/>
      <c r="H4329" s="451"/>
      <c r="I4329" s="412">
        <f>IF(AND(E4329&lt;&gt;"",G4329&lt;&gt;""),IF(D4329="",IF(G4329="OH",VLOOKUP(E4329,UPAH!$C$4:$H$31,7,0),VLOOKUP(E4329,#REF!,4,0)),0),0)</f>
        <v>0</v>
      </c>
      <c r="J4329" s="16">
        <f>H4329*I4329</f>
        <v>0</v>
      </c>
    </row>
    <row r="4330" spans="1:10" ht="13.5" thickBot="1">
      <c r="A4330" s="27"/>
      <c r="B4330" s="110"/>
      <c r="D4330" s="417"/>
      <c r="E4330" s="418"/>
      <c r="F4330" s="418"/>
      <c r="G4330" s="419"/>
      <c r="H4330" s="420" t="s">
        <v>67</v>
      </c>
      <c r="I4330" s="421"/>
      <c r="J4330" s="396">
        <f>J4329</f>
        <v>0</v>
      </c>
    </row>
    <row r="4331" spans="1:10" ht="13">
      <c r="A4331" s="27"/>
      <c r="B4331" s="110"/>
      <c r="D4331" s="444" t="s">
        <v>68</v>
      </c>
      <c r="E4331" s="445" t="s">
        <v>69</v>
      </c>
      <c r="F4331" s="446"/>
      <c r="G4331" s="447"/>
      <c r="H4331" s="448"/>
      <c r="I4331" s="449">
        <f>IF(AND(E4331&lt;&gt;"",G4331&lt;&gt;""),IF(D4331="",IF(G4331="OH",VLOOKUP(E4331,UPAH!$C$4:$H$31,7,0),VLOOKUP(E4331,#REF!,4,0)),0),0)</f>
        <v>0</v>
      </c>
      <c r="J4331" s="16">
        <f>SUM(J4318:J4330)/2</f>
        <v>0</v>
      </c>
    </row>
    <row r="4332" spans="1:10" ht="13.5" thickBot="1">
      <c r="A4332" s="27"/>
      <c r="B4332" s="110"/>
      <c r="D4332" s="431" t="s">
        <v>70</v>
      </c>
      <c r="E4332" s="432" t="s">
        <v>477</v>
      </c>
      <c r="F4332" s="433"/>
      <c r="G4332" s="434"/>
      <c r="H4332" s="22">
        <v>0.1</v>
      </c>
      <c r="I4332" s="436"/>
      <c r="J4332" s="430">
        <f>H4332*J4331</f>
        <v>0</v>
      </c>
    </row>
    <row r="4333" spans="1:10" ht="13.5" thickBot="1">
      <c r="A4333" s="27"/>
      <c r="B4333" s="110"/>
      <c r="D4333" s="401" t="s">
        <v>71</v>
      </c>
      <c r="E4333" s="402" t="s">
        <v>72</v>
      </c>
      <c r="F4333" s="418"/>
      <c r="G4333" s="419"/>
      <c r="H4333" s="442"/>
      <c r="I4333" s="421">
        <f>IF(AND(E4333&lt;&gt;"",G4333&lt;&gt;""),IF(D4333="",IF(G4333="OH",VLOOKUP(E4333,UPAH!$C$4:$H$31,7,0),VLOOKUP(E4333,#REF!,4,0)),0),0)</f>
        <v>0</v>
      </c>
      <c r="J4333" s="396">
        <f>ROUNDDOWN(J4331+J4332,0)</f>
        <v>0</v>
      </c>
    </row>
    <row r="4334" spans="1:10" ht="13">
      <c r="A4334" s="27"/>
      <c r="B4334" s="110"/>
      <c r="D4334" s="11"/>
      <c r="E4334" s="11"/>
      <c r="H4334" s="443"/>
    </row>
    <row r="4335" spans="1:10" ht="13.5" thickBot="1">
      <c r="A4335" s="27"/>
      <c r="B4335" s="110"/>
      <c r="C4335" s="11" t="s">
        <v>3560</v>
      </c>
      <c r="D4335" s="10" t="s">
        <v>3561</v>
      </c>
      <c r="H4335" s="443"/>
    </row>
    <row r="4336" spans="1:10" ht="13.5" thickBot="1">
      <c r="A4336" s="27"/>
      <c r="B4336" s="110"/>
      <c r="D4336" s="401" t="s">
        <v>40</v>
      </c>
      <c r="E4336" s="402" t="s">
        <v>41</v>
      </c>
      <c r="F4336" s="402" t="s">
        <v>42</v>
      </c>
      <c r="G4336" s="403" t="s">
        <v>43</v>
      </c>
      <c r="H4336" s="404" t="s">
        <v>44</v>
      </c>
      <c r="I4336" s="402" t="s">
        <v>474</v>
      </c>
      <c r="J4336" s="405" t="s">
        <v>475</v>
      </c>
    </row>
    <row r="4337" spans="1:10" ht="13">
      <c r="A4337" s="27"/>
      <c r="B4337" s="110"/>
      <c r="D4337" s="406" t="s">
        <v>45</v>
      </c>
      <c r="E4337" s="13" t="s">
        <v>46</v>
      </c>
      <c r="F4337" s="14"/>
      <c r="G4337" s="15"/>
      <c r="H4337" s="451"/>
      <c r="I4337" s="412"/>
      <c r="J4337" s="16"/>
    </row>
    <row r="4338" spans="1:10" ht="13">
      <c r="A4338" s="27"/>
      <c r="B4338" s="110"/>
      <c r="D4338" s="409"/>
      <c r="E4338" s="13" t="s">
        <v>47</v>
      </c>
      <c r="F4338" s="13" t="s">
        <v>1918</v>
      </c>
      <c r="G4338" s="410" t="s">
        <v>48</v>
      </c>
      <c r="H4338" s="411">
        <v>0.25</v>
      </c>
      <c r="I4338" s="412">
        <f>IF(AND(E4338&lt;&gt;"",G4338&lt;&gt;""),IF(D4338="",IF(G4338="OH",VLOOKUP(F4338,UPAH!$B$4:$H$101,7,0),VLOOKUP(F4338,#REF!,4,0)),0),0)</f>
        <v>0</v>
      </c>
      <c r="J4338" s="16">
        <f>H4338*I4338</f>
        <v>0</v>
      </c>
    </row>
    <row r="4339" spans="1:10" ht="13">
      <c r="A4339" s="27"/>
      <c r="B4339" s="110"/>
      <c r="D4339" s="409"/>
      <c r="E4339" s="13" t="s">
        <v>115</v>
      </c>
      <c r="F4339" s="13" t="s">
        <v>1921</v>
      </c>
      <c r="G4339" s="410" t="s">
        <v>48</v>
      </c>
      <c r="H4339" s="411">
        <v>8.3299999999999999E-2</v>
      </c>
      <c r="I4339" s="412">
        <f>IF(AND(E4339&lt;&gt;"",G4339&lt;&gt;""),IF(D4339="",IF(G4339="OH",VLOOKUP(F4339,UPAH!$B$4:$H$101,7,0),VLOOKUP(F4339,#REF!,4,0)),0),0)</f>
        <v>0</v>
      </c>
      <c r="J4339" s="16">
        <f>H4339*I4339</f>
        <v>0</v>
      </c>
    </row>
    <row r="4340" spans="1:10" ht="13">
      <c r="A4340" s="27"/>
      <c r="B4340" s="110"/>
      <c r="D4340" s="409"/>
      <c r="E4340" s="13" t="s">
        <v>50</v>
      </c>
      <c r="F4340" s="13" t="s">
        <v>1928</v>
      </c>
      <c r="G4340" s="410" t="s">
        <v>48</v>
      </c>
      <c r="H4340" s="411">
        <v>8.3000000000000001E-3</v>
      </c>
      <c r="I4340" s="412">
        <f>IF(AND(E4340&lt;&gt;"",G4340&lt;&gt;""),IF(D4340="",IF(G4340="OH",VLOOKUP(F4340,UPAH!$B$4:$H$101,7,0),VLOOKUP(F4340,#REF!,4,0)),0),0)</f>
        <v>0</v>
      </c>
      <c r="J4340" s="16">
        <f>H4340*I4340</f>
        <v>0</v>
      </c>
    </row>
    <row r="4341" spans="1:10" ht="13.5" thickBot="1">
      <c r="A4341" s="27"/>
      <c r="B4341" s="110"/>
      <c r="D4341" s="409"/>
      <c r="E4341" s="13" t="s">
        <v>51</v>
      </c>
      <c r="F4341" s="13" t="s">
        <v>1929</v>
      </c>
      <c r="G4341" s="410" t="s">
        <v>48</v>
      </c>
      <c r="H4341" s="411">
        <v>2.8E-3</v>
      </c>
      <c r="I4341" s="412">
        <f>IF(AND(E4341&lt;&gt;"",G4341&lt;&gt;""),IF(D4341="",IF(G4341="OH",VLOOKUP(F4341,UPAH!$B$4:$H$101,7,0),VLOOKUP(F4341,#REF!,4,0)),0),0)</f>
        <v>0</v>
      </c>
      <c r="J4341" s="16">
        <f>H4341*I4341</f>
        <v>0</v>
      </c>
    </row>
    <row r="4342" spans="1:10" ht="13.5" thickBot="1">
      <c r="A4342" s="27"/>
      <c r="B4342" s="110"/>
      <c r="D4342" s="417"/>
      <c r="E4342" s="418"/>
      <c r="F4342" s="418"/>
      <c r="G4342" s="419"/>
      <c r="H4342" s="420" t="s">
        <v>52</v>
      </c>
      <c r="I4342" s="421"/>
      <c r="J4342" s="396">
        <f>SUM(J4338:J4341)</f>
        <v>0</v>
      </c>
    </row>
    <row r="4343" spans="1:10" ht="13">
      <c r="A4343" s="27"/>
      <c r="B4343" s="110"/>
      <c r="D4343" s="406" t="s">
        <v>53</v>
      </c>
      <c r="E4343" s="13" t="s">
        <v>54</v>
      </c>
      <c r="F4343" s="14"/>
      <c r="G4343" s="15"/>
      <c r="H4343" s="451"/>
      <c r="I4343" s="412"/>
      <c r="J4343" s="16"/>
    </row>
    <row r="4344" spans="1:10" ht="13">
      <c r="A4344" s="27"/>
      <c r="B4344" s="110"/>
      <c r="D4344" s="409"/>
      <c r="E4344" s="458" t="s">
        <v>3557</v>
      </c>
      <c r="F4344" s="13"/>
      <c r="G4344" s="410" t="s">
        <v>87</v>
      </c>
      <c r="H4344" s="411">
        <v>2.9169999999999998</v>
      </c>
      <c r="I4344" s="412">
        <f>'BAHAN '!G308</f>
        <v>0</v>
      </c>
      <c r="J4344" s="16">
        <f>H4344*I4344</f>
        <v>0</v>
      </c>
    </row>
    <row r="4345" spans="1:10" ht="13">
      <c r="A4345" s="27"/>
      <c r="B4345" s="110"/>
      <c r="D4345" s="409"/>
      <c r="E4345" s="458" t="s">
        <v>56</v>
      </c>
      <c r="F4345" s="13"/>
      <c r="G4345" s="410" t="s">
        <v>57</v>
      </c>
      <c r="H4345" s="411">
        <v>13.632</v>
      </c>
      <c r="I4345" s="412">
        <f>I4325</f>
        <v>0</v>
      </c>
      <c r="J4345" s="16">
        <f>H4345*I4345</f>
        <v>0</v>
      </c>
    </row>
    <row r="4346" spans="1:10" ht="13">
      <c r="A4346" s="27"/>
      <c r="B4346" s="110"/>
      <c r="D4346" s="409"/>
      <c r="E4346" s="458" t="s">
        <v>169</v>
      </c>
      <c r="F4346" s="13"/>
      <c r="G4346" s="410" t="s">
        <v>170</v>
      </c>
      <c r="H4346" s="411">
        <v>1.5</v>
      </c>
      <c r="I4346" s="412">
        <f>I4326</f>
        <v>0</v>
      </c>
      <c r="J4346" s="16">
        <f>H4346*I4346</f>
        <v>0</v>
      </c>
    </row>
    <row r="4347" spans="1:10" ht="13.5" thickBot="1">
      <c r="A4347" s="27"/>
      <c r="B4347" s="110"/>
      <c r="D4347" s="409"/>
      <c r="E4347" s="458" t="s">
        <v>3768</v>
      </c>
      <c r="F4347" s="13"/>
      <c r="G4347" s="410" t="s">
        <v>57</v>
      </c>
      <c r="H4347" s="411">
        <v>2.7E-2</v>
      </c>
      <c r="I4347" s="412">
        <f>I4327</f>
        <v>0</v>
      </c>
      <c r="J4347" s="16">
        <f>H4347*I4347</f>
        <v>0</v>
      </c>
    </row>
    <row r="4348" spans="1:10" ht="13.5" thickBot="1">
      <c r="A4348" s="27"/>
      <c r="B4348" s="110"/>
      <c r="D4348" s="417"/>
      <c r="E4348" s="418"/>
      <c r="F4348" s="418"/>
      <c r="G4348" s="419"/>
      <c r="H4348" s="420" t="s">
        <v>64</v>
      </c>
      <c r="I4348" s="421"/>
      <c r="J4348" s="396">
        <f>SUM(J4344:J4347)</f>
        <v>0</v>
      </c>
    </row>
    <row r="4349" spans="1:10" ht="13.5" thickBot="1">
      <c r="A4349" s="27"/>
      <c r="B4349" s="110"/>
      <c r="D4349" s="406" t="s">
        <v>65</v>
      </c>
      <c r="E4349" s="13" t="s">
        <v>66</v>
      </c>
      <c r="F4349" s="14"/>
      <c r="G4349" s="15"/>
      <c r="H4349" s="451"/>
      <c r="I4349" s="412">
        <f>IF(AND(E4349&lt;&gt;"",G4349&lt;&gt;""),IF(D4349="",IF(G4349="OH",VLOOKUP(E4349,UPAH!$C$4:$H$31,7,0),VLOOKUP(E4349,#REF!,4,0)),0),0)</f>
        <v>0</v>
      </c>
      <c r="J4349" s="16">
        <f>H4349*I4349</f>
        <v>0</v>
      </c>
    </row>
    <row r="4350" spans="1:10" ht="13.5" thickBot="1">
      <c r="A4350" s="27"/>
      <c r="B4350" s="110"/>
      <c r="D4350" s="417"/>
      <c r="E4350" s="418"/>
      <c r="F4350" s="418"/>
      <c r="G4350" s="419"/>
      <c r="H4350" s="420" t="s">
        <v>67</v>
      </c>
      <c r="I4350" s="421"/>
      <c r="J4350" s="396">
        <f>J4349</f>
        <v>0</v>
      </c>
    </row>
    <row r="4351" spans="1:10" ht="13">
      <c r="A4351" s="27"/>
      <c r="B4351" s="110"/>
      <c r="D4351" s="444" t="s">
        <v>68</v>
      </c>
      <c r="E4351" s="445" t="s">
        <v>69</v>
      </c>
      <c r="F4351" s="446"/>
      <c r="G4351" s="447"/>
      <c r="H4351" s="448"/>
      <c r="I4351" s="449">
        <f>IF(AND(E4351&lt;&gt;"",G4351&lt;&gt;""),IF(D4351="",IF(G4351="OH",VLOOKUP(E4351,UPAH!$C$4:$H$31,7,0),VLOOKUP(E4351,#REF!,4,0)),0),0)</f>
        <v>0</v>
      </c>
      <c r="J4351" s="16">
        <f>SUM(J4338:J4350)/2</f>
        <v>0</v>
      </c>
    </row>
    <row r="4352" spans="1:10" ht="13.5" thickBot="1">
      <c r="A4352" s="27"/>
      <c r="B4352" s="110"/>
      <c r="D4352" s="431" t="s">
        <v>70</v>
      </c>
      <c r="E4352" s="432" t="s">
        <v>477</v>
      </c>
      <c r="F4352" s="433"/>
      <c r="G4352" s="434"/>
      <c r="H4352" s="22">
        <v>0.1</v>
      </c>
      <c r="I4352" s="436"/>
      <c r="J4352" s="430">
        <f>H4352*J4351</f>
        <v>0</v>
      </c>
    </row>
    <row r="4353" spans="1:10" ht="13.5" thickBot="1">
      <c r="A4353" s="27"/>
      <c r="B4353" s="110"/>
      <c r="D4353" s="401" t="s">
        <v>71</v>
      </c>
      <c r="E4353" s="402" t="s">
        <v>72</v>
      </c>
      <c r="F4353" s="418"/>
      <c r="G4353" s="419"/>
      <c r="H4353" s="442"/>
      <c r="I4353" s="421">
        <f>IF(AND(E4353&lt;&gt;"",G4353&lt;&gt;""),IF(D4353="",IF(G4353="OH",VLOOKUP(E4353,UPAH!$C$4:$H$31,7,0),VLOOKUP(E4353,#REF!,4,0)),0),0)</f>
        <v>0</v>
      </c>
      <c r="J4353" s="396">
        <f>ROUNDDOWN(J4351+J4352,0)</f>
        <v>0</v>
      </c>
    </row>
    <row r="4354" spans="1:10" ht="13">
      <c r="A4354" s="27"/>
      <c r="B4354" s="110"/>
      <c r="D4354" s="11"/>
      <c r="E4354" s="11"/>
      <c r="H4354" s="443"/>
    </row>
    <row r="4355" spans="1:10" ht="13.5" thickBot="1">
      <c r="A4355" s="27"/>
      <c r="B4355" s="110"/>
      <c r="C4355" s="11" t="s">
        <v>3562</v>
      </c>
      <c r="D4355" s="10" t="s">
        <v>3563</v>
      </c>
      <c r="H4355" s="443"/>
    </row>
    <row r="4356" spans="1:10" ht="13.5" thickBot="1">
      <c r="A4356" s="27"/>
      <c r="B4356" s="110"/>
      <c r="D4356" s="401" t="s">
        <v>40</v>
      </c>
      <c r="E4356" s="402" t="s">
        <v>41</v>
      </c>
      <c r="F4356" s="402" t="s">
        <v>42</v>
      </c>
      <c r="G4356" s="403" t="s">
        <v>43</v>
      </c>
      <c r="H4356" s="404" t="s">
        <v>44</v>
      </c>
      <c r="I4356" s="402" t="s">
        <v>474</v>
      </c>
      <c r="J4356" s="405" t="s">
        <v>475</v>
      </c>
    </row>
    <row r="4357" spans="1:10" ht="13">
      <c r="A4357" s="27"/>
      <c r="B4357" s="110"/>
      <c r="D4357" s="406" t="s">
        <v>45</v>
      </c>
      <c r="E4357" s="13" t="s">
        <v>46</v>
      </c>
      <c r="F4357" s="14"/>
      <c r="G4357" s="15"/>
      <c r="H4357" s="451"/>
      <c r="I4357" s="412"/>
      <c r="J4357" s="16"/>
    </row>
    <row r="4358" spans="1:10" ht="13">
      <c r="A4358" s="27"/>
      <c r="B4358" s="110"/>
      <c r="D4358" s="409"/>
      <c r="E4358" s="13" t="s">
        <v>47</v>
      </c>
      <c r="F4358" s="13" t="s">
        <v>1918</v>
      </c>
      <c r="G4358" s="410" t="s">
        <v>48</v>
      </c>
      <c r="H4358" s="411">
        <v>0.25</v>
      </c>
      <c r="I4358" s="412">
        <f>IF(AND(E4358&lt;&gt;"",G4358&lt;&gt;""),IF(D4358="",IF(G4358="OH",VLOOKUP(F4358,UPAH!$B$4:$H$101,7,0),VLOOKUP(F4358,#REF!,4,0)),0),0)</f>
        <v>0</v>
      </c>
      <c r="J4358" s="16">
        <f>H4358*I4358</f>
        <v>0</v>
      </c>
    </row>
    <row r="4359" spans="1:10" ht="13">
      <c r="A4359" s="27"/>
      <c r="B4359" s="110"/>
      <c r="D4359" s="409"/>
      <c r="E4359" s="13" t="s">
        <v>115</v>
      </c>
      <c r="F4359" s="13" t="s">
        <v>1921</v>
      </c>
      <c r="G4359" s="410" t="s">
        <v>48</v>
      </c>
      <c r="H4359" s="411">
        <v>8.3299999999999999E-2</v>
      </c>
      <c r="I4359" s="412">
        <f>IF(AND(E4359&lt;&gt;"",G4359&lt;&gt;""),IF(D4359="",IF(G4359="OH",VLOOKUP(F4359,UPAH!$B$4:$H$101,7,0),VLOOKUP(F4359,#REF!,4,0)),0),0)</f>
        <v>0</v>
      </c>
      <c r="J4359" s="16">
        <f>H4359*I4359</f>
        <v>0</v>
      </c>
    </row>
    <row r="4360" spans="1:10" ht="13">
      <c r="A4360" s="27"/>
      <c r="B4360" s="110"/>
      <c r="D4360" s="409"/>
      <c r="E4360" s="13" t="s">
        <v>50</v>
      </c>
      <c r="F4360" s="13" t="s">
        <v>1928</v>
      </c>
      <c r="G4360" s="410" t="s">
        <v>48</v>
      </c>
      <c r="H4360" s="411">
        <v>8.3000000000000001E-3</v>
      </c>
      <c r="I4360" s="412">
        <f>IF(AND(E4360&lt;&gt;"",G4360&lt;&gt;""),IF(D4360="",IF(G4360="OH",VLOOKUP(F4360,UPAH!$B$4:$H$101,7,0),VLOOKUP(F4360,#REF!,4,0)),0),0)</f>
        <v>0</v>
      </c>
      <c r="J4360" s="16">
        <f>H4360*I4360</f>
        <v>0</v>
      </c>
    </row>
    <row r="4361" spans="1:10" ht="13.5" thickBot="1">
      <c r="A4361" s="27"/>
      <c r="B4361" s="110"/>
      <c r="D4361" s="409"/>
      <c r="E4361" s="13" t="s">
        <v>51</v>
      </c>
      <c r="F4361" s="13" t="s">
        <v>1929</v>
      </c>
      <c r="G4361" s="410" t="s">
        <v>48</v>
      </c>
      <c r="H4361" s="411">
        <v>2.8E-3</v>
      </c>
      <c r="I4361" s="412">
        <f>IF(AND(E4361&lt;&gt;"",G4361&lt;&gt;""),IF(D4361="",IF(G4361="OH",VLOOKUP(F4361,UPAH!$B$4:$H$101,7,0),VLOOKUP(F4361,#REF!,4,0)),0),0)</f>
        <v>0</v>
      </c>
      <c r="J4361" s="16">
        <f>H4361*I4361</f>
        <v>0</v>
      </c>
    </row>
    <row r="4362" spans="1:10" ht="13.5" thickBot="1">
      <c r="A4362" s="27"/>
      <c r="B4362" s="110"/>
      <c r="D4362" s="417"/>
      <c r="E4362" s="418"/>
      <c r="F4362" s="418"/>
      <c r="G4362" s="419"/>
      <c r="H4362" s="420" t="s">
        <v>52</v>
      </c>
      <c r="I4362" s="421"/>
      <c r="J4362" s="396">
        <f>SUM(J4358:J4361)</f>
        <v>0</v>
      </c>
    </row>
    <row r="4363" spans="1:10" ht="13">
      <c r="A4363" s="27"/>
      <c r="B4363" s="110"/>
      <c r="D4363" s="406" t="s">
        <v>53</v>
      </c>
      <c r="E4363" s="13" t="s">
        <v>54</v>
      </c>
      <c r="F4363" s="14"/>
      <c r="G4363" s="15"/>
      <c r="H4363" s="451"/>
      <c r="I4363" s="412"/>
      <c r="J4363" s="16"/>
    </row>
    <row r="4364" spans="1:10" ht="13">
      <c r="A4364" s="27"/>
      <c r="B4364" s="110"/>
      <c r="D4364" s="409"/>
      <c r="E4364" s="458" t="s">
        <v>3559</v>
      </c>
      <c r="F4364" s="13"/>
      <c r="G4364" s="410" t="s">
        <v>87</v>
      </c>
      <c r="H4364" s="498">
        <v>6.25</v>
      </c>
      <c r="I4364" s="412">
        <f>'BAHAN '!G309</f>
        <v>0</v>
      </c>
      <c r="J4364" s="16">
        <f>H4364*I4364</f>
        <v>0</v>
      </c>
    </row>
    <row r="4365" spans="1:10" ht="13">
      <c r="A4365" s="27"/>
      <c r="B4365" s="110"/>
      <c r="D4365" s="409"/>
      <c r="E4365" s="458" t="s">
        <v>56</v>
      </c>
      <c r="F4365" s="13"/>
      <c r="G4365" s="410" t="s">
        <v>57</v>
      </c>
      <c r="H4365" s="498">
        <v>13.632</v>
      </c>
      <c r="I4365" s="412">
        <f>I4345</f>
        <v>0</v>
      </c>
      <c r="J4365" s="16">
        <f>H4365*I4365</f>
        <v>0</v>
      </c>
    </row>
    <row r="4366" spans="1:10" ht="13">
      <c r="A4366" s="27"/>
      <c r="B4366" s="110"/>
      <c r="D4366" s="409"/>
      <c r="E4366" s="458" t="s">
        <v>101</v>
      </c>
      <c r="F4366" s="13"/>
      <c r="G4366" s="410" t="s">
        <v>170</v>
      </c>
      <c r="H4366" s="498">
        <v>2.7E-2</v>
      </c>
      <c r="I4366" s="412">
        <f>+I4347</f>
        <v>0</v>
      </c>
      <c r="J4366" s="16">
        <f>H4366*I4366</f>
        <v>0</v>
      </c>
    </row>
    <row r="4367" spans="1:10" ht="13.5" thickBot="1">
      <c r="A4367" s="27"/>
      <c r="B4367" s="110"/>
      <c r="D4367" s="409"/>
      <c r="E4367" s="458" t="s">
        <v>442</v>
      </c>
      <c r="F4367" s="13"/>
      <c r="G4367" s="410" t="s">
        <v>57</v>
      </c>
      <c r="H4367" s="498">
        <f>+H4347</f>
        <v>2.7E-2</v>
      </c>
      <c r="I4367" s="412">
        <f>+I4346</f>
        <v>0</v>
      </c>
      <c r="J4367" s="16">
        <f>H4367*I4367</f>
        <v>0</v>
      </c>
    </row>
    <row r="4368" spans="1:10" ht="13.5" thickBot="1">
      <c r="A4368" s="27"/>
      <c r="B4368" s="110"/>
      <c r="D4368" s="417"/>
      <c r="E4368" s="418"/>
      <c r="F4368" s="418"/>
      <c r="G4368" s="419"/>
      <c r="H4368" s="420" t="s">
        <v>64</v>
      </c>
      <c r="I4368" s="421"/>
      <c r="J4368" s="396">
        <f>SUM(J4364:J4367)</f>
        <v>0</v>
      </c>
    </row>
    <row r="4369" spans="1:10" ht="13.5" thickBot="1">
      <c r="A4369" s="27"/>
      <c r="B4369" s="110"/>
      <c r="D4369" s="406" t="s">
        <v>65</v>
      </c>
      <c r="E4369" s="13" t="s">
        <v>66</v>
      </c>
      <c r="F4369" s="14"/>
      <c r="G4369" s="15"/>
      <c r="H4369" s="451"/>
      <c r="I4369" s="412">
        <f>IF(AND(E4369&lt;&gt;"",G4369&lt;&gt;""),IF(D4369="",IF(G4369="OH",VLOOKUP(E4369,UPAH!$C$4:$H$31,7,0),VLOOKUP(E4369,#REF!,4,0)),0),0)</f>
        <v>0</v>
      </c>
      <c r="J4369" s="16">
        <f>H4369*I4369</f>
        <v>0</v>
      </c>
    </row>
    <row r="4370" spans="1:10" ht="13.5" thickBot="1">
      <c r="A4370" s="27"/>
      <c r="B4370" s="110"/>
      <c r="D4370" s="417"/>
      <c r="E4370" s="418"/>
      <c r="F4370" s="418"/>
      <c r="G4370" s="419"/>
      <c r="H4370" s="420" t="s">
        <v>67</v>
      </c>
      <c r="I4370" s="421"/>
      <c r="J4370" s="396">
        <f>J4369</f>
        <v>0</v>
      </c>
    </row>
    <row r="4371" spans="1:10" ht="13">
      <c r="A4371" s="27"/>
      <c r="B4371" s="110"/>
      <c r="D4371" s="444" t="s">
        <v>68</v>
      </c>
      <c r="E4371" s="445" t="s">
        <v>69</v>
      </c>
      <c r="F4371" s="446"/>
      <c r="G4371" s="447"/>
      <c r="H4371" s="448"/>
      <c r="I4371" s="449">
        <f>IF(AND(E4371&lt;&gt;"",G4371&lt;&gt;""),IF(D4371="",IF(G4371="OH",VLOOKUP(E4371,UPAH!$C$4:$H$31,7,0),VLOOKUP(E4371,#REF!,4,0)),0),0)</f>
        <v>0</v>
      </c>
      <c r="J4371" s="16">
        <f>SUM(J4358:J4370)/2</f>
        <v>0</v>
      </c>
    </row>
    <row r="4372" spans="1:10" ht="13.5" thickBot="1">
      <c r="A4372" s="27"/>
      <c r="B4372" s="110"/>
      <c r="D4372" s="431" t="s">
        <v>70</v>
      </c>
      <c r="E4372" s="432" t="s">
        <v>477</v>
      </c>
      <c r="F4372" s="433"/>
      <c r="G4372" s="434"/>
      <c r="H4372" s="22">
        <v>0.1</v>
      </c>
      <c r="I4372" s="436"/>
      <c r="J4372" s="430">
        <f>H4372*J4371</f>
        <v>0</v>
      </c>
    </row>
    <row r="4373" spans="1:10" ht="13.5" thickBot="1">
      <c r="A4373" s="27"/>
      <c r="B4373" s="110"/>
      <c r="D4373" s="401" t="s">
        <v>71</v>
      </c>
      <c r="E4373" s="402" t="s">
        <v>72</v>
      </c>
      <c r="F4373" s="418"/>
      <c r="G4373" s="419"/>
      <c r="H4373" s="442"/>
      <c r="I4373" s="421">
        <f>IF(AND(E4373&lt;&gt;"",G4373&lt;&gt;""),IF(D4373="",IF(G4373="OH",VLOOKUP(E4373,UPAH!$C$4:$H$31,7,0),VLOOKUP(E4373,#REF!,4,0)),0),0)</f>
        <v>0</v>
      </c>
      <c r="J4373" s="396">
        <f>ROUNDDOWN(J4371+J4372,0)</f>
        <v>0</v>
      </c>
    </row>
    <row r="4374" spans="1:10" ht="13">
      <c r="A4374" s="27"/>
      <c r="B4374" s="110"/>
      <c r="D4374" s="11"/>
      <c r="E4374" s="11"/>
      <c r="H4374" s="443"/>
    </row>
    <row r="4375" spans="1:10" ht="13.5" thickBot="1">
      <c r="A4375" s="27"/>
      <c r="B4375" s="110"/>
      <c r="C4375" s="11" t="s">
        <v>945</v>
      </c>
      <c r="D4375" s="10" t="s">
        <v>946</v>
      </c>
      <c r="H4375" s="443"/>
    </row>
    <row r="4376" spans="1:10" ht="13.5" thickBot="1">
      <c r="A4376" s="27"/>
      <c r="B4376" s="110"/>
      <c r="D4376" s="401" t="s">
        <v>40</v>
      </c>
      <c r="E4376" s="402" t="s">
        <v>41</v>
      </c>
      <c r="F4376" s="402" t="s">
        <v>42</v>
      </c>
      <c r="G4376" s="403" t="s">
        <v>43</v>
      </c>
      <c r="H4376" s="404" t="s">
        <v>44</v>
      </c>
      <c r="I4376" s="402" t="s">
        <v>474</v>
      </c>
      <c r="J4376" s="405" t="s">
        <v>475</v>
      </c>
    </row>
    <row r="4377" spans="1:10" ht="13">
      <c r="A4377" s="27"/>
      <c r="B4377" s="110"/>
      <c r="D4377" s="406" t="s">
        <v>45</v>
      </c>
      <c r="E4377" s="13" t="s">
        <v>46</v>
      </c>
      <c r="F4377" s="14"/>
      <c r="G4377" s="15"/>
      <c r="H4377" s="451"/>
      <c r="I4377" s="412"/>
      <c r="J4377" s="16"/>
    </row>
    <row r="4378" spans="1:10" ht="13">
      <c r="A4378" s="27"/>
      <c r="B4378" s="110"/>
      <c r="D4378" s="409"/>
      <c r="E4378" s="13" t="s">
        <v>47</v>
      </c>
      <c r="F4378" s="13" t="s">
        <v>1918</v>
      </c>
      <c r="G4378" s="410" t="s">
        <v>48</v>
      </c>
      <c r="H4378" s="411">
        <v>0.7</v>
      </c>
      <c r="I4378" s="412">
        <f>IF(AND(E4378&lt;&gt;"",G4378&lt;&gt;""),IF(D4378="",IF(G4378="OH",VLOOKUP(F4378,UPAH!$B$4:$H$101,7,0),VLOOKUP(F4378,#REF!,4,0)),0),0)</f>
        <v>0</v>
      </c>
      <c r="J4378" s="16">
        <f>H4378*I4378</f>
        <v>0</v>
      </c>
    </row>
    <row r="4379" spans="1:10" ht="13">
      <c r="A4379" s="27"/>
      <c r="B4379" s="110"/>
      <c r="D4379" s="409"/>
      <c r="E4379" s="13" t="s">
        <v>115</v>
      </c>
      <c r="F4379" s="13" t="s">
        <v>1921</v>
      </c>
      <c r="G4379" s="410" t="s">
        <v>48</v>
      </c>
      <c r="H4379" s="411">
        <v>0.35</v>
      </c>
      <c r="I4379" s="412">
        <f>IF(AND(E4379&lt;&gt;"",G4379&lt;&gt;""),IF(D4379="",IF(G4379="OH",VLOOKUP(F4379,UPAH!$B$4:$H$101,7,0),VLOOKUP(F4379,#REF!,4,0)),0),0)</f>
        <v>0</v>
      </c>
      <c r="J4379" s="16">
        <f>H4379*I4379</f>
        <v>0</v>
      </c>
    </row>
    <row r="4380" spans="1:10" ht="13">
      <c r="A4380" s="27"/>
      <c r="B4380" s="110"/>
      <c r="D4380" s="409"/>
      <c r="E4380" s="13" t="s">
        <v>50</v>
      </c>
      <c r="F4380" s="13" t="s">
        <v>1928</v>
      </c>
      <c r="G4380" s="410" t="s">
        <v>48</v>
      </c>
      <c r="H4380" s="411">
        <v>3.5000000000000003E-2</v>
      </c>
      <c r="I4380" s="412">
        <f>IF(AND(E4380&lt;&gt;"",G4380&lt;&gt;""),IF(D4380="",IF(G4380="OH",VLOOKUP(F4380,UPAH!$B$4:$H$101,7,0),VLOOKUP(F4380,#REF!,4,0)),0),0)</f>
        <v>0</v>
      </c>
      <c r="J4380" s="16">
        <f>H4380*I4380</f>
        <v>0</v>
      </c>
    </row>
    <row r="4381" spans="1:10" ht="13.5" thickBot="1">
      <c r="A4381" s="27"/>
      <c r="B4381" s="110"/>
      <c r="D4381" s="409"/>
      <c r="E4381" s="13" t="s">
        <v>51</v>
      </c>
      <c r="F4381" s="13" t="s">
        <v>1929</v>
      </c>
      <c r="G4381" s="410" t="s">
        <v>48</v>
      </c>
      <c r="H4381" s="411">
        <v>3.5000000000000003E-2</v>
      </c>
      <c r="I4381" s="412">
        <f>IF(AND(E4381&lt;&gt;"",G4381&lt;&gt;""),IF(D4381="",IF(G4381="OH",VLOOKUP(F4381,UPAH!$B$4:$H$101,7,0),VLOOKUP(F4381,#REF!,4,0)),0),0)</f>
        <v>0</v>
      </c>
      <c r="J4381" s="16">
        <f>H4381*I4381</f>
        <v>0</v>
      </c>
    </row>
    <row r="4382" spans="1:10" ht="13.5" thickBot="1">
      <c r="A4382" s="27"/>
      <c r="B4382" s="110"/>
      <c r="D4382" s="417"/>
      <c r="E4382" s="418"/>
      <c r="F4382" s="418"/>
      <c r="G4382" s="419"/>
      <c r="H4382" s="420" t="s">
        <v>52</v>
      </c>
      <c r="I4382" s="421"/>
      <c r="J4382" s="396">
        <f>SUM(J4378:J4381)</f>
        <v>0</v>
      </c>
    </row>
    <row r="4383" spans="1:10" ht="13">
      <c r="A4383" s="27"/>
      <c r="B4383" s="110"/>
      <c r="D4383" s="406" t="s">
        <v>53</v>
      </c>
      <c r="E4383" s="13" t="s">
        <v>54</v>
      </c>
      <c r="F4383" s="14"/>
      <c r="G4383" s="15"/>
      <c r="H4383" s="451"/>
      <c r="I4383" s="412"/>
      <c r="J4383" s="16"/>
    </row>
    <row r="4384" spans="1:10" ht="13">
      <c r="A4384" s="27"/>
      <c r="B4384" s="110"/>
      <c r="D4384" s="409"/>
      <c r="E4384" s="13" t="s">
        <v>947</v>
      </c>
      <c r="F4384" s="14"/>
      <c r="G4384" s="410" t="s">
        <v>87</v>
      </c>
      <c r="H4384" s="411">
        <v>10</v>
      </c>
      <c r="I4384" s="412">
        <f>'BAHAN '!G280</f>
        <v>0</v>
      </c>
      <c r="J4384" s="16">
        <f>H4384*I4384</f>
        <v>0</v>
      </c>
    </row>
    <row r="4385" spans="1:10" ht="13">
      <c r="A4385" s="27"/>
      <c r="B4385" s="110"/>
      <c r="D4385" s="409"/>
      <c r="E4385" s="13" t="s">
        <v>56</v>
      </c>
      <c r="F4385" s="14"/>
      <c r="G4385" s="410" t="s">
        <v>57</v>
      </c>
      <c r="H4385" s="411">
        <v>8.19</v>
      </c>
      <c r="I4385" s="412">
        <f>'BAHAN '!G72</f>
        <v>0</v>
      </c>
      <c r="J4385" s="16">
        <f>H4385*I4385</f>
        <v>0</v>
      </c>
    </row>
    <row r="4386" spans="1:10" ht="13">
      <c r="A4386" s="27"/>
      <c r="B4386" s="110"/>
      <c r="D4386" s="409"/>
      <c r="E4386" s="13" t="s">
        <v>101</v>
      </c>
      <c r="F4386" s="14"/>
      <c r="G4386" s="410" t="s">
        <v>170</v>
      </c>
      <c r="H4386" s="411">
        <v>4.4999999999999998E-2</v>
      </c>
      <c r="I4386" s="412">
        <f>'BAHAN '!G59</f>
        <v>0</v>
      </c>
      <c r="J4386" s="16">
        <f>H4386*I4386</f>
        <v>0</v>
      </c>
    </row>
    <row r="4387" spans="1:10" ht="13.5" thickBot="1">
      <c r="A4387" s="27"/>
      <c r="B4387" s="110"/>
      <c r="D4387" s="409"/>
      <c r="E4387" s="13" t="s">
        <v>442</v>
      </c>
      <c r="F4387" s="14"/>
      <c r="G4387" s="410" t="s">
        <v>57</v>
      </c>
      <c r="H4387" s="411">
        <v>1.62</v>
      </c>
      <c r="I4387" s="412">
        <f>'BAHAN '!G74</f>
        <v>0</v>
      </c>
      <c r="J4387" s="16">
        <f>H4387*I4387</f>
        <v>0</v>
      </c>
    </row>
    <row r="4388" spans="1:10" ht="13.5" thickBot="1">
      <c r="A4388" s="27"/>
      <c r="B4388" s="110"/>
      <c r="D4388" s="417"/>
      <c r="E4388" s="418"/>
      <c r="F4388" s="418"/>
      <c r="G4388" s="419"/>
      <c r="H4388" s="420" t="s">
        <v>64</v>
      </c>
      <c r="I4388" s="421"/>
      <c r="J4388" s="396">
        <f>SUM(J4384:J4387)</f>
        <v>0</v>
      </c>
    </row>
    <row r="4389" spans="1:10" ht="13.5" thickBot="1">
      <c r="A4389" s="27"/>
      <c r="B4389" s="110"/>
      <c r="D4389" s="406" t="s">
        <v>65</v>
      </c>
      <c r="E4389" s="13" t="s">
        <v>66</v>
      </c>
      <c r="F4389" s="14"/>
      <c r="G4389" s="15"/>
      <c r="H4389" s="451"/>
      <c r="I4389" s="412">
        <f>IF(AND(E4389&lt;&gt;"",G4389&lt;&gt;""),IF(D4389="",IF(G4389="OH",VLOOKUP(E4389,UPAH!$C$4:$H$31,7,0),VLOOKUP(E4389,#REF!,4,0)),0),0)</f>
        <v>0</v>
      </c>
      <c r="J4389" s="16">
        <f>H4389*I4389</f>
        <v>0</v>
      </c>
    </row>
    <row r="4390" spans="1:10" ht="13.5" thickBot="1">
      <c r="A4390" s="27"/>
      <c r="B4390" s="110"/>
      <c r="D4390" s="417"/>
      <c r="E4390" s="418"/>
      <c r="F4390" s="418"/>
      <c r="G4390" s="419"/>
      <c r="H4390" s="420" t="s">
        <v>67</v>
      </c>
      <c r="I4390" s="421"/>
      <c r="J4390" s="396">
        <f>J4389</f>
        <v>0</v>
      </c>
    </row>
    <row r="4391" spans="1:10" ht="13">
      <c r="A4391" s="27"/>
      <c r="B4391" s="110"/>
      <c r="D4391" s="444" t="s">
        <v>68</v>
      </c>
      <c r="E4391" s="445" t="s">
        <v>69</v>
      </c>
      <c r="F4391" s="446"/>
      <c r="G4391" s="447"/>
      <c r="H4391" s="448"/>
      <c r="I4391" s="449">
        <f>IF(AND(E4391&lt;&gt;"",G4391&lt;&gt;""),IF(D4391="",IF(G4391="OH",VLOOKUP(E4391,UPAH!$C$4:$H$31,7,0),VLOOKUP(E4391,#REF!,4,0)),0),0)</f>
        <v>0</v>
      </c>
      <c r="J4391" s="16">
        <f>SUM(J4378:J4390)/2</f>
        <v>0</v>
      </c>
    </row>
    <row r="4392" spans="1:10" ht="13.5" thickBot="1">
      <c r="A4392" s="27"/>
      <c r="B4392" s="110"/>
      <c r="D4392" s="431" t="s">
        <v>70</v>
      </c>
      <c r="E4392" s="432" t="s">
        <v>477</v>
      </c>
      <c r="F4392" s="433"/>
      <c r="G4392" s="434"/>
      <c r="H4392" s="22">
        <v>0.1</v>
      </c>
      <c r="I4392" s="436"/>
      <c r="J4392" s="430">
        <f>H4392*J4391</f>
        <v>0</v>
      </c>
    </row>
    <row r="4393" spans="1:10" ht="13.5" thickBot="1">
      <c r="A4393" s="27"/>
      <c r="B4393" s="110"/>
      <c r="D4393" s="401" t="s">
        <v>71</v>
      </c>
      <c r="E4393" s="402" t="s">
        <v>72</v>
      </c>
      <c r="F4393" s="418"/>
      <c r="G4393" s="419"/>
      <c r="H4393" s="442"/>
      <c r="I4393" s="421">
        <f>IF(AND(E4393&lt;&gt;"",G4393&lt;&gt;""),IF(D4393="",IF(G4393="OH",VLOOKUP(E4393,UPAH!$C$4:$H$31,7,0),VLOOKUP(E4393,#REF!,4,0)),0),0)</f>
        <v>0</v>
      </c>
      <c r="J4393" s="396">
        <f>ROUNDDOWN(J4391+J4392,0)</f>
        <v>0</v>
      </c>
    </row>
    <row r="4394" spans="1:10" ht="13">
      <c r="A4394" s="27"/>
      <c r="B4394" s="110"/>
      <c r="D4394" s="11"/>
      <c r="E4394" s="11"/>
      <c r="H4394" s="443"/>
    </row>
    <row r="4395" spans="1:10" ht="13.5" thickBot="1">
      <c r="A4395" s="27"/>
      <c r="B4395" s="110"/>
      <c r="C4395" s="11" t="s">
        <v>948</v>
      </c>
      <c r="D4395" s="10" t="s">
        <v>3858</v>
      </c>
      <c r="H4395" s="443"/>
    </row>
    <row r="4396" spans="1:10" ht="13.5" thickBot="1">
      <c r="A4396" s="27"/>
      <c r="B4396" s="110"/>
      <c r="D4396" s="401" t="s">
        <v>40</v>
      </c>
      <c r="E4396" s="402" t="s">
        <v>41</v>
      </c>
      <c r="F4396" s="402" t="s">
        <v>42</v>
      </c>
      <c r="G4396" s="403" t="s">
        <v>43</v>
      </c>
      <c r="H4396" s="404" t="s">
        <v>44</v>
      </c>
      <c r="I4396" s="402" t="s">
        <v>474</v>
      </c>
      <c r="J4396" s="405" t="s">
        <v>475</v>
      </c>
    </row>
    <row r="4397" spans="1:10" ht="13">
      <c r="A4397" s="27"/>
      <c r="B4397" s="110"/>
      <c r="D4397" s="406" t="s">
        <v>45</v>
      </c>
      <c r="E4397" s="13" t="s">
        <v>46</v>
      </c>
      <c r="F4397" s="14"/>
      <c r="G4397" s="15"/>
      <c r="H4397" s="451"/>
      <c r="I4397" s="412"/>
      <c r="J4397" s="16"/>
    </row>
    <row r="4398" spans="1:10" ht="13">
      <c r="A4398" s="27"/>
      <c r="B4398" s="110"/>
      <c r="D4398" s="409"/>
      <c r="E4398" s="13" t="s">
        <v>47</v>
      </c>
      <c r="F4398" s="13" t="s">
        <v>1918</v>
      </c>
      <c r="G4398" s="410" t="s">
        <v>48</v>
      </c>
      <c r="H4398" s="411">
        <v>0.25</v>
      </c>
      <c r="I4398" s="412">
        <f>IF(AND(E4398&lt;&gt;"",G4398&lt;&gt;""),IF(D4398="",IF(G4398="OH",VLOOKUP(F4398,UPAH!$B$4:$H$101,7,0),VLOOKUP(F4398,#REF!,4,0)),0),0)</f>
        <v>0</v>
      </c>
      <c r="J4398" s="16">
        <f>H4398*I4398</f>
        <v>0</v>
      </c>
    </row>
    <row r="4399" spans="1:10" ht="13">
      <c r="A4399" s="27"/>
      <c r="B4399" s="110"/>
      <c r="D4399" s="409"/>
      <c r="E4399" s="13" t="s">
        <v>115</v>
      </c>
      <c r="F4399" s="13" t="s">
        <v>1921</v>
      </c>
      <c r="G4399" s="410" t="s">
        <v>48</v>
      </c>
      <c r="H4399" s="411">
        <v>8.3299999999999999E-2</v>
      </c>
      <c r="I4399" s="412">
        <f>IF(AND(E4399&lt;&gt;"",G4399&lt;&gt;""),IF(D4399="",IF(G4399="OH",VLOOKUP(F4399,UPAH!$B$4:$H$101,7,0),VLOOKUP(F4399,#REF!,4,0)),0),0)</f>
        <v>0</v>
      </c>
      <c r="J4399" s="16">
        <f>H4399*I4399</f>
        <v>0</v>
      </c>
    </row>
    <row r="4400" spans="1:10" ht="13">
      <c r="A4400" s="27"/>
      <c r="B4400" s="110"/>
      <c r="D4400" s="409"/>
      <c r="E4400" s="13" t="s">
        <v>50</v>
      </c>
      <c r="F4400" s="13" t="s">
        <v>1928</v>
      </c>
      <c r="G4400" s="410" t="s">
        <v>48</v>
      </c>
      <c r="H4400" s="411">
        <v>8.3000000000000001E-3</v>
      </c>
      <c r="I4400" s="412">
        <f>IF(AND(E4400&lt;&gt;"",G4400&lt;&gt;""),IF(D4400="",IF(G4400="OH",VLOOKUP(F4400,UPAH!$B$4:$H$101,7,0),VLOOKUP(F4400,#REF!,4,0)),0),0)</f>
        <v>0</v>
      </c>
      <c r="J4400" s="16">
        <f>H4400*I4400</f>
        <v>0</v>
      </c>
    </row>
    <row r="4401" spans="1:10" ht="13.5" thickBot="1">
      <c r="A4401" s="27"/>
      <c r="B4401" s="110"/>
      <c r="D4401" s="409"/>
      <c r="E4401" s="13" t="s">
        <v>51</v>
      </c>
      <c r="F4401" s="13" t="s">
        <v>1929</v>
      </c>
      <c r="G4401" s="410" t="s">
        <v>48</v>
      </c>
      <c r="H4401" s="411">
        <v>2.8E-3</v>
      </c>
      <c r="I4401" s="412">
        <f>IF(AND(E4401&lt;&gt;"",G4401&lt;&gt;""),IF(D4401="",IF(G4401="OH",VLOOKUP(F4401,UPAH!$B$4:$H$101,7,0),VLOOKUP(F4401,#REF!,4,0)),0),0)</f>
        <v>0</v>
      </c>
      <c r="J4401" s="16">
        <f>H4401*I4401</f>
        <v>0</v>
      </c>
    </row>
    <row r="4402" spans="1:10" ht="13.5" thickBot="1">
      <c r="A4402" s="27"/>
      <c r="B4402" s="110"/>
      <c r="D4402" s="417"/>
      <c r="E4402" s="418"/>
      <c r="F4402" s="418"/>
      <c r="G4402" s="419"/>
      <c r="H4402" s="420" t="s">
        <v>52</v>
      </c>
      <c r="I4402" s="421"/>
      <c r="J4402" s="396">
        <f>SUM(J4398:J4401)</f>
        <v>0</v>
      </c>
    </row>
    <row r="4403" spans="1:10" ht="13">
      <c r="A4403" s="27"/>
      <c r="B4403" s="110"/>
      <c r="D4403" s="406" t="s">
        <v>53</v>
      </c>
      <c r="E4403" s="13" t="s">
        <v>54</v>
      </c>
      <c r="F4403" s="14"/>
      <c r="G4403" s="15"/>
      <c r="H4403" s="451"/>
      <c r="I4403" s="412"/>
      <c r="J4403" s="16"/>
    </row>
    <row r="4404" spans="1:10" ht="13">
      <c r="A4404" s="27"/>
      <c r="B4404" s="110"/>
      <c r="D4404" s="409"/>
      <c r="E4404" s="13" t="s">
        <v>949</v>
      </c>
      <c r="F4404" s="14"/>
      <c r="G4404" s="410" t="s">
        <v>87</v>
      </c>
      <c r="H4404" s="411">
        <v>11.87</v>
      </c>
      <c r="I4404" s="412">
        <v>0</v>
      </c>
      <c r="J4404" s="16">
        <f>H4404*I4404</f>
        <v>0</v>
      </c>
    </row>
    <row r="4405" spans="1:10" ht="13">
      <c r="A4405" s="27"/>
      <c r="B4405" s="110"/>
      <c r="D4405" s="409"/>
      <c r="E4405" s="13" t="s">
        <v>56</v>
      </c>
      <c r="F4405" s="14"/>
      <c r="G4405" s="410" t="s">
        <v>57</v>
      </c>
      <c r="H4405" s="411">
        <v>10</v>
      </c>
      <c r="I4405" s="412">
        <f>'BAHAN '!G72</f>
        <v>0</v>
      </c>
      <c r="J4405" s="16">
        <f>H4405*I4405</f>
        <v>0</v>
      </c>
    </row>
    <row r="4406" spans="1:10" ht="13">
      <c r="A4406" s="27"/>
      <c r="B4406" s="110"/>
      <c r="D4406" s="409"/>
      <c r="E4406" s="13" t="s">
        <v>101</v>
      </c>
      <c r="F4406" s="14"/>
      <c r="G4406" s="410" t="s">
        <v>170</v>
      </c>
      <c r="H4406" s="411">
        <v>4.4999999999999998E-2</v>
      </c>
      <c r="I4406" s="412">
        <f>'BAHAN '!G59</f>
        <v>0</v>
      </c>
      <c r="J4406" s="16">
        <f>H4406*I4406</f>
        <v>0</v>
      </c>
    </row>
    <row r="4407" spans="1:10" ht="13.5" thickBot="1">
      <c r="A4407" s="27"/>
      <c r="B4407" s="110"/>
      <c r="D4407" s="409"/>
      <c r="E4407" s="13" t="s">
        <v>442</v>
      </c>
      <c r="F4407" s="14"/>
      <c r="G4407" s="410" t="s">
        <v>57</v>
      </c>
      <c r="H4407" s="411">
        <v>1.5</v>
      </c>
      <c r="I4407" s="412">
        <v>0</v>
      </c>
      <c r="J4407" s="16">
        <f>H4407*I4407</f>
        <v>0</v>
      </c>
    </row>
    <row r="4408" spans="1:10" ht="13.5" thickBot="1">
      <c r="A4408" s="27"/>
      <c r="B4408" s="110"/>
      <c r="D4408" s="417"/>
      <c r="E4408" s="418"/>
      <c r="F4408" s="418"/>
      <c r="G4408" s="419"/>
      <c r="H4408" s="420" t="s">
        <v>64</v>
      </c>
      <c r="I4408" s="421"/>
      <c r="J4408" s="396">
        <f>SUM(J4404:J4407)</f>
        <v>0</v>
      </c>
    </row>
    <row r="4409" spans="1:10" ht="13.5" thickBot="1">
      <c r="A4409" s="27"/>
      <c r="B4409" s="110"/>
      <c r="D4409" s="406" t="s">
        <v>65</v>
      </c>
      <c r="E4409" s="13" t="s">
        <v>66</v>
      </c>
      <c r="F4409" s="14"/>
      <c r="G4409" s="15"/>
      <c r="H4409" s="451"/>
      <c r="I4409" s="412">
        <f>IF(AND(E4409&lt;&gt;"",G4409&lt;&gt;""),IF(D4409="",IF(G4409="OH",VLOOKUP(E4409,UPAH!$C$4:$H$31,7,0),VLOOKUP(E4409,#REF!,4,0)),0),0)</f>
        <v>0</v>
      </c>
      <c r="J4409" s="16">
        <f>H4409*I4409</f>
        <v>0</v>
      </c>
    </row>
    <row r="4410" spans="1:10" ht="13.5" thickBot="1">
      <c r="A4410" s="27"/>
      <c r="B4410" s="110"/>
      <c r="D4410" s="417"/>
      <c r="E4410" s="418"/>
      <c r="F4410" s="418"/>
      <c r="G4410" s="419"/>
      <c r="H4410" s="420" t="s">
        <v>67</v>
      </c>
      <c r="I4410" s="421"/>
      <c r="J4410" s="396">
        <f>J4409</f>
        <v>0</v>
      </c>
    </row>
    <row r="4411" spans="1:10" ht="13">
      <c r="A4411" s="27"/>
      <c r="B4411" s="110"/>
      <c r="D4411" s="444" t="s">
        <v>68</v>
      </c>
      <c r="E4411" s="445" t="s">
        <v>69</v>
      </c>
      <c r="F4411" s="446"/>
      <c r="G4411" s="447"/>
      <c r="H4411" s="448"/>
      <c r="I4411" s="449">
        <f>IF(AND(E4411&lt;&gt;"",G4411&lt;&gt;""),IF(D4411="",IF(G4411="OH",VLOOKUP(E4411,UPAH!$C$4:$H$31,7,0),VLOOKUP(E4411,#REF!,4,0)),0),0)</f>
        <v>0</v>
      </c>
      <c r="J4411" s="16">
        <f>SUM(J4398:J4410)/2</f>
        <v>0</v>
      </c>
    </row>
    <row r="4412" spans="1:10" ht="13.5" thickBot="1">
      <c r="A4412" s="27"/>
      <c r="B4412" s="110"/>
      <c r="D4412" s="431" t="s">
        <v>70</v>
      </c>
      <c r="E4412" s="432" t="s">
        <v>477</v>
      </c>
      <c r="F4412" s="433"/>
      <c r="G4412" s="434"/>
      <c r="H4412" s="22">
        <v>0.1</v>
      </c>
      <c r="I4412" s="436"/>
      <c r="J4412" s="430">
        <f>H4412*J4411</f>
        <v>0</v>
      </c>
    </row>
    <row r="4413" spans="1:10" ht="13.5" thickBot="1">
      <c r="A4413" s="27"/>
      <c r="B4413" s="110"/>
      <c r="D4413" s="401" t="s">
        <v>71</v>
      </c>
      <c r="E4413" s="402" t="s">
        <v>72</v>
      </c>
      <c r="F4413" s="418"/>
      <c r="G4413" s="419"/>
      <c r="H4413" s="442"/>
      <c r="I4413" s="421">
        <f>IF(AND(E4413&lt;&gt;"",G4413&lt;&gt;""),IF(D4413="",IF(G4413="OH",VLOOKUP(E4413,UPAH!$C$4:$H$31,7,0),VLOOKUP(E4413,#REF!,4,0)),0),0)</f>
        <v>0</v>
      </c>
      <c r="J4413" s="396">
        <f>ROUNDDOWN(J4411+J4412,0)</f>
        <v>0</v>
      </c>
    </row>
    <row r="4414" spans="1:10" ht="13">
      <c r="A4414" s="27"/>
      <c r="B4414" s="110"/>
      <c r="D4414" s="11"/>
      <c r="E4414" s="11"/>
      <c r="H4414" s="443"/>
    </row>
    <row r="4415" spans="1:10" ht="13.5" thickBot="1">
      <c r="A4415" s="27"/>
      <c r="B4415" s="110"/>
      <c r="C4415" s="11" t="s">
        <v>3859</v>
      </c>
      <c r="D4415" s="10" t="s">
        <v>3860</v>
      </c>
      <c r="H4415" s="443"/>
    </row>
    <row r="4416" spans="1:10" ht="13.5" thickBot="1">
      <c r="A4416" s="27"/>
      <c r="B4416" s="110"/>
      <c r="D4416" s="401" t="s">
        <v>40</v>
      </c>
      <c r="E4416" s="402" t="s">
        <v>41</v>
      </c>
      <c r="F4416" s="402" t="s">
        <v>42</v>
      </c>
      <c r="G4416" s="403" t="s">
        <v>43</v>
      </c>
      <c r="H4416" s="404" t="s">
        <v>44</v>
      </c>
      <c r="I4416" s="402" t="s">
        <v>474</v>
      </c>
      <c r="J4416" s="405" t="s">
        <v>475</v>
      </c>
    </row>
    <row r="4417" spans="1:10" ht="13">
      <c r="A4417" s="27"/>
      <c r="B4417" s="110"/>
      <c r="D4417" s="406" t="s">
        <v>45</v>
      </c>
      <c r="E4417" s="13" t="s">
        <v>46</v>
      </c>
      <c r="F4417" s="14"/>
      <c r="G4417" s="15"/>
      <c r="H4417" s="451"/>
      <c r="I4417" s="412"/>
      <c r="J4417" s="16"/>
    </row>
    <row r="4418" spans="1:10" ht="13">
      <c r="A4418" s="27"/>
      <c r="B4418" s="110"/>
      <c r="D4418" s="409"/>
      <c r="E4418" s="13" t="s">
        <v>47</v>
      </c>
      <c r="F4418" s="13" t="s">
        <v>1918</v>
      </c>
      <c r="G4418" s="410" t="s">
        <v>48</v>
      </c>
      <c r="H4418" s="411">
        <v>0.25</v>
      </c>
      <c r="I4418" s="412">
        <f>IF(AND(E4418&lt;&gt;"",G4418&lt;&gt;""),IF(D4418="",IF(G4418="OH",VLOOKUP(F4418,UPAH!$B$4:$H$101,7,0),VLOOKUP(F4418,#REF!,4,0)),0),0)</f>
        <v>0</v>
      </c>
      <c r="J4418" s="16">
        <f>H4418*I4418</f>
        <v>0</v>
      </c>
    </row>
    <row r="4419" spans="1:10" ht="13">
      <c r="A4419" s="27"/>
      <c r="B4419" s="110"/>
      <c r="D4419" s="409"/>
      <c r="E4419" s="13" t="s">
        <v>115</v>
      </c>
      <c r="F4419" s="13" t="s">
        <v>1921</v>
      </c>
      <c r="G4419" s="410" t="s">
        <v>48</v>
      </c>
      <c r="H4419" s="411">
        <v>8.3299999999999999E-2</v>
      </c>
      <c r="I4419" s="412">
        <f>IF(AND(E4419&lt;&gt;"",G4419&lt;&gt;""),IF(D4419="",IF(G4419="OH",VLOOKUP(F4419,UPAH!$B$4:$H$101,7,0),VLOOKUP(F4419,#REF!,4,0)),0),0)</f>
        <v>0</v>
      </c>
      <c r="J4419" s="16">
        <f>H4419*I4419</f>
        <v>0</v>
      </c>
    </row>
    <row r="4420" spans="1:10" ht="13">
      <c r="A4420" s="27"/>
      <c r="B4420" s="110"/>
      <c r="D4420" s="409"/>
      <c r="E4420" s="13" t="s">
        <v>50</v>
      </c>
      <c r="F4420" s="13" t="s">
        <v>1928</v>
      </c>
      <c r="G4420" s="410" t="s">
        <v>48</v>
      </c>
      <c r="H4420" s="411">
        <v>8.3000000000000001E-3</v>
      </c>
      <c r="I4420" s="412">
        <f>IF(AND(E4420&lt;&gt;"",G4420&lt;&gt;""),IF(D4420="",IF(G4420="OH",VLOOKUP(F4420,UPAH!$B$4:$H$101,7,0),VLOOKUP(F4420,#REF!,4,0)),0),0)</f>
        <v>0</v>
      </c>
      <c r="J4420" s="16">
        <f>H4420*I4420</f>
        <v>0</v>
      </c>
    </row>
    <row r="4421" spans="1:10" ht="13.5" thickBot="1">
      <c r="A4421" s="27"/>
      <c r="B4421" s="110"/>
      <c r="D4421" s="409"/>
      <c r="E4421" s="13" t="s">
        <v>51</v>
      </c>
      <c r="F4421" s="13" t="s">
        <v>1929</v>
      </c>
      <c r="G4421" s="410" t="s">
        <v>48</v>
      </c>
      <c r="H4421" s="411">
        <v>2.8E-3</v>
      </c>
      <c r="I4421" s="412">
        <f>IF(AND(E4421&lt;&gt;"",G4421&lt;&gt;""),IF(D4421="",IF(G4421="OH",VLOOKUP(F4421,UPAH!$B$4:$H$101,7,0),VLOOKUP(F4421,#REF!,4,0)),0),0)</f>
        <v>0</v>
      </c>
      <c r="J4421" s="16">
        <f>H4421*I4421</f>
        <v>0</v>
      </c>
    </row>
    <row r="4422" spans="1:10" ht="13.5" thickBot="1">
      <c r="A4422" s="27"/>
      <c r="B4422" s="110"/>
      <c r="D4422" s="417"/>
      <c r="E4422" s="418"/>
      <c r="F4422" s="418"/>
      <c r="G4422" s="419"/>
      <c r="H4422" s="420" t="s">
        <v>52</v>
      </c>
      <c r="I4422" s="421"/>
      <c r="J4422" s="396">
        <f>SUM(J4418:J4421)</f>
        <v>0</v>
      </c>
    </row>
    <row r="4423" spans="1:10" ht="13">
      <c r="A4423" s="27"/>
      <c r="B4423" s="110"/>
      <c r="D4423" s="406" t="s">
        <v>53</v>
      </c>
      <c r="E4423" s="13" t="s">
        <v>54</v>
      </c>
      <c r="F4423" s="14"/>
      <c r="G4423" s="15"/>
      <c r="H4423" s="451"/>
      <c r="I4423" s="412"/>
      <c r="J4423" s="16"/>
    </row>
    <row r="4424" spans="1:10" ht="13">
      <c r="A4424" s="27"/>
      <c r="B4424" s="110"/>
      <c r="D4424" s="409"/>
      <c r="E4424" s="13" t="s">
        <v>3861</v>
      </c>
      <c r="F4424" s="14"/>
      <c r="G4424" s="410" t="s">
        <v>87</v>
      </c>
      <c r="H4424" s="411">
        <f>1/(0.3*0.6)</f>
        <v>5.5555555555555554</v>
      </c>
      <c r="I4424" s="412">
        <v>0</v>
      </c>
      <c r="J4424" s="16">
        <f>H4424*I4424</f>
        <v>0</v>
      </c>
    </row>
    <row r="4425" spans="1:10" ht="13">
      <c r="A4425" s="27"/>
      <c r="B4425" s="110"/>
      <c r="D4425" s="409"/>
      <c r="E4425" s="13" t="s">
        <v>56</v>
      </c>
      <c r="F4425" s="14"/>
      <c r="G4425" s="410" t="s">
        <v>57</v>
      </c>
      <c r="H4425" s="411">
        <v>10</v>
      </c>
      <c r="I4425" s="412">
        <f>I4405</f>
        <v>0</v>
      </c>
      <c r="J4425" s="16">
        <f>H4425*I4425</f>
        <v>0</v>
      </c>
    </row>
    <row r="4426" spans="1:10" ht="13">
      <c r="A4426" s="27"/>
      <c r="B4426" s="110"/>
      <c r="D4426" s="409"/>
      <c r="E4426" s="13" t="s">
        <v>101</v>
      </c>
      <c r="F4426" s="14"/>
      <c r="G4426" s="410" t="s">
        <v>170</v>
      </c>
      <c r="H4426" s="411">
        <v>4.4999999999999998E-2</v>
      </c>
      <c r="I4426" s="412">
        <f>I4406</f>
        <v>0</v>
      </c>
      <c r="J4426" s="16">
        <f>H4426*I4426</f>
        <v>0</v>
      </c>
    </row>
    <row r="4427" spans="1:10" ht="13.5" thickBot="1">
      <c r="A4427" s="27"/>
      <c r="B4427" s="110"/>
      <c r="D4427" s="409"/>
      <c r="E4427" s="13" t="s">
        <v>442</v>
      </c>
      <c r="F4427" s="14"/>
      <c r="G4427" s="410" t="s">
        <v>57</v>
      </c>
      <c r="H4427" s="411">
        <v>1.5</v>
      </c>
      <c r="I4427" s="412">
        <f>I4407</f>
        <v>0</v>
      </c>
      <c r="J4427" s="16">
        <f>H4427*I4427</f>
        <v>0</v>
      </c>
    </row>
    <row r="4428" spans="1:10" ht="13.5" thickBot="1">
      <c r="A4428" s="27"/>
      <c r="B4428" s="110"/>
      <c r="D4428" s="417"/>
      <c r="E4428" s="418"/>
      <c r="F4428" s="418"/>
      <c r="G4428" s="419"/>
      <c r="H4428" s="420" t="s">
        <v>64</v>
      </c>
      <c r="I4428" s="421"/>
      <c r="J4428" s="396">
        <f>SUM(J4424:J4427)</f>
        <v>0</v>
      </c>
    </row>
    <row r="4429" spans="1:10" ht="13.5" thickBot="1">
      <c r="A4429" s="27"/>
      <c r="B4429" s="110"/>
      <c r="D4429" s="406" t="s">
        <v>65</v>
      </c>
      <c r="E4429" s="13" t="s">
        <v>66</v>
      </c>
      <c r="F4429" s="14"/>
      <c r="G4429" s="15"/>
      <c r="H4429" s="451"/>
      <c r="I4429" s="412">
        <f>IF(AND(E4429&lt;&gt;"",G4429&lt;&gt;""),IF(D4429="",IF(G4429="OH",VLOOKUP(E4429,UPAH!$C$4:$H$31,7,0),VLOOKUP(E4429,#REF!,4,0)),0),0)</f>
        <v>0</v>
      </c>
      <c r="J4429" s="16">
        <f>H4429*I4429</f>
        <v>0</v>
      </c>
    </row>
    <row r="4430" spans="1:10" ht="13.5" thickBot="1">
      <c r="A4430" s="27"/>
      <c r="B4430" s="110"/>
      <c r="D4430" s="417"/>
      <c r="E4430" s="418"/>
      <c r="F4430" s="418"/>
      <c r="G4430" s="419"/>
      <c r="H4430" s="420" t="s">
        <v>67</v>
      </c>
      <c r="I4430" s="421"/>
      <c r="J4430" s="396">
        <f>J4429</f>
        <v>0</v>
      </c>
    </row>
    <row r="4431" spans="1:10" ht="13">
      <c r="A4431" s="27"/>
      <c r="B4431" s="110"/>
      <c r="D4431" s="444" t="s">
        <v>68</v>
      </c>
      <c r="E4431" s="445" t="s">
        <v>69</v>
      </c>
      <c r="F4431" s="446"/>
      <c r="G4431" s="447"/>
      <c r="H4431" s="448"/>
      <c r="I4431" s="449">
        <f>IF(AND(E4431&lt;&gt;"",G4431&lt;&gt;""),IF(D4431="",IF(G4431="OH",VLOOKUP(E4431,UPAH!$C$4:$H$31,7,0),VLOOKUP(E4431,#REF!,4,0)),0),0)</f>
        <v>0</v>
      </c>
      <c r="J4431" s="16">
        <f>SUM(J4418:J4430)/2</f>
        <v>0</v>
      </c>
    </row>
    <row r="4432" spans="1:10" ht="13.5" thickBot="1">
      <c r="A4432" s="27"/>
      <c r="B4432" s="110"/>
      <c r="D4432" s="431" t="s">
        <v>70</v>
      </c>
      <c r="E4432" s="432" t="s">
        <v>477</v>
      </c>
      <c r="F4432" s="433"/>
      <c r="G4432" s="434"/>
      <c r="H4432" s="22">
        <v>0.1</v>
      </c>
      <c r="I4432" s="436"/>
      <c r="J4432" s="430">
        <f>H4432*J4431</f>
        <v>0</v>
      </c>
    </row>
    <row r="4433" spans="1:10" ht="13.5" thickBot="1">
      <c r="A4433" s="27"/>
      <c r="B4433" s="110"/>
      <c r="D4433" s="401" t="s">
        <v>71</v>
      </c>
      <c r="E4433" s="402" t="s">
        <v>72</v>
      </c>
      <c r="F4433" s="418"/>
      <c r="G4433" s="419"/>
      <c r="H4433" s="442"/>
      <c r="I4433" s="421">
        <f>IF(AND(E4433&lt;&gt;"",G4433&lt;&gt;""),IF(D4433="",IF(G4433="OH",VLOOKUP(E4433,UPAH!$C$4:$H$31,7,0),VLOOKUP(E4433,#REF!,4,0)),0),0)</f>
        <v>0</v>
      </c>
      <c r="J4433" s="396">
        <f>ROUNDDOWN(J4431+J4432,0)</f>
        <v>0</v>
      </c>
    </row>
    <row r="4434" spans="1:10" ht="13">
      <c r="A4434" s="27"/>
      <c r="B4434" s="110"/>
      <c r="D4434" s="11"/>
      <c r="E4434" s="11"/>
      <c r="H4434" s="443"/>
      <c r="I4434" s="17"/>
      <c r="J4434" s="18"/>
    </row>
    <row r="4435" spans="1:10" ht="13.5" thickBot="1">
      <c r="A4435" s="27"/>
      <c r="B4435" s="110"/>
      <c r="C4435" s="11" t="s">
        <v>950</v>
      </c>
      <c r="D4435" s="10" t="s">
        <v>951</v>
      </c>
      <c r="H4435" s="443"/>
    </row>
    <row r="4436" spans="1:10" ht="13.5" thickBot="1">
      <c r="A4436" s="27"/>
      <c r="B4436" s="110"/>
      <c r="D4436" s="401" t="s">
        <v>40</v>
      </c>
      <c r="E4436" s="402" t="s">
        <v>41</v>
      </c>
      <c r="F4436" s="402" t="s">
        <v>42</v>
      </c>
      <c r="G4436" s="403" t="s">
        <v>43</v>
      </c>
      <c r="H4436" s="404" t="s">
        <v>44</v>
      </c>
      <c r="I4436" s="402" t="s">
        <v>474</v>
      </c>
      <c r="J4436" s="405" t="s">
        <v>475</v>
      </c>
    </row>
    <row r="4437" spans="1:10" ht="13">
      <c r="A4437" s="27"/>
      <c r="B4437" s="110"/>
      <c r="D4437" s="406" t="s">
        <v>45</v>
      </c>
      <c r="E4437" s="13" t="s">
        <v>46</v>
      </c>
      <c r="F4437" s="14"/>
      <c r="G4437" s="15"/>
      <c r="H4437" s="451"/>
      <c r="I4437" s="412"/>
      <c r="J4437" s="16"/>
    </row>
    <row r="4438" spans="1:10" ht="13">
      <c r="A4438" s="27"/>
      <c r="B4438" s="110"/>
      <c r="D4438" s="409"/>
      <c r="E4438" s="13" t="s">
        <v>47</v>
      </c>
      <c r="F4438" s="13" t="s">
        <v>1918</v>
      </c>
      <c r="G4438" s="410" t="s">
        <v>48</v>
      </c>
      <c r="H4438" s="411">
        <v>0.7</v>
      </c>
      <c r="I4438" s="412">
        <f>IF(AND(E4438&lt;&gt;"",G4438&lt;&gt;""),IF(D4438="",IF(G4438="OH",VLOOKUP(F4438,UPAH!$B$4:$H$101,7,0),VLOOKUP(F4438,#REF!,4,0)),0),0)</f>
        <v>0</v>
      </c>
      <c r="J4438" s="16">
        <f>H4438*I4438</f>
        <v>0</v>
      </c>
    </row>
    <row r="4439" spans="1:10" ht="13">
      <c r="A4439" s="27"/>
      <c r="B4439" s="110"/>
      <c r="D4439" s="409"/>
      <c r="E4439" s="13" t="s">
        <v>115</v>
      </c>
      <c r="F4439" s="13" t="s">
        <v>1921</v>
      </c>
      <c r="G4439" s="410" t="s">
        <v>48</v>
      </c>
      <c r="H4439" s="411">
        <v>0.35</v>
      </c>
      <c r="I4439" s="412">
        <f>IF(AND(E4439&lt;&gt;"",G4439&lt;&gt;""),IF(D4439="",IF(G4439="OH",VLOOKUP(F4439,UPAH!$B$4:$H$101,7,0),VLOOKUP(F4439,#REF!,4,0)),0),0)</f>
        <v>0</v>
      </c>
      <c r="J4439" s="16">
        <f>H4439*I4439</f>
        <v>0</v>
      </c>
    </row>
    <row r="4440" spans="1:10" ht="13">
      <c r="A4440" s="27"/>
      <c r="B4440" s="110"/>
      <c r="D4440" s="409"/>
      <c r="E4440" s="13" t="s">
        <v>50</v>
      </c>
      <c r="F4440" s="13" t="s">
        <v>1928</v>
      </c>
      <c r="G4440" s="410" t="s">
        <v>48</v>
      </c>
      <c r="H4440" s="411">
        <v>3.5000000000000003E-2</v>
      </c>
      <c r="I4440" s="412">
        <f>IF(AND(E4440&lt;&gt;"",G4440&lt;&gt;""),IF(D4440="",IF(G4440="OH",VLOOKUP(F4440,UPAH!$B$4:$H$101,7,0),VLOOKUP(F4440,#REF!,4,0)),0),0)</f>
        <v>0</v>
      </c>
      <c r="J4440" s="16">
        <f>H4440*I4440</f>
        <v>0</v>
      </c>
    </row>
    <row r="4441" spans="1:10" ht="13.5" thickBot="1">
      <c r="A4441" s="27"/>
      <c r="B4441" s="110"/>
      <c r="D4441" s="409"/>
      <c r="E4441" s="13" t="s">
        <v>51</v>
      </c>
      <c r="F4441" s="13" t="s">
        <v>1929</v>
      </c>
      <c r="G4441" s="410" t="s">
        <v>48</v>
      </c>
      <c r="H4441" s="411">
        <v>3.5000000000000003E-2</v>
      </c>
      <c r="I4441" s="412">
        <f>IF(AND(E4441&lt;&gt;"",G4441&lt;&gt;""),IF(D4441="",IF(G4441="OH",VLOOKUP(F4441,UPAH!$B$4:$H$101,7,0),VLOOKUP(F4441,#REF!,4,0)),0),0)</f>
        <v>0</v>
      </c>
      <c r="J4441" s="16">
        <f>H4441*I4441</f>
        <v>0</v>
      </c>
    </row>
    <row r="4442" spans="1:10" ht="13.5" thickBot="1">
      <c r="A4442" s="27"/>
      <c r="B4442" s="110"/>
      <c r="D4442" s="417"/>
      <c r="E4442" s="418"/>
      <c r="F4442" s="418"/>
      <c r="G4442" s="419"/>
      <c r="H4442" s="420" t="s">
        <v>52</v>
      </c>
      <c r="I4442" s="421"/>
      <c r="J4442" s="396">
        <f>SUM(J4438:J4441)</f>
        <v>0</v>
      </c>
    </row>
    <row r="4443" spans="1:10" ht="13">
      <c r="A4443" s="27"/>
      <c r="B4443" s="110"/>
      <c r="D4443" s="406" t="s">
        <v>53</v>
      </c>
      <c r="E4443" s="13" t="s">
        <v>54</v>
      </c>
      <c r="F4443" s="14"/>
      <c r="G4443" s="15"/>
      <c r="H4443" s="451"/>
      <c r="I4443" s="412"/>
      <c r="J4443" s="16"/>
    </row>
    <row r="4444" spans="1:10" ht="13">
      <c r="A4444" s="27"/>
      <c r="B4444" s="110"/>
      <c r="D4444" s="409"/>
      <c r="E4444" s="13" t="s">
        <v>952</v>
      </c>
      <c r="F4444" s="14"/>
      <c r="G4444" s="410" t="s">
        <v>87</v>
      </c>
      <c r="H4444" s="411">
        <v>26.5</v>
      </c>
      <c r="I4444" s="412">
        <f>'BAHAN '!G275</f>
        <v>0</v>
      </c>
      <c r="J4444" s="16">
        <f>H4444*I4444</f>
        <v>0</v>
      </c>
    </row>
    <row r="4445" spans="1:10" ht="13">
      <c r="A4445" s="27"/>
      <c r="B4445" s="110"/>
      <c r="D4445" s="409"/>
      <c r="E4445" s="13" t="s">
        <v>56</v>
      </c>
      <c r="F4445" s="14"/>
      <c r="G4445" s="410" t="s">
        <v>57</v>
      </c>
      <c r="H4445" s="411">
        <v>10.4</v>
      </c>
      <c r="I4445" s="412">
        <f>'BAHAN '!G72</f>
        <v>0</v>
      </c>
      <c r="J4445" s="16">
        <f>H4445*I4445</f>
        <v>0</v>
      </c>
    </row>
    <row r="4446" spans="1:10" ht="13">
      <c r="A4446" s="27"/>
      <c r="B4446" s="110"/>
      <c r="D4446" s="409"/>
      <c r="E4446" s="13" t="s">
        <v>101</v>
      </c>
      <c r="F4446" s="14"/>
      <c r="G4446" s="410" t="s">
        <v>170</v>
      </c>
      <c r="H4446" s="411">
        <v>4.4999999999999998E-2</v>
      </c>
      <c r="I4446" s="412">
        <f>'BAHAN '!G59</f>
        <v>0</v>
      </c>
      <c r="J4446" s="16">
        <f>H4446*I4446</f>
        <v>0</v>
      </c>
    </row>
    <row r="4447" spans="1:10" ht="13.5" thickBot="1">
      <c r="A4447" s="27"/>
      <c r="B4447" s="110"/>
      <c r="D4447" s="409"/>
      <c r="E4447" s="13" t="s">
        <v>442</v>
      </c>
      <c r="F4447" s="14"/>
      <c r="G4447" s="410" t="s">
        <v>57</v>
      </c>
      <c r="H4447" s="411">
        <v>1.62</v>
      </c>
      <c r="I4447" s="412">
        <f>'BAHAN '!G74</f>
        <v>0</v>
      </c>
      <c r="J4447" s="16">
        <f>H4447*I4447</f>
        <v>0</v>
      </c>
    </row>
    <row r="4448" spans="1:10" ht="13.5" thickBot="1">
      <c r="A4448" s="27"/>
      <c r="B4448" s="110"/>
      <c r="D4448" s="417"/>
      <c r="E4448" s="418"/>
      <c r="F4448" s="418"/>
      <c r="G4448" s="419"/>
      <c r="H4448" s="420" t="s">
        <v>64</v>
      </c>
      <c r="I4448" s="421"/>
      <c r="J4448" s="396">
        <f>SUM(J4444:J4447)</f>
        <v>0</v>
      </c>
    </row>
    <row r="4449" spans="1:10" ht="13.5" thickBot="1">
      <c r="A4449" s="27"/>
      <c r="B4449" s="110"/>
      <c r="D4449" s="406" t="s">
        <v>65</v>
      </c>
      <c r="E4449" s="13" t="s">
        <v>66</v>
      </c>
      <c r="F4449" s="14"/>
      <c r="G4449" s="15"/>
      <c r="H4449" s="451"/>
      <c r="I4449" s="412">
        <f>IF(AND(E4449&lt;&gt;"",G4449&lt;&gt;""),IF(D4449="",IF(G4449="OH",VLOOKUP(E4449,UPAH!$C$4:$H$31,7,0),VLOOKUP(E4449,#REF!,4,0)),0),0)</f>
        <v>0</v>
      </c>
      <c r="J4449" s="16">
        <f>H4449*I4449</f>
        <v>0</v>
      </c>
    </row>
    <row r="4450" spans="1:10" ht="13.5" thickBot="1">
      <c r="A4450" s="27"/>
      <c r="B4450" s="110"/>
      <c r="D4450" s="417"/>
      <c r="E4450" s="418"/>
      <c r="F4450" s="418"/>
      <c r="G4450" s="419"/>
      <c r="H4450" s="420" t="s">
        <v>67</v>
      </c>
      <c r="I4450" s="421"/>
      <c r="J4450" s="396">
        <f>J4449</f>
        <v>0</v>
      </c>
    </row>
    <row r="4451" spans="1:10" ht="13">
      <c r="A4451" s="27"/>
      <c r="B4451" s="110"/>
      <c r="D4451" s="444" t="s">
        <v>68</v>
      </c>
      <c r="E4451" s="445" t="s">
        <v>69</v>
      </c>
      <c r="F4451" s="446"/>
      <c r="G4451" s="447"/>
      <c r="H4451" s="448"/>
      <c r="I4451" s="449">
        <f>IF(AND(E4451&lt;&gt;"",G4451&lt;&gt;""),IF(D4451="",IF(G4451="OH",VLOOKUP(E4451,UPAH!$C$4:$H$31,7,0),VLOOKUP(E4451,#REF!,4,0)),0),0)</f>
        <v>0</v>
      </c>
      <c r="J4451" s="16">
        <f>SUM(J4438:J4450)/2</f>
        <v>0</v>
      </c>
    </row>
    <row r="4452" spans="1:10" ht="13.5" thickBot="1">
      <c r="A4452" s="27"/>
      <c r="B4452" s="110"/>
      <c r="D4452" s="431" t="s">
        <v>70</v>
      </c>
      <c r="E4452" s="432" t="s">
        <v>477</v>
      </c>
      <c r="F4452" s="433"/>
      <c r="G4452" s="434"/>
      <c r="H4452" s="22">
        <v>0.1</v>
      </c>
      <c r="I4452" s="436"/>
      <c r="J4452" s="430">
        <f>H4452*J4451</f>
        <v>0</v>
      </c>
    </row>
    <row r="4453" spans="1:10" ht="13.5" thickBot="1">
      <c r="A4453" s="27"/>
      <c r="B4453" s="110"/>
      <c r="D4453" s="401" t="s">
        <v>71</v>
      </c>
      <c r="E4453" s="402" t="s">
        <v>72</v>
      </c>
      <c r="F4453" s="418"/>
      <c r="G4453" s="419"/>
      <c r="H4453" s="442"/>
      <c r="I4453" s="421">
        <f>IF(AND(E4453&lt;&gt;"",G4453&lt;&gt;""),IF(D4453="",IF(G4453="OH",VLOOKUP(E4453,UPAH!$C$4:$H$31,7,0),VLOOKUP(E4453,#REF!,4,0)),0),0)</f>
        <v>0</v>
      </c>
      <c r="J4453" s="396">
        <f>ROUNDDOWN(J4451+J4452,0)</f>
        <v>0</v>
      </c>
    </row>
    <row r="4454" spans="1:10" ht="13">
      <c r="A4454" s="27"/>
      <c r="B4454" s="110"/>
      <c r="D4454" s="11"/>
      <c r="E4454" s="11"/>
      <c r="H4454" s="443"/>
    </row>
    <row r="4455" spans="1:10" ht="13.5" thickBot="1">
      <c r="A4455" s="27"/>
      <c r="B4455" s="110"/>
      <c r="C4455" s="11" t="s">
        <v>953</v>
      </c>
      <c r="D4455" s="10" t="s">
        <v>954</v>
      </c>
      <c r="H4455" s="443"/>
    </row>
    <row r="4456" spans="1:10" ht="13.5" thickBot="1">
      <c r="A4456" s="27"/>
      <c r="B4456" s="110"/>
      <c r="D4456" s="401" t="s">
        <v>40</v>
      </c>
      <c r="E4456" s="402" t="s">
        <v>41</v>
      </c>
      <c r="F4456" s="402" t="s">
        <v>42</v>
      </c>
      <c r="G4456" s="403" t="s">
        <v>43</v>
      </c>
      <c r="H4456" s="404" t="s">
        <v>44</v>
      </c>
      <c r="I4456" s="402" t="s">
        <v>474</v>
      </c>
      <c r="J4456" s="405" t="s">
        <v>475</v>
      </c>
    </row>
    <row r="4457" spans="1:10" ht="13">
      <c r="A4457" s="27"/>
      <c r="B4457" s="110"/>
      <c r="D4457" s="406" t="s">
        <v>45</v>
      </c>
      <c r="E4457" s="13" t="s">
        <v>46</v>
      </c>
      <c r="F4457" s="14"/>
      <c r="G4457" s="15"/>
      <c r="H4457" s="451"/>
      <c r="I4457" s="412"/>
      <c r="J4457" s="16"/>
    </row>
    <row r="4458" spans="1:10" ht="13">
      <c r="A4458" s="27"/>
      <c r="B4458" s="110"/>
      <c r="D4458" s="409"/>
      <c r="E4458" s="13" t="s">
        <v>47</v>
      </c>
      <c r="F4458" s="13" t="s">
        <v>1918</v>
      </c>
      <c r="G4458" s="410" t="s">
        <v>48</v>
      </c>
      <c r="H4458" s="411">
        <v>1.05</v>
      </c>
      <c r="I4458" s="412">
        <f>IF(AND(E4458&lt;&gt;"",G4458&lt;&gt;""),IF(D4458="",IF(G4458="OH",VLOOKUP(F4458,UPAH!$B$4:$H$101,7,0),VLOOKUP(F4458,#REF!,4,0)),0),0)</f>
        <v>0</v>
      </c>
      <c r="J4458" s="16">
        <f>H4458*I4458</f>
        <v>0</v>
      </c>
    </row>
    <row r="4459" spans="1:10" ht="13">
      <c r="A4459" s="27"/>
      <c r="B4459" s="110"/>
      <c r="D4459" s="409"/>
      <c r="E4459" s="13" t="s">
        <v>115</v>
      </c>
      <c r="F4459" s="13" t="s">
        <v>1921</v>
      </c>
      <c r="G4459" s="410" t="s">
        <v>48</v>
      </c>
      <c r="H4459" s="411">
        <v>0.52500000000000002</v>
      </c>
      <c r="I4459" s="412">
        <f>IF(AND(E4459&lt;&gt;"",G4459&lt;&gt;""),IF(D4459="",IF(G4459="OH",VLOOKUP(F4459,UPAH!$B$4:$H$101,7,0),VLOOKUP(F4459,#REF!,4,0)),0),0)</f>
        <v>0</v>
      </c>
      <c r="J4459" s="16">
        <f>H4459*I4459</f>
        <v>0</v>
      </c>
    </row>
    <row r="4460" spans="1:10" ht="13">
      <c r="A4460" s="27"/>
      <c r="B4460" s="110"/>
      <c r="D4460" s="409"/>
      <c r="E4460" s="13" t="s">
        <v>50</v>
      </c>
      <c r="F4460" s="13" t="s">
        <v>1928</v>
      </c>
      <c r="G4460" s="410" t="s">
        <v>48</v>
      </c>
      <c r="H4460" s="411">
        <v>5.2999999999999999E-2</v>
      </c>
      <c r="I4460" s="412">
        <f>IF(AND(E4460&lt;&gt;"",G4460&lt;&gt;""),IF(D4460="",IF(G4460="OH",VLOOKUP(F4460,UPAH!$B$4:$H$101,7,0),VLOOKUP(F4460,#REF!,4,0)),0),0)</f>
        <v>0</v>
      </c>
      <c r="J4460" s="16">
        <f>H4460*I4460</f>
        <v>0</v>
      </c>
    </row>
    <row r="4461" spans="1:10" ht="13.5" thickBot="1">
      <c r="A4461" s="27"/>
      <c r="B4461" s="110"/>
      <c r="D4461" s="409"/>
      <c r="E4461" s="13" t="s">
        <v>51</v>
      </c>
      <c r="F4461" s="13" t="s">
        <v>1929</v>
      </c>
      <c r="G4461" s="410" t="s">
        <v>48</v>
      </c>
      <c r="H4461" s="411">
        <v>5.2999999999999999E-2</v>
      </c>
      <c r="I4461" s="412">
        <f>IF(AND(E4461&lt;&gt;"",G4461&lt;&gt;""),IF(D4461="",IF(G4461="OH",VLOOKUP(F4461,UPAH!$B$4:$H$101,7,0),VLOOKUP(F4461,#REF!,4,0)),0),0)</f>
        <v>0</v>
      </c>
      <c r="J4461" s="16">
        <f>H4461*I4461</f>
        <v>0</v>
      </c>
    </row>
    <row r="4462" spans="1:10" ht="13.5" thickBot="1">
      <c r="A4462" s="27"/>
      <c r="B4462" s="110"/>
      <c r="D4462" s="417"/>
      <c r="E4462" s="418"/>
      <c r="F4462" s="418"/>
      <c r="G4462" s="419"/>
      <c r="H4462" s="420" t="s">
        <v>52</v>
      </c>
      <c r="I4462" s="421"/>
      <c r="J4462" s="396">
        <f>SUM(J4458:J4461)</f>
        <v>0</v>
      </c>
    </row>
    <row r="4463" spans="1:10" ht="13">
      <c r="A4463" s="27"/>
      <c r="B4463" s="110"/>
      <c r="D4463" s="406" t="s">
        <v>53</v>
      </c>
      <c r="E4463" s="13" t="s">
        <v>54</v>
      </c>
      <c r="F4463" s="14"/>
      <c r="G4463" s="15"/>
      <c r="H4463" s="451"/>
      <c r="I4463" s="412"/>
      <c r="J4463" s="16"/>
    </row>
    <row r="4464" spans="1:10" ht="13">
      <c r="A4464" s="27"/>
      <c r="B4464" s="110"/>
      <c r="D4464" s="409"/>
      <c r="E4464" s="13" t="s">
        <v>171</v>
      </c>
      <c r="F4464" s="14"/>
      <c r="G4464" s="410" t="s">
        <v>87</v>
      </c>
      <c r="H4464" s="411">
        <v>33</v>
      </c>
      <c r="I4464" s="412">
        <f>'BAHAN '!G271</f>
        <v>0</v>
      </c>
      <c r="J4464" s="16">
        <f>H4464*I4464</f>
        <v>0</v>
      </c>
    </row>
    <row r="4465" spans="1:10" ht="13">
      <c r="A4465" s="27"/>
      <c r="B4465" s="110"/>
      <c r="D4465" s="409"/>
      <c r="E4465" s="13" t="s">
        <v>56</v>
      </c>
      <c r="F4465" s="14"/>
      <c r="G4465" s="410" t="s">
        <v>57</v>
      </c>
      <c r="H4465" s="411">
        <v>9.8000000000000007</v>
      </c>
      <c r="I4465" s="412">
        <f>'BAHAN '!G72</f>
        <v>0</v>
      </c>
      <c r="J4465" s="16">
        <f>H4465*I4465</f>
        <v>0</v>
      </c>
    </row>
    <row r="4466" spans="1:10" ht="13">
      <c r="A4466" s="27"/>
      <c r="B4466" s="110"/>
      <c r="D4466" s="409"/>
      <c r="E4466" s="13" t="s">
        <v>101</v>
      </c>
      <c r="F4466" s="14"/>
      <c r="G4466" s="410" t="s">
        <v>170</v>
      </c>
      <c r="H4466" s="411">
        <v>4.4999999999999998E-2</v>
      </c>
      <c r="I4466" s="412">
        <f>'BAHAN '!G59</f>
        <v>0</v>
      </c>
      <c r="J4466" s="16">
        <f>H4466*I4466</f>
        <v>0</v>
      </c>
    </row>
    <row r="4467" spans="1:10" ht="13.5" thickBot="1">
      <c r="A4467" s="27"/>
      <c r="B4467" s="110"/>
      <c r="D4467" s="409"/>
      <c r="E4467" s="13" t="s">
        <v>442</v>
      </c>
      <c r="F4467" s="14"/>
      <c r="G4467" s="410" t="s">
        <v>57</v>
      </c>
      <c r="H4467" s="411">
        <v>4.37</v>
      </c>
      <c r="I4467" s="412">
        <f>'BAHAN '!G74</f>
        <v>0</v>
      </c>
      <c r="J4467" s="16">
        <f>H4467*I4467</f>
        <v>0</v>
      </c>
    </row>
    <row r="4468" spans="1:10" ht="13.5" thickBot="1">
      <c r="A4468" s="27"/>
      <c r="B4468" s="110"/>
      <c r="D4468" s="417"/>
      <c r="E4468" s="418"/>
      <c r="F4468" s="418"/>
      <c r="G4468" s="419"/>
      <c r="H4468" s="420" t="s">
        <v>64</v>
      </c>
      <c r="I4468" s="421"/>
      <c r="J4468" s="396">
        <f>SUM(J4464:J4467)</f>
        <v>0</v>
      </c>
    </row>
    <row r="4469" spans="1:10" ht="13.5" thickBot="1">
      <c r="A4469" s="27"/>
      <c r="B4469" s="110"/>
      <c r="D4469" s="406" t="s">
        <v>65</v>
      </c>
      <c r="E4469" s="13" t="s">
        <v>66</v>
      </c>
      <c r="F4469" s="14"/>
      <c r="G4469" s="15"/>
      <c r="H4469" s="451"/>
      <c r="I4469" s="412">
        <f>IF(AND(E4469&lt;&gt;"",G4469&lt;&gt;""),IF(D4469="",IF(G4469="OH",VLOOKUP(E4469,UPAH!$C$4:$H$31,7,0),VLOOKUP(E4469,#REF!,4,0)),0),0)</f>
        <v>0</v>
      </c>
      <c r="J4469" s="16">
        <f>H4469*I4469</f>
        <v>0</v>
      </c>
    </row>
    <row r="4470" spans="1:10" ht="13.5" thickBot="1">
      <c r="A4470" s="27"/>
      <c r="B4470" s="110"/>
      <c r="D4470" s="417"/>
      <c r="E4470" s="418"/>
      <c r="F4470" s="418"/>
      <c r="G4470" s="419"/>
      <c r="H4470" s="420" t="s">
        <v>67</v>
      </c>
      <c r="I4470" s="421"/>
      <c r="J4470" s="396">
        <f>J4469</f>
        <v>0</v>
      </c>
    </row>
    <row r="4471" spans="1:10" ht="13">
      <c r="A4471" s="27"/>
      <c r="B4471" s="110"/>
      <c r="D4471" s="444" t="s">
        <v>68</v>
      </c>
      <c r="E4471" s="445" t="s">
        <v>69</v>
      </c>
      <c r="F4471" s="446"/>
      <c r="G4471" s="447"/>
      <c r="H4471" s="448"/>
      <c r="I4471" s="449">
        <f>IF(AND(E4471&lt;&gt;"",G4471&lt;&gt;""),IF(D4471="",IF(G4471="OH",VLOOKUP(E4471,UPAH!$C$4:$H$31,7,0),VLOOKUP(E4471,#REF!,4,0)),0),0)</f>
        <v>0</v>
      </c>
      <c r="J4471" s="16">
        <f>SUM(J4458:J4470)/2</f>
        <v>0</v>
      </c>
    </row>
    <row r="4472" spans="1:10" ht="13.5" thickBot="1">
      <c r="A4472" s="27"/>
      <c r="B4472" s="110"/>
      <c r="D4472" s="431" t="s">
        <v>70</v>
      </c>
      <c r="E4472" s="432" t="s">
        <v>477</v>
      </c>
      <c r="F4472" s="433"/>
      <c r="G4472" s="434"/>
      <c r="H4472" s="22">
        <v>0.1</v>
      </c>
      <c r="I4472" s="436"/>
      <c r="J4472" s="430">
        <f>H4472*J4471</f>
        <v>0</v>
      </c>
    </row>
    <row r="4473" spans="1:10" ht="13.5" thickBot="1">
      <c r="A4473" s="27"/>
      <c r="B4473" s="110"/>
      <c r="D4473" s="401" t="s">
        <v>71</v>
      </c>
      <c r="E4473" s="402" t="s">
        <v>72</v>
      </c>
      <c r="F4473" s="418"/>
      <c r="G4473" s="419"/>
      <c r="H4473" s="442"/>
      <c r="I4473" s="421">
        <f>IF(AND(E4473&lt;&gt;"",G4473&lt;&gt;""),IF(D4473="",IF(G4473="OH",VLOOKUP(E4473,UPAH!$C$4:$H$31,7,0),VLOOKUP(E4473,#REF!,4,0)),0),0)</f>
        <v>0</v>
      </c>
      <c r="J4473" s="396">
        <f>ROUNDDOWN(J4471+J4472,0)</f>
        <v>0</v>
      </c>
    </row>
    <row r="4474" spans="1:10" ht="13">
      <c r="A4474" s="27"/>
      <c r="B4474" s="110"/>
      <c r="D4474" s="11"/>
      <c r="E4474" s="11"/>
      <c r="H4474" s="443"/>
    </row>
    <row r="4475" spans="1:10" ht="13.5" thickBot="1">
      <c r="A4475" s="27"/>
      <c r="B4475" s="110"/>
      <c r="C4475" s="11" t="s">
        <v>955</v>
      </c>
      <c r="D4475" s="10" t="s">
        <v>956</v>
      </c>
      <c r="H4475" s="443"/>
    </row>
    <row r="4476" spans="1:10" ht="13.5" thickBot="1">
      <c r="A4476" s="27"/>
      <c r="B4476" s="110"/>
      <c r="D4476" s="401" t="s">
        <v>40</v>
      </c>
      <c r="E4476" s="402" t="s">
        <v>41</v>
      </c>
      <c r="F4476" s="402" t="s">
        <v>42</v>
      </c>
      <c r="G4476" s="403" t="s">
        <v>43</v>
      </c>
      <c r="H4476" s="404" t="s">
        <v>44</v>
      </c>
      <c r="I4476" s="402" t="s">
        <v>474</v>
      </c>
      <c r="J4476" s="405" t="s">
        <v>475</v>
      </c>
    </row>
    <row r="4477" spans="1:10" ht="13">
      <c r="A4477" s="27"/>
      <c r="B4477" s="110"/>
      <c r="D4477" s="406" t="s">
        <v>45</v>
      </c>
      <c r="E4477" s="13" t="s">
        <v>46</v>
      </c>
      <c r="F4477" s="14"/>
      <c r="G4477" s="15"/>
      <c r="H4477" s="451"/>
      <c r="I4477" s="412"/>
      <c r="J4477" s="16"/>
    </row>
    <row r="4478" spans="1:10" ht="13">
      <c r="A4478" s="27"/>
      <c r="B4478" s="110"/>
      <c r="D4478" s="409"/>
      <c r="E4478" s="13" t="s">
        <v>47</v>
      </c>
      <c r="F4478" s="13" t="s">
        <v>1918</v>
      </c>
      <c r="G4478" s="410" t="s">
        <v>48</v>
      </c>
      <c r="H4478" s="411">
        <v>0.7</v>
      </c>
      <c r="I4478" s="412">
        <f>IF(AND(E4478&lt;&gt;"",G4478&lt;&gt;""),IF(D4478="",IF(G4478="OH",VLOOKUP(F4478,UPAH!$B$4:$H$101,7,0),VLOOKUP(F4478,#REF!,4,0)),0),0)</f>
        <v>0</v>
      </c>
      <c r="J4478" s="16">
        <f>H4478*I4478</f>
        <v>0</v>
      </c>
    </row>
    <row r="4479" spans="1:10" ht="13">
      <c r="A4479" s="27"/>
      <c r="B4479" s="110"/>
      <c r="D4479" s="409"/>
      <c r="E4479" s="13" t="s">
        <v>115</v>
      </c>
      <c r="F4479" s="13" t="s">
        <v>1921</v>
      </c>
      <c r="G4479" s="410" t="s">
        <v>48</v>
      </c>
      <c r="H4479" s="411">
        <v>0.35</v>
      </c>
      <c r="I4479" s="412">
        <f>IF(AND(E4479&lt;&gt;"",G4479&lt;&gt;""),IF(D4479="",IF(G4479="OH",VLOOKUP(F4479,UPAH!$B$4:$H$101,7,0),VLOOKUP(F4479,#REF!,4,0)),0),0)</f>
        <v>0</v>
      </c>
      <c r="J4479" s="16">
        <f>H4479*I4479</f>
        <v>0</v>
      </c>
    </row>
    <row r="4480" spans="1:10" ht="13">
      <c r="A4480" s="27"/>
      <c r="B4480" s="110"/>
      <c r="D4480" s="409"/>
      <c r="E4480" s="13" t="s">
        <v>50</v>
      </c>
      <c r="F4480" s="13" t="s">
        <v>1928</v>
      </c>
      <c r="G4480" s="410" t="s">
        <v>48</v>
      </c>
      <c r="H4480" s="411">
        <v>3.5000000000000003E-2</v>
      </c>
      <c r="I4480" s="412">
        <f>IF(AND(E4480&lt;&gt;"",G4480&lt;&gt;""),IF(D4480="",IF(G4480="OH",VLOOKUP(F4480,UPAH!$B$4:$H$101,7,0),VLOOKUP(F4480,#REF!,4,0)),0),0)</f>
        <v>0</v>
      </c>
      <c r="J4480" s="16">
        <f>H4480*I4480</f>
        <v>0</v>
      </c>
    </row>
    <row r="4481" spans="1:10" ht="13.5" thickBot="1">
      <c r="A4481" s="27"/>
      <c r="B4481" s="110"/>
      <c r="D4481" s="409"/>
      <c r="E4481" s="13" t="s">
        <v>51</v>
      </c>
      <c r="F4481" s="13" t="s">
        <v>1929</v>
      </c>
      <c r="G4481" s="410" t="s">
        <v>48</v>
      </c>
      <c r="H4481" s="411">
        <v>3.5000000000000003E-2</v>
      </c>
      <c r="I4481" s="412">
        <f>IF(AND(E4481&lt;&gt;"",G4481&lt;&gt;""),IF(D4481="",IF(G4481="OH",VLOOKUP(F4481,UPAH!$B$4:$H$101,7,0),VLOOKUP(F4481,#REF!,4,0)),0),0)</f>
        <v>0</v>
      </c>
      <c r="J4481" s="16">
        <f>H4481*I4481</f>
        <v>0</v>
      </c>
    </row>
    <row r="4482" spans="1:10" ht="13.5" thickBot="1">
      <c r="A4482" s="27"/>
      <c r="B4482" s="110"/>
      <c r="D4482" s="417"/>
      <c r="E4482" s="418"/>
      <c r="F4482" s="418"/>
      <c r="G4482" s="419"/>
      <c r="H4482" s="420" t="s">
        <v>52</v>
      </c>
      <c r="I4482" s="421"/>
      <c r="J4482" s="396">
        <f>SUM(J4478:J4481)</f>
        <v>0</v>
      </c>
    </row>
    <row r="4483" spans="1:10" ht="13">
      <c r="A4483" s="27"/>
      <c r="B4483" s="110"/>
      <c r="D4483" s="406" t="s">
        <v>53</v>
      </c>
      <c r="E4483" s="13" t="s">
        <v>54</v>
      </c>
      <c r="F4483" s="14"/>
      <c r="G4483" s="15"/>
      <c r="H4483" s="451"/>
      <c r="I4483" s="412"/>
      <c r="J4483" s="16"/>
    </row>
    <row r="4484" spans="1:10" ht="13">
      <c r="A4484" s="27"/>
      <c r="B4484" s="110"/>
      <c r="D4484" s="409"/>
      <c r="E4484" s="13" t="s">
        <v>957</v>
      </c>
      <c r="F4484" s="14"/>
      <c r="G4484" s="410" t="s">
        <v>87</v>
      </c>
      <c r="H4484" s="411">
        <v>11.87</v>
      </c>
      <c r="I4484" s="412">
        <f>'BAHAN '!G283</f>
        <v>0</v>
      </c>
      <c r="J4484" s="16">
        <f>H4484*I4484</f>
        <v>0</v>
      </c>
    </row>
    <row r="4485" spans="1:10" ht="13">
      <c r="A4485" s="27"/>
      <c r="B4485" s="110"/>
      <c r="D4485" s="409"/>
      <c r="E4485" s="13" t="s">
        <v>56</v>
      </c>
      <c r="F4485" s="14"/>
      <c r="G4485" s="410" t="s">
        <v>57</v>
      </c>
      <c r="H4485" s="411">
        <v>14.15</v>
      </c>
      <c r="I4485" s="412">
        <f>'BAHAN '!G72</f>
        <v>0</v>
      </c>
      <c r="J4485" s="16">
        <f>H4485*I4485</f>
        <v>0</v>
      </c>
    </row>
    <row r="4486" spans="1:10" ht="13">
      <c r="A4486" s="27"/>
      <c r="B4486" s="110"/>
      <c r="D4486" s="409"/>
      <c r="E4486" s="13" t="s">
        <v>101</v>
      </c>
      <c r="F4486" s="14"/>
      <c r="G4486" s="410" t="s">
        <v>170</v>
      </c>
      <c r="H4486" s="411">
        <v>3.9E-2</v>
      </c>
      <c r="I4486" s="412">
        <f>'BAHAN '!G59</f>
        <v>0</v>
      </c>
      <c r="J4486" s="16">
        <f>H4486*I4486</f>
        <v>0</v>
      </c>
    </row>
    <row r="4487" spans="1:10" ht="13.5" thickBot="1">
      <c r="A4487" s="27"/>
      <c r="B4487" s="110"/>
      <c r="D4487" s="409"/>
      <c r="E4487" s="13" t="s">
        <v>442</v>
      </c>
      <c r="F4487" s="14"/>
      <c r="G4487" s="410" t="s">
        <v>57</v>
      </c>
      <c r="H4487" s="411">
        <v>2</v>
      </c>
      <c r="I4487" s="412">
        <f>'BAHAN '!G74</f>
        <v>0</v>
      </c>
      <c r="J4487" s="16">
        <f>H4487*I4487</f>
        <v>0</v>
      </c>
    </row>
    <row r="4488" spans="1:10" ht="13.5" thickBot="1">
      <c r="A4488" s="27"/>
      <c r="B4488" s="110"/>
      <c r="D4488" s="417"/>
      <c r="E4488" s="418"/>
      <c r="F4488" s="418"/>
      <c r="G4488" s="419"/>
      <c r="H4488" s="420" t="s">
        <v>64</v>
      </c>
      <c r="I4488" s="421"/>
      <c r="J4488" s="396">
        <f>SUM(J4484:J4487)</f>
        <v>0</v>
      </c>
    </row>
    <row r="4489" spans="1:10" ht="13.5" thickBot="1">
      <c r="A4489" s="27"/>
      <c r="B4489" s="110"/>
      <c r="D4489" s="406" t="s">
        <v>65</v>
      </c>
      <c r="E4489" s="13" t="s">
        <v>66</v>
      </c>
      <c r="F4489" s="14"/>
      <c r="G4489" s="15"/>
      <c r="H4489" s="451"/>
      <c r="I4489" s="412">
        <f>IF(AND(E4489&lt;&gt;"",G4489&lt;&gt;""),IF(D4489="",IF(G4489="OH",VLOOKUP(E4489,UPAH!$C$4:$H$31,7,0),VLOOKUP(E4489,#REF!,4,0)),0),0)</f>
        <v>0</v>
      </c>
      <c r="J4489" s="16">
        <f>H4489*I4489</f>
        <v>0</v>
      </c>
    </row>
    <row r="4490" spans="1:10" ht="13.5" thickBot="1">
      <c r="A4490" s="27"/>
      <c r="B4490" s="110"/>
      <c r="D4490" s="417"/>
      <c r="E4490" s="418"/>
      <c r="F4490" s="418"/>
      <c r="G4490" s="419"/>
      <c r="H4490" s="420" t="s">
        <v>67</v>
      </c>
      <c r="I4490" s="421"/>
      <c r="J4490" s="396">
        <f>J4489</f>
        <v>0</v>
      </c>
    </row>
    <row r="4491" spans="1:10" ht="13">
      <c r="A4491" s="27"/>
      <c r="B4491" s="110"/>
      <c r="D4491" s="444" t="s">
        <v>68</v>
      </c>
      <c r="E4491" s="445" t="s">
        <v>69</v>
      </c>
      <c r="F4491" s="446"/>
      <c r="G4491" s="447"/>
      <c r="H4491" s="448"/>
      <c r="I4491" s="449">
        <f>IF(AND(E4491&lt;&gt;"",G4491&lt;&gt;""),IF(D4491="",IF(G4491="OH",VLOOKUP(E4491,UPAH!$C$4:$H$31,7,0),VLOOKUP(E4491,#REF!,4,0)),0),0)</f>
        <v>0</v>
      </c>
      <c r="J4491" s="16">
        <f>SUM(J4478:J4490)/2</f>
        <v>0</v>
      </c>
    </row>
    <row r="4492" spans="1:10" ht="13.5" thickBot="1">
      <c r="A4492" s="27"/>
      <c r="B4492" s="110"/>
      <c r="D4492" s="431" t="s">
        <v>70</v>
      </c>
      <c r="E4492" s="432" t="s">
        <v>477</v>
      </c>
      <c r="F4492" s="433"/>
      <c r="G4492" s="434"/>
      <c r="H4492" s="22">
        <v>0.1</v>
      </c>
      <c r="I4492" s="436"/>
      <c r="J4492" s="430">
        <f>H4492*J4491</f>
        <v>0</v>
      </c>
    </row>
    <row r="4493" spans="1:10" ht="13.5" thickBot="1">
      <c r="A4493" s="27"/>
      <c r="B4493" s="110"/>
      <c r="D4493" s="401" t="s">
        <v>71</v>
      </c>
      <c r="E4493" s="402" t="s">
        <v>72</v>
      </c>
      <c r="F4493" s="418"/>
      <c r="G4493" s="419"/>
      <c r="H4493" s="442"/>
      <c r="I4493" s="421">
        <f>IF(AND(E4493&lt;&gt;"",G4493&lt;&gt;""),IF(D4493="",IF(G4493="OH",VLOOKUP(E4493,UPAH!$C$4:$H$31,7,0),VLOOKUP(E4493,#REF!,4,0)),0),0)</f>
        <v>0</v>
      </c>
      <c r="J4493" s="396">
        <f>ROUNDDOWN(J4491+J4492,0)</f>
        <v>0</v>
      </c>
    </row>
    <row r="4494" spans="1:10" ht="13">
      <c r="A4494" s="27"/>
      <c r="B4494" s="110"/>
      <c r="D4494" s="11"/>
      <c r="E4494" s="11"/>
      <c r="H4494" s="443"/>
    </row>
    <row r="4495" spans="1:10" ht="13.5" thickBot="1">
      <c r="A4495" s="27"/>
      <c r="B4495" s="110"/>
      <c r="C4495" s="11" t="s">
        <v>958</v>
      </c>
      <c r="D4495" s="10" t="s">
        <v>959</v>
      </c>
      <c r="H4495" s="443"/>
    </row>
    <row r="4496" spans="1:10" ht="13.5" thickBot="1">
      <c r="A4496" s="27"/>
      <c r="B4496" s="110"/>
      <c r="D4496" s="401" t="s">
        <v>40</v>
      </c>
      <c r="E4496" s="402" t="s">
        <v>41</v>
      </c>
      <c r="F4496" s="402" t="s">
        <v>42</v>
      </c>
      <c r="G4496" s="403" t="s">
        <v>43</v>
      </c>
      <c r="H4496" s="404" t="s">
        <v>44</v>
      </c>
      <c r="I4496" s="402" t="s">
        <v>474</v>
      </c>
      <c r="J4496" s="405" t="s">
        <v>475</v>
      </c>
    </row>
    <row r="4497" spans="1:10" ht="13">
      <c r="A4497" s="27"/>
      <c r="B4497" s="110"/>
      <c r="D4497" s="406" t="s">
        <v>45</v>
      </c>
      <c r="E4497" s="13" t="s">
        <v>46</v>
      </c>
      <c r="F4497" s="14"/>
      <c r="G4497" s="15"/>
      <c r="H4497" s="451"/>
      <c r="I4497" s="412"/>
      <c r="J4497" s="16"/>
    </row>
    <row r="4498" spans="1:10" ht="13">
      <c r="A4498" s="27"/>
      <c r="B4498" s="110"/>
      <c r="D4498" s="409"/>
      <c r="E4498" s="13" t="s">
        <v>47</v>
      </c>
      <c r="F4498" s="13" t="s">
        <v>1918</v>
      </c>
      <c r="G4498" s="410" t="s">
        <v>48</v>
      </c>
      <c r="H4498" s="411">
        <v>0.09</v>
      </c>
      <c r="I4498" s="412">
        <f>IF(AND(E4498&lt;&gt;"",G4498&lt;&gt;""),IF(D4498="",IF(G4498="OH",VLOOKUP(F4498,UPAH!$B$4:$H$101,7,0),VLOOKUP(F4498,#REF!,4,0)),0),0)</f>
        <v>0</v>
      </c>
      <c r="J4498" s="16">
        <f>H4498*I4498</f>
        <v>0</v>
      </c>
    </row>
    <row r="4499" spans="1:10" ht="13">
      <c r="A4499" s="27"/>
      <c r="B4499" s="110"/>
      <c r="D4499" s="409"/>
      <c r="E4499" s="13" t="s">
        <v>115</v>
      </c>
      <c r="F4499" s="13" t="s">
        <v>1921</v>
      </c>
      <c r="G4499" s="410" t="s">
        <v>48</v>
      </c>
      <c r="H4499" s="411">
        <v>0.09</v>
      </c>
      <c r="I4499" s="412">
        <f>IF(AND(E4499&lt;&gt;"",G4499&lt;&gt;""),IF(D4499="",IF(G4499="OH",VLOOKUP(F4499,UPAH!$B$4:$H$101,7,0),VLOOKUP(F4499,#REF!,4,0)),0),0)</f>
        <v>0</v>
      </c>
      <c r="J4499" s="16">
        <f>H4499*I4499</f>
        <v>0</v>
      </c>
    </row>
    <row r="4500" spans="1:10" ht="13">
      <c r="A4500" s="27"/>
      <c r="B4500" s="110"/>
      <c r="D4500" s="409"/>
      <c r="E4500" s="13" t="s">
        <v>50</v>
      </c>
      <c r="F4500" s="13" t="s">
        <v>1928</v>
      </c>
      <c r="G4500" s="410" t="s">
        <v>48</v>
      </c>
      <c r="H4500" s="411">
        <v>3.5000000000000003E-2</v>
      </c>
      <c r="I4500" s="412">
        <f>IF(AND(E4500&lt;&gt;"",G4500&lt;&gt;""),IF(D4500="",IF(G4500="OH",VLOOKUP(F4500,UPAH!$B$4:$H$101,7,0),VLOOKUP(F4500,#REF!,4,0)),0),0)</f>
        <v>0</v>
      </c>
      <c r="J4500" s="16">
        <f>H4500*I4500</f>
        <v>0</v>
      </c>
    </row>
    <row r="4501" spans="1:10" ht="13.5" thickBot="1">
      <c r="A4501" s="27"/>
      <c r="B4501" s="110"/>
      <c r="D4501" s="409"/>
      <c r="E4501" s="13" t="s">
        <v>51</v>
      </c>
      <c r="F4501" s="13" t="s">
        <v>1929</v>
      </c>
      <c r="G4501" s="410" t="s">
        <v>48</v>
      </c>
      <c r="H4501" s="411">
        <v>5.0000000000000001E-3</v>
      </c>
      <c r="I4501" s="412">
        <f>IF(AND(E4501&lt;&gt;"",G4501&lt;&gt;""),IF(D4501="",IF(G4501="OH",VLOOKUP(F4501,UPAH!$B$4:$H$101,7,0),VLOOKUP(F4501,#REF!,4,0)),0),0)</f>
        <v>0</v>
      </c>
      <c r="J4501" s="16">
        <f>H4501*I4501</f>
        <v>0</v>
      </c>
    </row>
    <row r="4502" spans="1:10" ht="13.5" thickBot="1">
      <c r="A4502" s="27"/>
      <c r="B4502" s="110"/>
      <c r="D4502" s="417"/>
      <c r="E4502" s="418"/>
      <c r="F4502" s="418"/>
      <c r="G4502" s="419"/>
      <c r="H4502" s="420" t="s">
        <v>52</v>
      </c>
      <c r="I4502" s="421"/>
      <c r="J4502" s="396">
        <f>SUM(J4498:J4501)</f>
        <v>0</v>
      </c>
    </row>
    <row r="4503" spans="1:10" ht="13">
      <c r="A4503" s="27"/>
      <c r="B4503" s="110"/>
      <c r="D4503" s="406" t="s">
        <v>53</v>
      </c>
      <c r="E4503" s="13" t="s">
        <v>54</v>
      </c>
      <c r="F4503" s="14"/>
      <c r="G4503" s="15"/>
      <c r="H4503" s="451"/>
      <c r="I4503" s="412"/>
      <c r="J4503" s="16"/>
    </row>
    <row r="4504" spans="1:10" ht="13">
      <c r="A4504" s="27"/>
      <c r="B4504" s="110"/>
      <c r="D4504" s="409"/>
      <c r="E4504" s="13" t="s">
        <v>960</v>
      </c>
      <c r="F4504" s="14"/>
      <c r="G4504" s="410" t="s">
        <v>87</v>
      </c>
      <c r="H4504" s="411">
        <v>5.3</v>
      </c>
      <c r="I4504" s="412">
        <f>'BAHAN '!G300</f>
        <v>0</v>
      </c>
      <c r="J4504" s="16">
        <f>H4504*I4504</f>
        <v>0</v>
      </c>
    </row>
    <row r="4505" spans="1:10" ht="13">
      <c r="A4505" s="27"/>
      <c r="B4505" s="110"/>
      <c r="D4505" s="409"/>
      <c r="E4505" s="13" t="s">
        <v>56</v>
      </c>
      <c r="F4505" s="14"/>
      <c r="G4505" s="410" t="s">
        <v>57</v>
      </c>
      <c r="H4505" s="411">
        <v>1.1399999999999999</v>
      </c>
      <c r="I4505" s="412">
        <f>'BAHAN '!G72</f>
        <v>0</v>
      </c>
      <c r="J4505" s="16">
        <f>H4505*I4505</f>
        <v>0</v>
      </c>
    </row>
    <row r="4506" spans="1:10" ht="13">
      <c r="A4506" s="27"/>
      <c r="B4506" s="110"/>
      <c r="D4506" s="409"/>
      <c r="E4506" s="13" t="s">
        <v>101</v>
      </c>
      <c r="F4506" s="14"/>
      <c r="G4506" s="410" t="s">
        <v>170</v>
      </c>
      <c r="H4506" s="411">
        <v>3.0000000000000001E-3</v>
      </c>
      <c r="I4506" s="412">
        <f>'BAHAN '!G59</f>
        <v>0</v>
      </c>
      <c r="J4506" s="16">
        <f>H4506*I4506</f>
        <v>0</v>
      </c>
    </row>
    <row r="4507" spans="1:10" ht="13.5" thickBot="1">
      <c r="A4507" s="27"/>
      <c r="B4507" s="110"/>
      <c r="D4507" s="409"/>
      <c r="E4507" s="13" t="s">
        <v>442</v>
      </c>
      <c r="F4507" s="14"/>
      <c r="G4507" s="410" t="s">
        <v>57</v>
      </c>
      <c r="H4507" s="411">
        <v>2.5000000000000001E-2</v>
      </c>
      <c r="I4507" s="412">
        <f>'BAHAN '!G74</f>
        <v>0</v>
      </c>
      <c r="J4507" s="16">
        <f>H4507*I4507</f>
        <v>0</v>
      </c>
    </row>
    <row r="4508" spans="1:10" ht="13.5" thickBot="1">
      <c r="A4508" s="27"/>
      <c r="B4508" s="110"/>
      <c r="D4508" s="417"/>
      <c r="E4508" s="418"/>
      <c r="F4508" s="418"/>
      <c r="G4508" s="419"/>
      <c r="H4508" s="420" t="s">
        <v>64</v>
      </c>
      <c r="I4508" s="421"/>
      <c r="J4508" s="396">
        <f>SUM(J4504:J4507)</f>
        <v>0</v>
      </c>
    </row>
    <row r="4509" spans="1:10" ht="13.5" thickBot="1">
      <c r="A4509" s="27"/>
      <c r="B4509" s="110"/>
      <c r="D4509" s="406" t="s">
        <v>65</v>
      </c>
      <c r="E4509" s="13" t="s">
        <v>66</v>
      </c>
      <c r="F4509" s="14"/>
      <c r="G4509" s="15"/>
      <c r="H4509" s="451"/>
      <c r="I4509" s="412">
        <f>IF(AND(E4509&lt;&gt;"",G4509&lt;&gt;""),IF(D4509="",IF(G4509="OH",VLOOKUP(E4509,UPAH!$C$4:$H$31,7,0),VLOOKUP(E4509,#REF!,4,0)),0),0)</f>
        <v>0</v>
      </c>
      <c r="J4509" s="16">
        <f>H4509*I4509</f>
        <v>0</v>
      </c>
    </row>
    <row r="4510" spans="1:10" ht="13.5" thickBot="1">
      <c r="A4510" s="27"/>
      <c r="B4510" s="110"/>
      <c r="D4510" s="417"/>
      <c r="E4510" s="418"/>
      <c r="F4510" s="418"/>
      <c r="G4510" s="419"/>
      <c r="H4510" s="420" t="s">
        <v>67</v>
      </c>
      <c r="I4510" s="421"/>
      <c r="J4510" s="396">
        <f>J4509</f>
        <v>0</v>
      </c>
    </row>
    <row r="4511" spans="1:10" ht="13">
      <c r="A4511" s="27"/>
      <c r="B4511" s="110"/>
      <c r="D4511" s="444" t="s">
        <v>68</v>
      </c>
      <c r="E4511" s="445" t="s">
        <v>69</v>
      </c>
      <c r="F4511" s="446"/>
      <c r="G4511" s="447"/>
      <c r="H4511" s="448"/>
      <c r="I4511" s="449">
        <f>IF(AND(E4511&lt;&gt;"",G4511&lt;&gt;""),IF(D4511="",IF(G4511="OH",VLOOKUP(E4511,UPAH!$C$4:$H$31,7,0),VLOOKUP(E4511,#REF!,4,0)),0),0)</f>
        <v>0</v>
      </c>
      <c r="J4511" s="16">
        <f>SUM(J4498:J4510)/2</f>
        <v>0</v>
      </c>
    </row>
    <row r="4512" spans="1:10" ht="13.5" thickBot="1">
      <c r="A4512" s="27"/>
      <c r="B4512" s="110"/>
      <c r="D4512" s="431" t="s">
        <v>70</v>
      </c>
      <c r="E4512" s="432" t="s">
        <v>477</v>
      </c>
      <c r="F4512" s="433"/>
      <c r="G4512" s="434"/>
      <c r="H4512" s="22">
        <v>0.1</v>
      </c>
      <c r="I4512" s="436"/>
      <c r="J4512" s="430">
        <f>H4512*J4511</f>
        <v>0</v>
      </c>
    </row>
    <row r="4513" spans="1:10" ht="13.5" thickBot="1">
      <c r="A4513" s="27"/>
      <c r="B4513" s="110"/>
      <c r="D4513" s="401" t="s">
        <v>71</v>
      </c>
      <c r="E4513" s="402" t="s">
        <v>72</v>
      </c>
      <c r="F4513" s="418"/>
      <c r="G4513" s="419"/>
      <c r="H4513" s="442"/>
      <c r="I4513" s="421">
        <f>IF(AND(E4513&lt;&gt;"",G4513&lt;&gt;""),IF(D4513="",IF(G4513="OH",VLOOKUP(E4513,UPAH!$C$4:$H$31,7,0),VLOOKUP(E4513,#REF!,4,0)),0),0)</f>
        <v>0</v>
      </c>
      <c r="J4513" s="396">
        <f>ROUNDDOWN(J4511+J4512,0)</f>
        <v>0</v>
      </c>
    </row>
    <row r="4514" spans="1:10" ht="13">
      <c r="A4514" s="27"/>
      <c r="B4514" s="110"/>
      <c r="D4514" s="11"/>
      <c r="E4514" s="11"/>
      <c r="H4514" s="443"/>
    </row>
    <row r="4515" spans="1:10" ht="13.5" thickBot="1">
      <c r="A4515" s="27"/>
      <c r="B4515" s="110"/>
      <c r="C4515" s="11" t="s">
        <v>961</v>
      </c>
      <c r="D4515" s="10" t="s">
        <v>962</v>
      </c>
      <c r="H4515" s="443"/>
    </row>
    <row r="4516" spans="1:10" ht="13.5" thickBot="1">
      <c r="A4516" s="27"/>
      <c r="B4516" s="110"/>
      <c r="D4516" s="401" t="s">
        <v>40</v>
      </c>
      <c r="E4516" s="402" t="s">
        <v>41</v>
      </c>
      <c r="F4516" s="402" t="s">
        <v>42</v>
      </c>
      <c r="G4516" s="403" t="s">
        <v>43</v>
      </c>
      <c r="H4516" s="404" t="s">
        <v>44</v>
      </c>
      <c r="I4516" s="402" t="s">
        <v>474</v>
      </c>
      <c r="J4516" s="405" t="s">
        <v>475</v>
      </c>
    </row>
    <row r="4517" spans="1:10" ht="13">
      <c r="A4517" s="27"/>
      <c r="B4517" s="110"/>
      <c r="D4517" s="406" t="s">
        <v>45</v>
      </c>
      <c r="E4517" s="13" t="s">
        <v>46</v>
      </c>
      <c r="F4517" s="14"/>
      <c r="G4517" s="15"/>
      <c r="H4517" s="451"/>
      <c r="I4517" s="412"/>
      <c r="J4517" s="16"/>
    </row>
    <row r="4518" spans="1:10" ht="13">
      <c r="A4518" s="27"/>
      <c r="B4518" s="110"/>
      <c r="D4518" s="409"/>
      <c r="E4518" s="13" t="s">
        <v>47</v>
      </c>
      <c r="F4518" s="13" t="s">
        <v>1918</v>
      </c>
      <c r="G4518" s="410" t="s">
        <v>48</v>
      </c>
      <c r="H4518" s="411">
        <v>0.09</v>
      </c>
      <c r="I4518" s="412">
        <f>IF(AND(E4518&lt;&gt;"",G4518&lt;&gt;""),IF(D4518="",IF(G4518="OH",VLOOKUP(F4518,UPAH!$B$4:$H$101,7,0),VLOOKUP(F4518,#REF!,4,0)),0),0)</f>
        <v>0</v>
      </c>
      <c r="J4518" s="16">
        <f>H4518*I4518</f>
        <v>0</v>
      </c>
    </row>
    <row r="4519" spans="1:10" ht="13">
      <c r="A4519" s="27"/>
      <c r="B4519" s="110"/>
      <c r="D4519" s="409"/>
      <c r="E4519" s="13" t="s">
        <v>115</v>
      </c>
      <c r="F4519" s="13" t="s">
        <v>1921</v>
      </c>
      <c r="G4519" s="410" t="s">
        <v>48</v>
      </c>
      <c r="H4519" s="411">
        <v>0.09</v>
      </c>
      <c r="I4519" s="412">
        <f>IF(AND(E4519&lt;&gt;"",G4519&lt;&gt;""),IF(D4519="",IF(G4519="OH",VLOOKUP(F4519,UPAH!$B$4:$H$101,7,0),VLOOKUP(F4519,#REF!,4,0)),0),0)</f>
        <v>0</v>
      </c>
      <c r="J4519" s="16">
        <f>H4519*I4519</f>
        <v>0</v>
      </c>
    </row>
    <row r="4520" spans="1:10" ht="13">
      <c r="A4520" s="27"/>
      <c r="B4520" s="110"/>
      <c r="D4520" s="409"/>
      <c r="E4520" s="13" t="s">
        <v>50</v>
      </c>
      <c r="F4520" s="13" t="s">
        <v>1928</v>
      </c>
      <c r="G4520" s="410" t="s">
        <v>48</v>
      </c>
      <c r="H4520" s="411">
        <v>3.5000000000000003E-2</v>
      </c>
      <c r="I4520" s="412">
        <f>IF(AND(E4520&lt;&gt;"",G4520&lt;&gt;""),IF(D4520="",IF(G4520="OH",VLOOKUP(F4520,UPAH!$B$4:$H$101,7,0),VLOOKUP(F4520,#REF!,4,0)),0),0)</f>
        <v>0</v>
      </c>
      <c r="J4520" s="16">
        <f>H4520*I4520</f>
        <v>0</v>
      </c>
    </row>
    <row r="4521" spans="1:10" ht="13.5" thickBot="1">
      <c r="A4521" s="27"/>
      <c r="B4521" s="110"/>
      <c r="D4521" s="409"/>
      <c r="E4521" s="13" t="s">
        <v>51</v>
      </c>
      <c r="F4521" s="13" t="s">
        <v>1929</v>
      </c>
      <c r="G4521" s="410" t="s">
        <v>48</v>
      </c>
      <c r="H4521" s="411">
        <v>5.0000000000000001E-3</v>
      </c>
      <c r="I4521" s="412">
        <f>IF(AND(E4521&lt;&gt;"",G4521&lt;&gt;""),IF(D4521="",IF(G4521="OH",VLOOKUP(F4521,UPAH!$B$4:$H$101,7,0),VLOOKUP(F4521,#REF!,4,0)),0),0)</f>
        <v>0</v>
      </c>
      <c r="J4521" s="16">
        <f>H4521*I4521</f>
        <v>0</v>
      </c>
    </row>
    <row r="4522" spans="1:10" ht="13.5" thickBot="1">
      <c r="A4522" s="27"/>
      <c r="B4522" s="110"/>
      <c r="D4522" s="417"/>
      <c r="E4522" s="418"/>
      <c r="F4522" s="418"/>
      <c r="G4522" s="419"/>
      <c r="H4522" s="420" t="s">
        <v>52</v>
      </c>
      <c r="I4522" s="421"/>
      <c r="J4522" s="396">
        <f>SUM(J4518:J4521)</f>
        <v>0</v>
      </c>
    </row>
    <row r="4523" spans="1:10" ht="13">
      <c r="A4523" s="27"/>
      <c r="B4523" s="110"/>
      <c r="D4523" s="406" t="s">
        <v>53</v>
      </c>
      <c r="E4523" s="13" t="s">
        <v>54</v>
      </c>
      <c r="F4523" s="14"/>
      <c r="G4523" s="15"/>
      <c r="H4523" s="451"/>
      <c r="I4523" s="412"/>
      <c r="J4523" s="16"/>
    </row>
    <row r="4524" spans="1:10" ht="13">
      <c r="A4524" s="27"/>
      <c r="B4524" s="110"/>
      <c r="D4524" s="409"/>
      <c r="E4524" s="13" t="s">
        <v>963</v>
      </c>
      <c r="F4524" s="14"/>
      <c r="G4524" s="410" t="s">
        <v>87</v>
      </c>
      <c r="H4524" s="411">
        <v>10.6</v>
      </c>
      <c r="I4524" s="412">
        <f>'BAHAN '!G247</f>
        <v>0</v>
      </c>
      <c r="J4524" s="16">
        <f>H4524*I4524</f>
        <v>0</v>
      </c>
    </row>
    <row r="4525" spans="1:10" ht="13">
      <c r="A4525" s="27"/>
      <c r="B4525" s="110"/>
      <c r="D4525" s="409"/>
      <c r="E4525" s="13" t="s">
        <v>56</v>
      </c>
      <c r="F4525" s="14"/>
      <c r="G4525" s="410" t="s">
        <v>57</v>
      </c>
      <c r="H4525" s="411">
        <v>1.1399999999999999</v>
      </c>
      <c r="I4525" s="412">
        <f>'BAHAN '!G72</f>
        <v>0</v>
      </c>
      <c r="J4525" s="16">
        <f>H4525*I4525</f>
        <v>0</v>
      </c>
    </row>
    <row r="4526" spans="1:10" ht="13">
      <c r="A4526" s="27"/>
      <c r="B4526" s="110"/>
      <c r="D4526" s="409"/>
      <c r="E4526" s="13" t="s">
        <v>101</v>
      </c>
      <c r="F4526" s="14"/>
      <c r="G4526" s="410" t="s">
        <v>170</v>
      </c>
      <c r="H4526" s="411">
        <v>3.0000000000000001E-3</v>
      </c>
      <c r="I4526" s="412">
        <f>'BAHAN '!G59</f>
        <v>0</v>
      </c>
      <c r="J4526" s="16">
        <f>H4526*I4526</f>
        <v>0</v>
      </c>
    </row>
    <row r="4527" spans="1:10" ht="13.5" thickBot="1">
      <c r="A4527" s="27"/>
      <c r="B4527" s="110"/>
      <c r="D4527" s="409"/>
      <c r="E4527" s="13" t="s">
        <v>442</v>
      </c>
      <c r="F4527" s="14"/>
      <c r="G4527" s="410" t="s">
        <v>57</v>
      </c>
      <c r="H4527" s="411">
        <v>0.05</v>
      </c>
      <c r="I4527" s="412">
        <f>'BAHAN '!G74</f>
        <v>0</v>
      </c>
      <c r="J4527" s="16">
        <f>H4527*I4527</f>
        <v>0</v>
      </c>
    </row>
    <row r="4528" spans="1:10" ht="13.5" thickBot="1">
      <c r="A4528" s="27"/>
      <c r="B4528" s="110"/>
      <c r="D4528" s="417"/>
      <c r="E4528" s="418"/>
      <c r="F4528" s="418"/>
      <c r="G4528" s="419"/>
      <c r="H4528" s="420" t="s">
        <v>64</v>
      </c>
      <c r="I4528" s="421"/>
      <c r="J4528" s="396">
        <f>SUM(J4524:J4527)</f>
        <v>0</v>
      </c>
    </row>
    <row r="4529" spans="1:10" ht="13.5" thickBot="1">
      <c r="A4529" s="27"/>
      <c r="B4529" s="110"/>
      <c r="D4529" s="406" t="s">
        <v>65</v>
      </c>
      <c r="E4529" s="13" t="s">
        <v>66</v>
      </c>
      <c r="F4529" s="14"/>
      <c r="G4529" s="15"/>
      <c r="H4529" s="451"/>
      <c r="I4529" s="412">
        <f>IF(AND(E4529&lt;&gt;"",G4529&lt;&gt;""),IF(D4529="",IF(G4529="OH",VLOOKUP(E4529,UPAH!$C$4:$H$31,7,0),VLOOKUP(E4529,#REF!,4,0)),0),0)</f>
        <v>0</v>
      </c>
      <c r="J4529" s="16">
        <f>H4529*I4529</f>
        <v>0</v>
      </c>
    </row>
    <row r="4530" spans="1:10" ht="13.5" thickBot="1">
      <c r="A4530" s="27"/>
      <c r="B4530" s="110"/>
      <c r="D4530" s="417"/>
      <c r="E4530" s="418"/>
      <c r="F4530" s="418"/>
      <c r="G4530" s="419"/>
      <c r="H4530" s="420" t="s">
        <v>67</v>
      </c>
      <c r="I4530" s="421"/>
      <c r="J4530" s="396">
        <f>J4529</f>
        <v>0</v>
      </c>
    </row>
    <row r="4531" spans="1:10" ht="13">
      <c r="A4531" s="27"/>
      <c r="B4531" s="110"/>
      <c r="D4531" s="444" t="s">
        <v>68</v>
      </c>
      <c r="E4531" s="445" t="s">
        <v>69</v>
      </c>
      <c r="F4531" s="446"/>
      <c r="G4531" s="447"/>
      <c r="H4531" s="448"/>
      <c r="I4531" s="449">
        <f>IF(AND(E4531&lt;&gt;"",G4531&lt;&gt;""),IF(D4531="",IF(G4531="OH",VLOOKUP(E4531,UPAH!$C$4:$H$31,7,0),VLOOKUP(E4531,#REF!,4,0)),0),0)</f>
        <v>0</v>
      </c>
      <c r="J4531" s="16">
        <f>SUM(J4518:J4530)/2</f>
        <v>0</v>
      </c>
    </row>
    <row r="4532" spans="1:10" ht="13.5" thickBot="1">
      <c r="A4532" s="27"/>
      <c r="B4532" s="110"/>
      <c r="D4532" s="431" t="s">
        <v>70</v>
      </c>
      <c r="E4532" s="432" t="s">
        <v>477</v>
      </c>
      <c r="F4532" s="433"/>
      <c r="G4532" s="434"/>
      <c r="H4532" s="22">
        <v>0.1</v>
      </c>
      <c r="I4532" s="436"/>
      <c r="J4532" s="430">
        <f>H4532*J4531</f>
        <v>0</v>
      </c>
    </row>
    <row r="4533" spans="1:10" ht="13.5" thickBot="1">
      <c r="A4533" s="27"/>
      <c r="B4533" s="110"/>
      <c r="D4533" s="401" t="s">
        <v>71</v>
      </c>
      <c r="E4533" s="402" t="s">
        <v>72</v>
      </c>
      <c r="F4533" s="418"/>
      <c r="G4533" s="419"/>
      <c r="H4533" s="442"/>
      <c r="I4533" s="421">
        <f>IF(AND(E4533&lt;&gt;"",G4533&lt;&gt;""),IF(D4533="",IF(G4533="OH",VLOOKUP(E4533,UPAH!$C$4:$H$31,7,0),VLOOKUP(E4533,#REF!,4,0)),0),0)</f>
        <v>0</v>
      </c>
      <c r="J4533" s="396">
        <f>ROUNDDOWN(J4531+J4532,0)</f>
        <v>0</v>
      </c>
    </row>
    <row r="4534" spans="1:10" ht="13">
      <c r="A4534" s="27"/>
      <c r="B4534" s="110"/>
      <c r="D4534" s="11"/>
      <c r="E4534" s="11"/>
      <c r="H4534" s="443"/>
    </row>
    <row r="4535" spans="1:10" ht="13.5" thickBot="1">
      <c r="A4535" s="27"/>
      <c r="B4535" s="110"/>
      <c r="C4535" s="11" t="s">
        <v>964</v>
      </c>
      <c r="D4535" s="10" t="s">
        <v>965</v>
      </c>
      <c r="H4535" s="443"/>
    </row>
    <row r="4536" spans="1:10" ht="13.5" thickBot="1">
      <c r="A4536" s="27"/>
      <c r="B4536" s="110"/>
      <c r="D4536" s="401" t="s">
        <v>40</v>
      </c>
      <c r="E4536" s="402" t="s">
        <v>41</v>
      </c>
      <c r="F4536" s="402" t="s">
        <v>42</v>
      </c>
      <c r="G4536" s="403" t="s">
        <v>43</v>
      </c>
      <c r="H4536" s="404" t="s">
        <v>44</v>
      </c>
      <c r="I4536" s="402" t="s">
        <v>474</v>
      </c>
      <c r="J4536" s="405" t="s">
        <v>475</v>
      </c>
    </row>
    <row r="4537" spans="1:10" ht="13">
      <c r="A4537" s="27"/>
      <c r="B4537" s="110"/>
      <c r="D4537" s="406" t="s">
        <v>45</v>
      </c>
      <c r="E4537" s="13" t="s">
        <v>46</v>
      </c>
      <c r="F4537" s="14"/>
      <c r="G4537" s="15"/>
      <c r="H4537" s="451"/>
      <c r="I4537" s="412"/>
      <c r="J4537" s="16"/>
    </row>
    <row r="4538" spans="1:10" ht="13">
      <c r="A4538" s="27"/>
      <c r="B4538" s="110"/>
      <c r="D4538" s="409"/>
      <c r="E4538" s="13" t="s">
        <v>47</v>
      </c>
      <c r="F4538" s="13" t="s">
        <v>1918</v>
      </c>
      <c r="G4538" s="410" t="s">
        <v>48</v>
      </c>
      <c r="H4538" s="411">
        <v>0.09</v>
      </c>
      <c r="I4538" s="412">
        <f>IF(AND(E4538&lt;&gt;"",G4538&lt;&gt;""),IF(D4538="",IF(G4538="OH",VLOOKUP(F4538,UPAH!$B$4:$H$101,7,0),VLOOKUP(F4538,#REF!,4,0)),0),0)</f>
        <v>0</v>
      </c>
      <c r="J4538" s="16">
        <f>H4538*I4538</f>
        <v>0</v>
      </c>
    </row>
    <row r="4539" spans="1:10" ht="13">
      <c r="A4539" s="27"/>
      <c r="B4539" s="110"/>
      <c r="D4539" s="409"/>
      <c r="E4539" s="13" t="s">
        <v>115</v>
      </c>
      <c r="F4539" s="13" t="s">
        <v>1921</v>
      </c>
      <c r="G4539" s="410" t="s">
        <v>48</v>
      </c>
      <c r="H4539" s="411">
        <v>0.09</v>
      </c>
      <c r="I4539" s="412">
        <f>IF(AND(E4539&lt;&gt;"",G4539&lt;&gt;""),IF(D4539="",IF(G4539="OH",VLOOKUP(F4539,UPAH!$B$4:$H$101,7,0),VLOOKUP(F4539,#REF!,4,0)),0),0)</f>
        <v>0</v>
      </c>
      <c r="J4539" s="16">
        <f>H4539*I4539</f>
        <v>0</v>
      </c>
    </row>
    <row r="4540" spans="1:10" ht="13">
      <c r="A4540" s="27"/>
      <c r="B4540" s="110"/>
      <c r="D4540" s="409"/>
      <c r="E4540" s="13" t="s">
        <v>50</v>
      </c>
      <c r="F4540" s="13" t="s">
        <v>1928</v>
      </c>
      <c r="G4540" s="410" t="s">
        <v>48</v>
      </c>
      <c r="H4540" s="411">
        <v>3.5000000000000003E-2</v>
      </c>
      <c r="I4540" s="412">
        <f>IF(AND(E4540&lt;&gt;"",G4540&lt;&gt;""),IF(D4540="",IF(G4540="OH",VLOOKUP(F4540,UPAH!$B$4:$H$101,7,0),VLOOKUP(F4540,#REF!,4,0)),0),0)</f>
        <v>0</v>
      </c>
      <c r="J4540" s="16">
        <f>H4540*I4540</f>
        <v>0</v>
      </c>
    </row>
    <row r="4541" spans="1:10" ht="13.5" thickBot="1">
      <c r="A4541" s="27"/>
      <c r="B4541" s="110"/>
      <c r="D4541" s="409"/>
      <c r="E4541" s="13" t="s">
        <v>51</v>
      </c>
      <c r="F4541" s="13" t="s">
        <v>1929</v>
      </c>
      <c r="G4541" s="410" t="s">
        <v>48</v>
      </c>
      <c r="H4541" s="411">
        <v>5.0000000000000001E-3</v>
      </c>
      <c r="I4541" s="412">
        <f>IF(AND(E4541&lt;&gt;"",G4541&lt;&gt;""),IF(D4541="",IF(G4541="OH",VLOOKUP(F4541,UPAH!$B$4:$H$101,7,0),VLOOKUP(F4541,#REF!,4,0)),0),0)</f>
        <v>0</v>
      </c>
      <c r="J4541" s="16">
        <f>H4541*I4541</f>
        <v>0</v>
      </c>
    </row>
    <row r="4542" spans="1:10" ht="13.5" thickBot="1">
      <c r="A4542" s="27"/>
      <c r="B4542" s="110"/>
      <c r="D4542" s="417"/>
      <c r="E4542" s="418"/>
      <c r="F4542" s="418"/>
      <c r="G4542" s="419"/>
      <c r="H4542" s="420" t="s">
        <v>52</v>
      </c>
      <c r="I4542" s="421"/>
      <c r="J4542" s="396">
        <f>SUM(J4538:J4541)</f>
        <v>0</v>
      </c>
    </row>
    <row r="4543" spans="1:10" ht="13">
      <c r="A4543" s="27"/>
      <c r="B4543" s="110"/>
      <c r="D4543" s="406" t="s">
        <v>53</v>
      </c>
      <c r="E4543" s="13" t="s">
        <v>54</v>
      </c>
      <c r="F4543" s="14"/>
      <c r="G4543" s="15"/>
      <c r="H4543" s="451"/>
      <c r="I4543" s="412"/>
      <c r="J4543" s="16"/>
    </row>
    <row r="4544" spans="1:10" ht="13">
      <c r="A4544" s="27"/>
      <c r="B4544" s="110"/>
      <c r="D4544" s="409"/>
      <c r="E4544" s="13" t="s">
        <v>966</v>
      </c>
      <c r="F4544" s="14"/>
      <c r="G4544" s="410" t="s">
        <v>87</v>
      </c>
      <c r="H4544" s="411">
        <v>5.3</v>
      </c>
      <c r="I4544" s="412">
        <f>'BAHAN '!G247</f>
        <v>0</v>
      </c>
      <c r="J4544" s="16">
        <f>H4544*I4544</f>
        <v>0</v>
      </c>
    </row>
    <row r="4545" spans="1:10" ht="13">
      <c r="A4545" s="27"/>
      <c r="B4545" s="110"/>
      <c r="D4545" s="409"/>
      <c r="E4545" s="13" t="s">
        <v>56</v>
      </c>
      <c r="F4545" s="14"/>
      <c r="G4545" s="410" t="s">
        <v>57</v>
      </c>
      <c r="H4545" s="411">
        <v>0.56999999999999995</v>
      </c>
      <c r="I4545" s="412">
        <f>'BAHAN '!G72</f>
        <v>0</v>
      </c>
      <c r="J4545" s="16">
        <f>H4545*I4545</f>
        <v>0</v>
      </c>
    </row>
    <row r="4546" spans="1:10" ht="13">
      <c r="A4546" s="27"/>
      <c r="B4546" s="110"/>
      <c r="D4546" s="409"/>
      <c r="E4546" s="13" t="s">
        <v>101</v>
      </c>
      <c r="F4546" s="14"/>
      <c r="G4546" s="410" t="s">
        <v>170</v>
      </c>
      <c r="H4546" s="411">
        <v>1.5E-3</v>
      </c>
      <c r="I4546" s="412">
        <f>'BAHAN '!G59</f>
        <v>0</v>
      </c>
      <c r="J4546" s="16">
        <f>H4546*I4546</f>
        <v>0</v>
      </c>
    </row>
    <row r="4547" spans="1:10" ht="13.5" thickBot="1">
      <c r="A4547" s="27"/>
      <c r="B4547" s="110"/>
      <c r="D4547" s="409"/>
      <c r="E4547" s="13" t="s">
        <v>442</v>
      </c>
      <c r="F4547" s="14"/>
      <c r="G4547" s="410" t="s">
        <v>57</v>
      </c>
      <c r="H4547" s="411">
        <v>1.2999999999999999E-2</v>
      </c>
      <c r="I4547" s="412">
        <f>'BAHAN '!G74</f>
        <v>0</v>
      </c>
      <c r="J4547" s="16">
        <f>H4547*I4547</f>
        <v>0</v>
      </c>
    </row>
    <row r="4548" spans="1:10" ht="13.5" thickBot="1">
      <c r="A4548" s="27"/>
      <c r="B4548" s="110"/>
      <c r="D4548" s="417"/>
      <c r="E4548" s="418"/>
      <c r="F4548" s="418"/>
      <c r="G4548" s="419"/>
      <c r="H4548" s="420" t="s">
        <v>64</v>
      </c>
      <c r="I4548" s="421"/>
      <c r="J4548" s="396">
        <f>SUM(J4544:J4547)</f>
        <v>0</v>
      </c>
    </row>
    <row r="4549" spans="1:10" ht="13.5" thickBot="1">
      <c r="A4549" s="27"/>
      <c r="B4549" s="110"/>
      <c r="D4549" s="406" t="s">
        <v>65</v>
      </c>
      <c r="E4549" s="13" t="s">
        <v>66</v>
      </c>
      <c r="F4549" s="14"/>
      <c r="G4549" s="15"/>
      <c r="H4549" s="451"/>
      <c r="I4549" s="412">
        <f>IF(AND(E4549&lt;&gt;"",G4549&lt;&gt;""),IF(D4549="",IF(G4549="OH",VLOOKUP(E4549,UPAH!$C$4:$H$31,7,0),VLOOKUP(E4549,#REF!,4,0)),0),0)</f>
        <v>0</v>
      </c>
      <c r="J4549" s="16">
        <f>H4549*I4549</f>
        <v>0</v>
      </c>
    </row>
    <row r="4550" spans="1:10" ht="13.5" thickBot="1">
      <c r="A4550" s="27"/>
      <c r="B4550" s="110"/>
      <c r="D4550" s="417"/>
      <c r="E4550" s="418"/>
      <c r="F4550" s="418"/>
      <c r="G4550" s="419"/>
      <c r="H4550" s="420" t="s">
        <v>67</v>
      </c>
      <c r="I4550" s="421"/>
      <c r="J4550" s="396">
        <f>J4549</f>
        <v>0</v>
      </c>
    </row>
    <row r="4551" spans="1:10" ht="13">
      <c r="A4551" s="27"/>
      <c r="B4551" s="110"/>
      <c r="D4551" s="444" t="s">
        <v>68</v>
      </c>
      <c r="E4551" s="445" t="s">
        <v>69</v>
      </c>
      <c r="F4551" s="446"/>
      <c r="G4551" s="447"/>
      <c r="H4551" s="448"/>
      <c r="I4551" s="449">
        <f>IF(AND(E4551&lt;&gt;"",G4551&lt;&gt;""),IF(D4551="",IF(G4551="OH",VLOOKUP(E4551,UPAH!$C$4:$H$31,7,0),VLOOKUP(E4551,#REF!,4,0)),0),0)</f>
        <v>0</v>
      </c>
      <c r="J4551" s="16">
        <f>SUM(J4538:J4550)/2</f>
        <v>0</v>
      </c>
    </row>
    <row r="4552" spans="1:10" ht="13.5" thickBot="1">
      <c r="A4552" s="27"/>
      <c r="B4552" s="110"/>
      <c r="D4552" s="431" t="s">
        <v>70</v>
      </c>
      <c r="E4552" s="432" t="s">
        <v>477</v>
      </c>
      <c r="F4552" s="433"/>
      <c r="G4552" s="434"/>
      <c r="H4552" s="22">
        <v>0.1</v>
      </c>
      <c r="I4552" s="436"/>
      <c r="J4552" s="430">
        <f>H4552*J4551</f>
        <v>0</v>
      </c>
    </row>
    <row r="4553" spans="1:10" ht="13.5" thickBot="1">
      <c r="A4553" s="27"/>
      <c r="B4553" s="110"/>
      <c r="D4553" s="401" t="s">
        <v>71</v>
      </c>
      <c r="E4553" s="402" t="s">
        <v>72</v>
      </c>
      <c r="F4553" s="418"/>
      <c r="G4553" s="419"/>
      <c r="H4553" s="442"/>
      <c r="I4553" s="421">
        <f>IF(AND(E4553&lt;&gt;"",G4553&lt;&gt;""),IF(D4553="",IF(G4553="OH",VLOOKUP(E4553,UPAH!$C$4:$H$31,7,0),VLOOKUP(E4553,#REF!,4,0)),0),0)</f>
        <v>0</v>
      </c>
      <c r="J4553" s="396">
        <f>ROUNDDOWN(J4551+J4552,0)</f>
        <v>0</v>
      </c>
    </row>
    <row r="4554" spans="1:10" ht="13">
      <c r="A4554" s="27"/>
      <c r="B4554" s="110"/>
      <c r="D4554" s="11"/>
      <c r="E4554" s="11"/>
      <c r="H4554" s="443"/>
    </row>
    <row r="4555" spans="1:10" ht="13.5" thickBot="1">
      <c r="A4555" s="27"/>
      <c r="B4555" s="110"/>
      <c r="C4555" s="11" t="s">
        <v>967</v>
      </c>
      <c r="D4555" s="10" t="s">
        <v>968</v>
      </c>
      <c r="H4555" s="443"/>
    </row>
    <row r="4556" spans="1:10" ht="13.5" thickBot="1">
      <c r="A4556" s="27"/>
      <c r="B4556" s="110"/>
      <c r="D4556" s="401" t="s">
        <v>40</v>
      </c>
      <c r="E4556" s="402" t="s">
        <v>41</v>
      </c>
      <c r="F4556" s="402" t="s">
        <v>42</v>
      </c>
      <c r="G4556" s="403" t="s">
        <v>43</v>
      </c>
      <c r="H4556" s="404" t="s">
        <v>44</v>
      </c>
      <c r="I4556" s="402" t="s">
        <v>474</v>
      </c>
      <c r="J4556" s="405" t="s">
        <v>475</v>
      </c>
    </row>
    <row r="4557" spans="1:10" ht="13">
      <c r="A4557" s="27"/>
      <c r="B4557" s="110"/>
      <c r="D4557" s="406" t="s">
        <v>45</v>
      </c>
      <c r="E4557" s="13" t="s">
        <v>46</v>
      </c>
      <c r="F4557" s="14"/>
      <c r="G4557" s="15"/>
      <c r="H4557" s="451"/>
      <c r="I4557" s="412"/>
      <c r="J4557" s="16"/>
    </row>
    <row r="4558" spans="1:10" ht="13">
      <c r="A4558" s="27"/>
      <c r="B4558" s="110"/>
      <c r="D4558" s="409"/>
      <c r="E4558" s="13" t="s">
        <v>47</v>
      </c>
      <c r="F4558" s="13" t="s">
        <v>1918</v>
      </c>
      <c r="G4558" s="410" t="s">
        <v>48</v>
      </c>
      <c r="H4558" s="411">
        <v>0.75</v>
      </c>
      <c r="I4558" s="412">
        <f>IF(AND(E4558&lt;&gt;"",G4558&lt;&gt;""),IF(D4558="",IF(G4558="OH",VLOOKUP(F4558,UPAH!$B$4:$H$101,7,0),VLOOKUP(F4558,#REF!,4,0)),0),0)</f>
        <v>0</v>
      </c>
      <c r="J4558" s="16">
        <f>H4558*I4558</f>
        <v>0</v>
      </c>
    </row>
    <row r="4559" spans="1:10" ht="13">
      <c r="A4559" s="27"/>
      <c r="B4559" s="110"/>
      <c r="D4559" s="409"/>
      <c r="E4559" s="13" t="s">
        <v>115</v>
      </c>
      <c r="F4559" s="13" t="s">
        <v>1921</v>
      </c>
      <c r="G4559" s="410" t="s">
        <v>48</v>
      </c>
      <c r="H4559" s="411">
        <v>0.75</v>
      </c>
      <c r="I4559" s="412">
        <f>IF(AND(E4559&lt;&gt;"",G4559&lt;&gt;""),IF(D4559="",IF(G4559="OH",VLOOKUP(F4559,UPAH!$B$4:$H$101,7,0),VLOOKUP(F4559,#REF!,4,0)),0),0)</f>
        <v>0</v>
      </c>
      <c r="J4559" s="16">
        <f>H4559*I4559</f>
        <v>0</v>
      </c>
    </row>
    <row r="4560" spans="1:10" ht="13">
      <c r="A4560" s="27"/>
      <c r="B4560" s="110"/>
      <c r="D4560" s="409"/>
      <c r="E4560" s="13" t="s">
        <v>50</v>
      </c>
      <c r="F4560" s="13" t="s">
        <v>1928</v>
      </c>
      <c r="G4560" s="410" t="s">
        <v>48</v>
      </c>
      <c r="H4560" s="411">
        <v>7.4999999999999997E-2</v>
      </c>
      <c r="I4560" s="412">
        <f>IF(AND(E4560&lt;&gt;"",G4560&lt;&gt;""),IF(D4560="",IF(G4560="OH",VLOOKUP(F4560,UPAH!$B$4:$H$101,7,0),VLOOKUP(F4560,#REF!,4,0)),0),0)</f>
        <v>0</v>
      </c>
      <c r="J4560" s="16">
        <f>H4560*I4560</f>
        <v>0</v>
      </c>
    </row>
    <row r="4561" spans="1:10" ht="13.5" thickBot="1">
      <c r="A4561" s="27"/>
      <c r="B4561" s="110"/>
      <c r="D4561" s="409"/>
      <c r="E4561" s="13" t="s">
        <v>51</v>
      </c>
      <c r="F4561" s="13" t="s">
        <v>1929</v>
      </c>
      <c r="G4561" s="410" t="s">
        <v>48</v>
      </c>
      <c r="H4561" s="411">
        <v>3.7999999999999999E-2</v>
      </c>
      <c r="I4561" s="412">
        <f>IF(AND(E4561&lt;&gt;"",G4561&lt;&gt;""),IF(D4561="",IF(G4561="OH",VLOOKUP(F4561,UPAH!$B$4:$H$101,7,0),VLOOKUP(F4561,#REF!,4,0)),0),0)</f>
        <v>0</v>
      </c>
      <c r="J4561" s="16">
        <f>H4561*I4561</f>
        <v>0</v>
      </c>
    </row>
    <row r="4562" spans="1:10" ht="13.5" thickBot="1">
      <c r="A4562" s="27"/>
      <c r="B4562" s="110"/>
      <c r="D4562" s="417"/>
      <c r="E4562" s="418"/>
      <c r="F4562" s="418"/>
      <c r="G4562" s="419"/>
      <c r="H4562" s="420" t="s">
        <v>52</v>
      </c>
      <c r="I4562" s="421"/>
      <c r="J4562" s="396">
        <f>SUM(J4558:J4561)</f>
        <v>0</v>
      </c>
    </row>
    <row r="4563" spans="1:10" ht="13">
      <c r="A4563" s="27"/>
      <c r="B4563" s="110"/>
      <c r="D4563" s="406" t="s">
        <v>53</v>
      </c>
      <c r="E4563" s="13" t="s">
        <v>54</v>
      </c>
      <c r="F4563" s="14"/>
      <c r="G4563" s="15"/>
      <c r="H4563" s="451"/>
      <c r="I4563" s="412"/>
      <c r="J4563" s="16"/>
    </row>
    <row r="4564" spans="1:10" ht="13">
      <c r="A4564" s="27"/>
      <c r="B4564" s="110"/>
      <c r="D4564" s="409"/>
      <c r="E4564" s="13" t="s">
        <v>969</v>
      </c>
      <c r="F4564" s="14"/>
      <c r="G4564" s="410" t="s">
        <v>87</v>
      </c>
      <c r="H4564" s="411">
        <v>5.3</v>
      </c>
      <c r="I4564" s="412">
        <f>'BAHAN '!G245</f>
        <v>0</v>
      </c>
      <c r="J4564" s="16">
        <f>H4564*I4564</f>
        <v>0</v>
      </c>
    </row>
    <row r="4565" spans="1:10" ht="13">
      <c r="A4565" s="27"/>
      <c r="B4565" s="110"/>
      <c r="D4565" s="409"/>
      <c r="E4565" s="13" t="s">
        <v>56</v>
      </c>
      <c r="F4565" s="14"/>
      <c r="G4565" s="410" t="s">
        <v>57</v>
      </c>
      <c r="H4565" s="411">
        <v>1.1399999999999999</v>
      </c>
      <c r="I4565" s="412">
        <f>'BAHAN '!G72</f>
        <v>0</v>
      </c>
      <c r="J4565" s="16">
        <f>H4565*I4565</f>
        <v>0</v>
      </c>
    </row>
    <row r="4566" spans="1:10" ht="13">
      <c r="A4566" s="27"/>
      <c r="B4566" s="110"/>
      <c r="D4566" s="409"/>
      <c r="E4566" s="13" t="s">
        <v>101</v>
      </c>
      <c r="F4566" s="14"/>
      <c r="G4566" s="410" t="s">
        <v>170</v>
      </c>
      <c r="H4566" s="411">
        <v>3.0000000000000001E-3</v>
      </c>
      <c r="I4566" s="412">
        <f>'BAHAN '!G59</f>
        <v>0</v>
      </c>
      <c r="J4566" s="16">
        <f>H4566*I4566</f>
        <v>0</v>
      </c>
    </row>
    <row r="4567" spans="1:10" ht="13.5" thickBot="1">
      <c r="A4567" s="27"/>
      <c r="B4567" s="110"/>
      <c r="D4567" s="409"/>
      <c r="E4567" s="13" t="s">
        <v>442</v>
      </c>
      <c r="F4567" s="14"/>
      <c r="G4567" s="410" t="s">
        <v>57</v>
      </c>
      <c r="H4567" s="411">
        <v>0.1</v>
      </c>
      <c r="I4567" s="412">
        <f>'BAHAN '!G74</f>
        <v>0</v>
      </c>
      <c r="J4567" s="16">
        <f>H4567*I4567</f>
        <v>0</v>
      </c>
    </row>
    <row r="4568" spans="1:10" ht="13.5" thickBot="1">
      <c r="A4568" s="27"/>
      <c r="B4568" s="110"/>
      <c r="D4568" s="417"/>
      <c r="E4568" s="418"/>
      <c r="F4568" s="418"/>
      <c r="G4568" s="419"/>
      <c r="H4568" s="420" t="s">
        <v>64</v>
      </c>
      <c r="I4568" s="421"/>
      <c r="J4568" s="396">
        <f>SUM(J4564:J4567)</f>
        <v>0</v>
      </c>
    </row>
    <row r="4569" spans="1:10" ht="13.5" thickBot="1">
      <c r="A4569" s="27"/>
      <c r="B4569" s="110"/>
      <c r="D4569" s="406" t="s">
        <v>65</v>
      </c>
      <c r="E4569" s="13" t="s">
        <v>66</v>
      </c>
      <c r="F4569" s="14"/>
      <c r="G4569" s="15"/>
      <c r="H4569" s="451"/>
      <c r="I4569" s="412">
        <f>IF(AND(E4569&lt;&gt;"",G4569&lt;&gt;""),IF(D4569="",IF(G4569="OH",VLOOKUP(E4569,UPAH!$C$4:$H$31,7,0),VLOOKUP(E4569,#REF!,4,0)),0),0)</f>
        <v>0</v>
      </c>
      <c r="J4569" s="16">
        <f>H4569*I4569</f>
        <v>0</v>
      </c>
    </row>
    <row r="4570" spans="1:10" ht="13.5" thickBot="1">
      <c r="A4570" s="27"/>
      <c r="B4570" s="110"/>
      <c r="D4570" s="417"/>
      <c r="E4570" s="418"/>
      <c r="F4570" s="418"/>
      <c r="G4570" s="419"/>
      <c r="H4570" s="420" t="s">
        <v>67</v>
      </c>
      <c r="I4570" s="421"/>
      <c r="J4570" s="396">
        <f>J4569</f>
        <v>0</v>
      </c>
    </row>
    <row r="4571" spans="1:10" ht="13">
      <c r="A4571" s="27"/>
      <c r="B4571" s="110"/>
      <c r="D4571" s="444" t="s">
        <v>68</v>
      </c>
      <c r="E4571" s="445" t="s">
        <v>69</v>
      </c>
      <c r="F4571" s="446"/>
      <c r="G4571" s="447"/>
      <c r="H4571" s="448"/>
      <c r="I4571" s="449">
        <f>IF(AND(E4571&lt;&gt;"",G4571&lt;&gt;""),IF(D4571="",IF(G4571="OH",VLOOKUP(E4571,UPAH!$C$4:$H$31,7,0),VLOOKUP(E4571,#REF!,4,0)),0),0)</f>
        <v>0</v>
      </c>
      <c r="J4571" s="16">
        <f>SUM(J4558:J4570)/2</f>
        <v>0</v>
      </c>
    </row>
    <row r="4572" spans="1:10" ht="13.5" thickBot="1">
      <c r="A4572" s="27"/>
      <c r="B4572" s="110"/>
      <c r="D4572" s="431" t="s">
        <v>70</v>
      </c>
      <c r="E4572" s="432" t="s">
        <v>477</v>
      </c>
      <c r="F4572" s="433"/>
      <c r="G4572" s="434"/>
      <c r="H4572" s="22">
        <v>0.1</v>
      </c>
      <c r="I4572" s="436"/>
      <c r="J4572" s="430">
        <f>H4572*J4571</f>
        <v>0</v>
      </c>
    </row>
    <row r="4573" spans="1:10" ht="13.5" thickBot="1">
      <c r="A4573" s="27"/>
      <c r="B4573" s="110"/>
      <c r="D4573" s="401" t="s">
        <v>71</v>
      </c>
      <c r="E4573" s="402" t="s">
        <v>72</v>
      </c>
      <c r="F4573" s="418"/>
      <c r="G4573" s="419"/>
      <c r="H4573" s="442"/>
      <c r="I4573" s="421">
        <f>IF(AND(E4573&lt;&gt;"",G4573&lt;&gt;""),IF(D4573="",IF(G4573="OH",VLOOKUP(E4573,UPAH!$C$4:$H$31,7,0),VLOOKUP(E4573,#REF!,4,0)),0),0)</f>
        <v>0</v>
      </c>
      <c r="J4573" s="396">
        <f>ROUNDDOWN(J4571+J4572,0)</f>
        <v>0</v>
      </c>
    </row>
    <row r="4574" spans="1:10" ht="13">
      <c r="A4574" s="27"/>
      <c r="B4574" s="110"/>
      <c r="D4574" s="11"/>
      <c r="E4574" s="11"/>
      <c r="H4574" s="443"/>
    </row>
    <row r="4575" spans="1:10" ht="13.5" thickBot="1">
      <c r="A4575" s="27"/>
      <c r="B4575" s="110"/>
      <c r="C4575" s="11" t="s">
        <v>970</v>
      </c>
      <c r="D4575" s="10" t="s">
        <v>4083</v>
      </c>
      <c r="H4575" s="443"/>
    </row>
    <row r="4576" spans="1:10" ht="13.5" thickBot="1">
      <c r="A4576" s="27"/>
      <c r="B4576" s="110"/>
      <c r="D4576" s="401" t="s">
        <v>40</v>
      </c>
      <c r="E4576" s="402" t="s">
        <v>41</v>
      </c>
      <c r="F4576" s="402" t="s">
        <v>42</v>
      </c>
      <c r="G4576" s="403" t="s">
        <v>43</v>
      </c>
      <c r="H4576" s="404" t="s">
        <v>44</v>
      </c>
      <c r="I4576" s="402" t="s">
        <v>474</v>
      </c>
      <c r="J4576" s="405" t="s">
        <v>475</v>
      </c>
    </row>
    <row r="4577" spans="1:10" ht="13">
      <c r="A4577" s="27"/>
      <c r="B4577" s="110"/>
      <c r="D4577" s="406" t="s">
        <v>45</v>
      </c>
      <c r="E4577" s="13" t="s">
        <v>46</v>
      </c>
      <c r="F4577" s="14"/>
      <c r="G4577" s="15"/>
      <c r="H4577" s="451"/>
      <c r="I4577" s="412"/>
      <c r="J4577" s="16"/>
    </row>
    <row r="4578" spans="1:10" ht="13">
      <c r="A4578" s="27"/>
      <c r="B4578" s="110"/>
      <c r="D4578" s="409"/>
      <c r="E4578" s="13" t="s">
        <v>47</v>
      </c>
      <c r="F4578" s="13" t="s">
        <v>1918</v>
      </c>
      <c r="G4578" s="410" t="s">
        <v>48</v>
      </c>
      <c r="H4578" s="411">
        <v>0.25</v>
      </c>
      <c r="I4578" s="412">
        <f>IF(AND(E4578&lt;&gt;"",G4578&lt;&gt;""),IF(D4578="",IF(G4578="OH",VLOOKUP(F4578,UPAH!$B$4:$H$101,7,0),VLOOKUP(F4578,#REF!,4,0)),0),0)</f>
        <v>0</v>
      </c>
      <c r="J4578" s="16">
        <f>H4578*I4578</f>
        <v>0</v>
      </c>
    </row>
    <row r="4579" spans="1:10" ht="13">
      <c r="A4579" s="27"/>
      <c r="B4579" s="110"/>
      <c r="D4579" s="409"/>
      <c r="E4579" s="13" t="s">
        <v>115</v>
      </c>
      <c r="F4579" s="13" t="s">
        <v>1921</v>
      </c>
      <c r="G4579" s="410" t="s">
        <v>48</v>
      </c>
      <c r="H4579" s="411">
        <v>8.3299999999999999E-2</v>
      </c>
      <c r="I4579" s="412">
        <f>IF(AND(E4579&lt;&gt;"",G4579&lt;&gt;""),IF(D4579="",IF(G4579="OH",VLOOKUP(F4579,UPAH!$B$4:$H$101,7,0),VLOOKUP(F4579,#REF!,4,0)),0),0)</f>
        <v>0</v>
      </c>
      <c r="J4579" s="16">
        <f>H4579*I4579</f>
        <v>0</v>
      </c>
    </row>
    <row r="4580" spans="1:10" ht="13">
      <c r="A4580" s="27"/>
      <c r="B4580" s="110"/>
      <c r="D4580" s="409"/>
      <c r="E4580" s="13" t="s">
        <v>50</v>
      </c>
      <c r="F4580" s="13" t="s">
        <v>1928</v>
      </c>
      <c r="G4580" s="410" t="s">
        <v>48</v>
      </c>
      <c r="H4580" s="411">
        <v>8.3300000000000006E-3</v>
      </c>
      <c r="I4580" s="412">
        <f>IF(AND(E4580&lt;&gt;"",G4580&lt;&gt;""),IF(D4580="",IF(G4580="OH",VLOOKUP(F4580,UPAH!$B$4:$H$101,7,0),VLOOKUP(F4580,#REF!,4,0)),0),0)</f>
        <v>0</v>
      </c>
      <c r="J4580" s="16">
        <f>H4580*I4580</f>
        <v>0</v>
      </c>
    </row>
    <row r="4581" spans="1:10" ht="13.5" thickBot="1">
      <c r="A4581" s="27"/>
      <c r="B4581" s="110"/>
      <c r="D4581" s="409"/>
      <c r="E4581" s="13" t="s">
        <v>51</v>
      </c>
      <c r="F4581" s="13" t="s">
        <v>1929</v>
      </c>
      <c r="G4581" s="410" t="s">
        <v>48</v>
      </c>
      <c r="H4581" s="411">
        <v>2.8E-3</v>
      </c>
      <c r="I4581" s="412">
        <f>IF(AND(E4581&lt;&gt;"",G4581&lt;&gt;""),IF(D4581="",IF(G4581="OH",VLOOKUP(F4581,UPAH!$B$4:$H$101,7,0),VLOOKUP(F4581,#REF!,4,0)),0),0)</f>
        <v>0</v>
      </c>
      <c r="J4581" s="16">
        <f>H4581*I4581</f>
        <v>0</v>
      </c>
    </row>
    <row r="4582" spans="1:10" ht="13.5" thickBot="1">
      <c r="A4582" s="27"/>
      <c r="B4582" s="110"/>
      <c r="D4582" s="417"/>
      <c r="E4582" s="418"/>
      <c r="F4582" s="418"/>
      <c r="G4582" s="419"/>
      <c r="H4582" s="420" t="s">
        <v>52</v>
      </c>
      <c r="I4582" s="421"/>
      <c r="J4582" s="396">
        <f>SUM(J4578:J4581)</f>
        <v>0</v>
      </c>
    </row>
    <row r="4583" spans="1:10" ht="13">
      <c r="A4583" s="27"/>
      <c r="B4583" s="110"/>
      <c r="D4583" s="406" t="s">
        <v>53</v>
      </c>
      <c r="E4583" s="13" t="s">
        <v>54</v>
      </c>
      <c r="F4583" s="14"/>
      <c r="G4583" s="15"/>
      <c r="H4583" s="451"/>
      <c r="I4583" s="412"/>
      <c r="J4583" s="16"/>
    </row>
    <row r="4584" spans="1:10" ht="13">
      <c r="A4584" s="27"/>
      <c r="B4584" s="110"/>
      <c r="D4584" s="409"/>
      <c r="E4584" s="13" t="s">
        <v>4084</v>
      </c>
      <c r="F4584" s="14"/>
      <c r="G4584" s="410" t="s">
        <v>376</v>
      </c>
      <c r="H4584" s="411">
        <v>1</v>
      </c>
      <c r="I4584" s="412">
        <f>'BAHAN '!G246</f>
        <v>0</v>
      </c>
      <c r="J4584" s="16">
        <f>H4584*I4584</f>
        <v>0</v>
      </c>
    </row>
    <row r="4585" spans="1:10" ht="13">
      <c r="A4585" s="27"/>
      <c r="B4585" s="110"/>
      <c r="D4585" s="409"/>
      <c r="E4585" s="13" t="s">
        <v>56</v>
      </c>
      <c r="F4585" s="14"/>
      <c r="G4585" s="410" t="s">
        <v>57</v>
      </c>
      <c r="H4585" s="411">
        <v>13.632</v>
      </c>
      <c r="I4585" s="412">
        <f>'BAHAN '!G72</f>
        <v>0</v>
      </c>
      <c r="J4585" s="16">
        <f>H4585*I4585</f>
        <v>0</v>
      </c>
    </row>
    <row r="4586" spans="1:10" ht="13">
      <c r="A4586" s="27"/>
      <c r="B4586" s="110"/>
      <c r="D4586" s="409"/>
      <c r="E4586" s="13" t="s">
        <v>101</v>
      </c>
      <c r="F4586" s="14"/>
      <c r="G4586" s="410" t="s">
        <v>170</v>
      </c>
      <c r="H4586" s="411">
        <v>2.7E-2</v>
      </c>
      <c r="I4586" s="412">
        <f>'BAHAN '!G59</f>
        <v>0</v>
      </c>
      <c r="J4586" s="16">
        <f>H4586*I4586</f>
        <v>0</v>
      </c>
    </row>
    <row r="4587" spans="1:10" ht="13.5" thickBot="1">
      <c r="A4587" s="27"/>
      <c r="B4587" s="110"/>
      <c r="D4587" s="409"/>
      <c r="E4587" s="13" t="s">
        <v>442</v>
      </c>
      <c r="F4587" s="14"/>
      <c r="G4587" s="410" t="s">
        <v>57</v>
      </c>
      <c r="H4587" s="411">
        <v>1.5</v>
      </c>
      <c r="I4587" s="412">
        <f>'BAHAN '!G74</f>
        <v>0</v>
      </c>
      <c r="J4587" s="16">
        <f>H4587*I4587</f>
        <v>0</v>
      </c>
    </row>
    <row r="4588" spans="1:10" ht="13.5" thickBot="1">
      <c r="A4588" s="27"/>
      <c r="B4588" s="110"/>
      <c r="D4588" s="417"/>
      <c r="E4588" s="418"/>
      <c r="F4588" s="418"/>
      <c r="G4588" s="419"/>
      <c r="H4588" s="420" t="s">
        <v>64</v>
      </c>
      <c r="I4588" s="421"/>
      <c r="J4588" s="396">
        <f>SUM(J4584:J4587)</f>
        <v>0</v>
      </c>
    </row>
    <row r="4589" spans="1:10" ht="13.5" thickBot="1">
      <c r="A4589" s="27"/>
      <c r="B4589" s="110"/>
      <c r="D4589" s="406" t="s">
        <v>65</v>
      </c>
      <c r="E4589" s="13" t="s">
        <v>66</v>
      </c>
      <c r="F4589" s="14"/>
      <c r="G4589" s="15"/>
      <c r="H4589" s="451"/>
      <c r="I4589" s="412">
        <f>IF(AND(E4589&lt;&gt;"",G4589&lt;&gt;""),IF(D4589="",IF(G4589="OH",VLOOKUP(E4589,UPAH!$C$4:$H$31,7,0),VLOOKUP(E4589,#REF!,4,0)),0),0)</f>
        <v>0</v>
      </c>
      <c r="J4589" s="16">
        <f>H4589*I4589</f>
        <v>0</v>
      </c>
    </row>
    <row r="4590" spans="1:10" ht="13.5" thickBot="1">
      <c r="A4590" s="27"/>
      <c r="B4590" s="110"/>
      <c r="D4590" s="417"/>
      <c r="E4590" s="418"/>
      <c r="F4590" s="418"/>
      <c r="G4590" s="419"/>
      <c r="H4590" s="420" t="s">
        <v>67</v>
      </c>
      <c r="I4590" s="421"/>
      <c r="J4590" s="396">
        <f>J4589</f>
        <v>0</v>
      </c>
    </row>
    <row r="4591" spans="1:10" ht="13">
      <c r="A4591" s="27"/>
      <c r="B4591" s="110"/>
      <c r="D4591" s="444" t="s">
        <v>68</v>
      </c>
      <c r="E4591" s="445" t="s">
        <v>69</v>
      </c>
      <c r="F4591" s="446"/>
      <c r="G4591" s="447"/>
      <c r="H4591" s="448"/>
      <c r="I4591" s="449">
        <f>IF(AND(E4591&lt;&gt;"",G4591&lt;&gt;""),IF(D4591="",IF(G4591="OH",VLOOKUP(E4591,UPAH!$C$4:$H$31,7,0),VLOOKUP(E4591,#REF!,4,0)),0),0)</f>
        <v>0</v>
      </c>
      <c r="J4591" s="16">
        <f>SUM(J4578:J4590)/2</f>
        <v>0</v>
      </c>
    </row>
    <row r="4592" spans="1:10" ht="13.5" thickBot="1">
      <c r="A4592" s="27"/>
      <c r="B4592" s="110"/>
      <c r="D4592" s="431" t="s">
        <v>70</v>
      </c>
      <c r="E4592" s="432" t="s">
        <v>477</v>
      </c>
      <c r="F4592" s="433"/>
      <c r="G4592" s="434"/>
      <c r="H4592" s="22">
        <v>0.1</v>
      </c>
      <c r="I4592" s="436"/>
      <c r="J4592" s="430">
        <f>H4592*J4591</f>
        <v>0</v>
      </c>
    </row>
    <row r="4593" spans="1:10" ht="13.5" thickBot="1">
      <c r="A4593" s="27"/>
      <c r="B4593" s="110"/>
      <c r="D4593" s="401" t="s">
        <v>71</v>
      </c>
      <c r="E4593" s="402" t="s">
        <v>72</v>
      </c>
      <c r="F4593" s="418"/>
      <c r="G4593" s="419"/>
      <c r="H4593" s="442"/>
      <c r="I4593" s="421">
        <f>IF(AND(E4593&lt;&gt;"",G4593&lt;&gt;""),IF(D4593="",IF(G4593="OH",VLOOKUP(E4593,UPAH!$C$4:$H$31,7,0),VLOOKUP(E4593,#REF!,4,0)),0),0)</f>
        <v>0</v>
      </c>
      <c r="J4593" s="396">
        <f>ROUNDDOWN(J4591+J4592,0)</f>
        <v>0</v>
      </c>
    </row>
    <row r="4594" spans="1:10" ht="13">
      <c r="A4594" s="27"/>
      <c r="B4594" s="110"/>
      <c r="D4594" s="11"/>
      <c r="E4594" s="11"/>
      <c r="H4594" s="443"/>
    </row>
    <row r="4595" spans="1:10" ht="13.5" thickBot="1">
      <c r="A4595" s="27"/>
      <c r="B4595" s="110"/>
      <c r="C4595" s="11" t="s">
        <v>971</v>
      </c>
      <c r="D4595" s="10" t="s">
        <v>972</v>
      </c>
      <c r="H4595" s="443"/>
    </row>
    <row r="4596" spans="1:10" ht="13.5" thickBot="1">
      <c r="A4596" s="27"/>
      <c r="B4596" s="110"/>
      <c r="D4596" s="401" t="s">
        <v>40</v>
      </c>
      <c r="E4596" s="402" t="s">
        <v>41</v>
      </c>
      <c r="F4596" s="402" t="s">
        <v>42</v>
      </c>
      <c r="G4596" s="403" t="s">
        <v>43</v>
      </c>
      <c r="H4596" s="404" t="s">
        <v>44</v>
      </c>
      <c r="I4596" s="402" t="s">
        <v>474</v>
      </c>
      <c r="J4596" s="405" t="s">
        <v>475</v>
      </c>
    </row>
    <row r="4597" spans="1:10" ht="13">
      <c r="A4597" s="27"/>
      <c r="B4597" s="110"/>
      <c r="D4597" s="406" t="s">
        <v>45</v>
      </c>
      <c r="E4597" s="13" t="s">
        <v>46</v>
      </c>
      <c r="F4597" s="14"/>
      <c r="G4597" s="15"/>
      <c r="H4597" s="451"/>
      <c r="I4597" s="412"/>
      <c r="J4597" s="16"/>
    </row>
    <row r="4598" spans="1:10" ht="13">
      <c r="A4598" s="27"/>
      <c r="B4598" s="110"/>
      <c r="D4598" s="409"/>
      <c r="E4598" s="13" t="s">
        <v>47</v>
      </c>
      <c r="F4598" s="13" t="s">
        <v>1918</v>
      </c>
      <c r="G4598" s="410" t="s">
        <v>48</v>
      </c>
      <c r="H4598" s="411">
        <v>0.17</v>
      </c>
      <c r="I4598" s="412">
        <f>IF(AND(E4598&lt;&gt;"",G4598&lt;&gt;""),IF(D4598="",IF(G4598="OH",VLOOKUP(F4598,UPAH!$B$4:$H$101,7,0),VLOOKUP(F4598,#REF!,4,0)),0),0)</f>
        <v>0</v>
      </c>
      <c r="J4598" s="16">
        <f>H4598*I4598</f>
        <v>0</v>
      </c>
    </row>
    <row r="4599" spans="1:10" ht="13">
      <c r="A4599" s="27"/>
      <c r="B4599" s="110"/>
      <c r="D4599" s="409"/>
      <c r="E4599" s="13" t="s">
        <v>476</v>
      </c>
      <c r="F4599" s="13" t="s">
        <v>1922</v>
      </c>
      <c r="G4599" s="410" t="s">
        <v>48</v>
      </c>
      <c r="H4599" s="411">
        <v>0.17</v>
      </c>
      <c r="I4599" s="412">
        <f>IF(AND(E4599&lt;&gt;"",G4599&lt;&gt;""),IF(D4599="",IF(G4599="OH",VLOOKUP(F4599,UPAH!$B$4:$H$101,7,0),VLOOKUP(F4599,#REF!,4,0)),0),0)</f>
        <v>0</v>
      </c>
      <c r="J4599" s="16">
        <f>H4599*I4599</f>
        <v>0</v>
      </c>
    </row>
    <row r="4600" spans="1:10" ht="13">
      <c r="A4600" s="27"/>
      <c r="B4600" s="110"/>
      <c r="D4600" s="409"/>
      <c r="E4600" s="13" t="s">
        <v>50</v>
      </c>
      <c r="F4600" s="13" t="s">
        <v>1928</v>
      </c>
      <c r="G4600" s="410" t="s">
        <v>48</v>
      </c>
      <c r="H4600" s="411">
        <v>1.7000000000000001E-2</v>
      </c>
      <c r="I4600" s="412">
        <f>IF(AND(E4600&lt;&gt;"",G4600&lt;&gt;""),IF(D4600="",IF(G4600="OH",VLOOKUP(F4600,UPAH!$B$4:$H$101,7,0),VLOOKUP(F4600,#REF!,4,0)),0),0)</f>
        <v>0</v>
      </c>
      <c r="J4600" s="16">
        <f>H4600*I4600</f>
        <v>0</v>
      </c>
    </row>
    <row r="4601" spans="1:10" ht="13.5" thickBot="1">
      <c r="A4601" s="27"/>
      <c r="B4601" s="110"/>
      <c r="D4601" s="409"/>
      <c r="E4601" s="13" t="s">
        <v>51</v>
      </c>
      <c r="F4601" s="13" t="s">
        <v>1929</v>
      </c>
      <c r="G4601" s="410" t="s">
        <v>48</v>
      </c>
      <c r="H4601" s="411">
        <v>8.9999999999999993E-3</v>
      </c>
      <c r="I4601" s="412">
        <f>IF(AND(E4601&lt;&gt;"",G4601&lt;&gt;""),IF(D4601="",IF(G4601="OH",VLOOKUP(F4601,UPAH!$B$4:$H$101,7,0),VLOOKUP(F4601,#REF!,4,0)),0),0)</f>
        <v>0</v>
      </c>
      <c r="J4601" s="16">
        <f>H4601*I4601</f>
        <v>0</v>
      </c>
    </row>
    <row r="4602" spans="1:10" ht="13.5" thickBot="1">
      <c r="A4602" s="27"/>
      <c r="B4602" s="110"/>
      <c r="D4602" s="417"/>
      <c r="E4602" s="418"/>
      <c r="F4602" s="418"/>
      <c r="G4602" s="419"/>
      <c r="H4602" s="420" t="s">
        <v>52</v>
      </c>
      <c r="I4602" s="421"/>
      <c r="J4602" s="396">
        <f>SUM(J4598:J4601)</f>
        <v>0</v>
      </c>
    </row>
    <row r="4603" spans="1:10" ht="13">
      <c r="A4603" s="27"/>
      <c r="B4603" s="110"/>
      <c r="D4603" s="406" t="s">
        <v>53</v>
      </c>
      <c r="E4603" s="13" t="s">
        <v>54</v>
      </c>
      <c r="F4603" s="14"/>
      <c r="G4603" s="15"/>
      <c r="H4603" s="451"/>
      <c r="I4603" s="412"/>
      <c r="J4603" s="16"/>
    </row>
    <row r="4604" spans="1:10" ht="13">
      <c r="A4604" s="27"/>
      <c r="B4604" s="110"/>
      <c r="D4604" s="409"/>
      <c r="E4604" s="13" t="s">
        <v>973</v>
      </c>
      <c r="F4604" s="14"/>
      <c r="G4604" s="410" t="s">
        <v>376</v>
      </c>
      <c r="H4604" s="411">
        <v>1.05</v>
      </c>
      <c r="I4604" s="412">
        <f>'BAHAN '!G984</f>
        <v>0</v>
      </c>
      <c r="J4604" s="16">
        <f>H4604*I4604</f>
        <v>0</v>
      </c>
    </row>
    <row r="4605" spans="1:10" ht="13.5" thickBot="1">
      <c r="A4605" s="27"/>
      <c r="B4605" s="110"/>
      <c r="D4605" s="409"/>
      <c r="E4605" s="13" t="s">
        <v>502</v>
      </c>
      <c r="F4605" s="14"/>
      <c r="G4605" s="410" t="s">
        <v>57</v>
      </c>
      <c r="H4605" s="411">
        <v>0.35</v>
      </c>
      <c r="I4605" s="412">
        <f>'BAHAN '!G816</f>
        <v>0</v>
      </c>
      <c r="J4605" s="16">
        <f>H4605*I4605</f>
        <v>0</v>
      </c>
    </row>
    <row r="4606" spans="1:10" ht="13.5" thickBot="1">
      <c r="A4606" s="27"/>
      <c r="B4606" s="110"/>
      <c r="D4606" s="417"/>
      <c r="E4606" s="418"/>
      <c r="F4606" s="418"/>
      <c r="G4606" s="419"/>
      <c r="H4606" s="420" t="s">
        <v>64</v>
      </c>
      <c r="I4606" s="421"/>
      <c r="J4606" s="396">
        <f>SUM(J4604:J4605)</f>
        <v>0</v>
      </c>
    </row>
    <row r="4607" spans="1:10" ht="13.5" thickBot="1">
      <c r="A4607" s="27"/>
      <c r="B4607" s="110"/>
      <c r="D4607" s="406" t="s">
        <v>65</v>
      </c>
      <c r="E4607" s="13" t="s">
        <v>66</v>
      </c>
      <c r="F4607" s="14"/>
      <c r="G4607" s="15"/>
      <c r="H4607" s="451"/>
      <c r="I4607" s="412">
        <f>IF(AND(E4607&lt;&gt;"",G4607&lt;&gt;""),IF(D4607="",IF(G4607="OH",VLOOKUP(E4607,UPAH!$C$4:$H$31,7,0),VLOOKUP(E4607,#REF!,4,0)),0),0)</f>
        <v>0</v>
      </c>
      <c r="J4607" s="16">
        <f>H4607*I4607</f>
        <v>0</v>
      </c>
    </row>
    <row r="4608" spans="1:10" ht="13.5" thickBot="1">
      <c r="A4608" s="27"/>
      <c r="B4608" s="110"/>
      <c r="D4608" s="417"/>
      <c r="E4608" s="418"/>
      <c r="F4608" s="418"/>
      <c r="G4608" s="419"/>
      <c r="H4608" s="420" t="s">
        <v>67</v>
      </c>
      <c r="I4608" s="421"/>
      <c r="J4608" s="396">
        <f>J4607</f>
        <v>0</v>
      </c>
    </row>
    <row r="4609" spans="1:10" ht="13">
      <c r="A4609" s="27"/>
      <c r="B4609" s="110"/>
      <c r="D4609" s="444" t="s">
        <v>68</v>
      </c>
      <c r="E4609" s="445" t="s">
        <v>69</v>
      </c>
      <c r="F4609" s="446"/>
      <c r="G4609" s="447"/>
      <c r="H4609" s="448"/>
      <c r="I4609" s="449">
        <f>IF(AND(E4609&lt;&gt;"",G4609&lt;&gt;""),IF(D4609="",IF(G4609="OH",VLOOKUP(E4609,UPAH!$C$4:$H$31,7,0),VLOOKUP(E4609,#REF!,4,0)),0),0)</f>
        <v>0</v>
      </c>
      <c r="J4609" s="16">
        <f>SUM(J4598:J4608)/2</f>
        <v>0</v>
      </c>
    </row>
    <row r="4610" spans="1:10" ht="13.5" thickBot="1">
      <c r="A4610" s="27"/>
      <c r="B4610" s="110"/>
      <c r="D4610" s="431" t="s">
        <v>70</v>
      </c>
      <c r="E4610" s="432" t="s">
        <v>477</v>
      </c>
      <c r="F4610" s="433"/>
      <c r="G4610" s="434"/>
      <c r="H4610" s="22">
        <v>0.1</v>
      </c>
      <c r="I4610" s="436"/>
      <c r="J4610" s="430">
        <f>H4610*J4609</f>
        <v>0</v>
      </c>
    </row>
    <row r="4611" spans="1:10" ht="13.5" thickBot="1">
      <c r="A4611" s="27"/>
      <c r="B4611" s="110"/>
      <c r="D4611" s="401" t="s">
        <v>71</v>
      </c>
      <c r="E4611" s="402" t="s">
        <v>72</v>
      </c>
      <c r="F4611" s="418"/>
      <c r="G4611" s="419"/>
      <c r="H4611" s="442"/>
      <c r="I4611" s="421">
        <f>IF(AND(E4611&lt;&gt;"",G4611&lt;&gt;""),IF(D4611="",IF(G4611="OH",VLOOKUP(E4611,UPAH!$C$4:$H$31,7,0),VLOOKUP(E4611,#REF!,4,0)),0),0)</f>
        <v>0</v>
      </c>
      <c r="J4611" s="396">
        <f>ROUNDDOWN(J4609+J4610,0)</f>
        <v>0</v>
      </c>
    </row>
    <row r="4612" spans="1:10" ht="13">
      <c r="A4612" s="27"/>
      <c r="B4612" s="110"/>
      <c r="D4612" s="11"/>
      <c r="E4612" s="11"/>
      <c r="H4612" s="443"/>
    </row>
    <row r="4613" spans="1:10" ht="13.5" thickBot="1">
      <c r="A4613" s="27"/>
      <c r="B4613" s="110"/>
      <c r="C4613" s="11" t="s">
        <v>974</v>
      </c>
      <c r="D4613" s="10" t="s">
        <v>975</v>
      </c>
      <c r="H4613" s="443"/>
    </row>
    <row r="4614" spans="1:10" ht="13.5" thickBot="1">
      <c r="A4614" s="27"/>
      <c r="B4614" s="110"/>
      <c r="D4614" s="401" t="s">
        <v>40</v>
      </c>
      <c r="E4614" s="402" t="s">
        <v>41</v>
      </c>
      <c r="F4614" s="402" t="s">
        <v>42</v>
      </c>
      <c r="G4614" s="403" t="s">
        <v>43</v>
      </c>
      <c r="H4614" s="404" t="s">
        <v>44</v>
      </c>
      <c r="I4614" s="402" t="s">
        <v>474</v>
      </c>
      <c r="J4614" s="405" t="s">
        <v>475</v>
      </c>
    </row>
    <row r="4615" spans="1:10" ht="13">
      <c r="A4615" s="27"/>
      <c r="B4615" s="110"/>
      <c r="D4615" s="406" t="s">
        <v>45</v>
      </c>
      <c r="E4615" s="13" t="s">
        <v>46</v>
      </c>
      <c r="F4615" s="14"/>
      <c r="G4615" s="15"/>
      <c r="H4615" s="451"/>
      <c r="I4615" s="412"/>
      <c r="J4615" s="16"/>
    </row>
    <row r="4616" spans="1:10" ht="13">
      <c r="A4616" s="27"/>
      <c r="B4616" s="110"/>
      <c r="D4616" s="409"/>
      <c r="E4616" s="13" t="s">
        <v>47</v>
      </c>
      <c r="F4616" s="13" t="s">
        <v>1918</v>
      </c>
      <c r="G4616" s="410" t="s">
        <v>48</v>
      </c>
      <c r="H4616" s="411">
        <v>0.12</v>
      </c>
      <c r="I4616" s="412">
        <f>IF(AND(E4616&lt;&gt;"",G4616&lt;&gt;""),IF(D4616="",IF(G4616="OH",VLOOKUP(F4616,UPAH!$B$4:$H$101,7,0),VLOOKUP(F4616,#REF!,4,0)),0),0)</f>
        <v>0</v>
      </c>
      <c r="J4616" s="16">
        <f>H4616*I4616</f>
        <v>0</v>
      </c>
    </row>
    <row r="4617" spans="1:10" ht="13">
      <c r="A4617" s="27"/>
      <c r="B4617" s="110"/>
      <c r="D4617" s="409"/>
      <c r="E4617" s="13" t="s">
        <v>476</v>
      </c>
      <c r="F4617" s="13" t="s">
        <v>1922</v>
      </c>
      <c r="G4617" s="410" t="s">
        <v>48</v>
      </c>
      <c r="H4617" s="411">
        <v>0.12</v>
      </c>
      <c r="I4617" s="412">
        <f>IF(AND(E4617&lt;&gt;"",G4617&lt;&gt;""),IF(D4617="",IF(G4617="OH",VLOOKUP(F4617,UPAH!$B$4:$H$101,7,0),VLOOKUP(F4617,#REF!,4,0)),0),0)</f>
        <v>0</v>
      </c>
      <c r="J4617" s="16">
        <f>H4617*I4617</f>
        <v>0</v>
      </c>
    </row>
    <row r="4618" spans="1:10" ht="13">
      <c r="A4618" s="27"/>
      <c r="B4618" s="110"/>
      <c r="D4618" s="409"/>
      <c r="E4618" s="13" t="s">
        <v>50</v>
      </c>
      <c r="F4618" s="13" t="s">
        <v>1928</v>
      </c>
      <c r="G4618" s="410" t="s">
        <v>48</v>
      </c>
      <c r="H4618" s="411">
        <v>1.2E-2</v>
      </c>
      <c r="I4618" s="412">
        <f>IF(AND(E4618&lt;&gt;"",G4618&lt;&gt;""),IF(D4618="",IF(G4618="OH",VLOOKUP(F4618,UPAH!$B$4:$H$101,7,0),VLOOKUP(F4618,#REF!,4,0)),0),0)</f>
        <v>0</v>
      </c>
      <c r="J4618" s="16">
        <f>H4618*I4618</f>
        <v>0</v>
      </c>
    </row>
    <row r="4619" spans="1:10" ht="13.5" thickBot="1">
      <c r="A4619" s="27"/>
      <c r="B4619" s="110"/>
      <c r="D4619" s="409"/>
      <c r="E4619" s="13" t="s">
        <v>51</v>
      </c>
      <c r="F4619" s="13" t="s">
        <v>1929</v>
      </c>
      <c r="G4619" s="410" t="s">
        <v>48</v>
      </c>
      <c r="H4619" s="411">
        <v>6.0000000000000001E-3</v>
      </c>
      <c r="I4619" s="412">
        <f>IF(AND(E4619&lt;&gt;"",G4619&lt;&gt;""),IF(D4619="",IF(G4619="OH",VLOOKUP(F4619,UPAH!$B$4:$H$101,7,0),VLOOKUP(F4619,#REF!,4,0)),0),0)</f>
        <v>0</v>
      </c>
      <c r="J4619" s="16">
        <f>H4619*I4619</f>
        <v>0</v>
      </c>
    </row>
    <row r="4620" spans="1:10" ht="13.5" thickBot="1">
      <c r="A4620" s="27"/>
      <c r="B4620" s="110"/>
      <c r="D4620" s="417"/>
      <c r="E4620" s="418"/>
      <c r="F4620" s="418"/>
      <c r="G4620" s="419"/>
      <c r="H4620" s="420" t="s">
        <v>52</v>
      </c>
      <c r="I4620" s="421"/>
      <c r="J4620" s="396">
        <f>SUM(J4616:J4619)</f>
        <v>0</v>
      </c>
    </row>
    <row r="4621" spans="1:10" ht="13">
      <c r="A4621" s="27"/>
      <c r="B4621" s="110"/>
      <c r="D4621" s="406" t="s">
        <v>53</v>
      </c>
      <c r="E4621" s="13" t="s">
        <v>54</v>
      </c>
      <c r="F4621" s="14"/>
      <c r="G4621" s="15"/>
      <c r="H4621" s="451"/>
      <c r="I4621" s="412"/>
      <c r="J4621" s="16"/>
    </row>
    <row r="4622" spans="1:10" ht="13">
      <c r="A4622" s="27"/>
      <c r="B4622" s="110"/>
      <c r="D4622" s="409"/>
      <c r="E4622" s="13" t="s">
        <v>976</v>
      </c>
      <c r="F4622" s="14"/>
      <c r="G4622" s="410" t="s">
        <v>376</v>
      </c>
      <c r="H4622" s="411">
        <v>1.05</v>
      </c>
      <c r="I4622" s="412">
        <f>'BAHAN '!G985</f>
        <v>0</v>
      </c>
      <c r="J4622" s="16">
        <f>H4622*I4622</f>
        <v>0</v>
      </c>
    </row>
    <row r="4623" spans="1:10" ht="13.5" thickBot="1">
      <c r="A4623" s="27"/>
      <c r="B4623" s="110"/>
      <c r="D4623" s="409"/>
      <c r="E4623" s="13" t="s">
        <v>502</v>
      </c>
      <c r="F4623" s="14"/>
      <c r="G4623" s="410" t="s">
        <v>57</v>
      </c>
      <c r="H4623" s="411">
        <v>0.35</v>
      </c>
      <c r="I4623" s="412">
        <f>'BAHAN '!G816</f>
        <v>0</v>
      </c>
      <c r="J4623" s="16">
        <f>H4623*I4623</f>
        <v>0</v>
      </c>
    </row>
    <row r="4624" spans="1:10" ht="13.5" thickBot="1">
      <c r="A4624" s="27"/>
      <c r="B4624" s="110"/>
      <c r="D4624" s="417"/>
      <c r="E4624" s="418"/>
      <c r="F4624" s="418"/>
      <c r="G4624" s="419"/>
      <c r="H4624" s="420" t="s">
        <v>64</v>
      </c>
      <c r="I4624" s="421"/>
      <c r="J4624" s="396">
        <f>SUM(J4622:J4623)</f>
        <v>0</v>
      </c>
    </row>
    <row r="4625" spans="1:10" ht="13.5" thickBot="1">
      <c r="A4625" s="27"/>
      <c r="B4625" s="110"/>
      <c r="D4625" s="406" t="s">
        <v>65</v>
      </c>
      <c r="E4625" s="13" t="s">
        <v>66</v>
      </c>
      <c r="F4625" s="14"/>
      <c r="G4625" s="15"/>
      <c r="H4625" s="451"/>
      <c r="I4625" s="412">
        <f>IF(AND(E4625&lt;&gt;"",G4625&lt;&gt;""),IF(D4625="",IF(G4625="OH",VLOOKUP(E4625,UPAH!$C$4:$H$31,7,0),VLOOKUP(E4625,#REF!,4,0)),0),0)</f>
        <v>0</v>
      </c>
      <c r="J4625" s="16">
        <f>H4625*I4625</f>
        <v>0</v>
      </c>
    </row>
    <row r="4626" spans="1:10" ht="13.5" thickBot="1">
      <c r="A4626" s="27"/>
      <c r="B4626" s="110"/>
      <c r="D4626" s="417"/>
      <c r="E4626" s="418"/>
      <c r="F4626" s="418"/>
      <c r="G4626" s="419"/>
      <c r="H4626" s="420" t="s">
        <v>67</v>
      </c>
      <c r="I4626" s="421"/>
      <c r="J4626" s="396">
        <f>J4625</f>
        <v>0</v>
      </c>
    </row>
    <row r="4627" spans="1:10" ht="13">
      <c r="A4627" s="27"/>
      <c r="B4627" s="110"/>
      <c r="D4627" s="444" t="s">
        <v>68</v>
      </c>
      <c r="E4627" s="445" t="s">
        <v>69</v>
      </c>
      <c r="F4627" s="446"/>
      <c r="G4627" s="447"/>
      <c r="H4627" s="448"/>
      <c r="I4627" s="449">
        <f>IF(AND(E4627&lt;&gt;"",G4627&lt;&gt;""),IF(D4627="",IF(G4627="OH",VLOOKUP(E4627,UPAH!$C$4:$H$31,7,0),VLOOKUP(E4627,#REF!,4,0)),0),0)</f>
        <v>0</v>
      </c>
      <c r="J4627" s="16">
        <f>SUM(J4616:J4626)/2</f>
        <v>0</v>
      </c>
    </row>
    <row r="4628" spans="1:10" ht="13.5" thickBot="1">
      <c r="A4628" s="27"/>
      <c r="B4628" s="110"/>
      <c r="D4628" s="431" t="s">
        <v>70</v>
      </c>
      <c r="E4628" s="432" t="s">
        <v>477</v>
      </c>
      <c r="F4628" s="433"/>
      <c r="G4628" s="434"/>
      <c r="H4628" s="22">
        <v>0.1</v>
      </c>
      <c r="I4628" s="436"/>
      <c r="J4628" s="430">
        <f>H4628*J4627</f>
        <v>0</v>
      </c>
    </row>
    <row r="4629" spans="1:10" ht="13.5" thickBot="1">
      <c r="A4629" s="27"/>
      <c r="B4629" s="110"/>
      <c r="D4629" s="401" t="s">
        <v>71</v>
      </c>
      <c r="E4629" s="402" t="s">
        <v>72</v>
      </c>
      <c r="F4629" s="418"/>
      <c r="G4629" s="419"/>
      <c r="H4629" s="442"/>
      <c r="I4629" s="421">
        <f>IF(AND(E4629&lt;&gt;"",G4629&lt;&gt;""),IF(D4629="",IF(G4629="OH",VLOOKUP(E4629,UPAH!$C$4:$H$31,7,0),VLOOKUP(E4629,#REF!,4,0)),0),0)</f>
        <v>0</v>
      </c>
      <c r="J4629" s="396">
        <f>ROUNDDOWN(J4627+J4628,0)</f>
        <v>0</v>
      </c>
    </row>
    <row r="4630" spans="1:10" ht="13">
      <c r="A4630" s="27"/>
      <c r="B4630" s="110"/>
      <c r="D4630" s="11"/>
      <c r="E4630" s="11"/>
      <c r="H4630" s="443"/>
    </row>
    <row r="4631" spans="1:10" ht="13.5" thickBot="1">
      <c r="A4631" s="27"/>
      <c r="B4631" s="110"/>
      <c r="C4631" s="11" t="s">
        <v>977</v>
      </c>
      <c r="D4631" s="10" t="s">
        <v>978</v>
      </c>
      <c r="H4631" s="443"/>
    </row>
    <row r="4632" spans="1:10" ht="13.5" thickBot="1">
      <c r="A4632" s="27"/>
      <c r="B4632" s="110"/>
      <c r="D4632" s="401" t="s">
        <v>40</v>
      </c>
      <c r="E4632" s="402" t="s">
        <v>41</v>
      </c>
      <c r="F4632" s="402" t="s">
        <v>42</v>
      </c>
      <c r="G4632" s="403" t="s">
        <v>43</v>
      </c>
      <c r="H4632" s="404" t="s">
        <v>44</v>
      </c>
      <c r="I4632" s="402" t="s">
        <v>474</v>
      </c>
      <c r="J4632" s="405" t="s">
        <v>475</v>
      </c>
    </row>
    <row r="4633" spans="1:10" ht="13">
      <c r="A4633" s="27"/>
      <c r="B4633" s="110"/>
      <c r="D4633" s="406" t="s">
        <v>45</v>
      </c>
      <c r="E4633" s="13" t="s">
        <v>46</v>
      </c>
      <c r="F4633" s="14"/>
      <c r="G4633" s="15"/>
      <c r="H4633" s="451"/>
      <c r="I4633" s="412"/>
      <c r="J4633" s="16"/>
    </row>
    <row r="4634" spans="1:10" ht="13">
      <c r="A4634" s="27"/>
      <c r="B4634" s="110"/>
      <c r="D4634" s="409"/>
      <c r="E4634" s="13" t="s">
        <v>47</v>
      </c>
      <c r="F4634" s="13" t="s">
        <v>1918</v>
      </c>
      <c r="G4634" s="410" t="s">
        <v>48</v>
      </c>
      <c r="H4634" s="411">
        <v>0.7</v>
      </c>
      <c r="I4634" s="412">
        <f>IF(AND(E4634&lt;&gt;"",G4634&lt;&gt;""),IF(D4634="",IF(G4634="OH",VLOOKUP(F4634,UPAH!$B$4:$H$101,7,0),VLOOKUP(F4634,#REF!,4,0)),0),0)</f>
        <v>0</v>
      </c>
      <c r="J4634" s="16">
        <f>H4634*I4634</f>
        <v>0</v>
      </c>
    </row>
    <row r="4635" spans="1:10" ht="13">
      <c r="A4635" s="27"/>
      <c r="B4635" s="110"/>
      <c r="D4635" s="409"/>
      <c r="E4635" s="13" t="s">
        <v>476</v>
      </c>
      <c r="F4635" s="13" t="s">
        <v>1922</v>
      </c>
      <c r="G4635" s="410" t="s">
        <v>48</v>
      </c>
      <c r="H4635" s="411">
        <v>0.35</v>
      </c>
      <c r="I4635" s="412">
        <f>IF(AND(E4635&lt;&gt;"",G4635&lt;&gt;""),IF(D4635="",IF(G4635="OH",VLOOKUP(F4635,UPAH!$B$4:$H$101,7,0),VLOOKUP(F4635,#REF!,4,0)),0),0)</f>
        <v>0</v>
      </c>
      <c r="J4635" s="16">
        <f>H4635*I4635</f>
        <v>0</v>
      </c>
    </row>
    <row r="4636" spans="1:10" ht="13">
      <c r="A4636" s="27"/>
      <c r="B4636" s="110"/>
      <c r="D4636" s="409"/>
      <c r="E4636" s="13" t="s">
        <v>50</v>
      </c>
      <c r="F4636" s="13" t="s">
        <v>1928</v>
      </c>
      <c r="G4636" s="410" t="s">
        <v>48</v>
      </c>
      <c r="H4636" s="411">
        <v>3.5000000000000003E-2</v>
      </c>
      <c r="I4636" s="412">
        <f>IF(AND(E4636&lt;&gt;"",G4636&lt;&gt;""),IF(D4636="",IF(G4636="OH",VLOOKUP(F4636,UPAH!$B$4:$H$101,7,0),VLOOKUP(F4636,#REF!,4,0)),0),0)</f>
        <v>0</v>
      </c>
      <c r="J4636" s="16">
        <f>H4636*I4636</f>
        <v>0</v>
      </c>
    </row>
    <row r="4637" spans="1:10" ht="13.5" thickBot="1">
      <c r="A4637" s="27"/>
      <c r="B4637" s="110"/>
      <c r="D4637" s="409"/>
      <c r="E4637" s="13" t="s">
        <v>51</v>
      </c>
      <c r="F4637" s="13" t="s">
        <v>1929</v>
      </c>
      <c r="G4637" s="410" t="s">
        <v>48</v>
      </c>
      <c r="H4637" s="411">
        <v>3.5000000000000003E-2</v>
      </c>
      <c r="I4637" s="412">
        <f>IF(AND(E4637&lt;&gt;"",G4637&lt;&gt;""),IF(D4637="",IF(G4637="OH",VLOOKUP(F4637,UPAH!$B$4:$H$101,7,0),VLOOKUP(F4637,#REF!,4,0)),0),0)</f>
        <v>0</v>
      </c>
      <c r="J4637" s="16">
        <f>H4637*I4637</f>
        <v>0</v>
      </c>
    </row>
    <row r="4638" spans="1:10" ht="13.5" thickBot="1">
      <c r="A4638" s="27"/>
      <c r="B4638" s="110"/>
      <c r="D4638" s="417"/>
      <c r="E4638" s="418"/>
      <c r="F4638" s="418"/>
      <c r="G4638" s="419"/>
      <c r="H4638" s="420" t="s">
        <v>52</v>
      </c>
      <c r="I4638" s="421"/>
      <c r="J4638" s="396">
        <f>SUM(J4634:J4637)</f>
        <v>0</v>
      </c>
    </row>
    <row r="4639" spans="1:10" ht="13">
      <c r="A4639" s="27"/>
      <c r="B4639" s="110"/>
      <c r="D4639" s="406" t="s">
        <v>53</v>
      </c>
      <c r="E4639" s="13" t="s">
        <v>54</v>
      </c>
      <c r="F4639" s="14"/>
      <c r="G4639" s="15"/>
      <c r="H4639" s="451"/>
      <c r="I4639" s="412"/>
      <c r="J4639" s="16"/>
    </row>
    <row r="4640" spans="1:10" ht="13">
      <c r="A4640" s="27"/>
      <c r="B4640" s="110"/>
      <c r="D4640" s="409"/>
      <c r="E4640" s="13" t="s">
        <v>979</v>
      </c>
      <c r="F4640" s="14"/>
      <c r="G4640" s="410" t="s">
        <v>376</v>
      </c>
      <c r="H4640" s="411">
        <v>1.05</v>
      </c>
      <c r="I4640" s="412">
        <f>'BAHAN '!G734</f>
        <v>0</v>
      </c>
      <c r="J4640" s="16">
        <f>H4640*I4640</f>
        <v>0</v>
      </c>
    </row>
    <row r="4641" spans="1:10" ht="13.5" thickBot="1">
      <c r="A4641" s="27"/>
      <c r="B4641" s="110"/>
      <c r="D4641" s="409"/>
      <c r="E4641" s="13" t="s">
        <v>502</v>
      </c>
      <c r="F4641" s="14"/>
      <c r="G4641" s="410" t="s">
        <v>57</v>
      </c>
      <c r="H4641" s="411">
        <v>0.6</v>
      </c>
      <c r="I4641" s="412">
        <f>'BAHAN '!G816</f>
        <v>0</v>
      </c>
      <c r="J4641" s="16">
        <f>H4641*I4641</f>
        <v>0</v>
      </c>
    </row>
    <row r="4642" spans="1:10" ht="13.5" thickBot="1">
      <c r="A4642" s="27"/>
      <c r="B4642" s="110"/>
      <c r="D4642" s="417"/>
      <c r="E4642" s="418"/>
      <c r="F4642" s="418"/>
      <c r="G4642" s="419"/>
      <c r="H4642" s="420" t="s">
        <v>64</v>
      </c>
      <c r="I4642" s="421"/>
      <c r="J4642" s="396">
        <f>SUM(J4640:J4641)</f>
        <v>0</v>
      </c>
    </row>
    <row r="4643" spans="1:10" ht="13.5" thickBot="1">
      <c r="A4643" s="27"/>
      <c r="B4643" s="110"/>
      <c r="D4643" s="406" t="s">
        <v>65</v>
      </c>
      <c r="E4643" s="13" t="s">
        <v>66</v>
      </c>
      <c r="F4643" s="14"/>
      <c r="G4643" s="15"/>
      <c r="H4643" s="451"/>
      <c r="I4643" s="412">
        <f>IF(AND(E4643&lt;&gt;"",G4643&lt;&gt;""),IF(D4643="",IF(G4643="OH",VLOOKUP(E4643,UPAH!$C$4:$H$31,7,0),VLOOKUP(E4643,#REF!,4,0)),0),0)</f>
        <v>0</v>
      </c>
      <c r="J4643" s="16">
        <f>H4643*I4643</f>
        <v>0</v>
      </c>
    </row>
    <row r="4644" spans="1:10" ht="13.5" thickBot="1">
      <c r="A4644" s="27"/>
      <c r="B4644" s="110"/>
      <c r="D4644" s="417"/>
      <c r="E4644" s="418"/>
      <c r="F4644" s="418"/>
      <c r="G4644" s="419"/>
      <c r="H4644" s="420" t="s">
        <v>67</v>
      </c>
      <c r="I4644" s="421"/>
      <c r="J4644" s="396">
        <f>J4643</f>
        <v>0</v>
      </c>
    </row>
    <row r="4645" spans="1:10" ht="13">
      <c r="A4645" s="27"/>
      <c r="B4645" s="110"/>
      <c r="D4645" s="444" t="s">
        <v>68</v>
      </c>
      <c r="E4645" s="445" t="s">
        <v>69</v>
      </c>
      <c r="F4645" s="446"/>
      <c r="G4645" s="447"/>
      <c r="H4645" s="448"/>
      <c r="I4645" s="449">
        <f>IF(AND(E4645&lt;&gt;"",G4645&lt;&gt;""),IF(D4645="",IF(G4645="OH",VLOOKUP(E4645,UPAH!$C$4:$H$31,7,0),VLOOKUP(E4645,#REF!,4,0)),0),0)</f>
        <v>0</v>
      </c>
      <c r="J4645" s="16">
        <f>SUM(J4634:J4644)/2</f>
        <v>0</v>
      </c>
    </row>
    <row r="4646" spans="1:10" ht="13.5" thickBot="1">
      <c r="A4646" s="27"/>
      <c r="B4646" s="110"/>
      <c r="D4646" s="431" t="s">
        <v>70</v>
      </c>
      <c r="E4646" s="432" t="s">
        <v>477</v>
      </c>
      <c r="F4646" s="433"/>
      <c r="G4646" s="434"/>
      <c r="H4646" s="22">
        <v>0.1</v>
      </c>
      <c r="I4646" s="436"/>
      <c r="J4646" s="430">
        <f>H4646*J4645</f>
        <v>0</v>
      </c>
    </row>
    <row r="4647" spans="1:10" ht="13.5" thickBot="1">
      <c r="A4647" s="27"/>
      <c r="B4647" s="110"/>
      <c r="D4647" s="401" t="s">
        <v>71</v>
      </c>
      <c r="E4647" s="402" t="s">
        <v>72</v>
      </c>
      <c r="F4647" s="418"/>
      <c r="G4647" s="419"/>
      <c r="H4647" s="442"/>
      <c r="I4647" s="421">
        <f>IF(AND(E4647&lt;&gt;"",G4647&lt;&gt;""),IF(D4647="",IF(G4647="OH",VLOOKUP(E4647,UPAH!$C$4:$H$31,7,0),VLOOKUP(E4647,#REF!,4,0)),0),0)</f>
        <v>0</v>
      </c>
      <c r="J4647" s="396">
        <f>ROUNDDOWN(J4645+J4646,0)</f>
        <v>0</v>
      </c>
    </row>
    <row r="4648" spans="1:10" ht="13">
      <c r="A4648" s="27"/>
      <c r="B4648" s="110"/>
      <c r="D4648" s="11"/>
      <c r="E4648" s="11"/>
      <c r="H4648" s="443"/>
    </row>
    <row r="4649" spans="1:10" ht="13.5" thickBot="1">
      <c r="A4649" s="27"/>
      <c r="B4649" s="110"/>
      <c r="C4649" s="11" t="s">
        <v>980</v>
      </c>
      <c r="D4649" s="10" t="s">
        <v>981</v>
      </c>
      <c r="H4649" s="443"/>
    </row>
    <row r="4650" spans="1:10" ht="13.5" thickBot="1">
      <c r="A4650" s="27"/>
      <c r="B4650" s="110"/>
      <c r="D4650" s="401" t="s">
        <v>40</v>
      </c>
      <c r="E4650" s="402" t="s">
        <v>41</v>
      </c>
      <c r="F4650" s="402" t="s">
        <v>42</v>
      </c>
      <c r="G4650" s="403" t="s">
        <v>43</v>
      </c>
      <c r="H4650" s="404" t="s">
        <v>44</v>
      </c>
      <c r="I4650" s="402" t="s">
        <v>474</v>
      </c>
      <c r="J4650" s="405" t="s">
        <v>475</v>
      </c>
    </row>
    <row r="4651" spans="1:10" ht="13">
      <c r="A4651" s="27"/>
      <c r="B4651" s="110"/>
      <c r="D4651" s="406" t="s">
        <v>45</v>
      </c>
      <c r="E4651" s="13" t="s">
        <v>46</v>
      </c>
      <c r="F4651" s="14"/>
      <c r="G4651" s="15"/>
      <c r="H4651" s="451"/>
      <c r="I4651" s="412"/>
      <c r="J4651" s="16"/>
    </row>
    <row r="4652" spans="1:10" ht="13">
      <c r="A4652" s="27"/>
      <c r="B4652" s="110"/>
      <c r="D4652" s="409"/>
      <c r="E4652" s="13" t="s">
        <v>47</v>
      </c>
      <c r="F4652" s="13" t="s">
        <v>1918</v>
      </c>
      <c r="G4652" s="410" t="s">
        <v>48</v>
      </c>
      <c r="H4652" s="411">
        <v>0.7</v>
      </c>
      <c r="I4652" s="412">
        <f>IF(AND(E4652&lt;&gt;"",G4652&lt;&gt;""),IF(D4652="",IF(G4652="OH",VLOOKUP(F4652,UPAH!$B$4:$H$101,7,0),VLOOKUP(F4652,#REF!,4,0)),0),0)</f>
        <v>0</v>
      </c>
      <c r="J4652" s="16">
        <f>H4652*I4652</f>
        <v>0</v>
      </c>
    </row>
    <row r="4653" spans="1:10" ht="13">
      <c r="A4653" s="27"/>
      <c r="B4653" s="110"/>
      <c r="D4653" s="409"/>
      <c r="E4653" s="13" t="s">
        <v>476</v>
      </c>
      <c r="F4653" s="13" t="s">
        <v>1922</v>
      </c>
      <c r="G4653" s="410" t="s">
        <v>48</v>
      </c>
      <c r="H4653" s="411">
        <v>0.35</v>
      </c>
      <c r="I4653" s="412">
        <f>IF(AND(E4653&lt;&gt;"",G4653&lt;&gt;""),IF(D4653="",IF(G4653="OH",VLOOKUP(F4653,UPAH!$B$4:$H$101,7,0),VLOOKUP(F4653,#REF!,4,0)),0),0)</f>
        <v>0</v>
      </c>
      <c r="J4653" s="16">
        <f>H4653*I4653</f>
        <v>0</v>
      </c>
    </row>
    <row r="4654" spans="1:10" ht="13">
      <c r="A4654" s="27"/>
      <c r="B4654" s="110"/>
      <c r="D4654" s="409"/>
      <c r="E4654" s="13" t="s">
        <v>50</v>
      </c>
      <c r="F4654" s="13" t="s">
        <v>1928</v>
      </c>
      <c r="G4654" s="410" t="s">
        <v>48</v>
      </c>
      <c r="H4654" s="411">
        <v>3.5000000000000003E-2</v>
      </c>
      <c r="I4654" s="412">
        <f>IF(AND(E4654&lt;&gt;"",G4654&lt;&gt;""),IF(D4654="",IF(G4654="OH",VLOOKUP(F4654,UPAH!$B$4:$H$101,7,0),VLOOKUP(F4654,#REF!,4,0)),0),0)</f>
        <v>0</v>
      </c>
      <c r="J4654" s="16">
        <f>H4654*I4654</f>
        <v>0</v>
      </c>
    </row>
    <row r="4655" spans="1:10" ht="13.5" thickBot="1">
      <c r="A4655" s="27"/>
      <c r="B4655" s="110"/>
      <c r="D4655" s="409"/>
      <c r="E4655" s="13" t="s">
        <v>51</v>
      </c>
      <c r="F4655" s="13" t="s">
        <v>1929</v>
      </c>
      <c r="G4655" s="410" t="s">
        <v>48</v>
      </c>
      <c r="H4655" s="411">
        <v>3.5000000000000003E-2</v>
      </c>
      <c r="I4655" s="412">
        <f>IF(AND(E4655&lt;&gt;"",G4655&lt;&gt;""),IF(D4655="",IF(G4655="OH",VLOOKUP(F4655,UPAH!$B$4:$H$101,7,0),VLOOKUP(F4655,#REF!,4,0)),0),0)</f>
        <v>0</v>
      </c>
      <c r="J4655" s="16">
        <f>H4655*I4655</f>
        <v>0</v>
      </c>
    </row>
    <row r="4656" spans="1:10" ht="13.5" thickBot="1">
      <c r="A4656" s="27"/>
      <c r="B4656" s="110"/>
      <c r="D4656" s="417"/>
      <c r="E4656" s="418"/>
      <c r="F4656" s="418"/>
      <c r="G4656" s="419"/>
      <c r="H4656" s="420" t="s">
        <v>52</v>
      </c>
      <c r="I4656" s="421"/>
      <c r="J4656" s="396">
        <f>SUM(J4652:J4655)</f>
        <v>0</v>
      </c>
    </row>
    <row r="4657" spans="1:10" ht="13">
      <c r="A4657" s="27"/>
      <c r="B4657" s="110"/>
      <c r="D4657" s="406" t="s">
        <v>53</v>
      </c>
      <c r="E4657" s="13" t="s">
        <v>54</v>
      </c>
      <c r="F4657" s="14"/>
      <c r="G4657" s="15"/>
      <c r="H4657" s="451"/>
      <c r="I4657" s="412"/>
      <c r="J4657" s="16"/>
    </row>
    <row r="4658" spans="1:10" ht="13">
      <c r="A4658" s="27"/>
      <c r="B4658" s="110"/>
      <c r="D4658" s="409"/>
      <c r="E4658" s="13" t="s">
        <v>982</v>
      </c>
      <c r="F4658" s="14"/>
      <c r="G4658" s="410" t="s">
        <v>376</v>
      </c>
      <c r="H4658" s="411">
        <v>1.05</v>
      </c>
      <c r="I4658" s="412">
        <f>'BAHAN '!G730</f>
        <v>0</v>
      </c>
      <c r="J4658" s="16">
        <f>H4658*I4658</f>
        <v>0</v>
      </c>
    </row>
    <row r="4659" spans="1:10" ht="13.5" thickBot="1">
      <c r="A4659" s="27"/>
      <c r="B4659" s="110"/>
      <c r="D4659" s="409"/>
      <c r="E4659" s="13" t="s">
        <v>502</v>
      </c>
      <c r="F4659" s="14"/>
      <c r="G4659" s="410" t="s">
        <v>57</v>
      </c>
      <c r="H4659" s="411">
        <v>0.6</v>
      </c>
      <c r="I4659" s="412">
        <f>'BAHAN '!G816</f>
        <v>0</v>
      </c>
      <c r="J4659" s="16">
        <f>H4659*I4659</f>
        <v>0</v>
      </c>
    </row>
    <row r="4660" spans="1:10" ht="13.5" thickBot="1">
      <c r="A4660" s="27"/>
      <c r="B4660" s="110"/>
      <c r="D4660" s="417"/>
      <c r="E4660" s="418"/>
      <c r="F4660" s="418"/>
      <c r="G4660" s="419"/>
      <c r="H4660" s="420" t="s">
        <v>64</v>
      </c>
      <c r="I4660" s="421"/>
      <c r="J4660" s="396">
        <f>SUM(J4658:J4659)</f>
        <v>0</v>
      </c>
    </row>
    <row r="4661" spans="1:10" ht="13.5" thickBot="1">
      <c r="A4661" s="27"/>
      <c r="B4661" s="110"/>
      <c r="D4661" s="406" t="s">
        <v>65</v>
      </c>
      <c r="E4661" s="13" t="s">
        <v>66</v>
      </c>
      <c r="F4661" s="14"/>
      <c r="G4661" s="15"/>
      <c r="H4661" s="451"/>
      <c r="I4661" s="412">
        <f>IF(AND(E4661&lt;&gt;"",G4661&lt;&gt;""),IF(D4661="",IF(G4661="OH",VLOOKUP(E4661,UPAH!$C$4:$H$31,7,0),VLOOKUP(E4661,#REF!,4,0)),0),0)</f>
        <v>0</v>
      </c>
      <c r="J4661" s="16">
        <f>H4661*I4661</f>
        <v>0</v>
      </c>
    </row>
    <row r="4662" spans="1:10" ht="13.5" thickBot="1">
      <c r="A4662" s="27"/>
      <c r="B4662" s="110"/>
      <c r="D4662" s="417"/>
      <c r="E4662" s="418"/>
      <c r="F4662" s="418"/>
      <c r="G4662" s="419"/>
      <c r="H4662" s="420" t="s">
        <v>67</v>
      </c>
      <c r="I4662" s="421"/>
      <c r="J4662" s="396">
        <f>J4661</f>
        <v>0</v>
      </c>
    </row>
    <row r="4663" spans="1:10" ht="13">
      <c r="A4663" s="27"/>
      <c r="B4663" s="110"/>
      <c r="D4663" s="444" t="s">
        <v>68</v>
      </c>
      <c r="E4663" s="445" t="s">
        <v>69</v>
      </c>
      <c r="F4663" s="446"/>
      <c r="G4663" s="447"/>
      <c r="H4663" s="448"/>
      <c r="I4663" s="449">
        <f>IF(AND(E4663&lt;&gt;"",G4663&lt;&gt;""),IF(D4663="",IF(G4663="OH",VLOOKUP(E4663,UPAH!$C$4:$H$31,7,0),VLOOKUP(E4663,#REF!,4,0)),0),0)</f>
        <v>0</v>
      </c>
      <c r="J4663" s="16">
        <f>SUM(J4652:J4662)/2</f>
        <v>0</v>
      </c>
    </row>
    <row r="4664" spans="1:10" ht="13.5" thickBot="1">
      <c r="A4664" s="27"/>
      <c r="B4664" s="110"/>
      <c r="D4664" s="431" t="s">
        <v>70</v>
      </c>
      <c r="E4664" s="432" t="s">
        <v>477</v>
      </c>
      <c r="F4664" s="433"/>
      <c r="G4664" s="434"/>
      <c r="H4664" s="22">
        <v>0.1</v>
      </c>
      <c r="I4664" s="436"/>
      <c r="J4664" s="430">
        <f>H4664*J4663</f>
        <v>0</v>
      </c>
    </row>
    <row r="4665" spans="1:10" ht="13.5" thickBot="1">
      <c r="A4665" s="27"/>
      <c r="B4665" s="110"/>
      <c r="D4665" s="401" t="s">
        <v>71</v>
      </c>
      <c r="E4665" s="402" t="s">
        <v>72</v>
      </c>
      <c r="F4665" s="418"/>
      <c r="G4665" s="419"/>
      <c r="H4665" s="442"/>
      <c r="I4665" s="421">
        <f>IF(AND(E4665&lt;&gt;"",G4665&lt;&gt;""),IF(D4665="",IF(G4665="OH",VLOOKUP(E4665,UPAH!$C$4:$H$31,7,0),VLOOKUP(E4665,#REF!,4,0)),0),0)</f>
        <v>0</v>
      </c>
      <c r="J4665" s="396">
        <f>ROUNDDOWN(J4663+J4664,0)</f>
        <v>0</v>
      </c>
    </row>
    <row r="4666" spans="1:10" ht="13">
      <c r="A4666" s="27"/>
      <c r="B4666" s="110"/>
      <c r="D4666" s="11"/>
      <c r="E4666" s="11"/>
      <c r="H4666" s="443"/>
    </row>
    <row r="4667" spans="1:10" ht="13.5" thickBot="1">
      <c r="A4667" s="27"/>
      <c r="B4667" s="110"/>
      <c r="C4667" s="11" t="s">
        <v>983</v>
      </c>
      <c r="D4667" s="10" t="s">
        <v>984</v>
      </c>
      <c r="H4667" s="443"/>
    </row>
    <row r="4668" spans="1:10" ht="13.5" thickBot="1">
      <c r="A4668" s="27"/>
      <c r="B4668" s="110"/>
      <c r="D4668" s="401" t="s">
        <v>40</v>
      </c>
      <c r="E4668" s="402" t="s">
        <v>41</v>
      </c>
      <c r="F4668" s="402" t="s">
        <v>42</v>
      </c>
      <c r="G4668" s="403" t="s">
        <v>43</v>
      </c>
      <c r="H4668" s="404" t="s">
        <v>44</v>
      </c>
      <c r="I4668" s="402" t="s">
        <v>474</v>
      </c>
      <c r="J4668" s="405" t="s">
        <v>475</v>
      </c>
    </row>
    <row r="4669" spans="1:10" ht="13">
      <c r="A4669" s="27"/>
      <c r="B4669" s="110"/>
      <c r="D4669" s="406" t="s">
        <v>45</v>
      </c>
      <c r="E4669" s="13" t="s">
        <v>46</v>
      </c>
      <c r="F4669" s="14"/>
      <c r="G4669" s="15"/>
      <c r="H4669" s="451"/>
      <c r="I4669" s="412"/>
      <c r="J4669" s="16"/>
    </row>
    <row r="4670" spans="1:10" ht="13">
      <c r="A4670" s="27"/>
      <c r="B4670" s="110"/>
      <c r="D4670" s="409"/>
      <c r="E4670" s="13" t="s">
        <v>47</v>
      </c>
      <c r="F4670" s="13" t="s">
        <v>1918</v>
      </c>
      <c r="G4670" s="410" t="s">
        <v>48</v>
      </c>
      <c r="H4670" s="411">
        <v>1</v>
      </c>
      <c r="I4670" s="412">
        <f>IF(AND(E4670&lt;&gt;"",G4670&lt;&gt;""),IF(D4670="",IF(G4670="OH",VLOOKUP(F4670,UPAH!$B$4:$H$101,7,0),VLOOKUP(F4670,#REF!,4,0)),0),0)</f>
        <v>0</v>
      </c>
      <c r="J4670" s="16">
        <f>H4670*I4670</f>
        <v>0</v>
      </c>
    </row>
    <row r="4671" spans="1:10" ht="13">
      <c r="A4671" s="27"/>
      <c r="B4671" s="110"/>
      <c r="D4671" s="409"/>
      <c r="E4671" s="13" t="s">
        <v>115</v>
      </c>
      <c r="F4671" s="13" t="s">
        <v>1921</v>
      </c>
      <c r="G4671" s="410" t="s">
        <v>48</v>
      </c>
      <c r="H4671" s="411">
        <v>0.5</v>
      </c>
      <c r="I4671" s="412">
        <f>IF(AND(E4671&lt;&gt;"",G4671&lt;&gt;""),IF(D4671="",IF(G4671="OH",VLOOKUP(F4671,UPAH!$B$4:$H$101,7,0),VLOOKUP(F4671,#REF!,4,0)),0),0)</f>
        <v>0</v>
      </c>
      <c r="J4671" s="16">
        <f>H4671*I4671</f>
        <v>0</v>
      </c>
    </row>
    <row r="4672" spans="1:10" ht="13">
      <c r="A4672" s="27"/>
      <c r="B4672" s="110"/>
      <c r="D4672" s="409"/>
      <c r="E4672" s="13" t="s">
        <v>50</v>
      </c>
      <c r="F4672" s="13" t="s">
        <v>1928</v>
      </c>
      <c r="G4672" s="410" t="s">
        <v>48</v>
      </c>
      <c r="H4672" s="411">
        <v>0.05</v>
      </c>
      <c r="I4672" s="412">
        <f>IF(AND(E4672&lt;&gt;"",G4672&lt;&gt;""),IF(D4672="",IF(G4672="OH",VLOOKUP(F4672,UPAH!$B$4:$H$101,7,0),VLOOKUP(F4672,#REF!,4,0)),0),0)</f>
        <v>0</v>
      </c>
      <c r="J4672" s="16">
        <f>H4672*I4672</f>
        <v>0</v>
      </c>
    </row>
    <row r="4673" spans="1:10" ht="13.5" thickBot="1">
      <c r="A4673" s="27"/>
      <c r="B4673" s="110"/>
      <c r="D4673" s="409"/>
      <c r="E4673" s="13" t="s">
        <v>51</v>
      </c>
      <c r="F4673" s="13" t="s">
        <v>1929</v>
      </c>
      <c r="G4673" s="410" t="s">
        <v>48</v>
      </c>
      <c r="H4673" s="411">
        <v>0.05</v>
      </c>
      <c r="I4673" s="412">
        <f>IF(AND(E4673&lt;&gt;"",G4673&lt;&gt;""),IF(D4673="",IF(G4673="OH",VLOOKUP(F4673,UPAH!$B$4:$H$101,7,0),VLOOKUP(F4673,#REF!,4,0)),0),0)</f>
        <v>0</v>
      </c>
      <c r="J4673" s="16">
        <f>H4673*I4673</f>
        <v>0</v>
      </c>
    </row>
    <row r="4674" spans="1:10" ht="13.5" thickBot="1">
      <c r="A4674" s="27"/>
      <c r="B4674" s="110"/>
      <c r="D4674" s="417"/>
      <c r="E4674" s="418"/>
      <c r="F4674" s="418"/>
      <c r="G4674" s="419"/>
      <c r="H4674" s="420" t="s">
        <v>52</v>
      </c>
      <c r="I4674" s="421"/>
      <c r="J4674" s="396">
        <f>SUM(J4670:J4673)</f>
        <v>0</v>
      </c>
    </row>
    <row r="4675" spans="1:10" ht="13">
      <c r="A4675" s="27"/>
      <c r="B4675" s="110"/>
      <c r="D4675" s="406" t="s">
        <v>53</v>
      </c>
      <c r="E4675" s="13" t="s">
        <v>54</v>
      </c>
      <c r="F4675" s="14"/>
      <c r="G4675" s="15"/>
      <c r="H4675" s="451"/>
      <c r="I4675" s="412"/>
      <c r="J4675" s="16"/>
    </row>
    <row r="4676" spans="1:10" ht="13">
      <c r="A4676" s="27"/>
      <c r="B4676" s="110"/>
      <c r="D4676" s="409"/>
      <c r="E4676" s="13" t="s">
        <v>985</v>
      </c>
      <c r="F4676" s="14"/>
      <c r="G4676" s="410" t="s">
        <v>87</v>
      </c>
      <c r="H4676" s="411">
        <v>86</v>
      </c>
      <c r="I4676" s="412">
        <f>'BAHAN '!G301</f>
        <v>0</v>
      </c>
      <c r="J4676" s="16">
        <f>H4676*I4676</f>
        <v>0</v>
      </c>
    </row>
    <row r="4677" spans="1:10" ht="13">
      <c r="A4677" s="27"/>
      <c r="B4677" s="110"/>
      <c r="D4677" s="409"/>
      <c r="E4677" s="13" t="s">
        <v>56</v>
      </c>
      <c r="F4677" s="14"/>
      <c r="G4677" s="410" t="s">
        <v>57</v>
      </c>
      <c r="H4677" s="411">
        <v>9.3000000000000007</v>
      </c>
      <c r="I4677" s="412">
        <f>'BAHAN '!G72</f>
        <v>0</v>
      </c>
      <c r="J4677" s="16">
        <f>H4677*I4677</f>
        <v>0</v>
      </c>
    </row>
    <row r="4678" spans="1:10" ht="13">
      <c r="A4678" s="27"/>
      <c r="B4678" s="110"/>
      <c r="D4678" s="409"/>
      <c r="E4678" s="13" t="s">
        <v>101</v>
      </c>
      <c r="F4678" s="14"/>
      <c r="G4678" s="410" t="s">
        <v>170</v>
      </c>
      <c r="H4678" s="411">
        <v>1.7999999999999999E-2</v>
      </c>
      <c r="I4678" s="412">
        <f>'BAHAN '!G59</f>
        <v>0</v>
      </c>
      <c r="J4678" s="16">
        <f>H4678*I4678</f>
        <v>0</v>
      </c>
    </row>
    <row r="4679" spans="1:10" ht="13.5" thickBot="1">
      <c r="A4679" s="27"/>
      <c r="B4679" s="110"/>
      <c r="D4679" s="409"/>
      <c r="E4679" s="13" t="s">
        <v>442</v>
      </c>
      <c r="F4679" s="14"/>
      <c r="G4679" s="410" t="s">
        <v>57</v>
      </c>
      <c r="H4679" s="411">
        <v>1.5</v>
      </c>
      <c r="I4679" s="412">
        <f>'BAHAN '!G74</f>
        <v>0</v>
      </c>
      <c r="J4679" s="16">
        <f>H4679*I4679</f>
        <v>0</v>
      </c>
    </row>
    <row r="4680" spans="1:10" ht="13.5" thickBot="1">
      <c r="A4680" s="27"/>
      <c r="B4680" s="110"/>
      <c r="D4680" s="417"/>
      <c r="E4680" s="418"/>
      <c r="F4680" s="418"/>
      <c r="G4680" s="419"/>
      <c r="H4680" s="420" t="s">
        <v>64</v>
      </c>
      <c r="I4680" s="421"/>
      <c r="J4680" s="396">
        <f>SUM(J4676:J4679)</f>
        <v>0</v>
      </c>
    </row>
    <row r="4681" spans="1:10" ht="13.5" thickBot="1">
      <c r="A4681" s="27"/>
      <c r="B4681" s="110"/>
      <c r="D4681" s="406" t="s">
        <v>65</v>
      </c>
      <c r="E4681" s="13" t="s">
        <v>66</v>
      </c>
      <c r="F4681" s="14"/>
      <c r="G4681" s="15"/>
      <c r="H4681" s="451"/>
      <c r="I4681" s="412">
        <f>IF(AND(E4681&lt;&gt;"",G4681&lt;&gt;""),IF(D4681="",IF(G4681="OH",VLOOKUP(E4681,UPAH!$C$4:$H$31,7,0),VLOOKUP(E4681,#REF!,4,0)),0),0)</f>
        <v>0</v>
      </c>
      <c r="J4681" s="16">
        <f>H4681*I4681</f>
        <v>0</v>
      </c>
    </row>
    <row r="4682" spans="1:10" ht="13.5" thickBot="1">
      <c r="A4682" s="27"/>
      <c r="B4682" s="110"/>
      <c r="D4682" s="417"/>
      <c r="E4682" s="418"/>
      <c r="F4682" s="418"/>
      <c r="G4682" s="419"/>
      <c r="H4682" s="420" t="s">
        <v>67</v>
      </c>
      <c r="I4682" s="421"/>
      <c r="J4682" s="396">
        <f>J4681</f>
        <v>0</v>
      </c>
    </row>
    <row r="4683" spans="1:10" ht="13">
      <c r="A4683" s="27"/>
      <c r="B4683" s="110"/>
      <c r="D4683" s="444" t="s">
        <v>68</v>
      </c>
      <c r="E4683" s="445" t="s">
        <v>69</v>
      </c>
      <c r="F4683" s="446"/>
      <c r="G4683" s="447"/>
      <c r="H4683" s="448"/>
      <c r="I4683" s="449">
        <f>IF(AND(E4683&lt;&gt;"",G4683&lt;&gt;""),IF(D4683="",IF(G4683="OH",VLOOKUP(E4683,UPAH!$C$4:$H$31,7,0),VLOOKUP(E4683,#REF!,4,0)),0),0)</f>
        <v>0</v>
      </c>
      <c r="J4683" s="16">
        <f>SUM(J4670:J4682)/2</f>
        <v>0</v>
      </c>
    </row>
    <row r="4684" spans="1:10" ht="13.5" thickBot="1">
      <c r="A4684" s="27"/>
      <c r="B4684" s="110"/>
      <c r="D4684" s="431" t="s">
        <v>70</v>
      </c>
      <c r="E4684" s="432" t="s">
        <v>477</v>
      </c>
      <c r="F4684" s="433"/>
      <c r="G4684" s="434"/>
      <c r="H4684" s="22">
        <v>0.1</v>
      </c>
      <c r="I4684" s="436"/>
      <c r="J4684" s="430">
        <f>H4684*J4683</f>
        <v>0</v>
      </c>
    </row>
    <row r="4685" spans="1:10" ht="13.5" thickBot="1">
      <c r="A4685" s="27"/>
      <c r="B4685" s="110"/>
      <c r="D4685" s="401" t="s">
        <v>71</v>
      </c>
      <c r="E4685" s="402" t="s">
        <v>72</v>
      </c>
      <c r="F4685" s="418"/>
      <c r="G4685" s="419"/>
      <c r="H4685" s="442"/>
      <c r="I4685" s="421">
        <f>IF(AND(E4685&lt;&gt;"",G4685&lt;&gt;""),IF(D4685="",IF(G4685="OH",VLOOKUP(E4685,UPAH!$C$4:$H$31,7,0),VLOOKUP(E4685,#REF!,4,0)),0),0)</f>
        <v>0</v>
      </c>
      <c r="J4685" s="396">
        <f>ROUNDDOWN(J4683+J4684,0)</f>
        <v>0</v>
      </c>
    </row>
    <row r="4686" spans="1:10" ht="13">
      <c r="A4686" s="27"/>
      <c r="B4686" s="110"/>
      <c r="D4686" s="11"/>
      <c r="E4686" s="11"/>
      <c r="H4686" s="443"/>
    </row>
    <row r="4687" spans="1:10" ht="13.5" thickBot="1">
      <c r="A4687" s="27"/>
      <c r="B4687" s="110"/>
      <c r="C4687" s="11" t="s">
        <v>986</v>
      </c>
      <c r="D4687" s="10" t="s">
        <v>987</v>
      </c>
      <c r="H4687" s="443"/>
    </row>
    <row r="4688" spans="1:10" ht="13.5" thickBot="1">
      <c r="A4688" s="27"/>
      <c r="B4688" s="110"/>
      <c r="D4688" s="401" t="s">
        <v>40</v>
      </c>
      <c r="E4688" s="402" t="s">
        <v>41</v>
      </c>
      <c r="F4688" s="402" t="s">
        <v>42</v>
      </c>
      <c r="G4688" s="403" t="s">
        <v>43</v>
      </c>
      <c r="H4688" s="404" t="s">
        <v>44</v>
      </c>
      <c r="I4688" s="402" t="s">
        <v>474</v>
      </c>
      <c r="J4688" s="405" t="s">
        <v>475</v>
      </c>
    </row>
    <row r="4689" spans="1:10" ht="13">
      <c r="A4689" s="27"/>
      <c r="B4689" s="110"/>
      <c r="D4689" s="406" t="s">
        <v>45</v>
      </c>
      <c r="E4689" s="13" t="s">
        <v>46</v>
      </c>
      <c r="F4689" s="14"/>
      <c r="G4689" s="15"/>
      <c r="H4689" s="451"/>
      <c r="I4689" s="412"/>
      <c r="J4689" s="16"/>
    </row>
    <row r="4690" spans="1:10" ht="13">
      <c r="A4690" s="27"/>
      <c r="B4690" s="110"/>
      <c r="D4690" s="409"/>
      <c r="E4690" s="13" t="s">
        <v>47</v>
      </c>
      <c r="F4690" s="13" t="s">
        <v>1918</v>
      </c>
      <c r="G4690" s="410" t="s">
        <v>48</v>
      </c>
      <c r="H4690" s="411">
        <v>0.9</v>
      </c>
      <c r="I4690" s="412">
        <f>IF(AND(E4690&lt;&gt;"",G4690&lt;&gt;""),IF(D4690="",IF(G4690="OH",VLOOKUP(F4690,UPAH!$B$4:$H$101,7,0),VLOOKUP(F4690,#REF!,4,0)),0),0)</f>
        <v>0</v>
      </c>
      <c r="J4690" s="16">
        <f>H4690*I4690</f>
        <v>0</v>
      </c>
    </row>
    <row r="4691" spans="1:10" ht="13">
      <c r="A4691" s="27"/>
      <c r="B4691" s="110"/>
      <c r="D4691" s="409"/>
      <c r="E4691" s="13" t="s">
        <v>115</v>
      </c>
      <c r="F4691" s="13" t="s">
        <v>1921</v>
      </c>
      <c r="G4691" s="410" t="s">
        <v>48</v>
      </c>
      <c r="H4691" s="411">
        <v>0.45</v>
      </c>
      <c r="I4691" s="412">
        <f>IF(AND(E4691&lt;&gt;"",G4691&lt;&gt;""),IF(D4691="",IF(G4691="OH",VLOOKUP(F4691,UPAH!$B$4:$H$101,7,0),VLOOKUP(F4691,#REF!,4,0)),0),0)</f>
        <v>0</v>
      </c>
      <c r="J4691" s="16">
        <f>H4691*I4691</f>
        <v>0</v>
      </c>
    </row>
    <row r="4692" spans="1:10" ht="13">
      <c r="A4692" s="27"/>
      <c r="B4692" s="110"/>
      <c r="D4692" s="409"/>
      <c r="E4692" s="13" t="s">
        <v>50</v>
      </c>
      <c r="F4692" s="13" t="s">
        <v>1928</v>
      </c>
      <c r="G4692" s="410" t="s">
        <v>48</v>
      </c>
      <c r="H4692" s="411">
        <v>4.4999999999999998E-2</v>
      </c>
      <c r="I4692" s="412">
        <f>IF(AND(E4692&lt;&gt;"",G4692&lt;&gt;""),IF(D4692="",IF(G4692="OH",VLOOKUP(F4692,UPAH!$B$4:$H$101,7,0),VLOOKUP(F4692,#REF!,4,0)),0),0)</f>
        <v>0</v>
      </c>
      <c r="J4692" s="16">
        <f>H4692*I4692</f>
        <v>0</v>
      </c>
    </row>
    <row r="4693" spans="1:10" ht="13.5" thickBot="1">
      <c r="A4693" s="27"/>
      <c r="B4693" s="110"/>
      <c r="D4693" s="409"/>
      <c r="E4693" s="13" t="s">
        <v>51</v>
      </c>
      <c r="F4693" s="13" t="s">
        <v>1929</v>
      </c>
      <c r="G4693" s="410" t="s">
        <v>48</v>
      </c>
      <c r="H4693" s="411">
        <v>4.4999999999999998E-2</v>
      </c>
      <c r="I4693" s="412">
        <f>IF(AND(E4693&lt;&gt;"",G4693&lt;&gt;""),IF(D4693="",IF(G4693="OH",VLOOKUP(F4693,UPAH!$B$4:$H$101,7,0),VLOOKUP(F4693,#REF!,4,0)),0),0)</f>
        <v>0</v>
      </c>
      <c r="J4693" s="16">
        <f>H4693*I4693</f>
        <v>0</v>
      </c>
    </row>
    <row r="4694" spans="1:10" ht="13.5" thickBot="1">
      <c r="A4694" s="27"/>
      <c r="B4694" s="110"/>
      <c r="D4694" s="417"/>
      <c r="E4694" s="418"/>
      <c r="F4694" s="418"/>
      <c r="G4694" s="419"/>
      <c r="H4694" s="420" t="s">
        <v>52</v>
      </c>
      <c r="I4694" s="421"/>
      <c r="J4694" s="396">
        <f>SUM(J4690:J4693)</f>
        <v>0</v>
      </c>
    </row>
    <row r="4695" spans="1:10" ht="13">
      <c r="A4695" s="27"/>
      <c r="B4695" s="110"/>
      <c r="D4695" s="406" t="s">
        <v>53</v>
      </c>
      <c r="E4695" s="13" t="s">
        <v>54</v>
      </c>
      <c r="F4695" s="14"/>
      <c r="G4695" s="15"/>
      <c r="H4695" s="451"/>
      <c r="I4695" s="412"/>
      <c r="J4695" s="16"/>
    </row>
    <row r="4696" spans="1:10" ht="13">
      <c r="A4696" s="27"/>
      <c r="B4696" s="110"/>
      <c r="D4696" s="409"/>
      <c r="E4696" s="13" t="s">
        <v>988</v>
      </c>
      <c r="F4696" s="14"/>
      <c r="G4696" s="410" t="s">
        <v>87</v>
      </c>
      <c r="H4696" s="411">
        <v>53</v>
      </c>
      <c r="I4696" s="412">
        <f>'BAHAN '!G1034</f>
        <v>0</v>
      </c>
      <c r="J4696" s="16">
        <f>H4696*I4696</f>
        <v>0</v>
      </c>
    </row>
    <row r="4697" spans="1:10" ht="13">
      <c r="A4697" s="27"/>
      <c r="B4697" s="110"/>
      <c r="D4697" s="409"/>
      <c r="E4697" s="13" t="s">
        <v>56</v>
      </c>
      <c r="F4697" s="14"/>
      <c r="G4697" s="410" t="s">
        <v>57</v>
      </c>
      <c r="H4697" s="411">
        <v>9.3000000000000007</v>
      </c>
      <c r="I4697" s="412">
        <f>'BAHAN '!G72</f>
        <v>0</v>
      </c>
      <c r="J4697" s="16">
        <f>H4697*I4697</f>
        <v>0</v>
      </c>
    </row>
    <row r="4698" spans="1:10" ht="13">
      <c r="A4698" s="27"/>
      <c r="B4698" s="110"/>
      <c r="D4698" s="409"/>
      <c r="E4698" s="13" t="s">
        <v>101</v>
      </c>
      <c r="F4698" s="14"/>
      <c r="G4698" s="410" t="s">
        <v>170</v>
      </c>
      <c r="H4698" s="411">
        <v>1.7999999999999999E-2</v>
      </c>
      <c r="I4698" s="412">
        <f>'BAHAN '!G59</f>
        <v>0</v>
      </c>
      <c r="J4698" s="16">
        <f>H4698*I4698</f>
        <v>0</v>
      </c>
    </row>
    <row r="4699" spans="1:10" ht="13.5" thickBot="1">
      <c r="A4699" s="27"/>
      <c r="B4699" s="110"/>
      <c r="D4699" s="409"/>
      <c r="E4699" s="13" t="s">
        <v>442</v>
      </c>
      <c r="F4699" s="14"/>
      <c r="G4699" s="410" t="s">
        <v>57</v>
      </c>
      <c r="H4699" s="411">
        <v>2.75</v>
      </c>
      <c r="I4699" s="412">
        <f>'BAHAN '!G74</f>
        <v>0</v>
      </c>
      <c r="J4699" s="16">
        <f>H4699*I4699</f>
        <v>0</v>
      </c>
    </row>
    <row r="4700" spans="1:10" ht="13.5" thickBot="1">
      <c r="A4700" s="27"/>
      <c r="B4700" s="110"/>
      <c r="D4700" s="417"/>
      <c r="E4700" s="418"/>
      <c r="F4700" s="418"/>
      <c r="G4700" s="419"/>
      <c r="H4700" s="420" t="s">
        <v>64</v>
      </c>
      <c r="I4700" s="421"/>
      <c r="J4700" s="396">
        <f>SUM(J4696:J4699)</f>
        <v>0</v>
      </c>
    </row>
    <row r="4701" spans="1:10" ht="13.5" thickBot="1">
      <c r="A4701" s="27"/>
      <c r="B4701" s="110"/>
      <c r="D4701" s="406" t="s">
        <v>65</v>
      </c>
      <c r="E4701" s="13" t="s">
        <v>66</v>
      </c>
      <c r="F4701" s="14"/>
      <c r="G4701" s="15"/>
      <c r="H4701" s="451"/>
      <c r="I4701" s="412">
        <f>IF(AND(E4701&lt;&gt;"",G4701&lt;&gt;""),IF(D4701="",IF(G4701="OH",VLOOKUP(E4701,UPAH!$C$4:$H$31,7,0),VLOOKUP(E4701,#REF!,4,0)),0),0)</f>
        <v>0</v>
      </c>
      <c r="J4701" s="16">
        <f>H4701*I4701</f>
        <v>0</v>
      </c>
    </row>
    <row r="4702" spans="1:10" ht="13.5" thickBot="1">
      <c r="A4702" s="27"/>
      <c r="B4702" s="110"/>
      <c r="D4702" s="417"/>
      <c r="E4702" s="418"/>
      <c r="F4702" s="418"/>
      <c r="G4702" s="419"/>
      <c r="H4702" s="420" t="s">
        <v>67</v>
      </c>
      <c r="I4702" s="421"/>
      <c r="J4702" s="396">
        <f>J4701</f>
        <v>0</v>
      </c>
    </row>
    <row r="4703" spans="1:10" ht="13">
      <c r="A4703" s="27"/>
      <c r="B4703" s="110"/>
      <c r="D4703" s="444" t="s">
        <v>68</v>
      </c>
      <c r="E4703" s="445" t="s">
        <v>69</v>
      </c>
      <c r="F4703" s="446"/>
      <c r="G4703" s="447"/>
      <c r="H4703" s="448"/>
      <c r="I4703" s="449">
        <f>IF(AND(E4703&lt;&gt;"",G4703&lt;&gt;""),IF(D4703="",IF(G4703="OH",VLOOKUP(E4703,UPAH!$C$4:$H$31,7,0),VLOOKUP(E4703,#REF!,4,0)),0),0)</f>
        <v>0</v>
      </c>
      <c r="J4703" s="16">
        <f>SUM(J4689:J4702)/2</f>
        <v>0</v>
      </c>
    </row>
    <row r="4704" spans="1:10" ht="13.5" thickBot="1">
      <c r="A4704" s="27"/>
      <c r="B4704" s="110"/>
      <c r="D4704" s="431" t="s">
        <v>70</v>
      </c>
      <c r="E4704" s="432" t="s">
        <v>477</v>
      </c>
      <c r="F4704" s="433"/>
      <c r="G4704" s="434"/>
      <c r="H4704" s="22">
        <v>0.1</v>
      </c>
      <c r="I4704" s="436"/>
      <c r="J4704" s="430">
        <f>H4704*J4703</f>
        <v>0</v>
      </c>
    </row>
    <row r="4705" spans="1:10" ht="13.5" thickBot="1">
      <c r="A4705" s="27"/>
      <c r="B4705" s="110"/>
      <c r="D4705" s="401" t="s">
        <v>71</v>
      </c>
      <c r="E4705" s="402" t="s">
        <v>72</v>
      </c>
      <c r="F4705" s="418"/>
      <c r="G4705" s="419"/>
      <c r="H4705" s="442"/>
      <c r="I4705" s="421">
        <f>IF(AND(E4705&lt;&gt;"",G4705&lt;&gt;""),IF(D4705="",IF(G4705="OH",VLOOKUP(E4705,UPAH!$C$4:$H$31,7,0),VLOOKUP(E4705,#REF!,4,0)),0),0)</f>
        <v>0</v>
      </c>
      <c r="J4705" s="396">
        <f>ROUNDDOWN(J4703+J4704,0)</f>
        <v>0</v>
      </c>
    </row>
    <row r="4706" spans="1:10" ht="13">
      <c r="A4706" s="27"/>
      <c r="B4706" s="110"/>
      <c r="D4706" s="11"/>
      <c r="E4706" s="11"/>
      <c r="H4706" s="443"/>
    </row>
    <row r="4707" spans="1:10" ht="13.5" thickBot="1">
      <c r="A4707" s="27"/>
      <c r="B4707" s="110"/>
      <c r="C4707" s="11" t="s">
        <v>989</v>
      </c>
      <c r="D4707" s="10" t="s">
        <v>990</v>
      </c>
      <c r="H4707" s="443"/>
    </row>
    <row r="4708" spans="1:10" ht="13.5" thickBot="1">
      <c r="A4708" s="27"/>
      <c r="B4708" s="110"/>
      <c r="D4708" s="401" t="s">
        <v>40</v>
      </c>
      <c r="E4708" s="402" t="s">
        <v>41</v>
      </c>
      <c r="F4708" s="402" t="s">
        <v>42</v>
      </c>
      <c r="G4708" s="403" t="s">
        <v>43</v>
      </c>
      <c r="H4708" s="404" t="s">
        <v>44</v>
      </c>
      <c r="I4708" s="402" t="s">
        <v>474</v>
      </c>
      <c r="J4708" s="405" t="s">
        <v>475</v>
      </c>
    </row>
    <row r="4709" spans="1:10" ht="13">
      <c r="A4709" s="27"/>
      <c r="B4709" s="110"/>
      <c r="D4709" s="406" t="s">
        <v>45</v>
      </c>
      <c r="E4709" s="13" t="s">
        <v>46</v>
      </c>
      <c r="F4709" s="14"/>
      <c r="G4709" s="15"/>
      <c r="H4709" s="451"/>
      <c r="I4709" s="412"/>
      <c r="J4709" s="16"/>
    </row>
    <row r="4710" spans="1:10" ht="13">
      <c r="A4710" s="27"/>
      <c r="B4710" s="110"/>
      <c r="D4710" s="409"/>
      <c r="E4710" s="13" t="s">
        <v>47</v>
      </c>
      <c r="F4710" s="13" t="s">
        <v>1918</v>
      </c>
      <c r="G4710" s="410" t="s">
        <v>48</v>
      </c>
      <c r="H4710" s="411">
        <v>0.9</v>
      </c>
      <c r="I4710" s="412">
        <f>IF(AND(E4710&lt;&gt;"",G4710&lt;&gt;""),IF(D4710="",IF(G4710="OH",VLOOKUP(F4710,UPAH!$B$4:$H$101,7,0),VLOOKUP(F4710,#REF!,4,0)),0),0)</f>
        <v>0</v>
      </c>
      <c r="J4710" s="16">
        <f>H4710*I4710</f>
        <v>0</v>
      </c>
    </row>
    <row r="4711" spans="1:10" ht="13">
      <c r="A4711" s="27"/>
      <c r="B4711" s="110"/>
      <c r="D4711" s="409"/>
      <c r="E4711" s="13" t="s">
        <v>115</v>
      </c>
      <c r="F4711" s="13" t="s">
        <v>1921</v>
      </c>
      <c r="G4711" s="410" t="s">
        <v>48</v>
      </c>
      <c r="H4711" s="411">
        <v>0.45</v>
      </c>
      <c r="I4711" s="412">
        <f>IF(AND(E4711&lt;&gt;"",G4711&lt;&gt;""),IF(D4711="",IF(G4711="OH",VLOOKUP(F4711,UPAH!$B$4:$H$101,7,0),VLOOKUP(F4711,#REF!,4,0)),0),0)</f>
        <v>0</v>
      </c>
      <c r="J4711" s="16">
        <f>H4711*I4711</f>
        <v>0</v>
      </c>
    </row>
    <row r="4712" spans="1:10" ht="13">
      <c r="A4712" s="27"/>
      <c r="B4712" s="110"/>
      <c r="D4712" s="409"/>
      <c r="E4712" s="13" t="s">
        <v>50</v>
      </c>
      <c r="F4712" s="13" t="s">
        <v>1928</v>
      </c>
      <c r="G4712" s="410" t="s">
        <v>48</v>
      </c>
      <c r="H4712" s="411">
        <v>4.4999999999999998E-2</v>
      </c>
      <c r="I4712" s="412">
        <f>IF(AND(E4712&lt;&gt;"",G4712&lt;&gt;""),IF(D4712="",IF(G4712="OH",VLOOKUP(F4712,UPAH!$B$4:$H$101,7,0),VLOOKUP(F4712,#REF!,4,0)),0),0)</f>
        <v>0</v>
      </c>
      <c r="J4712" s="16">
        <f>H4712*I4712</f>
        <v>0</v>
      </c>
    </row>
    <row r="4713" spans="1:10" ht="13.5" thickBot="1">
      <c r="A4713" s="27"/>
      <c r="B4713" s="110"/>
      <c r="D4713" s="409"/>
      <c r="E4713" s="13" t="s">
        <v>51</v>
      </c>
      <c r="F4713" s="13" t="s">
        <v>1929</v>
      </c>
      <c r="G4713" s="410" t="s">
        <v>48</v>
      </c>
      <c r="H4713" s="411">
        <v>4.4999999999999998E-2</v>
      </c>
      <c r="I4713" s="412">
        <f>IF(AND(E4713&lt;&gt;"",G4713&lt;&gt;""),IF(D4713="",IF(G4713="OH",VLOOKUP(F4713,UPAH!$B$4:$H$101,7,0),VLOOKUP(F4713,#REF!,4,0)),0),0)</f>
        <v>0</v>
      </c>
      <c r="J4713" s="16">
        <f>H4713*I4713</f>
        <v>0</v>
      </c>
    </row>
    <row r="4714" spans="1:10" ht="13.5" thickBot="1">
      <c r="A4714" s="27"/>
      <c r="B4714" s="110"/>
      <c r="D4714" s="417"/>
      <c r="E4714" s="418"/>
      <c r="F4714" s="418"/>
      <c r="G4714" s="419"/>
      <c r="H4714" s="420" t="s">
        <v>52</v>
      </c>
      <c r="I4714" s="421"/>
      <c r="J4714" s="396">
        <f>SUM(J4710:J4713)</f>
        <v>0</v>
      </c>
    </row>
    <row r="4715" spans="1:10" ht="13">
      <c r="A4715" s="27"/>
      <c r="B4715" s="110"/>
      <c r="D4715" s="406" t="s">
        <v>53</v>
      </c>
      <c r="E4715" s="13" t="s">
        <v>54</v>
      </c>
      <c r="F4715" s="14"/>
      <c r="G4715" s="15"/>
      <c r="H4715" s="451"/>
      <c r="I4715" s="412"/>
      <c r="J4715" s="16"/>
    </row>
    <row r="4716" spans="1:10" ht="13">
      <c r="A4716" s="27"/>
      <c r="B4716" s="110"/>
      <c r="D4716" s="409"/>
      <c r="E4716" s="13" t="s">
        <v>991</v>
      </c>
      <c r="F4716" s="14"/>
      <c r="G4716" s="410" t="s">
        <v>87</v>
      </c>
      <c r="H4716" s="411">
        <v>26</v>
      </c>
      <c r="I4716" s="412">
        <f>'BAHAN '!G1031</f>
        <v>0</v>
      </c>
      <c r="J4716" s="16">
        <f>H4716*I4716</f>
        <v>0</v>
      </c>
    </row>
    <row r="4717" spans="1:10" ht="13">
      <c r="A4717" s="27"/>
      <c r="B4717" s="110"/>
      <c r="D4717" s="409"/>
      <c r="E4717" s="13" t="s">
        <v>56</v>
      </c>
      <c r="F4717" s="14"/>
      <c r="G4717" s="410" t="s">
        <v>57</v>
      </c>
      <c r="H4717" s="411">
        <v>9.3000000000000007</v>
      </c>
      <c r="I4717" s="412">
        <f>'BAHAN '!G72</f>
        <v>0</v>
      </c>
      <c r="J4717" s="16">
        <f>H4717*I4717</f>
        <v>0</v>
      </c>
    </row>
    <row r="4718" spans="1:10" ht="13">
      <c r="A4718" s="27"/>
      <c r="B4718" s="110"/>
      <c r="D4718" s="409"/>
      <c r="E4718" s="13" t="s">
        <v>101</v>
      </c>
      <c r="F4718" s="14"/>
      <c r="G4718" s="410" t="s">
        <v>170</v>
      </c>
      <c r="H4718" s="411">
        <v>1.7999999999999999E-2</v>
      </c>
      <c r="I4718" s="412">
        <f>'BAHAN '!G59</f>
        <v>0</v>
      </c>
      <c r="J4718" s="16">
        <f>H4718*I4718</f>
        <v>0</v>
      </c>
    </row>
    <row r="4719" spans="1:10" ht="13.5" thickBot="1">
      <c r="A4719" s="27"/>
      <c r="B4719" s="110"/>
      <c r="D4719" s="409"/>
      <c r="E4719" s="13" t="s">
        <v>442</v>
      </c>
      <c r="F4719" s="14"/>
      <c r="G4719" s="410" t="s">
        <v>57</v>
      </c>
      <c r="H4719" s="411">
        <v>1.94</v>
      </c>
      <c r="I4719" s="412">
        <f>'BAHAN '!G74</f>
        <v>0</v>
      </c>
      <c r="J4719" s="16">
        <f>H4719*I4719</f>
        <v>0</v>
      </c>
    </row>
    <row r="4720" spans="1:10" ht="13.5" thickBot="1">
      <c r="A4720" s="27"/>
      <c r="B4720" s="110"/>
      <c r="D4720" s="417"/>
      <c r="E4720" s="418"/>
      <c r="F4720" s="418"/>
      <c r="G4720" s="419"/>
      <c r="H4720" s="420" t="s">
        <v>64</v>
      </c>
      <c r="I4720" s="421"/>
      <c r="J4720" s="396">
        <f>SUM(J4716:J4719)</f>
        <v>0</v>
      </c>
    </row>
    <row r="4721" spans="1:10" ht="13.5" thickBot="1">
      <c r="A4721" s="27"/>
      <c r="B4721" s="110"/>
      <c r="D4721" s="406" t="s">
        <v>65</v>
      </c>
      <c r="E4721" s="13" t="s">
        <v>66</v>
      </c>
      <c r="F4721" s="14"/>
      <c r="G4721" s="15"/>
      <c r="H4721" s="451"/>
      <c r="I4721" s="412">
        <f>IF(AND(E4721&lt;&gt;"",G4721&lt;&gt;""),IF(D4721="",IF(G4721="OH",VLOOKUP(E4721,UPAH!$C$4:$H$31,7,0),VLOOKUP(E4721,#REF!,4,0)),0),0)</f>
        <v>0</v>
      </c>
      <c r="J4721" s="16">
        <f>H4721*I4721</f>
        <v>0</v>
      </c>
    </row>
    <row r="4722" spans="1:10" ht="13.5" thickBot="1">
      <c r="A4722" s="27"/>
      <c r="B4722" s="110"/>
      <c r="D4722" s="417"/>
      <c r="E4722" s="418"/>
      <c r="F4722" s="418"/>
      <c r="G4722" s="419"/>
      <c r="H4722" s="420" t="s">
        <v>67</v>
      </c>
      <c r="I4722" s="421"/>
      <c r="J4722" s="396">
        <f>J4721</f>
        <v>0</v>
      </c>
    </row>
    <row r="4723" spans="1:10" ht="13">
      <c r="A4723" s="27"/>
      <c r="B4723" s="110"/>
      <c r="D4723" s="444" t="s">
        <v>68</v>
      </c>
      <c r="E4723" s="445" t="s">
        <v>69</v>
      </c>
      <c r="F4723" s="446"/>
      <c r="G4723" s="447"/>
      <c r="H4723" s="448"/>
      <c r="I4723" s="449">
        <f>IF(AND(E4723&lt;&gt;"",G4723&lt;&gt;""),IF(D4723="",IF(G4723="OH",VLOOKUP(E4723,UPAH!$C$4:$H$31,7,0),VLOOKUP(E4723,#REF!,4,0)),0),0)</f>
        <v>0</v>
      </c>
      <c r="J4723" s="16">
        <f>SUM(J4710:J4722)/2</f>
        <v>0</v>
      </c>
    </row>
    <row r="4724" spans="1:10" ht="13.5" thickBot="1">
      <c r="A4724" s="27"/>
      <c r="B4724" s="110"/>
      <c r="D4724" s="431" t="s">
        <v>70</v>
      </c>
      <c r="E4724" s="432" t="s">
        <v>477</v>
      </c>
      <c r="F4724" s="433"/>
      <c r="G4724" s="434"/>
      <c r="H4724" s="22">
        <v>0.1</v>
      </c>
      <c r="I4724" s="436"/>
      <c r="J4724" s="430">
        <f>H4724*J4723</f>
        <v>0</v>
      </c>
    </row>
    <row r="4725" spans="1:10" ht="13.5" thickBot="1">
      <c r="A4725" s="27"/>
      <c r="B4725" s="110"/>
      <c r="D4725" s="401" t="s">
        <v>71</v>
      </c>
      <c r="E4725" s="402" t="s">
        <v>72</v>
      </c>
      <c r="F4725" s="418"/>
      <c r="G4725" s="419"/>
      <c r="H4725" s="442"/>
      <c r="I4725" s="421">
        <f>IF(AND(E4725&lt;&gt;"",G4725&lt;&gt;""),IF(D4725="",IF(G4725="OH",VLOOKUP(E4725,UPAH!$C$4:$H$31,7,0),VLOOKUP(E4725,#REF!,4,0)),0),0)</f>
        <v>0</v>
      </c>
      <c r="J4725" s="396">
        <f>ROUNDDOWN(J4723+J4724,0)</f>
        <v>0</v>
      </c>
    </row>
    <row r="4726" spans="1:10" ht="13">
      <c r="A4726" s="27"/>
      <c r="B4726" s="110"/>
      <c r="D4726" s="11"/>
      <c r="E4726" s="11"/>
      <c r="H4726" s="443"/>
    </row>
    <row r="4727" spans="1:10" ht="13.5" thickBot="1">
      <c r="A4727" s="27"/>
      <c r="B4727" s="110"/>
      <c r="C4727" s="11" t="s">
        <v>992</v>
      </c>
      <c r="D4727" s="10" t="s">
        <v>993</v>
      </c>
      <c r="H4727" s="443"/>
    </row>
    <row r="4728" spans="1:10" ht="13.5" thickBot="1">
      <c r="A4728" s="27"/>
      <c r="B4728" s="110"/>
      <c r="D4728" s="401" t="s">
        <v>40</v>
      </c>
      <c r="E4728" s="402" t="s">
        <v>41</v>
      </c>
      <c r="F4728" s="402" t="s">
        <v>42</v>
      </c>
      <c r="G4728" s="403" t="s">
        <v>43</v>
      </c>
      <c r="H4728" s="404" t="s">
        <v>44</v>
      </c>
      <c r="I4728" s="402" t="s">
        <v>474</v>
      </c>
      <c r="J4728" s="405" t="s">
        <v>475</v>
      </c>
    </row>
    <row r="4729" spans="1:10" ht="13">
      <c r="A4729" s="27"/>
      <c r="B4729" s="110"/>
      <c r="D4729" s="406" t="s">
        <v>45</v>
      </c>
      <c r="E4729" s="13" t="s">
        <v>46</v>
      </c>
      <c r="F4729" s="14"/>
      <c r="G4729" s="15"/>
      <c r="H4729" s="451"/>
      <c r="I4729" s="412"/>
      <c r="J4729" s="16"/>
    </row>
    <row r="4730" spans="1:10" ht="13">
      <c r="A4730" s="27"/>
      <c r="B4730" s="110"/>
      <c r="D4730" s="409"/>
      <c r="E4730" s="13" t="s">
        <v>47</v>
      </c>
      <c r="F4730" s="13" t="s">
        <v>1918</v>
      </c>
      <c r="G4730" s="410" t="s">
        <v>48</v>
      </c>
      <c r="H4730" s="411">
        <v>0.9</v>
      </c>
      <c r="I4730" s="412">
        <f>IF(AND(E4730&lt;&gt;"",G4730&lt;&gt;""),IF(D4730="",IF(G4730="OH",VLOOKUP(F4730,UPAH!$B$4:$H$101,7,0),VLOOKUP(F4730,#REF!,4,0)),0),0)</f>
        <v>0</v>
      </c>
      <c r="J4730" s="16">
        <f>H4730*I4730</f>
        <v>0</v>
      </c>
    </row>
    <row r="4731" spans="1:10" ht="13">
      <c r="A4731" s="27"/>
      <c r="B4731" s="110"/>
      <c r="D4731" s="409"/>
      <c r="E4731" s="13" t="s">
        <v>115</v>
      </c>
      <c r="F4731" s="13" t="s">
        <v>1921</v>
      </c>
      <c r="G4731" s="410" t="s">
        <v>48</v>
      </c>
      <c r="H4731" s="411">
        <v>0.45</v>
      </c>
      <c r="I4731" s="412">
        <f>IF(AND(E4731&lt;&gt;"",G4731&lt;&gt;""),IF(D4731="",IF(G4731="OH",VLOOKUP(F4731,UPAH!$B$4:$H$101,7,0),VLOOKUP(F4731,#REF!,4,0)),0),0)</f>
        <v>0</v>
      </c>
      <c r="J4731" s="16">
        <f>H4731*I4731</f>
        <v>0</v>
      </c>
    </row>
    <row r="4732" spans="1:10" ht="13">
      <c r="A4732" s="27"/>
      <c r="B4732" s="110"/>
      <c r="D4732" s="409"/>
      <c r="E4732" s="13" t="s">
        <v>50</v>
      </c>
      <c r="F4732" s="13" t="s">
        <v>1928</v>
      </c>
      <c r="G4732" s="410" t="s">
        <v>48</v>
      </c>
      <c r="H4732" s="411">
        <v>4.4999999999999998E-2</v>
      </c>
      <c r="I4732" s="412">
        <f>IF(AND(E4732&lt;&gt;"",G4732&lt;&gt;""),IF(D4732="",IF(G4732="OH",VLOOKUP(F4732,UPAH!$B$4:$H$101,7,0),VLOOKUP(F4732,#REF!,4,0)),0),0)</f>
        <v>0</v>
      </c>
      <c r="J4732" s="16">
        <f>H4732*I4732</f>
        <v>0</v>
      </c>
    </row>
    <row r="4733" spans="1:10" ht="13.5" thickBot="1">
      <c r="A4733" s="27"/>
      <c r="B4733" s="110"/>
      <c r="D4733" s="409"/>
      <c r="E4733" s="13" t="s">
        <v>51</v>
      </c>
      <c r="F4733" s="13" t="s">
        <v>1929</v>
      </c>
      <c r="G4733" s="410" t="s">
        <v>48</v>
      </c>
      <c r="H4733" s="411">
        <v>4.4999999999999998E-2</v>
      </c>
      <c r="I4733" s="412">
        <f>IF(AND(E4733&lt;&gt;"",G4733&lt;&gt;""),IF(D4733="",IF(G4733="OH",VLOOKUP(F4733,UPAH!$B$4:$H$101,7,0),VLOOKUP(F4733,#REF!,4,0)),0),0)</f>
        <v>0</v>
      </c>
      <c r="J4733" s="16">
        <f>H4733*I4733</f>
        <v>0</v>
      </c>
    </row>
    <row r="4734" spans="1:10" ht="13.5" thickBot="1">
      <c r="A4734" s="27"/>
      <c r="B4734" s="110"/>
      <c r="D4734" s="417"/>
      <c r="E4734" s="418"/>
      <c r="F4734" s="418"/>
      <c r="G4734" s="419"/>
      <c r="H4734" s="420" t="s">
        <v>52</v>
      </c>
      <c r="I4734" s="421"/>
      <c r="J4734" s="396">
        <f>SUM(J4730:J4733)</f>
        <v>0</v>
      </c>
    </row>
    <row r="4735" spans="1:10" ht="13">
      <c r="A4735" s="27"/>
      <c r="B4735" s="110"/>
      <c r="D4735" s="406" t="s">
        <v>53</v>
      </c>
      <c r="E4735" s="13" t="s">
        <v>54</v>
      </c>
      <c r="F4735" s="14"/>
      <c r="G4735" s="15"/>
      <c r="H4735" s="451"/>
      <c r="I4735" s="412"/>
      <c r="J4735" s="16"/>
    </row>
    <row r="4736" spans="1:10" ht="13">
      <c r="A4736" s="27"/>
      <c r="B4736" s="110"/>
      <c r="D4736" s="409"/>
      <c r="E4736" s="13" t="s">
        <v>994</v>
      </c>
      <c r="F4736" s="14"/>
      <c r="G4736" s="410" t="s">
        <v>87</v>
      </c>
      <c r="H4736" s="411">
        <v>53</v>
      </c>
      <c r="I4736" s="412">
        <f>'BAHAN '!G311</f>
        <v>0</v>
      </c>
      <c r="J4736" s="16">
        <f>H4736*I4736</f>
        <v>0</v>
      </c>
    </row>
    <row r="4737" spans="1:10" ht="13">
      <c r="A4737" s="27"/>
      <c r="B4737" s="110"/>
      <c r="D4737" s="409"/>
      <c r="E4737" s="13" t="s">
        <v>56</v>
      </c>
      <c r="F4737" s="14"/>
      <c r="G4737" s="410" t="s">
        <v>57</v>
      </c>
      <c r="H4737" s="411">
        <v>9.3000000000000007</v>
      </c>
      <c r="I4737" s="412">
        <f>'BAHAN '!G72</f>
        <v>0</v>
      </c>
      <c r="J4737" s="16">
        <f>H4737*I4737</f>
        <v>0</v>
      </c>
    </row>
    <row r="4738" spans="1:10" ht="13">
      <c r="A4738" s="27"/>
      <c r="B4738" s="110"/>
      <c r="D4738" s="409"/>
      <c r="E4738" s="13" t="s">
        <v>101</v>
      </c>
      <c r="F4738" s="14"/>
      <c r="G4738" s="410" t="s">
        <v>170</v>
      </c>
      <c r="H4738" s="411">
        <v>1.7999999999999999E-2</v>
      </c>
      <c r="I4738" s="412">
        <f>'BAHAN '!G59</f>
        <v>0</v>
      </c>
      <c r="J4738" s="16">
        <f>H4738*I4738</f>
        <v>0</v>
      </c>
    </row>
    <row r="4739" spans="1:10" ht="13.5" thickBot="1">
      <c r="A4739" s="27"/>
      <c r="B4739" s="110"/>
      <c r="D4739" s="409"/>
      <c r="E4739" s="13" t="s">
        <v>442</v>
      </c>
      <c r="F4739" s="14"/>
      <c r="G4739" s="410" t="s">
        <v>57</v>
      </c>
      <c r="H4739" s="411">
        <v>2.75</v>
      </c>
      <c r="I4739" s="412">
        <f>'BAHAN '!G74</f>
        <v>0</v>
      </c>
      <c r="J4739" s="16">
        <f>H4739*I4739</f>
        <v>0</v>
      </c>
    </row>
    <row r="4740" spans="1:10" ht="13.5" thickBot="1">
      <c r="A4740" s="27"/>
      <c r="B4740" s="110"/>
      <c r="D4740" s="417"/>
      <c r="E4740" s="418"/>
      <c r="F4740" s="418"/>
      <c r="G4740" s="419"/>
      <c r="H4740" s="420" t="s">
        <v>64</v>
      </c>
      <c r="I4740" s="421"/>
      <c r="J4740" s="396">
        <f>SUM(J4736:J4739)</f>
        <v>0</v>
      </c>
    </row>
    <row r="4741" spans="1:10" ht="13.5" thickBot="1">
      <c r="A4741" s="27"/>
      <c r="B4741" s="110"/>
      <c r="D4741" s="406" t="s">
        <v>65</v>
      </c>
      <c r="E4741" s="13" t="s">
        <v>66</v>
      </c>
      <c r="F4741" s="14"/>
      <c r="G4741" s="15"/>
      <c r="H4741" s="451"/>
      <c r="I4741" s="412">
        <f>IF(AND(E4741&lt;&gt;"",G4741&lt;&gt;""),IF(D4741="",IF(G4741="OH",VLOOKUP(E4741,UPAH!$C$4:$H$31,7,0),VLOOKUP(E4741,#REF!,4,0)),0),0)</f>
        <v>0</v>
      </c>
      <c r="J4741" s="16">
        <f>H4741*I4741</f>
        <v>0</v>
      </c>
    </row>
    <row r="4742" spans="1:10" ht="13.5" thickBot="1">
      <c r="A4742" s="27"/>
      <c r="B4742" s="110"/>
      <c r="D4742" s="417"/>
      <c r="E4742" s="418"/>
      <c r="F4742" s="418"/>
      <c r="G4742" s="419"/>
      <c r="H4742" s="420" t="s">
        <v>67</v>
      </c>
      <c r="I4742" s="421"/>
      <c r="J4742" s="396">
        <f>J4741</f>
        <v>0</v>
      </c>
    </row>
    <row r="4743" spans="1:10" ht="13">
      <c r="A4743" s="27"/>
      <c r="B4743" s="110"/>
      <c r="D4743" s="444" t="s">
        <v>68</v>
      </c>
      <c r="E4743" s="445" t="s">
        <v>69</v>
      </c>
      <c r="F4743" s="446"/>
      <c r="G4743" s="447"/>
      <c r="H4743" s="448"/>
      <c r="I4743" s="449">
        <f>IF(AND(E4743&lt;&gt;"",G4743&lt;&gt;""),IF(D4743="",IF(G4743="OH",VLOOKUP(E4743,UPAH!$C$4:$H$31,7,0),VLOOKUP(E4743,#REF!,4,0)),0),0)</f>
        <v>0</v>
      </c>
      <c r="J4743" s="16">
        <f>SUM(J4729:J4742)/2</f>
        <v>0</v>
      </c>
    </row>
    <row r="4744" spans="1:10" ht="13.5" thickBot="1">
      <c r="A4744" s="27"/>
      <c r="B4744" s="110"/>
      <c r="D4744" s="431" t="s">
        <v>70</v>
      </c>
      <c r="E4744" s="432" t="s">
        <v>477</v>
      </c>
      <c r="F4744" s="433"/>
      <c r="G4744" s="434"/>
      <c r="H4744" s="22">
        <v>0.1</v>
      </c>
      <c r="I4744" s="436"/>
      <c r="J4744" s="430">
        <f>H4744*J4743</f>
        <v>0</v>
      </c>
    </row>
    <row r="4745" spans="1:10" ht="13.5" thickBot="1">
      <c r="A4745" s="27"/>
      <c r="B4745" s="110"/>
      <c r="D4745" s="401" t="s">
        <v>71</v>
      </c>
      <c r="E4745" s="402" t="s">
        <v>72</v>
      </c>
      <c r="F4745" s="418"/>
      <c r="G4745" s="419"/>
      <c r="H4745" s="442"/>
      <c r="I4745" s="421">
        <f>IF(AND(E4745&lt;&gt;"",G4745&lt;&gt;""),IF(D4745="",IF(G4745="OH",VLOOKUP(E4745,UPAH!$C$4:$H$31,7,0),VLOOKUP(E4745,#REF!,4,0)),0),0)</f>
        <v>0</v>
      </c>
      <c r="J4745" s="396">
        <f>ROUNDDOWN(J4743+J4744,0)</f>
        <v>0</v>
      </c>
    </row>
    <row r="4746" spans="1:10" ht="13">
      <c r="A4746" s="27"/>
      <c r="B4746" s="110"/>
      <c r="D4746" s="11"/>
      <c r="E4746" s="11"/>
      <c r="H4746" s="443"/>
    </row>
    <row r="4747" spans="1:10" ht="13.5" thickBot="1">
      <c r="A4747" s="27"/>
      <c r="B4747" s="110"/>
      <c r="C4747" s="11" t="s">
        <v>995</v>
      </c>
      <c r="D4747" s="10" t="s">
        <v>996</v>
      </c>
      <c r="H4747" s="443"/>
    </row>
    <row r="4748" spans="1:10" ht="13.5" thickBot="1">
      <c r="A4748" s="27"/>
      <c r="B4748" s="110"/>
      <c r="D4748" s="401" t="s">
        <v>40</v>
      </c>
      <c r="E4748" s="402" t="s">
        <v>41</v>
      </c>
      <c r="F4748" s="402" t="s">
        <v>42</v>
      </c>
      <c r="G4748" s="403" t="s">
        <v>43</v>
      </c>
      <c r="H4748" s="404" t="s">
        <v>44</v>
      </c>
      <c r="I4748" s="402" t="s">
        <v>474</v>
      </c>
      <c r="J4748" s="405" t="s">
        <v>475</v>
      </c>
    </row>
    <row r="4749" spans="1:10" ht="13">
      <c r="A4749" s="27"/>
      <c r="B4749" s="110"/>
      <c r="D4749" s="406" t="s">
        <v>45</v>
      </c>
      <c r="E4749" s="13" t="s">
        <v>46</v>
      </c>
      <c r="F4749" s="14"/>
      <c r="G4749" s="15"/>
      <c r="H4749" s="451"/>
      <c r="I4749" s="412"/>
      <c r="J4749" s="16"/>
    </row>
    <row r="4750" spans="1:10" ht="13">
      <c r="A4750" s="27"/>
      <c r="B4750" s="110"/>
      <c r="D4750" s="409"/>
      <c r="E4750" s="13" t="s">
        <v>47</v>
      </c>
      <c r="F4750" s="13" t="s">
        <v>1918</v>
      </c>
      <c r="G4750" s="410" t="s">
        <v>48</v>
      </c>
      <c r="H4750" s="411">
        <v>0.9</v>
      </c>
      <c r="I4750" s="412">
        <f>IF(AND(E4750&lt;&gt;"",G4750&lt;&gt;""),IF(D4750="",IF(G4750="OH",VLOOKUP(F4750,UPAH!$B$4:$H$101,7,0),VLOOKUP(F4750,#REF!,4,0)),0),0)</f>
        <v>0</v>
      </c>
      <c r="J4750" s="16">
        <f>H4750*I4750</f>
        <v>0</v>
      </c>
    </row>
    <row r="4751" spans="1:10" ht="13">
      <c r="A4751" s="27"/>
      <c r="B4751" s="110"/>
      <c r="D4751" s="409"/>
      <c r="E4751" s="13" t="s">
        <v>115</v>
      </c>
      <c r="F4751" s="13" t="s">
        <v>1921</v>
      </c>
      <c r="G4751" s="410" t="s">
        <v>48</v>
      </c>
      <c r="H4751" s="411">
        <v>0.45</v>
      </c>
      <c r="I4751" s="412">
        <f>IF(AND(E4751&lt;&gt;"",G4751&lt;&gt;""),IF(D4751="",IF(G4751="OH",VLOOKUP(F4751,UPAH!$B$4:$H$101,7,0),VLOOKUP(F4751,#REF!,4,0)),0),0)</f>
        <v>0</v>
      </c>
      <c r="J4751" s="16">
        <f>H4751*I4751</f>
        <v>0</v>
      </c>
    </row>
    <row r="4752" spans="1:10" ht="13">
      <c r="A4752" s="27"/>
      <c r="B4752" s="110"/>
      <c r="D4752" s="409"/>
      <c r="E4752" s="13" t="s">
        <v>50</v>
      </c>
      <c r="F4752" s="13" t="s">
        <v>1928</v>
      </c>
      <c r="G4752" s="410" t="s">
        <v>48</v>
      </c>
      <c r="H4752" s="411">
        <v>4.4999999999999998E-2</v>
      </c>
      <c r="I4752" s="412">
        <f>IF(AND(E4752&lt;&gt;"",G4752&lt;&gt;""),IF(D4752="",IF(G4752="OH",VLOOKUP(F4752,UPAH!$B$4:$H$101,7,0),VLOOKUP(F4752,#REF!,4,0)),0),0)</f>
        <v>0</v>
      </c>
      <c r="J4752" s="16">
        <f>H4752*I4752</f>
        <v>0</v>
      </c>
    </row>
    <row r="4753" spans="1:10" ht="13.5" thickBot="1">
      <c r="A4753" s="27"/>
      <c r="B4753" s="110"/>
      <c r="D4753" s="409"/>
      <c r="E4753" s="13" t="s">
        <v>51</v>
      </c>
      <c r="F4753" s="13" t="s">
        <v>1929</v>
      </c>
      <c r="G4753" s="410" t="s">
        <v>48</v>
      </c>
      <c r="H4753" s="411">
        <v>4.4999999999999998E-2</v>
      </c>
      <c r="I4753" s="412">
        <f>IF(AND(E4753&lt;&gt;"",G4753&lt;&gt;""),IF(D4753="",IF(G4753="OH",VLOOKUP(F4753,UPAH!$B$4:$H$101,7,0),VLOOKUP(F4753,#REF!,4,0)),0),0)</f>
        <v>0</v>
      </c>
      <c r="J4753" s="16">
        <f>H4753*I4753</f>
        <v>0</v>
      </c>
    </row>
    <row r="4754" spans="1:10" ht="13.5" thickBot="1">
      <c r="A4754" s="27"/>
      <c r="B4754" s="110"/>
      <c r="D4754" s="417"/>
      <c r="E4754" s="418"/>
      <c r="F4754" s="418"/>
      <c r="G4754" s="419"/>
      <c r="H4754" s="420" t="s">
        <v>52</v>
      </c>
      <c r="I4754" s="421"/>
      <c r="J4754" s="396">
        <f>SUM(J4750:J4753)</f>
        <v>0</v>
      </c>
    </row>
    <row r="4755" spans="1:10" ht="13">
      <c r="A4755" s="27"/>
      <c r="B4755" s="110"/>
      <c r="D4755" s="406" t="s">
        <v>53</v>
      </c>
      <c r="E4755" s="13" t="s">
        <v>54</v>
      </c>
      <c r="F4755" s="14"/>
      <c r="G4755" s="15"/>
      <c r="H4755" s="451"/>
      <c r="I4755" s="412"/>
      <c r="J4755" s="16"/>
    </row>
    <row r="4756" spans="1:10" ht="13">
      <c r="A4756" s="27"/>
      <c r="B4756" s="110"/>
      <c r="D4756" s="409"/>
      <c r="E4756" s="13" t="s">
        <v>997</v>
      </c>
      <c r="F4756" s="14"/>
      <c r="G4756" s="410" t="s">
        <v>87</v>
      </c>
      <c r="H4756" s="411">
        <v>106</v>
      </c>
      <c r="I4756" s="412">
        <f>'BAHAN '!G313</f>
        <v>0</v>
      </c>
      <c r="J4756" s="16">
        <f>H4756*I4756</f>
        <v>0</v>
      </c>
    </row>
    <row r="4757" spans="1:10" ht="13">
      <c r="A4757" s="27"/>
      <c r="B4757" s="110"/>
      <c r="D4757" s="409"/>
      <c r="E4757" s="13" t="s">
        <v>56</v>
      </c>
      <c r="F4757" s="14"/>
      <c r="G4757" s="410" t="s">
        <v>57</v>
      </c>
      <c r="H4757" s="411">
        <v>9.3000000000000007</v>
      </c>
      <c r="I4757" s="412">
        <f>'BAHAN '!G72</f>
        <v>0</v>
      </c>
      <c r="J4757" s="16">
        <f>H4757*I4757</f>
        <v>0</v>
      </c>
    </row>
    <row r="4758" spans="1:10" ht="13">
      <c r="A4758" s="27"/>
      <c r="B4758" s="110"/>
      <c r="D4758" s="409"/>
      <c r="E4758" s="13" t="s">
        <v>101</v>
      </c>
      <c r="F4758" s="14"/>
      <c r="G4758" s="410" t="s">
        <v>170</v>
      </c>
      <c r="H4758" s="411">
        <v>1.7999999999999999E-2</v>
      </c>
      <c r="I4758" s="412">
        <f>'BAHAN '!G59</f>
        <v>0</v>
      </c>
      <c r="J4758" s="16">
        <f>H4758*I4758</f>
        <v>0</v>
      </c>
    </row>
    <row r="4759" spans="1:10" ht="13.5" thickBot="1">
      <c r="A4759" s="27"/>
      <c r="B4759" s="110"/>
      <c r="D4759" s="409"/>
      <c r="E4759" s="13" t="s">
        <v>442</v>
      </c>
      <c r="F4759" s="14"/>
      <c r="G4759" s="410" t="s">
        <v>57</v>
      </c>
      <c r="H4759" s="411">
        <v>2.9</v>
      </c>
      <c r="I4759" s="412">
        <f>'BAHAN '!G74</f>
        <v>0</v>
      </c>
      <c r="J4759" s="16">
        <f>H4759*I4759</f>
        <v>0</v>
      </c>
    </row>
    <row r="4760" spans="1:10" ht="13.5" thickBot="1">
      <c r="A4760" s="27"/>
      <c r="B4760" s="110"/>
      <c r="D4760" s="417"/>
      <c r="E4760" s="418"/>
      <c r="F4760" s="418"/>
      <c r="G4760" s="419"/>
      <c r="H4760" s="420" t="s">
        <v>64</v>
      </c>
      <c r="I4760" s="421"/>
      <c r="J4760" s="396">
        <f>SUM(J4756:J4759)</f>
        <v>0</v>
      </c>
    </row>
    <row r="4761" spans="1:10" ht="13.5" thickBot="1">
      <c r="A4761" s="27"/>
      <c r="B4761" s="110"/>
      <c r="D4761" s="406" t="s">
        <v>65</v>
      </c>
      <c r="E4761" s="13" t="s">
        <v>66</v>
      </c>
      <c r="F4761" s="14"/>
      <c r="G4761" s="15"/>
      <c r="H4761" s="451"/>
      <c r="I4761" s="412">
        <f>IF(AND(E4761&lt;&gt;"",G4761&lt;&gt;""),IF(D4761="",IF(G4761="OH",VLOOKUP(E4761,UPAH!$C$4:$H$31,7,0),VLOOKUP(E4761,#REF!,4,0)),0),0)</f>
        <v>0</v>
      </c>
      <c r="J4761" s="16">
        <f>H4761*I4761</f>
        <v>0</v>
      </c>
    </row>
    <row r="4762" spans="1:10" ht="13.5" thickBot="1">
      <c r="A4762" s="27"/>
      <c r="B4762" s="110"/>
      <c r="D4762" s="417"/>
      <c r="E4762" s="418"/>
      <c r="F4762" s="418"/>
      <c r="G4762" s="419"/>
      <c r="H4762" s="420" t="s">
        <v>67</v>
      </c>
      <c r="I4762" s="421"/>
      <c r="J4762" s="396">
        <f>J4761</f>
        <v>0</v>
      </c>
    </row>
    <row r="4763" spans="1:10" ht="13">
      <c r="A4763" s="27"/>
      <c r="B4763" s="110"/>
      <c r="D4763" s="444" t="s">
        <v>68</v>
      </c>
      <c r="E4763" s="445" t="s">
        <v>69</v>
      </c>
      <c r="F4763" s="446"/>
      <c r="G4763" s="447"/>
      <c r="H4763" s="448"/>
      <c r="I4763" s="449">
        <f>IF(AND(E4763&lt;&gt;"",G4763&lt;&gt;""),IF(D4763="",IF(G4763="OH",VLOOKUP(E4763,UPAH!$C$4:$H$31,7,0),VLOOKUP(E4763,#REF!,4,0)),0),0)</f>
        <v>0</v>
      </c>
      <c r="J4763" s="16">
        <f>SUM(J4750:J4762)/2</f>
        <v>0</v>
      </c>
    </row>
    <row r="4764" spans="1:10" ht="13.5" thickBot="1">
      <c r="A4764" s="27"/>
      <c r="B4764" s="110"/>
      <c r="D4764" s="431" t="s">
        <v>70</v>
      </c>
      <c r="E4764" s="432" t="s">
        <v>477</v>
      </c>
      <c r="F4764" s="433"/>
      <c r="G4764" s="434"/>
      <c r="H4764" s="22">
        <v>0.1</v>
      </c>
      <c r="I4764" s="436"/>
      <c r="J4764" s="430">
        <f>H4764*J4763</f>
        <v>0</v>
      </c>
    </row>
    <row r="4765" spans="1:10" ht="13.5" thickBot="1">
      <c r="A4765" s="27"/>
      <c r="B4765" s="110"/>
      <c r="D4765" s="401" t="s">
        <v>71</v>
      </c>
      <c r="E4765" s="402" t="s">
        <v>72</v>
      </c>
      <c r="F4765" s="418"/>
      <c r="G4765" s="419"/>
      <c r="H4765" s="442"/>
      <c r="I4765" s="421">
        <f>IF(AND(E4765&lt;&gt;"",G4765&lt;&gt;""),IF(D4765="",IF(G4765="OH",VLOOKUP(E4765,UPAH!$C$4:$H$31,7,0),VLOOKUP(E4765,#REF!,4,0)),0),0)</f>
        <v>0</v>
      </c>
      <c r="J4765" s="396">
        <f>ROUNDDOWN(J4763+J4764,0)</f>
        <v>0</v>
      </c>
    </row>
    <row r="4766" spans="1:10" ht="13">
      <c r="A4766" s="27"/>
      <c r="B4766" s="110"/>
      <c r="D4766" s="11"/>
      <c r="E4766" s="11"/>
      <c r="H4766" s="443"/>
    </row>
    <row r="4767" spans="1:10" ht="13.5" thickBot="1">
      <c r="A4767" s="27"/>
      <c r="B4767" s="110"/>
      <c r="C4767" s="11" t="s">
        <v>998</v>
      </c>
      <c r="D4767" s="10" t="s">
        <v>999</v>
      </c>
      <c r="H4767" s="513"/>
    </row>
    <row r="4768" spans="1:10" ht="13.5" thickBot="1">
      <c r="A4768" s="27"/>
      <c r="B4768" s="110"/>
      <c r="D4768" s="401" t="s">
        <v>40</v>
      </c>
      <c r="E4768" s="402" t="s">
        <v>41</v>
      </c>
      <c r="F4768" s="402" t="s">
        <v>42</v>
      </c>
      <c r="G4768" s="403" t="s">
        <v>43</v>
      </c>
      <c r="H4768" s="404" t="s">
        <v>44</v>
      </c>
      <c r="I4768" s="402" t="s">
        <v>474</v>
      </c>
      <c r="J4768" s="405" t="s">
        <v>475</v>
      </c>
    </row>
    <row r="4769" spans="1:10" ht="13">
      <c r="A4769" s="27"/>
      <c r="B4769" s="110"/>
      <c r="D4769" s="406" t="s">
        <v>45</v>
      </c>
      <c r="E4769" s="13" t="s">
        <v>46</v>
      </c>
      <c r="F4769" s="14"/>
      <c r="G4769" s="15"/>
      <c r="H4769" s="451"/>
      <c r="I4769" s="412"/>
      <c r="J4769" s="16"/>
    </row>
    <row r="4770" spans="1:10" ht="13">
      <c r="A4770" s="27"/>
      <c r="B4770" s="110"/>
      <c r="D4770" s="409"/>
      <c r="E4770" s="13" t="s">
        <v>47</v>
      </c>
      <c r="F4770" s="13" t="s">
        <v>1918</v>
      </c>
      <c r="G4770" s="410" t="s">
        <v>48</v>
      </c>
      <c r="H4770" s="411">
        <v>0.9</v>
      </c>
      <c r="I4770" s="412">
        <f>IF(AND(E4770&lt;&gt;"",G4770&lt;&gt;""),IF(D4770="",IF(G4770="OH",VLOOKUP(F4770,UPAH!$B$4:$H$101,7,0),VLOOKUP(F4770,#REF!,4,0)),0),0)</f>
        <v>0</v>
      </c>
      <c r="J4770" s="16">
        <f>H4770*I4770</f>
        <v>0</v>
      </c>
    </row>
    <row r="4771" spans="1:10" ht="13">
      <c r="A4771" s="27"/>
      <c r="B4771" s="110"/>
      <c r="D4771" s="409"/>
      <c r="E4771" s="13" t="s">
        <v>115</v>
      </c>
      <c r="F4771" s="13" t="s">
        <v>1921</v>
      </c>
      <c r="G4771" s="410" t="s">
        <v>48</v>
      </c>
      <c r="H4771" s="411">
        <v>0.45</v>
      </c>
      <c r="I4771" s="412">
        <f>IF(AND(E4771&lt;&gt;"",G4771&lt;&gt;""),IF(D4771="",IF(G4771="OH",VLOOKUP(F4771,UPAH!$B$4:$H$101,7,0),VLOOKUP(F4771,#REF!,4,0)),0),0)</f>
        <v>0</v>
      </c>
      <c r="J4771" s="16">
        <f>H4771*I4771</f>
        <v>0</v>
      </c>
    </row>
    <row r="4772" spans="1:10" ht="13">
      <c r="A4772" s="27"/>
      <c r="B4772" s="110"/>
      <c r="D4772" s="409"/>
      <c r="E4772" s="13" t="s">
        <v>50</v>
      </c>
      <c r="F4772" s="13" t="s">
        <v>1928</v>
      </c>
      <c r="G4772" s="410" t="s">
        <v>48</v>
      </c>
      <c r="H4772" s="411">
        <v>4.4999999999999998E-2</v>
      </c>
      <c r="I4772" s="412">
        <f>IF(AND(E4772&lt;&gt;"",G4772&lt;&gt;""),IF(D4772="",IF(G4772="OH",VLOOKUP(F4772,UPAH!$B$4:$H$101,7,0),VLOOKUP(F4772,#REF!,4,0)),0),0)</f>
        <v>0</v>
      </c>
      <c r="J4772" s="16">
        <f>H4772*I4772</f>
        <v>0</v>
      </c>
    </row>
    <row r="4773" spans="1:10" ht="13.5" thickBot="1">
      <c r="A4773" s="27"/>
      <c r="B4773" s="110"/>
      <c r="D4773" s="409"/>
      <c r="E4773" s="13" t="s">
        <v>51</v>
      </c>
      <c r="F4773" s="13" t="s">
        <v>1929</v>
      </c>
      <c r="G4773" s="410" t="s">
        <v>48</v>
      </c>
      <c r="H4773" s="411">
        <v>4.4999999999999998E-2</v>
      </c>
      <c r="I4773" s="412">
        <f>IF(AND(E4773&lt;&gt;"",G4773&lt;&gt;""),IF(D4773="",IF(G4773="OH",VLOOKUP(F4773,UPAH!$B$4:$H$101,7,0),VLOOKUP(F4773,#REF!,4,0)),0),0)</f>
        <v>0</v>
      </c>
      <c r="J4773" s="16">
        <f>H4773*I4773</f>
        <v>0</v>
      </c>
    </row>
    <row r="4774" spans="1:10" ht="13.5" thickBot="1">
      <c r="A4774" s="27"/>
      <c r="B4774" s="110"/>
      <c r="D4774" s="417"/>
      <c r="E4774" s="418"/>
      <c r="F4774" s="418"/>
      <c r="G4774" s="419"/>
      <c r="H4774" s="420" t="s">
        <v>52</v>
      </c>
      <c r="I4774" s="421"/>
      <c r="J4774" s="396">
        <f>SUM(J4770:J4773)</f>
        <v>0</v>
      </c>
    </row>
    <row r="4775" spans="1:10" ht="13">
      <c r="A4775" s="27"/>
      <c r="B4775" s="110"/>
      <c r="D4775" s="406" t="s">
        <v>53</v>
      </c>
      <c r="E4775" s="13" t="s">
        <v>54</v>
      </c>
      <c r="F4775" s="14"/>
      <c r="G4775" s="15"/>
      <c r="H4775" s="451"/>
      <c r="I4775" s="412"/>
      <c r="J4775" s="16"/>
    </row>
    <row r="4776" spans="1:10" ht="13">
      <c r="A4776" s="27"/>
      <c r="B4776" s="110"/>
      <c r="D4776" s="409"/>
      <c r="E4776" s="13" t="s">
        <v>1000</v>
      </c>
      <c r="F4776" s="14"/>
      <c r="G4776" s="410" t="s">
        <v>87</v>
      </c>
      <c r="H4776" s="411">
        <v>53</v>
      </c>
      <c r="I4776" s="412">
        <f>'BAHAN '!G311</f>
        <v>0</v>
      </c>
      <c r="J4776" s="16">
        <f>H4776*I4776</f>
        <v>0</v>
      </c>
    </row>
    <row r="4777" spans="1:10" ht="13">
      <c r="A4777" s="27"/>
      <c r="B4777" s="110"/>
      <c r="D4777" s="409"/>
      <c r="E4777" s="13" t="s">
        <v>56</v>
      </c>
      <c r="F4777" s="14"/>
      <c r="G4777" s="410" t="s">
        <v>57</v>
      </c>
      <c r="H4777" s="411">
        <v>9.3000000000000007</v>
      </c>
      <c r="I4777" s="412">
        <f>'BAHAN '!G72</f>
        <v>0</v>
      </c>
      <c r="J4777" s="16">
        <f>H4777*I4777</f>
        <v>0</v>
      </c>
    </row>
    <row r="4778" spans="1:10" ht="13">
      <c r="A4778" s="27"/>
      <c r="B4778" s="110"/>
      <c r="D4778" s="409"/>
      <c r="E4778" s="13" t="s">
        <v>101</v>
      </c>
      <c r="F4778" s="14"/>
      <c r="G4778" s="410" t="s">
        <v>170</v>
      </c>
      <c r="H4778" s="411">
        <v>1.7999999999999999E-2</v>
      </c>
      <c r="I4778" s="412">
        <f>'BAHAN '!G59</f>
        <v>0</v>
      </c>
      <c r="J4778" s="16">
        <f>H4778*I4778</f>
        <v>0</v>
      </c>
    </row>
    <row r="4779" spans="1:10" ht="13.5" thickBot="1">
      <c r="A4779" s="27"/>
      <c r="B4779" s="110"/>
      <c r="D4779" s="409"/>
      <c r="E4779" s="13" t="s">
        <v>442</v>
      </c>
      <c r="F4779" s="14"/>
      <c r="G4779" s="410" t="s">
        <v>57</v>
      </c>
      <c r="H4779" s="411">
        <v>2.75</v>
      </c>
      <c r="I4779" s="412">
        <f>'BAHAN '!G74</f>
        <v>0</v>
      </c>
      <c r="J4779" s="16">
        <f>H4779*I4779</f>
        <v>0</v>
      </c>
    </row>
    <row r="4780" spans="1:10" ht="13.5" thickBot="1">
      <c r="A4780" s="27"/>
      <c r="B4780" s="110"/>
      <c r="D4780" s="417"/>
      <c r="E4780" s="418"/>
      <c r="F4780" s="418"/>
      <c r="G4780" s="419"/>
      <c r="H4780" s="420" t="s">
        <v>64</v>
      </c>
      <c r="I4780" s="421"/>
      <c r="J4780" s="396">
        <f>SUM(J4776:J4779)</f>
        <v>0</v>
      </c>
    </row>
    <row r="4781" spans="1:10" ht="13.5" thickBot="1">
      <c r="A4781" s="27"/>
      <c r="B4781" s="110"/>
      <c r="D4781" s="406" t="s">
        <v>65</v>
      </c>
      <c r="E4781" s="13" t="s">
        <v>66</v>
      </c>
      <c r="F4781" s="14"/>
      <c r="G4781" s="15"/>
      <c r="H4781" s="451"/>
      <c r="I4781" s="412">
        <f>IF(AND(E4781&lt;&gt;"",G4781&lt;&gt;""),IF(D4781="",IF(G4781="OH",VLOOKUP(E4781,UPAH!$C$4:$H$31,7,0),VLOOKUP(E4781,#REF!,4,0)),0),0)</f>
        <v>0</v>
      </c>
      <c r="J4781" s="16">
        <f>H4781*I4781</f>
        <v>0</v>
      </c>
    </row>
    <row r="4782" spans="1:10" ht="13.5" thickBot="1">
      <c r="A4782" s="27"/>
      <c r="B4782" s="110"/>
      <c r="D4782" s="417"/>
      <c r="E4782" s="418"/>
      <c r="F4782" s="418"/>
      <c r="G4782" s="419"/>
      <c r="H4782" s="420" t="s">
        <v>67</v>
      </c>
      <c r="I4782" s="421"/>
      <c r="J4782" s="396">
        <f>J4781</f>
        <v>0</v>
      </c>
    </row>
    <row r="4783" spans="1:10" ht="13">
      <c r="A4783" s="27"/>
      <c r="B4783" s="110"/>
      <c r="D4783" s="444" t="s">
        <v>68</v>
      </c>
      <c r="E4783" s="445" t="s">
        <v>69</v>
      </c>
      <c r="F4783" s="446"/>
      <c r="G4783" s="447"/>
      <c r="H4783" s="448"/>
      <c r="I4783" s="449">
        <f>IF(AND(E4783&lt;&gt;"",G4783&lt;&gt;""),IF(D4783="",IF(G4783="OH",VLOOKUP(E4783,UPAH!$C$4:$H$31,7,0),VLOOKUP(E4783,#REF!,4,0)),0),0)</f>
        <v>0</v>
      </c>
      <c r="J4783" s="16">
        <f>SUM(J4770:J4782)/2</f>
        <v>0</v>
      </c>
    </row>
    <row r="4784" spans="1:10" ht="13.5" thickBot="1">
      <c r="A4784" s="27"/>
      <c r="B4784" s="110"/>
      <c r="D4784" s="431" t="s">
        <v>70</v>
      </c>
      <c r="E4784" s="432" t="s">
        <v>477</v>
      </c>
      <c r="F4784" s="433"/>
      <c r="G4784" s="434"/>
      <c r="H4784" s="22">
        <v>0.1</v>
      </c>
      <c r="I4784" s="436"/>
      <c r="J4784" s="430">
        <f>H4784*J4783</f>
        <v>0</v>
      </c>
    </row>
    <row r="4785" spans="1:10" ht="13.5" thickBot="1">
      <c r="A4785" s="27"/>
      <c r="B4785" s="110"/>
      <c r="D4785" s="401" t="s">
        <v>71</v>
      </c>
      <c r="E4785" s="402" t="s">
        <v>72</v>
      </c>
      <c r="F4785" s="418"/>
      <c r="G4785" s="419"/>
      <c r="H4785" s="442"/>
      <c r="I4785" s="421">
        <f>IF(AND(E4785&lt;&gt;"",G4785&lt;&gt;""),IF(D4785="",IF(G4785="OH",VLOOKUP(E4785,UPAH!$C$4:$H$31,7,0),VLOOKUP(E4785,#REF!,4,0)),0),0)</f>
        <v>0</v>
      </c>
      <c r="J4785" s="396">
        <f>ROUNDDOWN(J4783+J4784,0)</f>
        <v>0</v>
      </c>
    </row>
    <row r="4786" spans="1:10" ht="13">
      <c r="A4786" s="27"/>
      <c r="B4786" s="110"/>
      <c r="D4786" s="11"/>
      <c r="E4786" s="11"/>
      <c r="H4786" s="443"/>
    </row>
    <row r="4787" spans="1:10" ht="13.5" thickBot="1">
      <c r="A4787" s="27"/>
      <c r="B4787" s="110"/>
      <c r="C4787" s="11" t="s">
        <v>1001</v>
      </c>
      <c r="D4787" s="10" t="s">
        <v>1002</v>
      </c>
      <c r="H4787" s="443"/>
    </row>
    <row r="4788" spans="1:10" ht="13.5" thickBot="1">
      <c r="A4788" s="27"/>
      <c r="B4788" s="110"/>
      <c r="D4788" s="401" t="s">
        <v>40</v>
      </c>
      <c r="E4788" s="402" t="s">
        <v>41</v>
      </c>
      <c r="F4788" s="402" t="s">
        <v>42</v>
      </c>
      <c r="G4788" s="403" t="s">
        <v>43</v>
      </c>
      <c r="H4788" s="404" t="s">
        <v>44</v>
      </c>
      <c r="I4788" s="402" t="s">
        <v>474</v>
      </c>
      <c r="J4788" s="405" t="s">
        <v>475</v>
      </c>
    </row>
    <row r="4789" spans="1:10" ht="13">
      <c r="A4789" s="27"/>
      <c r="B4789" s="110"/>
      <c r="D4789" s="406" t="s">
        <v>45</v>
      </c>
      <c r="E4789" s="13" t="s">
        <v>46</v>
      </c>
      <c r="F4789" s="14"/>
      <c r="G4789" s="15"/>
      <c r="H4789" s="451"/>
      <c r="I4789" s="412"/>
      <c r="J4789" s="16"/>
    </row>
    <row r="4790" spans="1:10" ht="13">
      <c r="A4790" s="27"/>
      <c r="B4790" s="110"/>
      <c r="D4790" s="409"/>
      <c r="E4790" s="13" t="s">
        <v>47</v>
      </c>
      <c r="F4790" s="13" t="s">
        <v>1918</v>
      </c>
      <c r="G4790" s="410" t="s">
        <v>48</v>
      </c>
      <c r="H4790" s="411">
        <v>0.9</v>
      </c>
      <c r="I4790" s="412">
        <f>IF(AND(E4790&lt;&gt;"",G4790&lt;&gt;""),IF(D4790="",IF(G4790="OH",VLOOKUP(F4790,UPAH!$B$4:$H$101,7,0),VLOOKUP(F4790,#REF!,4,0)),0),0)</f>
        <v>0</v>
      </c>
      <c r="J4790" s="16">
        <f>H4790*I4790</f>
        <v>0</v>
      </c>
    </row>
    <row r="4791" spans="1:10" ht="13">
      <c r="A4791" s="27"/>
      <c r="B4791" s="110"/>
      <c r="D4791" s="409"/>
      <c r="E4791" s="13" t="s">
        <v>115</v>
      </c>
      <c r="F4791" s="13" t="s">
        <v>1921</v>
      </c>
      <c r="G4791" s="410" t="s">
        <v>48</v>
      </c>
      <c r="H4791" s="411">
        <v>0.45</v>
      </c>
      <c r="I4791" s="412">
        <f>IF(AND(E4791&lt;&gt;"",G4791&lt;&gt;""),IF(D4791="",IF(G4791="OH",VLOOKUP(F4791,UPAH!$B$4:$H$101,7,0),VLOOKUP(F4791,#REF!,4,0)),0),0)</f>
        <v>0</v>
      </c>
      <c r="J4791" s="16">
        <f>H4791*I4791</f>
        <v>0</v>
      </c>
    </row>
    <row r="4792" spans="1:10" ht="13">
      <c r="A4792" s="27"/>
      <c r="B4792" s="110"/>
      <c r="D4792" s="409"/>
      <c r="E4792" s="13" t="s">
        <v>50</v>
      </c>
      <c r="F4792" s="13" t="s">
        <v>1928</v>
      </c>
      <c r="G4792" s="410" t="s">
        <v>48</v>
      </c>
      <c r="H4792" s="411">
        <v>4.4999999999999998E-2</v>
      </c>
      <c r="I4792" s="412">
        <f>IF(AND(E4792&lt;&gt;"",G4792&lt;&gt;""),IF(D4792="",IF(G4792="OH",VLOOKUP(F4792,UPAH!$B$4:$H$101,7,0),VLOOKUP(F4792,#REF!,4,0)),0),0)</f>
        <v>0</v>
      </c>
      <c r="J4792" s="16">
        <f>H4792*I4792</f>
        <v>0</v>
      </c>
    </row>
    <row r="4793" spans="1:10" ht="13.5" thickBot="1">
      <c r="A4793" s="27"/>
      <c r="B4793" s="110"/>
      <c r="D4793" s="409"/>
      <c r="E4793" s="13" t="s">
        <v>51</v>
      </c>
      <c r="F4793" s="13" t="s">
        <v>1929</v>
      </c>
      <c r="G4793" s="410" t="s">
        <v>48</v>
      </c>
      <c r="H4793" s="411">
        <v>4.4999999999999998E-2</v>
      </c>
      <c r="I4793" s="412">
        <f>IF(AND(E4793&lt;&gt;"",G4793&lt;&gt;""),IF(D4793="",IF(G4793="OH",VLOOKUP(F4793,UPAH!$B$4:$H$101,7,0),VLOOKUP(F4793,#REF!,4,0)),0),0)</f>
        <v>0</v>
      </c>
      <c r="J4793" s="16">
        <f>H4793*I4793</f>
        <v>0</v>
      </c>
    </row>
    <row r="4794" spans="1:10" ht="13.5" thickBot="1">
      <c r="A4794" s="27"/>
      <c r="B4794" s="110"/>
      <c r="D4794" s="417"/>
      <c r="E4794" s="418"/>
      <c r="F4794" s="418"/>
      <c r="G4794" s="419"/>
      <c r="H4794" s="420" t="s">
        <v>52</v>
      </c>
      <c r="I4794" s="421"/>
      <c r="J4794" s="396">
        <f>SUM(J4790:J4793)</f>
        <v>0</v>
      </c>
    </row>
    <row r="4795" spans="1:10" ht="13">
      <c r="A4795" s="27"/>
      <c r="B4795" s="110"/>
      <c r="D4795" s="406" t="s">
        <v>53</v>
      </c>
      <c r="E4795" s="13" t="s">
        <v>54</v>
      </c>
      <c r="F4795" s="14"/>
      <c r="G4795" s="15"/>
      <c r="H4795" s="451"/>
      <c r="I4795" s="412"/>
      <c r="J4795" s="16"/>
    </row>
    <row r="4796" spans="1:10" ht="13">
      <c r="A4796" s="27"/>
      <c r="B4796" s="110"/>
      <c r="D4796" s="409"/>
      <c r="E4796" s="13" t="s">
        <v>1003</v>
      </c>
      <c r="F4796" s="14"/>
      <c r="G4796" s="410" t="s">
        <v>87</v>
      </c>
      <c r="H4796" s="411">
        <v>26.5</v>
      </c>
      <c r="I4796" s="412">
        <v>0</v>
      </c>
      <c r="J4796" s="16">
        <f>H4796*I4796</f>
        <v>0</v>
      </c>
    </row>
    <row r="4797" spans="1:10" ht="13">
      <c r="A4797" s="27"/>
      <c r="B4797" s="110"/>
      <c r="D4797" s="409"/>
      <c r="E4797" s="13" t="s">
        <v>56</v>
      </c>
      <c r="F4797" s="14"/>
      <c r="G4797" s="410" t="s">
        <v>57</v>
      </c>
      <c r="H4797" s="411">
        <v>9.3000000000000007</v>
      </c>
      <c r="I4797" s="412">
        <f>'BAHAN '!G72</f>
        <v>0</v>
      </c>
      <c r="J4797" s="16">
        <f>H4797*I4797</f>
        <v>0</v>
      </c>
    </row>
    <row r="4798" spans="1:10" ht="13">
      <c r="A4798" s="27"/>
      <c r="B4798" s="110"/>
      <c r="D4798" s="409"/>
      <c r="E4798" s="13" t="s">
        <v>101</v>
      </c>
      <c r="F4798" s="14"/>
      <c r="G4798" s="410" t="s">
        <v>170</v>
      </c>
      <c r="H4798" s="411">
        <v>1.7999999999999999E-2</v>
      </c>
      <c r="I4798" s="412">
        <f>'BAHAN '!G59</f>
        <v>0</v>
      </c>
      <c r="J4798" s="16">
        <f>H4798*I4798</f>
        <v>0</v>
      </c>
    </row>
    <row r="4799" spans="1:10" ht="13.5" thickBot="1">
      <c r="A4799" s="27"/>
      <c r="B4799" s="110"/>
      <c r="D4799" s="409"/>
      <c r="E4799" s="13" t="s">
        <v>442</v>
      </c>
      <c r="F4799" s="14"/>
      <c r="G4799" s="410" t="s">
        <v>57</v>
      </c>
      <c r="H4799" s="411">
        <v>1.94</v>
      </c>
      <c r="I4799" s="412">
        <f>'BAHAN '!G74</f>
        <v>0</v>
      </c>
      <c r="J4799" s="16">
        <f>H4799*I4799</f>
        <v>0</v>
      </c>
    </row>
    <row r="4800" spans="1:10" ht="13.5" thickBot="1">
      <c r="A4800" s="27"/>
      <c r="B4800" s="110"/>
      <c r="D4800" s="417"/>
      <c r="E4800" s="418"/>
      <c r="F4800" s="418"/>
      <c r="G4800" s="419"/>
      <c r="H4800" s="420" t="s">
        <v>64</v>
      </c>
      <c r="I4800" s="421"/>
      <c r="J4800" s="396">
        <f>SUM(J4796:J4799)</f>
        <v>0</v>
      </c>
    </row>
    <row r="4801" spans="1:10" ht="13.5" thickBot="1">
      <c r="A4801" s="27"/>
      <c r="B4801" s="110"/>
      <c r="D4801" s="406" t="s">
        <v>65</v>
      </c>
      <c r="E4801" s="13" t="s">
        <v>66</v>
      </c>
      <c r="F4801" s="14"/>
      <c r="G4801" s="15"/>
      <c r="H4801" s="451"/>
      <c r="I4801" s="412">
        <f>IF(AND(E4801&lt;&gt;"",G4801&lt;&gt;""),IF(D4801="",IF(G4801="OH",VLOOKUP(E4801,UPAH!$C$4:$H$31,7,0),VLOOKUP(E4801,#REF!,4,0)),0),0)</f>
        <v>0</v>
      </c>
      <c r="J4801" s="16">
        <f>H4801*I4801</f>
        <v>0</v>
      </c>
    </row>
    <row r="4802" spans="1:10" ht="13.5" thickBot="1">
      <c r="A4802" s="27"/>
      <c r="B4802" s="110"/>
      <c r="D4802" s="417"/>
      <c r="E4802" s="418"/>
      <c r="F4802" s="418"/>
      <c r="G4802" s="419"/>
      <c r="H4802" s="420" t="s">
        <v>67</v>
      </c>
      <c r="I4802" s="421"/>
      <c r="J4802" s="396">
        <f>J4801</f>
        <v>0</v>
      </c>
    </row>
    <row r="4803" spans="1:10" ht="13">
      <c r="A4803" s="27"/>
      <c r="B4803" s="110"/>
      <c r="D4803" s="444" t="s">
        <v>68</v>
      </c>
      <c r="E4803" s="445" t="s">
        <v>69</v>
      </c>
      <c r="F4803" s="446"/>
      <c r="G4803" s="447"/>
      <c r="H4803" s="448"/>
      <c r="I4803" s="449">
        <f>IF(AND(E4803&lt;&gt;"",G4803&lt;&gt;""),IF(D4803="",IF(G4803="OH",VLOOKUP(E4803,UPAH!$C$4:$H$31,7,0),VLOOKUP(E4803,#REF!,4,0)),0),0)</f>
        <v>0</v>
      </c>
      <c r="J4803" s="16">
        <f>SUM(J4789:J4802)/2</f>
        <v>0</v>
      </c>
    </row>
    <row r="4804" spans="1:10" ht="13.5" thickBot="1">
      <c r="A4804" s="27"/>
      <c r="B4804" s="110"/>
      <c r="D4804" s="431" t="s">
        <v>70</v>
      </c>
      <c r="E4804" s="432" t="s">
        <v>477</v>
      </c>
      <c r="F4804" s="433"/>
      <c r="G4804" s="434"/>
      <c r="H4804" s="22">
        <v>0.1</v>
      </c>
      <c r="I4804" s="436"/>
      <c r="J4804" s="430">
        <f>H4804*J4803</f>
        <v>0</v>
      </c>
    </row>
    <row r="4805" spans="1:10" ht="13.5" thickBot="1">
      <c r="A4805" s="27"/>
      <c r="B4805" s="110"/>
      <c r="D4805" s="401" t="s">
        <v>71</v>
      </c>
      <c r="E4805" s="402" t="s">
        <v>72</v>
      </c>
      <c r="F4805" s="418"/>
      <c r="G4805" s="419"/>
      <c r="H4805" s="442"/>
      <c r="I4805" s="421">
        <f>IF(AND(E4805&lt;&gt;"",G4805&lt;&gt;""),IF(D4805="",IF(G4805="OH",VLOOKUP(E4805,UPAH!$C$4:$H$31,7,0),VLOOKUP(E4805,#REF!,4,0)),0),0)</f>
        <v>0</v>
      </c>
      <c r="J4805" s="396">
        <f>ROUNDDOWN(J4803+J4804,0)</f>
        <v>0</v>
      </c>
    </row>
    <row r="4806" spans="1:10" ht="13">
      <c r="A4806" s="27"/>
      <c r="B4806" s="110"/>
      <c r="D4806" s="11"/>
      <c r="E4806" s="11"/>
      <c r="H4806" s="443"/>
    </row>
    <row r="4807" spans="1:10" ht="13.5" thickBot="1">
      <c r="A4807" s="27"/>
      <c r="B4807" s="110"/>
      <c r="C4807" s="11" t="s">
        <v>1004</v>
      </c>
      <c r="D4807" s="10" t="s">
        <v>1005</v>
      </c>
      <c r="H4807" s="443"/>
    </row>
    <row r="4808" spans="1:10" ht="13.5" thickBot="1">
      <c r="A4808" s="27"/>
      <c r="B4808" s="110"/>
      <c r="D4808" s="401" t="s">
        <v>40</v>
      </c>
      <c r="E4808" s="402" t="s">
        <v>41</v>
      </c>
      <c r="F4808" s="402" t="s">
        <v>42</v>
      </c>
      <c r="G4808" s="403" t="s">
        <v>43</v>
      </c>
      <c r="H4808" s="404" t="s">
        <v>44</v>
      </c>
      <c r="I4808" s="402" t="s">
        <v>474</v>
      </c>
      <c r="J4808" s="405" t="s">
        <v>475</v>
      </c>
    </row>
    <row r="4809" spans="1:10" ht="13">
      <c r="A4809" s="27"/>
      <c r="B4809" s="110"/>
      <c r="D4809" s="406" t="s">
        <v>45</v>
      </c>
      <c r="E4809" s="13" t="s">
        <v>46</v>
      </c>
      <c r="F4809" s="14"/>
      <c r="G4809" s="15"/>
      <c r="H4809" s="451"/>
      <c r="I4809" s="412"/>
      <c r="J4809" s="16"/>
    </row>
    <row r="4810" spans="1:10" ht="13">
      <c r="A4810" s="27"/>
      <c r="B4810" s="110"/>
      <c r="D4810" s="409"/>
      <c r="E4810" s="13" t="s">
        <v>47</v>
      </c>
      <c r="F4810" s="13" t="s">
        <v>1918</v>
      </c>
      <c r="G4810" s="410" t="s">
        <v>48</v>
      </c>
      <c r="H4810" s="411">
        <v>1.3</v>
      </c>
      <c r="I4810" s="412">
        <f>IF(AND(E4810&lt;&gt;"",G4810&lt;&gt;""),IF(D4810="",IF(G4810="OH",VLOOKUP(F4810,UPAH!$B$4:$H$101,7,0),VLOOKUP(F4810,#REF!,4,0)),0),0)</f>
        <v>0</v>
      </c>
      <c r="J4810" s="16">
        <f>H4810*I4810</f>
        <v>0</v>
      </c>
    </row>
    <row r="4811" spans="1:10" ht="13">
      <c r="A4811" s="27"/>
      <c r="B4811" s="110"/>
      <c r="D4811" s="409"/>
      <c r="E4811" s="13" t="s">
        <v>115</v>
      </c>
      <c r="F4811" s="13" t="s">
        <v>1921</v>
      </c>
      <c r="G4811" s="410" t="s">
        <v>48</v>
      </c>
      <c r="H4811" s="411">
        <v>0.65</v>
      </c>
      <c r="I4811" s="412">
        <f>IF(AND(E4811&lt;&gt;"",G4811&lt;&gt;""),IF(D4811="",IF(G4811="OH",VLOOKUP(F4811,UPAH!$B$4:$H$101,7,0),VLOOKUP(F4811,#REF!,4,0)),0),0)</f>
        <v>0</v>
      </c>
      <c r="J4811" s="16">
        <f>H4811*I4811</f>
        <v>0</v>
      </c>
    </row>
    <row r="4812" spans="1:10" ht="13">
      <c r="A4812" s="27"/>
      <c r="B4812" s="110"/>
      <c r="D4812" s="409"/>
      <c r="E4812" s="13" t="s">
        <v>50</v>
      </c>
      <c r="F4812" s="13" t="s">
        <v>1928</v>
      </c>
      <c r="G4812" s="410" t="s">
        <v>48</v>
      </c>
      <c r="H4812" s="411">
        <v>6.5000000000000002E-2</v>
      </c>
      <c r="I4812" s="412">
        <f>IF(AND(E4812&lt;&gt;"",G4812&lt;&gt;""),IF(D4812="",IF(G4812="OH",VLOOKUP(F4812,UPAH!$B$4:$H$101,7,0),VLOOKUP(F4812,#REF!,4,0)),0),0)</f>
        <v>0</v>
      </c>
      <c r="J4812" s="16">
        <f>H4812*I4812</f>
        <v>0</v>
      </c>
    </row>
    <row r="4813" spans="1:10" ht="13.5" thickBot="1">
      <c r="A4813" s="27"/>
      <c r="B4813" s="110"/>
      <c r="D4813" s="409"/>
      <c r="E4813" s="13" t="s">
        <v>51</v>
      </c>
      <c r="F4813" s="13" t="s">
        <v>1929</v>
      </c>
      <c r="G4813" s="410" t="s">
        <v>48</v>
      </c>
      <c r="H4813" s="411">
        <v>6.5000000000000002E-2</v>
      </c>
      <c r="I4813" s="412">
        <f>IF(AND(E4813&lt;&gt;"",G4813&lt;&gt;""),IF(D4813="",IF(G4813="OH",VLOOKUP(F4813,UPAH!$B$4:$H$101,7,0),VLOOKUP(F4813,#REF!,4,0)),0),0)</f>
        <v>0</v>
      </c>
      <c r="J4813" s="16">
        <f>H4813*I4813</f>
        <v>0</v>
      </c>
    </row>
    <row r="4814" spans="1:10" ht="13.5" thickBot="1">
      <c r="A4814" s="27"/>
      <c r="B4814" s="110"/>
      <c r="D4814" s="417"/>
      <c r="E4814" s="418"/>
      <c r="F4814" s="418"/>
      <c r="G4814" s="419"/>
      <c r="H4814" s="420" t="s">
        <v>52</v>
      </c>
      <c r="I4814" s="421"/>
      <c r="J4814" s="396">
        <f>SUM(J4810:J4813)</f>
        <v>0</v>
      </c>
    </row>
    <row r="4815" spans="1:10" ht="13">
      <c r="A4815" s="27"/>
      <c r="B4815" s="110"/>
      <c r="D4815" s="406" t="s">
        <v>53</v>
      </c>
      <c r="E4815" s="13" t="s">
        <v>54</v>
      </c>
      <c r="F4815" s="14"/>
      <c r="G4815" s="15"/>
      <c r="H4815" s="451"/>
      <c r="I4815" s="412"/>
      <c r="J4815" s="16"/>
    </row>
    <row r="4816" spans="1:10" ht="13">
      <c r="A4816" s="27"/>
      <c r="B4816" s="110"/>
      <c r="D4816" s="409"/>
      <c r="E4816" s="13" t="s">
        <v>1006</v>
      </c>
      <c r="F4816" s="14"/>
      <c r="G4816" s="410" t="s">
        <v>87</v>
      </c>
      <c r="H4816" s="411">
        <v>1.06</v>
      </c>
      <c r="I4816" s="412">
        <f>'BAHAN '!G246</f>
        <v>0</v>
      </c>
      <c r="J4816" s="16">
        <f>H4816*I4816</f>
        <v>0</v>
      </c>
    </row>
    <row r="4817" spans="1:10" ht="13">
      <c r="A4817" s="27"/>
      <c r="B4817" s="110"/>
      <c r="D4817" s="409"/>
      <c r="E4817" s="13" t="s">
        <v>56</v>
      </c>
      <c r="F4817" s="14"/>
      <c r="G4817" s="410" t="s">
        <v>57</v>
      </c>
      <c r="H4817" s="411">
        <v>12.44</v>
      </c>
      <c r="I4817" s="412">
        <f>'BAHAN '!G72</f>
        <v>0</v>
      </c>
      <c r="J4817" s="16">
        <f>H4817*I4817</f>
        <v>0</v>
      </c>
    </row>
    <row r="4818" spans="1:10" ht="13">
      <c r="A4818" s="27"/>
      <c r="B4818" s="110"/>
      <c r="D4818" s="409"/>
      <c r="E4818" s="13" t="s">
        <v>101</v>
      </c>
      <c r="F4818" s="14"/>
      <c r="G4818" s="410" t="s">
        <v>170</v>
      </c>
      <c r="H4818" s="411">
        <v>2.5000000000000001E-2</v>
      </c>
      <c r="I4818" s="412">
        <f>'BAHAN '!G59</f>
        <v>0</v>
      </c>
      <c r="J4818" s="16">
        <f>H4818*I4818</f>
        <v>0</v>
      </c>
    </row>
    <row r="4819" spans="1:10" ht="13">
      <c r="A4819" s="27"/>
      <c r="B4819" s="110"/>
      <c r="D4819" s="409"/>
      <c r="E4819" s="13" t="s">
        <v>442</v>
      </c>
      <c r="F4819" s="14"/>
      <c r="G4819" s="410" t="s">
        <v>57</v>
      </c>
      <c r="H4819" s="411">
        <v>0.65</v>
      </c>
      <c r="I4819" s="412">
        <f>'BAHAN '!G74</f>
        <v>0</v>
      </c>
      <c r="J4819" s="16">
        <f>H4819*I4819</f>
        <v>0</v>
      </c>
    </row>
    <row r="4820" spans="1:10" ht="13.5" thickBot="1">
      <c r="A4820" s="27"/>
      <c r="B4820" s="110"/>
      <c r="D4820" s="409"/>
      <c r="E4820" s="13" t="s">
        <v>2894</v>
      </c>
      <c r="F4820" s="14"/>
      <c r="G4820" s="410" t="s">
        <v>87</v>
      </c>
      <c r="H4820" s="411">
        <v>3.03</v>
      </c>
      <c r="I4820" s="412">
        <f>'BAHAN '!G134</f>
        <v>0</v>
      </c>
      <c r="J4820" s="16">
        <f>H4820*I4820</f>
        <v>0</v>
      </c>
    </row>
    <row r="4821" spans="1:10" ht="13.5" thickBot="1">
      <c r="A4821" s="27"/>
      <c r="B4821" s="110"/>
      <c r="D4821" s="417"/>
      <c r="E4821" s="418"/>
      <c r="F4821" s="418"/>
      <c r="G4821" s="419"/>
      <c r="H4821" s="420" t="s">
        <v>64</v>
      </c>
      <c r="I4821" s="421"/>
      <c r="J4821" s="396">
        <f>SUM(J4816:J4820)</f>
        <v>0</v>
      </c>
    </row>
    <row r="4822" spans="1:10" ht="13.5" thickBot="1">
      <c r="A4822" s="27"/>
      <c r="B4822" s="110"/>
      <c r="D4822" s="406" t="s">
        <v>65</v>
      </c>
      <c r="E4822" s="13" t="s">
        <v>66</v>
      </c>
      <c r="F4822" s="14"/>
      <c r="G4822" s="15"/>
      <c r="H4822" s="451"/>
      <c r="I4822" s="412">
        <f>IF(AND(E4822&lt;&gt;"",G4822&lt;&gt;""),IF(D4822="",IF(G4822="OH",VLOOKUP(E4822,UPAH!$C$4:$H$31,7,0),VLOOKUP(E4822,#REF!,4,0)),0),0)</f>
        <v>0</v>
      </c>
      <c r="J4822" s="16">
        <f>H4822*I4822</f>
        <v>0</v>
      </c>
    </row>
    <row r="4823" spans="1:10" ht="13.5" thickBot="1">
      <c r="A4823" s="27"/>
      <c r="B4823" s="110"/>
      <c r="D4823" s="417"/>
      <c r="E4823" s="418"/>
      <c r="F4823" s="418"/>
      <c r="G4823" s="419"/>
      <c r="H4823" s="420" t="s">
        <v>67</v>
      </c>
      <c r="I4823" s="421"/>
      <c r="J4823" s="396">
        <f>J4822</f>
        <v>0</v>
      </c>
    </row>
    <row r="4824" spans="1:10" ht="13">
      <c r="A4824" s="27"/>
      <c r="B4824" s="110"/>
      <c r="D4824" s="444" t="s">
        <v>68</v>
      </c>
      <c r="E4824" s="445" t="s">
        <v>69</v>
      </c>
      <c r="F4824" s="446"/>
      <c r="G4824" s="447"/>
      <c r="H4824" s="448"/>
      <c r="I4824" s="449">
        <f>IF(AND(E4824&lt;&gt;"",G4824&lt;&gt;""),IF(D4824="",IF(G4824="OH",VLOOKUP(E4824,UPAH!$C$4:$H$31,7,0),VLOOKUP(E4824,#REF!,4,0)),0),0)</f>
        <v>0</v>
      </c>
      <c r="J4824" s="16">
        <f>SUM(J4810:J4823)/2</f>
        <v>0</v>
      </c>
    </row>
    <row r="4825" spans="1:10" ht="13.5" thickBot="1">
      <c r="A4825" s="27"/>
      <c r="B4825" s="110"/>
      <c r="D4825" s="431" t="s">
        <v>70</v>
      </c>
      <c r="E4825" s="432" t="s">
        <v>477</v>
      </c>
      <c r="F4825" s="433"/>
      <c r="G4825" s="434"/>
      <c r="H4825" s="22">
        <v>0.1</v>
      </c>
      <c r="I4825" s="436"/>
      <c r="J4825" s="430">
        <f>H4825*J4824</f>
        <v>0</v>
      </c>
    </row>
    <row r="4826" spans="1:10" ht="13.5" thickBot="1">
      <c r="A4826" s="27"/>
      <c r="B4826" s="110"/>
      <c r="D4826" s="401" t="s">
        <v>71</v>
      </c>
      <c r="E4826" s="402" t="s">
        <v>72</v>
      </c>
      <c r="F4826" s="418"/>
      <c r="G4826" s="419"/>
      <c r="H4826" s="442"/>
      <c r="I4826" s="421">
        <f>IF(AND(E4826&lt;&gt;"",G4826&lt;&gt;""),IF(D4826="",IF(G4826="OH",VLOOKUP(E4826,UPAH!$C$4:$H$31,7,0),VLOOKUP(E4826,#REF!,4,0)),0),0)</f>
        <v>0</v>
      </c>
      <c r="J4826" s="396">
        <f>ROUNDDOWN(J4824+J4825,0)</f>
        <v>0</v>
      </c>
    </row>
    <row r="4827" spans="1:10" ht="13">
      <c r="A4827" s="27"/>
      <c r="B4827" s="110"/>
      <c r="D4827" s="11"/>
      <c r="E4827" s="11"/>
      <c r="H4827" s="443"/>
    </row>
    <row r="4828" spans="1:10" ht="13.5" thickBot="1">
      <c r="A4828" s="27"/>
      <c r="B4828" s="110"/>
      <c r="C4828" s="11" t="s">
        <v>1007</v>
      </c>
      <c r="D4828" s="10" t="s">
        <v>1008</v>
      </c>
      <c r="H4828" s="443"/>
    </row>
    <row r="4829" spans="1:10" ht="13.5" thickBot="1">
      <c r="A4829" s="27"/>
      <c r="B4829" s="110"/>
      <c r="D4829" s="401" t="s">
        <v>40</v>
      </c>
      <c r="E4829" s="402" t="s">
        <v>41</v>
      </c>
      <c r="F4829" s="402" t="s">
        <v>42</v>
      </c>
      <c r="G4829" s="403" t="s">
        <v>43</v>
      </c>
      <c r="H4829" s="404" t="s">
        <v>44</v>
      </c>
      <c r="I4829" s="402" t="s">
        <v>474</v>
      </c>
      <c r="J4829" s="405" t="s">
        <v>475</v>
      </c>
    </row>
    <row r="4830" spans="1:10" ht="13">
      <c r="A4830" s="27"/>
      <c r="B4830" s="110"/>
      <c r="D4830" s="406" t="s">
        <v>45</v>
      </c>
      <c r="E4830" s="13" t="s">
        <v>46</v>
      </c>
      <c r="F4830" s="14"/>
      <c r="G4830" s="15"/>
      <c r="H4830" s="451"/>
      <c r="I4830" s="412"/>
      <c r="J4830" s="16"/>
    </row>
    <row r="4831" spans="1:10" ht="13">
      <c r="A4831" s="27"/>
      <c r="B4831" s="110"/>
      <c r="D4831" s="409"/>
      <c r="E4831" s="13" t="s">
        <v>47</v>
      </c>
      <c r="F4831" s="13" t="s">
        <v>1918</v>
      </c>
      <c r="G4831" s="410" t="s">
        <v>48</v>
      </c>
      <c r="H4831" s="411">
        <v>1</v>
      </c>
      <c r="I4831" s="412">
        <f>IF(AND(E4831&lt;&gt;"",G4831&lt;&gt;""),IF(D4831="",IF(G4831="OH",VLOOKUP(F4831,UPAH!$B$4:$H$101,7,0),VLOOKUP(F4831,#REF!,4,0)),0),0)</f>
        <v>0</v>
      </c>
      <c r="J4831" s="16">
        <f>H4831*I4831</f>
        <v>0</v>
      </c>
    </row>
    <row r="4832" spans="1:10" ht="13">
      <c r="A4832" s="27"/>
      <c r="B4832" s="110"/>
      <c r="D4832" s="409"/>
      <c r="E4832" s="13" t="s">
        <v>115</v>
      </c>
      <c r="F4832" s="13" t="s">
        <v>1921</v>
      </c>
      <c r="G4832" s="410" t="s">
        <v>48</v>
      </c>
      <c r="H4832" s="411">
        <v>0.5</v>
      </c>
      <c r="I4832" s="412">
        <f>IF(AND(E4832&lt;&gt;"",G4832&lt;&gt;""),IF(D4832="",IF(G4832="OH",VLOOKUP(F4832,UPAH!$B$4:$H$101,7,0),VLOOKUP(F4832,#REF!,4,0)),0),0)</f>
        <v>0</v>
      </c>
      <c r="J4832" s="16">
        <f>H4832*I4832</f>
        <v>0</v>
      </c>
    </row>
    <row r="4833" spans="1:10" ht="13">
      <c r="A4833" s="27"/>
      <c r="B4833" s="110"/>
      <c r="D4833" s="409"/>
      <c r="E4833" s="13" t="s">
        <v>50</v>
      </c>
      <c r="F4833" s="13" t="s">
        <v>1928</v>
      </c>
      <c r="G4833" s="410" t="s">
        <v>48</v>
      </c>
      <c r="H4833" s="411">
        <v>0.05</v>
      </c>
      <c r="I4833" s="412">
        <f>IF(AND(E4833&lt;&gt;"",G4833&lt;&gt;""),IF(D4833="",IF(G4833="OH",VLOOKUP(F4833,UPAH!$B$4:$H$101,7,0),VLOOKUP(F4833,#REF!,4,0)),0),0)</f>
        <v>0</v>
      </c>
      <c r="J4833" s="16">
        <f>H4833*I4833</f>
        <v>0</v>
      </c>
    </row>
    <row r="4834" spans="1:10" ht="13.5" thickBot="1">
      <c r="A4834" s="27"/>
      <c r="B4834" s="110"/>
      <c r="D4834" s="409"/>
      <c r="E4834" s="13" t="s">
        <v>51</v>
      </c>
      <c r="F4834" s="13" t="s">
        <v>1929</v>
      </c>
      <c r="G4834" s="410" t="s">
        <v>48</v>
      </c>
      <c r="H4834" s="411">
        <v>0.05</v>
      </c>
      <c r="I4834" s="412">
        <f>IF(AND(E4834&lt;&gt;"",G4834&lt;&gt;""),IF(D4834="",IF(G4834="OH",VLOOKUP(F4834,UPAH!$B$4:$H$101,7,0),VLOOKUP(F4834,#REF!,4,0)),0),0)</f>
        <v>0</v>
      </c>
      <c r="J4834" s="16">
        <f>H4834*I4834</f>
        <v>0</v>
      </c>
    </row>
    <row r="4835" spans="1:10" ht="13.5" thickBot="1">
      <c r="A4835" s="27"/>
      <c r="B4835" s="110"/>
      <c r="D4835" s="417"/>
      <c r="E4835" s="418"/>
      <c r="F4835" s="418"/>
      <c r="G4835" s="419"/>
      <c r="H4835" s="420" t="s">
        <v>52</v>
      </c>
      <c r="I4835" s="421"/>
      <c r="J4835" s="396">
        <f>SUM(J4831:J4834)</f>
        <v>0</v>
      </c>
    </row>
    <row r="4836" spans="1:10" ht="13">
      <c r="A4836" s="27"/>
      <c r="B4836" s="110"/>
      <c r="D4836" s="406" t="s">
        <v>53</v>
      </c>
      <c r="E4836" s="13" t="s">
        <v>54</v>
      </c>
      <c r="F4836" s="14"/>
      <c r="G4836" s="15"/>
      <c r="H4836" s="451"/>
      <c r="I4836" s="412"/>
      <c r="J4836" s="16"/>
    </row>
    <row r="4837" spans="1:10" ht="13">
      <c r="A4837" s="27"/>
      <c r="B4837" s="110"/>
      <c r="D4837" s="409"/>
      <c r="E4837" s="13" t="s">
        <v>1009</v>
      </c>
      <c r="F4837" s="14"/>
      <c r="G4837" s="410" t="s">
        <v>87</v>
      </c>
      <c r="H4837" s="411">
        <v>63</v>
      </c>
      <c r="I4837" s="412">
        <f>'BAHAN '!G1036</f>
        <v>0</v>
      </c>
      <c r="J4837" s="16">
        <f>H4837*I4837</f>
        <v>0</v>
      </c>
    </row>
    <row r="4838" spans="1:10" ht="13">
      <c r="A4838" s="27"/>
      <c r="B4838" s="110"/>
      <c r="D4838" s="409"/>
      <c r="E4838" s="13" t="s">
        <v>56</v>
      </c>
      <c r="F4838" s="14"/>
      <c r="G4838" s="410" t="s">
        <v>57</v>
      </c>
      <c r="H4838" s="411">
        <v>12.44</v>
      </c>
      <c r="I4838" s="412">
        <f>'BAHAN '!G72</f>
        <v>0</v>
      </c>
      <c r="J4838" s="16">
        <f>H4838*I4838</f>
        <v>0</v>
      </c>
    </row>
    <row r="4839" spans="1:10" ht="13">
      <c r="A4839" s="27"/>
      <c r="B4839" s="110"/>
      <c r="D4839" s="409"/>
      <c r="E4839" s="13" t="s">
        <v>101</v>
      </c>
      <c r="F4839" s="14"/>
      <c r="G4839" s="410" t="s">
        <v>170</v>
      </c>
      <c r="H4839" s="411">
        <v>2.5000000000000001E-2</v>
      </c>
      <c r="I4839" s="412">
        <f>'BAHAN '!G59</f>
        <v>0</v>
      </c>
      <c r="J4839" s="16">
        <f>H4839*I4839</f>
        <v>0</v>
      </c>
    </row>
    <row r="4840" spans="1:10" ht="13.5" thickBot="1">
      <c r="A4840" s="27"/>
      <c r="B4840" s="110"/>
      <c r="D4840" s="409"/>
      <c r="E4840" s="13" t="s">
        <v>442</v>
      </c>
      <c r="F4840" s="14"/>
      <c r="G4840" s="410" t="s">
        <v>57</v>
      </c>
      <c r="H4840" s="411">
        <v>2.75</v>
      </c>
      <c r="I4840" s="412">
        <f>'BAHAN '!G74</f>
        <v>0</v>
      </c>
      <c r="J4840" s="16">
        <f>H4840*I4840</f>
        <v>0</v>
      </c>
    </row>
    <row r="4841" spans="1:10" ht="13.5" thickBot="1">
      <c r="A4841" s="27"/>
      <c r="B4841" s="110"/>
      <c r="D4841" s="417"/>
      <c r="E4841" s="418"/>
      <c r="F4841" s="418"/>
      <c r="G4841" s="419"/>
      <c r="H4841" s="420" t="s">
        <v>64</v>
      </c>
      <c r="I4841" s="421"/>
      <c r="J4841" s="396">
        <f>SUM(J4837:J4840)</f>
        <v>0</v>
      </c>
    </row>
    <row r="4842" spans="1:10" ht="13.5" thickBot="1">
      <c r="A4842" s="27"/>
      <c r="B4842" s="110"/>
      <c r="D4842" s="406" t="s">
        <v>65</v>
      </c>
      <c r="E4842" s="13" t="s">
        <v>66</v>
      </c>
      <c r="F4842" s="14"/>
      <c r="G4842" s="15"/>
      <c r="H4842" s="451"/>
      <c r="I4842" s="412">
        <f>IF(AND(E4842&lt;&gt;"",G4842&lt;&gt;""),IF(D4842="",IF(G4842="OH",VLOOKUP(E4842,UPAH!$C$4:$H$31,7,0),VLOOKUP(E4842,#REF!,4,0)),0),0)</f>
        <v>0</v>
      </c>
      <c r="J4842" s="16">
        <f>H4842*I4842</f>
        <v>0</v>
      </c>
    </row>
    <row r="4843" spans="1:10" ht="13.5" thickBot="1">
      <c r="A4843" s="27"/>
      <c r="B4843" s="110"/>
      <c r="D4843" s="417"/>
      <c r="E4843" s="418"/>
      <c r="F4843" s="418"/>
      <c r="G4843" s="419"/>
      <c r="H4843" s="420" t="s">
        <v>67</v>
      </c>
      <c r="I4843" s="421"/>
      <c r="J4843" s="396">
        <f>J4842</f>
        <v>0</v>
      </c>
    </row>
    <row r="4844" spans="1:10" ht="13">
      <c r="A4844" s="27"/>
      <c r="B4844" s="110"/>
      <c r="D4844" s="444" t="s">
        <v>68</v>
      </c>
      <c r="E4844" s="445" t="s">
        <v>69</v>
      </c>
      <c r="F4844" s="446"/>
      <c r="G4844" s="447"/>
      <c r="H4844" s="448"/>
      <c r="I4844" s="449">
        <f>IF(AND(E4844&lt;&gt;"",G4844&lt;&gt;""),IF(D4844="",IF(G4844="OH",VLOOKUP(E4844,UPAH!$C$4:$H$31,7,0),VLOOKUP(E4844,#REF!,4,0)),0),0)</f>
        <v>0</v>
      </c>
      <c r="J4844" s="16">
        <f>SUM(J4831:J4843)/2</f>
        <v>0</v>
      </c>
    </row>
    <row r="4845" spans="1:10" ht="13.5" thickBot="1">
      <c r="A4845" s="27"/>
      <c r="B4845" s="110"/>
      <c r="D4845" s="431" t="s">
        <v>70</v>
      </c>
      <c r="E4845" s="432" t="s">
        <v>477</v>
      </c>
      <c r="F4845" s="433"/>
      <c r="G4845" s="434"/>
      <c r="H4845" s="22">
        <v>0.1</v>
      </c>
      <c r="I4845" s="436"/>
      <c r="J4845" s="430">
        <f>H4845*J4844</f>
        <v>0</v>
      </c>
    </row>
    <row r="4846" spans="1:10" ht="13.5" thickBot="1">
      <c r="A4846" s="27"/>
      <c r="B4846" s="110"/>
      <c r="D4846" s="401" t="s">
        <v>71</v>
      </c>
      <c r="E4846" s="402" t="s">
        <v>72</v>
      </c>
      <c r="F4846" s="418"/>
      <c r="G4846" s="419"/>
      <c r="H4846" s="442"/>
      <c r="I4846" s="421">
        <f>IF(AND(E4846&lt;&gt;"",G4846&lt;&gt;""),IF(D4846="",IF(G4846="OH",VLOOKUP(E4846,UPAH!$C$4:$H$31,7,0),VLOOKUP(E4846,#REF!,4,0)),0),0)</f>
        <v>0</v>
      </c>
      <c r="J4846" s="396">
        <f>ROUNDDOWN(J4844+J4845,0)</f>
        <v>0</v>
      </c>
    </row>
    <row r="4847" spans="1:10" ht="13">
      <c r="A4847" s="27"/>
      <c r="B4847" s="110"/>
      <c r="D4847" s="11"/>
      <c r="E4847" s="11"/>
      <c r="H4847" s="443"/>
    </row>
    <row r="4848" spans="1:10" ht="13.5" thickBot="1">
      <c r="A4848" s="27"/>
      <c r="B4848" s="110"/>
      <c r="C4848" s="11" t="s">
        <v>1010</v>
      </c>
      <c r="D4848" s="10" t="s">
        <v>1011</v>
      </c>
      <c r="H4848" s="443"/>
    </row>
    <row r="4849" spans="1:10" ht="13.5" thickBot="1">
      <c r="A4849" s="27"/>
      <c r="B4849" s="110"/>
      <c r="D4849" s="401" t="s">
        <v>40</v>
      </c>
      <c r="E4849" s="402" t="s">
        <v>41</v>
      </c>
      <c r="F4849" s="402" t="s">
        <v>42</v>
      </c>
      <c r="G4849" s="403" t="s">
        <v>43</v>
      </c>
      <c r="H4849" s="404" t="s">
        <v>44</v>
      </c>
      <c r="I4849" s="402" t="s">
        <v>474</v>
      </c>
      <c r="J4849" s="405" t="s">
        <v>475</v>
      </c>
    </row>
    <row r="4850" spans="1:10" ht="13">
      <c r="A4850" s="27"/>
      <c r="B4850" s="110"/>
      <c r="D4850" s="406" t="s">
        <v>45</v>
      </c>
      <c r="E4850" s="13" t="s">
        <v>46</v>
      </c>
      <c r="F4850" s="14"/>
      <c r="G4850" s="15"/>
      <c r="H4850" s="451"/>
      <c r="I4850" s="412"/>
      <c r="J4850" s="16"/>
    </row>
    <row r="4851" spans="1:10" ht="13">
      <c r="A4851" s="27"/>
      <c r="B4851" s="110"/>
      <c r="D4851" s="409"/>
      <c r="E4851" s="13" t="s">
        <v>47</v>
      </c>
      <c r="F4851" s="13" t="s">
        <v>1918</v>
      </c>
      <c r="G4851" s="410" t="s">
        <v>48</v>
      </c>
      <c r="H4851" s="411">
        <v>0.7</v>
      </c>
      <c r="I4851" s="412">
        <f>IF(AND(E4851&lt;&gt;"",G4851&lt;&gt;""),IF(D4851="",IF(G4851="OH",VLOOKUP(F4851,UPAH!$B$4:$H$101,7,0),VLOOKUP(F4851,#REF!,4,0)),0),0)</f>
        <v>0</v>
      </c>
      <c r="J4851" s="16">
        <f>H4851*I4851</f>
        <v>0</v>
      </c>
    </row>
    <row r="4852" spans="1:10" ht="13">
      <c r="A4852" s="27"/>
      <c r="B4852" s="110"/>
      <c r="D4852" s="409"/>
      <c r="E4852" s="13" t="s">
        <v>115</v>
      </c>
      <c r="F4852" s="13" t="s">
        <v>1921</v>
      </c>
      <c r="G4852" s="410" t="s">
        <v>48</v>
      </c>
      <c r="H4852" s="411">
        <v>0.35</v>
      </c>
      <c r="I4852" s="412">
        <f>IF(AND(E4852&lt;&gt;"",G4852&lt;&gt;""),IF(D4852="",IF(G4852="OH",VLOOKUP(F4852,UPAH!$B$4:$H$101,7,0),VLOOKUP(F4852,#REF!,4,0)),0),0)</f>
        <v>0</v>
      </c>
      <c r="J4852" s="16">
        <f>H4852*I4852</f>
        <v>0</v>
      </c>
    </row>
    <row r="4853" spans="1:10" ht="13">
      <c r="A4853" s="27"/>
      <c r="B4853" s="110"/>
      <c r="D4853" s="409"/>
      <c r="E4853" s="13" t="s">
        <v>50</v>
      </c>
      <c r="F4853" s="13" t="s">
        <v>1928</v>
      </c>
      <c r="G4853" s="410" t="s">
        <v>48</v>
      </c>
      <c r="H4853" s="411">
        <v>3.5000000000000003E-2</v>
      </c>
      <c r="I4853" s="412">
        <f>IF(AND(E4853&lt;&gt;"",G4853&lt;&gt;""),IF(D4853="",IF(G4853="OH",VLOOKUP(F4853,UPAH!$B$4:$H$101,7,0),VLOOKUP(F4853,#REF!,4,0)),0),0)</f>
        <v>0</v>
      </c>
      <c r="J4853" s="16">
        <f>H4853*I4853</f>
        <v>0</v>
      </c>
    </row>
    <row r="4854" spans="1:10" ht="13.5" thickBot="1">
      <c r="A4854" s="27"/>
      <c r="B4854" s="110"/>
      <c r="D4854" s="409"/>
      <c r="E4854" s="13" t="s">
        <v>51</v>
      </c>
      <c r="F4854" s="13" t="s">
        <v>1929</v>
      </c>
      <c r="G4854" s="410" t="s">
        <v>48</v>
      </c>
      <c r="H4854" s="411">
        <v>3.5000000000000003E-2</v>
      </c>
      <c r="I4854" s="412">
        <f>IF(AND(E4854&lt;&gt;"",G4854&lt;&gt;""),IF(D4854="",IF(G4854="OH",VLOOKUP(F4854,UPAH!$B$4:$H$101,7,0),VLOOKUP(F4854,#REF!,4,0)),0),0)</f>
        <v>0</v>
      </c>
      <c r="J4854" s="16">
        <f>H4854*I4854</f>
        <v>0</v>
      </c>
    </row>
    <row r="4855" spans="1:10" ht="13.5" thickBot="1">
      <c r="A4855" s="27"/>
      <c r="B4855" s="110"/>
      <c r="D4855" s="417"/>
      <c r="E4855" s="418"/>
      <c r="F4855" s="418"/>
      <c r="G4855" s="419"/>
      <c r="H4855" s="420" t="s">
        <v>52</v>
      </c>
      <c r="I4855" s="421"/>
      <c r="J4855" s="396">
        <f>SUM(J4851:J4854)</f>
        <v>0</v>
      </c>
    </row>
    <row r="4856" spans="1:10" ht="13">
      <c r="A4856" s="27"/>
      <c r="B4856" s="110"/>
      <c r="D4856" s="406" t="s">
        <v>53</v>
      </c>
      <c r="E4856" s="13" t="s">
        <v>54</v>
      </c>
      <c r="F4856" s="14"/>
      <c r="G4856" s="15"/>
      <c r="H4856" s="451"/>
      <c r="I4856" s="412"/>
      <c r="J4856" s="16"/>
    </row>
    <row r="4857" spans="1:10" ht="13">
      <c r="A4857" s="27"/>
      <c r="B4857" s="110"/>
      <c r="D4857" s="409"/>
      <c r="E4857" s="13" t="s">
        <v>1012</v>
      </c>
      <c r="F4857" s="14"/>
      <c r="G4857" s="410" t="s">
        <v>87</v>
      </c>
      <c r="H4857" s="411">
        <v>1.1000000000000001</v>
      </c>
      <c r="I4857" s="412">
        <f>'BAHAN '!G986</f>
        <v>0</v>
      </c>
      <c r="J4857" s="16">
        <f>H4857*I4857</f>
        <v>0</v>
      </c>
    </row>
    <row r="4858" spans="1:10" ht="13">
      <c r="A4858" s="27"/>
      <c r="B4858" s="110"/>
      <c r="D4858" s="409"/>
      <c r="E4858" s="13" t="s">
        <v>56</v>
      </c>
      <c r="F4858" s="14"/>
      <c r="G4858" s="410" t="s">
        <v>57</v>
      </c>
      <c r="H4858" s="411">
        <v>11.75</v>
      </c>
      <c r="I4858" s="412">
        <f>'BAHAN '!G72</f>
        <v>0</v>
      </c>
      <c r="J4858" s="16">
        <f>H4858*I4858</f>
        <v>0</v>
      </c>
    </row>
    <row r="4859" spans="1:10" ht="13.5" thickBot="1">
      <c r="A4859" s="27"/>
      <c r="B4859" s="110"/>
      <c r="D4859" s="409"/>
      <c r="E4859" s="13" t="s">
        <v>101</v>
      </c>
      <c r="F4859" s="14"/>
      <c r="G4859" s="410" t="s">
        <v>170</v>
      </c>
      <c r="H4859" s="411">
        <v>3.5000000000000003E-2</v>
      </c>
      <c r="I4859" s="412">
        <f>'BAHAN '!G59</f>
        <v>0</v>
      </c>
      <c r="J4859" s="16">
        <f>H4859*I4859</f>
        <v>0</v>
      </c>
    </row>
    <row r="4860" spans="1:10" ht="13.5" thickBot="1">
      <c r="A4860" s="27"/>
      <c r="B4860" s="110"/>
      <c r="D4860" s="417"/>
      <c r="E4860" s="418"/>
      <c r="F4860" s="418"/>
      <c r="G4860" s="419"/>
      <c r="H4860" s="420" t="s">
        <v>64</v>
      </c>
      <c r="I4860" s="421"/>
      <c r="J4860" s="396">
        <f>SUM(J4857:J4859)</f>
        <v>0</v>
      </c>
    </row>
    <row r="4861" spans="1:10" ht="13.5" thickBot="1">
      <c r="A4861" s="27"/>
      <c r="B4861" s="110"/>
      <c r="D4861" s="406" t="s">
        <v>65</v>
      </c>
      <c r="E4861" s="13" t="s">
        <v>66</v>
      </c>
      <c r="F4861" s="14"/>
      <c r="G4861" s="15"/>
      <c r="H4861" s="451"/>
      <c r="I4861" s="412">
        <f>IF(AND(E4861&lt;&gt;"",G4861&lt;&gt;""),IF(D4861="",IF(G4861="OH",VLOOKUP(E4861,UPAH!$C$4:$H$31,7,0),VLOOKUP(E4861,#REF!,4,0)),0),0)</f>
        <v>0</v>
      </c>
      <c r="J4861" s="16">
        <f>H4861*I4861</f>
        <v>0</v>
      </c>
    </row>
    <row r="4862" spans="1:10" ht="13.5" thickBot="1">
      <c r="A4862" s="27"/>
      <c r="B4862" s="110"/>
      <c r="D4862" s="417"/>
      <c r="E4862" s="418"/>
      <c r="F4862" s="418"/>
      <c r="G4862" s="419"/>
      <c r="H4862" s="420" t="s">
        <v>67</v>
      </c>
      <c r="I4862" s="421"/>
      <c r="J4862" s="396">
        <f>J4861</f>
        <v>0</v>
      </c>
    </row>
    <row r="4863" spans="1:10" ht="13">
      <c r="A4863" s="27"/>
      <c r="B4863" s="110"/>
      <c r="D4863" s="444" t="s">
        <v>68</v>
      </c>
      <c r="E4863" s="445" t="s">
        <v>69</v>
      </c>
      <c r="F4863" s="446"/>
      <c r="G4863" s="447"/>
      <c r="H4863" s="448"/>
      <c r="I4863" s="449">
        <f>IF(AND(E4863&lt;&gt;"",G4863&lt;&gt;""),IF(D4863="",IF(G4863="OH",VLOOKUP(E4863,UPAH!$C$4:$H$31,7,0),VLOOKUP(E4863,#REF!,4,0)),0),0)</f>
        <v>0</v>
      </c>
      <c r="J4863" s="16">
        <f>SUM(J4851:J4862)/2</f>
        <v>0</v>
      </c>
    </row>
    <row r="4864" spans="1:10" ht="13.5" thickBot="1">
      <c r="A4864" s="27"/>
      <c r="B4864" s="110"/>
      <c r="D4864" s="431" t="s">
        <v>70</v>
      </c>
      <c r="E4864" s="432" t="s">
        <v>477</v>
      </c>
      <c r="F4864" s="433"/>
      <c r="G4864" s="434"/>
      <c r="H4864" s="22">
        <v>0.1</v>
      </c>
      <c r="I4864" s="436"/>
      <c r="J4864" s="430">
        <f>H4864*J4863</f>
        <v>0</v>
      </c>
    </row>
    <row r="4865" spans="1:10" ht="13.5" thickBot="1">
      <c r="A4865" s="27"/>
      <c r="B4865" s="110"/>
      <c r="D4865" s="401" t="s">
        <v>71</v>
      </c>
      <c r="E4865" s="402" t="s">
        <v>72</v>
      </c>
      <c r="F4865" s="418"/>
      <c r="G4865" s="419"/>
      <c r="H4865" s="442"/>
      <c r="I4865" s="421">
        <f>IF(AND(E4865&lt;&gt;"",G4865&lt;&gt;""),IF(D4865="",IF(G4865="OH",VLOOKUP(E4865,UPAH!$C$4:$H$31,7,0),VLOOKUP(E4865,#REF!,4,0)),0),0)</f>
        <v>0</v>
      </c>
      <c r="J4865" s="396">
        <f>ROUNDDOWN(J4863+J4864,0)</f>
        <v>0</v>
      </c>
    </row>
    <row r="4866" spans="1:10" ht="13">
      <c r="A4866" s="27"/>
      <c r="B4866" s="110"/>
      <c r="D4866" s="11"/>
      <c r="E4866" s="11"/>
      <c r="H4866" s="443"/>
    </row>
    <row r="4867" spans="1:10" ht="13.5" thickBot="1">
      <c r="A4867" s="27"/>
      <c r="B4867" s="110"/>
      <c r="C4867" s="11" t="s">
        <v>1013</v>
      </c>
      <c r="D4867" s="10" t="s">
        <v>4136</v>
      </c>
      <c r="H4867" s="443"/>
    </row>
    <row r="4868" spans="1:10" ht="13.5" thickBot="1">
      <c r="A4868" s="27"/>
      <c r="B4868" s="110"/>
      <c r="D4868" s="401" t="s">
        <v>40</v>
      </c>
      <c r="E4868" s="402" t="s">
        <v>41</v>
      </c>
      <c r="F4868" s="402" t="s">
        <v>42</v>
      </c>
      <c r="G4868" s="403" t="s">
        <v>43</v>
      </c>
      <c r="H4868" s="404" t="s">
        <v>44</v>
      </c>
      <c r="I4868" s="402" t="s">
        <v>474</v>
      </c>
      <c r="J4868" s="405" t="s">
        <v>475</v>
      </c>
    </row>
    <row r="4869" spans="1:10" ht="13">
      <c r="A4869" s="27"/>
      <c r="B4869" s="110"/>
      <c r="D4869" s="406" t="s">
        <v>45</v>
      </c>
      <c r="E4869" s="13" t="s">
        <v>46</v>
      </c>
      <c r="F4869" s="14"/>
      <c r="G4869" s="15"/>
      <c r="H4869" s="451"/>
      <c r="I4869" s="412"/>
      <c r="J4869" s="16"/>
    </row>
    <row r="4870" spans="1:10" ht="13">
      <c r="A4870" s="27"/>
      <c r="B4870" s="110"/>
      <c r="D4870" s="409"/>
      <c r="E4870" s="13" t="s">
        <v>47</v>
      </c>
      <c r="F4870" s="13" t="s">
        <v>1918</v>
      </c>
      <c r="G4870" s="410" t="s">
        <v>48</v>
      </c>
      <c r="H4870" s="411">
        <v>0.7</v>
      </c>
      <c r="I4870" s="412">
        <f>IF(AND(E4870&lt;&gt;"",G4870&lt;&gt;""),IF(D4870="",IF(G4870="OH",VLOOKUP(F4870,UPAH!$B$4:$H$101,7,0),VLOOKUP(F4870,#REF!,4,0)),0),0)</f>
        <v>0</v>
      </c>
      <c r="J4870" s="16">
        <f>H4870*I4870</f>
        <v>0</v>
      </c>
    </row>
    <row r="4871" spans="1:10" ht="13">
      <c r="A4871" s="27"/>
      <c r="B4871" s="110"/>
      <c r="D4871" s="409"/>
      <c r="E4871" s="13" t="s">
        <v>115</v>
      </c>
      <c r="F4871" s="13" t="s">
        <v>1921</v>
      </c>
      <c r="G4871" s="410" t="s">
        <v>48</v>
      </c>
      <c r="H4871" s="411">
        <v>0.35</v>
      </c>
      <c r="I4871" s="412">
        <f>IF(AND(E4871&lt;&gt;"",G4871&lt;&gt;""),IF(D4871="",IF(G4871="OH",VLOOKUP(F4871,UPAH!$B$4:$H$101,7,0),VLOOKUP(F4871,#REF!,4,0)),0),0)</f>
        <v>0</v>
      </c>
      <c r="J4871" s="16">
        <f>H4871*I4871</f>
        <v>0</v>
      </c>
    </row>
    <row r="4872" spans="1:10" ht="13">
      <c r="A4872" s="27"/>
      <c r="B4872" s="110"/>
      <c r="D4872" s="409"/>
      <c r="E4872" s="13" t="s">
        <v>50</v>
      </c>
      <c r="F4872" s="13" t="s">
        <v>1928</v>
      </c>
      <c r="G4872" s="410" t="s">
        <v>48</v>
      </c>
      <c r="H4872" s="411">
        <v>3.5000000000000003E-2</v>
      </c>
      <c r="I4872" s="412">
        <f>IF(AND(E4872&lt;&gt;"",G4872&lt;&gt;""),IF(D4872="",IF(G4872="OH",VLOOKUP(F4872,UPAH!$B$4:$H$101,7,0),VLOOKUP(F4872,#REF!,4,0)),0),0)</f>
        <v>0</v>
      </c>
      <c r="J4872" s="16">
        <f>H4872*I4872</f>
        <v>0</v>
      </c>
    </row>
    <row r="4873" spans="1:10" ht="13.5" thickBot="1">
      <c r="A4873" s="27"/>
      <c r="B4873" s="110"/>
      <c r="D4873" s="409"/>
      <c r="E4873" s="13" t="s">
        <v>51</v>
      </c>
      <c r="F4873" s="13" t="s">
        <v>1929</v>
      </c>
      <c r="G4873" s="410" t="s">
        <v>48</v>
      </c>
      <c r="H4873" s="411">
        <v>3.5000000000000003E-2</v>
      </c>
      <c r="I4873" s="412">
        <f>IF(AND(E4873&lt;&gt;"",G4873&lt;&gt;""),IF(D4873="",IF(G4873="OH",VLOOKUP(F4873,UPAH!$B$4:$H$101,7,0),VLOOKUP(F4873,#REF!,4,0)),0),0)</f>
        <v>0</v>
      </c>
      <c r="J4873" s="16">
        <f>H4873*I4873</f>
        <v>0</v>
      </c>
    </row>
    <row r="4874" spans="1:10" ht="13.5" thickBot="1">
      <c r="A4874" s="27"/>
      <c r="B4874" s="110"/>
      <c r="D4874" s="417"/>
      <c r="E4874" s="418"/>
      <c r="F4874" s="418"/>
      <c r="G4874" s="419"/>
      <c r="H4874" s="420" t="s">
        <v>52</v>
      </c>
      <c r="I4874" s="421"/>
      <c r="J4874" s="396">
        <f>SUM(J4870:J4873)</f>
        <v>0</v>
      </c>
    </row>
    <row r="4875" spans="1:10" ht="13">
      <c r="A4875" s="27"/>
      <c r="B4875" s="110"/>
      <c r="D4875" s="406" t="s">
        <v>53</v>
      </c>
      <c r="E4875" s="13" t="s">
        <v>54</v>
      </c>
      <c r="F4875" s="14"/>
      <c r="G4875" s="15"/>
      <c r="H4875" s="451"/>
      <c r="I4875" s="412"/>
      <c r="J4875" s="16"/>
    </row>
    <row r="4876" spans="1:10" ht="13">
      <c r="A4876" s="27"/>
      <c r="B4876" s="110"/>
      <c r="D4876" s="409"/>
      <c r="E4876" s="13" t="s">
        <v>4137</v>
      </c>
      <c r="F4876" s="14"/>
      <c r="G4876" s="410" t="s">
        <v>87</v>
      </c>
      <c r="H4876" s="411">
        <v>1</v>
      </c>
      <c r="I4876" s="412">
        <f>'BAHAN '!G987</f>
        <v>0</v>
      </c>
      <c r="J4876" s="16">
        <f>H4876*I4876</f>
        <v>0</v>
      </c>
    </row>
    <row r="4877" spans="1:10" ht="13">
      <c r="A4877" s="27"/>
      <c r="B4877" s="110"/>
      <c r="D4877" s="409"/>
      <c r="E4877" s="13" t="s">
        <v>56</v>
      </c>
      <c r="F4877" s="14"/>
      <c r="G4877" s="410" t="s">
        <v>57</v>
      </c>
      <c r="H4877" s="411">
        <v>11.75</v>
      </c>
      <c r="I4877" s="412">
        <f>'BAHAN '!G72</f>
        <v>0</v>
      </c>
      <c r="J4877" s="16">
        <f>H4877*I4877</f>
        <v>0</v>
      </c>
    </row>
    <row r="4878" spans="1:10" ht="13.5" thickBot="1">
      <c r="A4878" s="27"/>
      <c r="B4878" s="110"/>
      <c r="D4878" s="409"/>
      <c r="E4878" s="13" t="s">
        <v>101</v>
      </c>
      <c r="F4878" s="14"/>
      <c r="G4878" s="410" t="s">
        <v>170</v>
      </c>
      <c r="H4878" s="411">
        <v>3.5000000000000003E-2</v>
      </c>
      <c r="I4878" s="412">
        <f>'BAHAN '!G59</f>
        <v>0</v>
      </c>
      <c r="J4878" s="16">
        <f>H4878*I4878</f>
        <v>0</v>
      </c>
    </row>
    <row r="4879" spans="1:10" ht="13.5" thickBot="1">
      <c r="A4879" s="27"/>
      <c r="B4879" s="110"/>
      <c r="D4879" s="417"/>
      <c r="E4879" s="418"/>
      <c r="F4879" s="418"/>
      <c r="G4879" s="419"/>
      <c r="H4879" s="420" t="s">
        <v>64</v>
      </c>
      <c r="I4879" s="421"/>
      <c r="J4879" s="396">
        <f>SUM(J4876:J4878)</f>
        <v>0</v>
      </c>
    </row>
    <row r="4880" spans="1:10" ht="13.5" thickBot="1">
      <c r="A4880" s="27"/>
      <c r="B4880" s="110"/>
      <c r="D4880" s="406" t="s">
        <v>65</v>
      </c>
      <c r="E4880" s="13" t="s">
        <v>66</v>
      </c>
      <c r="F4880" s="14"/>
      <c r="G4880" s="15"/>
      <c r="H4880" s="451"/>
      <c r="I4880" s="412">
        <f>IF(AND(E4880&lt;&gt;"",G4880&lt;&gt;""),IF(D4880="",IF(G4880="OH",VLOOKUP(E4880,UPAH!$C$4:$H$31,7,0),VLOOKUP(E4880,#REF!,4,0)),0),0)</f>
        <v>0</v>
      </c>
      <c r="J4880" s="16">
        <f>H4880*I4880</f>
        <v>0</v>
      </c>
    </row>
    <row r="4881" spans="1:10" ht="13.5" thickBot="1">
      <c r="A4881" s="27"/>
      <c r="B4881" s="110"/>
      <c r="D4881" s="417"/>
      <c r="E4881" s="418"/>
      <c r="F4881" s="418"/>
      <c r="G4881" s="419"/>
      <c r="H4881" s="420" t="s">
        <v>67</v>
      </c>
      <c r="I4881" s="421"/>
      <c r="J4881" s="396">
        <f>J4880</f>
        <v>0</v>
      </c>
    </row>
    <row r="4882" spans="1:10" ht="13">
      <c r="A4882" s="27"/>
      <c r="B4882" s="110"/>
      <c r="D4882" s="444" t="s">
        <v>68</v>
      </c>
      <c r="E4882" s="445" t="s">
        <v>69</v>
      </c>
      <c r="F4882" s="446"/>
      <c r="G4882" s="447"/>
      <c r="H4882" s="448"/>
      <c r="I4882" s="449">
        <f>IF(AND(E4882&lt;&gt;"",G4882&lt;&gt;""),IF(D4882="",IF(G4882="OH",VLOOKUP(E4882,UPAH!$C$4:$H$31,7,0),VLOOKUP(E4882,#REF!,4,0)),0),0)</f>
        <v>0</v>
      </c>
      <c r="J4882" s="16">
        <f>SUM(J4869:J4881)/2</f>
        <v>0</v>
      </c>
    </row>
    <row r="4883" spans="1:10" ht="13.5" thickBot="1">
      <c r="A4883" s="27"/>
      <c r="B4883" s="110"/>
      <c r="D4883" s="431" t="s">
        <v>70</v>
      </c>
      <c r="E4883" s="432" t="s">
        <v>477</v>
      </c>
      <c r="F4883" s="433"/>
      <c r="G4883" s="434"/>
      <c r="H4883" s="22">
        <v>0.1</v>
      </c>
      <c r="I4883" s="436"/>
      <c r="J4883" s="430">
        <f>H4883*J4882</f>
        <v>0</v>
      </c>
    </row>
    <row r="4884" spans="1:10" ht="13.5" thickBot="1">
      <c r="A4884" s="27"/>
      <c r="B4884" s="110"/>
      <c r="D4884" s="401" t="s">
        <v>71</v>
      </c>
      <c r="E4884" s="402" t="s">
        <v>72</v>
      </c>
      <c r="F4884" s="418"/>
      <c r="G4884" s="419"/>
      <c r="H4884" s="442"/>
      <c r="I4884" s="421">
        <f>IF(AND(E4884&lt;&gt;"",G4884&lt;&gt;""),IF(D4884="",IF(G4884="OH",VLOOKUP(E4884,UPAH!$C$4:$H$31,7,0),VLOOKUP(E4884,#REF!,4,0)),0),0)</f>
        <v>0</v>
      </c>
      <c r="J4884" s="396">
        <f>ROUNDDOWN(J4882+J4883,0)</f>
        <v>0</v>
      </c>
    </row>
    <row r="4885" spans="1:10" ht="13">
      <c r="A4885" s="27"/>
      <c r="B4885" s="110"/>
      <c r="D4885" s="11"/>
      <c r="E4885" s="11"/>
      <c r="H4885" s="443"/>
    </row>
    <row r="4886" spans="1:10" ht="13.5" thickBot="1">
      <c r="A4886" s="27"/>
      <c r="B4886" s="110"/>
      <c r="C4886" s="11" t="s">
        <v>1014</v>
      </c>
      <c r="D4886" s="10" t="s">
        <v>1015</v>
      </c>
      <c r="H4886" s="443"/>
    </row>
    <row r="4887" spans="1:10" ht="13.5" thickBot="1">
      <c r="A4887" s="27"/>
      <c r="B4887" s="110"/>
      <c r="D4887" s="401" t="s">
        <v>40</v>
      </c>
      <c r="E4887" s="402" t="s">
        <v>41</v>
      </c>
      <c r="F4887" s="402" t="s">
        <v>42</v>
      </c>
      <c r="G4887" s="403" t="s">
        <v>43</v>
      </c>
      <c r="H4887" s="404" t="s">
        <v>44</v>
      </c>
      <c r="I4887" s="402" t="s">
        <v>474</v>
      </c>
      <c r="J4887" s="405" t="s">
        <v>475</v>
      </c>
    </row>
    <row r="4888" spans="1:10" ht="13">
      <c r="A4888" s="27"/>
      <c r="B4888" s="110"/>
      <c r="D4888" s="406" t="s">
        <v>45</v>
      </c>
      <c r="E4888" s="13" t="s">
        <v>46</v>
      </c>
      <c r="F4888" s="14"/>
      <c r="G4888" s="15"/>
      <c r="H4888" s="451"/>
      <c r="I4888" s="412"/>
      <c r="J4888" s="16"/>
    </row>
    <row r="4889" spans="1:10" ht="13">
      <c r="A4889" s="27"/>
      <c r="B4889" s="110"/>
      <c r="D4889" s="409"/>
      <c r="E4889" s="13" t="s">
        <v>47</v>
      </c>
      <c r="F4889" s="13" t="s">
        <v>1918</v>
      </c>
      <c r="G4889" s="410" t="s">
        <v>48</v>
      </c>
      <c r="H4889" s="411">
        <v>0.15</v>
      </c>
      <c r="I4889" s="412">
        <f>IF(AND(E4889&lt;&gt;"",G4889&lt;&gt;""),IF(D4889="",IF(G4889="OH",VLOOKUP(F4889,UPAH!$B$4:$H$101,7,0),VLOOKUP(F4889,#REF!,4,0)),0),0)</f>
        <v>0</v>
      </c>
      <c r="J4889" s="16">
        <f>H4889*I4889</f>
        <v>0</v>
      </c>
    </row>
    <row r="4890" spans="1:10" ht="13">
      <c r="A4890" s="27"/>
      <c r="B4890" s="110"/>
      <c r="D4890" s="409"/>
      <c r="E4890" s="13" t="s">
        <v>115</v>
      </c>
      <c r="F4890" s="13" t="s">
        <v>1921</v>
      </c>
      <c r="G4890" s="410" t="s">
        <v>48</v>
      </c>
      <c r="H4890" s="411">
        <v>0.15</v>
      </c>
      <c r="I4890" s="412">
        <f>IF(AND(E4890&lt;&gt;"",G4890&lt;&gt;""),IF(D4890="",IF(G4890="OH",VLOOKUP(F4890,UPAH!$B$4:$H$101,7,0),VLOOKUP(F4890,#REF!,4,0)),0),0)</f>
        <v>0</v>
      </c>
      <c r="J4890" s="16">
        <f>H4890*I4890</f>
        <v>0</v>
      </c>
    </row>
    <row r="4891" spans="1:10" ht="13">
      <c r="A4891" s="27"/>
      <c r="B4891" s="110"/>
      <c r="D4891" s="409"/>
      <c r="E4891" s="13" t="s">
        <v>50</v>
      </c>
      <c r="F4891" s="13" t="s">
        <v>1928</v>
      </c>
      <c r="G4891" s="410" t="s">
        <v>48</v>
      </c>
      <c r="H4891" s="411">
        <v>1.4999999999999999E-2</v>
      </c>
      <c r="I4891" s="412">
        <f>IF(AND(E4891&lt;&gt;"",G4891&lt;&gt;""),IF(D4891="",IF(G4891="OH",VLOOKUP(F4891,UPAH!$B$4:$H$101,7,0),VLOOKUP(F4891,#REF!,4,0)),0),0)</f>
        <v>0</v>
      </c>
      <c r="J4891" s="16">
        <f>H4891*I4891</f>
        <v>0</v>
      </c>
    </row>
    <row r="4892" spans="1:10" ht="13.5" thickBot="1">
      <c r="A4892" s="27"/>
      <c r="B4892" s="110"/>
      <c r="D4892" s="409"/>
      <c r="E4892" s="13" t="s">
        <v>51</v>
      </c>
      <c r="F4892" s="13" t="s">
        <v>1929</v>
      </c>
      <c r="G4892" s="410" t="s">
        <v>48</v>
      </c>
      <c r="H4892" s="411">
        <v>8.0000000000000002E-3</v>
      </c>
      <c r="I4892" s="412">
        <f>IF(AND(E4892&lt;&gt;"",G4892&lt;&gt;""),IF(D4892="",IF(G4892="OH",VLOOKUP(F4892,UPAH!$B$4:$H$101,7,0),VLOOKUP(F4892,#REF!,4,0)),0),0)</f>
        <v>0</v>
      </c>
      <c r="J4892" s="16">
        <f>H4892*I4892</f>
        <v>0</v>
      </c>
    </row>
    <row r="4893" spans="1:10" ht="13.5" thickBot="1">
      <c r="A4893" s="27"/>
      <c r="B4893" s="110"/>
      <c r="D4893" s="417"/>
      <c r="E4893" s="418"/>
      <c r="F4893" s="418"/>
      <c r="G4893" s="419"/>
      <c r="H4893" s="420" t="s">
        <v>52</v>
      </c>
      <c r="I4893" s="421"/>
      <c r="J4893" s="396">
        <f>SUM(J4889:J4892)</f>
        <v>0</v>
      </c>
    </row>
    <row r="4894" spans="1:10" ht="13">
      <c r="A4894" s="27"/>
      <c r="B4894" s="110"/>
      <c r="D4894" s="406" t="s">
        <v>53</v>
      </c>
      <c r="E4894" s="13" t="s">
        <v>54</v>
      </c>
      <c r="F4894" s="14"/>
      <c r="G4894" s="15"/>
      <c r="H4894" s="451"/>
      <c r="I4894" s="412"/>
      <c r="J4894" s="16"/>
    </row>
    <row r="4895" spans="1:10" ht="13">
      <c r="A4895" s="27"/>
      <c r="B4895" s="110"/>
      <c r="D4895" s="409"/>
      <c r="E4895" s="13" t="s">
        <v>3231</v>
      </c>
      <c r="F4895" s="14"/>
      <c r="G4895" s="410" t="s">
        <v>87</v>
      </c>
      <c r="H4895" s="411">
        <v>11.87</v>
      </c>
      <c r="I4895" s="412">
        <v>0</v>
      </c>
      <c r="J4895" s="16">
        <f>H4895*I4895</f>
        <v>0</v>
      </c>
    </row>
    <row r="4896" spans="1:10" ht="13.5" thickBot="1">
      <c r="A4896" s="27"/>
      <c r="B4896" s="110"/>
      <c r="D4896" s="409"/>
      <c r="E4896" s="13" t="s">
        <v>502</v>
      </c>
      <c r="F4896" s="14"/>
      <c r="G4896" s="410" t="s">
        <v>57</v>
      </c>
      <c r="H4896" s="411">
        <v>0.35</v>
      </c>
      <c r="I4896" s="412">
        <f>'BAHAN '!G731</f>
        <v>0</v>
      </c>
      <c r="J4896" s="16">
        <f>H4896*I4896</f>
        <v>0</v>
      </c>
    </row>
    <row r="4897" spans="1:10" ht="13.5" thickBot="1">
      <c r="A4897" s="27"/>
      <c r="B4897" s="110"/>
      <c r="D4897" s="417"/>
      <c r="E4897" s="418"/>
      <c r="F4897" s="418"/>
      <c r="G4897" s="419"/>
      <c r="H4897" s="420" t="s">
        <v>64</v>
      </c>
      <c r="I4897" s="421"/>
      <c r="J4897" s="396">
        <f>SUM(J4895:J4896)</f>
        <v>0</v>
      </c>
    </row>
    <row r="4898" spans="1:10" ht="13.5" thickBot="1">
      <c r="A4898" s="27"/>
      <c r="B4898" s="110"/>
      <c r="D4898" s="406" t="s">
        <v>65</v>
      </c>
      <c r="E4898" s="13" t="s">
        <v>66</v>
      </c>
      <c r="F4898" s="14"/>
      <c r="G4898" s="15"/>
      <c r="H4898" s="451"/>
      <c r="I4898" s="412">
        <f>IF(AND(E4898&lt;&gt;"",G4898&lt;&gt;""),IF(D4898="",IF(G4898="OH",VLOOKUP(E4898,UPAH!$C$4:$H$31,7,0),VLOOKUP(E4898,#REF!,4,0)),0),0)</f>
        <v>0</v>
      </c>
      <c r="J4898" s="16">
        <f>H4898*I4898</f>
        <v>0</v>
      </c>
    </row>
    <row r="4899" spans="1:10" ht="13.5" thickBot="1">
      <c r="A4899" s="27"/>
      <c r="B4899" s="110"/>
      <c r="D4899" s="417"/>
      <c r="E4899" s="418"/>
      <c r="F4899" s="418"/>
      <c r="G4899" s="419"/>
      <c r="H4899" s="420" t="s">
        <v>67</v>
      </c>
      <c r="I4899" s="421"/>
      <c r="J4899" s="396">
        <f>J4898</f>
        <v>0</v>
      </c>
    </row>
    <row r="4900" spans="1:10" ht="13">
      <c r="A4900" s="27"/>
      <c r="B4900" s="110"/>
      <c r="D4900" s="444" t="s">
        <v>68</v>
      </c>
      <c r="E4900" s="445" t="s">
        <v>69</v>
      </c>
      <c r="F4900" s="446"/>
      <c r="G4900" s="447"/>
      <c r="H4900" s="448"/>
      <c r="I4900" s="449">
        <f>IF(AND(E4900&lt;&gt;"",G4900&lt;&gt;""),IF(D4900="",IF(G4900="OH",VLOOKUP(E4900,UPAH!$C$4:$H$31,7,0),VLOOKUP(E4900,#REF!,4,0)),0),0)</f>
        <v>0</v>
      </c>
      <c r="J4900" s="16">
        <f>SUM(J4889:J4899)/2</f>
        <v>0</v>
      </c>
    </row>
    <row r="4901" spans="1:10" ht="13.5" thickBot="1">
      <c r="A4901" s="27"/>
      <c r="B4901" s="110"/>
      <c r="D4901" s="431" t="s">
        <v>70</v>
      </c>
      <c r="E4901" s="432" t="s">
        <v>477</v>
      </c>
      <c r="F4901" s="433"/>
      <c r="G4901" s="434"/>
      <c r="H4901" s="22">
        <v>0.1</v>
      </c>
      <c r="I4901" s="436"/>
      <c r="J4901" s="430">
        <f>H4901*J4900</f>
        <v>0</v>
      </c>
    </row>
    <row r="4902" spans="1:10" ht="13.5" thickBot="1">
      <c r="A4902" s="27"/>
      <c r="B4902" s="110"/>
      <c r="D4902" s="401" t="s">
        <v>71</v>
      </c>
      <c r="E4902" s="402" t="s">
        <v>72</v>
      </c>
      <c r="F4902" s="418"/>
      <c r="G4902" s="419"/>
      <c r="H4902" s="442"/>
      <c r="I4902" s="421">
        <f>IF(AND(E4902&lt;&gt;"",G4902&lt;&gt;""),IF(D4902="",IF(G4902="OH",VLOOKUP(E4902,UPAH!$C$4:$H$31,7,0),VLOOKUP(E4902,#REF!,4,0)),0),0)</f>
        <v>0</v>
      </c>
      <c r="J4902" s="396">
        <f>ROUNDDOWN(J4900+J4901,0)</f>
        <v>0</v>
      </c>
    </row>
    <row r="4903" spans="1:10" ht="13">
      <c r="A4903" s="27"/>
      <c r="B4903" s="110"/>
      <c r="D4903" s="11"/>
      <c r="E4903" s="11"/>
      <c r="H4903" s="443"/>
    </row>
    <row r="4904" spans="1:10" ht="13.5" thickBot="1">
      <c r="A4904" s="27"/>
      <c r="B4904" s="110"/>
      <c r="C4904" s="11" t="s">
        <v>1016</v>
      </c>
      <c r="D4904" s="10" t="s">
        <v>1017</v>
      </c>
      <c r="H4904" s="443"/>
    </row>
    <row r="4905" spans="1:10" ht="13.5" thickBot="1">
      <c r="A4905" s="27"/>
      <c r="B4905" s="110"/>
      <c r="D4905" s="401" t="s">
        <v>40</v>
      </c>
      <c r="E4905" s="402" t="s">
        <v>41</v>
      </c>
      <c r="F4905" s="402" t="s">
        <v>42</v>
      </c>
      <c r="G4905" s="403" t="s">
        <v>43</v>
      </c>
      <c r="H4905" s="404" t="s">
        <v>44</v>
      </c>
      <c r="I4905" s="402" t="s">
        <v>474</v>
      </c>
      <c r="J4905" s="405" t="s">
        <v>475</v>
      </c>
    </row>
    <row r="4906" spans="1:10" ht="13">
      <c r="A4906" s="27"/>
      <c r="B4906" s="110"/>
      <c r="D4906" s="406" t="s">
        <v>45</v>
      </c>
      <c r="E4906" s="13" t="s">
        <v>46</v>
      </c>
      <c r="F4906" s="14"/>
      <c r="G4906" s="15"/>
      <c r="H4906" s="451"/>
      <c r="I4906" s="412"/>
      <c r="J4906" s="16"/>
    </row>
    <row r="4907" spans="1:10" ht="13">
      <c r="A4907" s="27"/>
      <c r="B4907" s="110"/>
      <c r="D4907" s="409"/>
      <c r="E4907" s="13" t="s">
        <v>47</v>
      </c>
      <c r="F4907" s="13" t="s">
        <v>1918</v>
      </c>
      <c r="G4907" s="410" t="s">
        <v>48</v>
      </c>
      <c r="H4907" s="411">
        <v>0.35</v>
      </c>
      <c r="I4907" s="412">
        <f>IF(AND(E4907&lt;&gt;"",G4907&lt;&gt;""),IF(D4907="",IF(G4907="OH",VLOOKUP(F4907,UPAH!$B$4:$H$101,7,0),VLOOKUP(F4907,#REF!,4,0)),0),0)</f>
        <v>0</v>
      </c>
      <c r="J4907" s="16">
        <f>H4907*I4907</f>
        <v>0</v>
      </c>
    </row>
    <row r="4908" spans="1:10" ht="13">
      <c r="A4908" s="27"/>
      <c r="B4908" s="110"/>
      <c r="D4908" s="409"/>
      <c r="E4908" s="13" t="s">
        <v>115</v>
      </c>
      <c r="F4908" s="13" t="s">
        <v>1921</v>
      </c>
      <c r="G4908" s="410" t="s">
        <v>48</v>
      </c>
      <c r="H4908" s="411">
        <v>0.17499999999999999</v>
      </c>
      <c r="I4908" s="412">
        <f>IF(AND(E4908&lt;&gt;"",G4908&lt;&gt;""),IF(D4908="",IF(G4908="OH",VLOOKUP(F4908,UPAH!$B$4:$H$101,7,0),VLOOKUP(F4908,#REF!,4,0)),0),0)</f>
        <v>0</v>
      </c>
      <c r="J4908" s="16">
        <f>H4908*I4908</f>
        <v>0</v>
      </c>
    </row>
    <row r="4909" spans="1:10" ht="13">
      <c r="A4909" s="27"/>
      <c r="B4909" s="110"/>
      <c r="D4909" s="409"/>
      <c r="E4909" s="13" t="s">
        <v>50</v>
      </c>
      <c r="F4909" s="13" t="s">
        <v>1928</v>
      </c>
      <c r="G4909" s="410" t="s">
        <v>48</v>
      </c>
      <c r="H4909" s="411">
        <v>1.7000000000000001E-2</v>
      </c>
      <c r="I4909" s="412">
        <f>IF(AND(E4909&lt;&gt;"",G4909&lt;&gt;""),IF(D4909="",IF(G4909="OH",VLOOKUP(F4909,UPAH!$B$4:$H$101,7,0),VLOOKUP(F4909,#REF!,4,0)),0),0)</f>
        <v>0</v>
      </c>
      <c r="J4909" s="16">
        <f>H4909*I4909</f>
        <v>0</v>
      </c>
    </row>
    <row r="4910" spans="1:10" ht="13.5" thickBot="1">
      <c r="A4910" s="27"/>
      <c r="B4910" s="110"/>
      <c r="D4910" s="409"/>
      <c r="E4910" s="13" t="s">
        <v>51</v>
      </c>
      <c r="F4910" s="13" t="s">
        <v>1929</v>
      </c>
      <c r="G4910" s="410" t="s">
        <v>48</v>
      </c>
      <c r="H4910" s="411">
        <v>2E-3</v>
      </c>
      <c r="I4910" s="412">
        <f>IF(AND(E4910&lt;&gt;"",G4910&lt;&gt;""),IF(D4910="",IF(G4910="OH",VLOOKUP(F4910,UPAH!$B$4:$H$101,7,0),VLOOKUP(F4910,#REF!,4,0)),0),0)</f>
        <v>0</v>
      </c>
      <c r="J4910" s="16">
        <f>H4910*I4910</f>
        <v>0</v>
      </c>
    </row>
    <row r="4911" spans="1:10" ht="13.5" thickBot="1">
      <c r="A4911" s="27"/>
      <c r="B4911" s="110"/>
      <c r="D4911" s="417"/>
      <c r="E4911" s="418"/>
      <c r="F4911" s="418"/>
      <c r="G4911" s="419"/>
      <c r="H4911" s="420" t="s">
        <v>52</v>
      </c>
      <c r="I4911" s="421"/>
      <c r="J4911" s="396">
        <f>SUM(J4907:J4910)</f>
        <v>0</v>
      </c>
    </row>
    <row r="4912" spans="1:10" ht="13">
      <c r="A4912" s="27"/>
      <c r="B4912" s="110"/>
      <c r="D4912" s="406" t="s">
        <v>53</v>
      </c>
      <c r="E4912" s="13" t="s">
        <v>54</v>
      </c>
      <c r="F4912" s="14"/>
      <c r="G4912" s="15"/>
      <c r="H4912" s="451"/>
      <c r="I4912" s="412"/>
      <c r="J4912" s="16"/>
    </row>
    <row r="4913" spans="1:10" ht="13">
      <c r="A4913" s="27"/>
      <c r="B4913" s="110"/>
      <c r="D4913" s="409"/>
      <c r="E4913" s="13" t="s">
        <v>1018</v>
      </c>
      <c r="F4913" s="14"/>
      <c r="G4913" s="410" t="s">
        <v>113</v>
      </c>
      <c r="H4913" s="411">
        <v>2.2000000000000002</v>
      </c>
      <c r="I4913" s="412">
        <f>'BAHAN '!G740</f>
        <v>0</v>
      </c>
      <c r="J4913" s="16">
        <f>H4913*I4913</f>
        <v>0</v>
      </c>
    </row>
    <row r="4914" spans="1:10" ht="13.5" thickBot="1">
      <c r="A4914" s="27"/>
      <c r="B4914" s="110"/>
      <c r="D4914" s="409"/>
      <c r="E4914" s="13" t="s">
        <v>402</v>
      </c>
      <c r="F4914" s="14"/>
      <c r="G4914" s="410" t="s">
        <v>57</v>
      </c>
      <c r="H4914" s="411">
        <v>0.25</v>
      </c>
      <c r="I4914" s="412">
        <f>'BAHAN '!G816</f>
        <v>0</v>
      </c>
      <c r="J4914" s="16">
        <f>H4914*I4914</f>
        <v>0</v>
      </c>
    </row>
    <row r="4915" spans="1:10" ht="13.5" thickBot="1">
      <c r="A4915" s="27"/>
      <c r="B4915" s="110"/>
      <c r="D4915" s="417"/>
      <c r="E4915" s="418"/>
      <c r="F4915" s="418"/>
      <c r="G4915" s="419"/>
      <c r="H4915" s="420" t="s">
        <v>64</v>
      </c>
      <c r="I4915" s="421"/>
      <c r="J4915" s="396">
        <f>SUM(J4913:J4914)</f>
        <v>0</v>
      </c>
    </row>
    <row r="4916" spans="1:10" ht="13.5" thickBot="1">
      <c r="A4916" s="27"/>
      <c r="B4916" s="110"/>
      <c r="D4916" s="406" t="s">
        <v>65</v>
      </c>
      <c r="E4916" s="13" t="s">
        <v>66</v>
      </c>
      <c r="F4916" s="14"/>
      <c r="G4916" s="15"/>
      <c r="H4916" s="451"/>
      <c r="I4916" s="412">
        <f>IF(AND(E4916&lt;&gt;"",G4916&lt;&gt;""),IF(D4916="",IF(G4916="OH",VLOOKUP(E4916,UPAH!$C$4:$H$31,7,0),VLOOKUP(E4916,#REF!,4,0)),0),0)</f>
        <v>0</v>
      </c>
      <c r="J4916" s="16">
        <f>H4916*I4916</f>
        <v>0</v>
      </c>
    </row>
    <row r="4917" spans="1:10" ht="13.5" thickBot="1">
      <c r="A4917" s="27"/>
      <c r="B4917" s="110"/>
      <c r="D4917" s="417"/>
      <c r="E4917" s="418"/>
      <c r="F4917" s="418"/>
      <c r="G4917" s="419"/>
      <c r="H4917" s="420" t="s">
        <v>67</v>
      </c>
      <c r="I4917" s="421"/>
      <c r="J4917" s="396">
        <f>J4916</f>
        <v>0</v>
      </c>
    </row>
    <row r="4918" spans="1:10" ht="13">
      <c r="A4918" s="27"/>
      <c r="B4918" s="110"/>
      <c r="D4918" s="444" t="s">
        <v>68</v>
      </c>
      <c r="E4918" s="445" t="s">
        <v>69</v>
      </c>
      <c r="F4918" s="446"/>
      <c r="G4918" s="447"/>
      <c r="H4918" s="448"/>
      <c r="I4918" s="449">
        <f>IF(AND(E4918&lt;&gt;"",G4918&lt;&gt;""),IF(D4918="",IF(G4918="OH",VLOOKUP(E4918,UPAH!$C$4:$H$31,7,0),VLOOKUP(E4918,#REF!,4,0)),0),0)</f>
        <v>0</v>
      </c>
      <c r="J4918" s="16">
        <f>SUM(J4907:J4917)/2</f>
        <v>0</v>
      </c>
    </row>
    <row r="4919" spans="1:10" ht="13.5" thickBot="1">
      <c r="A4919" s="27"/>
      <c r="B4919" s="110"/>
      <c r="D4919" s="431" t="s">
        <v>70</v>
      </c>
      <c r="E4919" s="432" t="s">
        <v>477</v>
      </c>
      <c r="F4919" s="433"/>
      <c r="G4919" s="434"/>
      <c r="H4919" s="22">
        <v>0.1</v>
      </c>
      <c r="I4919" s="436"/>
      <c r="J4919" s="430">
        <f>H4919*J4918</f>
        <v>0</v>
      </c>
    </row>
    <row r="4920" spans="1:10" ht="13.5" thickBot="1">
      <c r="A4920" s="27"/>
      <c r="B4920" s="110"/>
      <c r="D4920" s="401" t="s">
        <v>71</v>
      </c>
      <c r="E4920" s="402" t="s">
        <v>72</v>
      </c>
      <c r="F4920" s="418"/>
      <c r="G4920" s="419"/>
      <c r="H4920" s="442"/>
      <c r="I4920" s="421">
        <f>IF(AND(E4920&lt;&gt;"",G4920&lt;&gt;""),IF(D4920="",IF(G4920="OH",VLOOKUP(E4920,UPAH!$C$4:$H$31,7,0),VLOOKUP(E4920,#REF!,4,0)),0),0)</f>
        <v>0</v>
      </c>
      <c r="J4920" s="396">
        <f>ROUNDDOWN(J4918+J4919,0)</f>
        <v>0</v>
      </c>
    </row>
    <row r="4921" spans="1:10" ht="13">
      <c r="A4921" s="27"/>
      <c r="B4921" s="110"/>
      <c r="D4921" s="11"/>
      <c r="E4921" s="11"/>
      <c r="H4921" s="443"/>
    </row>
    <row r="4922" spans="1:10" ht="13.5" thickBot="1">
      <c r="A4922" s="27"/>
      <c r="B4922" s="110"/>
      <c r="C4922" s="11" t="s">
        <v>1019</v>
      </c>
      <c r="D4922" s="10" t="s">
        <v>1020</v>
      </c>
      <c r="H4922" s="443"/>
    </row>
    <row r="4923" spans="1:10" ht="13.5" thickBot="1">
      <c r="A4923" s="27"/>
      <c r="B4923" s="110"/>
      <c r="D4923" s="401" t="s">
        <v>40</v>
      </c>
      <c r="E4923" s="402" t="s">
        <v>41</v>
      </c>
      <c r="F4923" s="402" t="s">
        <v>42</v>
      </c>
      <c r="G4923" s="403" t="s">
        <v>43</v>
      </c>
      <c r="H4923" s="404" t="s">
        <v>44</v>
      </c>
      <c r="I4923" s="402" t="s">
        <v>474</v>
      </c>
      <c r="J4923" s="405" t="s">
        <v>475</v>
      </c>
    </row>
    <row r="4924" spans="1:10" ht="13">
      <c r="A4924" s="27"/>
      <c r="B4924" s="110"/>
      <c r="D4924" s="406" t="s">
        <v>45</v>
      </c>
      <c r="E4924" s="13" t="s">
        <v>46</v>
      </c>
      <c r="F4924" s="14"/>
      <c r="G4924" s="15"/>
      <c r="H4924" s="451"/>
      <c r="I4924" s="412"/>
      <c r="J4924" s="16"/>
    </row>
    <row r="4925" spans="1:10" ht="13">
      <c r="A4925" s="27"/>
      <c r="B4925" s="110"/>
      <c r="D4925" s="409"/>
      <c r="E4925" s="13" t="s">
        <v>47</v>
      </c>
      <c r="F4925" s="13" t="s">
        <v>1918</v>
      </c>
      <c r="G4925" s="410" t="s">
        <v>48</v>
      </c>
      <c r="H4925" s="411">
        <v>0.12</v>
      </c>
      <c r="I4925" s="412">
        <f>IF(AND(E4925&lt;&gt;"",G4925&lt;&gt;""),IF(D4925="",IF(G4925="OH",VLOOKUP(F4925,UPAH!$B$4:$H$101,7,0),VLOOKUP(F4925,#REF!,4,0)),0),0)</f>
        <v>0</v>
      </c>
      <c r="J4925" s="16">
        <f>H4925*I4925</f>
        <v>0</v>
      </c>
    </row>
    <row r="4926" spans="1:10" ht="13">
      <c r="A4926" s="27"/>
      <c r="B4926" s="110"/>
      <c r="D4926" s="409"/>
      <c r="E4926" s="13" t="s">
        <v>115</v>
      </c>
      <c r="F4926" s="13" t="s">
        <v>1921</v>
      </c>
      <c r="G4926" s="410" t="s">
        <v>48</v>
      </c>
      <c r="H4926" s="411">
        <v>0.12</v>
      </c>
      <c r="I4926" s="412">
        <f>IF(AND(E4926&lt;&gt;"",G4926&lt;&gt;""),IF(D4926="",IF(G4926="OH",VLOOKUP(F4926,UPAH!$B$4:$H$101,7,0),VLOOKUP(F4926,#REF!,4,0)),0),0)</f>
        <v>0</v>
      </c>
      <c r="J4926" s="16">
        <f>H4926*I4926</f>
        <v>0</v>
      </c>
    </row>
    <row r="4927" spans="1:10" ht="13">
      <c r="A4927" s="27"/>
      <c r="B4927" s="110"/>
      <c r="D4927" s="409"/>
      <c r="E4927" s="13" t="s">
        <v>50</v>
      </c>
      <c r="F4927" s="13" t="s">
        <v>1928</v>
      </c>
      <c r="G4927" s="410" t="s">
        <v>48</v>
      </c>
      <c r="H4927" s="411">
        <v>1.2E-2</v>
      </c>
      <c r="I4927" s="412">
        <f>IF(AND(E4927&lt;&gt;"",G4927&lt;&gt;""),IF(D4927="",IF(G4927="OH",VLOOKUP(F4927,UPAH!$B$4:$H$101,7,0),VLOOKUP(F4927,#REF!,4,0)),0),0)</f>
        <v>0</v>
      </c>
      <c r="J4927" s="16">
        <f>H4927*I4927</f>
        <v>0</v>
      </c>
    </row>
    <row r="4928" spans="1:10" ht="13.5" thickBot="1">
      <c r="A4928" s="27"/>
      <c r="B4928" s="110"/>
      <c r="D4928" s="409"/>
      <c r="E4928" s="13" t="s">
        <v>51</v>
      </c>
      <c r="F4928" s="13" t="s">
        <v>1929</v>
      </c>
      <c r="G4928" s="410" t="s">
        <v>48</v>
      </c>
      <c r="H4928" s="411">
        <v>6.0000000000000001E-3</v>
      </c>
      <c r="I4928" s="412">
        <f>IF(AND(E4928&lt;&gt;"",G4928&lt;&gt;""),IF(D4928="",IF(G4928="OH",VLOOKUP(F4928,UPAH!$B$4:$H$101,7,0),VLOOKUP(F4928,#REF!,4,0)),0),0)</f>
        <v>0</v>
      </c>
      <c r="J4928" s="16">
        <f>H4928*I4928</f>
        <v>0</v>
      </c>
    </row>
    <row r="4929" spans="1:10" ht="13.5" thickBot="1">
      <c r="A4929" s="27"/>
      <c r="B4929" s="110"/>
      <c r="D4929" s="417"/>
      <c r="E4929" s="418"/>
      <c r="F4929" s="418"/>
      <c r="G4929" s="419"/>
      <c r="H4929" s="420" t="s">
        <v>52</v>
      </c>
      <c r="I4929" s="421"/>
      <c r="J4929" s="396">
        <f>SUM(J4925:J4928)</f>
        <v>0</v>
      </c>
    </row>
    <row r="4930" spans="1:10" ht="13">
      <c r="A4930" s="27"/>
      <c r="B4930" s="110"/>
      <c r="D4930" s="406" t="s">
        <v>53</v>
      </c>
      <c r="E4930" s="13" t="s">
        <v>54</v>
      </c>
      <c r="F4930" s="14"/>
      <c r="G4930" s="15"/>
      <c r="H4930" s="451"/>
      <c r="I4930" s="412"/>
      <c r="J4930" s="16"/>
    </row>
    <row r="4931" spans="1:10" ht="13.5" thickBot="1">
      <c r="A4931" s="27"/>
      <c r="B4931" s="110"/>
      <c r="D4931" s="409"/>
      <c r="E4931" s="13" t="s">
        <v>1021</v>
      </c>
      <c r="F4931" s="14"/>
      <c r="G4931" s="410" t="s">
        <v>57</v>
      </c>
      <c r="H4931" s="411">
        <v>5</v>
      </c>
      <c r="I4931" s="412">
        <f>'BAHAN '!G729</f>
        <v>0</v>
      </c>
      <c r="J4931" s="16">
        <f>H4931*I4931</f>
        <v>0</v>
      </c>
    </row>
    <row r="4932" spans="1:10" ht="13.5" thickBot="1">
      <c r="A4932" s="27"/>
      <c r="B4932" s="110"/>
      <c r="D4932" s="417"/>
      <c r="E4932" s="418"/>
      <c r="F4932" s="418"/>
      <c r="G4932" s="419"/>
      <c r="H4932" s="420" t="s">
        <v>64</v>
      </c>
      <c r="I4932" s="421"/>
      <c r="J4932" s="396">
        <f>SUM(J4930:J4931)</f>
        <v>0</v>
      </c>
    </row>
    <row r="4933" spans="1:10" ht="13.5" thickBot="1">
      <c r="A4933" s="27"/>
      <c r="B4933" s="110"/>
      <c r="D4933" s="406" t="s">
        <v>65</v>
      </c>
      <c r="E4933" s="13" t="s">
        <v>66</v>
      </c>
      <c r="F4933" s="14"/>
      <c r="G4933" s="15"/>
      <c r="H4933" s="451"/>
      <c r="I4933" s="412">
        <f>IF(AND(E4933&lt;&gt;"",G4933&lt;&gt;""),IF(D4933="",IF(G4933="OH",VLOOKUP(E4933,UPAH!$C$4:$H$31,7,0),VLOOKUP(E4933,#REF!,4,0)),0),0)</f>
        <v>0</v>
      </c>
      <c r="J4933" s="16">
        <f>H4933*I4933</f>
        <v>0</v>
      </c>
    </row>
    <row r="4934" spans="1:10" ht="13.5" thickBot="1">
      <c r="A4934" s="27"/>
      <c r="B4934" s="110"/>
      <c r="D4934" s="417"/>
      <c r="E4934" s="418"/>
      <c r="F4934" s="418"/>
      <c r="G4934" s="419"/>
      <c r="H4934" s="420" t="s">
        <v>67</v>
      </c>
      <c r="I4934" s="421"/>
      <c r="J4934" s="396">
        <f>J4933</f>
        <v>0</v>
      </c>
    </row>
    <row r="4935" spans="1:10" ht="13">
      <c r="A4935" s="27"/>
      <c r="B4935" s="110"/>
      <c r="D4935" s="444" t="s">
        <v>68</v>
      </c>
      <c r="E4935" s="445" t="s">
        <v>69</v>
      </c>
      <c r="F4935" s="446"/>
      <c r="G4935" s="447"/>
      <c r="H4935" s="448"/>
      <c r="I4935" s="449">
        <f>IF(AND(E4935&lt;&gt;"",G4935&lt;&gt;""),IF(D4935="",IF(G4935="OH",VLOOKUP(E4935,UPAH!$C$4:$H$31,7,0),VLOOKUP(E4935,#REF!,4,0)),0),0)</f>
        <v>0</v>
      </c>
      <c r="J4935" s="16">
        <f>SUM(J4924:J4934)/2</f>
        <v>0</v>
      </c>
    </row>
    <row r="4936" spans="1:10" ht="13.5" thickBot="1">
      <c r="A4936" s="27"/>
      <c r="B4936" s="110"/>
      <c r="D4936" s="431" t="s">
        <v>70</v>
      </c>
      <c r="E4936" s="432" t="s">
        <v>477</v>
      </c>
      <c r="F4936" s="433"/>
      <c r="G4936" s="434"/>
      <c r="H4936" s="22">
        <v>0.1</v>
      </c>
      <c r="I4936" s="436"/>
      <c r="J4936" s="430">
        <f>H4936*J4935</f>
        <v>0</v>
      </c>
    </row>
    <row r="4937" spans="1:10" ht="13.5" thickBot="1">
      <c r="A4937" s="27"/>
      <c r="B4937" s="110"/>
      <c r="D4937" s="401" t="s">
        <v>71</v>
      </c>
      <c r="E4937" s="402" t="s">
        <v>72</v>
      </c>
      <c r="F4937" s="418"/>
      <c r="G4937" s="419"/>
      <c r="H4937" s="442"/>
      <c r="I4937" s="421">
        <f>IF(AND(E4937&lt;&gt;"",G4937&lt;&gt;""),IF(D4937="",IF(G4937="OH",VLOOKUP(E4937,UPAH!$C$4:$H$31,7,0),VLOOKUP(E4937,#REF!,4,0)),0),0)</f>
        <v>0</v>
      </c>
      <c r="J4937" s="396">
        <f>ROUNDDOWN(J4935+J4936,0)</f>
        <v>0</v>
      </c>
    </row>
    <row r="4938" spans="1:10" ht="13">
      <c r="A4938" s="27"/>
      <c r="B4938" s="110"/>
      <c r="D4938" s="11"/>
      <c r="E4938" s="11"/>
      <c r="H4938" s="443"/>
    </row>
    <row r="4939" spans="1:10" ht="13.5" thickBot="1">
      <c r="A4939" s="27"/>
      <c r="B4939" s="110"/>
      <c r="C4939" s="11" t="s">
        <v>1022</v>
      </c>
      <c r="D4939" s="10" t="s">
        <v>1023</v>
      </c>
      <c r="H4939" s="443"/>
    </row>
    <row r="4940" spans="1:10" ht="13.5" thickBot="1">
      <c r="A4940" s="27"/>
      <c r="B4940" s="110"/>
      <c r="D4940" s="401" t="s">
        <v>40</v>
      </c>
      <c r="E4940" s="402" t="s">
        <v>41</v>
      </c>
      <c r="F4940" s="402" t="s">
        <v>42</v>
      </c>
      <c r="G4940" s="403" t="s">
        <v>43</v>
      </c>
      <c r="H4940" s="404" t="s">
        <v>44</v>
      </c>
      <c r="I4940" s="402" t="s">
        <v>474</v>
      </c>
      <c r="J4940" s="405" t="s">
        <v>475</v>
      </c>
    </row>
    <row r="4941" spans="1:10" ht="13">
      <c r="A4941" s="27"/>
      <c r="B4941" s="110"/>
      <c r="D4941" s="406" t="s">
        <v>45</v>
      </c>
      <c r="E4941" s="13" t="s">
        <v>46</v>
      </c>
      <c r="F4941" s="14"/>
      <c r="G4941" s="15"/>
      <c r="H4941" s="451"/>
      <c r="I4941" s="412"/>
      <c r="J4941" s="16"/>
    </row>
    <row r="4942" spans="1:10" ht="13">
      <c r="A4942" s="27"/>
      <c r="B4942" s="110"/>
      <c r="D4942" s="409"/>
      <c r="E4942" s="13" t="s">
        <v>47</v>
      </c>
      <c r="F4942" s="13" t="s">
        <v>1918</v>
      </c>
      <c r="G4942" s="410" t="s">
        <v>48</v>
      </c>
      <c r="H4942" s="411">
        <v>0.08</v>
      </c>
      <c r="I4942" s="412">
        <f>IF(AND(E4942&lt;&gt;"",G4942&lt;&gt;""),IF(D4942="",IF(G4942="OH",VLOOKUP(F4942,UPAH!$B$4:$H$101,7,0),VLOOKUP(F4942,#REF!,4,0)),0),0)</f>
        <v>0</v>
      </c>
      <c r="J4942" s="16">
        <f>H4942*I4942</f>
        <v>0</v>
      </c>
    </row>
    <row r="4943" spans="1:10" ht="13">
      <c r="A4943" s="27"/>
      <c r="B4943" s="110"/>
      <c r="D4943" s="409"/>
      <c r="E4943" s="13" t="s">
        <v>115</v>
      </c>
      <c r="F4943" s="13" t="s">
        <v>1921</v>
      </c>
      <c r="G4943" s="410" t="s">
        <v>48</v>
      </c>
      <c r="H4943" s="411">
        <v>0.08</v>
      </c>
      <c r="I4943" s="412">
        <f>IF(AND(E4943&lt;&gt;"",G4943&lt;&gt;""),IF(D4943="",IF(G4943="OH",VLOOKUP(F4943,UPAH!$B$4:$H$101,7,0),VLOOKUP(F4943,#REF!,4,0)),0),0)</f>
        <v>0</v>
      </c>
      <c r="J4943" s="16">
        <f>H4943*I4943</f>
        <v>0</v>
      </c>
    </row>
    <row r="4944" spans="1:10" ht="13">
      <c r="A4944" s="27"/>
      <c r="B4944" s="110"/>
      <c r="D4944" s="409"/>
      <c r="E4944" s="13" t="s">
        <v>50</v>
      </c>
      <c r="F4944" s="13" t="s">
        <v>1928</v>
      </c>
      <c r="G4944" s="410" t="s">
        <v>48</v>
      </c>
      <c r="H4944" s="411">
        <v>8.0000000000000002E-3</v>
      </c>
      <c r="I4944" s="412">
        <f>IF(AND(E4944&lt;&gt;"",G4944&lt;&gt;""),IF(D4944="",IF(G4944="OH",VLOOKUP(F4944,UPAH!$B$4:$H$101,7,0),VLOOKUP(F4944,#REF!,4,0)),0),0)</f>
        <v>0</v>
      </c>
      <c r="J4944" s="16">
        <f>H4944*I4944</f>
        <v>0</v>
      </c>
    </row>
    <row r="4945" spans="1:10" ht="13.5" thickBot="1">
      <c r="A4945" s="27"/>
      <c r="B4945" s="110"/>
      <c r="D4945" s="409"/>
      <c r="E4945" s="13" t="s">
        <v>51</v>
      </c>
      <c r="F4945" s="13" t="s">
        <v>1929</v>
      </c>
      <c r="G4945" s="410" t="s">
        <v>48</v>
      </c>
      <c r="H4945" s="411">
        <v>4.0000000000000001E-3</v>
      </c>
      <c r="I4945" s="412">
        <f>IF(AND(E4945&lt;&gt;"",G4945&lt;&gt;""),IF(D4945="",IF(G4945="OH",VLOOKUP(F4945,UPAH!$B$4:$H$101,7,0),VLOOKUP(F4945,#REF!,4,0)),0),0)</f>
        <v>0</v>
      </c>
      <c r="J4945" s="16">
        <f>H4945*I4945</f>
        <v>0</v>
      </c>
    </row>
    <row r="4946" spans="1:10" ht="13.5" thickBot="1">
      <c r="A4946" s="27"/>
      <c r="B4946" s="110"/>
      <c r="D4946" s="417"/>
      <c r="E4946" s="418"/>
      <c r="F4946" s="418"/>
      <c r="G4946" s="419"/>
      <c r="H4946" s="420" t="s">
        <v>52</v>
      </c>
      <c r="I4946" s="421"/>
      <c r="J4946" s="396">
        <f>SUM(J4942:J4945)</f>
        <v>0</v>
      </c>
    </row>
    <row r="4947" spans="1:10" ht="13">
      <c r="A4947" s="27"/>
      <c r="B4947" s="110"/>
      <c r="D4947" s="406" t="s">
        <v>53</v>
      </c>
      <c r="E4947" s="13" t="s">
        <v>54</v>
      </c>
      <c r="F4947" s="14"/>
      <c r="G4947" s="15"/>
      <c r="H4947" s="451"/>
      <c r="I4947" s="412"/>
      <c r="J4947" s="16"/>
    </row>
    <row r="4948" spans="1:10" ht="13">
      <c r="A4948" s="27"/>
      <c r="B4948" s="110"/>
      <c r="D4948" s="409"/>
      <c r="E4948" s="13" t="s">
        <v>1024</v>
      </c>
      <c r="F4948" s="14"/>
      <c r="G4948" s="410" t="s">
        <v>87</v>
      </c>
      <c r="H4948" s="411">
        <v>1.76</v>
      </c>
      <c r="I4948" s="412">
        <f>'BAHAN '!G733</f>
        <v>0</v>
      </c>
      <c r="J4948" s="16">
        <f>H4948*I4948</f>
        <v>0</v>
      </c>
    </row>
    <row r="4949" spans="1:10" ht="13.5" thickBot="1">
      <c r="A4949" s="27"/>
      <c r="B4949" s="110"/>
      <c r="D4949" s="409"/>
      <c r="E4949" s="13" t="s">
        <v>502</v>
      </c>
      <c r="F4949" s="14"/>
      <c r="G4949" s="410" t="s">
        <v>57</v>
      </c>
      <c r="H4949" s="411">
        <v>0.08</v>
      </c>
      <c r="I4949" s="412">
        <f>'BAHAN '!G731</f>
        <v>0</v>
      </c>
      <c r="J4949" s="16">
        <f>H4949*I4949</f>
        <v>0</v>
      </c>
    </row>
    <row r="4950" spans="1:10" ht="13.5" thickBot="1">
      <c r="A4950" s="27"/>
      <c r="B4950" s="110"/>
      <c r="D4950" s="417"/>
      <c r="E4950" s="418"/>
      <c r="F4950" s="418"/>
      <c r="G4950" s="419"/>
      <c r="H4950" s="420" t="s">
        <v>64</v>
      </c>
      <c r="I4950" s="421"/>
      <c r="J4950" s="396">
        <f>SUM(J4948:J4949)</f>
        <v>0</v>
      </c>
    </row>
    <row r="4951" spans="1:10" ht="13.5" thickBot="1">
      <c r="A4951" s="27"/>
      <c r="B4951" s="110"/>
      <c r="D4951" s="406" t="s">
        <v>65</v>
      </c>
      <c r="E4951" s="13" t="s">
        <v>66</v>
      </c>
      <c r="F4951" s="14"/>
      <c r="G4951" s="15"/>
      <c r="H4951" s="451"/>
      <c r="I4951" s="412">
        <f>IF(AND(E4951&lt;&gt;"",G4951&lt;&gt;""),IF(D4951="",IF(G4951="OH",VLOOKUP(E4951,UPAH!$C$4:$H$31,7,0),VLOOKUP(E4951,#REF!,4,0)),0),0)</f>
        <v>0</v>
      </c>
      <c r="J4951" s="16">
        <f>H4951*I4951</f>
        <v>0</v>
      </c>
    </row>
    <row r="4952" spans="1:10" ht="13.5" thickBot="1">
      <c r="A4952" s="27"/>
      <c r="B4952" s="110"/>
      <c r="D4952" s="417"/>
      <c r="E4952" s="418"/>
      <c r="F4952" s="418"/>
      <c r="G4952" s="419"/>
      <c r="H4952" s="420" t="s">
        <v>67</v>
      </c>
      <c r="I4952" s="421"/>
      <c r="J4952" s="396">
        <f>J4951</f>
        <v>0</v>
      </c>
    </row>
    <row r="4953" spans="1:10" ht="13">
      <c r="A4953" s="27"/>
      <c r="B4953" s="110"/>
      <c r="D4953" s="444" t="s">
        <v>68</v>
      </c>
      <c r="E4953" s="445" t="s">
        <v>69</v>
      </c>
      <c r="F4953" s="446"/>
      <c r="G4953" s="447"/>
      <c r="H4953" s="448"/>
      <c r="I4953" s="449">
        <f>IF(AND(E4953&lt;&gt;"",G4953&lt;&gt;""),IF(D4953="",IF(G4953="OH",VLOOKUP(E4953,UPAH!$C$4:$H$31,7,0),VLOOKUP(E4953,#REF!,4,0)),0),0)</f>
        <v>0</v>
      </c>
      <c r="J4953" s="16">
        <f>SUM(J4942:J4952)/2</f>
        <v>0</v>
      </c>
    </row>
    <row r="4954" spans="1:10" ht="13.5" thickBot="1">
      <c r="A4954" s="27"/>
      <c r="B4954" s="110"/>
      <c r="D4954" s="431" t="s">
        <v>70</v>
      </c>
      <c r="E4954" s="432" t="s">
        <v>477</v>
      </c>
      <c r="F4954" s="433"/>
      <c r="G4954" s="434"/>
      <c r="H4954" s="22">
        <v>0.1</v>
      </c>
      <c r="I4954" s="436"/>
      <c r="J4954" s="430">
        <f>H4954*J4953</f>
        <v>0</v>
      </c>
    </row>
    <row r="4955" spans="1:10" ht="13.5" thickBot="1">
      <c r="A4955" s="27"/>
      <c r="B4955" s="110"/>
      <c r="D4955" s="401" t="s">
        <v>71</v>
      </c>
      <c r="E4955" s="402" t="s">
        <v>72</v>
      </c>
      <c r="F4955" s="418"/>
      <c r="G4955" s="419"/>
      <c r="H4955" s="442"/>
      <c r="I4955" s="421">
        <f>IF(AND(E4955&lt;&gt;"",G4955&lt;&gt;""),IF(D4955="",IF(G4955="OH",VLOOKUP(E4955,UPAH!$C$4:$H$31,7,0),VLOOKUP(E4955,#REF!,4,0)),0),0)</f>
        <v>0</v>
      </c>
      <c r="J4955" s="396">
        <f>ROUNDDOWN(J4953+J4954,0)</f>
        <v>0</v>
      </c>
    </row>
    <row r="4956" spans="1:10" ht="13">
      <c r="A4956" s="27"/>
      <c r="B4956" s="110"/>
      <c r="D4956" s="11"/>
      <c r="E4956" s="11"/>
      <c r="H4956" s="443"/>
    </row>
    <row r="4957" spans="1:10" ht="13.5" thickBot="1">
      <c r="A4957" s="27"/>
      <c r="B4957" s="110"/>
      <c r="C4957" s="11" t="s">
        <v>1025</v>
      </c>
      <c r="D4957" s="10" t="s">
        <v>1026</v>
      </c>
      <c r="H4957" s="443"/>
    </row>
    <row r="4958" spans="1:10" ht="13.5" thickBot="1">
      <c r="A4958" s="27"/>
      <c r="B4958" s="110"/>
      <c r="D4958" s="401" t="s">
        <v>40</v>
      </c>
      <c r="E4958" s="402" t="s">
        <v>41</v>
      </c>
      <c r="F4958" s="402" t="s">
        <v>42</v>
      </c>
      <c r="G4958" s="403" t="s">
        <v>43</v>
      </c>
      <c r="H4958" s="404" t="s">
        <v>44</v>
      </c>
      <c r="I4958" s="402" t="s">
        <v>474</v>
      </c>
      <c r="J4958" s="405" t="s">
        <v>475</v>
      </c>
    </row>
    <row r="4959" spans="1:10" ht="13">
      <c r="A4959" s="27"/>
      <c r="B4959" s="110"/>
      <c r="D4959" s="406" t="s">
        <v>45</v>
      </c>
      <c r="E4959" s="13" t="s">
        <v>46</v>
      </c>
      <c r="F4959" s="14"/>
      <c r="G4959" s="15"/>
      <c r="H4959" s="451"/>
      <c r="I4959" s="412"/>
      <c r="J4959" s="16"/>
    </row>
    <row r="4960" spans="1:10" ht="13">
      <c r="A4960" s="27"/>
      <c r="B4960" s="110"/>
      <c r="D4960" s="409"/>
      <c r="E4960" s="13" t="s">
        <v>47</v>
      </c>
      <c r="F4960" s="13" t="s">
        <v>1918</v>
      </c>
      <c r="G4960" s="410" t="s">
        <v>48</v>
      </c>
      <c r="H4960" s="411">
        <v>0.12</v>
      </c>
      <c r="I4960" s="412">
        <f>IF(AND(E4960&lt;&gt;"",G4960&lt;&gt;""),IF(D4960="",IF(G4960="OH",VLOOKUP(F4960,UPAH!$B$4:$H$101,7,0),VLOOKUP(F4960,#REF!,4,0)),0),0)</f>
        <v>0</v>
      </c>
      <c r="J4960" s="16">
        <f>H4960*I4960</f>
        <v>0</v>
      </c>
    </row>
    <row r="4961" spans="1:10" ht="13">
      <c r="A4961" s="27"/>
      <c r="B4961" s="110"/>
      <c r="D4961" s="409"/>
      <c r="E4961" s="13" t="s">
        <v>115</v>
      </c>
      <c r="F4961" s="13" t="s">
        <v>1921</v>
      </c>
      <c r="G4961" s="410" t="s">
        <v>48</v>
      </c>
      <c r="H4961" s="411">
        <v>0.12</v>
      </c>
      <c r="I4961" s="412">
        <f>IF(AND(E4961&lt;&gt;"",G4961&lt;&gt;""),IF(D4961="",IF(G4961="OH",VLOOKUP(F4961,UPAH!$B$4:$H$101,7,0),VLOOKUP(F4961,#REF!,4,0)),0),0)</f>
        <v>0</v>
      </c>
      <c r="J4961" s="16">
        <f>H4961*I4961</f>
        <v>0</v>
      </c>
    </row>
    <row r="4962" spans="1:10" ht="13">
      <c r="A4962" s="27"/>
      <c r="B4962" s="110"/>
      <c r="D4962" s="409"/>
      <c r="E4962" s="13" t="s">
        <v>50</v>
      </c>
      <c r="F4962" s="13" t="s">
        <v>1928</v>
      </c>
      <c r="G4962" s="410" t="s">
        <v>48</v>
      </c>
      <c r="H4962" s="411">
        <v>1.2E-2</v>
      </c>
      <c r="I4962" s="412">
        <f>IF(AND(E4962&lt;&gt;"",G4962&lt;&gt;""),IF(D4962="",IF(G4962="OH",VLOOKUP(F4962,UPAH!$B$4:$H$101,7,0),VLOOKUP(F4962,#REF!,4,0)),0),0)</f>
        <v>0</v>
      </c>
      <c r="J4962" s="16">
        <f>H4962*I4962</f>
        <v>0</v>
      </c>
    </row>
    <row r="4963" spans="1:10" ht="13.5" thickBot="1">
      <c r="A4963" s="27"/>
      <c r="B4963" s="110"/>
      <c r="D4963" s="409"/>
      <c r="E4963" s="13" t="s">
        <v>51</v>
      </c>
      <c r="F4963" s="13" t="s">
        <v>1929</v>
      </c>
      <c r="G4963" s="410" t="s">
        <v>48</v>
      </c>
      <c r="H4963" s="411">
        <v>6.0000000000000001E-3</v>
      </c>
      <c r="I4963" s="412">
        <f>IF(AND(E4963&lt;&gt;"",G4963&lt;&gt;""),IF(D4963="",IF(G4963="OH",VLOOKUP(F4963,UPAH!$B$4:$H$101,7,0),VLOOKUP(F4963,#REF!,4,0)),0),0)</f>
        <v>0</v>
      </c>
      <c r="J4963" s="16">
        <f>H4963*I4963</f>
        <v>0</v>
      </c>
    </row>
    <row r="4964" spans="1:10" ht="13.5" thickBot="1">
      <c r="A4964" s="27"/>
      <c r="B4964" s="110"/>
      <c r="D4964" s="417"/>
      <c r="E4964" s="418"/>
      <c r="F4964" s="418"/>
      <c r="G4964" s="419"/>
      <c r="H4964" s="420" t="s">
        <v>52</v>
      </c>
      <c r="I4964" s="421"/>
      <c r="J4964" s="396">
        <f>SUM(J4960:J4963)</f>
        <v>0</v>
      </c>
    </row>
    <row r="4965" spans="1:10" ht="13">
      <c r="A4965" s="27"/>
      <c r="B4965" s="110"/>
      <c r="D4965" s="406" t="s">
        <v>53</v>
      </c>
      <c r="E4965" s="13" t="s">
        <v>54</v>
      </c>
      <c r="F4965" s="14"/>
      <c r="G4965" s="15"/>
      <c r="H4965" s="451"/>
      <c r="I4965" s="412"/>
      <c r="J4965" s="16"/>
    </row>
    <row r="4966" spans="1:10" ht="13">
      <c r="A4966" s="27"/>
      <c r="B4966" s="110"/>
      <c r="D4966" s="409"/>
      <c r="E4966" s="13" t="s">
        <v>503</v>
      </c>
      <c r="F4966" s="14"/>
      <c r="G4966" s="410" t="s">
        <v>170</v>
      </c>
      <c r="H4966" s="411">
        <v>3.0000000000000001E-3</v>
      </c>
      <c r="I4966" s="412">
        <f>'BAHAN '!G197</f>
        <v>0</v>
      </c>
      <c r="J4966" s="16">
        <f>H4966*I4966</f>
        <v>0</v>
      </c>
    </row>
    <row r="4967" spans="1:10" ht="13.5" thickBot="1">
      <c r="A4967" s="27"/>
      <c r="B4967" s="110"/>
      <c r="D4967" s="409"/>
      <c r="E4967" s="13" t="s">
        <v>178</v>
      </c>
      <c r="F4967" s="14"/>
      <c r="G4967" s="410" t="s">
        <v>57</v>
      </c>
      <c r="H4967" s="411">
        <v>0.05</v>
      </c>
      <c r="I4967" s="412">
        <f>'BAHAN '!G130</f>
        <v>0</v>
      </c>
      <c r="J4967" s="16">
        <f>H4967*I4967</f>
        <v>0</v>
      </c>
    </row>
    <row r="4968" spans="1:10" ht="13.5" thickBot="1">
      <c r="A4968" s="27"/>
      <c r="B4968" s="110"/>
      <c r="D4968" s="417"/>
      <c r="E4968" s="418"/>
      <c r="F4968" s="418"/>
      <c r="G4968" s="419"/>
      <c r="H4968" s="420" t="s">
        <v>64</v>
      </c>
      <c r="I4968" s="421"/>
      <c r="J4968" s="396">
        <f>SUM(J4966:J4967)</f>
        <v>0</v>
      </c>
    </row>
    <row r="4969" spans="1:10" ht="13.5" thickBot="1">
      <c r="A4969" s="27"/>
      <c r="B4969" s="110"/>
      <c r="D4969" s="406" t="s">
        <v>65</v>
      </c>
      <c r="E4969" s="13" t="s">
        <v>66</v>
      </c>
      <c r="F4969" s="14"/>
      <c r="G4969" s="15"/>
      <c r="H4969" s="451"/>
      <c r="I4969" s="412">
        <f>IF(AND(E4969&lt;&gt;"",G4969&lt;&gt;""),IF(D4969="",IF(G4969="OH",VLOOKUP(E4969,UPAH!$C$4:$H$31,7,0),VLOOKUP(E4969,#REF!,4,0)),0),0)</f>
        <v>0</v>
      </c>
      <c r="J4969" s="16">
        <f>H4969*I4969</f>
        <v>0</v>
      </c>
    </row>
    <row r="4970" spans="1:10" ht="13.5" thickBot="1">
      <c r="A4970" s="27"/>
      <c r="B4970" s="110"/>
      <c r="D4970" s="417"/>
      <c r="E4970" s="418"/>
      <c r="F4970" s="418"/>
      <c r="G4970" s="419"/>
      <c r="H4970" s="420" t="s">
        <v>67</v>
      </c>
      <c r="I4970" s="421"/>
      <c r="J4970" s="396">
        <f>J4969</f>
        <v>0</v>
      </c>
    </row>
    <row r="4971" spans="1:10" ht="13">
      <c r="A4971" s="27"/>
      <c r="B4971" s="110"/>
      <c r="D4971" s="444" t="s">
        <v>68</v>
      </c>
      <c r="E4971" s="445" t="s">
        <v>69</v>
      </c>
      <c r="F4971" s="446"/>
      <c r="G4971" s="447"/>
      <c r="H4971" s="448"/>
      <c r="I4971" s="449">
        <f>IF(AND(E4971&lt;&gt;"",G4971&lt;&gt;""),IF(D4971="",IF(G4971="OH",VLOOKUP(E4971,UPAH!$C$4:$H$31,7,0),VLOOKUP(E4971,#REF!,4,0)),0),0)</f>
        <v>0</v>
      </c>
      <c r="J4971" s="16">
        <f>SUM(J4960:J4970)/2</f>
        <v>0</v>
      </c>
    </row>
    <row r="4972" spans="1:10" ht="13.5" thickBot="1">
      <c r="A4972" s="27"/>
      <c r="B4972" s="110"/>
      <c r="D4972" s="431" t="s">
        <v>70</v>
      </c>
      <c r="E4972" s="432" t="s">
        <v>477</v>
      </c>
      <c r="F4972" s="433"/>
      <c r="G4972" s="434"/>
      <c r="H4972" s="22">
        <v>0.1</v>
      </c>
      <c r="I4972" s="436"/>
      <c r="J4972" s="430">
        <f>H4972*J4971</f>
        <v>0</v>
      </c>
    </row>
    <row r="4973" spans="1:10" ht="13.5" thickBot="1">
      <c r="A4973" s="27"/>
      <c r="B4973" s="110"/>
      <c r="D4973" s="401" t="s">
        <v>71</v>
      </c>
      <c r="E4973" s="402" t="s">
        <v>72</v>
      </c>
      <c r="F4973" s="418"/>
      <c r="G4973" s="419"/>
      <c r="H4973" s="442"/>
      <c r="I4973" s="421">
        <f>IF(AND(E4973&lt;&gt;"",G4973&lt;&gt;""),IF(D4973="",IF(G4973="OH",VLOOKUP(E4973,UPAH!$C$4:$H$31,7,0),VLOOKUP(E4973,#REF!,4,0)),0),0)</f>
        <v>0</v>
      </c>
      <c r="J4973" s="396">
        <f>ROUNDDOWN(J4971+J4972,0)</f>
        <v>0</v>
      </c>
    </row>
    <row r="4974" spans="1:10" ht="13">
      <c r="A4974" s="27"/>
      <c r="B4974" s="110"/>
      <c r="D4974" s="11"/>
      <c r="E4974" s="11"/>
      <c r="H4974" s="443"/>
    </row>
    <row r="4975" spans="1:10" ht="13.5" thickBot="1">
      <c r="A4975" s="27"/>
      <c r="B4975" s="110"/>
      <c r="C4975" s="10" t="s">
        <v>1029</v>
      </c>
      <c r="D4975" s="10" t="s">
        <v>1030</v>
      </c>
      <c r="E4975" s="11"/>
      <c r="H4975" s="443"/>
    </row>
    <row r="4976" spans="1:10" ht="13.5" thickBot="1">
      <c r="A4976" s="27"/>
      <c r="B4976" s="110"/>
      <c r="D4976" s="401" t="s">
        <v>40</v>
      </c>
      <c r="E4976" s="402" t="s">
        <v>41</v>
      </c>
      <c r="F4976" s="402" t="s">
        <v>42</v>
      </c>
      <c r="G4976" s="403" t="s">
        <v>43</v>
      </c>
      <c r="H4976" s="404" t="s">
        <v>44</v>
      </c>
      <c r="I4976" s="402" t="s">
        <v>474</v>
      </c>
      <c r="J4976" s="405" t="s">
        <v>475</v>
      </c>
    </row>
    <row r="4977" spans="1:10" ht="13">
      <c r="A4977" s="27"/>
      <c r="B4977" s="110"/>
      <c r="D4977" s="422" t="s">
        <v>45</v>
      </c>
      <c r="E4977" s="423" t="s">
        <v>46</v>
      </c>
      <c r="F4977" s="424"/>
      <c r="G4977" s="425"/>
      <c r="H4977" s="426"/>
      <c r="I4977" s="427"/>
      <c r="J4977" s="428"/>
    </row>
    <row r="4978" spans="1:10" ht="13">
      <c r="A4978" s="27"/>
      <c r="B4978" s="110"/>
      <c r="D4978" s="409"/>
      <c r="E4978" s="13" t="s">
        <v>47</v>
      </c>
      <c r="F4978" s="13" t="s">
        <v>1918</v>
      </c>
      <c r="G4978" s="410" t="s">
        <v>48</v>
      </c>
      <c r="H4978" s="500">
        <v>0.25</v>
      </c>
      <c r="I4978" s="412">
        <f>IF(AND(E4978&lt;&gt;"",G4978&lt;&gt;""),IF(D4978="",IF(G4978="OH",VLOOKUP(F4978,UPAH!$B$4:$H$101,7,0),VLOOKUP(F4978,#REF!,4,0)),0),0)</f>
        <v>0</v>
      </c>
      <c r="J4978" s="16">
        <f>H4978*I4978</f>
        <v>0</v>
      </c>
    </row>
    <row r="4979" spans="1:10" ht="13">
      <c r="A4979" s="27"/>
      <c r="B4979" s="110"/>
      <c r="D4979" s="409"/>
      <c r="E4979" s="13" t="s">
        <v>476</v>
      </c>
      <c r="F4979" s="13" t="s">
        <v>1922</v>
      </c>
      <c r="G4979" s="410" t="s">
        <v>48</v>
      </c>
      <c r="H4979" s="500">
        <v>0.25</v>
      </c>
      <c r="I4979" s="412">
        <f>IF(AND(E4979&lt;&gt;"",G4979&lt;&gt;""),IF(D4979="",IF(G4979="OH",VLOOKUP(F4979,UPAH!$B$4:$H$101,7,0),VLOOKUP(F4979,#REF!,4,0)),0),0)</f>
        <v>0</v>
      </c>
      <c r="J4979" s="16">
        <f>H4979*I4979</f>
        <v>0</v>
      </c>
    </row>
    <row r="4980" spans="1:10" ht="13">
      <c r="A4980" s="27"/>
      <c r="B4980" s="110"/>
      <c r="D4980" s="409"/>
      <c r="E4980" s="13" t="s">
        <v>50</v>
      </c>
      <c r="F4980" s="13" t="s">
        <v>1928</v>
      </c>
      <c r="G4980" s="410" t="s">
        <v>48</v>
      </c>
      <c r="H4980" s="500">
        <v>2.5000000000000001E-2</v>
      </c>
      <c r="I4980" s="412">
        <f>IF(AND(E4980&lt;&gt;"",G4980&lt;&gt;""),IF(D4980="",IF(G4980="OH",VLOOKUP(F4980,UPAH!$B$4:$H$101,7,0),VLOOKUP(F4980,#REF!,4,0)),0),0)</f>
        <v>0</v>
      </c>
      <c r="J4980" s="16">
        <f>H4980*I4980</f>
        <v>0</v>
      </c>
    </row>
    <row r="4981" spans="1:10" ht="13.5" thickBot="1">
      <c r="A4981" s="27"/>
      <c r="B4981" s="110"/>
      <c r="D4981" s="413"/>
      <c r="E4981" s="414" t="s">
        <v>51</v>
      </c>
      <c r="F4981" s="414" t="s">
        <v>1929</v>
      </c>
      <c r="G4981" s="415" t="s">
        <v>48</v>
      </c>
      <c r="H4981" s="501">
        <v>2.5000000000000001E-3</v>
      </c>
      <c r="I4981" s="412">
        <f>IF(AND(E4981&lt;&gt;"",G4981&lt;&gt;""),IF(D4981="",IF(G4981="OH",VLOOKUP(F4981,UPAH!$B$4:$H$101,7,0),VLOOKUP(F4981,#REF!,4,0)),0),0)</f>
        <v>0</v>
      </c>
      <c r="J4981" s="430">
        <f>H4981*I4981</f>
        <v>0</v>
      </c>
    </row>
    <row r="4982" spans="1:10" ht="13.5" thickBot="1">
      <c r="A4982" s="27"/>
      <c r="B4982" s="110"/>
      <c r="D4982" s="417"/>
      <c r="E4982" s="418"/>
      <c r="F4982" s="418"/>
      <c r="G4982" s="419"/>
      <c r="H4982" s="420" t="s">
        <v>52</v>
      </c>
      <c r="I4982" s="421"/>
      <c r="J4982" s="396">
        <f>SUM(J4978:J4981)</f>
        <v>0</v>
      </c>
    </row>
    <row r="4983" spans="1:10" ht="13">
      <c r="A4983" s="27"/>
      <c r="B4983" s="110"/>
      <c r="D4983" s="422" t="s">
        <v>53</v>
      </c>
      <c r="E4983" s="423" t="s">
        <v>54</v>
      </c>
      <c r="F4983" s="424"/>
      <c r="G4983" s="425"/>
      <c r="H4983" s="426"/>
      <c r="I4983" s="427"/>
      <c r="J4983" s="428"/>
    </row>
    <row r="4984" spans="1:10" ht="14.5">
      <c r="A4984" s="27"/>
      <c r="B4984" s="110"/>
      <c r="D4984" s="409"/>
      <c r="E4984" s="8" t="s">
        <v>1941</v>
      </c>
      <c r="F4984" s="14"/>
      <c r="G4984" s="468" t="s">
        <v>1106</v>
      </c>
      <c r="H4984" s="411">
        <v>1.01</v>
      </c>
      <c r="I4984" s="412">
        <f>'BAHAN '!G63</f>
        <v>0</v>
      </c>
      <c r="J4984" s="16">
        <f>H4984*I4984</f>
        <v>0</v>
      </c>
    </row>
    <row r="4985" spans="1:10" ht="15" thickBot="1">
      <c r="A4985" s="27"/>
      <c r="B4985" s="110"/>
      <c r="D4985" s="413"/>
      <c r="E4985" s="472" t="s">
        <v>58</v>
      </c>
      <c r="F4985" s="429"/>
      <c r="G4985" s="473" t="s">
        <v>1107</v>
      </c>
      <c r="H4985" s="416">
        <v>0.05</v>
      </c>
      <c r="I4985" s="441">
        <f>'BAHAN '!G59</f>
        <v>0</v>
      </c>
      <c r="J4985" s="430">
        <f>H4985*I4985</f>
        <v>0</v>
      </c>
    </row>
    <row r="4986" spans="1:10" ht="13.5" thickBot="1">
      <c r="A4986" s="27"/>
      <c r="B4986" s="110"/>
      <c r="D4986" s="417"/>
      <c r="E4986" s="418"/>
      <c r="F4986" s="418"/>
      <c r="G4986" s="419"/>
      <c r="H4986" s="420" t="s">
        <v>64</v>
      </c>
      <c r="I4986" s="421"/>
      <c r="J4986" s="396">
        <f>SUM(J4984:J4985)</f>
        <v>0</v>
      </c>
    </row>
    <row r="4987" spans="1:10" ht="13">
      <c r="A4987" s="27"/>
      <c r="B4987" s="110"/>
      <c r="D4987" s="422" t="s">
        <v>65</v>
      </c>
      <c r="E4987" s="423" t="s">
        <v>66</v>
      </c>
      <c r="F4987" s="424"/>
      <c r="G4987" s="425"/>
      <c r="H4987" s="426"/>
      <c r="I4987" s="427">
        <f>IF(AND(E4987&lt;&gt;"",G4987&lt;&gt;""),IF(D4987="",IF(G4987="OH",VLOOKUP(E4987,UPAH!$C$4:$H$31,7,0),VLOOKUP(E4987,#REF!,4,0)),0),0)</f>
        <v>0</v>
      </c>
      <c r="J4987" s="428"/>
    </row>
    <row r="4988" spans="1:10" ht="13.5" thickBot="1">
      <c r="A4988" s="27"/>
      <c r="B4988" s="110"/>
      <c r="D4988" s="438"/>
      <c r="E4988" s="414" t="s">
        <v>1031</v>
      </c>
      <c r="F4988" s="429"/>
      <c r="G4988" s="439" t="s">
        <v>160</v>
      </c>
      <c r="H4988" s="514">
        <v>10</v>
      </c>
      <c r="I4988" s="441">
        <f>J4986/100</f>
        <v>0</v>
      </c>
      <c r="J4988" s="430">
        <f>H4988*I4988</f>
        <v>0</v>
      </c>
    </row>
    <row r="4989" spans="1:10" ht="13.5" thickBot="1">
      <c r="A4989" s="27"/>
      <c r="B4989" s="110"/>
      <c r="D4989" s="417"/>
      <c r="E4989" s="418"/>
      <c r="F4989" s="418"/>
      <c r="G4989" s="419"/>
      <c r="H4989" s="420" t="s">
        <v>67</v>
      </c>
      <c r="I4989" s="421"/>
      <c r="J4989" s="396">
        <f>J4988</f>
        <v>0</v>
      </c>
    </row>
    <row r="4990" spans="1:10" ht="13">
      <c r="A4990" s="27"/>
      <c r="B4990" s="110"/>
      <c r="D4990" s="422" t="s">
        <v>68</v>
      </c>
      <c r="E4990" s="423" t="s">
        <v>69</v>
      </c>
      <c r="F4990" s="424"/>
      <c r="G4990" s="425"/>
      <c r="H4990" s="426"/>
      <c r="I4990" s="427">
        <f>IF(AND(E4990&lt;&gt;"",G4990&lt;&gt;""),IF(D4990="",IF(G4990="OH",VLOOKUP(E4990,UPAH!$C$4:$H$31,7,0),VLOOKUP(E4990,#REF!,4,0)),0),0)</f>
        <v>0</v>
      </c>
      <c r="J4990" s="428">
        <f>SUM(J4978:J4989)/2</f>
        <v>0</v>
      </c>
    </row>
    <row r="4991" spans="1:10" ht="13">
      <c r="A4991" s="27"/>
      <c r="B4991" s="110"/>
      <c r="D4991" s="406" t="s">
        <v>70</v>
      </c>
      <c r="E4991" s="13" t="s">
        <v>477</v>
      </c>
      <c r="F4991" s="14"/>
      <c r="G4991" s="15"/>
      <c r="H4991" s="515">
        <v>0.1</v>
      </c>
      <c r="I4991" s="412"/>
      <c r="J4991" s="16">
        <f>H4991*J4990</f>
        <v>0</v>
      </c>
    </row>
    <row r="4992" spans="1:10" ht="13.5" thickBot="1">
      <c r="A4992" s="27"/>
      <c r="B4992" s="110"/>
      <c r="D4992" s="516" t="s">
        <v>71</v>
      </c>
      <c r="E4992" s="460" t="s">
        <v>72</v>
      </c>
      <c r="F4992" s="461"/>
      <c r="G4992" s="517"/>
      <c r="H4992" s="518"/>
      <c r="I4992" s="464">
        <f>IF(AND(E4992&lt;&gt;"",G4992&lt;&gt;""),IF(D4992="",IF(G4992="OH",VLOOKUP(E4992,UPAH!$C$4:$H$31,7,0),VLOOKUP(E4992,#REF!,4,0)),0),0)</f>
        <v>0</v>
      </c>
      <c r="J4992" s="465">
        <f>ROUNDDOWN(J4990+J4991,0)</f>
        <v>0</v>
      </c>
    </row>
    <row r="4993" spans="1:10" ht="13">
      <c r="A4993" s="27"/>
      <c r="B4993" s="110"/>
      <c r="E4993" s="11"/>
      <c r="H4993" s="443"/>
    </row>
    <row r="4994" spans="1:10" ht="13.5" thickBot="1">
      <c r="A4994" s="27"/>
      <c r="B4994" s="110"/>
      <c r="C4994" s="456" t="s">
        <v>1032</v>
      </c>
      <c r="D4994" s="10" t="s">
        <v>1033</v>
      </c>
      <c r="E4994" s="11"/>
      <c r="H4994" s="443"/>
    </row>
    <row r="4995" spans="1:10" ht="13.5" thickBot="1">
      <c r="A4995" s="27"/>
      <c r="B4995" s="110"/>
      <c r="D4995" s="401" t="s">
        <v>40</v>
      </c>
      <c r="E4995" s="402" t="s">
        <v>41</v>
      </c>
      <c r="F4995" s="402" t="s">
        <v>42</v>
      </c>
      <c r="G4995" s="403" t="s">
        <v>43</v>
      </c>
      <c r="H4995" s="404" t="s">
        <v>44</v>
      </c>
      <c r="I4995" s="402" t="s">
        <v>474</v>
      </c>
      <c r="J4995" s="405" t="s">
        <v>475</v>
      </c>
    </row>
    <row r="4996" spans="1:10" ht="13">
      <c r="A4996" s="27"/>
      <c r="B4996" s="110"/>
      <c r="D4996" s="422" t="s">
        <v>45</v>
      </c>
      <c r="E4996" s="423" t="s">
        <v>46</v>
      </c>
      <c r="F4996" s="424"/>
      <c r="G4996" s="425"/>
      <c r="H4996" s="426"/>
      <c r="I4996" s="427"/>
      <c r="J4996" s="428"/>
    </row>
    <row r="4997" spans="1:10" ht="13">
      <c r="A4997" s="27"/>
      <c r="B4997" s="110"/>
      <c r="D4997" s="409"/>
      <c r="E4997" s="13" t="s">
        <v>47</v>
      </c>
      <c r="F4997" s="13" t="s">
        <v>1918</v>
      </c>
      <c r="G4997" s="410" t="s">
        <v>48</v>
      </c>
      <c r="H4997" s="500">
        <v>0.25</v>
      </c>
      <c r="I4997" s="412">
        <f>IF(AND(E4997&lt;&gt;"",G4997&lt;&gt;""),IF(D4997="",IF(G4997="OH",VLOOKUP(F4997,UPAH!$B$4:$H$101,7,0),VLOOKUP(F4997,#REF!,4,0)),0),0)</f>
        <v>0</v>
      </c>
      <c r="J4997" s="16">
        <f>H4997*I4997</f>
        <v>0</v>
      </c>
    </row>
    <row r="4998" spans="1:10" ht="13">
      <c r="A4998" s="27"/>
      <c r="B4998" s="110"/>
      <c r="D4998" s="409"/>
      <c r="E4998" s="13" t="s">
        <v>476</v>
      </c>
      <c r="F4998" s="13" t="s">
        <v>1922</v>
      </c>
      <c r="G4998" s="410" t="s">
        <v>48</v>
      </c>
      <c r="H4998" s="500">
        <v>0.25</v>
      </c>
      <c r="I4998" s="412">
        <f>IF(AND(E4998&lt;&gt;"",G4998&lt;&gt;""),IF(D4998="",IF(G4998="OH",VLOOKUP(F4998,UPAH!$B$4:$H$101,7,0),VLOOKUP(F4998,#REF!,4,0)),0),0)</f>
        <v>0</v>
      </c>
      <c r="J4998" s="16">
        <f>H4998*I4998</f>
        <v>0</v>
      </c>
    </row>
    <row r="4999" spans="1:10" ht="13">
      <c r="A4999" s="27"/>
      <c r="B4999" s="110"/>
      <c r="D4999" s="409"/>
      <c r="E4999" s="13" t="s">
        <v>50</v>
      </c>
      <c r="F4999" s="13" t="s">
        <v>1928</v>
      </c>
      <c r="G4999" s="410" t="s">
        <v>48</v>
      </c>
      <c r="H4999" s="500">
        <v>2.5000000000000001E-2</v>
      </c>
      <c r="I4999" s="412">
        <f>IF(AND(E4999&lt;&gt;"",G4999&lt;&gt;""),IF(D4999="",IF(G4999="OH",VLOOKUP(F4999,UPAH!$B$4:$H$101,7,0),VLOOKUP(F4999,#REF!,4,0)),0),0)</f>
        <v>0</v>
      </c>
      <c r="J4999" s="16">
        <f>H4999*I4999</f>
        <v>0</v>
      </c>
    </row>
    <row r="5000" spans="1:10" ht="13.5" thickBot="1">
      <c r="A5000" s="27"/>
      <c r="B5000" s="110"/>
      <c r="D5000" s="413"/>
      <c r="E5000" s="414" t="s">
        <v>51</v>
      </c>
      <c r="F5000" s="414" t="s">
        <v>1929</v>
      </c>
      <c r="G5000" s="415" t="s">
        <v>48</v>
      </c>
      <c r="H5000" s="501">
        <v>2.5000000000000001E-3</v>
      </c>
      <c r="I5000" s="412">
        <f>IF(AND(E5000&lt;&gt;"",G5000&lt;&gt;""),IF(D5000="",IF(G5000="OH",VLOOKUP(F5000,UPAH!$B$4:$H$101,7,0),VLOOKUP(F5000,#REF!,4,0)),0),0)</f>
        <v>0</v>
      </c>
      <c r="J5000" s="430">
        <f>H5000*I5000</f>
        <v>0</v>
      </c>
    </row>
    <row r="5001" spans="1:10" ht="13.5" thickBot="1">
      <c r="A5001" s="27"/>
      <c r="B5001" s="110"/>
      <c r="D5001" s="417"/>
      <c r="E5001" s="418"/>
      <c r="F5001" s="418"/>
      <c r="G5001" s="419"/>
      <c r="H5001" s="420" t="s">
        <v>52</v>
      </c>
      <c r="I5001" s="421"/>
      <c r="J5001" s="396">
        <f>SUM(J4997:J5000)</f>
        <v>0</v>
      </c>
    </row>
    <row r="5002" spans="1:10" ht="13">
      <c r="A5002" s="27"/>
      <c r="B5002" s="110"/>
      <c r="D5002" s="422" t="s">
        <v>53</v>
      </c>
      <c r="E5002" s="423" t="s">
        <v>54</v>
      </c>
      <c r="F5002" s="424"/>
      <c r="G5002" s="425"/>
      <c r="H5002" s="426"/>
      <c r="I5002" s="427"/>
      <c r="J5002" s="428"/>
    </row>
    <row r="5003" spans="1:10" ht="14.5">
      <c r="A5003" s="27"/>
      <c r="B5003" s="110"/>
      <c r="D5003" s="409"/>
      <c r="E5003" s="8" t="s">
        <v>1943</v>
      </c>
      <c r="F5003" s="14"/>
      <c r="G5003" s="468" t="s">
        <v>1106</v>
      </c>
      <c r="H5003" s="469">
        <v>1.01</v>
      </c>
      <c r="I5003" s="412">
        <f>'BAHAN '!G67</f>
        <v>0</v>
      </c>
      <c r="J5003" s="16">
        <f>H5003*I5003</f>
        <v>0</v>
      </c>
    </row>
    <row r="5004" spans="1:10" ht="15" thickBot="1">
      <c r="A5004" s="27"/>
      <c r="B5004" s="110"/>
      <c r="D5004" s="413"/>
      <c r="E5004" s="472" t="s">
        <v>58</v>
      </c>
      <c r="F5004" s="429"/>
      <c r="G5004" s="473" t="s">
        <v>1107</v>
      </c>
      <c r="H5004" s="474">
        <v>7.0000000000000007E-2</v>
      </c>
      <c r="I5004" s="441">
        <f>'BAHAN '!G59</f>
        <v>0</v>
      </c>
      <c r="J5004" s="430">
        <f>H5004*I5004</f>
        <v>0</v>
      </c>
    </row>
    <row r="5005" spans="1:10" ht="13.5" thickBot="1">
      <c r="A5005" s="27"/>
      <c r="B5005" s="110"/>
      <c r="D5005" s="417"/>
      <c r="E5005" s="418"/>
      <c r="F5005" s="418"/>
      <c r="G5005" s="419"/>
      <c r="H5005" s="420" t="s">
        <v>64</v>
      </c>
      <c r="I5005" s="421"/>
      <c r="J5005" s="396">
        <f>SUM(J5003:J5004)</f>
        <v>0</v>
      </c>
    </row>
    <row r="5006" spans="1:10" ht="13">
      <c r="A5006" s="27"/>
      <c r="B5006" s="110"/>
      <c r="D5006" s="422" t="s">
        <v>65</v>
      </c>
      <c r="E5006" s="423" t="s">
        <v>66</v>
      </c>
      <c r="F5006" s="424"/>
      <c r="G5006" s="425"/>
      <c r="H5006" s="426"/>
      <c r="I5006" s="427">
        <f>IF(AND(E5006&lt;&gt;"",G5006&lt;&gt;""),IF(D5006="",IF(G5006="OH",VLOOKUP(E5006,UPAH!$C$4:$H$31,7,0),VLOOKUP(E5006,#REF!,4,0)),0),0)</f>
        <v>0</v>
      </c>
      <c r="J5006" s="428"/>
    </row>
    <row r="5007" spans="1:10" ht="13.5" thickBot="1">
      <c r="A5007" s="27"/>
      <c r="B5007" s="110"/>
      <c r="D5007" s="438"/>
      <c r="E5007" s="414" t="s">
        <v>1031</v>
      </c>
      <c r="F5007" s="429"/>
      <c r="G5007" s="439" t="s">
        <v>160</v>
      </c>
      <c r="H5007" s="514">
        <v>0.1</v>
      </c>
      <c r="I5007" s="441">
        <f>J5005</f>
        <v>0</v>
      </c>
      <c r="J5007" s="430">
        <f>H5007*I5007</f>
        <v>0</v>
      </c>
    </row>
    <row r="5008" spans="1:10" ht="13.5" thickBot="1">
      <c r="A5008" s="27"/>
      <c r="B5008" s="110"/>
      <c r="D5008" s="417"/>
      <c r="E5008" s="418"/>
      <c r="F5008" s="418"/>
      <c r="G5008" s="419"/>
      <c r="H5008" s="420" t="s">
        <v>67</v>
      </c>
      <c r="I5008" s="421"/>
      <c r="J5008" s="396">
        <f>J5007</f>
        <v>0</v>
      </c>
    </row>
    <row r="5009" spans="1:10" ht="13">
      <c r="A5009" s="27"/>
      <c r="B5009" s="110"/>
      <c r="D5009" s="422" t="s">
        <v>68</v>
      </c>
      <c r="E5009" s="423" t="s">
        <v>69</v>
      </c>
      <c r="F5009" s="424"/>
      <c r="G5009" s="425"/>
      <c r="H5009" s="426"/>
      <c r="I5009" s="427">
        <f>IF(AND(E5009&lt;&gt;"",G5009&lt;&gt;""),IF(D5009="",IF(G5009="OH",VLOOKUP(E5009,UPAH!$C$4:$H$31,7,0),VLOOKUP(E5009,#REF!,4,0)),0),0)</f>
        <v>0</v>
      </c>
      <c r="J5009" s="428">
        <f>SUM(J4997:J5008)/2</f>
        <v>0</v>
      </c>
    </row>
    <row r="5010" spans="1:10" ht="13">
      <c r="A5010" s="27"/>
      <c r="B5010" s="110"/>
      <c r="D5010" s="406" t="s">
        <v>70</v>
      </c>
      <c r="E5010" s="13" t="s">
        <v>477</v>
      </c>
      <c r="F5010" s="14"/>
      <c r="G5010" s="15"/>
      <c r="H5010" s="515">
        <v>0.1</v>
      </c>
      <c r="I5010" s="412"/>
      <c r="J5010" s="16">
        <f>H5010*J5009</f>
        <v>0</v>
      </c>
    </row>
    <row r="5011" spans="1:10" ht="13.5" thickBot="1">
      <c r="A5011" s="27"/>
      <c r="B5011" s="110"/>
      <c r="D5011" s="516" t="s">
        <v>71</v>
      </c>
      <c r="E5011" s="460" t="s">
        <v>72</v>
      </c>
      <c r="F5011" s="461"/>
      <c r="G5011" s="517"/>
      <c r="H5011" s="518"/>
      <c r="I5011" s="464">
        <f>IF(AND(E5011&lt;&gt;"",G5011&lt;&gt;""),IF(D5011="",IF(G5011="OH",VLOOKUP(E5011,UPAH!$C$4:$H$31,7,0),VLOOKUP(E5011,#REF!,4,0)),0),0)</f>
        <v>0</v>
      </c>
      <c r="J5011" s="465">
        <f>ROUNDDOWN(J5009+J5010,0)</f>
        <v>0</v>
      </c>
    </row>
    <row r="5012" spans="1:10" ht="13">
      <c r="A5012" s="27"/>
      <c r="B5012" s="110"/>
      <c r="E5012" s="11"/>
      <c r="H5012" s="443"/>
    </row>
    <row r="5013" spans="1:10" ht="13.5" thickBot="1">
      <c r="A5013" s="27"/>
      <c r="B5013" s="110"/>
      <c r="C5013" s="456" t="s">
        <v>1034</v>
      </c>
      <c r="D5013" s="10" t="s">
        <v>1035</v>
      </c>
      <c r="E5013" s="11"/>
      <c r="H5013" s="443"/>
    </row>
    <row r="5014" spans="1:10" ht="13.5" thickBot="1">
      <c r="A5014" s="27"/>
      <c r="B5014" s="110"/>
      <c r="D5014" s="401" t="s">
        <v>40</v>
      </c>
      <c r="E5014" s="402" t="s">
        <v>41</v>
      </c>
      <c r="F5014" s="402" t="s">
        <v>42</v>
      </c>
      <c r="G5014" s="403" t="s">
        <v>43</v>
      </c>
      <c r="H5014" s="404" t="s">
        <v>44</v>
      </c>
      <c r="I5014" s="402" t="s">
        <v>474</v>
      </c>
      <c r="J5014" s="405" t="s">
        <v>475</v>
      </c>
    </row>
    <row r="5015" spans="1:10" ht="13">
      <c r="A5015" s="27"/>
      <c r="B5015" s="110"/>
      <c r="D5015" s="406" t="s">
        <v>45</v>
      </c>
      <c r="E5015" s="13" t="s">
        <v>46</v>
      </c>
      <c r="F5015" s="14"/>
      <c r="G5015" s="15"/>
      <c r="H5015" s="451"/>
      <c r="I5015" s="412"/>
      <c r="J5015" s="16"/>
    </row>
    <row r="5016" spans="1:10" ht="13">
      <c r="A5016" s="27"/>
      <c r="B5016" s="110"/>
      <c r="D5016" s="409"/>
      <c r="E5016" s="13" t="s">
        <v>47</v>
      </c>
      <c r="F5016" s="13" t="s">
        <v>1918</v>
      </c>
      <c r="G5016" s="410" t="s">
        <v>48</v>
      </c>
      <c r="H5016" s="500">
        <v>0.25</v>
      </c>
      <c r="I5016" s="412">
        <f>IF(AND(E5016&lt;&gt;"",G5016&lt;&gt;""),IF(D5016="",IF(G5016="OH",VLOOKUP(F5016,UPAH!$B$4:$H$101,7,0),VLOOKUP(F5016,#REF!,4,0)),0),0)</f>
        <v>0</v>
      </c>
      <c r="J5016" s="16">
        <f>H5016*I5016</f>
        <v>0</v>
      </c>
    </row>
    <row r="5017" spans="1:10" ht="13">
      <c r="A5017" s="27"/>
      <c r="B5017" s="110"/>
      <c r="D5017" s="409"/>
      <c r="E5017" s="13" t="s">
        <v>476</v>
      </c>
      <c r="F5017" s="13" t="s">
        <v>1922</v>
      </c>
      <c r="G5017" s="410" t="s">
        <v>48</v>
      </c>
      <c r="H5017" s="500">
        <v>0.25</v>
      </c>
      <c r="I5017" s="412">
        <f>IF(AND(E5017&lt;&gt;"",G5017&lt;&gt;""),IF(D5017="",IF(G5017="OH",VLOOKUP(F5017,UPAH!$B$4:$H$101,7,0),VLOOKUP(F5017,#REF!,4,0)),0),0)</f>
        <v>0</v>
      </c>
      <c r="J5017" s="16">
        <f>H5017*I5017</f>
        <v>0</v>
      </c>
    </row>
    <row r="5018" spans="1:10" ht="13">
      <c r="A5018" s="27"/>
      <c r="B5018" s="110"/>
      <c r="D5018" s="409"/>
      <c r="E5018" s="13" t="s">
        <v>50</v>
      </c>
      <c r="F5018" s="13" t="s">
        <v>1928</v>
      </c>
      <c r="G5018" s="410" t="s">
        <v>48</v>
      </c>
      <c r="H5018" s="500">
        <v>2.5000000000000001E-2</v>
      </c>
      <c r="I5018" s="412">
        <f>IF(AND(E5018&lt;&gt;"",G5018&lt;&gt;""),IF(D5018="",IF(G5018="OH",VLOOKUP(F5018,UPAH!$B$4:$H$101,7,0),VLOOKUP(F5018,#REF!,4,0)),0),0)</f>
        <v>0</v>
      </c>
      <c r="J5018" s="16">
        <f>H5018*I5018</f>
        <v>0</v>
      </c>
    </row>
    <row r="5019" spans="1:10" ht="13.5" thickBot="1">
      <c r="A5019" s="27"/>
      <c r="B5019" s="110"/>
      <c r="D5019" s="409"/>
      <c r="E5019" s="13" t="s">
        <v>51</v>
      </c>
      <c r="F5019" s="13" t="s">
        <v>1929</v>
      </c>
      <c r="G5019" s="410" t="s">
        <v>48</v>
      </c>
      <c r="H5019" s="501">
        <v>2.5000000000000001E-3</v>
      </c>
      <c r="I5019" s="412">
        <f>IF(AND(E5019&lt;&gt;"",G5019&lt;&gt;""),IF(D5019="",IF(G5019="OH",VLOOKUP(F5019,UPAH!$B$4:$H$101,7,0),VLOOKUP(F5019,#REF!,4,0)),0),0)</f>
        <v>0</v>
      </c>
      <c r="J5019" s="16">
        <f>H5019*I5019</f>
        <v>0</v>
      </c>
    </row>
    <row r="5020" spans="1:10" ht="13.5" thickBot="1">
      <c r="A5020" s="27"/>
      <c r="B5020" s="110"/>
      <c r="D5020" s="417"/>
      <c r="E5020" s="418"/>
      <c r="F5020" s="418"/>
      <c r="G5020" s="419"/>
      <c r="H5020" s="420" t="s">
        <v>52</v>
      </c>
      <c r="I5020" s="421"/>
      <c r="J5020" s="396">
        <f>SUM(J5016:J5019)</f>
        <v>0</v>
      </c>
    </row>
    <row r="5021" spans="1:10" ht="13">
      <c r="A5021" s="27"/>
      <c r="B5021" s="110"/>
      <c r="D5021" s="406" t="s">
        <v>53</v>
      </c>
      <c r="E5021" s="13" t="s">
        <v>54</v>
      </c>
      <c r="F5021" s="14"/>
      <c r="G5021" s="15"/>
      <c r="H5021" s="451"/>
      <c r="I5021" s="412"/>
      <c r="J5021" s="16"/>
    </row>
    <row r="5022" spans="1:10" ht="14.5">
      <c r="A5022" s="27"/>
      <c r="B5022" s="110"/>
      <c r="D5022" s="409"/>
      <c r="E5022" s="8" t="s">
        <v>1942</v>
      </c>
      <c r="F5022" s="14"/>
      <c r="G5022" s="468" t="s">
        <v>1106</v>
      </c>
      <c r="H5022" s="519">
        <v>1.01</v>
      </c>
      <c r="I5022" s="412">
        <v>0</v>
      </c>
      <c r="J5022" s="16">
        <f>H5022*I5022</f>
        <v>0</v>
      </c>
    </row>
    <row r="5023" spans="1:10" ht="15" thickBot="1">
      <c r="A5023" s="27"/>
      <c r="B5023" s="110"/>
      <c r="D5023" s="413"/>
      <c r="E5023" s="472" t="s">
        <v>58</v>
      </c>
      <c r="F5023" s="429"/>
      <c r="G5023" s="473" t="s">
        <v>1107</v>
      </c>
      <c r="H5023" s="520">
        <v>0.05</v>
      </c>
      <c r="I5023" s="441">
        <f>'BAHAN '!G59</f>
        <v>0</v>
      </c>
      <c r="J5023" s="430">
        <f>H5023*I5023</f>
        <v>0</v>
      </c>
    </row>
    <row r="5024" spans="1:10" ht="13.5" thickBot="1">
      <c r="A5024" s="27"/>
      <c r="B5024" s="110"/>
      <c r="D5024" s="417"/>
      <c r="E5024" s="418"/>
      <c r="F5024" s="418"/>
      <c r="G5024" s="419"/>
      <c r="H5024" s="420" t="s">
        <v>64</v>
      </c>
      <c r="I5024" s="421"/>
      <c r="J5024" s="396">
        <f>SUM(J5022:J5023)</f>
        <v>0</v>
      </c>
    </row>
    <row r="5025" spans="1:10" ht="13">
      <c r="A5025" s="27"/>
      <c r="B5025" s="110"/>
      <c r="D5025" s="406" t="s">
        <v>65</v>
      </c>
      <c r="E5025" s="13" t="s">
        <v>66</v>
      </c>
      <c r="F5025" s="14"/>
      <c r="G5025" s="15"/>
      <c r="H5025" s="451"/>
      <c r="I5025" s="412">
        <f>IF(AND(E5025&lt;&gt;"",G5025&lt;&gt;""),IF(D5025="",IF(G5025="OH",VLOOKUP(E5025,UPAH!$C$4:$H$31,7,0),VLOOKUP(E5025,#REF!,4,0)),0),0)</f>
        <v>0</v>
      </c>
      <c r="J5025" s="16"/>
    </row>
    <row r="5026" spans="1:10" ht="13.5" thickBot="1">
      <c r="A5026" s="27"/>
      <c r="B5026" s="110"/>
      <c r="D5026" s="431"/>
      <c r="E5026" s="432" t="s">
        <v>1031</v>
      </c>
      <c r="F5026" s="433"/>
      <c r="G5026" s="434" t="s">
        <v>160</v>
      </c>
      <c r="H5026" s="435">
        <v>0.1</v>
      </c>
      <c r="I5026" s="412">
        <f>J5024</f>
        <v>0</v>
      </c>
      <c r="J5026" s="437">
        <f>H5026*I5026</f>
        <v>0</v>
      </c>
    </row>
    <row r="5027" spans="1:10" ht="13.5" thickBot="1">
      <c r="A5027" s="27"/>
      <c r="B5027" s="110"/>
      <c r="D5027" s="417"/>
      <c r="E5027" s="418"/>
      <c r="F5027" s="418"/>
      <c r="G5027" s="419"/>
      <c r="H5027" s="420" t="s">
        <v>67</v>
      </c>
      <c r="I5027" s="421"/>
      <c r="J5027" s="396">
        <f>J5026</f>
        <v>0</v>
      </c>
    </row>
    <row r="5028" spans="1:10" ht="13">
      <c r="A5028" s="27"/>
      <c r="B5028" s="110"/>
      <c r="D5028" s="444" t="s">
        <v>68</v>
      </c>
      <c r="E5028" s="445" t="s">
        <v>69</v>
      </c>
      <c r="F5028" s="446"/>
      <c r="G5028" s="447"/>
      <c r="H5028" s="448"/>
      <c r="I5028" s="449">
        <f>IF(AND(E5028&lt;&gt;"",G5028&lt;&gt;""),IF(D5028="",IF(G5028="OH",VLOOKUP(E5028,UPAH!$C$4:$H$31,7,0),VLOOKUP(E5028,#REF!,4,0)),0),0)</f>
        <v>0</v>
      </c>
      <c r="J5028" s="16">
        <f>SUM(J5016:J5027)/2</f>
        <v>0</v>
      </c>
    </row>
    <row r="5029" spans="1:10" ht="13.5" thickBot="1">
      <c r="A5029" s="27"/>
      <c r="B5029" s="110"/>
      <c r="D5029" s="431" t="s">
        <v>70</v>
      </c>
      <c r="E5029" s="432" t="s">
        <v>477</v>
      </c>
      <c r="F5029" s="433"/>
      <c r="G5029" s="434"/>
      <c r="H5029" s="22">
        <v>0.1</v>
      </c>
      <c r="I5029" s="436"/>
      <c r="J5029" s="430">
        <f>H5029*J5028</f>
        <v>0</v>
      </c>
    </row>
    <row r="5030" spans="1:10" ht="13.5" thickBot="1">
      <c r="A5030" s="27"/>
      <c r="B5030" s="110"/>
      <c r="D5030" s="401" t="s">
        <v>71</v>
      </c>
      <c r="E5030" s="402" t="s">
        <v>72</v>
      </c>
      <c r="F5030" s="418"/>
      <c r="G5030" s="419"/>
      <c r="H5030" s="442"/>
      <c r="I5030" s="421">
        <f>IF(AND(E5030&lt;&gt;"",G5030&lt;&gt;""),IF(D5030="",IF(G5030="OH",VLOOKUP(E5030,UPAH!$C$4:$H$31,7,0),VLOOKUP(E5030,#REF!,4,0)),0),0)</f>
        <v>0</v>
      </c>
      <c r="J5030" s="396">
        <f>ROUNDDOWN(J5028+J5029,0)</f>
        <v>0</v>
      </c>
    </row>
    <row r="5031" spans="1:10" ht="13">
      <c r="A5031" s="27"/>
      <c r="B5031" s="110"/>
      <c r="E5031" s="11"/>
      <c r="H5031" s="443"/>
    </row>
    <row r="5032" spans="1:10" ht="13.5" thickBot="1">
      <c r="A5032" s="27"/>
      <c r="B5032" s="110"/>
      <c r="C5032" s="456" t="s">
        <v>1036</v>
      </c>
      <c r="D5032" s="10" t="s">
        <v>1037</v>
      </c>
      <c r="E5032" s="11"/>
      <c r="H5032" s="443"/>
    </row>
    <row r="5033" spans="1:10" ht="13.5" thickBot="1">
      <c r="A5033" s="27"/>
      <c r="B5033" s="110"/>
      <c r="D5033" s="401" t="s">
        <v>40</v>
      </c>
      <c r="E5033" s="402" t="s">
        <v>41</v>
      </c>
      <c r="F5033" s="402" t="s">
        <v>42</v>
      </c>
      <c r="G5033" s="403" t="s">
        <v>43</v>
      </c>
      <c r="H5033" s="404" t="s">
        <v>44</v>
      </c>
      <c r="I5033" s="402" t="s">
        <v>474</v>
      </c>
      <c r="J5033" s="405" t="s">
        <v>475</v>
      </c>
    </row>
    <row r="5034" spans="1:10" ht="13">
      <c r="A5034" s="27"/>
      <c r="B5034" s="110"/>
      <c r="D5034" s="406" t="s">
        <v>45</v>
      </c>
      <c r="E5034" s="13" t="s">
        <v>46</v>
      </c>
      <c r="F5034" s="14"/>
      <c r="G5034" s="15"/>
      <c r="H5034" s="451"/>
      <c r="I5034" s="412"/>
      <c r="J5034" s="16"/>
    </row>
    <row r="5035" spans="1:10" ht="13">
      <c r="A5035" s="27"/>
      <c r="B5035" s="110"/>
      <c r="D5035" s="409"/>
      <c r="E5035" s="13" t="s">
        <v>47</v>
      </c>
      <c r="F5035" s="13" t="s">
        <v>1918</v>
      </c>
      <c r="G5035" s="410" t="s">
        <v>48</v>
      </c>
      <c r="H5035" s="500">
        <v>0.25</v>
      </c>
      <c r="I5035" s="412">
        <f>IF(AND(E5035&lt;&gt;"",G5035&lt;&gt;""),IF(D5035="",IF(G5035="OH",VLOOKUP(F5035,UPAH!$B$4:$H$101,7,0),VLOOKUP(F5035,#REF!,4,0)),0),0)</f>
        <v>0</v>
      </c>
      <c r="J5035" s="16">
        <f>H5035*I5035</f>
        <v>0</v>
      </c>
    </row>
    <row r="5036" spans="1:10" ht="13">
      <c r="A5036" s="27"/>
      <c r="B5036" s="110"/>
      <c r="D5036" s="409"/>
      <c r="E5036" s="13" t="s">
        <v>476</v>
      </c>
      <c r="F5036" s="13" t="s">
        <v>1922</v>
      </c>
      <c r="G5036" s="410" t="s">
        <v>48</v>
      </c>
      <c r="H5036" s="500">
        <v>0.25</v>
      </c>
      <c r="I5036" s="412">
        <f>IF(AND(E5036&lt;&gt;"",G5036&lt;&gt;""),IF(D5036="",IF(G5036="OH",VLOOKUP(F5036,UPAH!$B$4:$H$101,7,0),VLOOKUP(F5036,#REF!,4,0)),0),0)</f>
        <v>0</v>
      </c>
      <c r="J5036" s="16">
        <f>H5036*I5036</f>
        <v>0</v>
      </c>
    </row>
    <row r="5037" spans="1:10" ht="13">
      <c r="A5037" s="27"/>
      <c r="B5037" s="110"/>
      <c r="D5037" s="409"/>
      <c r="E5037" s="13" t="s">
        <v>50</v>
      </c>
      <c r="F5037" s="13" t="s">
        <v>1928</v>
      </c>
      <c r="G5037" s="410" t="s">
        <v>48</v>
      </c>
      <c r="H5037" s="500">
        <v>2.5000000000000001E-2</v>
      </c>
      <c r="I5037" s="412">
        <f>IF(AND(E5037&lt;&gt;"",G5037&lt;&gt;""),IF(D5037="",IF(G5037="OH",VLOOKUP(F5037,UPAH!$B$4:$H$101,7,0),VLOOKUP(F5037,#REF!,4,0)),0),0)</f>
        <v>0</v>
      </c>
      <c r="J5037" s="16">
        <f>H5037*I5037</f>
        <v>0</v>
      </c>
    </row>
    <row r="5038" spans="1:10" ht="13.5" thickBot="1">
      <c r="A5038" s="27"/>
      <c r="B5038" s="110"/>
      <c r="D5038" s="409"/>
      <c r="E5038" s="13" t="s">
        <v>51</v>
      </c>
      <c r="F5038" s="13" t="s">
        <v>1929</v>
      </c>
      <c r="G5038" s="410" t="s">
        <v>48</v>
      </c>
      <c r="H5038" s="501">
        <v>2.5000000000000001E-3</v>
      </c>
      <c r="I5038" s="412">
        <f>IF(AND(E5038&lt;&gt;"",G5038&lt;&gt;""),IF(D5038="",IF(G5038="OH",VLOOKUP(F5038,UPAH!$B$4:$H$101,7,0),VLOOKUP(F5038,#REF!,4,0)),0),0)</f>
        <v>0</v>
      </c>
      <c r="J5038" s="16">
        <f>H5038*I5038</f>
        <v>0</v>
      </c>
    </row>
    <row r="5039" spans="1:10" ht="13.5" thickBot="1">
      <c r="A5039" s="27"/>
      <c r="B5039" s="110"/>
      <c r="D5039" s="417"/>
      <c r="E5039" s="418"/>
      <c r="F5039" s="418"/>
      <c r="G5039" s="419"/>
      <c r="H5039" s="420" t="s">
        <v>52</v>
      </c>
      <c r="I5039" s="421"/>
      <c r="J5039" s="396">
        <f>SUM(J5035:J5038)</f>
        <v>0</v>
      </c>
    </row>
    <row r="5040" spans="1:10" ht="13">
      <c r="A5040" s="27"/>
      <c r="B5040" s="110"/>
      <c r="D5040" s="406" t="s">
        <v>53</v>
      </c>
      <c r="E5040" s="13" t="s">
        <v>54</v>
      </c>
      <c r="F5040" s="14"/>
      <c r="G5040" s="15"/>
      <c r="H5040" s="451"/>
      <c r="I5040" s="412"/>
      <c r="J5040" s="16"/>
    </row>
    <row r="5041" spans="1:10" ht="14.5">
      <c r="A5041" s="27"/>
      <c r="B5041" s="110"/>
      <c r="D5041" s="409"/>
      <c r="E5041" s="8" t="s">
        <v>1940</v>
      </c>
      <c r="F5041" s="14"/>
      <c r="G5041" s="468" t="s">
        <v>1106</v>
      </c>
      <c r="H5041" s="519">
        <v>1.01</v>
      </c>
      <c r="I5041" s="412">
        <f>'BAHAN '!G69</f>
        <v>0</v>
      </c>
      <c r="J5041" s="16">
        <f>H5041*I5041</f>
        <v>0</v>
      </c>
    </row>
    <row r="5042" spans="1:10" ht="15" thickBot="1">
      <c r="A5042" s="27"/>
      <c r="B5042" s="110"/>
      <c r="D5042" s="413"/>
      <c r="E5042" s="472" t="s">
        <v>58</v>
      </c>
      <c r="F5042" s="429"/>
      <c r="G5042" s="473" t="s">
        <v>1107</v>
      </c>
      <c r="H5042" s="520">
        <v>7.0000000000000007E-2</v>
      </c>
      <c r="I5042" s="441">
        <f>'BAHAN '!G59</f>
        <v>0</v>
      </c>
      <c r="J5042" s="430">
        <f>H5042*I5042</f>
        <v>0</v>
      </c>
    </row>
    <row r="5043" spans="1:10" ht="13.5" thickBot="1">
      <c r="A5043" s="27"/>
      <c r="B5043" s="110"/>
      <c r="D5043" s="417"/>
      <c r="E5043" s="418"/>
      <c r="F5043" s="418"/>
      <c r="G5043" s="419"/>
      <c r="H5043" s="420" t="s">
        <v>64</v>
      </c>
      <c r="I5043" s="421"/>
      <c r="J5043" s="396">
        <f>SUM(J5041:J5042)</f>
        <v>0</v>
      </c>
    </row>
    <row r="5044" spans="1:10" ht="13">
      <c r="A5044" s="27"/>
      <c r="B5044" s="110"/>
      <c r="D5044" s="406" t="s">
        <v>65</v>
      </c>
      <c r="E5044" s="13" t="s">
        <v>66</v>
      </c>
      <c r="F5044" s="14"/>
      <c r="G5044" s="15"/>
      <c r="H5044" s="451"/>
      <c r="I5044" s="412">
        <f>IF(AND(E5044&lt;&gt;"",G5044&lt;&gt;""),IF(D5044="",IF(G5044="OH",VLOOKUP(E5044,UPAH!$C$4:$H$31,7,0),VLOOKUP(E5044,#REF!,4,0)),0),0)</f>
        <v>0</v>
      </c>
      <c r="J5044" s="16"/>
    </row>
    <row r="5045" spans="1:10" ht="13.5" thickBot="1">
      <c r="A5045" s="27"/>
      <c r="B5045" s="110"/>
      <c r="D5045" s="431"/>
      <c r="E5045" s="432" t="s">
        <v>1031</v>
      </c>
      <c r="F5045" s="433"/>
      <c r="G5045" s="434" t="s">
        <v>160</v>
      </c>
      <c r="H5045" s="435">
        <v>0.1</v>
      </c>
      <c r="I5045" s="412">
        <f>J5043</f>
        <v>0</v>
      </c>
      <c r="J5045" s="437">
        <f>H5045*I5045</f>
        <v>0</v>
      </c>
    </row>
    <row r="5046" spans="1:10" ht="13.5" thickBot="1">
      <c r="A5046" s="27"/>
      <c r="B5046" s="110"/>
      <c r="D5046" s="417"/>
      <c r="E5046" s="418"/>
      <c r="F5046" s="418"/>
      <c r="G5046" s="419"/>
      <c r="H5046" s="420" t="s">
        <v>67</v>
      </c>
      <c r="I5046" s="421"/>
      <c r="J5046" s="396">
        <f>J5045</f>
        <v>0</v>
      </c>
    </row>
    <row r="5047" spans="1:10" ht="13">
      <c r="A5047" s="27"/>
      <c r="B5047" s="110"/>
      <c r="D5047" s="444" t="s">
        <v>68</v>
      </c>
      <c r="E5047" s="445" t="s">
        <v>69</v>
      </c>
      <c r="F5047" s="446"/>
      <c r="G5047" s="447"/>
      <c r="H5047" s="448"/>
      <c r="I5047" s="449">
        <f>IF(AND(E5047&lt;&gt;"",G5047&lt;&gt;""),IF(D5047="",IF(G5047="OH",VLOOKUP(E5047,UPAH!$C$4:$H$31,7,0),VLOOKUP(E5047,#REF!,4,0)),0),0)</f>
        <v>0</v>
      </c>
      <c r="J5047" s="16">
        <f>SUM(J5035:J5046)/2</f>
        <v>0</v>
      </c>
    </row>
    <row r="5048" spans="1:10" ht="13.5" thickBot="1">
      <c r="A5048" s="27"/>
      <c r="B5048" s="110"/>
      <c r="D5048" s="431" t="s">
        <v>70</v>
      </c>
      <c r="E5048" s="432" t="s">
        <v>477</v>
      </c>
      <c r="F5048" s="433"/>
      <c r="G5048" s="434"/>
      <c r="H5048" s="22">
        <v>0.1</v>
      </c>
      <c r="I5048" s="436"/>
      <c r="J5048" s="430">
        <f>H5048*J5047</f>
        <v>0</v>
      </c>
    </row>
    <row r="5049" spans="1:10" ht="13.5" thickBot="1">
      <c r="A5049" s="27"/>
      <c r="B5049" s="110"/>
      <c r="D5049" s="401" t="s">
        <v>71</v>
      </c>
      <c r="E5049" s="402" t="s">
        <v>72</v>
      </c>
      <c r="F5049" s="418"/>
      <c r="G5049" s="419"/>
      <c r="H5049" s="442"/>
      <c r="I5049" s="421">
        <f>IF(AND(E5049&lt;&gt;"",G5049&lt;&gt;""),IF(D5049="",IF(G5049="OH",VLOOKUP(E5049,UPAH!$C$4:$H$31,7,0),VLOOKUP(E5049,#REF!,4,0)),0),0)</f>
        <v>0</v>
      </c>
      <c r="J5049" s="396">
        <f>ROUNDDOWN(J5047+J5048,0)</f>
        <v>0</v>
      </c>
    </row>
    <row r="5050" spans="1:10" ht="13">
      <c r="A5050" s="27"/>
      <c r="B5050" s="110"/>
      <c r="E5050" s="11"/>
      <c r="H5050" s="443"/>
    </row>
    <row r="5051" spans="1:10" ht="13.5" thickBot="1">
      <c r="A5051" s="27"/>
      <c r="B5051" s="110"/>
      <c r="C5051" s="456" t="s">
        <v>1786</v>
      </c>
      <c r="D5051" s="10" t="s">
        <v>1788</v>
      </c>
      <c r="E5051" s="11"/>
      <c r="H5051" s="443"/>
    </row>
    <row r="5052" spans="1:10" ht="13.5" thickBot="1">
      <c r="A5052" s="27"/>
      <c r="B5052" s="110"/>
      <c r="D5052" s="401" t="s">
        <v>40</v>
      </c>
      <c r="E5052" s="402" t="s">
        <v>41</v>
      </c>
      <c r="F5052" s="402" t="s">
        <v>42</v>
      </c>
      <c r="G5052" s="403" t="s">
        <v>43</v>
      </c>
      <c r="H5052" s="404" t="s">
        <v>44</v>
      </c>
      <c r="I5052" s="402" t="s">
        <v>474</v>
      </c>
      <c r="J5052" s="405" t="s">
        <v>475</v>
      </c>
    </row>
    <row r="5053" spans="1:10" ht="13">
      <c r="A5053" s="27"/>
      <c r="B5053" s="110"/>
      <c r="D5053" s="406" t="s">
        <v>45</v>
      </c>
      <c r="E5053" s="13" t="s">
        <v>46</v>
      </c>
      <c r="F5053" s="14"/>
      <c r="G5053" s="15"/>
      <c r="H5053" s="451"/>
      <c r="I5053" s="412"/>
      <c r="J5053" s="16"/>
    </row>
    <row r="5054" spans="1:10" ht="13">
      <c r="A5054" s="27"/>
      <c r="B5054" s="110"/>
      <c r="D5054" s="409"/>
      <c r="E5054" s="13" t="s">
        <v>47</v>
      </c>
      <c r="F5054" s="13" t="s">
        <v>1918</v>
      </c>
      <c r="G5054" s="410" t="s">
        <v>48</v>
      </c>
      <c r="H5054" s="411">
        <v>0.15</v>
      </c>
      <c r="I5054" s="412">
        <f>IF(AND(E5054&lt;&gt;"",G5054&lt;&gt;""),IF(D5054="",IF(G5054="OH",VLOOKUP(F5054,UPAH!$B$4:$H$101,7,0),VLOOKUP(F5054,#REF!,4,0)),0),0)</f>
        <v>0</v>
      </c>
      <c r="J5054" s="16">
        <f>H5054*I5054</f>
        <v>0</v>
      </c>
    </row>
    <row r="5055" spans="1:10" ht="13">
      <c r="A5055" s="27"/>
      <c r="B5055" s="110"/>
      <c r="D5055" s="409"/>
      <c r="E5055" s="13" t="s">
        <v>485</v>
      </c>
      <c r="F5055" s="13" t="s">
        <v>1923</v>
      </c>
      <c r="G5055" s="410" t="s">
        <v>48</v>
      </c>
      <c r="H5055" s="411">
        <v>7.4999999999999997E-2</v>
      </c>
      <c r="I5055" s="412">
        <f>IF(AND(E5055&lt;&gt;"",G5055&lt;&gt;""),IF(D5055="",IF(G5055="OH",VLOOKUP(F5055,UPAH!$B$4:$H$101,7,0),VLOOKUP(F5055,#REF!,4,0)),0),0)</f>
        <v>0</v>
      </c>
      <c r="J5055" s="16">
        <f>H5055*I5055</f>
        <v>0</v>
      </c>
    </row>
    <row r="5056" spans="1:10" ht="13">
      <c r="A5056" s="27"/>
      <c r="B5056" s="110"/>
      <c r="D5056" s="409"/>
      <c r="E5056" s="13" t="s">
        <v>97</v>
      </c>
      <c r="F5056" s="13" t="s">
        <v>1928</v>
      </c>
      <c r="G5056" s="410" t="s">
        <v>48</v>
      </c>
      <c r="H5056" s="411">
        <v>8.0000000000000002E-3</v>
      </c>
      <c r="I5056" s="412">
        <f>IF(AND(E5056&lt;&gt;"",G5056&lt;&gt;""),IF(D5056="",IF(G5056="OH",VLOOKUP(F5056,UPAH!$B$4:$H$101,7,0),VLOOKUP(F5056,#REF!,4,0)),0),0)</f>
        <v>0</v>
      </c>
      <c r="J5056" s="16">
        <f>H5056*I5056</f>
        <v>0</v>
      </c>
    </row>
    <row r="5057" spans="1:10" ht="13.5" thickBot="1">
      <c r="A5057" s="27"/>
      <c r="B5057" s="110"/>
      <c r="D5057" s="409"/>
      <c r="E5057" s="13" t="s">
        <v>51</v>
      </c>
      <c r="F5057" s="13" t="s">
        <v>1929</v>
      </c>
      <c r="G5057" s="410" t="s">
        <v>48</v>
      </c>
      <c r="H5057" s="411">
        <v>8.0000000000000002E-3</v>
      </c>
      <c r="I5057" s="412">
        <f>IF(AND(E5057&lt;&gt;"",G5057&lt;&gt;""),IF(D5057="",IF(G5057="OH",VLOOKUP(F5057,UPAH!$B$4:$H$101,7,0),VLOOKUP(F5057,#REF!,4,0)),0),0)</f>
        <v>0</v>
      </c>
      <c r="J5057" s="16">
        <f>H5057*I5057</f>
        <v>0</v>
      </c>
    </row>
    <row r="5058" spans="1:10" ht="13.5" thickBot="1">
      <c r="A5058" s="27"/>
      <c r="B5058" s="110"/>
      <c r="D5058" s="417"/>
      <c r="E5058" s="418"/>
      <c r="F5058" s="418"/>
      <c r="G5058" s="419"/>
      <c r="H5058" s="420" t="s">
        <v>52</v>
      </c>
      <c r="I5058" s="421"/>
      <c r="J5058" s="396">
        <f>SUM(J5054:J5057)</f>
        <v>0</v>
      </c>
    </row>
    <row r="5059" spans="1:10" ht="13">
      <c r="A5059" s="27"/>
      <c r="B5059" s="110"/>
      <c r="D5059" s="406" t="s">
        <v>53</v>
      </c>
      <c r="E5059" s="13" t="s">
        <v>54</v>
      </c>
      <c r="F5059" s="14"/>
      <c r="G5059" s="15"/>
      <c r="H5059" s="451"/>
      <c r="I5059" s="412"/>
      <c r="J5059" s="16"/>
    </row>
    <row r="5060" spans="1:10" ht="13">
      <c r="A5060" s="27"/>
      <c r="B5060" s="110"/>
      <c r="D5060" s="409"/>
      <c r="E5060" s="13" t="s">
        <v>1787</v>
      </c>
      <c r="F5060" s="14"/>
      <c r="G5060" s="410" t="s">
        <v>74</v>
      </c>
      <c r="H5060" s="411">
        <v>0.36499999999999999</v>
      </c>
      <c r="I5060" s="412">
        <v>0</v>
      </c>
      <c r="J5060" s="16">
        <f>H5060*I5060</f>
        <v>0</v>
      </c>
    </row>
    <row r="5061" spans="1:10" ht="13.5" thickBot="1">
      <c r="A5061" s="27"/>
      <c r="B5061" s="110"/>
      <c r="D5061" s="409"/>
      <c r="E5061" s="13" t="s">
        <v>1777</v>
      </c>
      <c r="F5061" s="14"/>
      <c r="G5061" s="410" t="s">
        <v>259</v>
      </c>
      <c r="H5061" s="411">
        <v>20</v>
      </c>
      <c r="I5061" s="412">
        <f>'BAHAN '!G988</f>
        <v>0</v>
      </c>
      <c r="J5061" s="16">
        <f>H5061*I5061</f>
        <v>0</v>
      </c>
    </row>
    <row r="5062" spans="1:10" ht="13.5" thickBot="1">
      <c r="A5062" s="27"/>
      <c r="B5062" s="110"/>
      <c r="D5062" s="417"/>
      <c r="E5062" s="418"/>
      <c r="F5062" s="418"/>
      <c r="G5062" s="419"/>
      <c r="H5062" s="420" t="s">
        <v>64</v>
      </c>
      <c r="I5062" s="421"/>
      <c r="J5062" s="396">
        <f>SUM(J5060:J5061)</f>
        <v>0</v>
      </c>
    </row>
    <row r="5063" spans="1:10" ht="13.5" thickBot="1">
      <c r="A5063" s="27"/>
      <c r="B5063" s="110"/>
      <c r="D5063" s="406" t="s">
        <v>65</v>
      </c>
      <c r="E5063" s="13" t="s">
        <v>66</v>
      </c>
      <c r="F5063" s="14"/>
      <c r="G5063" s="15"/>
      <c r="H5063" s="451"/>
      <c r="I5063" s="412">
        <f>IF(AND(E5063&lt;&gt;"",G5063&lt;&gt;""),IF(D5063="",IF(G5063="OH",VLOOKUP(E5063,UPAH!$C$4:$H$31,7,0),VLOOKUP(E5063,#REF!,4,0)),0),0)</f>
        <v>0</v>
      </c>
      <c r="J5063" s="16">
        <f>H5063*I5063</f>
        <v>0</v>
      </c>
    </row>
    <row r="5064" spans="1:10" ht="13.5" thickBot="1">
      <c r="A5064" s="27"/>
      <c r="B5064" s="110"/>
      <c r="D5064" s="417"/>
      <c r="E5064" s="418"/>
      <c r="F5064" s="418"/>
      <c r="G5064" s="419"/>
      <c r="H5064" s="420" t="s">
        <v>67</v>
      </c>
      <c r="I5064" s="421"/>
      <c r="J5064" s="396">
        <f>J5063</f>
        <v>0</v>
      </c>
    </row>
    <row r="5065" spans="1:10" ht="13">
      <c r="A5065" s="27"/>
      <c r="B5065" s="110"/>
      <c r="D5065" s="444" t="s">
        <v>68</v>
      </c>
      <c r="E5065" s="445" t="s">
        <v>69</v>
      </c>
      <c r="F5065" s="446"/>
      <c r="G5065" s="447"/>
      <c r="H5065" s="448"/>
      <c r="I5065" s="449">
        <f>IF(AND(E5065&lt;&gt;"",G5065&lt;&gt;""),IF(D5065="",IF(G5065="OH",VLOOKUP(E5065,UPAH!$C$4:$H$31,7,0),VLOOKUP(E5065,#REF!,4,0)),0),0)</f>
        <v>0</v>
      </c>
      <c r="J5065" s="16">
        <f>SUM(J5054:J5064)/2</f>
        <v>0</v>
      </c>
    </row>
    <row r="5066" spans="1:10" ht="13.5" thickBot="1">
      <c r="A5066" s="27"/>
      <c r="B5066" s="110"/>
      <c r="D5066" s="431" t="s">
        <v>70</v>
      </c>
      <c r="E5066" s="432" t="s">
        <v>477</v>
      </c>
      <c r="F5066" s="433"/>
      <c r="G5066" s="434"/>
      <c r="H5066" s="22">
        <v>0.1</v>
      </c>
      <c r="I5066" s="436"/>
      <c r="J5066" s="430">
        <f>H5066*J5065</f>
        <v>0</v>
      </c>
    </row>
    <row r="5067" spans="1:10" ht="13.5" thickBot="1">
      <c r="A5067" s="27"/>
      <c r="B5067" s="110"/>
      <c r="D5067" s="401" t="s">
        <v>71</v>
      </c>
      <c r="E5067" s="402" t="s">
        <v>72</v>
      </c>
      <c r="F5067" s="418"/>
      <c r="G5067" s="419"/>
      <c r="H5067" s="442"/>
      <c r="I5067" s="421">
        <f>IF(AND(E5067&lt;&gt;"",G5067&lt;&gt;""),IF(D5067="",IF(G5067="OH",VLOOKUP(E5067,UPAH!$C$4:$H$31,7,0),VLOOKUP(E5067,#REF!,4,0)),0),0)</f>
        <v>0</v>
      </c>
      <c r="J5067" s="396">
        <f>ROUNDDOWN(J5065+J5066,0)</f>
        <v>0</v>
      </c>
    </row>
    <row r="5068" spans="1:10" ht="13">
      <c r="A5068" s="27"/>
      <c r="B5068" s="110"/>
      <c r="E5068" s="11"/>
      <c r="H5068" s="443"/>
    </row>
    <row r="5069" spans="1:10" s="27" customFormat="1" ht="13">
      <c r="B5069" s="110"/>
      <c r="C5069" s="452" t="s">
        <v>1838</v>
      </c>
      <c r="G5069" s="399"/>
      <c r="H5069" s="453"/>
    </row>
    <row r="5070" spans="1:10" ht="13.5" thickBot="1">
      <c r="A5070" s="27"/>
      <c r="B5070" s="110"/>
      <c r="C5070" s="10" t="s">
        <v>1028</v>
      </c>
      <c r="D5070" s="11" t="s">
        <v>1027</v>
      </c>
      <c r="H5070" s="443"/>
    </row>
    <row r="5071" spans="1:10" ht="13.5" thickBot="1">
      <c r="A5071" s="27"/>
      <c r="B5071" s="110"/>
      <c r="D5071" s="401" t="s">
        <v>40</v>
      </c>
      <c r="E5071" s="402" t="s">
        <v>41</v>
      </c>
      <c r="F5071" s="402" t="s">
        <v>42</v>
      </c>
      <c r="G5071" s="403" t="s">
        <v>43</v>
      </c>
      <c r="H5071" s="404" t="s">
        <v>44</v>
      </c>
      <c r="I5071" s="402" t="s">
        <v>474</v>
      </c>
      <c r="J5071" s="405" t="s">
        <v>475</v>
      </c>
    </row>
    <row r="5072" spans="1:10" ht="13">
      <c r="A5072" s="27"/>
      <c r="B5072" s="110"/>
      <c r="D5072" s="444" t="s">
        <v>45</v>
      </c>
      <c r="E5072" s="445" t="s">
        <v>46</v>
      </c>
      <c r="F5072" s="446"/>
      <c r="G5072" s="447"/>
      <c r="H5072" s="448"/>
      <c r="I5072" s="449"/>
      <c r="J5072" s="450"/>
    </row>
    <row r="5073" spans="1:10" ht="13">
      <c r="A5073" s="27"/>
      <c r="B5073" s="110"/>
      <c r="D5073" s="409"/>
      <c r="E5073" s="13" t="s">
        <v>47</v>
      </c>
      <c r="F5073" s="13" t="s">
        <v>1918</v>
      </c>
      <c r="G5073" s="410" t="s">
        <v>48</v>
      </c>
      <c r="H5073" s="411">
        <v>0.03</v>
      </c>
      <c r="I5073" s="412">
        <f>IF(AND(E5073&lt;&gt;"",G5073&lt;&gt;""),IF(D5073="",IF(G5073="OH",VLOOKUP(F5073,UPAH!$B$4:$H$101,7,0),VLOOKUP(F5073,#REF!,4,0)),0),0)</f>
        <v>0</v>
      </c>
      <c r="J5073" s="16">
        <f>H5073*I5073</f>
        <v>0</v>
      </c>
    </row>
    <row r="5074" spans="1:10" ht="13">
      <c r="A5074" s="27"/>
      <c r="B5074" s="110"/>
      <c r="D5074" s="409"/>
      <c r="E5074" s="13" t="s">
        <v>49</v>
      </c>
      <c r="F5074" s="13" t="s">
        <v>1922</v>
      </c>
      <c r="G5074" s="410" t="s">
        <v>48</v>
      </c>
      <c r="H5074" s="411">
        <v>7.0000000000000007E-2</v>
      </c>
      <c r="I5074" s="412">
        <f>IF(AND(E5074&lt;&gt;"",G5074&lt;&gt;""),IF(D5074="",IF(G5074="OH",VLOOKUP(F5074,UPAH!$B$4:$H$101,7,0),VLOOKUP(F5074,#REF!,4,0)),0),0)</f>
        <v>0</v>
      </c>
      <c r="J5074" s="16">
        <f>H5074*I5074</f>
        <v>0</v>
      </c>
    </row>
    <row r="5075" spans="1:10" ht="13">
      <c r="A5075" s="27"/>
      <c r="B5075" s="110"/>
      <c r="D5075" s="409"/>
      <c r="E5075" s="13" t="s">
        <v>50</v>
      </c>
      <c r="F5075" s="13" t="s">
        <v>1928</v>
      </c>
      <c r="G5075" s="410" t="s">
        <v>48</v>
      </c>
      <c r="H5075" s="411">
        <v>7.0000000000000001E-3</v>
      </c>
      <c r="I5075" s="412">
        <f>IF(AND(E5075&lt;&gt;"",G5075&lt;&gt;""),IF(D5075="",IF(G5075="OH",VLOOKUP(F5075,UPAH!$B$4:$H$101,7,0),VLOOKUP(F5075,#REF!,4,0)),0),0)</f>
        <v>0</v>
      </c>
      <c r="J5075" s="16">
        <f>H5075*I5075</f>
        <v>0</v>
      </c>
    </row>
    <row r="5076" spans="1:10" ht="13.5" thickBot="1">
      <c r="A5076" s="27"/>
      <c r="B5076" s="110"/>
      <c r="D5076" s="409"/>
      <c r="E5076" s="13" t="s">
        <v>51</v>
      </c>
      <c r="F5076" s="13" t="s">
        <v>1929</v>
      </c>
      <c r="G5076" s="410" t="s">
        <v>48</v>
      </c>
      <c r="H5076" s="411">
        <v>4.0000000000000001E-3</v>
      </c>
      <c r="I5076" s="412">
        <f>IF(AND(E5076&lt;&gt;"",G5076&lt;&gt;""),IF(D5076="",IF(G5076="OH",VLOOKUP(F5076,UPAH!$B$4:$H$101,7,0),VLOOKUP(F5076,#REF!,4,0)),0),0)</f>
        <v>0</v>
      </c>
      <c r="J5076" s="16">
        <f>H5076*I5076</f>
        <v>0</v>
      </c>
    </row>
    <row r="5077" spans="1:10" ht="13.5" thickBot="1">
      <c r="A5077" s="27"/>
      <c r="B5077" s="110"/>
      <c r="D5077" s="417"/>
      <c r="E5077" s="418"/>
      <c r="F5077" s="418"/>
      <c r="G5077" s="419"/>
      <c r="H5077" s="420" t="s">
        <v>52</v>
      </c>
      <c r="I5077" s="421"/>
      <c r="J5077" s="396">
        <f>SUM(J5073:J5076)</f>
        <v>0</v>
      </c>
    </row>
    <row r="5078" spans="1:10" ht="13">
      <c r="A5078" s="27"/>
      <c r="B5078" s="110"/>
      <c r="D5078" s="406" t="s">
        <v>53</v>
      </c>
      <c r="E5078" s="13" t="s">
        <v>54</v>
      </c>
      <c r="F5078" s="14"/>
      <c r="G5078" s="15"/>
      <c r="H5078" s="451"/>
      <c r="I5078" s="412"/>
      <c r="J5078" s="16"/>
    </row>
    <row r="5079" spans="1:10" ht="13">
      <c r="A5079" s="27"/>
      <c r="B5079" s="110"/>
      <c r="D5079" s="409"/>
      <c r="E5079" s="13" t="s">
        <v>173</v>
      </c>
      <c r="F5079" s="14"/>
      <c r="G5079" s="410" t="s">
        <v>376</v>
      </c>
      <c r="H5079" s="411">
        <v>1.1000000000000001</v>
      </c>
      <c r="I5079" s="412">
        <f>'BAHAN '!G212</f>
        <v>0</v>
      </c>
      <c r="J5079" s="16">
        <f>H5079*I5079</f>
        <v>0</v>
      </c>
    </row>
    <row r="5080" spans="1:10" ht="13.5" thickBot="1">
      <c r="A5080" s="27"/>
      <c r="B5080" s="110"/>
      <c r="D5080" s="409"/>
      <c r="E5080" s="13" t="s">
        <v>174</v>
      </c>
      <c r="F5080" s="14"/>
      <c r="G5080" s="410" t="s">
        <v>93</v>
      </c>
      <c r="H5080" s="411">
        <v>0.01</v>
      </c>
      <c r="I5080" s="412">
        <f>'BAHAN '!G133</f>
        <v>0</v>
      </c>
      <c r="J5080" s="16">
        <f>H5080*I5080</f>
        <v>0</v>
      </c>
    </row>
    <row r="5081" spans="1:10" ht="13.5" thickBot="1">
      <c r="A5081" s="27"/>
      <c r="B5081" s="110"/>
      <c r="D5081" s="417"/>
      <c r="E5081" s="418"/>
      <c r="F5081" s="418"/>
      <c r="G5081" s="419"/>
      <c r="H5081" s="420" t="s">
        <v>64</v>
      </c>
      <c r="I5081" s="421"/>
      <c r="J5081" s="396">
        <f>SUM(J5079:J5080)</f>
        <v>0</v>
      </c>
    </row>
    <row r="5082" spans="1:10" ht="13.5" thickBot="1">
      <c r="A5082" s="27"/>
      <c r="B5082" s="110"/>
      <c r="D5082" s="406" t="s">
        <v>65</v>
      </c>
      <c r="E5082" s="13" t="s">
        <v>66</v>
      </c>
      <c r="F5082" s="14"/>
      <c r="G5082" s="15"/>
      <c r="H5082" s="451"/>
      <c r="I5082" s="412">
        <f>IF(AND(E5082&lt;&gt;"",G5082&lt;&gt;""),IF(D5082="",IF(G5082="OH",VLOOKUP(E5082,UPAH!$C$4:$H$31,7,0),VLOOKUP(E5082,#REF!,4,0)),0),0)</f>
        <v>0</v>
      </c>
      <c r="J5082" s="16">
        <f>H5082*I5082</f>
        <v>0</v>
      </c>
    </row>
    <row r="5083" spans="1:10" ht="13.5" thickBot="1">
      <c r="A5083" s="27"/>
      <c r="B5083" s="110"/>
      <c r="D5083" s="417"/>
      <c r="E5083" s="418"/>
      <c r="F5083" s="418"/>
      <c r="G5083" s="419"/>
      <c r="H5083" s="420" t="s">
        <v>67</v>
      </c>
      <c r="I5083" s="421"/>
      <c r="J5083" s="396">
        <f>J5082</f>
        <v>0</v>
      </c>
    </row>
    <row r="5084" spans="1:10" ht="13">
      <c r="A5084" s="27"/>
      <c r="B5084" s="110"/>
      <c r="D5084" s="444" t="s">
        <v>68</v>
      </c>
      <c r="E5084" s="445" t="s">
        <v>69</v>
      </c>
      <c r="F5084" s="446"/>
      <c r="G5084" s="447"/>
      <c r="H5084" s="448"/>
      <c r="I5084" s="449">
        <f>IF(AND(E5084&lt;&gt;"",G5084&lt;&gt;""),IF(D5084="",IF(G5084="OH",VLOOKUP(E5084,UPAH!$C$4:$H$31,7,0),VLOOKUP(E5084,#REF!,4,0)),0),0)</f>
        <v>0</v>
      </c>
      <c r="J5084" s="16">
        <f>SUM(J5073:J5083)/2</f>
        <v>0</v>
      </c>
    </row>
    <row r="5085" spans="1:10" ht="13.5" thickBot="1">
      <c r="A5085" s="27"/>
      <c r="B5085" s="110"/>
      <c r="D5085" s="431" t="s">
        <v>70</v>
      </c>
      <c r="E5085" s="432" t="s">
        <v>477</v>
      </c>
      <c r="F5085" s="433"/>
      <c r="G5085" s="434"/>
      <c r="H5085" s="22">
        <v>0.1</v>
      </c>
      <c r="I5085" s="436"/>
      <c r="J5085" s="430">
        <f>H5085*J5084</f>
        <v>0</v>
      </c>
    </row>
    <row r="5086" spans="1:10" ht="13.5" thickBot="1">
      <c r="A5086" s="27"/>
      <c r="B5086" s="110"/>
      <c r="D5086" s="401" t="s">
        <v>71</v>
      </c>
      <c r="E5086" s="402" t="s">
        <v>72</v>
      </c>
      <c r="F5086" s="418"/>
      <c r="G5086" s="419"/>
      <c r="H5086" s="442"/>
      <c r="I5086" s="421">
        <f>IF(AND(E5086&lt;&gt;"",G5086&lt;&gt;""),IF(D5086="",IF(G5086="OH",VLOOKUP(E5086,UPAH!$C$4:$H$31,7,0),VLOOKUP(E5086,#REF!,4,0)),0),0)</f>
        <v>0</v>
      </c>
      <c r="J5086" s="396">
        <f>ROUNDDOWN(J5084+J5085,0)</f>
        <v>0</v>
      </c>
    </row>
    <row r="5087" spans="1:10" ht="13">
      <c r="A5087" s="27"/>
      <c r="B5087" s="110"/>
      <c r="D5087" s="11"/>
      <c r="E5087" s="11"/>
      <c r="H5087" s="443"/>
    </row>
    <row r="5088" spans="1:10" ht="13.5" thickBot="1">
      <c r="A5088" s="27"/>
      <c r="B5088" s="110"/>
      <c r="C5088" s="11" t="s">
        <v>1760</v>
      </c>
      <c r="D5088" s="10" t="s">
        <v>1761</v>
      </c>
      <c r="H5088" s="443"/>
    </row>
    <row r="5089" spans="1:10" ht="13.5" thickBot="1">
      <c r="A5089" s="27"/>
      <c r="B5089" s="110"/>
      <c r="D5089" s="401" t="s">
        <v>40</v>
      </c>
      <c r="E5089" s="402" t="s">
        <v>41</v>
      </c>
      <c r="F5089" s="402" t="s">
        <v>42</v>
      </c>
      <c r="G5089" s="403" t="s">
        <v>43</v>
      </c>
      <c r="H5089" s="404" t="s">
        <v>44</v>
      </c>
      <c r="I5089" s="402" t="s">
        <v>474</v>
      </c>
      <c r="J5089" s="405" t="s">
        <v>475</v>
      </c>
    </row>
    <row r="5090" spans="1:10" ht="13">
      <c r="A5090" s="27"/>
      <c r="B5090" s="110"/>
      <c r="D5090" s="406" t="s">
        <v>45</v>
      </c>
      <c r="E5090" s="13" t="s">
        <v>46</v>
      </c>
      <c r="F5090" s="14"/>
      <c r="G5090" s="15"/>
      <c r="H5090" s="451"/>
      <c r="I5090" s="412"/>
      <c r="J5090" s="16"/>
    </row>
    <row r="5091" spans="1:10" ht="13">
      <c r="A5091" s="27"/>
      <c r="B5091" s="110"/>
      <c r="D5091" s="409"/>
      <c r="E5091" s="13" t="s">
        <v>47</v>
      </c>
      <c r="F5091" s="13" t="s">
        <v>1918</v>
      </c>
      <c r="G5091" s="410" t="s">
        <v>48</v>
      </c>
      <c r="H5091" s="411">
        <v>0.12</v>
      </c>
      <c r="I5091" s="412">
        <f>IF(AND(E5091&lt;&gt;"",G5091&lt;&gt;""),IF(D5091="",IF(G5091="OH",VLOOKUP(F5091,UPAH!$B$4:$H$101,7,0),VLOOKUP(F5091,#REF!,4,0)),0),0)</f>
        <v>0</v>
      </c>
      <c r="J5091" s="16">
        <f>H5091*I5091</f>
        <v>0</v>
      </c>
    </row>
    <row r="5092" spans="1:10" ht="13">
      <c r="A5092" s="27"/>
      <c r="B5092" s="110"/>
      <c r="D5092" s="409"/>
      <c r="E5092" s="13" t="s">
        <v>49</v>
      </c>
      <c r="F5092" s="13" t="s">
        <v>1922</v>
      </c>
      <c r="G5092" s="410" t="s">
        <v>48</v>
      </c>
      <c r="H5092" s="411">
        <v>0.12</v>
      </c>
      <c r="I5092" s="412">
        <f>IF(AND(E5092&lt;&gt;"",G5092&lt;&gt;""),IF(D5092="",IF(G5092="OH",VLOOKUP(F5092,UPAH!$B$4:$H$101,7,0),VLOOKUP(F5092,#REF!,4,0)),0),0)</f>
        <v>0</v>
      </c>
      <c r="J5092" s="16">
        <f>H5092*I5092</f>
        <v>0</v>
      </c>
    </row>
    <row r="5093" spans="1:10" ht="13">
      <c r="A5093" s="27"/>
      <c r="B5093" s="110"/>
      <c r="D5093" s="409"/>
      <c r="E5093" s="13" t="s">
        <v>50</v>
      </c>
      <c r="F5093" s="13" t="s">
        <v>1928</v>
      </c>
      <c r="G5093" s="410" t="s">
        <v>48</v>
      </c>
      <c r="H5093" s="411">
        <v>1.2E-2</v>
      </c>
      <c r="I5093" s="412">
        <f>IF(AND(E5093&lt;&gt;"",G5093&lt;&gt;""),IF(D5093="",IF(G5093="OH",VLOOKUP(F5093,UPAH!$B$4:$H$101,7,0),VLOOKUP(F5093,#REF!,4,0)),0),0)</f>
        <v>0</v>
      </c>
      <c r="J5093" s="16">
        <f>H5093*I5093</f>
        <v>0</v>
      </c>
    </row>
    <row r="5094" spans="1:10" ht="13.5" thickBot="1">
      <c r="A5094" s="27"/>
      <c r="B5094" s="110"/>
      <c r="D5094" s="409"/>
      <c r="E5094" s="13" t="s">
        <v>51</v>
      </c>
      <c r="F5094" s="13" t="s">
        <v>1929</v>
      </c>
      <c r="G5094" s="410" t="s">
        <v>48</v>
      </c>
      <c r="H5094" s="411">
        <v>6.0000000000000001E-3</v>
      </c>
      <c r="I5094" s="412">
        <f>IF(AND(E5094&lt;&gt;"",G5094&lt;&gt;""),IF(D5094="",IF(G5094="OH",VLOOKUP(F5094,UPAH!$B$4:$H$101,7,0),VLOOKUP(F5094,#REF!,4,0)),0),0)</f>
        <v>0</v>
      </c>
      <c r="J5094" s="16">
        <f>H5094*I5094</f>
        <v>0</v>
      </c>
    </row>
    <row r="5095" spans="1:10" ht="13.5" thickBot="1">
      <c r="A5095" s="27"/>
      <c r="B5095" s="110"/>
      <c r="D5095" s="417"/>
      <c r="E5095" s="418"/>
      <c r="F5095" s="418"/>
      <c r="G5095" s="419"/>
      <c r="H5095" s="420" t="s">
        <v>52</v>
      </c>
      <c r="I5095" s="421"/>
      <c r="J5095" s="396">
        <f>SUM(J5091:J5094)</f>
        <v>0</v>
      </c>
    </row>
    <row r="5096" spans="1:10" ht="13">
      <c r="A5096" s="27"/>
      <c r="B5096" s="110"/>
      <c r="D5096" s="406" t="s">
        <v>53</v>
      </c>
      <c r="E5096" s="13" t="s">
        <v>54</v>
      </c>
      <c r="F5096" s="14"/>
      <c r="G5096" s="15"/>
      <c r="H5096" s="451"/>
      <c r="I5096" s="412"/>
      <c r="J5096" s="16"/>
    </row>
    <row r="5097" spans="1:10" ht="13">
      <c r="A5097" s="27"/>
      <c r="B5097" s="110"/>
      <c r="D5097" s="409"/>
      <c r="E5097" s="13" t="s">
        <v>1897</v>
      </c>
      <c r="F5097" s="14"/>
      <c r="G5097" s="410" t="s">
        <v>175</v>
      </c>
      <c r="H5097" s="411">
        <v>12</v>
      </c>
      <c r="I5097" s="412">
        <f>'BAHAN '!G989</f>
        <v>0</v>
      </c>
      <c r="J5097" s="16">
        <f>H5097*I5097</f>
        <v>0</v>
      </c>
    </row>
    <row r="5098" spans="1:10" ht="13.5" thickBot="1">
      <c r="A5098" s="27"/>
      <c r="B5098" s="110"/>
      <c r="D5098" s="409"/>
      <c r="E5098" s="13" t="s">
        <v>174</v>
      </c>
      <c r="F5098" s="14"/>
      <c r="G5098" s="410" t="s">
        <v>93</v>
      </c>
      <c r="H5098" s="411">
        <v>0.05</v>
      </c>
      <c r="I5098" s="412">
        <f>'BAHAN '!G133</f>
        <v>0</v>
      </c>
      <c r="J5098" s="16">
        <f>H5098*I5098</f>
        <v>0</v>
      </c>
    </row>
    <row r="5099" spans="1:10" ht="13.5" thickBot="1">
      <c r="A5099" s="27"/>
      <c r="B5099" s="110"/>
      <c r="D5099" s="417"/>
      <c r="E5099" s="418"/>
      <c r="F5099" s="418"/>
      <c r="G5099" s="419"/>
      <c r="H5099" s="420" t="s">
        <v>64</v>
      </c>
      <c r="I5099" s="421"/>
      <c r="J5099" s="396">
        <f>SUM(J5097:J5098)</f>
        <v>0</v>
      </c>
    </row>
    <row r="5100" spans="1:10" ht="13.5" thickBot="1">
      <c r="A5100" s="27"/>
      <c r="B5100" s="110"/>
      <c r="D5100" s="406" t="s">
        <v>65</v>
      </c>
      <c r="E5100" s="13" t="s">
        <v>66</v>
      </c>
      <c r="F5100" s="14"/>
      <c r="G5100" s="15"/>
      <c r="H5100" s="451"/>
      <c r="I5100" s="412">
        <f>IF(AND(E5100&lt;&gt;"",G5100&lt;&gt;""),IF(D5100="",IF(G5100="OH",VLOOKUP(E5100,UPAH!$C$4:$H$31,7,0),VLOOKUP(E5100,#REF!,4,0)),0),0)</f>
        <v>0</v>
      </c>
      <c r="J5100" s="16">
        <f>H5100*I5100</f>
        <v>0</v>
      </c>
    </row>
    <row r="5101" spans="1:10" ht="13.5" thickBot="1">
      <c r="A5101" s="27"/>
      <c r="B5101" s="110"/>
      <c r="D5101" s="417"/>
      <c r="E5101" s="418"/>
      <c r="F5101" s="418"/>
      <c r="G5101" s="419"/>
      <c r="H5101" s="420" t="s">
        <v>67</v>
      </c>
      <c r="I5101" s="421"/>
      <c r="J5101" s="396">
        <f>J5100</f>
        <v>0</v>
      </c>
    </row>
    <row r="5102" spans="1:10" ht="13">
      <c r="A5102" s="27"/>
      <c r="B5102" s="110"/>
      <c r="D5102" s="444" t="s">
        <v>68</v>
      </c>
      <c r="E5102" s="445" t="s">
        <v>69</v>
      </c>
      <c r="F5102" s="446"/>
      <c r="G5102" s="447"/>
      <c r="H5102" s="448"/>
      <c r="I5102" s="449">
        <f>IF(AND(E5102&lt;&gt;"",G5102&lt;&gt;""),IF(D5102="",IF(G5102="OH",VLOOKUP(E5102,UPAH!$C$4:$H$31,7,0),VLOOKUP(E5102,#REF!,4,0)),0),0)</f>
        <v>0</v>
      </c>
      <c r="J5102" s="16">
        <f>SUM(J5091:J5101)/2</f>
        <v>0</v>
      </c>
    </row>
    <row r="5103" spans="1:10" ht="13.5" thickBot="1">
      <c r="A5103" s="27"/>
      <c r="B5103" s="110"/>
      <c r="D5103" s="431" t="s">
        <v>70</v>
      </c>
      <c r="E5103" s="432" t="s">
        <v>477</v>
      </c>
      <c r="F5103" s="433"/>
      <c r="G5103" s="434"/>
      <c r="H5103" s="22">
        <v>0.1</v>
      </c>
      <c r="I5103" s="436"/>
      <c r="J5103" s="430">
        <f>H5103*J5102</f>
        <v>0</v>
      </c>
    </row>
    <row r="5104" spans="1:10" ht="13.5" thickBot="1">
      <c r="A5104" s="27"/>
      <c r="B5104" s="110"/>
      <c r="D5104" s="401" t="s">
        <v>71</v>
      </c>
      <c r="E5104" s="402" t="s">
        <v>72</v>
      </c>
      <c r="F5104" s="418"/>
      <c r="G5104" s="419"/>
      <c r="H5104" s="442"/>
      <c r="I5104" s="421">
        <f>IF(AND(E5104&lt;&gt;"",G5104&lt;&gt;""),IF(D5104="",IF(G5104="OH",VLOOKUP(E5104,UPAH!$C$4:$H$31,7,0),VLOOKUP(E5104,#REF!,4,0)),0),0)</f>
        <v>0</v>
      </c>
      <c r="J5104" s="396">
        <f>ROUNDDOWN(J5102+J5103,0)</f>
        <v>0</v>
      </c>
    </row>
    <row r="5105" spans="1:10" ht="13">
      <c r="A5105" s="27"/>
      <c r="B5105" s="110"/>
      <c r="D5105" s="11"/>
      <c r="E5105" s="11"/>
      <c r="H5105" s="443"/>
    </row>
    <row r="5106" spans="1:10" ht="13.5" thickBot="1">
      <c r="A5106" s="27"/>
      <c r="B5106" s="110"/>
      <c r="C5106" s="11" t="s">
        <v>1762</v>
      </c>
      <c r="D5106" s="10" t="s">
        <v>1763</v>
      </c>
      <c r="H5106" s="443"/>
    </row>
    <row r="5107" spans="1:10" ht="13.5" thickBot="1">
      <c r="A5107" s="27"/>
      <c r="B5107" s="110"/>
      <c r="D5107" s="401" t="s">
        <v>40</v>
      </c>
      <c r="E5107" s="402" t="s">
        <v>41</v>
      </c>
      <c r="F5107" s="402" t="s">
        <v>42</v>
      </c>
      <c r="G5107" s="403" t="s">
        <v>43</v>
      </c>
      <c r="H5107" s="404" t="s">
        <v>44</v>
      </c>
      <c r="I5107" s="402" t="s">
        <v>474</v>
      </c>
      <c r="J5107" s="405" t="s">
        <v>475</v>
      </c>
    </row>
    <row r="5108" spans="1:10" ht="13">
      <c r="A5108" s="27"/>
      <c r="B5108" s="110"/>
      <c r="D5108" s="406" t="s">
        <v>45</v>
      </c>
      <c r="E5108" s="13" t="s">
        <v>46</v>
      </c>
      <c r="F5108" s="14"/>
      <c r="G5108" s="15"/>
      <c r="H5108" s="451"/>
      <c r="I5108" s="412"/>
      <c r="J5108" s="16"/>
    </row>
    <row r="5109" spans="1:10" ht="13">
      <c r="A5109" s="27"/>
      <c r="B5109" s="110"/>
      <c r="D5109" s="409"/>
      <c r="E5109" s="13" t="s">
        <v>47</v>
      </c>
      <c r="F5109" s="13" t="s">
        <v>1918</v>
      </c>
      <c r="G5109" s="410" t="s">
        <v>48</v>
      </c>
      <c r="H5109" s="411">
        <v>0.12</v>
      </c>
      <c r="I5109" s="412">
        <f>IF(AND(E5109&lt;&gt;"",G5109&lt;&gt;""),IF(D5109="",IF(G5109="OH",VLOOKUP(F5109,UPAH!$B$4:$H$101,7,0),VLOOKUP(F5109,#REF!,4,0)),0),0)</f>
        <v>0</v>
      </c>
      <c r="J5109" s="16">
        <f>H5109*I5109</f>
        <v>0</v>
      </c>
    </row>
    <row r="5110" spans="1:10" ht="13">
      <c r="A5110" s="27"/>
      <c r="B5110" s="110"/>
      <c r="D5110" s="409"/>
      <c r="E5110" s="13" t="s">
        <v>49</v>
      </c>
      <c r="F5110" s="13" t="s">
        <v>1922</v>
      </c>
      <c r="G5110" s="410" t="s">
        <v>48</v>
      </c>
      <c r="H5110" s="411">
        <v>0.12</v>
      </c>
      <c r="I5110" s="412">
        <f>IF(AND(E5110&lt;&gt;"",G5110&lt;&gt;""),IF(D5110="",IF(G5110="OH",VLOOKUP(F5110,UPAH!$B$4:$H$101,7,0),VLOOKUP(F5110,#REF!,4,0)),0),0)</f>
        <v>0</v>
      </c>
      <c r="J5110" s="16">
        <f>H5110*I5110</f>
        <v>0</v>
      </c>
    </row>
    <row r="5111" spans="1:10" ht="13">
      <c r="A5111" s="27"/>
      <c r="B5111" s="110"/>
      <c r="D5111" s="409"/>
      <c r="E5111" s="13" t="s">
        <v>50</v>
      </c>
      <c r="F5111" s="13" t="s">
        <v>1928</v>
      </c>
      <c r="G5111" s="410" t="s">
        <v>48</v>
      </c>
      <c r="H5111" s="411">
        <v>1.2E-2</v>
      </c>
      <c r="I5111" s="412">
        <f>IF(AND(E5111&lt;&gt;"",G5111&lt;&gt;""),IF(D5111="",IF(G5111="OH",VLOOKUP(F5111,UPAH!$B$4:$H$101,7,0),VLOOKUP(F5111,#REF!,4,0)),0),0)</f>
        <v>0</v>
      </c>
      <c r="J5111" s="16">
        <f>H5111*I5111</f>
        <v>0</v>
      </c>
    </row>
    <row r="5112" spans="1:10" ht="13.5" thickBot="1">
      <c r="A5112" s="27"/>
      <c r="B5112" s="110"/>
      <c r="D5112" s="409"/>
      <c r="E5112" s="13" t="s">
        <v>51</v>
      </c>
      <c r="F5112" s="13" t="s">
        <v>1929</v>
      </c>
      <c r="G5112" s="410" t="s">
        <v>48</v>
      </c>
      <c r="H5112" s="411">
        <v>6.0000000000000001E-3</v>
      </c>
      <c r="I5112" s="412">
        <f>IF(AND(E5112&lt;&gt;"",G5112&lt;&gt;""),IF(D5112="",IF(G5112="OH",VLOOKUP(F5112,UPAH!$B$4:$H$101,7,0),VLOOKUP(F5112,#REF!,4,0)),0),0)</f>
        <v>0</v>
      </c>
      <c r="J5112" s="16">
        <f>H5112*I5112</f>
        <v>0</v>
      </c>
    </row>
    <row r="5113" spans="1:10" ht="13.5" thickBot="1">
      <c r="A5113" s="27"/>
      <c r="B5113" s="110"/>
      <c r="D5113" s="417"/>
      <c r="E5113" s="418"/>
      <c r="F5113" s="418"/>
      <c r="G5113" s="419"/>
      <c r="H5113" s="420" t="s">
        <v>52</v>
      </c>
      <c r="I5113" s="421"/>
      <c r="J5113" s="396">
        <f>SUM(J5109:J5112)</f>
        <v>0</v>
      </c>
    </row>
    <row r="5114" spans="1:10" ht="13">
      <c r="A5114" s="27"/>
      <c r="B5114" s="110"/>
      <c r="D5114" s="406" t="s">
        <v>53</v>
      </c>
      <c r="E5114" s="13" t="s">
        <v>54</v>
      </c>
      <c r="F5114" s="14"/>
      <c r="G5114" s="15"/>
      <c r="H5114" s="451"/>
      <c r="I5114" s="412"/>
      <c r="J5114" s="16"/>
    </row>
    <row r="5115" spans="1:10" ht="13">
      <c r="A5115" s="27"/>
      <c r="B5115" s="110"/>
      <c r="D5115" s="409"/>
      <c r="E5115" s="13" t="s">
        <v>1896</v>
      </c>
      <c r="F5115" s="14"/>
      <c r="G5115" s="410" t="s">
        <v>175</v>
      </c>
      <c r="H5115" s="411">
        <v>5.8</v>
      </c>
      <c r="I5115" s="412">
        <f>'BAHAN '!G990</f>
        <v>0</v>
      </c>
      <c r="J5115" s="16">
        <f>H5115*I5115</f>
        <v>0</v>
      </c>
    </row>
    <row r="5116" spans="1:10" ht="13.5" thickBot="1">
      <c r="A5116" s="27"/>
      <c r="B5116" s="110"/>
      <c r="D5116" s="409"/>
      <c r="E5116" s="13" t="s">
        <v>174</v>
      </c>
      <c r="F5116" s="14"/>
      <c r="G5116" s="410" t="s">
        <v>93</v>
      </c>
      <c r="H5116" s="411">
        <v>0.05</v>
      </c>
      <c r="I5116" s="412">
        <f>$I$5098</f>
        <v>0</v>
      </c>
      <c r="J5116" s="16">
        <f>H5116*I5116</f>
        <v>0</v>
      </c>
    </row>
    <row r="5117" spans="1:10" ht="13.5" thickBot="1">
      <c r="A5117" s="27"/>
      <c r="B5117" s="110"/>
      <c r="D5117" s="417"/>
      <c r="E5117" s="418"/>
      <c r="F5117" s="418"/>
      <c r="G5117" s="419"/>
      <c r="H5117" s="420" t="s">
        <v>64</v>
      </c>
      <c r="I5117" s="421"/>
      <c r="J5117" s="396">
        <f>SUM(J5115:J5116)</f>
        <v>0</v>
      </c>
    </row>
    <row r="5118" spans="1:10" ht="13.5" thickBot="1">
      <c r="A5118" s="27"/>
      <c r="B5118" s="110"/>
      <c r="D5118" s="406" t="s">
        <v>65</v>
      </c>
      <c r="E5118" s="13" t="s">
        <v>66</v>
      </c>
      <c r="F5118" s="14"/>
      <c r="G5118" s="15"/>
      <c r="H5118" s="451"/>
      <c r="I5118" s="412">
        <f>IF(AND(E5118&lt;&gt;"",G5118&lt;&gt;""),IF(D5118="",IF(G5118="OH",VLOOKUP(E5118,UPAH!$C$4:$H$31,7,0),VLOOKUP(E5118,#REF!,4,0)),0),0)</f>
        <v>0</v>
      </c>
      <c r="J5118" s="16">
        <f>H5118*I5118</f>
        <v>0</v>
      </c>
    </row>
    <row r="5119" spans="1:10" ht="13.5" thickBot="1">
      <c r="A5119" s="27"/>
      <c r="B5119" s="110"/>
      <c r="D5119" s="417"/>
      <c r="E5119" s="418"/>
      <c r="F5119" s="418"/>
      <c r="G5119" s="419"/>
      <c r="H5119" s="420" t="s">
        <v>67</v>
      </c>
      <c r="I5119" s="421"/>
      <c r="J5119" s="396">
        <f>J5118</f>
        <v>0</v>
      </c>
    </row>
    <row r="5120" spans="1:10" ht="13">
      <c r="A5120" s="27"/>
      <c r="B5120" s="110"/>
      <c r="D5120" s="444" t="s">
        <v>68</v>
      </c>
      <c r="E5120" s="445" t="s">
        <v>69</v>
      </c>
      <c r="F5120" s="446"/>
      <c r="G5120" s="447"/>
      <c r="H5120" s="448"/>
      <c r="I5120" s="449">
        <f>IF(AND(E5120&lt;&gt;"",G5120&lt;&gt;""),IF(D5120="",IF(G5120="OH",VLOOKUP(E5120,UPAH!$C$4:$H$31,7,0),VLOOKUP(E5120,#REF!,4,0)),0),0)</f>
        <v>0</v>
      </c>
      <c r="J5120" s="16">
        <f>SUM(J5109:J5119)/2</f>
        <v>0</v>
      </c>
    </row>
    <row r="5121" spans="1:10" ht="13.5" thickBot="1">
      <c r="A5121" s="27"/>
      <c r="B5121" s="110"/>
      <c r="D5121" s="431" t="s">
        <v>70</v>
      </c>
      <c r="E5121" s="432" t="s">
        <v>477</v>
      </c>
      <c r="F5121" s="433"/>
      <c r="G5121" s="434"/>
      <c r="H5121" s="22">
        <v>0.1</v>
      </c>
      <c r="I5121" s="436"/>
      <c r="J5121" s="430">
        <f>H5121*J5120</f>
        <v>0</v>
      </c>
    </row>
    <row r="5122" spans="1:10" ht="13.5" thickBot="1">
      <c r="A5122" s="27"/>
      <c r="B5122" s="110"/>
      <c r="D5122" s="401" t="s">
        <v>71</v>
      </c>
      <c r="E5122" s="402" t="s">
        <v>72</v>
      </c>
      <c r="F5122" s="418"/>
      <c r="G5122" s="419"/>
      <c r="H5122" s="442"/>
      <c r="I5122" s="421">
        <f>IF(AND(E5122&lt;&gt;"",G5122&lt;&gt;""),IF(D5122="",IF(G5122="OH",VLOOKUP(E5122,UPAH!$C$4:$H$31,7,0),VLOOKUP(E5122,#REF!,4,0)),0),0)</f>
        <v>0</v>
      </c>
      <c r="J5122" s="396">
        <f>ROUNDDOWN(J5120+J5121,0)</f>
        <v>0</v>
      </c>
    </row>
    <row r="5123" spans="1:10" ht="13">
      <c r="A5123" s="27"/>
      <c r="B5123" s="110"/>
      <c r="D5123" s="11"/>
      <c r="E5123" s="11"/>
      <c r="H5123" s="443"/>
    </row>
    <row r="5124" spans="1:10" ht="13.5" thickBot="1">
      <c r="A5124" s="27"/>
      <c r="B5124" s="110"/>
      <c r="C5124" s="11" t="s">
        <v>1764</v>
      </c>
      <c r="D5124" s="10" t="s">
        <v>1765</v>
      </c>
      <c r="H5124" s="443"/>
    </row>
    <row r="5125" spans="1:10" ht="13.5" thickBot="1">
      <c r="A5125" s="27"/>
      <c r="B5125" s="110"/>
      <c r="D5125" s="401" t="s">
        <v>40</v>
      </c>
      <c r="E5125" s="402" t="s">
        <v>41</v>
      </c>
      <c r="F5125" s="402" t="s">
        <v>42</v>
      </c>
      <c r="G5125" s="403" t="s">
        <v>43</v>
      </c>
      <c r="H5125" s="404" t="s">
        <v>44</v>
      </c>
      <c r="I5125" s="402" t="s">
        <v>474</v>
      </c>
      <c r="J5125" s="405" t="s">
        <v>475</v>
      </c>
    </row>
    <row r="5126" spans="1:10" ht="13">
      <c r="A5126" s="27"/>
      <c r="B5126" s="110"/>
      <c r="D5126" s="406" t="s">
        <v>45</v>
      </c>
      <c r="E5126" s="13" t="s">
        <v>46</v>
      </c>
      <c r="F5126" s="14"/>
      <c r="G5126" s="15"/>
      <c r="H5126" s="451"/>
      <c r="I5126" s="412"/>
      <c r="J5126" s="16"/>
    </row>
    <row r="5127" spans="1:10" ht="13">
      <c r="A5127" s="27"/>
      <c r="B5127" s="110"/>
      <c r="D5127" s="409"/>
      <c r="E5127" s="13" t="s">
        <v>47</v>
      </c>
      <c r="F5127" s="13" t="s">
        <v>1918</v>
      </c>
      <c r="G5127" s="410" t="s">
        <v>48</v>
      </c>
      <c r="H5127" s="411">
        <v>0.1</v>
      </c>
      <c r="I5127" s="412">
        <f>IF(AND(E5127&lt;&gt;"",G5127&lt;&gt;""),IF(D5127="",IF(G5127="OH",VLOOKUP(F5127,UPAH!$B$4:$H$101,7,0),VLOOKUP(F5127,#REF!,4,0)),0),0)</f>
        <v>0</v>
      </c>
      <c r="J5127" s="16">
        <f>H5127*I5127</f>
        <v>0</v>
      </c>
    </row>
    <row r="5128" spans="1:10" ht="13">
      <c r="A5128" s="27"/>
      <c r="B5128" s="110"/>
      <c r="D5128" s="409"/>
      <c r="E5128" s="13" t="s">
        <v>49</v>
      </c>
      <c r="F5128" s="13" t="s">
        <v>1922</v>
      </c>
      <c r="G5128" s="410" t="s">
        <v>48</v>
      </c>
      <c r="H5128" s="411">
        <v>0.1</v>
      </c>
      <c r="I5128" s="412">
        <f>IF(AND(E5128&lt;&gt;"",G5128&lt;&gt;""),IF(D5128="",IF(G5128="OH",VLOOKUP(F5128,UPAH!$B$4:$H$101,7,0),VLOOKUP(F5128,#REF!,4,0)),0),0)</f>
        <v>0</v>
      </c>
      <c r="J5128" s="16">
        <f>H5128*I5128</f>
        <v>0</v>
      </c>
    </row>
    <row r="5129" spans="1:10" ht="13">
      <c r="A5129" s="27"/>
      <c r="B5129" s="110"/>
      <c r="D5129" s="409"/>
      <c r="E5129" s="13" t="s">
        <v>50</v>
      </c>
      <c r="F5129" s="13" t="s">
        <v>1928</v>
      </c>
      <c r="G5129" s="410" t="s">
        <v>48</v>
      </c>
      <c r="H5129" s="411">
        <v>0.01</v>
      </c>
      <c r="I5129" s="412">
        <f>IF(AND(E5129&lt;&gt;"",G5129&lt;&gt;""),IF(D5129="",IF(G5129="OH",VLOOKUP(F5129,UPAH!$B$4:$H$101,7,0),VLOOKUP(F5129,#REF!,4,0)),0),0)</f>
        <v>0</v>
      </c>
      <c r="J5129" s="16">
        <f>H5129*I5129</f>
        <v>0</v>
      </c>
    </row>
    <row r="5130" spans="1:10" ht="13.5" thickBot="1">
      <c r="A5130" s="27"/>
      <c r="B5130" s="110"/>
      <c r="D5130" s="409"/>
      <c r="E5130" s="13" t="s">
        <v>51</v>
      </c>
      <c r="F5130" s="13" t="s">
        <v>1929</v>
      </c>
      <c r="G5130" s="410" t="s">
        <v>48</v>
      </c>
      <c r="H5130" s="411">
        <v>5.0000000000000001E-3</v>
      </c>
      <c r="I5130" s="412">
        <f>IF(AND(E5130&lt;&gt;"",G5130&lt;&gt;""),IF(D5130="",IF(G5130="OH",VLOOKUP(F5130,UPAH!$B$4:$H$101,7,0),VLOOKUP(F5130,#REF!,4,0)),0),0)</f>
        <v>0</v>
      </c>
      <c r="J5130" s="16">
        <f>H5130*I5130</f>
        <v>0</v>
      </c>
    </row>
    <row r="5131" spans="1:10" ht="13.5" thickBot="1">
      <c r="A5131" s="27"/>
      <c r="B5131" s="110"/>
      <c r="D5131" s="417"/>
      <c r="E5131" s="418"/>
      <c r="F5131" s="418"/>
      <c r="G5131" s="419"/>
      <c r="H5131" s="420" t="s">
        <v>52</v>
      </c>
      <c r="I5131" s="421"/>
      <c r="J5131" s="396">
        <f>SUM(J5127:J5130)</f>
        <v>0</v>
      </c>
    </row>
    <row r="5132" spans="1:10" ht="13">
      <c r="A5132" s="27"/>
      <c r="B5132" s="110"/>
      <c r="D5132" s="406" t="s">
        <v>53</v>
      </c>
      <c r="E5132" s="13" t="s">
        <v>54</v>
      </c>
      <c r="F5132" s="14"/>
      <c r="G5132" s="15"/>
      <c r="H5132" s="451"/>
      <c r="I5132" s="412"/>
      <c r="J5132" s="16"/>
    </row>
    <row r="5133" spans="1:10" ht="13">
      <c r="A5133" s="27"/>
      <c r="B5133" s="110"/>
      <c r="D5133" s="409"/>
      <c r="E5133" s="13" t="s">
        <v>180</v>
      </c>
      <c r="F5133" s="14"/>
      <c r="G5133" s="410" t="s">
        <v>175</v>
      </c>
      <c r="H5133" s="411">
        <v>1.5</v>
      </c>
      <c r="I5133" s="412">
        <f>'BAHAN '!G991</f>
        <v>0</v>
      </c>
      <c r="J5133" s="16">
        <f>H5133*I5133</f>
        <v>0</v>
      </c>
    </row>
    <row r="5134" spans="1:10" ht="13.5" thickBot="1">
      <c r="A5134" s="27"/>
      <c r="B5134" s="110"/>
      <c r="D5134" s="409"/>
      <c r="E5134" s="13" t="s">
        <v>174</v>
      </c>
      <c r="F5134" s="14"/>
      <c r="G5134" s="410" t="s">
        <v>93</v>
      </c>
      <c r="H5134" s="411">
        <v>0.05</v>
      </c>
      <c r="I5134" s="412">
        <f>$I$5098</f>
        <v>0</v>
      </c>
      <c r="J5134" s="16">
        <f>H5134*I5134</f>
        <v>0</v>
      </c>
    </row>
    <row r="5135" spans="1:10" ht="13.5" thickBot="1">
      <c r="A5135" s="27"/>
      <c r="B5135" s="110"/>
      <c r="D5135" s="417"/>
      <c r="E5135" s="418"/>
      <c r="F5135" s="418"/>
      <c r="G5135" s="419"/>
      <c r="H5135" s="420" t="s">
        <v>64</v>
      </c>
      <c r="I5135" s="421"/>
      <c r="J5135" s="396">
        <f>SUM(J5133:J5134)</f>
        <v>0</v>
      </c>
    </row>
    <row r="5136" spans="1:10" ht="13.5" thickBot="1">
      <c r="A5136" s="27"/>
      <c r="B5136" s="110"/>
      <c r="D5136" s="406" t="s">
        <v>65</v>
      </c>
      <c r="E5136" s="13" t="s">
        <v>66</v>
      </c>
      <c r="F5136" s="14"/>
      <c r="G5136" s="15"/>
      <c r="H5136" s="451"/>
      <c r="I5136" s="412">
        <f>IF(AND(E5136&lt;&gt;"",G5136&lt;&gt;""),IF(D5136="",IF(G5136="OH",VLOOKUP(E5136,UPAH!$C$4:$H$31,7,0),VLOOKUP(E5136,#REF!,4,0)),0),0)</f>
        <v>0</v>
      </c>
      <c r="J5136" s="16">
        <f>H5136*I5136</f>
        <v>0</v>
      </c>
    </row>
    <row r="5137" spans="1:10" ht="13.5" thickBot="1">
      <c r="A5137" s="27"/>
      <c r="B5137" s="110"/>
      <c r="D5137" s="417"/>
      <c r="E5137" s="418"/>
      <c r="F5137" s="418"/>
      <c r="G5137" s="419"/>
      <c r="H5137" s="420" t="s">
        <v>67</v>
      </c>
      <c r="I5137" s="421"/>
      <c r="J5137" s="396">
        <f>J5136</f>
        <v>0</v>
      </c>
    </row>
    <row r="5138" spans="1:10" ht="13">
      <c r="A5138" s="27"/>
      <c r="B5138" s="110"/>
      <c r="D5138" s="444" t="s">
        <v>68</v>
      </c>
      <c r="E5138" s="445" t="s">
        <v>69</v>
      </c>
      <c r="F5138" s="446"/>
      <c r="G5138" s="447"/>
      <c r="H5138" s="448"/>
      <c r="I5138" s="449">
        <f>IF(AND(E5138&lt;&gt;"",G5138&lt;&gt;""),IF(D5138="",IF(G5138="OH",VLOOKUP(E5138,UPAH!$C$4:$H$31,7,0),VLOOKUP(E5138,#REF!,4,0)),0),0)</f>
        <v>0</v>
      </c>
      <c r="J5138" s="16">
        <f>SUM(J5127:J5137)/2</f>
        <v>0</v>
      </c>
    </row>
    <row r="5139" spans="1:10" ht="13.5" thickBot="1">
      <c r="A5139" s="27"/>
      <c r="B5139" s="110"/>
      <c r="D5139" s="431" t="s">
        <v>70</v>
      </c>
      <c r="E5139" s="432" t="s">
        <v>477</v>
      </c>
      <c r="F5139" s="433"/>
      <c r="G5139" s="434"/>
      <c r="H5139" s="22">
        <v>0.1</v>
      </c>
      <c r="I5139" s="436"/>
      <c r="J5139" s="430">
        <f>H5139*J5138</f>
        <v>0</v>
      </c>
    </row>
    <row r="5140" spans="1:10" ht="13.5" thickBot="1">
      <c r="A5140" s="27"/>
      <c r="B5140" s="110"/>
      <c r="D5140" s="401" t="s">
        <v>71</v>
      </c>
      <c r="E5140" s="402" t="s">
        <v>72</v>
      </c>
      <c r="F5140" s="418"/>
      <c r="G5140" s="419"/>
      <c r="H5140" s="442"/>
      <c r="I5140" s="421">
        <f>IF(AND(E5140&lt;&gt;"",G5140&lt;&gt;""),IF(D5140="",IF(G5140="OH",VLOOKUP(E5140,UPAH!$C$4:$H$31,7,0),VLOOKUP(E5140,#REF!,4,0)),0),0)</f>
        <v>0</v>
      </c>
      <c r="J5140" s="396">
        <f>ROUNDDOWN(J5138+J5139,0)</f>
        <v>0</v>
      </c>
    </row>
    <row r="5141" spans="1:10" ht="13">
      <c r="A5141" s="27"/>
      <c r="B5141" s="110"/>
      <c r="D5141" s="11"/>
      <c r="E5141" s="11"/>
      <c r="H5141" s="443"/>
    </row>
    <row r="5142" spans="1:10" ht="13.5" thickBot="1">
      <c r="A5142" s="27"/>
      <c r="B5142" s="110"/>
      <c r="C5142" s="11" t="s">
        <v>1766</v>
      </c>
      <c r="D5142" s="10" t="s">
        <v>1767</v>
      </c>
      <c r="H5142" s="443"/>
    </row>
    <row r="5143" spans="1:10" ht="13.5" thickBot="1">
      <c r="A5143" s="27"/>
      <c r="B5143" s="110"/>
      <c r="D5143" s="401" t="s">
        <v>40</v>
      </c>
      <c r="E5143" s="402" t="s">
        <v>41</v>
      </c>
      <c r="F5143" s="402" t="s">
        <v>42</v>
      </c>
      <c r="G5143" s="403" t="s">
        <v>43</v>
      </c>
      <c r="H5143" s="404" t="s">
        <v>44</v>
      </c>
      <c r="I5143" s="402" t="s">
        <v>474</v>
      </c>
      <c r="J5143" s="405" t="s">
        <v>475</v>
      </c>
    </row>
    <row r="5144" spans="1:10" ht="13">
      <c r="A5144" s="27"/>
      <c r="B5144" s="110"/>
      <c r="D5144" s="406" t="s">
        <v>45</v>
      </c>
      <c r="E5144" s="13" t="s">
        <v>46</v>
      </c>
      <c r="F5144" s="14"/>
      <c r="G5144" s="15"/>
      <c r="H5144" s="451"/>
      <c r="I5144" s="412"/>
      <c r="J5144" s="16"/>
    </row>
    <row r="5145" spans="1:10" ht="13">
      <c r="A5145" s="27"/>
      <c r="B5145" s="110"/>
      <c r="D5145" s="409"/>
      <c r="E5145" s="13" t="s">
        <v>47</v>
      </c>
      <c r="F5145" s="13" t="s">
        <v>1918</v>
      </c>
      <c r="G5145" s="410" t="s">
        <v>48</v>
      </c>
      <c r="H5145" s="411">
        <v>0.1</v>
      </c>
      <c r="I5145" s="412">
        <f>IF(AND(E5145&lt;&gt;"",G5145&lt;&gt;""),IF(D5145="",IF(G5145="OH",VLOOKUP(F5145,UPAH!$B$4:$H$101,7,0),VLOOKUP(F5145,#REF!,4,0)),0),0)</f>
        <v>0</v>
      </c>
      <c r="J5145" s="16">
        <f>H5145*I5145</f>
        <v>0</v>
      </c>
    </row>
    <row r="5146" spans="1:10" ht="13">
      <c r="A5146" s="27"/>
      <c r="B5146" s="110"/>
      <c r="D5146" s="409"/>
      <c r="E5146" s="13" t="s">
        <v>49</v>
      </c>
      <c r="F5146" s="13" t="s">
        <v>1922</v>
      </c>
      <c r="G5146" s="410" t="s">
        <v>48</v>
      </c>
      <c r="H5146" s="411">
        <v>0.1</v>
      </c>
      <c r="I5146" s="412">
        <f>IF(AND(E5146&lt;&gt;"",G5146&lt;&gt;""),IF(D5146="",IF(G5146="OH",VLOOKUP(F5146,UPAH!$B$4:$H$101,7,0),VLOOKUP(F5146,#REF!,4,0)),0),0)</f>
        <v>0</v>
      </c>
      <c r="J5146" s="16">
        <f>H5146*I5146</f>
        <v>0</v>
      </c>
    </row>
    <row r="5147" spans="1:10" ht="13">
      <c r="A5147" s="27"/>
      <c r="B5147" s="110"/>
      <c r="D5147" s="409"/>
      <c r="E5147" s="13" t="s">
        <v>50</v>
      </c>
      <c r="F5147" s="13" t="s">
        <v>1928</v>
      </c>
      <c r="G5147" s="410" t="s">
        <v>48</v>
      </c>
      <c r="H5147" s="411">
        <v>0.01</v>
      </c>
      <c r="I5147" s="412">
        <f>IF(AND(E5147&lt;&gt;"",G5147&lt;&gt;""),IF(D5147="",IF(G5147="OH",VLOOKUP(F5147,UPAH!$B$4:$H$101,7,0),VLOOKUP(F5147,#REF!,4,0)),0),0)</f>
        <v>0</v>
      </c>
      <c r="J5147" s="16">
        <f>H5147*I5147</f>
        <v>0</v>
      </c>
    </row>
    <row r="5148" spans="1:10" ht="13.5" thickBot="1">
      <c r="A5148" s="27"/>
      <c r="B5148" s="110"/>
      <c r="D5148" s="409"/>
      <c r="E5148" s="13" t="s">
        <v>51</v>
      </c>
      <c r="F5148" s="13" t="s">
        <v>1929</v>
      </c>
      <c r="G5148" s="410" t="s">
        <v>48</v>
      </c>
      <c r="H5148" s="411">
        <v>5.0000000000000001E-3</v>
      </c>
      <c r="I5148" s="412">
        <f>IF(AND(E5148&lt;&gt;"",G5148&lt;&gt;""),IF(D5148="",IF(G5148="OH",VLOOKUP(F5148,UPAH!$B$4:$H$101,7,0),VLOOKUP(F5148,#REF!,4,0)),0),0)</f>
        <v>0</v>
      </c>
      <c r="J5148" s="16">
        <f>H5148*I5148</f>
        <v>0</v>
      </c>
    </row>
    <row r="5149" spans="1:10" ht="13.5" thickBot="1">
      <c r="A5149" s="27"/>
      <c r="B5149" s="110"/>
      <c r="D5149" s="417"/>
      <c r="E5149" s="418"/>
      <c r="F5149" s="418"/>
      <c r="G5149" s="419"/>
      <c r="H5149" s="420" t="s">
        <v>52</v>
      </c>
      <c r="I5149" s="421"/>
      <c r="J5149" s="396">
        <f>SUM(J5145:J5148)</f>
        <v>0</v>
      </c>
    </row>
    <row r="5150" spans="1:10" ht="13">
      <c r="A5150" s="27"/>
      <c r="B5150" s="110"/>
      <c r="D5150" s="406" t="s">
        <v>53</v>
      </c>
      <c r="E5150" s="13" t="s">
        <v>54</v>
      </c>
      <c r="F5150" s="14"/>
      <c r="G5150" s="15"/>
      <c r="H5150" s="451"/>
      <c r="I5150" s="412"/>
      <c r="J5150" s="16"/>
    </row>
    <row r="5151" spans="1:10" ht="13">
      <c r="A5151" s="27"/>
      <c r="B5151" s="110"/>
      <c r="D5151" s="409"/>
      <c r="E5151" s="13" t="s">
        <v>176</v>
      </c>
      <c r="F5151" s="14"/>
      <c r="G5151" s="410" t="s">
        <v>175</v>
      </c>
      <c r="H5151" s="411">
        <v>0.375</v>
      </c>
      <c r="I5151" s="412">
        <v>0</v>
      </c>
      <c r="J5151" s="16">
        <f>H5151*I5151</f>
        <v>0</v>
      </c>
    </row>
    <row r="5152" spans="1:10" ht="13.5" thickBot="1">
      <c r="A5152" s="27"/>
      <c r="B5152" s="110"/>
      <c r="D5152" s="409"/>
      <c r="E5152" s="13" t="s">
        <v>174</v>
      </c>
      <c r="F5152" s="14"/>
      <c r="G5152" s="410" t="s">
        <v>93</v>
      </c>
      <c r="H5152" s="411">
        <v>0.03</v>
      </c>
      <c r="I5152" s="412">
        <f>$I$5098</f>
        <v>0</v>
      </c>
      <c r="J5152" s="16">
        <f>H5152*I5152</f>
        <v>0</v>
      </c>
    </row>
    <row r="5153" spans="1:10" ht="13.5" thickBot="1">
      <c r="A5153" s="27"/>
      <c r="B5153" s="110"/>
      <c r="D5153" s="417"/>
      <c r="E5153" s="418"/>
      <c r="F5153" s="418"/>
      <c r="G5153" s="419"/>
      <c r="H5153" s="420" t="s">
        <v>64</v>
      </c>
      <c r="I5153" s="421"/>
      <c r="J5153" s="396">
        <f>SUM(J5151:J5152)</f>
        <v>0</v>
      </c>
    </row>
    <row r="5154" spans="1:10" ht="13.5" thickBot="1">
      <c r="A5154" s="27"/>
      <c r="B5154" s="110"/>
      <c r="D5154" s="406" t="s">
        <v>65</v>
      </c>
      <c r="E5154" s="13" t="s">
        <v>66</v>
      </c>
      <c r="F5154" s="14"/>
      <c r="G5154" s="15"/>
      <c r="H5154" s="451"/>
      <c r="I5154" s="412">
        <f>IF(AND(E5154&lt;&gt;"",G5154&lt;&gt;""),IF(D5154="",IF(G5154="OH",VLOOKUP(E5154,UPAH!$C$4:$H$31,7,0),VLOOKUP(E5154,#REF!,4,0)),0),0)</f>
        <v>0</v>
      </c>
      <c r="J5154" s="16">
        <f>H5154*I5154</f>
        <v>0</v>
      </c>
    </row>
    <row r="5155" spans="1:10" ht="13.5" thickBot="1">
      <c r="A5155" s="27"/>
      <c r="B5155" s="110"/>
      <c r="D5155" s="417"/>
      <c r="E5155" s="418"/>
      <c r="F5155" s="418"/>
      <c r="G5155" s="419"/>
      <c r="H5155" s="420" t="s">
        <v>67</v>
      </c>
      <c r="I5155" s="421"/>
      <c r="J5155" s="396">
        <f>J5154</f>
        <v>0</v>
      </c>
    </row>
    <row r="5156" spans="1:10" ht="13">
      <c r="A5156" s="27"/>
      <c r="B5156" s="110"/>
      <c r="D5156" s="444" t="s">
        <v>68</v>
      </c>
      <c r="E5156" s="445" t="s">
        <v>69</v>
      </c>
      <c r="F5156" s="446"/>
      <c r="G5156" s="447"/>
      <c r="H5156" s="448"/>
      <c r="I5156" s="449">
        <f>IF(AND(E5156&lt;&gt;"",G5156&lt;&gt;""),IF(D5156="",IF(G5156="OH",VLOOKUP(E5156,UPAH!$C$4:$H$31,7,0),VLOOKUP(E5156,#REF!,4,0)),0),0)</f>
        <v>0</v>
      </c>
      <c r="J5156" s="16">
        <f>SUM(J5145:J5155)/2</f>
        <v>0</v>
      </c>
    </row>
    <row r="5157" spans="1:10" ht="13.5" thickBot="1">
      <c r="A5157" s="27"/>
      <c r="B5157" s="110"/>
      <c r="D5157" s="431" t="s">
        <v>70</v>
      </c>
      <c r="E5157" s="432" t="s">
        <v>477</v>
      </c>
      <c r="F5157" s="433"/>
      <c r="G5157" s="434"/>
      <c r="H5157" s="22">
        <v>0.1</v>
      </c>
      <c r="I5157" s="436"/>
      <c r="J5157" s="430">
        <f>H5157*J5156</f>
        <v>0</v>
      </c>
    </row>
    <row r="5158" spans="1:10" ht="13.5" thickBot="1">
      <c r="A5158" s="27"/>
      <c r="B5158" s="110"/>
      <c r="D5158" s="401" t="s">
        <v>71</v>
      </c>
      <c r="E5158" s="402" t="s">
        <v>72</v>
      </c>
      <c r="F5158" s="418"/>
      <c r="G5158" s="419"/>
      <c r="H5158" s="442"/>
      <c r="I5158" s="421">
        <f>IF(AND(E5158&lt;&gt;"",G5158&lt;&gt;""),IF(D5158="",IF(G5158="OH",VLOOKUP(E5158,UPAH!$C$4:$H$31,7,0),VLOOKUP(E5158,#REF!,4,0)),0),0)</f>
        <v>0</v>
      </c>
      <c r="J5158" s="396">
        <f>ROUNDDOWN(J5156+J5157,0)</f>
        <v>0</v>
      </c>
    </row>
    <row r="5159" spans="1:10" ht="13">
      <c r="A5159" s="27"/>
      <c r="B5159" s="110"/>
      <c r="D5159" s="11"/>
      <c r="E5159" s="11"/>
      <c r="H5159" s="443"/>
    </row>
    <row r="5160" spans="1:10" ht="13.5" thickBot="1">
      <c r="A5160" s="27"/>
      <c r="B5160" s="110"/>
      <c r="C5160" s="11" t="s">
        <v>1768</v>
      </c>
      <c r="D5160" s="10" t="s">
        <v>1769</v>
      </c>
      <c r="H5160" s="443"/>
    </row>
    <row r="5161" spans="1:10" ht="13.5" thickBot="1">
      <c r="A5161" s="27"/>
      <c r="B5161" s="110"/>
      <c r="D5161" s="401" t="s">
        <v>40</v>
      </c>
      <c r="E5161" s="402" t="s">
        <v>41</v>
      </c>
      <c r="F5161" s="402" t="s">
        <v>42</v>
      </c>
      <c r="G5161" s="403" t="s">
        <v>43</v>
      </c>
      <c r="H5161" s="404" t="s">
        <v>44</v>
      </c>
      <c r="I5161" s="402" t="s">
        <v>474</v>
      </c>
      <c r="J5161" s="405" t="s">
        <v>475</v>
      </c>
    </row>
    <row r="5162" spans="1:10" ht="13">
      <c r="A5162" s="27"/>
      <c r="B5162" s="110"/>
      <c r="D5162" s="406" t="s">
        <v>45</v>
      </c>
      <c r="E5162" s="13" t="s">
        <v>46</v>
      </c>
      <c r="F5162" s="14"/>
      <c r="G5162" s="15"/>
      <c r="H5162" s="451"/>
      <c r="I5162" s="412"/>
      <c r="J5162" s="16"/>
    </row>
    <row r="5163" spans="1:10" ht="13">
      <c r="A5163" s="27"/>
      <c r="B5163" s="110"/>
      <c r="D5163" s="409"/>
      <c r="E5163" s="13" t="s">
        <v>47</v>
      </c>
      <c r="F5163" s="13" t="s">
        <v>1918</v>
      </c>
      <c r="G5163" s="410" t="s">
        <v>48</v>
      </c>
      <c r="H5163" s="411">
        <v>0.8</v>
      </c>
      <c r="I5163" s="412">
        <f>IF(AND(E5163&lt;&gt;"",G5163&lt;&gt;""),IF(D5163="",IF(G5163="OH",VLOOKUP(F5163,UPAH!$B$4:$H$101,7,0),VLOOKUP(F5163,#REF!,4,0)),0),0)</f>
        <v>0</v>
      </c>
      <c r="J5163" s="16">
        <f>H5163*I5163</f>
        <v>0</v>
      </c>
    </row>
    <row r="5164" spans="1:10" ht="13">
      <c r="A5164" s="27"/>
      <c r="B5164" s="110"/>
      <c r="D5164" s="409"/>
      <c r="E5164" s="13" t="s">
        <v>49</v>
      </c>
      <c r="F5164" s="13" t="s">
        <v>1922</v>
      </c>
      <c r="G5164" s="410" t="s">
        <v>48</v>
      </c>
      <c r="H5164" s="411">
        <v>0.8</v>
      </c>
      <c r="I5164" s="412">
        <f>IF(AND(E5164&lt;&gt;"",G5164&lt;&gt;""),IF(D5164="",IF(G5164="OH",VLOOKUP(F5164,UPAH!$B$4:$H$101,7,0),VLOOKUP(F5164,#REF!,4,0)),0),0)</f>
        <v>0</v>
      </c>
      <c r="J5164" s="16">
        <f>H5164*I5164</f>
        <v>0</v>
      </c>
    </row>
    <row r="5165" spans="1:10" ht="13">
      <c r="A5165" s="27"/>
      <c r="B5165" s="110"/>
      <c r="D5165" s="409"/>
      <c r="E5165" s="13" t="s">
        <v>50</v>
      </c>
      <c r="F5165" s="13" t="s">
        <v>1928</v>
      </c>
      <c r="G5165" s="410" t="s">
        <v>48</v>
      </c>
      <c r="H5165" s="411">
        <v>0.08</v>
      </c>
      <c r="I5165" s="412">
        <f>IF(AND(E5165&lt;&gt;"",G5165&lt;&gt;""),IF(D5165="",IF(G5165="OH",VLOOKUP(F5165,UPAH!$B$4:$H$101,7,0),VLOOKUP(F5165,#REF!,4,0)),0),0)</f>
        <v>0</v>
      </c>
      <c r="J5165" s="16">
        <f>H5165*I5165</f>
        <v>0</v>
      </c>
    </row>
    <row r="5166" spans="1:10" ht="13.5" thickBot="1">
      <c r="A5166" s="27"/>
      <c r="B5166" s="110"/>
      <c r="D5166" s="409"/>
      <c r="E5166" s="13" t="s">
        <v>51</v>
      </c>
      <c r="F5166" s="13" t="s">
        <v>1929</v>
      </c>
      <c r="G5166" s="410" t="s">
        <v>48</v>
      </c>
      <c r="H5166" s="411">
        <v>0.04</v>
      </c>
      <c r="I5166" s="412">
        <f>IF(AND(E5166&lt;&gt;"",G5166&lt;&gt;""),IF(D5166="",IF(G5166="OH",VLOOKUP(F5166,UPAH!$B$4:$H$101,7,0),VLOOKUP(F5166,#REF!,4,0)),0),0)</f>
        <v>0</v>
      </c>
      <c r="J5166" s="16">
        <f>H5166*I5166</f>
        <v>0</v>
      </c>
    </row>
    <row r="5167" spans="1:10" ht="13.5" thickBot="1">
      <c r="A5167" s="27"/>
      <c r="B5167" s="110"/>
      <c r="D5167" s="417"/>
      <c r="E5167" s="418"/>
      <c r="F5167" s="418"/>
      <c r="G5167" s="419"/>
      <c r="H5167" s="420" t="s">
        <v>52</v>
      </c>
      <c r="I5167" s="421"/>
      <c r="J5167" s="396">
        <f>SUM(J5163:J5166)</f>
        <v>0</v>
      </c>
    </row>
    <row r="5168" spans="1:10" ht="13">
      <c r="A5168" s="27"/>
      <c r="B5168" s="110"/>
      <c r="D5168" s="406" t="s">
        <v>53</v>
      </c>
      <c r="E5168" s="13" t="s">
        <v>54</v>
      </c>
      <c r="F5168" s="14"/>
      <c r="G5168" s="15"/>
      <c r="H5168" s="451"/>
      <c r="I5168" s="412"/>
      <c r="J5168" s="16"/>
    </row>
    <row r="5169" spans="1:10" ht="13">
      <c r="A5169" s="27"/>
      <c r="B5169" s="110"/>
      <c r="D5169" s="409"/>
      <c r="E5169" s="13" t="s">
        <v>177</v>
      </c>
      <c r="F5169" s="14"/>
      <c r="G5169" s="410" t="s">
        <v>375</v>
      </c>
      <c r="H5169" s="411">
        <v>1.4999999999999999E-2</v>
      </c>
      <c r="I5169" s="412">
        <f>'BAHAN '!G200</f>
        <v>0</v>
      </c>
      <c r="J5169" s="16">
        <f>H5169*I5169</f>
        <v>0</v>
      </c>
    </row>
    <row r="5170" spans="1:10" ht="13.5" thickBot="1">
      <c r="A5170" s="27"/>
      <c r="B5170" s="110"/>
      <c r="D5170" s="409"/>
      <c r="E5170" s="13" t="s">
        <v>174</v>
      </c>
      <c r="F5170" s="14"/>
      <c r="G5170" s="410" t="s">
        <v>93</v>
      </c>
      <c r="H5170" s="411">
        <v>0.01</v>
      </c>
      <c r="I5170" s="412">
        <f>$I$5098</f>
        <v>0</v>
      </c>
      <c r="J5170" s="16">
        <f>H5170*I5170</f>
        <v>0</v>
      </c>
    </row>
    <row r="5171" spans="1:10" ht="13.5" thickBot="1">
      <c r="A5171" s="27"/>
      <c r="B5171" s="110"/>
      <c r="D5171" s="417"/>
      <c r="E5171" s="418"/>
      <c r="F5171" s="418"/>
      <c r="G5171" s="419"/>
      <c r="H5171" s="420" t="s">
        <v>64</v>
      </c>
      <c r="I5171" s="421"/>
      <c r="J5171" s="396">
        <f>SUM(J5169:J5170)</f>
        <v>0</v>
      </c>
    </row>
    <row r="5172" spans="1:10" ht="13.5" thickBot="1">
      <c r="A5172" s="27"/>
      <c r="B5172" s="110"/>
      <c r="D5172" s="406" t="s">
        <v>65</v>
      </c>
      <c r="E5172" s="13" t="s">
        <v>66</v>
      </c>
      <c r="F5172" s="14"/>
      <c r="G5172" s="15"/>
      <c r="H5172" s="451"/>
      <c r="I5172" s="412">
        <f>IF(AND(E5172&lt;&gt;"",G5172&lt;&gt;""),IF(D5172="",IF(G5172="OH",VLOOKUP(E5172,UPAH!$C$4:$H$31,7,0),VLOOKUP(E5172,#REF!,4,0)),0),0)</f>
        <v>0</v>
      </c>
      <c r="J5172" s="16">
        <f>H5172*I5172</f>
        <v>0</v>
      </c>
    </row>
    <row r="5173" spans="1:10" ht="13.5" thickBot="1">
      <c r="A5173" s="27"/>
      <c r="B5173" s="110"/>
      <c r="D5173" s="417"/>
      <c r="E5173" s="418"/>
      <c r="F5173" s="418"/>
      <c r="G5173" s="419"/>
      <c r="H5173" s="420" t="s">
        <v>67</v>
      </c>
      <c r="I5173" s="421"/>
      <c r="J5173" s="396">
        <f>J5172</f>
        <v>0</v>
      </c>
    </row>
    <row r="5174" spans="1:10" ht="13">
      <c r="A5174" s="27"/>
      <c r="B5174" s="110"/>
      <c r="D5174" s="444" t="s">
        <v>68</v>
      </c>
      <c r="E5174" s="445" t="s">
        <v>69</v>
      </c>
      <c r="F5174" s="446"/>
      <c r="G5174" s="447"/>
      <c r="H5174" s="448"/>
      <c r="I5174" s="449">
        <f>IF(AND(E5174&lt;&gt;"",G5174&lt;&gt;""),IF(D5174="",IF(G5174="OH",VLOOKUP(E5174,UPAH!$C$4:$H$31,7,0),VLOOKUP(E5174,#REF!,4,0)),0),0)</f>
        <v>0</v>
      </c>
      <c r="J5174" s="16">
        <f>SUM(J5163:J5173)/2</f>
        <v>0</v>
      </c>
    </row>
    <row r="5175" spans="1:10" ht="13.5" thickBot="1">
      <c r="A5175" s="27"/>
      <c r="B5175" s="110"/>
      <c r="D5175" s="431" t="s">
        <v>70</v>
      </c>
      <c r="E5175" s="432" t="s">
        <v>477</v>
      </c>
      <c r="F5175" s="433"/>
      <c r="G5175" s="434"/>
      <c r="H5175" s="22">
        <v>0.1</v>
      </c>
      <c r="I5175" s="436"/>
      <c r="J5175" s="430">
        <f>H5175*J5174</f>
        <v>0</v>
      </c>
    </row>
    <row r="5176" spans="1:10" ht="13.5" thickBot="1">
      <c r="A5176" s="27"/>
      <c r="B5176" s="110"/>
      <c r="D5176" s="401" t="s">
        <v>71</v>
      </c>
      <c r="E5176" s="402" t="s">
        <v>72</v>
      </c>
      <c r="F5176" s="418"/>
      <c r="G5176" s="419"/>
      <c r="H5176" s="442"/>
      <c r="I5176" s="421">
        <f>IF(AND(E5176&lt;&gt;"",G5176&lt;&gt;""),IF(D5176="",IF(G5176="OH",VLOOKUP(E5176,UPAH!$C$4:$H$31,7,0),VLOOKUP(E5176,#REF!,4,0)),0),0)</f>
        <v>0</v>
      </c>
      <c r="J5176" s="396">
        <f>ROUNDDOWN(J5174+J5175,0)</f>
        <v>0</v>
      </c>
    </row>
    <row r="5177" spans="1:10" ht="13">
      <c r="A5177" s="27"/>
      <c r="B5177" s="110"/>
      <c r="D5177" s="11"/>
      <c r="E5177" s="11"/>
      <c r="H5177" s="443"/>
    </row>
    <row r="5178" spans="1:10" ht="13.5" thickBot="1">
      <c r="A5178" s="27"/>
      <c r="B5178" s="110"/>
      <c r="C5178" s="11" t="s">
        <v>1770</v>
      </c>
      <c r="D5178" s="10" t="s">
        <v>1771</v>
      </c>
      <c r="H5178" s="443"/>
    </row>
    <row r="5179" spans="1:10" ht="13.5" thickBot="1">
      <c r="A5179" s="27"/>
      <c r="B5179" s="110"/>
      <c r="D5179" s="401" t="s">
        <v>40</v>
      </c>
      <c r="E5179" s="402" t="s">
        <v>41</v>
      </c>
      <c r="F5179" s="402" t="s">
        <v>42</v>
      </c>
      <c r="G5179" s="403" t="s">
        <v>43</v>
      </c>
      <c r="H5179" s="404" t="s">
        <v>44</v>
      </c>
      <c r="I5179" s="402" t="s">
        <v>474</v>
      </c>
      <c r="J5179" s="405" t="s">
        <v>475</v>
      </c>
    </row>
    <row r="5180" spans="1:10" ht="13">
      <c r="A5180" s="27"/>
      <c r="B5180" s="110"/>
      <c r="D5180" s="406" t="s">
        <v>45</v>
      </c>
      <c r="E5180" s="13" t="s">
        <v>46</v>
      </c>
      <c r="F5180" s="14"/>
      <c r="G5180" s="15"/>
      <c r="H5180" s="451"/>
      <c r="I5180" s="412"/>
      <c r="J5180" s="16"/>
    </row>
    <row r="5181" spans="1:10" ht="13">
      <c r="A5181" s="27"/>
      <c r="B5181" s="110"/>
      <c r="D5181" s="409"/>
      <c r="E5181" s="13" t="s">
        <v>47</v>
      </c>
      <c r="F5181" s="13" t="s">
        <v>1918</v>
      </c>
      <c r="G5181" s="410" t="s">
        <v>48</v>
      </c>
      <c r="H5181" s="411">
        <v>0.1</v>
      </c>
      <c r="I5181" s="412">
        <f>IF(AND(E5181&lt;&gt;"",G5181&lt;&gt;""),IF(D5181="",IF(G5181="OH",VLOOKUP(F5181,UPAH!$B$4:$H$101,7,0),VLOOKUP(F5181,#REF!,4,0)),0),0)</f>
        <v>0</v>
      </c>
      <c r="J5181" s="16">
        <f>H5181*I5181</f>
        <v>0</v>
      </c>
    </row>
    <row r="5182" spans="1:10" ht="13">
      <c r="A5182" s="27"/>
      <c r="B5182" s="110"/>
      <c r="D5182" s="409"/>
      <c r="E5182" s="13" t="s">
        <v>49</v>
      </c>
      <c r="F5182" s="13" t="s">
        <v>1922</v>
      </c>
      <c r="G5182" s="410" t="s">
        <v>48</v>
      </c>
      <c r="H5182" s="411">
        <v>0.05</v>
      </c>
      <c r="I5182" s="412">
        <f>IF(AND(E5182&lt;&gt;"",G5182&lt;&gt;""),IF(D5182="",IF(G5182="OH",VLOOKUP(F5182,UPAH!$B$4:$H$101,7,0),VLOOKUP(F5182,#REF!,4,0)),0),0)</f>
        <v>0</v>
      </c>
      <c r="J5182" s="16">
        <f>H5182*I5182</f>
        <v>0</v>
      </c>
    </row>
    <row r="5183" spans="1:10" ht="13">
      <c r="A5183" s="27"/>
      <c r="B5183" s="110"/>
      <c r="D5183" s="409"/>
      <c r="E5183" s="13" t="s">
        <v>50</v>
      </c>
      <c r="F5183" s="13" t="s">
        <v>1928</v>
      </c>
      <c r="G5183" s="410" t="s">
        <v>48</v>
      </c>
      <c r="H5183" s="411">
        <v>5.0000000000000001E-3</v>
      </c>
      <c r="I5183" s="412">
        <f>IF(AND(E5183&lt;&gt;"",G5183&lt;&gt;""),IF(D5183="",IF(G5183="OH",VLOOKUP(F5183,UPAH!$B$4:$H$101,7,0),VLOOKUP(F5183,#REF!,4,0)),0),0)</f>
        <v>0</v>
      </c>
      <c r="J5183" s="16">
        <f>H5183*I5183</f>
        <v>0</v>
      </c>
    </row>
    <row r="5184" spans="1:10" ht="13.5" thickBot="1">
      <c r="A5184" s="27"/>
      <c r="B5184" s="110"/>
      <c r="D5184" s="409"/>
      <c r="E5184" s="13" t="s">
        <v>51</v>
      </c>
      <c r="F5184" s="13" t="s">
        <v>1929</v>
      </c>
      <c r="G5184" s="410" t="s">
        <v>48</v>
      </c>
      <c r="H5184" s="411">
        <v>5.0000000000000001E-3</v>
      </c>
      <c r="I5184" s="412">
        <f>IF(AND(E5184&lt;&gt;"",G5184&lt;&gt;""),IF(D5184="",IF(G5184="OH",VLOOKUP(F5184,UPAH!$B$4:$H$101,7,0),VLOOKUP(F5184,#REF!,4,0)),0),0)</f>
        <v>0</v>
      </c>
      <c r="J5184" s="16">
        <f>H5184*I5184</f>
        <v>0</v>
      </c>
    </row>
    <row r="5185" spans="1:10" ht="13.5" thickBot="1">
      <c r="A5185" s="27"/>
      <c r="B5185" s="110"/>
      <c r="D5185" s="417"/>
      <c r="E5185" s="418"/>
      <c r="F5185" s="418"/>
      <c r="G5185" s="419"/>
      <c r="H5185" s="420" t="s">
        <v>52</v>
      </c>
      <c r="I5185" s="421"/>
      <c r="J5185" s="396">
        <f>SUM(J5181:J5184)</f>
        <v>0</v>
      </c>
    </row>
    <row r="5186" spans="1:10" ht="13">
      <c r="A5186" s="27"/>
      <c r="B5186" s="110"/>
      <c r="D5186" s="406" t="s">
        <v>53</v>
      </c>
      <c r="E5186" s="13" t="s">
        <v>54</v>
      </c>
      <c r="F5186" s="14"/>
      <c r="G5186" s="15"/>
      <c r="H5186" s="451"/>
      <c r="I5186" s="412"/>
      <c r="J5186" s="16"/>
    </row>
    <row r="5187" spans="1:10" ht="13">
      <c r="A5187" s="27"/>
      <c r="B5187" s="110"/>
      <c r="D5187" s="409"/>
      <c r="E5187" s="13" t="s">
        <v>390</v>
      </c>
      <c r="F5187" s="14"/>
      <c r="G5187" s="410" t="s">
        <v>175</v>
      </c>
      <c r="H5187" s="411">
        <v>0.36399999999999999</v>
      </c>
      <c r="I5187" s="412">
        <v>0</v>
      </c>
      <c r="J5187" s="16">
        <f>H5187*I5187</f>
        <v>0</v>
      </c>
    </row>
    <row r="5188" spans="1:10" ht="13.5" thickBot="1">
      <c r="A5188" s="27"/>
      <c r="B5188" s="110"/>
      <c r="D5188" s="409"/>
      <c r="E5188" s="13" t="s">
        <v>178</v>
      </c>
      <c r="F5188" s="14"/>
      <c r="G5188" s="410" t="s">
        <v>93</v>
      </c>
      <c r="H5188" s="411">
        <v>0.11</v>
      </c>
      <c r="I5188" s="412">
        <v>0</v>
      </c>
      <c r="J5188" s="16">
        <f>H5188*I5188</f>
        <v>0</v>
      </c>
    </row>
    <row r="5189" spans="1:10" ht="13.5" thickBot="1">
      <c r="A5189" s="27"/>
      <c r="B5189" s="110"/>
      <c r="D5189" s="417"/>
      <c r="E5189" s="418"/>
      <c r="F5189" s="418"/>
      <c r="G5189" s="419"/>
      <c r="H5189" s="420" t="s">
        <v>64</v>
      </c>
      <c r="I5189" s="421"/>
      <c r="J5189" s="396">
        <f>SUM(J5187:J5188)</f>
        <v>0</v>
      </c>
    </row>
    <row r="5190" spans="1:10" ht="13.5" thickBot="1">
      <c r="A5190" s="27"/>
      <c r="B5190" s="110"/>
      <c r="D5190" s="406" t="s">
        <v>65</v>
      </c>
      <c r="E5190" s="13" t="s">
        <v>66</v>
      </c>
      <c r="F5190" s="14"/>
      <c r="G5190" s="15"/>
      <c r="H5190" s="451"/>
      <c r="I5190" s="412">
        <f>IF(AND(E5190&lt;&gt;"",G5190&lt;&gt;""),IF(D5190="",IF(G5190="OH",VLOOKUP(E5190,UPAH!$C$4:$H$31,7,0),VLOOKUP(E5190,#REF!,4,0)),0),0)</f>
        <v>0</v>
      </c>
      <c r="J5190" s="16">
        <f>H5190*I5190</f>
        <v>0</v>
      </c>
    </row>
    <row r="5191" spans="1:10" ht="13.5" thickBot="1">
      <c r="A5191" s="27"/>
      <c r="B5191" s="110"/>
      <c r="D5191" s="417"/>
      <c r="E5191" s="418"/>
      <c r="F5191" s="418"/>
      <c r="G5191" s="419"/>
      <c r="H5191" s="420" t="s">
        <v>67</v>
      </c>
      <c r="I5191" s="421"/>
      <c r="J5191" s="396">
        <f>J5190</f>
        <v>0</v>
      </c>
    </row>
    <row r="5192" spans="1:10" ht="13">
      <c r="A5192" s="27"/>
      <c r="B5192" s="110"/>
      <c r="D5192" s="444" t="s">
        <v>68</v>
      </c>
      <c r="E5192" s="445" t="s">
        <v>69</v>
      </c>
      <c r="F5192" s="446"/>
      <c r="G5192" s="447"/>
      <c r="H5192" s="448"/>
      <c r="I5192" s="449">
        <f>IF(AND(E5192&lt;&gt;"",G5192&lt;&gt;""),IF(D5192="",IF(G5192="OH",VLOOKUP(E5192,UPAH!$C$4:$H$31,7,0),VLOOKUP(E5192,#REF!,4,0)),0),0)</f>
        <v>0</v>
      </c>
      <c r="J5192" s="16">
        <f>SUM(J5181:J5191)/2</f>
        <v>0</v>
      </c>
    </row>
    <row r="5193" spans="1:10" ht="13.5" thickBot="1">
      <c r="A5193" s="27"/>
      <c r="B5193" s="110"/>
      <c r="D5193" s="431" t="s">
        <v>70</v>
      </c>
      <c r="E5193" s="432" t="s">
        <v>477</v>
      </c>
      <c r="F5193" s="433"/>
      <c r="G5193" s="434"/>
      <c r="H5193" s="22">
        <v>0.1</v>
      </c>
      <c r="I5193" s="436"/>
      <c r="J5193" s="430">
        <f>H5193*J5192</f>
        <v>0</v>
      </c>
    </row>
    <row r="5194" spans="1:10" ht="13.5" thickBot="1">
      <c r="A5194" s="27"/>
      <c r="B5194" s="110"/>
      <c r="D5194" s="401" t="s">
        <v>71</v>
      </c>
      <c r="E5194" s="402" t="s">
        <v>72</v>
      </c>
      <c r="F5194" s="418"/>
      <c r="G5194" s="419"/>
      <c r="H5194" s="442"/>
      <c r="I5194" s="421">
        <f>IF(AND(E5194&lt;&gt;"",G5194&lt;&gt;""),IF(D5194="",IF(G5194="OH",VLOOKUP(E5194,UPAH!$C$4:$H$31,7,0),VLOOKUP(E5194,#REF!,4,0)),0),0)</f>
        <v>0</v>
      </c>
      <c r="J5194" s="396">
        <f>ROUNDDOWN(J5192+J5193,0)</f>
        <v>0</v>
      </c>
    </row>
    <row r="5195" spans="1:10" ht="13">
      <c r="A5195" s="27"/>
      <c r="B5195" s="110"/>
      <c r="D5195" s="11"/>
      <c r="E5195" s="11"/>
      <c r="H5195" s="443"/>
    </row>
    <row r="5196" spans="1:10" ht="13.5" thickBot="1">
      <c r="A5196" s="27"/>
      <c r="B5196" s="110"/>
      <c r="C5196" s="11" t="s">
        <v>3565</v>
      </c>
      <c r="D5196" s="10" t="s">
        <v>3567</v>
      </c>
      <c r="H5196" s="443"/>
    </row>
    <row r="5197" spans="1:10" ht="13.5" thickBot="1">
      <c r="A5197" s="27"/>
      <c r="B5197" s="110"/>
      <c r="D5197" s="401" t="s">
        <v>40</v>
      </c>
      <c r="E5197" s="402" t="s">
        <v>41</v>
      </c>
      <c r="F5197" s="402" t="s">
        <v>42</v>
      </c>
      <c r="G5197" s="403" t="s">
        <v>43</v>
      </c>
      <c r="H5197" s="404" t="s">
        <v>44</v>
      </c>
      <c r="I5197" s="402" t="s">
        <v>474</v>
      </c>
      <c r="J5197" s="405" t="s">
        <v>475</v>
      </c>
    </row>
    <row r="5198" spans="1:10" ht="13">
      <c r="A5198" s="27"/>
      <c r="B5198" s="110"/>
      <c r="D5198" s="406" t="s">
        <v>45</v>
      </c>
      <c r="E5198" s="13" t="s">
        <v>46</v>
      </c>
      <c r="F5198" s="14"/>
      <c r="G5198" s="15"/>
      <c r="H5198" s="451"/>
      <c r="I5198" s="412"/>
      <c r="J5198" s="16"/>
    </row>
    <row r="5199" spans="1:10" ht="13">
      <c r="A5199" s="27"/>
      <c r="B5199" s="110"/>
      <c r="D5199" s="409"/>
      <c r="E5199" s="13" t="s">
        <v>47</v>
      </c>
      <c r="F5199" s="13" t="s">
        <v>1918</v>
      </c>
      <c r="G5199" s="410" t="s">
        <v>48</v>
      </c>
      <c r="H5199" s="411">
        <v>0.1</v>
      </c>
      <c r="I5199" s="412">
        <f>IF(AND(E5199&lt;&gt;"",G5199&lt;&gt;""),IF(D5199="",IF(G5199="OH",VLOOKUP(F5199,UPAH!$B$4:$H$101,7,0),VLOOKUP(F5199,#REF!,4,0)),0),0)</f>
        <v>0</v>
      </c>
      <c r="J5199" s="16">
        <f>H5199*I5199</f>
        <v>0</v>
      </c>
    </row>
    <row r="5200" spans="1:10" ht="13">
      <c r="A5200" s="27"/>
      <c r="B5200" s="110"/>
      <c r="D5200" s="409"/>
      <c r="E5200" s="13" t="s">
        <v>49</v>
      </c>
      <c r="F5200" s="13" t="s">
        <v>1922</v>
      </c>
      <c r="G5200" s="410" t="s">
        <v>48</v>
      </c>
      <c r="H5200" s="411">
        <v>0.05</v>
      </c>
      <c r="I5200" s="412">
        <f>IF(AND(E5200&lt;&gt;"",G5200&lt;&gt;""),IF(D5200="",IF(G5200="OH",VLOOKUP(F5200,UPAH!$B$4:$H$101,7,0),VLOOKUP(F5200,#REF!,4,0)),0),0)</f>
        <v>0</v>
      </c>
      <c r="J5200" s="16">
        <f>H5200*I5200</f>
        <v>0</v>
      </c>
    </row>
    <row r="5201" spans="1:10" ht="13">
      <c r="A5201" s="27"/>
      <c r="B5201" s="110"/>
      <c r="D5201" s="409"/>
      <c r="E5201" s="13" t="s">
        <v>50</v>
      </c>
      <c r="F5201" s="13" t="s">
        <v>1928</v>
      </c>
      <c r="G5201" s="410" t="s">
        <v>48</v>
      </c>
      <c r="H5201" s="411">
        <v>5.0000000000000001E-3</v>
      </c>
      <c r="I5201" s="412">
        <f>IF(AND(E5201&lt;&gt;"",G5201&lt;&gt;""),IF(D5201="",IF(G5201="OH",VLOOKUP(F5201,UPAH!$B$4:$H$101,7,0),VLOOKUP(F5201,#REF!,4,0)),0),0)</f>
        <v>0</v>
      </c>
      <c r="J5201" s="16">
        <f>H5201*I5201</f>
        <v>0</v>
      </c>
    </row>
    <row r="5202" spans="1:10" ht="13.5" thickBot="1">
      <c r="A5202" s="27"/>
      <c r="B5202" s="110"/>
      <c r="D5202" s="409"/>
      <c r="E5202" s="13" t="s">
        <v>51</v>
      </c>
      <c r="F5202" s="13" t="s">
        <v>1929</v>
      </c>
      <c r="G5202" s="410" t="s">
        <v>48</v>
      </c>
      <c r="H5202" s="411">
        <v>5.0000000000000001E-3</v>
      </c>
      <c r="I5202" s="412">
        <f>IF(AND(E5202&lt;&gt;"",G5202&lt;&gt;""),IF(D5202="",IF(G5202="OH",VLOOKUP(F5202,UPAH!$B$4:$H$101,7,0),VLOOKUP(F5202,#REF!,4,0)),0),0)</f>
        <v>0</v>
      </c>
      <c r="J5202" s="16">
        <f>H5202*I5202</f>
        <v>0</v>
      </c>
    </row>
    <row r="5203" spans="1:10" ht="13.5" thickBot="1">
      <c r="A5203" s="27"/>
      <c r="B5203" s="110"/>
      <c r="D5203" s="417"/>
      <c r="E5203" s="418"/>
      <c r="F5203" s="418"/>
      <c r="G5203" s="419"/>
      <c r="H5203" s="420" t="s">
        <v>52</v>
      </c>
      <c r="I5203" s="421"/>
      <c r="J5203" s="396">
        <f>SUM(J5199:J5202)</f>
        <v>0</v>
      </c>
    </row>
    <row r="5204" spans="1:10" ht="13">
      <c r="A5204" s="27"/>
      <c r="B5204" s="110"/>
      <c r="D5204" s="406" t="s">
        <v>53</v>
      </c>
      <c r="E5204" s="13" t="s">
        <v>54</v>
      </c>
      <c r="F5204" s="14"/>
      <c r="G5204" s="15"/>
      <c r="H5204" s="451"/>
      <c r="I5204" s="412"/>
      <c r="J5204" s="16"/>
    </row>
    <row r="5205" spans="1:10" ht="13">
      <c r="A5205" s="27"/>
      <c r="B5205" s="110"/>
      <c r="D5205" s="409"/>
      <c r="E5205" s="13" t="s">
        <v>3566</v>
      </c>
      <c r="F5205" s="14"/>
      <c r="G5205" s="410" t="s">
        <v>175</v>
      </c>
      <c r="H5205" s="411">
        <v>0.36399999999999999</v>
      </c>
      <c r="I5205" s="412">
        <v>0</v>
      </c>
      <c r="J5205" s="16">
        <f>H5205*I5205</f>
        <v>0</v>
      </c>
    </row>
    <row r="5206" spans="1:10" ht="13.5" thickBot="1">
      <c r="A5206" s="27"/>
      <c r="B5206" s="110"/>
      <c r="D5206" s="409"/>
      <c r="E5206" s="13" t="s">
        <v>178</v>
      </c>
      <c r="F5206" s="14"/>
      <c r="G5206" s="410" t="s">
        <v>93</v>
      </c>
      <c r="H5206" s="411">
        <v>0.11</v>
      </c>
      <c r="I5206" s="412">
        <v>0</v>
      </c>
      <c r="J5206" s="16">
        <f>H5206*I5206</f>
        <v>0</v>
      </c>
    </row>
    <row r="5207" spans="1:10" ht="13.5" thickBot="1">
      <c r="A5207" s="27"/>
      <c r="B5207" s="110"/>
      <c r="D5207" s="417"/>
      <c r="E5207" s="418"/>
      <c r="F5207" s="418"/>
      <c r="G5207" s="419"/>
      <c r="H5207" s="420" t="s">
        <v>64</v>
      </c>
      <c r="I5207" s="421"/>
      <c r="J5207" s="396">
        <f>SUM(J5205:J5206)</f>
        <v>0</v>
      </c>
    </row>
    <row r="5208" spans="1:10" ht="13.5" thickBot="1">
      <c r="A5208" s="27"/>
      <c r="B5208" s="110"/>
      <c r="D5208" s="406" t="s">
        <v>65</v>
      </c>
      <c r="E5208" s="13" t="s">
        <v>66</v>
      </c>
      <c r="F5208" s="14"/>
      <c r="G5208" s="15"/>
      <c r="H5208" s="451"/>
      <c r="I5208" s="412">
        <f>IF(AND(E5208&lt;&gt;"",G5208&lt;&gt;""),IF(D5208="",IF(G5208="OH",VLOOKUP(E5208,UPAH!$C$4:$H$31,7,0),VLOOKUP(E5208,#REF!,4,0)),0),0)</f>
        <v>0</v>
      </c>
      <c r="J5208" s="16">
        <f>H5208*I5208</f>
        <v>0</v>
      </c>
    </row>
    <row r="5209" spans="1:10" ht="13.5" thickBot="1">
      <c r="A5209" s="27"/>
      <c r="B5209" s="110"/>
      <c r="D5209" s="417"/>
      <c r="E5209" s="418"/>
      <c r="F5209" s="418"/>
      <c r="G5209" s="419"/>
      <c r="H5209" s="420" t="s">
        <v>67</v>
      </c>
      <c r="I5209" s="421"/>
      <c r="J5209" s="396">
        <f>J5208</f>
        <v>0</v>
      </c>
    </row>
    <row r="5210" spans="1:10" ht="13">
      <c r="A5210" s="27"/>
      <c r="B5210" s="110"/>
      <c r="D5210" s="444" t="s">
        <v>68</v>
      </c>
      <c r="E5210" s="445" t="s">
        <v>69</v>
      </c>
      <c r="F5210" s="446"/>
      <c r="G5210" s="447"/>
      <c r="H5210" s="448"/>
      <c r="I5210" s="449">
        <f>IF(AND(E5210&lt;&gt;"",G5210&lt;&gt;""),IF(D5210="",IF(G5210="OH",VLOOKUP(E5210,UPAH!$C$4:$H$31,7,0),VLOOKUP(E5210,#REF!,4,0)),0),0)</f>
        <v>0</v>
      </c>
      <c r="J5210" s="16">
        <f>SUM(J5199:J5209)/2</f>
        <v>0</v>
      </c>
    </row>
    <row r="5211" spans="1:10" ht="13.5" thickBot="1">
      <c r="A5211" s="27"/>
      <c r="B5211" s="110"/>
      <c r="D5211" s="431" t="s">
        <v>70</v>
      </c>
      <c r="E5211" s="432" t="s">
        <v>477</v>
      </c>
      <c r="F5211" s="433"/>
      <c r="G5211" s="434"/>
      <c r="H5211" s="22">
        <v>0.1</v>
      </c>
      <c r="I5211" s="436"/>
      <c r="J5211" s="430">
        <f>H5211*J5210</f>
        <v>0</v>
      </c>
    </row>
    <row r="5212" spans="1:10" ht="13.5" thickBot="1">
      <c r="A5212" s="27"/>
      <c r="B5212" s="110"/>
      <c r="D5212" s="401" t="s">
        <v>71</v>
      </c>
      <c r="E5212" s="402" t="s">
        <v>72</v>
      </c>
      <c r="F5212" s="418"/>
      <c r="G5212" s="419"/>
      <c r="H5212" s="442"/>
      <c r="I5212" s="421">
        <f>IF(AND(E5212&lt;&gt;"",G5212&lt;&gt;""),IF(D5212="",IF(G5212="OH",VLOOKUP(E5212,UPAH!$C$4:$H$31,7,0),VLOOKUP(E5212,#REF!,4,0)),0),0)</f>
        <v>0</v>
      </c>
      <c r="J5212" s="396">
        <f>ROUNDDOWN(J5210+J5211,0)</f>
        <v>0</v>
      </c>
    </row>
    <row r="5213" spans="1:10" ht="13">
      <c r="A5213" s="27"/>
      <c r="B5213" s="110"/>
      <c r="D5213" s="11"/>
      <c r="E5213" s="11"/>
      <c r="H5213" s="443"/>
    </row>
    <row r="5214" spans="1:10" ht="13.5" thickBot="1">
      <c r="A5214" s="27"/>
      <c r="B5214" s="110"/>
      <c r="C5214" s="11" t="s">
        <v>3640</v>
      </c>
      <c r="D5214" s="10" t="s">
        <v>3641</v>
      </c>
      <c r="H5214" s="443"/>
    </row>
    <row r="5215" spans="1:10" ht="13.5" thickBot="1">
      <c r="A5215" s="27"/>
      <c r="B5215" s="110"/>
      <c r="D5215" s="401" t="s">
        <v>40</v>
      </c>
      <c r="E5215" s="402" t="s">
        <v>41</v>
      </c>
      <c r="F5215" s="402" t="s">
        <v>42</v>
      </c>
      <c r="G5215" s="403" t="s">
        <v>43</v>
      </c>
      <c r="H5215" s="404" t="s">
        <v>44</v>
      </c>
      <c r="I5215" s="402" t="s">
        <v>474</v>
      </c>
      <c r="J5215" s="405" t="s">
        <v>475</v>
      </c>
    </row>
    <row r="5216" spans="1:10" ht="13">
      <c r="A5216" s="27"/>
      <c r="B5216" s="110"/>
      <c r="D5216" s="406" t="s">
        <v>45</v>
      </c>
      <c r="E5216" s="13" t="s">
        <v>46</v>
      </c>
      <c r="F5216" s="14"/>
      <c r="G5216" s="15"/>
      <c r="H5216" s="451"/>
      <c r="I5216" s="412"/>
      <c r="J5216" s="16"/>
    </row>
    <row r="5217" spans="1:10" ht="13">
      <c r="A5217" s="27"/>
      <c r="B5217" s="110"/>
      <c r="D5217" s="409"/>
      <c r="E5217" s="13" t="s">
        <v>47</v>
      </c>
      <c r="F5217" s="13" t="s">
        <v>1918</v>
      </c>
      <c r="G5217" s="410" t="s">
        <v>48</v>
      </c>
      <c r="H5217" s="411">
        <v>0.1</v>
      </c>
      <c r="I5217" s="412">
        <f>IF(AND(E5217&lt;&gt;"",G5217&lt;&gt;""),IF(D5217="",IF(G5217="OH",VLOOKUP(F5217,UPAH!$B$4:$H$101,7,0),VLOOKUP(F5217,#REF!,4,0)),0),0)</f>
        <v>0</v>
      </c>
      <c r="J5217" s="16">
        <f>H5217*I5217</f>
        <v>0</v>
      </c>
    </row>
    <row r="5218" spans="1:10" ht="13">
      <c r="A5218" s="27"/>
      <c r="B5218" s="110"/>
      <c r="D5218" s="409"/>
      <c r="E5218" s="13" t="s">
        <v>49</v>
      </c>
      <c r="F5218" s="13" t="s">
        <v>1922</v>
      </c>
      <c r="G5218" s="410" t="s">
        <v>48</v>
      </c>
      <c r="H5218" s="411">
        <v>0.05</v>
      </c>
      <c r="I5218" s="412">
        <f>IF(AND(E5218&lt;&gt;"",G5218&lt;&gt;""),IF(D5218="",IF(G5218="OH",VLOOKUP(F5218,UPAH!$B$4:$H$101,7,0),VLOOKUP(F5218,#REF!,4,0)),0),0)</f>
        <v>0</v>
      </c>
      <c r="J5218" s="16">
        <f>H5218*I5218</f>
        <v>0</v>
      </c>
    </row>
    <row r="5219" spans="1:10" ht="13">
      <c r="A5219" s="27"/>
      <c r="B5219" s="110"/>
      <c r="D5219" s="409"/>
      <c r="E5219" s="13" t="s">
        <v>50</v>
      </c>
      <c r="F5219" s="13" t="s">
        <v>1928</v>
      </c>
      <c r="G5219" s="410" t="s">
        <v>48</v>
      </c>
      <c r="H5219" s="411">
        <v>5.0000000000000001E-3</v>
      </c>
      <c r="I5219" s="412">
        <f>IF(AND(E5219&lt;&gt;"",G5219&lt;&gt;""),IF(D5219="",IF(G5219="OH",VLOOKUP(F5219,UPAH!$B$4:$H$101,7,0),VLOOKUP(F5219,#REF!,4,0)),0),0)</f>
        <v>0</v>
      </c>
      <c r="J5219" s="16">
        <f>H5219*I5219</f>
        <v>0</v>
      </c>
    </row>
    <row r="5220" spans="1:10" ht="13.5" thickBot="1">
      <c r="A5220" s="27"/>
      <c r="B5220" s="110"/>
      <c r="D5220" s="409"/>
      <c r="E5220" s="13" t="s">
        <v>51</v>
      </c>
      <c r="F5220" s="13" t="s">
        <v>1929</v>
      </c>
      <c r="G5220" s="410" t="s">
        <v>48</v>
      </c>
      <c r="H5220" s="411">
        <v>5.0000000000000001E-3</v>
      </c>
      <c r="I5220" s="412">
        <f>IF(AND(E5220&lt;&gt;"",G5220&lt;&gt;""),IF(D5220="",IF(G5220="OH",VLOOKUP(F5220,UPAH!$B$4:$H$101,7,0),VLOOKUP(F5220,#REF!,4,0)),0),0)</f>
        <v>0</v>
      </c>
      <c r="J5220" s="16">
        <f>H5220*I5220</f>
        <v>0</v>
      </c>
    </row>
    <row r="5221" spans="1:10" ht="13.5" thickBot="1">
      <c r="A5221" s="27"/>
      <c r="B5221" s="110"/>
      <c r="D5221" s="417"/>
      <c r="E5221" s="418"/>
      <c r="F5221" s="418"/>
      <c r="G5221" s="419"/>
      <c r="H5221" s="420" t="s">
        <v>52</v>
      </c>
      <c r="I5221" s="421"/>
      <c r="J5221" s="396">
        <f>SUM(J5217:J5220)</f>
        <v>0</v>
      </c>
    </row>
    <row r="5222" spans="1:10" ht="13">
      <c r="A5222" s="27"/>
      <c r="B5222" s="110"/>
      <c r="D5222" s="406" t="s">
        <v>53</v>
      </c>
      <c r="E5222" s="13" t="s">
        <v>54</v>
      </c>
      <c r="F5222" s="14"/>
      <c r="G5222" s="15"/>
      <c r="H5222" s="451"/>
      <c r="I5222" s="412"/>
      <c r="J5222" s="16"/>
    </row>
    <row r="5223" spans="1:10" ht="13">
      <c r="A5223" s="27"/>
      <c r="B5223" s="110"/>
      <c r="D5223" s="409"/>
      <c r="E5223" s="13" t="s">
        <v>3642</v>
      </c>
      <c r="F5223" s="14"/>
      <c r="G5223" s="410" t="s">
        <v>175</v>
      </c>
      <c r="H5223" s="411">
        <v>0.36399999999999999</v>
      </c>
      <c r="I5223" s="412">
        <v>0</v>
      </c>
      <c r="J5223" s="16">
        <f>H5223*I5223</f>
        <v>0</v>
      </c>
    </row>
    <row r="5224" spans="1:10" ht="13.5" thickBot="1">
      <c r="A5224" s="27"/>
      <c r="B5224" s="110"/>
      <c r="D5224" s="409"/>
      <c r="E5224" s="13" t="s">
        <v>178</v>
      </c>
      <c r="F5224" s="14"/>
      <c r="G5224" s="410" t="s">
        <v>93</v>
      </c>
      <c r="H5224" s="411">
        <v>0.11</v>
      </c>
      <c r="I5224" s="412">
        <v>0</v>
      </c>
      <c r="J5224" s="16">
        <f>H5224*I5224</f>
        <v>0</v>
      </c>
    </row>
    <row r="5225" spans="1:10" ht="13.5" thickBot="1">
      <c r="A5225" s="27"/>
      <c r="B5225" s="110"/>
      <c r="D5225" s="417"/>
      <c r="E5225" s="418"/>
      <c r="F5225" s="418"/>
      <c r="G5225" s="419"/>
      <c r="H5225" s="420" t="s">
        <v>64</v>
      </c>
      <c r="I5225" s="421"/>
      <c r="J5225" s="396">
        <f>SUM(J5223:J5224)</f>
        <v>0</v>
      </c>
    </row>
    <row r="5226" spans="1:10" ht="13.5" thickBot="1">
      <c r="A5226" s="27"/>
      <c r="B5226" s="110"/>
      <c r="D5226" s="406" t="s">
        <v>65</v>
      </c>
      <c r="E5226" s="13" t="s">
        <v>66</v>
      </c>
      <c r="F5226" s="14"/>
      <c r="G5226" s="15"/>
      <c r="H5226" s="451"/>
      <c r="I5226" s="412">
        <f>IF(AND(E5226&lt;&gt;"",G5226&lt;&gt;""),IF(D5226="",IF(G5226="OH",VLOOKUP(E5226,UPAH!$C$4:$H$31,7,0),VLOOKUP(E5226,#REF!,4,0)),0),0)</f>
        <v>0</v>
      </c>
      <c r="J5226" s="16">
        <f>H5226*I5226</f>
        <v>0</v>
      </c>
    </row>
    <row r="5227" spans="1:10" ht="13.5" thickBot="1">
      <c r="A5227" s="27"/>
      <c r="B5227" s="110"/>
      <c r="D5227" s="417"/>
      <c r="E5227" s="418"/>
      <c r="F5227" s="418"/>
      <c r="G5227" s="419"/>
      <c r="H5227" s="420" t="s">
        <v>67</v>
      </c>
      <c r="I5227" s="421"/>
      <c r="J5227" s="396">
        <f>J5226</f>
        <v>0</v>
      </c>
    </row>
    <row r="5228" spans="1:10" ht="13">
      <c r="A5228" s="27"/>
      <c r="B5228" s="110"/>
      <c r="D5228" s="444" t="s">
        <v>68</v>
      </c>
      <c r="E5228" s="445" t="s">
        <v>69</v>
      </c>
      <c r="F5228" s="446"/>
      <c r="G5228" s="447"/>
      <c r="H5228" s="448"/>
      <c r="I5228" s="449">
        <f>IF(AND(E5228&lt;&gt;"",G5228&lt;&gt;""),IF(D5228="",IF(G5228="OH",VLOOKUP(E5228,UPAH!$C$4:$H$31,7,0),VLOOKUP(E5228,#REF!,4,0)),0),0)</f>
        <v>0</v>
      </c>
      <c r="J5228" s="16">
        <f>SUM(J5217:J5227)/2</f>
        <v>0</v>
      </c>
    </row>
    <row r="5229" spans="1:10" ht="13.5" thickBot="1">
      <c r="A5229" s="27"/>
      <c r="B5229" s="110"/>
      <c r="D5229" s="431" t="s">
        <v>70</v>
      </c>
      <c r="E5229" s="432" t="s">
        <v>477</v>
      </c>
      <c r="F5229" s="433"/>
      <c r="G5229" s="434"/>
      <c r="H5229" s="22">
        <v>0.1</v>
      </c>
      <c r="I5229" s="436"/>
      <c r="J5229" s="430">
        <f>H5229*J5228</f>
        <v>0</v>
      </c>
    </row>
    <row r="5230" spans="1:10" ht="13.5" thickBot="1">
      <c r="A5230" s="27"/>
      <c r="B5230" s="110"/>
      <c r="D5230" s="401" t="s">
        <v>71</v>
      </c>
      <c r="E5230" s="402" t="s">
        <v>72</v>
      </c>
      <c r="F5230" s="418"/>
      <c r="G5230" s="419"/>
      <c r="H5230" s="442"/>
      <c r="I5230" s="421">
        <f>IF(AND(E5230&lt;&gt;"",G5230&lt;&gt;""),IF(D5230="",IF(G5230="OH",VLOOKUP(E5230,UPAH!$C$4:$H$31,7,0),VLOOKUP(E5230,#REF!,4,0)),0),0)</f>
        <v>0</v>
      </c>
      <c r="J5230" s="396">
        <f>ROUNDDOWN(J5228+J5229,0)</f>
        <v>0</v>
      </c>
    </row>
    <row r="5231" spans="1:10" ht="13">
      <c r="A5231" s="27"/>
      <c r="B5231" s="110"/>
      <c r="D5231" s="11"/>
      <c r="E5231" s="11"/>
      <c r="H5231" s="443"/>
    </row>
    <row r="5232" spans="1:10" ht="13.5" thickBot="1">
      <c r="A5232" s="27"/>
      <c r="B5232" s="110"/>
      <c r="C5232" s="11" t="s">
        <v>3643</v>
      </c>
      <c r="D5232" s="10" t="s">
        <v>3644</v>
      </c>
      <c r="H5232" s="443"/>
    </row>
    <row r="5233" spans="1:10" ht="13.5" thickBot="1">
      <c r="A5233" s="27"/>
      <c r="B5233" s="110"/>
      <c r="D5233" s="401" t="s">
        <v>40</v>
      </c>
      <c r="E5233" s="402" t="s">
        <v>41</v>
      </c>
      <c r="F5233" s="402" t="s">
        <v>42</v>
      </c>
      <c r="G5233" s="403" t="s">
        <v>43</v>
      </c>
      <c r="H5233" s="404" t="s">
        <v>44</v>
      </c>
      <c r="I5233" s="402" t="s">
        <v>474</v>
      </c>
      <c r="J5233" s="405" t="s">
        <v>475</v>
      </c>
    </row>
    <row r="5234" spans="1:10" ht="13">
      <c r="A5234" s="27"/>
      <c r="B5234" s="110"/>
      <c r="D5234" s="406" t="s">
        <v>45</v>
      </c>
      <c r="E5234" s="13" t="s">
        <v>46</v>
      </c>
      <c r="F5234" s="14"/>
      <c r="G5234" s="15"/>
      <c r="H5234" s="451"/>
      <c r="I5234" s="412"/>
      <c r="J5234" s="16"/>
    </row>
    <row r="5235" spans="1:10" ht="13">
      <c r="A5235" s="27"/>
      <c r="B5235" s="110"/>
      <c r="D5235" s="409"/>
      <c r="E5235" s="13" t="s">
        <v>47</v>
      </c>
      <c r="F5235" s="13" t="s">
        <v>1918</v>
      </c>
      <c r="G5235" s="410" t="s">
        <v>48</v>
      </c>
      <c r="H5235" s="411">
        <v>3.2251322899453418</v>
      </c>
      <c r="I5235" s="412">
        <f>IF(AND(E5235&lt;&gt;"",G5235&lt;&gt;""),IF(D5235="",IF(G5235="OH",VLOOKUP(F5235,UPAH!$B$4:$H$101,7,0),VLOOKUP(F5235,#REF!,4,0)),0),0)</f>
        <v>0</v>
      </c>
      <c r="J5235" s="16">
        <f>H5235*I5235</f>
        <v>0</v>
      </c>
    </row>
    <row r="5236" spans="1:10" ht="13">
      <c r="A5236" s="27"/>
      <c r="B5236" s="110"/>
      <c r="D5236" s="409"/>
      <c r="E5236" s="13" t="s">
        <v>49</v>
      </c>
      <c r="F5236" s="13" t="s">
        <v>1922</v>
      </c>
      <c r="G5236" s="410" t="s">
        <v>48</v>
      </c>
      <c r="H5236" s="411">
        <f>3/(0.875*1.3)</f>
        <v>2.6373626373626373</v>
      </c>
      <c r="I5236" s="412">
        <f>IF(AND(E5236&lt;&gt;"",G5236&lt;&gt;""),IF(D5236="",IF(G5236="OH",VLOOKUP(F5236,UPAH!$B$4:$H$101,7,0),VLOOKUP(F5236,#REF!,4,0)),0),0)</f>
        <v>0</v>
      </c>
      <c r="J5236" s="16">
        <f>H5236*I5236</f>
        <v>0</v>
      </c>
    </row>
    <row r="5237" spans="1:10" ht="13">
      <c r="A5237" s="27"/>
      <c r="B5237" s="110"/>
      <c r="D5237" s="409"/>
      <c r="E5237" s="13" t="s">
        <v>50</v>
      </c>
      <c r="F5237" s="13" t="s">
        <v>1928</v>
      </c>
      <c r="G5237" s="410" t="s">
        <v>48</v>
      </c>
      <c r="H5237" s="411">
        <f>H5236/10</f>
        <v>0.26373626373626374</v>
      </c>
      <c r="I5237" s="412">
        <f>IF(AND(E5237&lt;&gt;"",G5237&lt;&gt;""),IF(D5237="",IF(G5237="OH",VLOOKUP(F5237,UPAH!$B$4:$H$101,7,0),VLOOKUP(F5237,#REF!,4,0)),0),0)</f>
        <v>0</v>
      </c>
      <c r="J5237" s="16">
        <f>H5237*I5237</f>
        <v>0</v>
      </c>
    </row>
    <row r="5238" spans="1:10" ht="13.5" thickBot="1">
      <c r="A5238" s="27"/>
      <c r="B5238" s="110"/>
      <c r="D5238" s="409"/>
      <c r="E5238" s="13" t="s">
        <v>51</v>
      </c>
      <c r="F5238" s="13" t="s">
        <v>1929</v>
      </c>
      <c r="G5238" s="410" t="s">
        <v>48</v>
      </c>
      <c r="H5238" s="411">
        <f>H5237/10</f>
        <v>2.6373626373626374E-2</v>
      </c>
      <c r="I5238" s="412">
        <f>IF(AND(E5238&lt;&gt;"",G5238&lt;&gt;""),IF(D5238="",IF(G5238="OH",VLOOKUP(F5238,UPAH!$B$4:$H$101,7,0),VLOOKUP(F5238,#REF!,4,0)),0),0)</f>
        <v>0</v>
      </c>
      <c r="J5238" s="16">
        <f>H5238*I5238</f>
        <v>0</v>
      </c>
    </row>
    <row r="5239" spans="1:10" ht="13.5" thickBot="1">
      <c r="A5239" s="27"/>
      <c r="B5239" s="110"/>
      <c r="D5239" s="417"/>
      <c r="E5239" s="418"/>
      <c r="F5239" s="418"/>
      <c r="G5239" s="419"/>
      <c r="H5239" s="420" t="s">
        <v>52</v>
      </c>
      <c r="I5239" s="421"/>
      <c r="J5239" s="396">
        <f>SUM(J5235:J5238)</f>
        <v>0</v>
      </c>
    </row>
    <row r="5240" spans="1:10" ht="13">
      <c r="A5240" s="27"/>
      <c r="B5240" s="110"/>
      <c r="D5240" s="406" t="s">
        <v>53</v>
      </c>
      <c r="E5240" s="13" t="s">
        <v>54</v>
      </c>
      <c r="F5240" s="14"/>
      <c r="G5240" s="15"/>
      <c r="H5240" s="451"/>
      <c r="I5240" s="412"/>
      <c r="J5240" s="16"/>
    </row>
    <row r="5241" spans="1:10" ht="13">
      <c r="A5241" s="27"/>
      <c r="B5241" s="110"/>
      <c r="D5241" s="409"/>
      <c r="E5241" s="13" t="s">
        <v>3645</v>
      </c>
      <c r="F5241" s="13"/>
      <c r="G5241" s="410" t="s">
        <v>3198</v>
      </c>
      <c r="H5241" s="411">
        <f>(1/(2.44*1.2)*1.1)*6</f>
        <v>2.2540983606557381</v>
      </c>
      <c r="I5241" s="412">
        <v>0</v>
      </c>
      <c r="J5241" s="16">
        <f>H5241*I5241</f>
        <v>0</v>
      </c>
    </row>
    <row r="5242" spans="1:10" ht="13">
      <c r="A5242" s="27"/>
      <c r="B5242" s="110"/>
      <c r="D5242" s="409"/>
      <c r="E5242" s="13" t="s">
        <v>3646</v>
      </c>
      <c r="F5242" s="13"/>
      <c r="G5242" s="410" t="s">
        <v>93</v>
      </c>
      <c r="H5242" s="411">
        <f>((0.8*1+1.35*2)*4.5)*0.1*2*0.568181818181818</f>
        <v>1.7897727272727268</v>
      </c>
      <c r="I5242" s="412">
        <v>0</v>
      </c>
      <c r="J5242" s="16">
        <f>H5242*I5242</f>
        <v>0</v>
      </c>
    </row>
    <row r="5243" spans="1:10" ht="13.5" thickBot="1">
      <c r="A5243" s="27"/>
      <c r="B5243" s="110"/>
      <c r="D5243" s="409"/>
      <c r="E5243" s="13" t="s">
        <v>3647</v>
      </c>
      <c r="F5243" s="13"/>
      <c r="G5243" s="410" t="s">
        <v>158</v>
      </c>
      <c r="H5243" s="411" t="s">
        <v>3648</v>
      </c>
      <c r="I5243" s="412">
        <v>0</v>
      </c>
      <c r="J5243" s="16">
        <f>+SUM(J5241:J5242)</f>
        <v>0</v>
      </c>
    </row>
    <row r="5244" spans="1:10" ht="13.5" thickBot="1">
      <c r="A5244" s="27"/>
      <c r="B5244" s="110"/>
      <c r="D5244" s="417"/>
      <c r="E5244" s="418"/>
      <c r="F5244" s="418"/>
      <c r="G5244" s="419"/>
      <c r="H5244" s="420" t="s">
        <v>64</v>
      </c>
      <c r="I5244" s="421"/>
      <c r="J5244" s="396">
        <f>SUM(J5241:J5243)</f>
        <v>0</v>
      </c>
    </row>
    <row r="5245" spans="1:10" ht="13.5" thickBot="1">
      <c r="A5245" s="27"/>
      <c r="B5245" s="110"/>
      <c r="D5245" s="406" t="s">
        <v>65</v>
      </c>
      <c r="E5245" s="13" t="s">
        <v>66</v>
      </c>
      <c r="F5245" s="14"/>
      <c r="G5245" s="15"/>
      <c r="H5245" s="451"/>
      <c r="I5245" s="412">
        <f>IF(AND(E5245&lt;&gt;"",G5245&lt;&gt;""),IF(D5245="",IF(G5245="OH",VLOOKUP(E5245,UPAH!$C$4:$H$31,7,0),VLOOKUP(E5245,#REF!,4,0)),0),0)</f>
        <v>0</v>
      </c>
      <c r="J5245" s="16">
        <f>H5245*I5245</f>
        <v>0</v>
      </c>
    </row>
    <row r="5246" spans="1:10" ht="13.5" thickBot="1">
      <c r="A5246" s="27"/>
      <c r="B5246" s="110"/>
      <c r="D5246" s="417"/>
      <c r="E5246" s="418"/>
      <c r="F5246" s="418"/>
      <c r="G5246" s="419"/>
      <c r="H5246" s="420" t="s">
        <v>67</v>
      </c>
      <c r="I5246" s="421"/>
      <c r="J5246" s="396">
        <f>J5245</f>
        <v>0</v>
      </c>
    </row>
    <row r="5247" spans="1:10" ht="13">
      <c r="A5247" s="27"/>
      <c r="B5247" s="110"/>
      <c r="D5247" s="444" t="s">
        <v>68</v>
      </c>
      <c r="E5247" s="445" t="s">
        <v>69</v>
      </c>
      <c r="F5247" s="446"/>
      <c r="G5247" s="447"/>
      <c r="H5247" s="448"/>
      <c r="I5247" s="449">
        <f>IF(AND(E5247&lt;&gt;"",G5247&lt;&gt;""),IF(D5247="",IF(G5247="OH",VLOOKUP(E5247,UPAH!$C$4:$H$31,7,0),VLOOKUP(E5247,#REF!,4,0)),0),0)</f>
        <v>0</v>
      </c>
      <c r="J5247" s="16">
        <f>SUM(J5235:J5246)/2</f>
        <v>0</v>
      </c>
    </row>
    <row r="5248" spans="1:10" ht="13.5" thickBot="1">
      <c r="A5248" s="27"/>
      <c r="B5248" s="110"/>
      <c r="D5248" s="431" t="s">
        <v>70</v>
      </c>
      <c r="E5248" s="432" t="s">
        <v>477</v>
      </c>
      <c r="F5248" s="433"/>
      <c r="G5248" s="434"/>
      <c r="H5248" s="22">
        <v>0.1</v>
      </c>
      <c r="I5248" s="436"/>
      <c r="J5248" s="430">
        <f>H5248*J5247</f>
        <v>0</v>
      </c>
    </row>
    <row r="5249" spans="1:10" ht="13.5" thickBot="1">
      <c r="A5249" s="27"/>
      <c r="B5249" s="110"/>
      <c r="D5249" s="401" t="s">
        <v>71</v>
      </c>
      <c r="E5249" s="402" t="s">
        <v>72</v>
      </c>
      <c r="F5249" s="418"/>
      <c r="G5249" s="419"/>
      <c r="H5249" s="442"/>
      <c r="I5249" s="421">
        <f>IF(AND(E5249&lt;&gt;"",G5249&lt;&gt;""),IF(D5249="",IF(G5249="OH",VLOOKUP(E5249,UPAH!$C$4:$H$31,7,0),VLOOKUP(E5249,#REF!,4,0)),0),0)</f>
        <v>0</v>
      </c>
      <c r="J5249" s="396">
        <f>ROUNDDOWN(J5247+J5248,0)</f>
        <v>0</v>
      </c>
    </row>
    <row r="5250" spans="1:10" ht="13">
      <c r="A5250" s="27"/>
      <c r="B5250" s="110"/>
      <c r="D5250" s="11"/>
      <c r="E5250" s="11"/>
      <c r="H5250" s="443"/>
    </row>
    <row r="5251" spans="1:10" ht="13.5" thickBot="1">
      <c r="A5251" s="27"/>
      <c r="B5251" s="110"/>
      <c r="C5251" s="11" t="s">
        <v>1772</v>
      </c>
      <c r="D5251" s="10" t="s">
        <v>1773</v>
      </c>
      <c r="H5251" s="513"/>
    </row>
    <row r="5252" spans="1:10" ht="13.5" thickBot="1">
      <c r="A5252" s="27"/>
      <c r="B5252" s="110"/>
      <c r="D5252" s="401" t="s">
        <v>40</v>
      </c>
      <c r="E5252" s="402" t="s">
        <v>41</v>
      </c>
      <c r="F5252" s="402" t="s">
        <v>42</v>
      </c>
      <c r="G5252" s="403" t="s">
        <v>43</v>
      </c>
      <c r="H5252" s="404" t="s">
        <v>44</v>
      </c>
      <c r="I5252" s="402" t="s">
        <v>474</v>
      </c>
      <c r="J5252" s="405" t="s">
        <v>475</v>
      </c>
    </row>
    <row r="5253" spans="1:10" ht="13">
      <c r="A5253" s="27"/>
      <c r="B5253" s="110"/>
      <c r="D5253" s="406" t="s">
        <v>45</v>
      </c>
      <c r="E5253" s="13" t="s">
        <v>46</v>
      </c>
      <c r="F5253" s="14"/>
      <c r="G5253" s="15"/>
      <c r="H5253" s="451"/>
      <c r="I5253" s="412"/>
      <c r="J5253" s="16"/>
    </row>
    <row r="5254" spans="1:10" ht="13">
      <c r="A5254" s="27"/>
      <c r="B5254" s="110"/>
      <c r="D5254" s="409"/>
      <c r="E5254" s="13" t="s">
        <v>47</v>
      </c>
      <c r="F5254" s="13" t="s">
        <v>1918</v>
      </c>
      <c r="G5254" s="410" t="s">
        <v>48</v>
      </c>
      <c r="H5254" s="411">
        <v>0.5</v>
      </c>
      <c r="I5254" s="412">
        <f>IF(AND(E5254&lt;&gt;"",G5254&lt;&gt;""),IF(D5254="",IF(G5254="OH",VLOOKUP(F5254,UPAH!$B$4:$H$101,7,0),VLOOKUP(F5254,#REF!,4,0)),0),0)</f>
        <v>0</v>
      </c>
      <c r="J5254" s="16">
        <f>H5254*I5254</f>
        <v>0</v>
      </c>
    </row>
    <row r="5255" spans="1:10" ht="13">
      <c r="A5255" s="27"/>
      <c r="B5255" s="110"/>
      <c r="D5255" s="409"/>
      <c r="E5255" s="13" t="s">
        <v>49</v>
      </c>
      <c r="F5255" s="13" t="s">
        <v>1922</v>
      </c>
      <c r="G5255" s="410" t="s">
        <v>48</v>
      </c>
      <c r="H5255" s="411">
        <v>0.5</v>
      </c>
      <c r="I5255" s="412">
        <f>IF(AND(E5255&lt;&gt;"",G5255&lt;&gt;""),IF(D5255="",IF(G5255="OH",VLOOKUP(F5255,UPAH!$B$4:$H$101,7,0),VLOOKUP(F5255,#REF!,4,0)),0),0)</f>
        <v>0</v>
      </c>
      <c r="J5255" s="16">
        <f>H5255*I5255</f>
        <v>0</v>
      </c>
    </row>
    <row r="5256" spans="1:10" ht="13">
      <c r="A5256" s="27"/>
      <c r="B5256" s="110"/>
      <c r="D5256" s="409"/>
      <c r="E5256" s="13" t="s">
        <v>50</v>
      </c>
      <c r="F5256" s="13" t="s">
        <v>1928</v>
      </c>
      <c r="G5256" s="410" t="s">
        <v>48</v>
      </c>
      <c r="H5256" s="411">
        <v>0.05</v>
      </c>
      <c r="I5256" s="412">
        <f>IF(AND(E5256&lt;&gt;"",G5256&lt;&gt;""),IF(D5256="",IF(G5256="OH",VLOOKUP(F5256,UPAH!$B$4:$H$101,7,0),VLOOKUP(F5256,#REF!,4,0)),0),0)</f>
        <v>0</v>
      </c>
      <c r="J5256" s="16">
        <f>H5256*I5256</f>
        <v>0</v>
      </c>
    </row>
    <row r="5257" spans="1:10" ht="13.5" thickBot="1">
      <c r="A5257" s="27"/>
      <c r="B5257" s="110"/>
      <c r="D5257" s="409"/>
      <c r="E5257" s="13" t="s">
        <v>51</v>
      </c>
      <c r="F5257" s="13" t="s">
        <v>1929</v>
      </c>
      <c r="G5257" s="410" t="s">
        <v>48</v>
      </c>
      <c r="H5257" s="411">
        <v>2.5000000000000001E-2</v>
      </c>
      <c r="I5257" s="412">
        <f>IF(AND(E5257&lt;&gt;"",G5257&lt;&gt;""),IF(D5257="",IF(G5257="OH",VLOOKUP(F5257,UPAH!$B$4:$H$101,7,0),VLOOKUP(F5257,#REF!,4,0)),0),0)</f>
        <v>0</v>
      </c>
      <c r="J5257" s="16">
        <f>H5257*I5257</f>
        <v>0</v>
      </c>
    </row>
    <row r="5258" spans="1:10" ht="13.5" thickBot="1">
      <c r="A5258" s="27"/>
      <c r="B5258" s="110"/>
      <c r="D5258" s="417"/>
      <c r="E5258" s="418"/>
      <c r="F5258" s="418"/>
      <c r="G5258" s="419"/>
      <c r="H5258" s="420" t="s">
        <v>52</v>
      </c>
      <c r="I5258" s="421"/>
      <c r="J5258" s="396">
        <f>SUM(J5254:J5257)</f>
        <v>0</v>
      </c>
    </row>
    <row r="5259" spans="1:10" ht="13">
      <c r="A5259" s="27"/>
      <c r="B5259" s="110"/>
      <c r="D5259" s="406" t="s">
        <v>53</v>
      </c>
      <c r="E5259" s="13" t="s">
        <v>54</v>
      </c>
      <c r="F5259" s="14"/>
      <c r="G5259" s="15"/>
      <c r="H5259" s="451"/>
      <c r="I5259" s="412"/>
      <c r="J5259" s="16"/>
    </row>
    <row r="5260" spans="1:10" ht="13">
      <c r="A5260" s="27"/>
      <c r="B5260" s="110"/>
      <c r="D5260" s="409"/>
      <c r="E5260" s="13" t="s">
        <v>435</v>
      </c>
      <c r="F5260" s="14"/>
      <c r="G5260" s="410" t="s">
        <v>113</v>
      </c>
      <c r="H5260" s="411">
        <v>3.6</v>
      </c>
      <c r="I5260" s="521">
        <f>'BAHAN '!G137</f>
        <v>0</v>
      </c>
      <c r="J5260" s="16">
        <f>H5260*I5260</f>
        <v>0</v>
      </c>
    </row>
    <row r="5261" spans="1:10" ht="13">
      <c r="A5261" s="27"/>
      <c r="B5261" s="110"/>
      <c r="D5261" s="409"/>
      <c r="E5261" s="13" t="s">
        <v>396</v>
      </c>
      <c r="F5261" s="14"/>
      <c r="G5261" s="410" t="s">
        <v>93</v>
      </c>
      <c r="H5261" s="411">
        <v>0.15</v>
      </c>
      <c r="I5261" s="521">
        <f>'BAHAN '!G110</f>
        <v>0</v>
      </c>
      <c r="J5261" s="16">
        <f>H5261*I5261</f>
        <v>0</v>
      </c>
    </row>
    <row r="5262" spans="1:10" ht="13">
      <c r="A5262" s="27"/>
      <c r="B5262" s="110"/>
      <c r="D5262" s="409"/>
      <c r="E5262" s="13" t="s">
        <v>179</v>
      </c>
      <c r="F5262" s="14"/>
      <c r="G5262" s="410" t="s">
        <v>124</v>
      </c>
      <c r="H5262" s="411">
        <v>1.05</v>
      </c>
      <c r="I5262" s="521">
        <f>'BAHAN '!G992</f>
        <v>0</v>
      </c>
      <c r="J5262" s="16">
        <f>H5262*I5262</f>
        <v>0</v>
      </c>
    </row>
    <row r="5263" spans="1:10" ht="13.5" thickBot="1">
      <c r="A5263" s="27"/>
      <c r="B5263" s="110"/>
      <c r="D5263" s="409"/>
      <c r="E5263" s="13" t="s">
        <v>180</v>
      </c>
      <c r="F5263" s="14"/>
      <c r="G5263" s="410" t="s">
        <v>175</v>
      </c>
      <c r="H5263" s="411">
        <v>1.5</v>
      </c>
      <c r="I5263" s="521">
        <f>'BAHAN '!G991</f>
        <v>0</v>
      </c>
      <c r="J5263" s="16">
        <f>H5263*I5263</f>
        <v>0</v>
      </c>
    </row>
    <row r="5264" spans="1:10" ht="13.5" thickBot="1">
      <c r="A5264" s="27"/>
      <c r="B5264" s="110"/>
      <c r="D5264" s="417"/>
      <c r="E5264" s="418"/>
      <c r="F5264" s="418"/>
      <c r="G5264" s="419"/>
      <c r="H5264" s="420" t="s">
        <v>64</v>
      </c>
      <c r="I5264" s="421"/>
      <c r="J5264" s="396">
        <f>SUM(J5260:J5263)</f>
        <v>0</v>
      </c>
    </row>
    <row r="5265" spans="1:10" ht="13.5" thickBot="1">
      <c r="A5265" s="27"/>
      <c r="B5265" s="110"/>
      <c r="D5265" s="406" t="s">
        <v>65</v>
      </c>
      <c r="E5265" s="13" t="s">
        <v>66</v>
      </c>
      <c r="F5265" s="14"/>
      <c r="G5265" s="15"/>
      <c r="H5265" s="451"/>
      <c r="I5265" s="412">
        <f>IF(AND(E5265&lt;&gt;"",G5265&lt;&gt;""),IF(D5265="",IF(G5265="OH",VLOOKUP(E5265,UPAH!$C$4:$H$31,7,0),VLOOKUP(E5265,#REF!,4,0)),0),0)</f>
        <v>0</v>
      </c>
      <c r="J5265" s="16">
        <f>H5265*I5265</f>
        <v>0</v>
      </c>
    </row>
    <row r="5266" spans="1:10" ht="13.5" thickBot="1">
      <c r="A5266" s="27"/>
      <c r="B5266" s="110"/>
      <c r="D5266" s="417"/>
      <c r="E5266" s="418"/>
      <c r="F5266" s="418"/>
      <c r="G5266" s="419"/>
      <c r="H5266" s="420" t="s">
        <v>67</v>
      </c>
      <c r="I5266" s="421"/>
      <c r="J5266" s="396">
        <f>J5265</f>
        <v>0</v>
      </c>
    </row>
    <row r="5267" spans="1:10" ht="13">
      <c r="A5267" s="27"/>
      <c r="B5267" s="110"/>
      <c r="D5267" s="444" t="s">
        <v>68</v>
      </c>
      <c r="E5267" s="445" t="s">
        <v>69</v>
      </c>
      <c r="F5267" s="446"/>
      <c r="G5267" s="447"/>
      <c r="H5267" s="448"/>
      <c r="I5267" s="449">
        <f>IF(AND(E5267&lt;&gt;"",G5267&lt;&gt;""),IF(D5267="",IF(G5267="OH",VLOOKUP(E5267,UPAH!$C$4:$H$31,7,0),VLOOKUP(E5267,#REF!,4,0)),0),0)</f>
        <v>0</v>
      </c>
      <c r="J5267" s="16">
        <f>SUM(J5254:J5266)/2</f>
        <v>0</v>
      </c>
    </row>
    <row r="5268" spans="1:10" ht="13.5" thickBot="1">
      <c r="A5268" s="27"/>
      <c r="B5268" s="110"/>
      <c r="D5268" s="431" t="s">
        <v>70</v>
      </c>
      <c r="E5268" s="432" t="s">
        <v>477</v>
      </c>
      <c r="F5268" s="433"/>
      <c r="G5268" s="434"/>
      <c r="H5268" s="22">
        <v>0.1</v>
      </c>
      <c r="I5268" s="436"/>
      <c r="J5268" s="430">
        <f>H5268*J5267</f>
        <v>0</v>
      </c>
    </row>
    <row r="5269" spans="1:10" ht="13.5" thickBot="1">
      <c r="A5269" s="27"/>
      <c r="B5269" s="110"/>
      <c r="D5269" s="401" t="s">
        <v>71</v>
      </c>
      <c r="E5269" s="402" t="s">
        <v>72</v>
      </c>
      <c r="F5269" s="418"/>
      <c r="G5269" s="419"/>
      <c r="H5269" s="442"/>
      <c r="I5269" s="421">
        <f>IF(AND(E5269&lt;&gt;"",G5269&lt;&gt;""),IF(D5269="",IF(G5269="OH",VLOOKUP(E5269,UPAH!$C$4:$H$31,7,0),VLOOKUP(E5269,#REF!,4,0)),0),0)</f>
        <v>0</v>
      </c>
      <c r="J5269" s="396">
        <f>ROUNDDOWN(J5267+J5268,0)</f>
        <v>0</v>
      </c>
    </row>
    <row r="5270" spans="1:10" ht="13">
      <c r="A5270" s="27"/>
      <c r="B5270" s="110"/>
      <c r="D5270" s="11"/>
      <c r="E5270" s="11"/>
      <c r="H5270" s="443"/>
    </row>
    <row r="5271" spans="1:10" ht="13.5" thickBot="1">
      <c r="A5271" s="27"/>
      <c r="B5271" s="110"/>
      <c r="C5271" s="11" t="s">
        <v>1774</v>
      </c>
      <c r="D5271" s="10" t="s">
        <v>1775</v>
      </c>
      <c r="H5271" s="443"/>
    </row>
    <row r="5272" spans="1:10" ht="13.5" thickBot="1">
      <c r="A5272" s="27"/>
      <c r="B5272" s="110"/>
      <c r="D5272" s="401" t="s">
        <v>40</v>
      </c>
      <c r="E5272" s="402" t="s">
        <v>41</v>
      </c>
      <c r="F5272" s="402" t="s">
        <v>42</v>
      </c>
      <c r="G5272" s="403" t="s">
        <v>43</v>
      </c>
      <c r="H5272" s="404" t="s">
        <v>44</v>
      </c>
      <c r="I5272" s="402" t="s">
        <v>474</v>
      </c>
      <c r="J5272" s="405" t="s">
        <v>475</v>
      </c>
    </row>
    <row r="5273" spans="1:10" ht="13">
      <c r="A5273" s="27"/>
      <c r="B5273" s="110"/>
      <c r="D5273" s="406" t="s">
        <v>45</v>
      </c>
      <c r="E5273" s="13" t="s">
        <v>46</v>
      </c>
      <c r="F5273" s="14"/>
      <c r="G5273" s="15"/>
      <c r="H5273" s="451"/>
      <c r="I5273" s="412"/>
      <c r="J5273" s="16"/>
    </row>
    <row r="5274" spans="1:10" ht="13">
      <c r="A5274" s="27"/>
      <c r="B5274" s="110"/>
      <c r="D5274" s="409"/>
      <c r="E5274" s="13" t="s">
        <v>47</v>
      </c>
      <c r="F5274" s="13" t="s">
        <v>1918</v>
      </c>
      <c r="G5274" s="410" t="s">
        <v>48</v>
      </c>
      <c r="H5274" s="411">
        <v>0.05</v>
      </c>
      <c r="I5274" s="412">
        <f>IF(AND(E5274&lt;&gt;"",G5274&lt;&gt;""),IF(D5274="",IF(G5274="OH",VLOOKUP(F5274,UPAH!$B$4:$H$101,7,0),VLOOKUP(F5274,#REF!,4,0)),0),0)</f>
        <v>0</v>
      </c>
      <c r="J5274" s="16">
        <f>H5274*I5274</f>
        <v>0</v>
      </c>
    </row>
    <row r="5275" spans="1:10" ht="13">
      <c r="A5275" s="27"/>
      <c r="B5275" s="110"/>
      <c r="D5275" s="409"/>
      <c r="E5275" s="13" t="s">
        <v>476</v>
      </c>
      <c r="F5275" s="13" t="s">
        <v>1922</v>
      </c>
      <c r="G5275" s="410" t="s">
        <v>48</v>
      </c>
      <c r="H5275" s="411">
        <v>0.05</v>
      </c>
      <c r="I5275" s="412">
        <f>IF(AND(E5275&lt;&gt;"",G5275&lt;&gt;""),IF(D5275="",IF(G5275="OH",VLOOKUP(F5275,UPAH!$B$4:$H$101,7,0),VLOOKUP(F5275,#REF!,4,0)),0),0)</f>
        <v>0</v>
      </c>
      <c r="J5275" s="16">
        <f>H5275*I5275</f>
        <v>0</v>
      </c>
    </row>
    <row r="5276" spans="1:10" ht="13">
      <c r="A5276" s="27"/>
      <c r="B5276" s="110"/>
      <c r="D5276" s="409"/>
      <c r="E5276" s="13" t="s">
        <v>50</v>
      </c>
      <c r="F5276" s="13" t="s">
        <v>1928</v>
      </c>
      <c r="G5276" s="410" t="s">
        <v>48</v>
      </c>
      <c r="H5276" s="411">
        <v>5.0000000000000001E-3</v>
      </c>
      <c r="I5276" s="412">
        <f>IF(AND(E5276&lt;&gt;"",G5276&lt;&gt;""),IF(D5276="",IF(G5276="OH",VLOOKUP(F5276,UPAH!$B$4:$H$101,7,0),VLOOKUP(F5276,#REF!,4,0)),0),0)</f>
        <v>0</v>
      </c>
      <c r="J5276" s="16">
        <f>H5276*I5276</f>
        <v>0</v>
      </c>
    </row>
    <row r="5277" spans="1:10" ht="13.5" thickBot="1">
      <c r="A5277" s="27"/>
      <c r="B5277" s="110"/>
      <c r="D5277" s="409"/>
      <c r="E5277" s="13" t="s">
        <v>51</v>
      </c>
      <c r="F5277" s="13" t="s">
        <v>1929</v>
      </c>
      <c r="G5277" s="410" t="s">
        <v>48</v>
      </c>
      <c r="H5277" s="411">
        <v>3.0000000000000001E-3</v>
      </c>
      <c r="I5277" s="412">
        <f>IF(AND(E5277&lt;&gt;"",G5277&lt;&gt;""),IF(D5277="",IF(G5277="OH",VLOOKUP(F5277,UPAH!$B$4:$H$101,7,0),VLOOKUP(F5277,#REF!,4,0)),0),0)</f>
        <v>0</v>
      </c>
      <c r="J5277" s="16">
        <f>H5277*I5277</f>
        <v>0</v>
      </c>
    </row>
    <row r="5278" spans="1:10" ht="13.5" thickBot="1">
      <c r="A5278" s="27"/>
      <c r="B5278" s="110"/>
      <c r="D5278" s="417"/>
      <c r="E5278" s="418"/>
      <c r="F5278" s="418"/>
      <c r="G5278" s="419"/>
      <c r="H5278" s="420" t="s">
        <v>52</v>
      </c>
      <c r="I5278" s="421"/>
      <c r="J5278" s="396">
        <f>SUM(J5274:J5277)</f>
        <v>0</v>
      </c>
    </row>
    <row r="5279" spans="1:10" ht="13">
      <c r="A5279" s="27"/>
      <c r="B5279" s="110"/>
      <c r="D5279" s="406" t="s">
        <v>53</v>
      </c>
      <c r="E5279" s="13" t="s">
        <v>54</v>
      </c>
      <c r="F5279" s="14"/>
      <c r="G5279" s="15"/>
      <c r="H5279" s="451"/>
      <c r="I5279" s="412"/>
      <c r="J5279" s="16"/>
    </row>
    <row r="5280" spans="1:10" ht="13">
      <c r="A5280" s="27"/>
      <c r="B5280" s="110"/>
      <c r="D5280" s="409"/>
      <c r="E5280" s="13" t="s">
        <v>181</v>
      </c>
      <c r="F5280" s="14"/>
      <c r="G5280" s="410" t="s">
        <v>113</v>
      </c>
      <c r="H5280" s="411">
        <v>1.05</v>
      </c>
      <c r="I5280" s="412">
        <f>'BAHAN '!G799</f>
        <v>0</v>
      </c>
      <c r="J5280" s="16">
        <f>H5280*I5280</f>
        <v>0</v>
      </c>
    </row>
    <row r="5281" spans="1:10" ht="13.5" thickBot="1">
      <c r="A5281" s="27"/>
      <c r="B5281" s="110"/>
      <c r="D5281" s="409"/>
      <c r="E5281" s="13" t="s">
        <v>486</v>
      </c>
      <c r="F5281" s="14"/>
      <c r="G5281" s="410" t="s">
        <v>93</v>
      </c>
      <c r="H5281" s="411">
        <v>0.01</v>
      </c>
      <c r="I5281" s="412">
        <f>'BAHAN '!G127</f>
        <v>0</v>
      </c>
      <c r="J5281" s="16">
        <f>H5281*I5281</f>
        <v>0</v>
      </c>
    </row>
    <row r="5282" spans="1:10" ht="13.5" thickBot="1">
      <c r="A5282" s="27"/>
      <c r="B5282" s="110"/>
      <c r="D5282" s="417"/>
      <c r="E5282" s="418"/>
      <c r="F5282" s="418"/>
      <c r="G5282" s="419"/>
      <c r="H5282" s="420" t="s">
        <v>64</v>
      </c>
      <c r="I5282" s="421"/>
      <c r="J5282" s="396">
        <f>SUM(J5280:J5281)</f>
        <v>0</v>
      </c>
    </row>
    <row r="5283" spans="1:10" ht="13.5" thickBot="1">
      <c r="A5283" s="27"/>
      <c r="B5283" s="110"/>
      <c r="D5283" s="406" t="s">
        <v>65</v>
      </c>
      <c r="E5283" s="13" t="s">
        <v>66</v>
      </c>
      <c r="F5283" s="14"/>
      <c r="G5283" s="15"/>
      <c r="H5283" s="451"/>
      <c r="I5283" s="412">
        <f>IF(AND(E5283&lt;&gt;"",G5283&lt;&gt;""),IF(D5283="",IF(G5283="OH",VLOOKUP(E5283,UPAH!$C$4:$H$31,7,0),VLOOKUP(E5283,#REF!,4,0)),0),0)</f>
        <v>0</v>
      </c>
      <c r="J5283" s="16">
        <f>H5283*I5283</f>
        <v>0</v>
      </c>
    </row>
    <row r="5284" spans="1:10" ht="13.5" thickBot="1">
      <c r="A5284" s="27"/>
      <c r="B5284" s="110"/>
      <c r="D5284" s="417"/>
      <c r="E5284" s="418"/>
      <c r="F5284" s="418"/>
      <c r="G5284" s="419"/>
      <c r="H5284" s="420" t="s">
        <v>67</v>
      </c>
      <c r="I5284" s="421"/>
      <c r="J5284" s="396">
        <f>J5283</f>
        <v>0</v>
      </c>
    </row>
    <row r="5285" spans="1:10" ht="13">
      <c r="A5285" s="27"/>
      <c r="B5285" s="110"/>
      <c r="D5285" s="444" t="s">
        <v>68</v>
      </c>
      <c r="E5285" s="445" t="s">
        <v>69</v>
      </c>
      <c r="F5285" s="446"/>
      <c r="G5285" s="447"/>
      <c r="H5285" s="448"/>
      <c r="I5285" s="449">
        <f>IF(AND(E5285&lt;&gt;"",G5285&lt;&gt;""),IF(D5285="",IF(G5285="OH",VLOOKUP(E5285,UPAH!$C$4:$H$31,7,0),VLOOKUP(E5285,#REF!,4,0)),0),0)</f>
        <v>0</v>
      </c>
      <c r="J5285" s="16">
        <f>SUM(J5274:J5284)/2</f>
        <v>0</v>
      </c>
    </row>
    <row r="5286" spans="1:10" ht="13.5" thickBot="1">
      <c r="A5286" s="27"/>
      <c r="B5286" s="110"/>
      <c r="D5286" s="431" t="s">
        <v>70</v>
      </c>
      <c r="E5286" s="432" t="s">
        <v>477</v>
      </c>
      <c r="F5286" s="433"/>
      <c r="G5286" s="434"/>
      <c r="H5286" s="22">
        <v>0.1</v>
      </c>
      <c r="I5286" s="436"/>
      <c r="J5286" s="430">
        <f>H5286*J5285</f>
        <v>0</v>
      </c>
    </row>
    <row r="5287" spans="1:10" ht="13.5" thickBot="1">
      <c r="A5287" s="27"/>
      <c r="B5287" s="110"/>
      <c r="D5287" s="401" t="s">
        <v>71</v>
      </c>
      <c r="E5287" s="402" t="s">
        <v>72</v>
      </c>
      <c r="F5287" s="418"/>
      <c r="G5287" s="419"/>
      <c r="H5287" s="442"/>
      <c r="I5287" s="421">
        <f>IF(AND(E5287&lt;&gt;"",G5287&lt;&gt;""),IF(D5287="",IF(G5287="OH",VLOOKUP(E5287,UPAH!$C$4:$H$31,7,0),VLOOKUP(E5287,#REF!,4,0)),0),0)</f>
        <v>0</v>
      </c>
      <c r="J5287" s="396">
        <f>ROUNDDOWN(J5285+J5286,0)</f>
        <v>0</v>
      </c>
    </row>
    <row r="5288" spans="1:10" ht="13">
      <c r="A5288" s="27"/>
      <c r="B5288" s="110"/>
      <c r="E5288" s="11" t="s">
        <v>505</v>
      </c>
      <c r="H5288" s="443"/>
    </row>
    <row r="5289" spans="1:10" ht="13">
      <c r="A5289" s="27"/>
      <c r="B5289" s="110"/>
      <c r="E5289" s="11" t="s">
        <v>506</v>
      </c>
      <c r="H5289" s="443"/>
    </row>
    <row r="5290" spans="1:10" ht="13">
      <c r="A5290" s="27"/>
      <c r="B5290" s="110"/>
      <c r="E5290" s="11"/>
      <c r="H5290" s="443"/>
    </row>
    <row r="5291" spans="1:10" ht="13.5" thickBot="1">
      <c r="A5291" s="27"/>
      <c r="B5291" s="110"/>
      <c r="C5291" s="11" t="s">
        <v>1778</v>
      </c>
      <c r="D5291" s="10" t="s">
        <v>1776</v>
      </c>
      <c r="H5291" s="443"/>
    </row>
    <row r="5292" spans="1:10" ht="13.5" thickBot="1">
      <c r="A5292" s="27"/>
      <c r="B5292" s="110"/>
      <c r="D5292" s="401" t="s">
        <v>40</v>
      </c>
      <c r="E5292" s="402" t="s">
        <v>41</v>
      </c>
      <c r="F5292" s="402" t="s">
        <v>42</v>
      </c>
      <c r="G5292" s="403" t="s">
        <v>43</v>
      </c>
      <c r="H5292" s="404" t="s">
        <v>44</v>
      </c>
      <c r="I5292" s="402" t="s">
        <v>474</v>
      </c>
      <c r="J5292" s="405" t="s">
        <v>475</v>
      </c>
    </row>
    <row r="5293" spans="1:10" ht="13">
      <c r="A5293" s="27"/>
      <c r="B5293" s="110"/>
      <c r="D5293" s="406" t="s">
        <v>45</v>
      </c>
      <c r="E5293" s="13" t="s">
        <v>46</v>
      </c>
      <c r="F5293" s="14"/>
      <c r="G5293" s="15"/>
      <c r="H5293" s="451"/>
      <c r="I5293" s="412"/>
      <c r="J5293" s="16"/>
    </row>
    <row r="5294" spans="1:10" ht="13">
      <c r="A5294" s="27"/>
      <c r="B5294" s="110"/>
      <c r="D5294" s="409"/>
      <c r="E5294" s="13" t="s">
        <v>47</v>
      </c>
      <c r="F5294" s="13" t="s">
        <v>1918</v>
      </c>
      <c r="G5294" s="410" t="s">
        <v>48</v>
      </c>
      <c r="H5294" s="411">
        <v>0.15</v>
      </c>
      <c r="I5294" s="412">
        <f>IF(AND(E5294&lt;&gt;"",G5294&lt;&gt;""),IF(D5294="",IF(G5294="OH",VLOOKUP(F5294,UPAH!$B$4:$H$101,7,0),VLOOKUP(F5294,#REF!,4,0)),0),0)</f>
        <v>0</v>
      </c>
      <c r="J5294" s="16">
        <f>H5294*I5294</f>
        <v>0</v>
      </c>
    </row>
    <row r="5295" spans="1:10" ht="13">
      <c r="A5295" s="27"/>
      <c r="B5295" s="110"/>
      <c r="D5295" s="409"/>
      <c r="E5295" s="13" t="s">
        <v>476</v>
      </c>
      <c r="F5295" s="13" t="s">
        <v>1922</v>
      </c>
      <c r="G5295" s="410" t="s">
        <v>48</v>
      </c>
      <c r="H5295" s="411">
        <v>0.15</v>
      </c>
      <c r="I5295" s="412">
        <f>IF(AND(E5295&lt;&gt;"",G5295&lt;&gt;""),IF(D5295="",IF(G5295="OH",VLOOKUP(F5295,UPAH!$B$4:$H$101,7,0),VLOOKUP(F5295,#REF!,4,0)),0),0)</f>
        <v>0</v>
      </c>
      <c r="J5295" s="16">
        <f>H5295*I5295</f>
        <v>0</v>
      </c>
    </row>
    <row r="5296" spans="1:10" ht="13">
      <c r="A5296" s="27"/>
      <c r="B5296" s="110"/>
      <c r="D5296" s="409"/>
      <c r="E5296" s="13" t="s">
        <v>50</v>
      </c>
      <c r="F5296" s="13" t="s">
        <v>1928</v>
      </c>
      <c r="G5296" s="410" t="s">
        <v>48</v>
      </c>
      <c r="H5296" s="411">
        <v>2.5000000000000001E-2</v>
      </c>
      <c r="I5296" s="412">
        <f>IF(AND(E5296&lt;&gt;"",G5296&lt;&gt;""),IF(D5296="",IF(G5296="OH",VLOOKUP(F5296,UPAH!$B$4:$H$101,7,0),VLOOKUP(F5296,#REF!,4,0)),0),0)</f>
        <v>0</v>
      </c>
      <c r="J5296" s="16">
        <f>H5296*I5296</f>
        <v>0</v>
      </c>
    </row>
    <row r="5297" spans="1:12" ht="13.5" thickBot="1">
      <c r="A5297" s="27"/>
      <c r="B5297" s="110"/>
      <c r="D5297" s="409"/>
      <c r="E5297" s="13" t="s">
        <v>51</v>
      </c>
      <c r="F5297" s="13" t="s">
        <v>1929</v>
      </c>
      <c r="G5297" s="410" t="s">
        <v>48</v>
      </c>
      <c r="H5297" s="411">
        <v>7.4999999999999997E-2</v>
      </c>
      <c r="I5297" s="412">
        <f>IF(AND(E5297&lt;&gt;"",G5297&lt;&gt;""),IF(D5297="",IF(G5297="OH",VLOOKUP(F5297,UPAH!$B$4:$H$101,7,0),VLOOKUP(F5297,#REF!,4,0)),0),0)</f>
        <v>0</v>
      </c>
      <c r="J5297" s="16">
        <f>H5297*I5297</f>
        <v>0</v>
      </c>
    </row>
    <row r="5298" spans="1:12" ht="13.5" thickBot="1">
      <c r="A5298" s="27"/>
      <c r="B5298" s="110"/>
      <c r="D5298" s="417"/>
      <c r="E5298" s="418"/>
      <c r="F5298" s="418"/>
      <c r="G5298" s="419"/>
      <c r="H5298" s="420" t="s">
        <v>52</v>
      </c>
      <c r="I5298" s="421"/>
      <c r="J5298" s="396">
        <f>SUM(J5294:J5297)</f>
        <v>0</v>
      </c>
    </row>
    <row r="5299" spans="1:12" ht="13">
      <c r="A5299" s="27"/>
      <c r="B5299" s="110"/>
      <c r="D5299" s="406" t="s">
        <v>53</v>
      </c>
      <c r="E5299" s="13" t="s">
        <v>54</v>
      </c>
      <c r="F5299" s="14"/>
      <c r="G5299" s="15"/>
      <c r="H5299" s="451"/>
      <c r="I5299" s="412"/>
      <c r="J5299" s="16"/>
    </row>
    <row r="5300" spans="1:12" ht="13">
      <c r="A5300" s="27"/>
      <c r="B5300" s="110"/>
      <c r="D5300" s="409"/>
      <c r="E5300" s="13" t="s">
        <v>433</v>
      </c>
      <c r="F5300" s="14"/>
      <c r="G5300" s="410" t="s">
        <v>376</v>
      </c>
      <c r="H5300" s="411">
        <v>1.05</v>
      </c>
      <c r="I5300" s="412">
        <v>0</v>
      </c>
      <c r="J5300" s="16">
        <f>H5300*I5300</f>
        <v>0</v>
      </c>
      <c r="L5300" s="111"/>
    </row>
    <row r="5301" spans="1:12" ht="13.5" thickBot="1">
      <c r="A5301" s="27"/>
      <c r="B5301" s="110"/>
      <c r="D5301" s="409"/>
      <c r="E5301" s="13" t="s">
        <v>1777</v>
      </c>
      <c r="F5301" s="14"/>
      <c r="G5301" s="410" t="s">
        <v>259</v>
      </c>
      <c r="H5301" s="411">
        <v>18</v>
      </c>
      <c r="I5301" s="412">
        <v>0</v>
      </c>
      <c r="J5301" s="16">
        <f>H5301*I5301</f>
        <v>0</v>
      </c>
    </row>
    <row r="5302" spans="1:12" ht="13.5" thickBot="1">
      <c r="A5302" s="27"/>
      <c r="B5302" s="110"/>
      <c r="D5302" s="417"/>
      <c r="E5302" s="418"/>
      <c r="F5302" s="418"/>
      <c r="G5302" s="419"/>
      <c r="H5302" s="420" t="s">
        <v>64</v>
      </c>
      <c r="I5302" s="421"/>
      <c r="J5302" s="396">
        <f>SUM(J5300:J5301)</f>
        <v>0</v>
      </c>
    </row>
    <row r="5303" spans="1:12" ht="13.5" thickBot="1">
      <c r="A5303" s="27"/>
      <c r="B5303" s="110"/>
      <c r="D5303" s="406" t="s">
        <v>65</v>
      </c>
      <c r="E5303" s="13" t="s">
        <v>66</v>
      </c>
      <c r="F5303" s="14"/>
      <c r="G5303" s="15"/>
      <c r="H5303" s="451"/>
      <c r="I5303" s="412">
        <f>IF(AND(E5303&lt;&gt;"",G5303&lt;&gt;""),IF(D5303="",IF(G5303="OH",VLOOKUP(E5303,UPAH!$C$4:$H$31,7,0),VLOOKUP(E5303,#REF!,4,0)),0),0)</f>
        <v>0</v>
      </c>
      <c r="J5303" s="16">
        <f>H5303*I5303</f>
        <v>0</v>
      </c>
    </row>
    <row r="5304" spans="1:12" ht="13.5" thickBot="1">
      <c r="A5304" s="27"/>
      <c r="B5304" s="110"/>
      <c r="D5304" s="417"/>
      <c r="E5304" s="418"/>
      <c r="F5304" s="418"/>
      <c r="G5304" s="419"/>
      <c r="H5304" s="420" t="s">
        <v>67</v>
      </c>
      <c r="I5304" s="421"/>
      <c r="J5304" s="396">
        <f>J5303</f>
        <v>0</v>
      </c>
    </row>
    <row r="5305" spans="1:12" ht="13">
      <c r="A5305" s="27"/>
      <c r="B5305" s="110"/>
      <c r="D5305" s="444" t="s">
        <v>68</v>
      </c>
      <c r="E5305" s="445" t="s">
        <v>69</v>
      </c>
      <c r="F5305" s="446"/>
      <c r="G5305" s="447"/>
      <c r="H5305" s="448"/>
      <c r="I5305" s="449">
        <f>IF(AND(E5305&lt;&gt;"",G5305&lt;&gt;""),IF(D5305="",IF(G5305="OH",VLOOKUP(E5305,UPAH!$C$4:$H$31,7,0),VLOOKUP(E5305,#REF!,4,0)),0),0)</f>
        <v>0</v>
      </c>
      <c r="J5305" s="16">
        <f>SUM(J5294:J5304)/2</f>
        <v>0</v>
      </c>
    </row>
    <row r="5306" spans="1:12" ht="13.5" thickBot="1">
      <c r="A5306" s="27"/>
      <c r="B5306" s="110"/>
      <c r="D5306" s="431" t="s">
        <v>70</v>
      </c>
      <c r="E5306" s="432" t="s">
        <v>477</v>
      </c>
      <c r="F5306" s="433"/>
      <c r="G5306" s="434"/>
      <c r="H5306" s="22">
        <v>0.1</v>
      </c>
      <c r="I5306" s="436"/>
      <c r="J5306" s="430">
        <f>H5306*J5305</f>
        <v>0</v>
      </c>
    </row>
    <row r="5307" spans="1:12" ht="13.5" thickBot="1">
      <c r="A5307" s="27"/>
      <c r="B5307" s="110"/>
      <c r="D5307" s="401" t="s">
        <v>71</v>
      </c>
      <c r="E5307" s="402" t="s">
        <v>72</v>
      </c>
      <c r="F5307" s="418"/>
      <c r="G5307" s="419"/>
      <c r="H5307" s="442"/>
      <c r="I5307" s="421">
        <f>IF(AND(E5307&lt;&gt;"",G5307&lt;&gt;""),IF(D5307="",IF(G5307="OH",VLOOKUP(E5307,UPAH!$C$4:$H$31,7,0),VLOOKUP(E5307,#REF!,4,0)),0),0)</f>
        <v>0</v>
      </c>
      <c r="J5307" s="396">
        <f>ROUNDDOWN(J5305+J5306,0)</f>
        <v>0</v>
      </c>
    </row>
    <row r="5308" spans="1:12" ht="13">
      <c r="A5308" s="27"/>
      <c r="B5308" s="110"/>
      <c r="E5308" s="11"/>
      <c r="H5308" s="443"/>
    </row>
    <row r="5309" spans="1:12" ht="13.5" thickBot="1">
      <c r="A5309" s="27"/>
      <c r="B5309" s="110"/>
      <c r="C5309" s="11" t="s">
        <v>1778</v>
      </c>
      <c r="D5309" s="10" t="s">
        <v>3220</v>
      </c>
      <c r="H5309" s="443"/>
    </row>
    <row r="5310" spans="1:12" ht="13.5" thickBot="1">
      <c r="A5310" s="27"/>
      <c r="B5310" s="110"/>
      <c r="D5310" s="401" t="s">
        <v>40</v>
      </c>
      <c r="E5310" s="402" t="s">
        <v>41</v>
      </c>
      <c r="F5310" s="402" t="s">
        <v>42</v>
      </c>
      <c r="G5310" s="403" t="s">
        <v>43</v>
      </c>
      <c r="H5310" s="404" t="s">
        <v>44</v>
      </c>
      <c r="I5310" s="402" t="s">
        <v>474</v>
      </c>
      <c r="J5310" s="405" t="s">
        <v>475</v>
      </c>
    </row>
    <row r="5311" spans="1:12" ht="13">
      <c r="A5311" s="27"/>
      <c r="B5311" s="110"/>
      <c r="D5311" s="406" t="s">
        <v>45</v>
      </c>
      <c r="E5311" s="13" t="s">
        <v>46</v>
      </c>
      <c r="F5311" s="14"/>
      <c r="G5311" s="15"/>
      <c r="H5311" s="451"/>
      <c r="I5311" s="412"/>
      <c r="J5311" s="16"/>
    </row>
    <row r="5312" spans="1:12" ht="13">
      <c r="A5312" s="27"/>
      <c r="B5312" s="110"/>
      <c r="D5312" s="409"/>
      <c r="E5312" s="13" t="s">
        <v>47</v>
      </c>
      <c r="F5312" s="13" t="s">
        <v>1918</v>
      </c>
      <c r="G5312" s="410" t="s">
        <v>48</v>
      </c>
      <c r="H5312" s="411">
        <v>0.1</v>
      </c>
      <c r="I5312" s="412">
        <f>IF(AND(E5312&lt;&gt;"",G5312&lt;&gt;""),IF(D5312="",IF(G5312="OH",VLOOKUP(F5312,UPAH!$B$4:$H$101,7,0),VLOOKUP(F5312,#REF!,4,0)),0),0)</f>
        <v>0</v>
      </c>
      <c r="J5312" s="16">
        <f>H5312*I5312</f>
        <v>0</v>
      </c>
    </row>
    <row r="5313" spans="1:10" ht="13">
      <c r="A5313" s="27"/>
      <c r="B5313" s="110"/>
      <c r="D5313" s="409"/>
      <c r="E5313" s="13" t="s">
        <v>476</v>
      </c>
      <c r="F5313" s="13" t="s">
        <v>1922</v>
      </c>
      <c r="G5313" s="410" t="s">
        <v>48</v>
      </c>
      <c r="H5313" s="411">
        <v>0.05</v>
      </c>
      <c r="I5313" s="412">
        <f>IF(AND(E5313&lt;&gt;"",G5313&lt;&gt;""),IF(D5313="",IF(G5313="OH",VLOOKUP(F5313,UPAH!$B$4:$H$101,7,0),VLOOKUP(F5313,#REF!,4,0)),0),0)</f>
        <v>0</v>
      </c>
      <c r="J5313" s="16">
        <f>H5313*I5313</f>
        <v>0</v>
      </c>
    </row>
    <row r="5314" spans="1:10" ht="13">
      <c r="A5314" s="27"/>
      <c r="B5314" s="110"/>
      <c r="D5314" s="409"/>
      <c r="E5314" s="13" t="s">
        <v>50</v>
      </c>
      <c r="F5314" s="13" t="s">
        <v>1928</v>
      </c>
      <c r="G5314" s="410" t="s">
        <v>48</v>
      </c>
      <c r="H5314" s="411">
        <v>5.0000000000000001E-3</v>
      </c>
      <c r="I5314" s="412">
        <f>IF(AND(E5314&lt;&gt;"",G5314&lt;&gt;""),IF(D5314="",IF(G5314="OH",VLOOKUP(F5314,UPAH!$B$4:$H$101,7,0),VLOOKUP(F5314,#REF!,4,0)),0),0)</f>
        <v>0</v>
      </c>
      <c r="J5314" s="16">
        <f>H5314*I5314</f>
        <v>0</v>
      </c>
    </row>
    <row r="5315" spans="1:10" ht="13.5" thickBot="1">
      <c r="A5315" s="27"/>
      <c r="B5315" s="110"/>
      <c r="D5315" s="409"/>
      <c r="E5315" s="13" t="s">
        <v>51</v>
      </c>
      <c r="F5315" s="13" t="s">
        <v>1929</v>
      </c>
      <c r="G5315" s="410" t="s">
        <v>48</v>
      </c>
      <c r="H5315" s="411">
        <v>5.0000000000000001E-3</v>
      </c>
      <c r="I5315" s="412">
        <f>IF(AND(E5315&lt;&gt;"",G5315&lt;&gt;""),IF(D5315="",IF(G5315="OH",VLOOKUP(F5315,UPAH!$B$4:$H$101,7,0),VLOOKUP(F5315,#REF!,4,0)),0),0)</f>
        <v>0</v>
      </c>
      <c r="J5315" s="16">
        <f>H5315*I5315</f>
        <v>0</v>
      </c>
    </row>
    <row r="5316" spans="1:10" ht="13.5" thickBot="1">
      <c r="A5316" s="27"/>
      <c r="B5316" s="110"/>
      <c r="D5316" s="417"/>
      <c r="E5316" s="418"/>
      <c r="F5316" s="418"/>
      <c r="G5316" s="419"/>
      <c r="H5316" s="420" t="s">
        <v>52</v>
      </c>
      <c r="I5316" s="421"/>
      <c r="J5316" s="396">
        <f>SUM(J5312:J5315)</f>
        <v>0</v>
      </c>
    </row>
    <row r="5317" spans="1:10" ht="13">
      <c r="A5317" s="27"/>
      <c r="B5317" s="110"/>
      <c r="D5317" s="406" t="s">
        <v>53</v>
      </c>
      <c r="E5317" s="13" t="s">
        <v>54</v>
      </c>
      <c r="F5317" s="14"/>
      <c r="G5317" s="15"/>
      <c r="H5317" s="451"/>
      <c r="I5317" s="412"/>
      <c r="J5317" s="16"/>
    </row>
    <row r="5318" spans="1:10" ht="13">
      <c r="A5318" s="27"/>
      <c r="B5318" s="110"/>
      <c r="D5318" s="409"/>
      <c r="E5318" s="13" t="s">
        <v>403</v>
      </c>
      <c r="F5318" s="14"/>
      <c r="G5318" s="410" t="s">
        <v>391</v>
      </c>
      <c r="H5318" s="411">
        <v>1.05</v>
      </c>
      <c r="I5318" s="412">
        <v>0</v>
      </c>
      <c r="J5318" s="16">
        <f>H5318*I5318</f>
        <v>0</v>
      </c>
    </row>
    <row r="5319" spans="1:10" ht="13.5" thickBot="1">
      <c r="A5319" s="27"/>
      <c r="B5319" s="110"/>
      <c r="D5319" s="409"/>
      <c r="E5319" s="13" t="s">
        <v>1777</v>
      </c>
      <c r="F5319" s="14"/>
      <c r="G5319" s="410" t="s">
        <v>259</v>
      </c>
      <c r="H5319" s="411">
        <v>6</v>
      </c>
      <c r="I5319" s="412">
        <v>0</v>
      </c>
      <c r="J5319" s="16">
        <f>H5319*I5319</f>
        <v>0</v>
      </c>
    </row>
    <row r="5320" spans="1:10" ht="13.5" thickBot="1">
      <c r="A5320" s="27"/>
      <c r="B5320" s="110"/>
      <c r="D5320" s="417"/>
      <c r="E5320" s="418"/>
      <c r="F5320" s="418"/>
      <c r="G5320" s="419"/>
      <c r="H5320" s="420" t="s">
        <v>64</v>
      </c>
      <c r="I5320" s="421"/>
      <c r="J5320" s="396">
        <f>SUM(J5318:J5319)</f>
        <v>0</v>
      </c>
    </row>
    <row r="5321" spans="1:10" ht="13.5" thickBot="1">
      <c r="A5321" s="27"/>
      <c r="B5321" s="110"/>
      <c r="D5321" s="406" t="s">
        <v>65</v>
      </c>
      <c r="E5321" s="13" t="s">
        <v>66</v>
      </c>
      <c r="F5321" s="14"/>
      <c r="G5321" s="15"/>
      <c r="H5321" s="451"/>
      <c r="I5321" s="412">
        <f>IF(AND(E5321&lt;&gt;"",G5321&lt;&gt;""),IF(D5321="",IF(G5321="OH",VLOOKUP(E5321,UPAH!$C$4:$H$31,7,0),VLOOKUP(E5321,#REF!,4,0)),0),0)</f>
        <v>0</v>
      </c>
      <c r="J5321" s="16">
        <f>H5321*I5321</f>
        <v>0</v>
      </c>
    </row>
    <row r="5322" spans="1:10" ht="13.5" thickBot="1">
      <c r="A5322" s="27"/>
      <c r="B5322" s="110"/>
      <c r="D5322" s="417"/>
      <c r="E5322" s="418"/>
      <c r="F5322" s="418"/>
      <c r="G5322" s="419"/>
      <c r="H5322" s="420" t="s">
        <v>67</v>
      </c>
      <c r="I5322" s="421"/>
      <c r="J5322" s="396">
        <f>J5321</f>
        <v>0</v>
      </c>
    </row>
    <row r="5323" spans="1:10" ht="13">
      <c r="A5323" s="27"/>
      <c r="B5323" s="110"/>
      <c r="D5323" s="444" t="s">
        <v>68</v>
      </c>
      <c r="E5323" s="445" t="s">
        <v>69</v>
      </c>
      <c r="F5323" s="446"/>
      <c r="G5323" s="447"/>
      <c r="H5323" s="448"/>
      <c r="I5323" s="449">
        <f>IF(AND(E5323&lt;&gt;"",G5323&lt;&gt;""),IF(D5323="",IF(G5323="OH",VLOOKUP(E5323,UPAH!$C$4:$H$31,7,0),VLOOKUP(E5323,#REF!,4,0)),0),0)</f>
        <v>0</v>
      </c>
      <c r="J5323" s="16">
        <f>SUM(J5312:J5322)/2</f>
        <v>0</v>
      </c>
    </row>
    <row r="5324" spans="1:10" ht="13.5" thickBot="1">
      <c r="A5324" s="27"/>
      <c r="B5324" s="110"/>
      <c r="D5324" s="431" t="s">
        <v>70</v>
      </c>
      <c r="E5324" s="432" t="s">
        <v>477</v>
      </c>
      <c r="F5324" s="433"/>
      <c r="G5324" s="434"/>
      <c r="H5324" s="22">
        <v>0.1</v>
      </c>
      <c r="I5324" s="436"/>
      <c r="J5324" s="430">
        <f>H5324*J5323</f>
        <v>0</v>
      </c>
    </row>
    <row r="5325" spans="1:10" ht="13.5" thickBot="1">
      <c r="A5325" s="27"/>
      <c r="B5325" s="110"/>
      <c r="D5325" s="401" t="s">
        <v>71</v>
      </c>
      <c r="E5325" s="402" t="s">
        <v>72</v>
      </c>
      <c r="F5325" s="418"/>
      <c r="G5325" s="419"/>
      <c r="H5325" s="442"/>
      <c r="I5325" s="421">
        <f>IF(AND(E5325&lt;&gt;"",G5325&lt;&gt;""),IF(D5325="",IF(G5325="OH",VLOOKUP(E5325,UPAH!$C$4:$H$31,7,0),VLOOKUP(E5325,#REF!,4,0)),0),0)</f>
        <v>0</v>
      </c>
      <c r="J5325" s="396">
        <f>ROUNDDOWN(J5323+J5324,0)</f>
        <v>0</v>
      </c>
    </row>
    <row r="5326" spans="1:10" ht="13">
      <c r="A5326" s="27"/>
      <c r="B5326" s="110"/>
      <c r="E5326" s="11"/>
      <c r="H5326" s="443"/>
    </row>
    <row r="5327" spans="1:10" ht="13.5" thickBot="1">
      <c r="A5327" s="27"/>
      <c r="B5327" s="110"/>
      <c r="C5327" s="11" t="s">
        <v>3568</v>
      </c>
      <c r="D5327" s="10" t="s">
        <v>3569</v>
      </c>
      <c r="H5327" s="443"/>
    </row>
    <row r="5328" spans="1:10" ht="13.5" thickBot="1">
      <c r="A5328" s="27"/>
      <c r="B5328" s="110"/>
      <c r="D5328" s="401" t="s">
        <v>40</v>
      </c>
      <c r="E5328" s="402" t="s">
        <v>41</v>
      </c>
      <c r="F5328" s="402" t="s">
        <v>42</v>
      </c>
      <c r="G5328" s="403" t="s">
        <v>43</v>
      </c>
      <c r="H5328" s="404" t="s">
        <v>44</v>
      </c>
      <c r="I5328" s="402" t="s">
        <v>474</v>
      </c>
      <c r="J5328" s="405" t="s">
        <v>475</v>
      </c>
    </row>
    <row r="5329" spans="1:10" ht="13">
      <c r="A5329" s="27"/>
      <c r="B5329" s="110"/>
      <c r="D5329" s="406" t="s">
        <v>45</v>
      </c>
      <c r="E5329" s="13" t="s">
        <v>46</v>
      </c>
      <c r="F5329" s="14"/>
      <c r="G5329" s="15"/>
      <c r="H5329" s="451"/>
      <c r="I5329" s="412"/>
      <c r="J5329" s="16"/>
    </row>
    <row r="5330" spans="1:10" ht="13">
      <c r="A5330" s="27"/>
      <c r="B5330" s="110"/>
      <c r="D5330" s="409"/>
      <c r="E5330" s="13" t="s">
        <v>47</v>
      </c>
      <c r="F5330" s="13" t="s">
        <v>1918</v>
      </c>
      <c r="G5330" s="410" t="s">
        <v>48</v>
      </c>
      <c r="H5330" s="411">
        <v>0.05</v>
      </c>
      <c r="I5330" s="412">
        <f>IF(AND(E5330&lt;&gt;"",G5330&lt;&gt;""),IF(D5330="",IF(G5330="OH",VLOOKUP(F5330,UPAH!$B$4:$H$101,7,0),VLOOKUP(F5330,#REF!,4,0)),0),0)</f>
        <v>0</v>
      </c>
      <c r="J5330" s="16">
        <f>H5330*I5330</f>
        <v>0</v>
      </c>
    </row>
    <row r="5331" spans="1:10" ht="13">
      <c r="A5331" s="27"/>
      <c r="B5331" s="110"/>
      <c r="D5331" s="409"/>
      <c r="E5331" s="13" t="s">
        <v>476</v>
      </c>
      <c r="F5331" s="13" t="s">
        <v>1922</v>
      </c>
      <c r="G5331" s="410" t="s">
        <v>48</v>
      </c>
      <c r="H5331" s="411">
        <v>0.05</v>
      </c>
      <c r="I5331" s="412">
        <f>IF(AND(E5331&lt;&gt;"",G5331&lt;&gt;""),IF(D5331="",IF(G5331="OH",VLOOKUP(F5331,UPAH!$B$4:$H$101,7,0),VLOOKUP(F5331,#REF!,4,0)),0),0)</f>
        <v>0</v>
      </c>
      <c r="J5331" s="16">
        <f>H5331*I5331</f>
        <v>0</v>
      </c>
    </row>
    <row r="5332" spans="1:10" ht="13">
      <c r="A5332" s="27"/>
      <c r="B5332" s="110"/>
      <c r="D5332" s="409"/>
      <c r="E5332" s="13" t="s">
        <v>50</v>
      </c>
      <c r="F5332" s="13" t="s">
        <v>1928</v>
      </c>
      <c r="G5332" s="410" t="s">
        <v>48</v>
      </c>
      <c r="H5332" s="411">
        <v>5.0000000000000001E-3</v>
      </c>
      <c r="I5332" s="412">
        <f>IF(AND(E5332&lt;&gt;"",G5332&lt;&gt;""),IF(D5332="",IF(G5332="OH",VLOOKUP(F5332,UPAH!$B$4:$H$101,7,0),VLOOKUP(F5332,#REF!,4,0)),0),0)</f>
        <v>0</v>
      </c>
      <c r="J5332" s="16">
        <f>H5332*I5332</f>
        <v>0</v>
      </c>
    </row>
    <row r="5333" spans="1:10" ht="13.5" thickBot="1">
      <c r="A5333" s="27"/>
      <c r="B5333" s="110"/>
      <c r="D5333" s="409"/>
      <c r="E5333" s="13" t="s">
        <v>51</v>
      </c>
      <c r="F5333" s="13" t="s">
        <v>1929</v>
      </c>
      <c r="G5333" s="410" t="s">
        <v>48</v>
      </c>
      <c r="H5333" s="411">
        <v>3.0000000000000001E-3</v>
      </c>
      <c r="I5333" s="412">
        <f>IF(AND(E5333&lt;&gt;"",G5333&lt;&gt;""),IF(D5333="",IF(G5333="OH",VLOOKUP(F5333,UPAH!$B$4:$H$101,7,0),VLOOKUP(F5333,#REF!,4,0)),0),0)</f>
        <v>0</v>
      </c>
      <c r="J5333" s="16">
        <f>H5333*I5333</f>
        <v>0</v>
      </c>
    </row>
    <row r="5334" spans="1:10" ht="13.5" thickBot="1">
      <c r="A5334" s="27"/>
      <c r="B5334" s="110"/>
      <c r="D5334" s="417"/>
      <c r="E5334" s="418"/>
      <c r="F5334" s="418"/>
      <c r="G5334" s="419"/>
      <c r="H5334" s="420" t="s">
        <v>52</v>
      </c>
      <c r="I5334" s="421"/>
      <c r="J5334" s="396">
        <f>SUM(J5330:J5333)</f>
        <v>0</v>
      </c>
    </row>
    <row r="5335" spans="1:10" ht="13">
      <c r="A5335" s="27"/>
      <c r="B5335" s="110"/>
      <c r="D5335" s="406" t="s">
        <v>53</v>
      </c>
      <c r="E5335" s="13" t="s">
        <v>54</v>
      </c>
      <c r="F5335" s="14"/>
      <c r="G5335" s="15"/>
      <c r="H5335" s="451"/>
      <c r="I5335" s="412"/>
      <c r="J5335" s="16"/>
    </row>
    <row r="5336" spans="1:10" ht="13">
      <c r="A5336" s="27"/>
      <c r="B5336" s="110"/>
      <c r="D5336" s="409"/>
      <c r="E5336" s="13" t="s">
        <v>3570</v>
      </c>
      <c r="F5336" s="14"/>
      <c r="G5336" s="410" t="s">
        <v>391</v>
      </c>
      <c r="H5336" s="411">
        <v>1.05</v>
      </c>
      <c r="I5336" s="412">
        <v>0</v>
      </c>
      <c r="J5336" s="16">
        <f>H5336*I5336</f>
        <v>0</v>
      </c>
    </row>
    <row r="5337" spans="1:10" ht="13.5" thickBot="1">
      <c r="A5337" s="27"/>
      <c r="B5337" s="110"/>
      <c r="D5337" s="409"/>
      <c r="E5337" s="13" t="s">
        <v>1777</v>
      </c>
      <c r="F5337" s="14"/>
      <c r="G5337" s="410" t="s">
        <v>93</v>
      </c>
      <c r="H5337" s="411">
        <v>1E-3</v>
      </c>
      <c r="I5337" s="412">
        <v>0</v>
      </c>
      <c r="J5337" s="16">
        <f>H5337*I5337</f>
        <v>0</v>
      </c>
    </row>
    <row r="5338" spans="1:10" ht="13.5" thickBot="1">
      <c r="A5338" s="27"/>
      <c r="B5338" s="110"/>
      <c r="D5338" s="417"/>
      <c r="E5338" s="418"/>
      <c r="F5338" s="418"/>
      <c r="G5338" s="419"/>
      <c r="H5338" s="420" t="s">
        <v>64</v>
      </c>
      <c r="I5338" s="421"/>
      <c r="J5338" s="396">
        <f>SUM(J5336:J5337)</f>
        <v>0</v>
      </c>
    </row>
    <row r="5339" spans="1:10" ht="13.5" thickBot="1">
      <c r="A5339" s="27"/>
      <c r="B5339" s="110"/>
      <c r="D5339" s="406" t="s">
        <v>65</v>
      </c>
      <c r="E5339" s="13" t="s">
        <v>66</v>
      </c>
      <c r="F5339" s="14"/>
      <c r="G5339" s="15"/>
      <c r="H5339" s="451"/>
      <c r="I5339" s="412">
        <f>IF(AND(E5339&lt;&gt;"",G5339&lt;&gt;""),IF(D5339="",IF(G5339="OH",VLOOKUP(E5339,UPAH!$C$4:$H$31,7,0),VLOOKUP(E5339,#REF!,4,0)),0),0)</f>
        <v>0</v>
      </c>
      <c r="J5339" s="16">
        <f>H5339*I5339</f>
        <v>0</v>
      </c>
    </row>
    <row r="5340" spans="1:10" ht="13.5" thickBot="1">
      <c r="A5340" s="27"/>
      <c r="B5340" s="110"/>
      <c r="D5340" s="417"/>
      <c r="E5340" s="418"/>
      <c r="F5340" s="418"/>
      <c r="G5340" s="419"/>
      <c r="H5340" s="420" t="s">
        <v>67</v>
      </c>
      <c r="I5340" s="421"/>
      <c r="J5340" s="396">
        <f>J5339</f>
        <v>0</v>
      </c>
    </row>
    <row r="5341" spans="1:10" ht="13">
      <c r="A5341" s="27"/>
      <c r="B5341" s="110"/>
      <c r="D5341" s="444" t="s">
        <v>68</v>
      </c>
      <c r="E5341" s="445" t="s">
        <v>69</v>
      </c>
      <c r="F5341" s="446"/>
      <c r="G5341" s="447"/>
      <c r="H5341" s="448"/>
      <c r="I5341" s="449">
        <f>IF(AND(E5341&lt;&gt;"",G5341&lt;&gt;""),IF(D5341="",IF(G5341="OH",VLOOKUP(E5341,UPAH!$C$4:$H$31,7,0),VLOOKUP(E5341,#REF!,4,0)),0),0)</f>
        <v>0</v>
      </c>
      <c r="J5341" s="16">
        <f>SUM(J5330:J5340)/2</f>
        <v>0</v>
      </c>
    </row>
    <row r="5342" spans="1:10" ht="13.5" thickBot="1">
      <c r="A5342" s="27"/>
      <c r="B5342" s="110"/>
      <c r="D5342" s="431" t="s">
        <v>70</v>
      </c>
      <c r="E5342" s="432" t="s">
        <v>477</v>
      </c>
      <c r="F5342" s="433"/>
      <c r="G5342" s="434"/>
      <c r="H5342" s="22">
        <v>0.1</v>
      </c>
      <c r="I5342" s="436"/>
      <c r="J5342" s="430">
        <f>H5342*J5341</f>
        <v>0</v>
      </c>
    </row>
    <row r="5343" spans="1:10" ht="13.5" thickBot="1">
      <c r="A5343" s="27"/>
      <c r="B5343" s="110"/>
      <c r="D5343" s="401" t="s">
        <v>71</v>
      </c>
      <c r="E5343" s="402" t="s">
        <v>72</v>
      </c>
      <c r="F5343" s="418"/>
      <c r="G5343" s="419"/>
      <c r="H5343" s="442"/>
      <c r="I5343" s="421">
        <f>IF(AND(E5343&lt;&gt;"",G5343&lt;&gt;""),IF(D5343="",IF(G5343="OH",VLOOKUP(E5343,UPAH!$C$4:$H$31,7,0),VLOOKUP(E5343,#REF!,4,0)),0),0)</f>
        <v>0</v>
      </c>
      <c r="J5343" s="396">
        <f>ROUNDDOWN(J5341+J5342,0)</f>
        <v>0</v>
      </c>
    </row>
    <row r="5344" spans="1:10" ht="13">
      <c r="A5344" s="27"/>
      <c r="B5344" s="110"/>
      <c r="E5344" s="11"/>
      <c r="H5344" s="443"/>
    </row>
    <row r="5345" spans="1:10" s="27" customFormat="1" ht="13">
      <c r="B5345" s="110"/>
      <c r="C5345" s="452" t="s">
        <v>508</v>
      </c>
      <c r="G5345" s="399"/>
      <c r="H5345" s="453"/>
    </row>
    <row r="5346" spans="1:10" ht="13.5" thickBot="1">
      <c r="A5346" s="27"/>
      <c r="B5346" s="110"/>
      <c r="C5346" s="11" t="s">
        <v>1038</v>
      </c>
      <c r="D5346" s="10" t="s">
        <v>1039</v>
      </c>
      <c r="H5346" s="443"/>
    </row>
    <row r="5347" spans="1:10" ht="13.5" thickBot="1">
      <c r="A5347" s="27"/>
      <c r="B5347" s="110"/>
      <c r="D5347" s="401" t="s">
        <v>40</v>
      </c>
      <c r="E5347" s="402" t="s">
        <v>41</v>
      </c>
      <c r="F5347" s="402" t="s">
        <v>42</v>
      </c>
      <c r="G5347" s="403" t="s">
        <v>43</v>
      </c>
      <c r="H5347" s="404" t="s">
        <v>44</v>
      </c>
      <c r="I5347" s="402" t="s">
        <v>474</v>
      </c>
      <c r="J5347" s="405" t="s">
        <v>475</v>
      </c>
    </row>
    <row r="5348" spans="1:10" ht="13">
      <c r="A5348" s="27"/>
      <c r="B5348" s="110"/>
      <c r="D5348" s="406" t="s">
        <v>45</v>
      </c>
      <c r="E5348" s="13" t="s">
        <v>46</v>
      </c>
      <c r="F5348" s="14"/>
      <c r="G5348" s="15"/>
      <c r="H5348" s="451"/>
      <c r="I5348" s="412"/>
      <c r="J5348" s="16"/>
    </row>
    <row r="5349" spans="1:10" ht="13">
      <c r="A5349" s="27"/>
      <c r="B5349" s="110"/>
      <c r="D5349" s="409"/>
      <c r="E5349" s="13" t="s">
        <v>47</v>
      </c>
      <c r="F5349" s="13" t="s">
        <v>1918</v>
      </c>
      <c r="G5349" s="410" t="s">
        <v>48</v>
      </c>
      <c r="H5349" s="411">
        <v>0.15</v>
      </c>
      <c r="I5349" s="412">
        <f>IF(AND(E5349&lt;&gt;"",G5349&lt;&gt;""),IF(D5349="",IF(G5349="OH",VLOOKUP(F5349,UPAH!$B$4:$H$101,7,0),VLOOKUP(F5349,#REF!,4,0)),0),0)</f>
        <v>0</v>
      </c>
      <c r="J5349" s="16">
        <f>H5349*I5349</f>
        <v>0</v>
      </c>
    </row>
    <row r="5350" spans="1:10" ht="13">
      <c r="A5350" s="27"/>
      <c r="B5350" s="110"/>
      <c r="D5350" s="409"/>
      <c r="E5350" s="13" t="s">
        <v>476</v>
      </c>
      <c r="F5350" s="13" t="s">
        <v>1922</v>
      </c>
      <c r="G5350" s="410" t="s">
        <v>48</v>
      </c>
      <c r="H5350" s="411">
        <v>7.4999999999999997E-2</v>
      </c>
      <c r="I5350" s="412">
        <f>IF(AND(E5350&lt;&gt;"",G5350&lt;&gt;""),IF(D5350="",IF(G5350="OH",VLOOKUP(F5350,UPAH!$B$4:$H$101,7,0),VLOOKUP(F5350,#REF!,4,0)),0),0)</f>
        <v>0</v>
      </c>
      <c r="J5350" s="16">
        <f>H5350*I5350</f>
        <v>0</v>
      </c>
    </row>
    <row r="5351" spans="1:10" ht="13">
      <c r="A5351" s="27"/>
      <c r="B5351" s="110"/>
      <c r="D5351" s="409"/>
      <c r="E5351" s="13" t="s">
        <v>50</v>
      </c>
      <c r="F5351" s="13" t="s">
        <v>1928</v>
      </c>
      <c r="G5351" s="410" t="s">
        <v>48</v>
      </c>
      <c r="H5351" s="411">
        <v>7.4999999999999997E-3</v>
      </c>
      <c r="I5351" s="412">
        <f>IF(AND(E5351&lt;&gt;"",G5351&lt;&gt;""),IF(D5351="",IF(G5351="OH",VLOOKUP(F5351,UPAH!$B$4:$H$101,7,0),VLOOKUP(F5351,#REF!,4,0)),0),0)</f>
        <v>0</v>
      </c>
      <c r="J5351" s="16">
        <f>H5351*I5351</f>
        <v>0</v>
      </c>
    </row>
    <row r="5352" spans="1:10" ht="13.5" thickBot="1">
      <c r="A5352" s="27"/>
      <c r="B5352" s="110"/>
      <c r="D5352" s="409"/>
      <c r="E5352" s="13" t="s">
        <v>51</v>
      </c>
      <c r="F5352" s="13" t="s">
        <v>1929</v>
      </c>
      <c r="G5352" s="410" t="s">
        <v>48</v>
      </c>
      <c r="H5352" s="411">
        <v>8.0000000000000002E-3</v>
      </c>
      <c r="I5352" s="412">
        <f>IF(AND(E5352&lt;&gt;"",G5352&lt;&gt;""),IF(D5352="",IF(G5352="OH",VLOOKUP(F5352,UPAH!$B$4:$H$101,7,0),VLOOKUP(F5352,#REF!,4,0)),0),0)</f>
        <v>0</v>
      </c>
      <c r="J5352" s="16">
        <f>H5352*I5352</f>
        <v>0</v>
      </c>
    </row>
    <row r="5353" spans="1:10" ht="13.5" thickBot="1">
      <c r="A5353" s="27"/>
      <c r="B5353" s="110"/>
      <c r="D5353" s="417"/>
      <c r="E5353" s="418"/>
      <c r="F5353" s="418"/>
      <c r="G5353" s="419"/>
      <c r="H5353" s="420" t="s">
        <v>52</v>
      </c>
      <c r="I5353" s="421"/>
      <c r="J5353" s="396">
        <f>SUM(J5349:J5352)</f>
        <v>0</v>
      </c>
    </row>
    <row r="5354" spans="1:10" ht="13">
      <c r="A5354" s="27"/>
      <c r="B5354" s="110"/>
      <c r="D5354" s="406" t="s">
        <v>53</v>
      </c>
      <c r="E5354" s="13" t="s">
        <v>54</v>
      </c>
      <c r="F5354" s="14"/>
      <c r="G5354" s="15"/>
      <c r="H5354" s="451"/>
      <c r="I5354" s="412"/>
      <c r="J5354" s="16"/>
    </row>
    <row r="5355" spans="1:10" ht="13.5" thickBot="1">
      <c r="A5355" s="27"/>
      <c r="B5355" s="110"/>
      <c r="D5355" s="409"/>
      <c r="E5355" s="13" t="s">
        <v>182</v>
      </c>
      <c r="F5355" s="14"/>
      <c r="G5355" s="410" t="s">
        <v>87</v>
      </c>
      <c r="H5355" s="411">
        <v>25</v>
      </c>
      <c r="I5355" s="412">
        <f>'BAHAN '!G220</f>
        <v>0</v>
      </c>
      <c r="J5355" s="16">
        <f>H5355*I5355</f>
        <v>0</v>
      </c>
    </row>
    <row r="5356" spans="1:10" ht="13.5" thickBot="1">
      <c r="A5356" s="27"/>
      <c r="B5356" s="110"/>
      <c r="D5356" s="417"/>
      <c r="E5356" s="418"/>
      <c r="F5356" s="418"/>
      <c r="G5356" s="419"/>
      <c r="H5356" s="420" t="s">
        <v>64</v>
      </c>
      <c r="I5356" s="421"/>
      <c r="J5356" s="396">
        <f>SUM(J5354:J5355)</f>
        <v>0</v>
      </c>
    </row>
    <row r="5357" spans="1:10" ht="13.5" thickBot="1">
      <c r="A5357" s="27"/>
      <c r="B5357" s="110"/>
      <c r="D5357" s="406" t="s">
        <v>65</v>
      </c>
      <c r="E5357" s="13" t="s">
        <v>66</v>
      </c>
      <c r="F5357" s="14"/>
      <c r="G5357" s="15"/>
      <c r="H5357" s="451"/>
      <c r="I5357" s="412">
        <f>IF(AND(E5357&lt;&gt;"",G5357&lt;&gt;""),IF(D5357="",IF(G5357="OH",VLOOKUP(E5357,UPAH!$C$4:$H$31,7,0),VLOOKUP(E5357,#REF!,4,0)),0),0)</f>
        <v>0</v>
      </c>
      <c r="J5357" s="16">
        <f>H5357*I5357</f>
        <v>0</v>
      </c>
    </row>
    <row r="5358" spans="1:10" ht="13.5" thickBot="1">
      <c r="A5358" s="27"/>
      <c r="B5358" s="110"/>
      <c r="D5358" s="417"/>
      <c r="E5358" s="418"/>
      <c r="F5358" s="418"/>
      <c r="G5358" s="419"/>
      <c r="H5358" s="420" t="s">
        <v>67</v>
      </c>
      <c r="I5358" s="421"/>
      <c r="J5358" s="396">
        <f>J5357</f>
        <v>0</v>
      </c>
    </row>
    <row r="5359" spans="1:10" ht="13">
      <c r="A5359" s="27"/>
      <c r="B5359" s="110"/>
      <c r="D5359" s="444" t="s">
        <v>68</v>
      </c>
      <c r="E5359" s="445" t="s">
        <v>69</v>
      </c>
      <c r="F5359" s="446"/>
      <c r="G5359" s="447"/>
      <c r="H5359" s="448"/>
      <c r="I5359" s="449">
        <f>IF(AND(E5359&lt;&gt;"",G5359&lt;&gt;""),IF(D5359="",IF(G5359="OH",VLOOKUP(E5359,UPAH!$C$4:$H$31,7,0),VLOOKUP(E5359,#REF!,4,0)),0),0)</f>
        <v>0</v>
      </c>
      <c r="J5359" s="16">
        <f>SUM(J5348:J5358)/2</f>
        <v>0</v>
      </c>
    </row>
    <row r="5360" spans="1:10" ht="13.5" thickBot="1">
      <c r="A5360" s="27"/>
      <c r="B5360" s="110"/>
      <c r="D5360" s="431" t="s">
        <v>70</v>
      </c>
      <c r="E5360" s="432" t="s">
        <v>477</v>
      </c>
      <c r="F5360" s="433"/>
      <c r="G5360" s="434"/>
      <c r="H5360" s="22">
        <v>0.1</v>
      </c>
      <c r="I5360" s="436"/>
      <c r="J5360" s="430">
        <f>H5360*J5359</f>
        <v>0</v>
      </c>
    </row>
    <row r="5361" spans="1:10" ht="13.5" thickBot="1">
      <c r="A5361" s="27"/>
      <c r="B5361" s="110"/>
      <c r="D5361" s="401" t="s">
        <v>71</v>
      </c>
      <c r="E5361" s="402" t="s">
        <v>72</v>
      </c>
      <c r="F5361" s="418"/>
      <c r="G5361" s="419"/>
      <c r="H5361" s="442"/>
      <c r="I5361" s="421">
        <f>IF(AND(E5361&lt;&gt;"",G5361&lt;&gt;""),IF(D5361="",IF(G5361="OH",VLOOKUP(E5361,UPAH!$C$4:$H$31,7,0),VLOOKUP(E5361,#REF!,4,0)),0),0)</f>
        <v>0</v>
      </c>
      <c r="J5361" s="396">
        <f>ROUNDDOWN(J5359+J5360,0)</f>
        <v>0</v>
      </c>
    </row>
    <row r="5362" spans="1:10" ht="13">
      <c r="A5362" s="27"/>
      <c r="B5362" s="110"/>
      <c r="D5362" s="11"/>
      <c r="E5362" s="11"/>
      <c r="H5362" s="443"/>
    </row>
    <row r="5363" spans="1:10" ht="13.5" thickBot="1">
      <c r="A5363" s="27"/>
      <c r="B5363" s="110"/>
      <c r="C5363" s="11" t="s">
        <v>1040</v>
      </c>
      <c r="D5363" s="10" t="s">
        <v>1041</v>
      </c>
      <c r="H5363" s="443"/>
    </row>
    <row r="5364" spans="1:10" ht="13.5" thickBot="1">
      <c r="A5364" s="27"/>
      <c r="B5364" s="110"/>
      <c r="D5364" s="401" t="s">
        <v>40</v>
      </c>
      <c r="E5364" s="402" t="s">
        <v>41</v>
      </c>
      <c r="F5364" s="402" t="s">
        <v>42</v>
      </c>
      <c r="G5364" s="403" t="s">
        <v>43</v>
      </c>
      <c r="H5364" s="404" t="s">
        <v>44</v>
      </c>
      <c r="I5364" s="402" t="s">
        <v>474</v>
      </c>
      <c r="J5364" s="405" t="s">
        <v>475</v>
      </c>
    </row>
    <row r="5365" spans="1:10" ht="13">
      <c r="A5365" s="27"/>
      <c r="B5365" s="110"/>
      <c r="D5365" s="406" t="s">
        <v>45</v>
      </c>
      <c r="E5365" s="13" t="s">
        <v>46</v>
      </c>
      <c r="F5365" s="14"/>
      <c r="G5365" s="15"/>
      <c r="H5365" s="451"/>
      <c r="I5365" s="412"/>
      <c r="J5365" s="16"/>
    </row>
    <row r="5366" spans="1:10" ht="13">
      <c r="A5366" s="27"/>
      <c r="B5366" s="110"/>
      <c r="D5366" s="409"/>
      <c r="E5366" s="13" t="s">
        <v>47</v>
      </c>
      <c r="F5366" s="13" t="s">
        <v>1918</v>
      </c>
      <c r="G5366" s="410" t="s">
        <v>48</v>
      </c>
      <c r="H5366" s="411">
        <v>0.15</v>
      </c>
      <c r="I5366" s="412">
        <f>IF(AND(E5366&lt;&gt;"",G5366&lt;&gt;""),IF(D5366="",IF(G5366="OH",VLOOKUP(F5366,UPAH!$B$4:$H$101,7,0),VLOOKUP(F5366,#REF!,4,0)),0),0)</f>
        <v>0</v>
      </c>
      <c r="J5366" s="16">
        <f>H5366*I5366</f>
        <v>0</v>
      </c>
    </row>
    <row r="5367" spans="1:10" ht="13">
      <c r="A5367" s="27"/>
      <c r="B5367" s="110"/>
      <c r="D5367" s="409"/>
      <c r="E5367" s="13" t="s">
        <v>476</v>
      </c>
      <c r="F5367" s="13" t="s">
        <v>1922</v>
      </c>
      <c r="G5367" s="410" t="s">
        <v>48</v>
      </c>
      <c r="H5367" s="411">
        <v>7.4999999999999997E-2</v>
      </c>
      <c r="I5367" s="412">
        <f>IF(AND(E5367&lt;&gt;"",G5367&lt;&gt;""),IF(D5367="",IF(G5367="OH",VLOOKUP(F5367,UPAH!$B$4:$H$101,7,0),VLOOKUP(F5367,#REF!,4,0)),0),0)</f>
        <v>0</v>
      </c>
      <c r="J5367" s="16">
        <f>H5367*I5367</f>
        <v>0</v>
      </c>
    </row>
    <row r="5368" spans="1:10" ht="13">
      <c r="A5368" s="27"/>
      <c r="B5368" s="110"/>
      <c r="D5368" s="409"/>
      <c r="E5368" s="13" t="s">
        <v>50</v>
      </c>
      <c r="F5368" s="13" t="s">
        <v>1928</v>
      </c>
      <c r="G5368" s="410" t="s">
        <v>48</v>
      </c>
      <c r="H5368" s="411">
        <v>8.0000000000000002E-3</v>
      </c>
      <c r="I5368" s="412">
        <f>IF(AND(E5368&lt;&gt;"",G5368&lt;&gt;""),IF(D5368="",IF(G5368="OH",VLOOKUP(F5368,UPAH!$B$4:$H$101,7,0),VLOOKUP(F5368,#REF!,4,0)),0),0)</f>
        <v>0</v>
      </c>
      <c r="J5368" s="16">
        <f>H5368*I5368</f>
        <v>0</v>
      </c>
    </row>
    <row r="5369" spans="1:10" ht="13.5" thickBot="1">
      <c r="A5369" s="27"/>
      <c r="B5369" s="110"/>
      <c r="D5369" s="409"/>
      <c r="E5369" s="13" t="s">
        <v>51</v>
      </c>
      <c r="F5369" s="13" t="s">
        <v>1929</v>
      </c>
      <c r="G5369" s="410" t="s">
        <v>48</v>
      </c>
      <c r="H5369" s="411">
        <v>8.0000000000000002E-3</v>
      </c>
      <c r="I5369" s="412">
        <f>IF(AND(E5369&lt;&gt;"",G5369&lt;&gt;""),IF(D5369="",IF(G5369="OH",VLOOKUP(F5369,UPAH!$B$4:$H$101,7,0),VLOOKUP(F5369,#REF!,4,0)),0),0)</f>
        <v>0</v>
      </c>
      <c r="J5369" s="16">
        <f>H5369*I5369</f>
        <v>0</v>
      </c>
    </row>
    <row r="5370" spans="1:10" ht="13.5" thickBot="1">
      <c r="A5370" s="27"/>
      <c r="B5370" s="110"/>
      <c r="D5370" s="417"/>
      <c r="E5370" s="418"/>
      <c r="F5370" s="418"/>
      <c r="G5370" s="419"/>
      <c r="H5370" s="420" t="s">
        <v>52</v>
      </c>
      <c r="I5370" s="421"/>
      <c r="J5370" s="396">
        <f>SUM(J5366:J5369)</f>
        <v>0</v>
      </c>
    </row>
    <row r="5371" spans="1:10" ht="13">
      <c r="A5371" s="27"/>
      <c r="B5371" s="110"/>
      <c r="D5371" s="406" t="s">
        <v>53</v>
      </c>
      <c r="E5371" s="13" t="s">
        <v>54</v>
      </c>
      <c r="F5371" s="14"/>
      <c r="G5371" s="15"/>
      <c r="H5371" s="451"/>
      <c r="I5371" s="412"/>
      <c r="J5371" s="16"/>
    </row>
    <row r="5372" spans="1:10" ht="13.5" thickBot="1">
      <c r="A5372" s="27"/>
      <c r="B5372" s="110"/>
      <c r="D5372" s="409"/>
      <c r="E5372" s="13" t="s">
        <v>183</v>
      </c>
      <c r="F5372" s="14"/>
      <c r="G5372" s="410" t="s">
        <v>87</v>
      </c>
      <c r="H5372" s="411">
        <v>25</v>
      </c>
      <c r="I5372" s="412">
        <f>'BAHAN '!G215</f>
        <v>0</v>
      </c>
      <c r="J5372" s="16">
        <f>H5372*I5372</f>
        <v>0</v>
      </c>
    </row>
    <row r="5373" spans="1:10" ht="13.5" thickBot="1">
      <c r="A5373" s="27"/>
      <c r="B5373" s="110"/>
      <c r="D5373" s="417"/>
      <c r="E5373" s="418"/>
      <c r="F5373" s="418"/>
      <c r="G5373" s="419"/>
      <c r="H5373" s="420" t="s">
        <v>64</v>
      </c>
      <c r="I5373" s="421"/>
      <c r="J5373" s="396">
        <f>SUM(J5371:J5372)</f>
        <v>0</v>
      </c>
    </row>
    <row r="5374" spans="1:10" ht="13.5" thickBot="1">
      <c r="A5374" s="27"/>
      <c r="B5374" s="110"/>
      <c r="D5374" s="406" t="s">
        <v>65</v>
      </c>
      <c r="E5374" s="13" t="s">
        <v>66</v>
      </c>
      <c r="F5374" s="14"/>
      <c r="G5374" s="15"/>
      <c r="H5374" s="451"/>
      <c r="I5374" s="412">
        <f>IF(AND(E5374&lt;&gt;"",G5374&lt;&gt;""),IF(D5374="",IF(G5374="OH",VLOOKUP(E5374,UPAH!$C$4:$H$31,7,0),VLOOKUP(E5374,#REF!,4,0)),0),0)</f>
        <v>0</v>
      </c>
      <c r="J5374" s="16">
        <f>H5374*I5374</f>
        <v>0</v>
      </c>
    </row>
    <row r="5375" spans="1:10" ht="13.5" thickBot="1">
      <c r="A5375" s="27"/>
      <c r="B5375" s="110"/>
      <c r="D5375" s="417"/>
      <c r="E5375" s="418"/>
      <c r="F5375" s="418"/>
      <c r="G5375" s="419"/>
      <c r="H5375" s="420" t="s">
        <v>67</v>
      </c>
      <c r="I5375" s="421"/>
      <c r="J5375" s="396">
        <f>J5374</f>
        <v>0</v>
      </c>
    </row>
    <row r="5376" spans="1:10" ht="13">
      <c r="A5376" s="27"/>
      <c r="B5376" s="110"/>
      <c r="D5376" s="444" t="s">
        <v>68</v>
      </c>
      <c r="E5376" s="445" t="s">
        <v>69</v>
      </c>
      <c r="F5376" s="446"/>
      <c r="G5376" s="447"/>
      <c r="H5376" s="448"/>
      <c r="I5376" s="449">
        <f>IF(AND(E5376&lt;&gt;"",G5376&lt;&gt;""),IF(D5376="",IF(G5376="OH",VLOOKUP(E5376,UPAH!$C$4:$H$31,7,0),VLOOKUP(E5376,#REF!,4,0)),0),0)</f>
        <v>0</v>
      </c>
      <c r="J5376" s="16">
        <f>SUM(J5365:J5375)/2</f>
        <v>0</v>
      </c>
    </row>
    <row r="5377" spans="1:10" ht="13.5" thickBot="1">
      <c r="A5377" s="27"/>
      <c r="B5377" s="110"/>
      <c r="D5377" s="431" t="s">
        <v>70</v>
      </c>
      <c r="E5377" s="432" t="s">
        <v>477</v>
      </c>
      <c r="F5377" s="433"/>
      <c r="G5377" s="434"/>
      <c r="H5377" s="22">
        <v>0.1</v>
      </c>
      <c r="I5377" s="436"/>
      <c r="J5377" s="430">
        <f>H5377*J5376</f>
        <v>0</v>
      </c>
    </row>
    <row r="5378" spans="1:10" ht="13.5" thickBot="1">
      <c r="A5378" s="27"/>
      <c r="B5378" s="110"/>
      <c r="D5378" s="401" t="s">
        <v>71</v>
      </c>
      <c r="E5378" s="402" t="s">
        <v>72</v>
      </c>
      <c r="F5378" s="418"/>
      <c r="G5378" s="419"/>
      <c r="H5378" s="442"/>
      <c r="I5378" s="421">
        <f>IF(AND(E5378&lt;&gt;"",G5378&lt;&gt;""),IF(D5378="",IF(G5378="OH",VLOOKUP(E5378,UPAH!$C$4:$H$31,7,0),VLOOKUP(E5378,#REF!,4,0)),0),0)</f>
        <v>0</v>
      </c>
      <c r="J5378" s="396">
        <f>ROUNDDOWN(J5376+J5377,0)</f>
        <v>0</v>
      </c>
    </row>
    <row r="5379" spans="1:10" ht="13">
      <c r="A5379" s="27"/>
      <c r="B5379" s="110"/>
      <c r="D5379" s="11"/>
      <c r="E5379" s="11"/>
      <c r="H5379" s="443"/>
    </row>
    <row r="5380" spans="1:10" ht="13.5" thickBot="1">
      <c r="A5380" s="27"/>
      <c r="B5380" s="110"/>
      <c r="C5380" s="11" t="s">
        <v>1042</v>
      </c>
      <c r="D5380" s="10" t="s">
        <v>1043</v>
      </c>
      <c r="H5380" s="443"/>
    </row>
    <row r="5381" spans="1:10" ht="13.5" thickBot="1">
      <c r="A5381" s="27"/>
      <c r="B5381" s="110"/>
      <c r="D5381" s="401" t="s">
        <v>40</v>
      </c>
      <c r="E5381" s="402" t="s">
        <v>41</v>
      </c>
      <c r="F5381" s="402" t="s">
        <v>42</v>
      </c>
      <c r="G5381" s="403" t="s">
        <v>43</v>
      </c>
      <c r="H5381" s="404" t="s">
        <v>44</v>
      </c>
      <c r="I5381" s="402" t="s">
        <v>474</v>
      </c>
      <c r="J5381" s="405" t="s">
        <v>475</v>
      </c>
    </row>
    <row r="5382" spans="1:10" ht="13">
      <c r="A5382" s="27"/>
      <c r="B5382" s="110"/>
      <c r="D5382" s="406" t="s">
        <v>45</v>
      </c>
      <c r="E5382" s="13" t="s">
        <v>46</v>
      </c>
      <c r="F5382" s="14"/>
      <c r="G5382" s="15"/>
      <c r="H5382" s="451"/>
      <c r="I5382" s="412"/>
      <c r="J5382" s="16"/>
    </row>
    <row r="5383" spans="1:10" ht="13">
      <c r="A5383" s="27"/>
      <c r="B5383" s="110"/>
      <c r="D5383" s="409"/>
      <c r="E5383" s="13" t="s">
        <v>47</v>
      </c>
      <c r="F5383" s="13" t="s">
        <v>1918</v>
      </c>
      <c r="G5383" s="410" t="s">
        <v>48</v>
      </c>
      <c r="H5383" s="411">
        <v>0.15</v>
      </c>
      <c r="I5383" s="412">
        <f>IF(AND(E5383&lt;&gt;"",G5383&lt;&gt;""),IF(D5383="",IF(G5383="OH",VLOOKUP(F5383,UPAH!$B$4:$H$101,7,0),VLOOKUP(F5383,#REF!,4,0)),0),0)</f>
        <v>0</v>
      </c>
      <c r="J5383" s="16">
        <f>H5383*I5383</f>
        <v>0</v>
      </c>
    </row>
    <row r="5384" spans="1:10" ht="13">
      <c r="A5384" s="27"/>
      <c r="B5384" s="110"/>
      <c r="D5384" s="409"/>
      <c r="E5384" s="13" t="s">
        <v>476</v>
      </c>
      <c r="F5384" s="13" t="s">
        <v>1922</v>
      </c>
      <c r="G5384" s="410" t="s">
        <v>48</v>
      </c>
      <c r="H5384" s="411">
        <v>7.4999999999999997E-2</v>
      </c>
      <c r="I5384" s="412">
        <f>IF(AND(E5384&lt;&gt;"",G5384&lt;&gt;""),IF(D5384="",IF(G5384="OH",VLOOKUP(F5384,UPAH!$B$4:$H$101,7,0),VLOOKUP(F5384,#REF!,4,0)),0),0)</f>
        <v>0</v>
      </c>
      <c r="J5384" s="16">
        <f>H5384*I5384</f>
        <v>0</v>
      </c>
    </row>
    <row r="5385" spans="1:10" ht="13">
      <c r="A5385" s="27"/>
      <c r="B5385" s="110"/>
      <c r="D5385" s="409"/>
      <c r="E5385" s="13" t="s">
        <v>50</v>
      </c>
      <c r="F5385" s="13" t="s">
        <v>1928</v>
      </c>
      <c r="G5385" s="410" t="s">
        <v>48</v>
      </c>
      <c r="H5385" s="411">
        <v>8.0000000000000002E-3</v>
      </c>
      <c r="I5385" s="412">
        <f>IF(AND(E5385&lt;&gt;"",G5385&lt;&gt;""),IF(D5385="",IF(G5385="OH",VLOOKUP(F5385,UPAH!$B$4:$H$101,7,0),VLOOKUP(F5385,#REF!,4,0)),0),0)</f>
        <v>0</v>
      </c>
      <c r="J5385" s="16">
        <f>H5385*I5385</f>
        <v>0</v>
      </c>
    </row>
    <row r="5386" spans="1:10" ht="13.5" thickBot="1">
      <c r="A5386" s="27"/>
      <c r="B5386" s="110"/>
      <c r="D5386" s="409"/>
      <c r="E5386" s="13" t="s">
        <v>51</v>
      </c>
      <c r="F5386" s="13" t="s">
        <v>1929</v>
      </c>
      <c r="G5386" s="410" t="s">
        <v>48</v>
      </c>
      <c r="H5386" s="411">
        <v>8.0000000000000002E-3</v>
      </c>
      <c r="I5386" s="412">
        <f>IF(AND(E5386&lt;&gt;"",G5386&lt;&gt;""),IF(D5386="",IF(G5386="OH",VLOOKUP(F5386,UPAH!$B$4:$H$101,7,0),VLOOKUP(F5386,#REF!,4,0)),0),0)</f>
        <v>0</v>
      </c>
      <c r="J5386" s="16">
        <f>H5386*I5386</f>
        <v>0</v>
      </c>
    </row>
    <row r="5387" spans="1:10" ht="13.5" thickBot="1">
      <c r="A5387" s="27"/>
      <c r="B5387" s="110"/>
      <c r="D5387" s="417"/>
      <c r="E5387" s="418"/>
      <c r="F5387" s="418"/>
      <c r="G5387" s="419"/>
      <c r="H5387" s="420" t="s">
        <v>52</v>
      </c>
      <c r="I5387" s="421"/>
      <c r="J5387" s="396">
        <f>SUM(J5383:J5386)</f>
        <v>0</v>
      </c>
    </row>
    <row r="5388" spans="1:10" ht="13">
      <c r="A5388" s="27"/>
      <c r="B5388" s="110"/>
      <c r="D5388" s="406" t="s">
        <v>53</v>
      </c>
      <c r="E5388" s="13" t="s">
        <v>54</v>
      </c>
      <c r="F5388" s="14"/>
      <c r="G5388" s="15"/>
      <c r="H5388" s="451"/>
      <c r="I5388" s="412"/>
      <c r="J5388" s="16"/>
    </row>
    <row r="5389" spans="1:10" ht="13.5" thickBot="1">
      <c r="A5389" s="27"/>
      <c r="B5389" s="110"/>
      <c r="D5389" s="409"/>
      <c r="E5389" s="13" t="s">
        <v>183</v>
      </c>
      <c r="F5389" s="14"/>
      <c r="G5389" s="410" t="s">
        <v>87</v>
      </c>
      <c r="H5389" s="411">
        <v>12</v>
      </c>
      <c r="I5389" s="412">
        <f>$I$5372</f>
        <v>0</v>
      </c>
      <c r="J5389" s="16">
        <f>H5389*I5389</f>
        <v>0</v>
      </c>
    </row>
    <row r="5390" spans="1:10" ht="13.5" thickBot="1">
      <c r="A5390" s="27"/>
      <c r="B5390" s="110"/>
      <c r="D5390" s="417"/>
      <c r="E5390" s="418"/>
      <c r="F5390" s="418"/>
      <c r="G5390" s="419"/>
      <c r="H5390" s="420" t="s">
        <v>64</v>
      </c>
      <c r="I5390" s="421"/>
      <c r="J5390" s="396">
        <f>SUM(J5388:J5389)</f>
        <v>0</v>
      </c>
    </row>
    <row r="5391" spans="1:10" ht="13.5" thickBot="1">
      <c r="A5391" s="27"/>
      <c r="B5391" s="110"/>
      <c r="D5391" s="406" t="s">
        <v>65</v>
      </c>
      <c r="E5391" s="13" t="s">
        <v>66</v>
      </c>
      <c r="F5391" s="14"/>
      <c r="G5391" s="15"/>
      <c r="H5391" s="451"/>
      <c r="I5391" s="412">
        <f>IF(AND(E5391&lt;&gt;"",G5391&lt;&gt;""),IF(D5391="",IF(G5391="OH",VLOOKUP(E5391,UPAH!$C$4:$H$31,7,0),VLOOKUP(E5391,#REF!,4,0)),0),0)</f>
        <v>0</v>
      </c>
      <c r="J5391" s="16">
        <f>H5391*I5391</f>
        <v>0</v>
      </c>
    </row>
    <row r="5392" spans="1:10" ht="13.5" thickBot="1">
      <c r="A5392" s="27"/>
      <c r="B5392" s="110"/>
      <c r="D5392" s="417"/>
      <c r="E5392" s="418"/>
      <c r="F5392" s="418"/>
      <c r="G5392" s="419"/>
      <c r="H5392" s="420" t="s">
        <v>67</v>
      </c>
      <c r="I5392" s="421"/>
      <c r="J5392" s="396">
        <f>J5391</f>
        <v>0</v>
      </c>
    </row>
    <row r="5393" spans="1:10" ht="13">
      <c r="A5393" s="27"/>
      <c r="B5393" s="110"/>
      <c r="D5393" s="444" t="s">
        <v>68</v>
      </c>
      <c r="E5393" s="445" t="s">
        <v>69</v>
      </c>
      <c r="F5393" s="446"/>
      <c r="G5393" s="447"/>
      <c r="H5393" s="448"/>
      <c r="I5393" s="449">
        <f>IF(AND(E5393&lt;&gt;"",G5393&lt;&gt;""),IF(D5393="",IF(G5393="OH",VLOOKUP(E5393,UPAH!$C$4:$H$31,7,0),VLOOKUP(E5393,#REF!,4,0)),0),0)</f>
        <v>0</v>
      </c>
      <c r="J5393" s="16">
        <f>SUM(J5382:J5392)/2</f>
        <v>0</v>
      </c>
    </row>
    <row r="5394" spans="1:10" ht="13.5" thickBot="1">
      <c r="A5394" s="27"/>
      <c r="B5394" s="110"/>
      <c r="D5394" s="431" t="s">
        <v>70</v>
      </c>
      <c r="E5394" s="432" t="s">
        <v>477</v>
      </c>
      <c r="F5394" s="433"/>
      <c r="G5394" s="434"/>
      <c r="H5394" s="22">
        <v>0.1</v>
      </c>
      <c r="I5394" s="436"/>
      <c r="J5394" s="430">
        <f>H5394*J5393</f>
        <v>0</v>
      </c>
    </row>
    <row r="5395" spans="1:10" ht="13.5" thickBot="1">
      <c r="A5395" s="27"/>
      <c r="B5395" s="110"/>
      <c r="D5395" s="401" t="s">
        <v>71</v>
      </c>
      <c r="E5395" s="402" t="s">
        <v>72</v>
      </c>
      <c r="F5395" s="418"/>
      <c r="G5395" s="419"/>
      <c r="H5395" s="442"/>
      <c r="I5395" s="421">
        <f>IF(AND(E5395&lt;&gt;"",G5395&lt;&gt;""),IF(D5395="",IF(G5395="OH",VLOOKUP(E5395,UPAH!$C$4:$H$31,7,0),VLOOKUP(E5395,#REF!,4,0)),0),0)</f>
        <v>0</v>
      </c>
      <c r="J5395" s="396">
        <f>ROUNDDOWN(J5393+J5394,0)</f>
        <v>0</v>
      </c>
    </row>
    <row r="5396" spans="1:10" ht="13">
      <c r="A5396" s="27"/>
      <c r="B5396" s="110"/>
      <c r="D5396" s="11"/>
      <c r="E5396" s="11"/>
      <c r="H5396" s="443"/>
    </row>
    <row r="5397" spans="1:10" ht="13.5" thickBot="1">
      <c r="A5397" s="27"/>
      <c r="B5397" s="110"/>
      <c r="C5397" s="11" t="s">
        <v>1044</v>
      </c>
      <c r="D5397" s="10" t="s">
        <v>1045</v>
      </c>
      <c r="H5397" s="443"/>
    </row>
    <row r="5398" spans="1:10" ht="13.5" thickBot="1">
      <c r="A5398" s="27"/>
      <c r="B5398" s="110"/>
      <c r="D5398" s="401" t="s">
        <v>40</v>
      </c>
      <c r="E5398" s="402" t="s">
        <v>41</v>
      </c>
      <c r="F5398" s="402" t="s">
        <v>42</v>
      </c>
      <c r="G5398" s="403" t="s">
        <v>43</v>
      </c>
      <c r="H5398" s="404" t="s">
        <v>44</v>
      </c>
      <c r="I5398" s="402" t="s">
        <v>474</v>
      </c>
      <c r="J5398" s="405" t="s">
        <v>475</v>
      </c>
    </row>
    <row r="5399" spans="1:10" ht="13">
      <c r="A5399" s="27"/>
      <c r="B5399" s="110"/>
      <c r="D5399" s="406" t="s">
        <v>45</v>
      </c>
      <c r="E5399" s="13" t="s">
        <v>46</v>
      </c>
      <c r="F5399" s="14"/>
      <c r="G5399" s="15"/>
      <c r="H5399" s="451"/>
      <c r="I5399" s="412"/>
      <c r="J5399" s="16"/>
    </row>
    <row r="5400" spans="1:10" ht="13">
      <c r="A5400" s="27"/>
      <c r="B5400" s="110"/>
      <c r="D5400" s="409"/>
      <c r="E5400" s="13" t="s">
        <v>47</v>
      </c>
      <c r="F5400" s="13" t="s">
        <v>1918</v>
      </c>
      <c r="G5400" s="410" t="s">
        <v>48</v>
      </c>
      <c r="H5400" s="411">
        <v>0.4</v>
      </c>
      <c r="I5400" s="412">
        <f>IF(AND(E5400&lt;&gt;"",G5400&lt;&gt;""),IF(D5400="",IF(G5400="OH",VLOOKUP(F5400,UPAH!$B$4:$H$101,7,0),VLOOKUP(F5400,#REF!,4,0)),0),0)</f>
        <v>0</v>
      </c>
      <c r="J5400" s="16">
        <f>H5400*I5400</f>
        <v>0</v>
      </c>
    </row>
    <row r="5401" spans="1:10" ht="13">
      <c r="A5401" s="27"/>
      <c r="B5401" s="110"/>
      <c r="D5401" s="409"/>
      <c r="E5401" s="13" t="s">
        <v>476</v>
      </c>
      <c r="F5401" s="13" t="s">
        <v>1922</v>
      </c>
      <c r="G5401" s="410" t="s">
        <v>48</v>
      </c>
      <c r="H5401" s="411">
        <v>0.2</v>
      </c>
      <c r="I5401" s="412">
        <f>IF(AND(E5401&lt;&gt;"",G5401&lt;&gt;""),IF(D5401="",IF(G5401="OH",VLOOKUP(F5401,UPAH!$B$4:$H$101,7,0),VLOOKUP(F5401,#REF!,4,0)),0),0)</f>
        <v>0</v>
      </c>
      <c r="J5401" s="16">
        <f>H5401*I5401</f>
        <v>0</v>
      </c>
    </row>
    <row r="5402" spans="1:10" ht="13">
      <c r="A5402" s="27"/>
      <c r="B5402" s="110"/>
      <c r="D5402" s="409"/>
      <c r="E5402" s="13" t="s">
        <v>50</v>
      </c>
      <c r="F5402" s="13" t="s">
        <v>1928</v>
      </c>
      <c r="G5402" s="410" t="s">
        <v>48</v>
      </c>
      <c r="H5402" s="411">
        <v>0.02</v>
      </c>
      <c r="I5402" s="412">
        <f>IF(AND(E5402&lt;&gt;"",G5402&lt;&gt;""),IF(D5402="",IF(G5402="OH",VLOOKUP(F5402,UPAH!$B$4:$H$101,7,0),VLOOKUP(F5402,#REF!,4,0)),0),0)</f>
        <v>0</v>
      </c>
      <c r="J5402" s="16">
        <f>H5402*I5402</f>
        <v>0</v>
      </c>
    </row>
    <row r="5403" spans="1:10" ht="13.5" thickBot="1">
      <c r="A5403" s="27"/>
      <c r="B5403" s="110"/>
      <c r="D5403" s="409"/>
      <c r="E5403" s="13" t="s">
        <v>51</v>
      </c>
      <c r="F5403" s="13" t="s">
        <v>1929</v>
      </c>
      <c r="G5403" s="410" t="s">
        <v>48</v>
      </c>
      <c r="H5403" s="411">
        <v>2E-3</v>
      </c>
      <c r="I5403" s="412">
        <f>IF(AND(E5403&lt;&gt;"",G5403&lt;&gt;""),IF(D5403="",IF(G5403="OH",VLOOKUP(F5403,UPAH!$B$4:$H$101,7,0),VLOOKUP(F5403,#REF!,4,0)),0),0)</f>
        <v>0</v>
      </c>
      <c r="J5403" s="16">
        <f>H5403*I5403</f>
        <v>0</v>
      </c>
    </row>
    <row r="5404" spans="1:10" ht="13.5" thickBot="1">
      <c r="A5404" s="27"/>
      <c r="B5404" s="110"/>
      <c r="D5404" s="417"/>
      <c r="E5404" s="418"/>
      <c r="F5404" s="418"/>
      <c r="G5404" s="419"/>
      <c r="H5404" s="420" t="s">
        <v>52</v>
      </c>
      <c r="I5404" s="421"/>
      <c r="J5404" s="396">
        <f>SUM(J5400:J5403)</f>
        <v>0</v>
      </c>
    </row>
    <row r="5405" spans="1:10" ht="13">
      <c r="A5405" s="27"/>
      <c r="B5405" s="110"/>
      <c r="D5405" s="406" t="s">
        <v>53</v>
      </c>
      <c r="E5405" s="13" t="s">
        <v>54</v>
      </c>
      <c r="F5405" s="14"/>
      <c r="G5405" s="15"/>
      <c r="H5405" s="451"/>
      <c r="I5405" s="412"/>
      <c r="J5405" s="16"/>
    </row>
    <row r="5406" spans="1:10" ht="13">
      <c r="A5406" s="27"/>
      <c r="B5406" s="110"/>
      <c r="D5406" s="409"/>
      <c r="E5406" s="13" t="s">
        <v>184</v>
      </c>
      <c r="F5406" s="14"/>
      <c r="G5406" s="410" t="s">
        <v>87</v>
      </c>
      <c r="H5406" s="411">
        <v>5</v>
      </c>
      <c r="I5406" s="412">
        <f>'BAHAN '!G220</f>
        <v>0</v>
      </c>
      <c r="J5406" s="16">
        <f>H5406*I5406</f>
        <v>0</v>
      </c>
    </row>
    <row r="5407" spans="1:10" ht="13">
      <c r="A5407" s="27"/>
      <c r="B5407" s="110"/>
      <c r="D5407" s="409"/>
      <c r="E5407" s="13" t="s">
        <v>56</v>
      </c>
      <c r="F5407" s="14"/>
      <c r="G5407" s="410" t="s">
        <v>57</v>
      </c>
      <c r="H5407" s="411">
        <v>8</v>
      </c>
      <c r="I5407" s="412">
        <f>'BAHAN '!G72</f>
        <v>0</v>
      </c>
      <c r="J5407" s="16">
        <f>H5407*I5407</f>
        <v>0</v>
      </c>
    </row>
    <row r="5408" spans="1:10" ht="13.5" thickBot="1">
      <c r="A5408" s="27"/>
      <c r="B5408" s="110"/>
      <c r="D5408" s="409"/>
      <c r="E5408" s="13" t="s">
        <v>101</v>
      </c>
      <c r="F5408" s="14"/>
      <c r="G5408" s="410" t="s">
        <v>170</v>
      </c>
      <c r="H5408" s="411">
        <v>3.2000000000000001E-2</v>
      </c>
      <c r="I5408" s="412">
        <f>'BAHAN '!G59</f>
        <v>0</v>
      </c>
      <c r="J5408" s="16">
        <f>H5408*I5408</f>
        <v>0</v>
      </c>
    </row>
    <row r="5409" spans="1:10" ht="13.5" thickBot="1">
      <c r="A5409" s="27"/>
      <c r="B5409" s="110"/>
      <c r="D5409" s="417"/>
      <c r="E5409" s="418"/>
      <c r="F5409" s="418"/>
      <c r="G5409" s="419"/>
      <c r="H5409" s="420" t="s">
        <v>64</v>
      </c>
      <c r="I5409" s="421"/>
      <c r="J5409" s="396">
        <f>SUM(J5406:J5408)</f>
        <v>0</v>
      </c>
    </row>
    <row r="5410" spans="1:10" ht="13.5" thickBot="1">
      <c r="A5410" s="27"/>
      <c r="B5410" s="110"/>
      <c r="D5410" s="406" t="s">
        <v>65</v>
      </c>
      <c r="E5410" s="13" t="s">
        <v>66</v>
      </c>
      <c r="F5410" s="14"/>
      <c r="G5410" s="15"/>
      <c r="H5410" s="451"/>
      <c r="I5410" s="412">
        <f>IF(AND(E5410&lt;&gt;"",G5410&lt;&gt;""),IF(D5410="",IF(G5410="OH",VLOOKUP(E5410,UPAH!$C$4:$H$31,7,0),VLOOKUP(E5410,#REF!,4,0)),0),0)</f>
        <v>0</v>
      </c>
      <c r="J5410" s="16">
        <f>H5410*I5410</f>
        <v>0</v>
      </c>
    </row>
    <row r="5411" spans="1:10" ht="13.5" thickBot="1">
      <c r="A5411" s="27"/>
      <c r="B5411" s="110"/>
      <c r="D5411" s="417"/>
      <c r="E5411" s="418"/>
      <c r="F5411" s="418"/>
      <c r="G5411" s="419"/>
      <c r="H5411" s="420" t="s">
        <v>67</v>
      </c>
      <c r="I5411" s="421"/>
      <c r="J5411" s="396">
        <f>J5410</f>
        <v>0</v>
      </c>
    </row>
    <row r="5412" spans="1:10" ht="13">
      <c r="A5412" s="27"/>
      <c r="B5412" s="110"/>
      <c r="D5412" s="444" t="s">
        <v>68</v>
      </c>
      <c r="E5412" s="445" t="s">
        <v>69</v>
      </c>
      <c r="F5412" s="446"/>
      <c r="G5412" s="447"/>
      <c r="H5412" s="448"/>
      <c r="I5412" s="449">
        <f>IF(AND(E5412&lt;&gt;"",G5412&lt;&gt;""),IF(D5412="",IF(G5412="OH",VLOOKUP(E5412,UPAH!$C$4:$H$31,7,0),VLOOKUP(E5412,#REF!,4,0)),0),0)</f>
        <v>0</v>
      </c>
      <c r="J5412" s="16">
        <f>SUM(J5400:J5411)/2</f>
        <v>0</v>
      </c>
    </row>
    <row r="5413" spans="1:10" ht="13.5" thickBot="1">
      <c r="A5413" s="27"/>
      <c r="B5413" s="110"/>
      <c r="D5413" s="431" t="s">
        <v>70</v>
      </c>
      <c r="E5413" s="432" t="s">
        <v>477</v>
      </c>
      <c r="F5413" s="433"/>
      <c r="G5413" s="434"/>
      <c r="H5413" s="22">
        <v>0.1</v>
      </c>
      <c r="I5413" s="436"/>
      <c r="J5413" s="430">
        <f>H5413*J5412</f>
        <v>0</v>
      </c>
    </row>
    <row r="5414" spans="1:10" ht="13.5" thickBot="1">
      <c r="A5414" s="27"/>
      <c r="B5414" s="110"/>
      <c r="D5414" s="401" t="s">
        <v>71</v>
      </c>
      <c r="E5414" s="402" t="s">
        <v>72</v>
      </c>
      <c r="F5414" s="418"/>
      <c r="G5414" s="419"/>
      <c r="H5414" s="442"/>
      <c r="I5414" s="421">
        <f>IF(AND(E5414&lt;&gt;"",G5414&lt;&gt;""),IF(D5414="",IF(G5414="OH",VLOOKUP(E5414,UPAH!$C$4:$H$31,7,0),VLOOKUP(E5414,#REF!,4,0)),0),0)</f>
        <v>0</v>
      </c>
      <c r="J5414" s="396">
        <f>ROUNDDOWN(J5412+J5413,0)</f>
        <v>0</v>
      </c>
    </row>
    <row r="5415" spans="1:10" ht="13">
      <c r="A5415" s="27"/>
      <c r="B5415" s="110"/>
      <c r="D5415" s="11"/>
      <c r="E5415" s="11"/>
      <c r="H5415" s="443"/>
    </row>
    <row r="5416" spans="1:10" ht="13.5" thickBot="1">
      <c r="A5416" s="27"/>
      <c r="B5416" s="110"/>
      <c r="C5416" s="11" t="s">
        <v>1046</v>
      </c>
      <c r="D5416" s="10" t="s">
        <v>1047</v>
      </c>
      <c r="H5416" s="443"/>
    </row>
    <row r="5417" spans="1:10" ht="13.5" thickBot="1">
      <c r="A5417" s="27"/>
      <c r="B5417" s="110"/>
      <c r="D5417" s="401" t="s">
        <v>40</v>
      </c>
      <c r="E5417" s="402" t="s">
        <v>41</v>
      </c>
      <c r="F5417" s="402" t="s">
        <v>42</v>
      </c>
      <c r="G5417" s="403" t="s">
        <v>43</v>
      </c>
      <c r="H5417" s="404" t="s">
        <v>44</v>
      </c>
      <c r="I5417" s="402" t="s">
        <v>474</v>
      </c>
      <c r="J5417" s="405" t="s">
        <v>475</v>
      </c>
    </row>
    <row r="5418" spans="1:10" ht="13">
      <c r="A5418" s="27"/>
      <c r="B5418" s="110"/>
      <c r="D5418" s="406" t="s">
        <v>45</v>
      </c>
      <c r="E5418" s="13" t="s">
        <v>46</v>
      </c>
      <c r="F5418" s="14"/>
      <c r="G5418" s="15"/>
      <c r="H5418" s="451"/>
      <c r="I5418" s="412"/>
      <c r="J5418" s="16"/>
    </row>
    <row r="5419" spans="1:10" ht="13">
      <c r="A5419" s="27"/>
      <c r="B5419" s="110"/>
      <c r="D5419" s="409"/>
      <c r="E5419" s="13" t="s">
        <v>47</v>
      </c>
      <c r="F5419" s="13" t="s">
        <v>1918</v>
      </c>
      <c r="G5419" s="410" t="s">
        <v>48</v>
      </c>
      <c r="H5419" s="411">
        <v>0.4</v>
      </c>
      <c r="I5419" s="412">
        <f>IF(AND(E5419&lt;&gt;"",G5419&lt;&gt;""),IF(D5419="",IF(G5419="OH",VLOOKUP(F5419,UPAH!$B$4:$H$101,7,0),VLOOKUP(F5419,#REF!,4,0)),0),0)</f>
        <v>0</v>
      </c>
      <c r="J5419" s="16">
        <f>H5419*I5419</f>
        <v>0</v>
      </c>
    </row>
    <row r="5420" spans="1:10" ht="13">
      <c r="A5420" s="27"/>
      <c r="B5420" s="110"/>
      <c r="D5420" s="409"/>
      <c r="E5420" s="13" t="s">
        <v>476</v>
      </c>
      <c r="F5420" s="13" t="s">
        <v>1922</v>
      </c>
      <c r="G5420" s="410" t="s">
        <v>48</v>
      </c>
      <c r="H5420" s="411">
        <v>0.2</v>
      </c>
      <c r="I5420" s="412">
        <f>IF(AND(E5420&lt;&gt;"",G5420&lt;&gt;""),IF(D5420="",IF(G5420="OH",VLOOKUP(F5420,UPAH!$B$4:$H$101,7,0),VLOOKUP(F5420,#REF!,4,0)),0),0)</f>
        <v>0</v>
      </c>
      <c r="J5420" s="16">
        <f>H5420*I5420</f>
        <v>0</v>
      </c>
    </row>
    <row r="5421" spans="1:10" ht="13">
      <c r="A5421" s="27"/>
      <c r="B5421" s="110"/>
      <c r="D5421" s="409"/>
      <c r="E5421" s="13" t="s">
        <v>50</v>
      </c>
      <c r="F5421" s="13" t="s">
        <v>1928</v>
      </c>
      <c r="G5421" s="410" t="s">
        <v>48</v>
      </c>
      <c r="H5421" s="411">
        <v>0.02</v>
      </c>
      <c r="I5421" s="412">
        <f>IF(AND(E5421&lt;&gt;"",G5421&lt;&gt;""),IF(D5421="",IF(G5421="OH",VLOOKUP(F5421,UPAH!$B$4:$H$101,7,0),VLOOKUP(F5421,#REF!,4,0)),0),0)</f>
        <v>0</v>
      </c>
      <c r="J5421" s="16">
        <f>H5421*I5421</f>
        <v>0</v>
      </c>
    </row>
    <row r="5422" spans="1:10" ht="13.5" thickBot="1">
      <c r="A5422" s="27"/>
      <c r="B5422" s="110"/>
      <c r="D5422" s="409"/>
      <c r="E5422" s="13" t="s">
        <v>51</v>
      </c>
      <c r="F5422" s="13" t="s">
        <v>1929</v>
      </c>
      <c r="G5422" s="410" t="s">
        <v>48</v>
      </c>
      <c r="H5422" s="411">
        <v>2E-3</v>
      </c>
      <c r="I5422" s="412">
        <f>IF(AND(E5422&lt;&gt;"",G5422&lt;&gt;""),IF(D5422="",IF(G5422="OH",VLOOKUP(F5422,UPAH!$B$4:$H$101,7,0),VLOOKUP(F5422,#REF!,4,0)),0),0)</f>
        <v>0</v>
      </c>
      <c r="J5422" s="16">
        <f>H5422*I5422</f>
        <v>0</v>
      </c>
    </row>
    <row r="5423" spans="1:10" ht="13.5" thickBot="1">
      <c r="A5423" s="27"/>
      <c r="B5423" s="110"/>
      <c r="D5423" s="417"/>
      <c r="E5423" s="418"/>
      <c r="F5423" s="418"/>
      <c r="G5423" s="419"/>
      <c r="H5423" s="420" t="s">
        <v>52</v>
      </c>
      <c r="I5423" s="421"/>
      <c r="J5423" s="396">
        <f>SUM(J5419:J5422)</f>
        <v>0</v>
      </c>
    </row>
    <row r="5424" spans="1:10" ht="13">
      <c r="A5424" s="27"/>
      <c r="B5424" s="110"/>
      <c r="D5424" s="406" t="s">
        <v>53</v>
      </c>
      <c r="E5424" s="13" t="s">
        <v>54</v>
      </c>
      <c r="F5424" s="14"/>
      <c r="G5424" s="15"/>
      <c r="H5424" s="451"/>
      <c r="I5424" s="412"/>
      <c r="J5424" s="16"/>
    </row>
    <row r="5425" spans="1:10" ht="13">
      <c r="A5425" s="27"/>
      <c r="B5425" s="110"/>
      <c r="D5425" s="409"/>
      <c r="E5425" s="13" t="s">
        <v>184</v>
      </c>
      <c r="F5425" s="14"/>
      <c r="G5425" s="410" t="s">
        <v>87</v>
      </c>
      <c r="H5425" s="411">
        <v>5</v>
      </c>
      <c r="I5425" s="412">
        <f>$I$5406</f>
        <v>0</v>
      </c>
      <c r="J5425" s="16">
        <f>H5425*I5425</f>
        <v>0</v>
      </c>
    </row>
    <row r="5426" spans="1:10" ht="13">
      <c r="A5426" s="27"/>
      <c r="B5426" s="110"/>
      <c r="D5426" s="409"/>
      <c r="E5426" s="13" t="s">
        <v>56</v>
      </c>
      <c r="F5426" s="14"/>
      <c r="G5426" s="410" t="s">
        <v>57</v>
      </c>
      <c r="H5426" s="411">
        <v>8</v>
      </c>
      <c r="I5426" s="412">
        <f>'BAHAN '!G72</f>
        <v>0</v>
      </c>
      <c r="J5426" s="16">
        <f>H5426*I5426</f>
        <v>0</v>
      </c>
    </row>
    <row r="5427" spans="1:10" ht="13.5" thickBot="1">
      <c r="A5427" s="27"/>
      <c r="B5427" s="110"/>
      <c r="D5427" s="409"/>
      <c r="E5427" s="13" t="s">
        <v>101</v>
      </c>
      <c r="F5427" s="14"/>
      <c r="G5427" s="410" t="s">
        <v>170</v>
      </c>
      <c r="H5427" s="411">
        <v>3.2000000000000001E-2</v>
      </c>
      <c r="I5427" s="412">
        <f>'BAHAN '!G59</f>
        <v>0</v>
      </c>
      <c r="J5427" s="16">
        <f>H5427*I5427</f>
        <v>0</v>
      </c>
    </row>
    <row r="5428" spans="1:10" ht="13.5" thickBot="1">
      <c r="A5428" s="27"/>
      <c r="B5428" s="110"/>
      <c r="D5428" s="417"/>
      <c r="E5428" s="418"/>
      <c r="F5428" s="418"/>
      <c r="G5428" s="419"/>
      <c r="H5428" s="420" t="s">
        <v>64</v>
      </c>
      <c r="I5428" s="421"/>
      <c r="J5428" s="396">
        <f>SUM(J5425:J5427)</f>
        <v>0</v>
      </c>
    </row>
    <row r="5429" spans="1:10" ht="13.5" thickBot="1">
      <c r="A5429" s="27"/>
      <c r="B5429" s="110"/>
      <c r="D5429" s="406" t="s">
        <v>65</v>
      </c>
      <c r="E5429" s="13" t="s">
        <v>66</v>
      </c>
      <c r="F5429" s="14"/>
      <c r="G5429" s="15"/>
      <c r="H5429" s="451"/>
      <c r="I5429" s="412">
        <f>IF(AND(E5429&lt;&gt;"",G5429&lt;&gt;""),IF(D5429="",IF(G5429="OH",VLOOKUP(E5429,UPAH!$C$4:$H$31,7,0),VLOOKUP(E5429,#REF!,4,0)),0),0)</f>
        <v>0</v>
      </c>
      <c r="J5429" s="16">
        <f>H5429*I5429</f>
        <v>0</v>
      </c>
    </row>
    <row r="5430" spans="1:10" ht="13.5" thickBot="1">
      <c r="A5430" s="27"/>
      <c r="B5430" s="110"/>
      <c r="D5430" s="417"/>
      <c r="E5430" s="418"/>
      <c r="F5430" s="418"/>
      <c r="G5430" s="419"/>
      <c r="H5430" s="420" t="s">
        <v>67</v>
      </c>
      <c r="I5430" s="421"/>
      <c r="J5430" s="396">
        <f>J5429</f>
        <v>0</v>
      </c>
    </row>
    <row r="5431" spans="1:10" ht="13">
      <c r="A5431" s="27"/>
      <c r="B5431" s="110"/>
      <c r="D5431" s="444" t="s">
        <v>68</v>
      </c>
      <c r="E5431" s="445" t="s">
        <v>69</v>
      </c>
      <c r="F5431" s="446"/>
      <c r="G5431" s="447"/>
      <c r="H5431" s="448"/>
      <c r="I5431" s="449">
        <f>IF(AND(E5431&lt;&gt;"",G5431&lt;&gt;""),IF(D5431="",IF(G5431="OH",VLOOKUP(E5431,UPAH!$C$4:$H$31,7,0),VLOOKUP(E5431,#REF!,4,0)),0),0)</f>
        <v>0</v>
      </c>
      <c r="J5431" s="16">
        <f>SUM(J5419:J5430)/2</f>
        <v>0</v>
      </c>
    </row>
    <row r="5432" spans="1:10" ht="13.5" thickBot="1">
      <c r="A5432" s="27"/>
      <c r="B5432" s="110"/>
      <c r="D5432" s="431" t="s">
        <v>70</v>
      </c>
      <c r="E5432" s="432" t="s">
        <v>477</v>
      </c>
      <c r="F5432" s="433"/>
      <c r="G5432" s="434"/>
      <c r="H5432" s="22">
        <v>0.1</v>
      </c>
      <c r="I5432" s="436"/>
      <c r="J5432" s="430">
        <f>H5432*J5431</f>
        <v>0</v>
      </c>
    </row>
    <row r="5433" spans="1:10" ht="13.5" thickBot="1">
      <c r="A5433" s="27"/>
      <c r="B5433" s="110"/>
      <c r="D5433" s="401" t="s">
        <v>71</v>
      </c>
      <c r="E5433" s="402" t="s">
        <v>72</v>
      </c>
      <c r="F5433" s="418"/>
      <c r="G5433" s="419"/>
      <c r="H5433" s="442"/>
      <c r="I5433" s="421">
        <f>IF(AND(E5433&lt;&gt;"",G5433&lt;&gt;""),IF(D5433="",IF(G5433="OH",VLOOKUP(E5433,UPAH!$C$4:$H$31,7,0),VLOOKUP(E5433,#REF!,4,0)),0),0)</f>
        <v>0</v>
      </c>
      <c r="J5433" s="396">
        <f>ROUNDDOWN(J5431+J5432,0)</f>
        <v>0</v>
      </c>
    </row>
    <row r="5434" spans="1:10" ht="13">
      <c r="A5434" s="27"/>
      <c r="B5434" s="110"/>
      <c r="D5434" s="11"/>
      <c r="E5434" s="11"/>
      <c r="H5434" s="443"/>
    </row>
    <row r="5435" spans="1:10" ht="13.5" thickBot="1">
      <c r="A5435" s="27"/>
      <c r="B5435" s="110"/>
      <c r="C5435" s="11" t="s">
        <v>1048</v>
      </c>
      <c r="D5435" s="10" t="s">
        <v>1049</v>
      </c>
      <c r="H5435" s="443"/>
    </row>
    <row r="5436" spans="1:10" ht="13.5" thickBot="1">
      <c r="A5436" s="27"/>
      <c r="B5436" s="110"/>
      <c r="D5436" s="401" t="s">
        <v>40</v>
      </c>
      <c r="E5436" s="402" t="s">
        <v>41</v>
      </c>
      <c r="F5436" s="402" t="s">
        <v>42</v>
      </c>
      <c r="G5436" s="403" t="s">
        <v>43</v>
      </c>
      <c r="H5436" s="404" t="s">
        <v>44</v>
      </c>
      <c r="I5436" s="402" t="s">
        <v>474</v>
      </c>
      <c r="J5436" s="405" t="s">
        <v>475</v>
      </c>
    </row>
    <row r="5437" spans="1:10" ht="13">
      <c r="A5437" s="27"/>
      <c r="B5437" s="110"/>
      <c r="D5437" s="406" t="s">
        <v>45</v>
      </c>
      <c r="E5437" s="13" t="s">
        <v>46</v>
      </c>
      <c r="F5437" s="14"/>
      <c r="G5437" s="15"/>
      <c r="H5437" s="451"/>
      <c r="I5437" s="412"/>
      <c r="J5437" s="16"/>
    </row>
    <row r="5438" spans="1:10" ht="13">
      <c r="A5438" s="27"/>
      <c r="B5438" s="110"/>
      <c r="D5438" s="409"/>
      <c r="E5438" s="13" t="s">
        <v>47</v>
      </c>
      <c r="F5438" s="13" t="s">
        <v>1918</v>
      </c>
      <c r="G5438" s="410" t="s">
        <v>48</v>
      </c>
      <c r="H5438" s="411">
        <v>0.4</v>
      </c>
      <c r="I5438" s="412">
        <f>IF(AND(E5438&lt;&gt;"",G5438&lt;&gt;""),IF(D5438="",IF(G5438="OH",VLOOKUP(F5438,UPAH!$B$4:$H$101,7,0),VLOOKUP(F5438,#REF!,4,0)),0),0)</f>
        <v>0</v>
      </c>
      <c r="J5438" s="16">
        <f>H5438*I5438</f>
        <v>0</v>
      </c>
    </row>
    <row r="5439" spans="1:10" ht="13">
      <c r="A5439" s="27"/>
      <c r="B5439" s="110"/>
      <c r="D5439" s="409"/>
      <c r="E5439" s="13" t="s">
        <v>476</v>
      </c>
      <c r="F5439" s="13" t="s">
        <v>1922</v>
      </c>
      <c r="G5439" s="410" t="s">
        <v>48</v>
      </c>
      <c r="H5439" s="411">
        <v>0.2</v>
      </c>
      <c r="I5439" s="412">
        <f>IF(AND(E5439&lt;&gt;"",G5439&lt;&gt;""),IF(D5439="",IF(G5439="OH",VLOOKUP(F5439,UPAH!$B$4:$H$101,7,0),VLOOKUP(F5439,#REF!,4,0)),0),0)</f>
        <v>0</v>
      </c>
      <c r="J5439" s="16">
        <f>H5439*I5439</f>
        <v>0</v>
      </c>
    </row>
    <row r="5440" spans="1:10" ht="13">
      <c r="A5440" s="27"/>
      <c r="B5440" s="110"/>
      <c r="D5440" s="409"/>
      <c r="E5440" s="13" t="s">
        <v>50</v>
      </c>
      <c r="F5440" s="13" t="s">
        <v>1928</v>
      </c>
      <c r="G5440" s="410" t="s">
        <v>48</v>
      </c>
      <c r="H5440" s="411">
        <v>0.02</v>
      </c>
      <c r="I5440" s="412">
        <f>IF(AND(E5440&lt;&gt;"",G5440&lt;&gt;""),IF(D5440="",IF(G5440="OH",VLOOKUP(F5440,UPAH!$B$4:$H$101,7,0),VLOOKUP(F5440,#REF!,4,0)),0),0)</f>
        <v>0</v>
      </c>
      <c r="J5440" s="16">
        <f>H5440*I5440</f>
        <v>0</v>
      </c>
    </row>
    <row r="5441" spans="1:10" ht="13.5" thickBot="1">
      <c r="A5441" s="27"/>
      <c r="B5441" s="110"/>
      <c r="D5441" s="409"/>
      <c r="E5441" s="13" t="s">
        <v>51</v>
      </c>
      <c r="F5441" s="13" t="s">
        <v>1929</v>
      </c>
      <c r="G5441" s="410" t="s">
        <v>48</v>
      </c>
      <c r="H5441" s="411">
        <v>2E-3</v>
      </c>
      <c r="I5441" s="412">
        <f>IF(AND(E5441&lt;&gt;"",G5441&lt;&gt;""),IF(D5441="",IF(G5441="OH",VLOOKUP(F5441,UPAH!$B$4:$H$101,7,0),VLOOKUP(F5441,#REF!,4,0)),0),0)</f>
        <v>0</v>
      </c>
      <c r="J5441" s="16">
        <f>H5441*I5441</f>
        <v>0</v>
      </c>
    </row>
    <row r="5442" spans="1:10" ht="13.5" thickBot="1">
      <c r="A5442" s="27"/>
      <c r="B5442" s="110"/>
      <c r="D5442" s="417"/>
      <c r="E5442" s="418"/>
      <c r="F5442" s="418"/>
      <c r="G5442" s="419"/>
      <c r="H5442" s="420" t="s">
        <v>52</v>
      </c>
      <c r="I5442" s="421"/>
      <c r="J5442" s="396">
        <f>SUM(J5438:J5441)</f>
        <v>0</v>
      </c>
    </row>
    <row r="5443" spans="1:10" ht="13">
      <c r="A5443" s="27"/>
      <c r="B5443" s="110"/>
      <c r="D5443" s="406" t="s">
        <v>53</v>
      </c>
      <c r="E5443" s="13" t="s">
        <v>54</v>
      </c>
      <c r="F5443" s="14"/>
      <c r="G5443" s="15"/>
      <c r="H5443" s="451"/>
      <c r="I5443" s="412"/>
      <c r="J5443" s="16"/>
    </row>
    <row r="5444" spans="1:10" ht="13">
      <c r="A5444" s="27"/>
      <c r="B5444" s="110"/>
      <c r="D5444" s="409"/>
      <c r="E5444" s="13" t="s">
        <v>184</v>
      </c>
      <c r="F5444" s="14"/>
      <c r="G5444" s="410" t="s">
        <v>87</v>
      </c>
      <c r="H5444" s="411">
        <v>4</v>
      </c>
      <c r="I5444" s="412">
        <f>'BAHAN '!G224</f>
        <v>0</v>
      </c>
      <c r="J5444" s="16">
        <f>H5444*I5444</f>
        <v>0</v>
      </c>
    </row>
    <row r="5445" spans="1:10" ht="13">
      <c r="A5445" s="27"/>
      <c r="B5445" s="110"/>
      <c r="D5445" s="409"/>
      <c r="E5445" s="13" t="s">
        <v>56</v>
      </c>
      <c r="F5445" s="14"/>
      <c r="G5445" s="410" t="s">
        <v>57</v>
      </c>
      <c r="H5445" s="411">
        <v>8</v>
      </c>
      <c r="I5445" s="412">
        <f>'BAHAN '!G72</f>
        <v>0</v>
      </c>
      <c r="J5445" s="16">
        <f>H5445*I5445</f>
        <v>0</v>
      </c>
    </row>
    <row r="5446" spans="1:10" ht="13.5" thickBot="1">
      <c r="A5446" s="27"/>
      <c r="B5446" s="110"/>
      <c r="D5446" s="409"/>
      <c r="E5446" s="13" t="s">
        <v>101</v>
      </c>
      <c r="F5446" s="14"/>
      <c r="G5446" s="410" t="s">
        <v>170</v>
      </c>
      <c r="H5446" s="411">
        <v>3.2000000000000001E-2</v>
      </c>
      <c r="I5446" s="412">
        <f>'BAHAN '!G59</f>
        <v>0</v>
      </c>
      <c r="J5446" s="16">
        <f>H5446*I5446</f>
        <v>0</v>
      </c>
    </row>
    <row r="5447" spans="1:10" ht="13.5" thickBot="1">
      <c r="A5447" s="27"/>
      <c r="B5447" s="110"/>
      <c r="D5447" s="417"/>
      <c r="E5447" s="418"/>
      <c r="F5447" s="418"/>
      <c r="G5447" s="419"/>
      <c r="H5447" s="420" t="s">
        <v>64</v>
      </c>
      <c r="I5447" s="421"/>
      <c r="J5447" s="396">
        <f>SUM(J5444:J5446)</f>
        <v>0</v>
      </c>
    </row>
    <row r="5448" spans="1:10" ht="13.5" thickBot="1">
      <c r="A5448" s="27"/>
      <c r="B5448" s="110"/>
      <c r="D5448" s="406" t="s">
        <v>65</v>
      </c>
      <c r="E5448" s="13" t="s">
        <v>66</v>
      </c>
      <c r="F5448" s="14"/>
      <c r="G5448" s="15"/>
      <c r="H5448" s="451"/>
      <c r="I5448" s="412">
        <f>IF(AND(E5448&lt;&gt;"",G5448&lt;&gt;""),IF(D5448="",IF(G5448="OH",VLOOKUP(E5448,UPAH!$C$4:$H$31,7,0),VLOOKUP(E5448,#REF!,4,0)),0),0)</f>
        <v>0</v>
      </c>
      <c r="J5448" s="16">
        <f>H5448*I5448</f>
        <v>0</v>
      </c>
    </row>
    <row r="5449" spans="1:10" ht="13.5" thickBot="1">
      <c r="A5449" s="27"/>
      <c r="B5449" s="110"/>
      <c r="D5449" s="417"/>
      <c r="E5449" s="418"/>
      <c r="F5449" s="418"/>
      <c r="G5449" s="419"/>
      <c r="H5449" s="420" t="s">
        <v>67</v>
      </c>
      <c r="I5449" s="421"/>
      <c r="J5449" s="396">
        <f>J5448</f>
        <v>0</v>
      </c>
    </row>
    <row r="5450" spans="1:10" ht="13">
      <c r="A5450" s="27"/>
      <c r="B5450" s="110"/>
      <c r="D5450" s="444" t="s">
        <v>68</v>
      </c>
      <c r="E5450" s="445" t="s">
        <v>69</v>
      </c>
      <c r="F5450" s="446"/>
      <c r="G5450" s="447"/>
      <c r="H5450" s="448"/>
      <c r="I5450" s="449">
        <f>IF(AND(E5450&lt;&gt;"",G5450&lt;&gt;""),IF(D5450="",IF(G5450="OH",VLOOKUP(E5450,UPAH!$C$4:$H$31,7,0),VLOOKUP(E5450,#REF!,4,0)),0),0)</f>
        <v>0</v>
      </c>
      <c r="J5450" s="16">
        <f>SUM(J5438:J5449)/2</f>
        <v>0</v>
      </c>
    </row>
    <row r="5451" spans="1:10" ht="13.5" thickBot="1">
      <c r="A5451" s="27"/>
      <c r="B5451" s="110"/>
      <c r="D5451" s="431" t="s">
        <v>70</v>
      </c>
      <c r="E5451" s="432" t="s">
        <v>477</v>
      </c>
      <c r="F5451" s="433"/>
      <c r="G5451" s="434"/>
      <c r="H5451" s="22">
        <v>0.1</v>
      </c>
      <c r="I5451" s="436"/>
      <c r="J5451" s="430">
        <f>H5451*J5450</f>
        <v>0</v>
      </c>
    </row>
    <row r="5452" spans="1:10" ht="13.5" thickBot="1">
      <c r="A5452" s="27"/>
      <c r="B5452" s="110"/>
      <c r="D5452" s="401" t="s">
        <v>71</v>
      </c>
      <c r="E5452" s="402" t="s">
        <v>72</v>
      </c>
      <c r="F5452" s="418"/>
      <c r="G5452" s="419"/>
      <c r="H5452" s="442"/>
      <c r="I5452" s="421">
        <f>IF(AND(E5452&lt;&gt;"",G5452&lt;&gt;""),IF(D5452="",IF(G5452="OH",VLOOKUP(E5452,UPAH!$C$4:$H$31,7,0),VLOOKUP(E5452,#REF!,4,0)),0),0)</f>
        <v>0</v>
      </c>
      <c r="J5452" s="396">
        <f>ROUNDDOWN(J5450+J5451,0)</f>
        <v>0</v>
      </c>
    </row>
    <row r="5453" spans="1:10" ht="13">
      <c r="A5453" s="27"/>
      <c r="B5453" s="110"/>
      <c r="D5453" s="11"/>
      <c r="E5453" s="11"/>
      <c r="H5453" s="443"/>
    </row>
    <row r="5454" spans="1:10" ht="13.5" thickBot="1">
      <c r="A5454" s="27"/>
      <c r="B5454" s="110"/>
      <c r="C5454" s="11" t="s">
        <v>1050</v>
      </c>
      <c r="D5454" s="10" t="s">
        <v>1051</v>
      </c>
      <c r="H5454" s="443"/>
    </row>
    <row r="5455" spans="1:10" ht="13.5" thickBot="1">
      <c r="A5455" s="27"/>
      <c r="B5455" s="110"/>
      <c r="D5455" s="401" t="s">
        <v>40</v>
      </c>
      <c r="E5455" s="402" t="s">
        <v>41</v>
      </c>
      <c r="F5455" s="402" t="s">
        <v>42</v>
      </c>
      <c r="G5455" s="403" t="s">
        <v>43</v>
      </c>
      <c r="H5455" s="404" t="s">
        <v>44</v>
      </c>
      <c r="I5455" s="402" t="s">
        <v>474</v>
      </c>
      <c r="J5455" s="405" t="s">
        <v>475</v>
      </c>
    </row>
    <row r="5456" spans="1:10" ht="13">
      <c r="A5456" s="27"/>
      <c r="B5456" s="110"/>
      <c r="D5456" s="406" t="s">
        <v>45</v>
      </c>
      <c r="E5456" s="13" t="s">
        <v>46</v>
      </c>
      <c r="F5456" s="14"/>
      <c r="G5456" s="15"/>
      <c r="H5456" s="451"/>
      <c r="I5456" s="412"/>
      <c r="J5456" s="16"/>
    </row>
    <row r="5457" spans="1:10" ht="13">
      <c r="A5457" s="27"/>
      <c r="B5457" s="110"/>
      <c r="D5457" s="409"/>
      <c r="E5457" s="13" t="s">
        <v>47</v>
      </c>
      <c r="F5457" s="13" t="s">
        <v>1918</v>
      </c>
      <c r="G5457" s="410" t="s">
        <v>48</v>
      </c>
      <c r="H5457" s="411">
        <v>0.14000000000000001</v>
      </c>
      <c r="I5457" s="412">
        <f>IF(AND(E5457&lt;&gt;"",G5457&lt;&gt;""),IF(D5457="",IF(G5457="OH",VLOOKUP(F5457,UPAH!$B$4:$H$101,7,0),VLOOKUP(F5457,#REF!,4,0)),0),0)</f>
        <v>0</v>
      </c>
      <c r="J5457" s="16">
        <f>H5457*I5457</f>
        <v>0</v>
      </c>
    </row>
    <row r="5458" spans="1:10" ht="13">
      <c r="A5458" s="27"/>
      <c r="B5458" s="110"/>
      <c r="D5458" s="409"/>
      <c r="E5458" s="13" t="s">
        <v>476</v>
      </c>
      <c r="F5458" s="13" t="s">
        <v>1922</v>
      </c>
      <c r="G5458" s="410" t="s">
        <v>48</v>
      </c>
      <c r="H5458" s="411">
        <v>6.7000000000000004E-2</v>
      </c>
      <c r="I5458" s="412">
        <f>IF(AND(E5458&lt;&gt;"",G5458&lt;&gt;""),IF(D5458="",IF(G5458="OH",VLOOKUP(F5458,UPAH!$B$4:$H$101,7,0),VLOOKUP(F5458,#REF!,4,0)),0),0)</f>
        <v>0</v>
      </c>
      <c r="J5458" s="16">
        <f>H5458*I5458</f>
        <v>0</v>
      </c>
    </row>
    <row r="5459" spans="1:10" ht="13">
      <c r="A5459" s="27"/>
      <c r="B5459" s="110"/>
      <c r="D5459" s="409"/>
      <c r="E5459" s="13" t="s">
        <v>50</v>
      </c>
      <c r="F5459" s="13" t="s">
        <v>1928</v>
      </c>
      <c r="G5459" s="410" t="s">
        <v>48</v>
      </c>
      <c r="H5459" s="411">
        <v>7.0000000000000001E-3</v>
      </c>
      <c r="I5459" s="412">
        <f>IF(AND(E5459&lt;&gt;"",G5459&lt;&gt;""),IF(D5459="",IF(G5459="OH",VLOOKUP(F5459,UPAH!$B$4:$H$101,7,0),VLOOKUP(F5459,#REF!,4,0)),0),0)</f>
        <v>0</v>
      </c>
      <c r="J5459" s="16">
        <f>H5459*I5459</f>
        <v>0</v>
      </c>
    </row>
    <row r="5460" spans="1:10" ht="13.5" thickBot="1">
      <c r="A5460" s="27"/>
      <c r="B5460" s="110"/>
      <c r="D5460" s="409"/>
      <c r="E5460" s="13" t="s">
        <v>51</v>
      </c>
      <c r="F5460" s="13" t="s">
        <v>1929</v>
      </c>
      <c r="G5460" s="410" t="s">
        <v>48</v>
      </c>
      <c r="H5460" s="411">
        <v>7.0000000000000001E-3</v>
      </c>
      <c r="I5460" s="412">
        <f>IF(AND(E5460&lt;&gt;"",G5460&lt;&gt;""),IF(D5460="",IF(G5460="OH",VLOOKUP(F5460,UPAH!$B$4:$H$101,7,0),VLOOKUP(F5460,#REF!,4,0)),0),0)</f>
        <v>0</v>
      </c>
      <c r="J5460" s="16">
        <f>H5460*I5460</f>
        <v>0</v>
      </c>
    </row>
    <row r="5461" spans="1:10" ht="13.5" thickBot="1">
      <c r="A5461" s="27"/>
      <c r="B5461" s="110"/>
      <c r="D5461" s="417"/>
      <c r="E5461" s="418"/>
      <c r="F5461" s="418"/>
      <c r="G5461" s="419"/>
      <c r="H5461" s="420" t="s">
        <v>52</v>
      </c>
      <c r="I5461" s="421"/>
      <c r="J5461" s="396">
        <f>SUM(J5457:J5460)</f>
        <v>0</v>
      </c>
    </row>
    <row r="5462" spans="1:10" ht="13">
      <c r="A5462" s="27"/>
      <c r="B5462" s="110"/>
      <c r="D5462" s="406" t="s">
        <v>53</v>
      </c>
      <c r="E5462" s="13" t="s">
        <v>54</v>
      </c>
      <c r="F5462" s="14"/>
      <c r="G5462" s="15"/>
      <c r="H5462" s="451"/>
      <c r="I5462" s="412"/>
      <c r="J5462" s="16"/>
    </row>
    <row r="5463" spans="1:10" ht="13">
      <c r="A5463" s="27"/>
      <c r="B5463" s="110"/>
      <c r="D5463" s="409"/>
      <c r="E5463" s="13" t="s">
        <v>2898</v>
      </c>
      <c r="F5463" s="14"/>
      <c r="G5463" s="410" t="s">
        <v>74</v>
      </c>
      <c r="H5463" s="411">
        <v>0.6</v>
      </c>
      <c r="I5463" s="412">
        <f>'BAHAN '!G995</f>
        <v>0</v>
      </c>
      <c r="J5463" s="16">
        <f>H5463*I5463</f>
        <v>0</v>
      </c>
    </row>
    <row r="5464" spans="1:10" ht="13.5" thickBot="1">
      <c r="A5464" s="27"/>
      <c r="B5464" s="110"/>
      <c r="D5464" s="409"/>
      <c r="E5464" s="13" t="s">
        <v>83</v>
      </c>
      <c r="F5464" s="14"/>
      <c r="G5464" s="410" t="s">
        <v>57</v>
      </c>
      <c r="H5464" s="411">
        <v>0.05</v>
      </c>
      <c r="I5464" s="412">
        <f>'BAHAN '!G127</f>
        <v>0</v>
      </c>
      <c r="J5464" s="16">
        <f>H5464*I5464</f>
        <v>0</v>
      </c>
    </row>
    <row r="5465" spans="1:10" ht="13.5" thickBot="1">
      <c r="A5465" s="27"/>
      <c r="B5465" s="110"/>
      <c r="D5465" s="417"/>
      <c r="E5465" s="418"/>
      <c r="F5465" s="418"/>
      <c r="G5465" s="419"/>
      <c r="H5465" s="420" t="s">
        <v>64</v>
      </c>
      <c r="I5465" s="421"/>
      <c r="J5465" s="396">
        <f>SUM(J5463:J5464)</f>
        <v>0</v>
      </c>
    </row>
    <row r="5466" spans="1:10" ht="13.5" thickBot="1">
      <c r="A5466" s="27"/>
      <c r="B5466" s="110"/>
      <c r="D5466" s="406" t="s">
        <v>65</v>
      </c>
      <c r="E5466" s="13" t="s">
        <v>66</v>
      </c>
      <c r="F5466" s="14"/>
      <c r="G5466" s="15"/>
      <c r="H5466" s="451"/>
      <c r="I5466" s="412">
        <f>IF(AND(E5466&lt;&gt;"",G5466&lt;&gt;""),IF(D5466="",IF(G5466="OH",VLOOKUP(E5466,UPAH!$C$4:$H$31,7,0),VLOOKUP(E5466,#REF!,4,0)),0),0)</f>
        <v>0</v>
      </c>
      <c r="J5466" s="16">
        <f>H5466*I5466</f>
        <v>0</v>
      </c>
    </row>
    <row r="5467" spans="1:10" ht="13.5" thickBot="1">
      <c r="A5467" s="27"/>
      <c r="B5467" s="110"/>
      <c r="D5467" s="417"/>
      <c r="E5467" s="418"/>
      <c r="F5467" s="418"/>
      <c r="G5467" s="419"/>
      <c r="H5467" s="420" t="s">
        <v>67</v>
      </c>
      <c r="I5467" s="421"/>
      <c r="J5467" s="396">
        <f>J5466</f>
        <v>0</v>
      </c>
    </row>
    <row r="5468" spans="1:10" ht="13">
      <c r="A5468" s="27"/>
      <c r="B5468" s="110"/>
      <c r="D5468" s="444" t="s">
        <v>68</v>
      </c>
      <c r="E5468" s="445" t="s">
        <v>69</v>
      </c>
      <c r="F5468" s="446"/>
      <c r="G5468" s="447"/>
      <c r="H5468" s="448"/>
      <c r="I5468" s="449">
        <f>IF(AND(E5468&lt;&gt;"",G5468&lt;&gt;""),IF(D5468="",IF(G5468="OH",VLOOKUP(E5468,UPAH!$C$4:$H$31,7,0),VLOOKUP(E5468,#REF!,4,0)),0),0)</f>
        <v>0</v>
      </c>
      <c r="J5468" s="16">
        <f>SUM(J5457:J5467)/2</f>
        <v>0</v>
      </c>
    </row>
    <row r="5469" spans="1:10" ht="13.5" thickBot="1">
      <c r="A5469" s="27"/>
      <c r="B5469" s="110"/>
      <c r="D5469" s="431" t="s">
        <v>70</v>
      </c>
      <c r="E5469" s="432" t="s">
        <v>477</v>
      </c>
      <c r="F5469" s="433"/>
      <c r="G5469" s="434"/>
      <c r="H5469" s="22">
        <v>0.1</v>
      </c>
      <c r="I5469" s="436"/>
      <c r="J5469" s="430">
        <f>H5469*J5468</f>
        <v>0</v>
      </c>
    </row>
    <row r="5470" spans="1:10" ht="13.5" thickBot="1">
      <c r="A5470" s="27"/>
      <c r="B5470" s="110"/>
      <c r="D5470" s="401" t="s">
        <v>71</v>
      </c>
      <c r="E5470" s="402" t="s">
        <v>72</v>
      </c>
      <c r="F5470" s="418"/>
      <c r="G5470" s="419"/>
      <c r="H5470" s="442"/>
      <c r="I5470" s="421">
        <f>IF(AND(E5470&lt;&gt;"",G5470&lt;&gt;""),IF(D5470="",IF(G5470="OH",VLOOKUP(E5470,UPAH!$C$4:$H$31,7,0),VLOOKUP(E5470,#REF!,4,0)),0),0)</f>
        <v>0</v>
      </c>
      <c r="J5470" s="396">
        <f>ROUNDDOWN(J5468+J5469,0)</f>
        <v>0</v>
      </c>
    </row>
    <row r="5471" spans="1:10" ht="13">
      <c r="A5471" s="27"/>
      <c r="B5471" s="110"/>
      <c r="D5471" s="11"/>
      <c r="E5471" s="11"/>
      <c r="H5471" s="443"/>
    </row>
    <row r="5472" spans="1:10" ht="13.5" thickBot="1">
      <c r="A5472" s="27"/>
      <c r="B5472" s="110"/>
      <c r="C5472" s="11" t="s">
        <v>3649</v>
      </c>
      <c r="D5472" s="10" t="s">
        <v>3650</v>
      </c>
      <c r="H5472" s="443"/>
    </row>
    <row r="5473" spans="1:10" ht="13.5" thickBot="1">
      <c r="A5473" s="27"/>
      <c r="B5473" s="110"/>
      <c r="D5473" s="401" t="s">
        <v>40</v>
      </c>
      <c r="E5473" s="402" t="s">
        <v>41</v>
      </c>
      <c r="F5473" s="402" t="s">
        <v>42</v>
      </c>
      <c r="G5473" s="403" t="s">
        <v>43</v>
      </c>
      <c r="H5473" s="404" t="s">
        <v>44</v>
      </c>
      <c r="I5473" s="402" t="s">
        <v>474</v>
      </c>
      <c r="J5473" s="405" t="s">
        <v>475</v>
      </c>
    </row>
    <row r="5474" spans="1:10" ht="13">
      <c r="A5474" s="27"/>
      <c r="B5474" s="110"/>
      <c r="D5474" s="406" t="s">
        <v>45</v>
      </c>
      <c r="E5474" s="13" t="s">
        <v>46</v>
      </c>
      <c r="F5474" s="14"/>
      <c r="G5474" s="15"/>
      <c r="H5474" s="451"/>
      <c r="I5474" s="412"/>
      <c r="J5474" s="16"/>
    </row>
    <row r="5475" spans="1:10" ht="13">
      <c r="A5475" s="27"/>
      <c r="B5475" s="110"/>
      <c r="D5475" s="409"/>
      <c r="E5475" s="13" t="s">
        <v>47</v>
      </c>
      <c r="F5475" s="13" t="s">
        <v>1918</v>
      </c>
      <c r="G5475" s="410" t="s">
        <v>48</v>
      </c>
      <c r="H5475" s="411">
        <v>0.14000000000000001</v>
      </c>
      <c r="I5475" s="412">
        <f>IF(AND(E5475&lt;&gt;"",G5475&lt;&gt;""),IF(D5475="",IF(G5475="OH",VLOOKUP(F5475,UPAH!$B$4:$H$101,7,0),VLOOKUP(F5475,#REF!,4,0)),0),0)</f>
        <v>0</v>
      </c>
      <c r="J5475" s="16">
        <f>H5475*I5475</f>
        <v>0</v>
      </c>
    </row>
    <row r="5476" spans="1:10" ht="13">
      <c r="A5476" s="27"/>
      <c r="B5476" s="110"/>
      <c r="D5476" s="409"/>
      <c r="E5476" s="13" t="s">
        <v>476</v>
      </c>
      <c r="F5476" s="13" t="s">
        <v>1922</v>
      </c>
      <c r="G5476" s="410" t="s">
        <v>48</v>
      </c>
      <c r="H5476" s="411">
        <v>6.7000000000000004E-2</v>
      </c>
      <c r="I5476" s="412">
        <f>IF(AND(E5476&lt;&gt;"",G5476&lt;&gt;""),IF(D5476="",IF(G5476="OH",VLOOKUP(F5476,UPAH!$B$4:$H$101,7,0),VLOOKUP(F5476,#REF!,4,0)),0),0)</f>
        <v>0</v>
      </c>
      <c r="J5476" s="16">
        <f>H5476*I5476</f>
        <v>0</v>
      </c>
    </row>
    <row r="5477" spans="1:10" ht="13">
      <c r="A5477" s="27"/>
      <c r="B5477" s="110"/>
      <c r="D5477" s="409"/>
      <c r="E5477" s="13" t="s">
        <v>50</v>
      </c>
      <c r="F5477" s="13" t="s">
        <v>1928</v>
      </c>
      <c r="G5477" s="410" t="s">
        <v>48</v>
      </c>
      <c r="H5477" s="411">
        <v>7.0000000000000001E-3</v>
      </c>
      <c r="I5477" s="412">
        <f>IF(AND(E5477&lt;&gt;"",G5477&lt;&gt;""),IF(D5477="",IF(G5477="OH",VLOOKUP(F5477,UPAH!$B$4:$H$101,7,0),VLOOKUP(F5477,#REF!,4,0)),0),0)</f>
        <v>0</v>
      </c>
      <c r="J5477" s="16">
        <f>H5477*I5477</f>
        <v>0</v>
      </c>
    </row>
    <row r="5478" spans="1:10" ht="13.5" thickBot="1">
      <c r="A5478" s="27"/>
      <c r="B5478" s="110"/>
      <c r="D5478" s="409"/>
      <c r="E5478" s="13" t="s">
        <v>51</v>
      </c>
      <c r="F5478" s="13" t="s">
        <v>1929</v>
      </c>
      <c r="G5478" s="410" t="s">
        <v>48</v>
      </c>
      <c r="H5478" s="411">
        <v>7.0000000000000001E-3</v>
      </c>
      <c r="I5478" s="412">
        <f>IF(AND(E5478&lt;&gt;"",G5478&lt;&gt;""),IF(D5478="",IF(G5478="OH",VLOOKUP(F5478,UPAH!$B$4:$H$101,7,0),VLOOKUP(F5478,#REF!,4,0)),0),0)</f>
        <v>0</v>
      </c>
      <c r="J5478" s="16">
        <f>H5478*I5478</f>
        <v>0</v>
      </c>
    </row>
    <row r="5479" spans="1:10" ht="13.5" thickBot="1">
      <c r="A5479" s="27"/>
      <c r="B5479" s="110"/>
      <c r="D5479" s="417"/>
      <c r="E5479" s="418"/>
      <c r="F5479" s="418"/>
      <c r="G5479" s="419"/>
      <c r="H5479" s="420" t="s">
        <v>52</v>
      </c>
      <c r="I5479" s="421"/>
      <c r="J5479" s="396">
        <f>SUM(J5475:J5478)</f>
        <v>0</v>
      </c>
    </row>
    <row r="5480" spans="1:10" ht="13">
      <c r="A5480" s="27"/>
      <c r="B5480" s="110"/>
      <c r="D5480" s="406" t="s">
        <v>53</v>
      </c>
      <c r="E5480" s="13" t="s">
        <v>54</v>
      </c>
      <c r="F5480" s="14"/>
      <c r="G5480" s="15"/>
      <c r="H5480" s="451"/>
      <c r="I5480" s="412"/>
      <c r="J5480" s="16"/>
    </row>
    <row r="5481" spans="1:10" ht="13">
      <c r="A5481" s="27"/>
      <c r="B5481" s="110"/>
      <c r="D5481" s="409"/>
      <c r="E5481" s="13" t="s">
        <v>3651</v>
      </c>
      <c r="F5481" s="14"/>
      <c r="G5481" s="410" t="s">
        <v>74</v>
      </c>
      <c r="H5481" s="411">
        <v>0.6</v>
      </c>
      <c r="I5481" s="412">
        <v>0</v>
      </c>
      <c r="J5481" s="16">
        <f>H5481*I5481</f>
        <v>0</v>
      </c>
    </row>
    <row r="5482" spans="1:10" ht="13.5" thickBot="1">
      <c r="A5482" s="27"/>
      <c r="B5482" s="110"/>
      <c r="D5482" s="409"/>
      <c r="E5482" s="13" t="s">
        <v>83</v>
      </c>
      <c r="F5482" s="14"/>
      <c r="G5482" s="410" t="s">
        <v>57</v>
      </c>
      <c r="H5482" s="411">
        <v>0.05</v>
      </c>
      <c r="I5482" s="412">
        <f>'BAHAN '!G145</f>
        <v>0</v>
      </c>
      <c r="J5482" s="16">
        <f>H5482*I5482</f>
        <v>0</v>
      </c>
    </row>
    <row r="5483" spans="1:10" ht="13.5" thickBot="1">
      <c r="A5483" s="27"/>
      <c r="B5483" s="110"/>
      <c r="D5483" s="417"/>
      <c r="E5483" s="418"/>
      <c r="F5483" s="418"/>
      <c r="G5483" s="419"/>
      <c r="H5483" s="420" t="s">
        <v>64</v>
      </c>
      <c r="I5483" s="421"/>
      <c r="J5483" s="396">
        <f>SUM(J5481:J5482)</f>
        <v>0</v>
      </c>
    </row>
    <row r="5484" spans="1:10" ht="13.5" thickBot="1">
      <c r="A5484" s="27"/>
      <c r="B5484" s="110"/>
      <c r="D5484" s="406" t="s">
        <v>65</v>
      </c>
      <c r="E5484" s="13" t="s">
        <v>66</v>
      </c>
      <c r="F5484" s="14"/>
      <c r="G5484" s="15"/>
      <c r="H5484" s="451"/>
      <c r="I5484" s="412">
        <f>IF(AND(E5484&lt;&gt;"",G5484&lt;&gt;""),IF(D5484="",IF(G5484="OH",VLOOKUP(E5484,UPAH!$C$4:$H$31,7,0),VLOOKUP(E5484,#REF!,4,0)),0),0)</f>
        <v>0</v>
      </c>
      <c r="J5484" s="16">
        <f>H5484*I5484</f>
        <v>0</v>
      </c>
    </row>
    <row r="5485" spans="1:10" ht="13.5" thickBot="1">
      <c r="A5485" s="27"/>
      <c r="B5485" s="110"/>
      <c r="D5485" s="417"/>
      <c r="E5485" s="418"/>
      <c r="F5485" s="418"/>
      <c r="G5485" s="419"/>
      <c r="H5485" s="420" t="s">
        <v>67</v>
      </c>
      <c r="I5485" s="421"/>
      <c r="J5485" s="396">
        <f>J5484</f>
        <v>0</v>
      </c>
    </row>
    <row r="5486" spans="1:10" ht="13">
      <c r="A5486" s="27"/>
      <c r="B5486" s="110"/>
      <c r="D5486" s="444" t="s">
        <v>68</v>
      </c>
      <c r="E5486" s="445" t="s">
        <v>69</v>
      </c>
      <c r="F5486" s="446"/>
      <c r="G5486" s="447"/>
      <c r="H5486" s="448"/>
      <c r="I5486" s="449">
        <f>IF(AND(E5486&lt;&gt;"",G5486&lt;&gt;""),IF(D5486="",IF(G5486="OH",VLOOKUP(E5486,UPAH!$C$4:$H$31,7,0),VLOOKUP(E5486,#REF!,4,0)),0),0)</f>
        <v>0</v>
      </c>
      <c r="J5486" s="16">
        <f>SUM(J5475:J5485)/2</f>
        <v>0</v>
      </c>
    </row>
    <row r="5487" spans="1:10" ht="13.5" thickBot="1">
      <c r="A5487" s="27"/>
      <c r="B5487" s="110"/>
      <c r="D5487" s="431" t="s">
        <v>70</v>
      </c>
      <c r="E5487" s="432" t="s">
        <v>477</v>
      </c>
      <c r="F5487" s="433"/>
      <c r="G5487" s="434"/>
      <c r="H5487" s="22">
        <v>0.1</v>
      </c>
      <c r="I5487" s="436"/>
      <c r="J5487" s="430">
        <f>H5487*J5486</f>
        <v>0</v>
      </c>
    </row>
    <row r="5488" spans="1:10" ht="13.5" thickBot="1">
      <c r="A5488" s="27"/>
      <c r="B5488" s="110"/>
      <c r="D5488" s="401" t="s">
        <v>71</v>
      </c>
      <c r="E5488" s="402" t="s">
        <v>72</v>
      </c>
      <c r="F5488" s="418"/>
      <c r="G5488" s="419"/>
      <c r="H5488" s="442"/>
      <c r="I5488" s="421">
        <f>IF(AND(E5488&lt;&gt;"",G5488&lt;&gt;""),IF(D5488="",IF(G5488="OH",VLOOKUP(E5488,UPAH!$C$4:$H$31,7,0),VLOOKUP(E5488,#REF!,4,0)),0),0)</f>
        <v>0</v>
      </c>
      <c r="J5488" s="396">
        <f>ROUNDDOWN(J5486+J5487,0)</f>
        <v>0</v>
      </c>
    </row>
    <row r="5489" spans="1:10" ht="13">
      <c r="A5489" s="27"/>
      <c r="B5489" s="110"/>
      <c r="D5489" s="11"/>
      <c r="E5489" s="11"/>
      <c r="H5489" s="443"/>
    </row>
    <row r="5490" spans="1:10" ht="13.5" thickBot="1">
      <c r="A5490" s="27"/>
      <c r="B5490" s="110"/>
      <c r="C5490" s="11" t="s">
        <v>1052</v>
      </c>
      <c r="D5490" s="10" t="s">
        <v>1053</v>
      </c>
      <c r="H5490" s="443"/>
    </row>
    <row r="5491" spans="1:10" ht="13.5" thickBot="1">
      <c r="A5491" s="27"/>
      <c r="B5491" s="110"/>
      <c r="D5491" s="401" t="s">
        <v>40</v>
      </c>
      <c r="E5491" s="402" t="s">
        <v>41</v>
      </c>
      <c r="F5491" s="402" t="s">
        <v>42</v>
      </c>
      <c r="G5491" s="403" t="s">
        <v>43</v>
      </c>
      <c r="H5491" s="404" t="s">
        <v>44</v>
      </c>
      <c r="I5491" s="402" t="s">
        <v>474</v>
      </c>
      <c r="J5491" s="405" t="s">
        <v>475</v>
      </c>
    </row>
    <row r="5492" spans="1:10" ht="13">
      <c r="A5492" s="27"/>
      <c r="B5492" s="110"/>
      <c r="D5492" s="406" t="s">
        <v>45</v>
      </c>
      <c r="E5492" s="13" t="s">
        <v>46</v>
      </c>
      <c r="F5492" s="14"/>
      <c r="G5492" s="15"/>
      <c r="H5492" s="451"/>
      <c r="I5492" s="412"/>
      <c r="J5492" s="16"/>
    </row>
    <row r="5493" spans="1:10" ht="13">
      <c r="A5493" s="27"/>
      <c r="B5493" s="110"/>
      <c r="D5493" s="409"/>
      <c r="E5493" s="13" t="s">
        <v>47</v>
      </c>
      <c r="F5493" s="13" t="s">
        <v>1918</v>
      </c>
      <c r="G5493" s="410" t="s">
        <v>48</v>
      </c>
      <c r="H5493" s="411">
        <v>0.14000000000000001</v>
      </c>
      <c r="I5493" s="412">
        <f>IF(AND(E5493&lt;&gt;"",G5493&lt;&gt;""),IF(D5493="",IF(G5493="OH",VLOOKUP(F5493,UPAH!$B$4:$H$101,7,0),VLOOKUP(F5493,#REF!,4,0)),0),0)</f>
        <v>0</v>
      </c>
      <c r="J5493" s="16">
        <f>H5493*I5493</f>
        <v>0</v>
      </c>
    </row>
    <row r="5494" spans="1:10" ht="13">
      <c r="A5494" s="27"/>
      <c r="B5494" s="110"/>
      <c r="D5494" s="409"/>
      <c r="E5494" s="13" t="s">
        <v>476</v>
      </c>
      <c r="F5494" s="13" t="s">
        <v>1922</v>
      </c>
      <c r="G5494" s="410" t="s">
        <v>48</v>
      </c>
      <c r="H5494" s="411">
        <v>7.4999999999999997E-2</v>
      </c>
      <c r="I5494" s="412">
        <f>IF(AND(E5494&lt;&gt;"",G5494&lt;&gt;""),IF(D5494="",IF(G5494="OH",VLOOKUP(F5494,UPAH!$B$4:$H$101,7,0),VLOOKUP(F5494,#REF!,4,0)),0),0)</f>
        <v>0</v>
      </c>
      <c r="J5494" s="16">
        <f>H5494*I5494</f>
        <v>0</v>
      </c>
    </row>
    <row r="5495" spans="1:10" ht="13">
      <c r="A5495" s="27"/>
      <c r="B5495" s="110"/>
      <c r="D5495" s="409"/>
      <c r="E5495" s="13" t="s">
        <v>50</v>
      </c>
      <c r="F5495" s="13" t="s">
        <v>1928</v>
      </c>
      <c r="G5495" s="410" t="s">
        <v>48</v>
      </c>
      <c r="H5495" s="411">
        <v>8.0000000000000002E-3</v>
      </c>
      <c r="I5495" s="412">
        <f>IF(AND(E5495&lt;&gt;"",G5495&lt;&gt;""),IF(D5495="",IF(G5495="OH",VLOOKUP(F5495,UPAH!$B$4:$H$101,7,0),VLOOKUP(F5495,#REF!,4,0)),0),0)</f>
        <v>0</v>
      </c>
      <c r="J5495" s="16">
        <f>H5495*I5495</f>
        <v>0</v>
      </c>
    </row>
    <row r="5496" spans="1:10" ht="13.5" thickBot="1">
      <c r="A5496" s="27"/>
      <c r="B5496" s="110"/>
      <c r="D5496" s="409"/>
      <c r="E5496" s="13" t="s">
        <v>51</v>
      </c>
      <c r="F5496" s="13" t="s">
        <v>1929</v>
      </c>
      <c r="G5496" s="410" t="s">
        <v>48</v>
      </c>
      <c r="H5496" s="411">
        <v>8.0000000000000002E-3</v>
      </c>
      <c r="I5496" s="412">
        <f>IF(AND(E5496&lt;&gt;"",G5496&lt;&gt;""),IF(D5496="",IF(G5496="OH",VLOOKUP(F5496,UPAH!$B$4:$H$101,7,0),VLOOKUP(F5496,#REF!,4,0)),0),0)</f>
        <v>0</v>
      </c>
      <c r="J5496" s="16">
        <f>H5496*I5496</f>
        <v>0</v>
      </c>
    </row>
    <row r="5497" spans="1:10" ht="13.5" thickBot="1">
      <c r="A5497" s="27"/>
      <c r="B5497" s="110"/>
      <c r="D5497" s="417"/>
      <c r="E5497" s="418"/>
      <c r="F5497" s="418"/>
      <c r="G5497" s="419"/>
      <c r="H5497" s="420" t="s">
        <v>52</v>
      </c>
      <c r="I5497" s="421"/>
      <c r="J5497" s="396">
        <f>SUM(J5493:J5496)</f>
        <v>0</v>
      </c>
    </row>
    <row r="5498" spans="1:10" ht="13">
      <c r="A5498" s="27"/>
      <c r="B5498" s="110"/>
      <c r="D5498" s="406" t="s">
        <v>53</v>
      </c>
      <c r="E5498" s="13" t="s">
        <v>54</v>
      </c>
      <c r="F5498" s="14"/>
      <c r="G5498" s="15"/>
      <c r="H5498" s="451"/>
      <c r="I5498" s="412"/>
      <c r="J5498" s="16"/>
    </row>
    <row r="5499" spans="1:10" ht="13">
      <c r="A5499" s="27"/>
      <c r="B5499" s="110"/>
      <c r="D5499" s="409"/>
      <c r="E5499" s="458" t="s">
        <v>2899</v>
      </c>
      <c r="F5499" s="14"/>
      <c r="G5499" s="410" t="s">
        <v>74</v>
      </c>
      <c r="H5499" s="411">
        <v>0.5</v>
      </c>
      <c r="I5499" s="412">
        <f>'BAHAN '!G204</f>
        <v>0</v>
      </c>
      <c r="J5499" s="16">
        <f>H5499*I5499</f>
        <v>0</v>
      </c>
    </row>
    <row r="5500" spans="1:10" ht="13.5" thickBot="1">
      <c r="A5500" s="27"/>
      <c r="B5500" s="110"/>
      <c r="D5500" s="409"/>
      <c r="E5500" s="458" t="s">
        <v>2900</v>
      </c>
      <c r="F5500" s="14"/>
      <c r="G5500" s="410" t="s">
        <v>57</v>
      </c>
      <c r="H5500" s="411">
        <v>0.12</v>
      </c>
      <c r="I5500" s="412">
        <f>'BAHAN '!G128</f>
        <v>0</v>
      </c>
      <c r="J5500" s="16">
        <f>H5500*I5500</f>
        <v>0</v>
      </c>
    </row>
    <row r="5501" spans="1:10" ht="13.5" thickBot="1">
      <c r="A5501" s="27"/>
      <c r="B5501" s="110"/>
      <c r="D5501" s="417"/>
      <c r="E5501" s="418"/>
      <c r="F5501" s="418"/>
      <c r="G5501" s="419"/>
      <c r="H5501" s="420" t="s">
        <v>64</v>
      </c>
      <c r="I5501" s="421"/>
      <c r="J5501" s="396">
        <f>SUM(J5499:J5500)</f>
        <v>0</v>
      </c>
    </row>
    <row r="5502" spans="1:10" ht="13.5" thickBot="1">
      <c r="A5502" s="27"/>
      <c r="B5502" s="110"/>
      <c r="D5502" s="406" t="s">
        <v>65</v>
      </c>
      <c r="E5502" s="13" t="s">
        <v>66</v>
      </c>
      <c r="F5502" s="14"/>
      <c r="G5502" s="15"/>
      <c r="H5502" s="451"/>
      <c r="I5502" s="412">
        <f>IF(AND(E5502&lt;&gt;"",G5502&lt;&gt;""),IF(D5502="",IF(G5502="OH",VLOOKUP(E5502,UPAH!$C$4:$H$31,7,0),VLOOKUP(E5502,#REF!,4,0)),0),0)</f>
        <v>0</v>
      </c>
      <c r="J5502" s="16">
        <f>H5502*I5502</f>
        <v>0</v>
      </c>
    </row>
    <row r="5503" spans="1:10" ht="13.5" thickBot="1">
      <c r="A5503" s="27"/>
      <c r="B5503" s="110"/>
      <c r="D5503" s="417"/>
      <c r="E5503" s="418"/>
      <c r="F5503" s="418"/>
      <c r="G5503" s="419"/>
      <c r="H5503" s="420" t="s">
        <v>67</v>
      </c>
      <c r="I5503" s="421"/>
      <c r="J5503" s="396">
        <f>J5502</f>
        <v>0</v>
      </c>
    </row>
    <row r="5504" spans="1:10" ht="13">
      <c r="A5504" s="27"/>
      <c r="B5504" s="110"/>
      <c r="D5504" s="444" t="s">
        <v>68</v>
      </c>
      <c r="E5504" s="445" t="s">
        <v>69</v>
      </c>
      <c r="F5504" s="446"/>
      <c r="G5504" s="447"/>
      <c r="H5504" s="448"/>
      <c r="I5504" s="449">
        <f>IF(AND(E5504&lt;&gt;"",G5504&lt;&gt;""),IF(D5504="",IF(G5504="OH",VLOOKUP(E5504,UPAH!$C$4:$H$31,7,0),VLOOKUP(E5504,#REF!,4,0)),0),0)</f>
        <v>0</v>
      </c>
      <c r="J5504" s="16">
        <f>SUM(J5493:J5503)/2</f>
        <v>0</v>
      </c>
    </row>
    <row r="5505" spans="1:10" ht="13.5" thickBot="1">
      <c r="A5505" s="27"/>
      <c r="B5505" s="110"/>
      <c r="D5505" s="431" t="s">
        <v>70</v>
      </c>
      <c r="E5505" s="432" t="s">
        <v>477</v>
      </c>
      <c r="F5505" s="433"/>
      <c r="G5505" s="434"/>
      <c r="H5505" s="22">
        <v>0.1</v>
      </c>
      <c r="I5505" s="436"/>
      <c r="J5505" s="430">
        <f>H5505*J5504</f>
        <v>0</v>
      </c>
    </row>
    <row r="5506" spans="1:10" ht="13.5" thickBot="1">
      <c r="A5506" s="27"/>
      <c r="B5506" s="110"/>
      <c r="D5506" s="401" t="s">
        <v>71</v>
      </c>
      <c r="E5506" s="402" t="s">
        <v>72</v>
      </c>
      <c r="F5506" s="418"/>
      <c r="G5506" s="419"/>
      <c r="H5506" s="442"/>
      <c r="I5506" s="421">
        <f>IF(AND(E5506&lt;&gt;"",G5506&lt;&gt;""),IF(D5506="",IF(G5506="OH",VLOOKUP(E5506,UPAH!$C$4:$H$31,7,0),VLOOKUP(E5506,#REF!,4,0)),0),0)</f>
        <v>0</v>
      </c>
      <c r="J5506" s="396">
        <f>ROUNDDOWN(J5504+J5505,0)</f>
        <v>0</v>
      </c>
    </row>
    <row r="5507" spans="1:10" ht="13">
      <c r="A5507" s="27"/>
      <c r="B5507" s="110"/>
      <c r="D5507" s="11"/>
      <c r="E5507" s="11"/>
      <c r="H5507" s="443"/>
    </row>
    <row r="5508" spans="1:10" ht="13.5" thickBot="1">
      <c r="A5508" s="27"/>
      <c r="B5508" s="110"/>
      <c r="C5508" s="11" t="s">
        <v>1054</v>
      </c>
      <c r="D5508" s="10" t="s">
        <v>1055</v>
      </c>
      <c r="H5508" s="443"/>
    </row>
    <row r="5509" spans="1:10" ht="13.5" thickBot="1">
      <c r="A5509" s="27"/>
      <c r="B5509" s="110"/>
      <c r="D5509" s="401" t="s">
        <v>40</v>
      </c>
      <c r="E5509" s="402" t="s">
        <v>41</v>
      </c>
      <c r="F5509" s="402" t="s">
        <v>42</v>
      </c>
      <c r="G5509" s="403" t="s">
        <v>43</v>
      </c>
      <c r="H5509" s="404" t="s">
        <v>44</v>
      </c>
      <c r="I5509" s="402" t="s">
        <v>474</v>
      </c>
      <c r="J5509" s="405" t="s">
        <v>475</v>
      </c>
    </row>
    <row r="5510" spans="1:10" ht="13">
      <c r="A5510" s="27"/>
      <c r="B5510" s="110"/>
      <c r="D5510" s="406" t="s">
        <v>45</v>
      </c>
      <c r="E5510" s="13" t="s">
        <v>46</v>
      </c>
      <c r="F5510" s="14"/>
      <c r="G5510" s="15"/>
      <c r="H5510" s="451"/>
      <c r="I5510" s="412"/>
      <c r="J5510" s="16"/>
    </row>
    <row r="5511" spans="1:10" ht="13">
      <c r="A5511" s="27"/>
      <c r="B5511" s="110"/>
      <c r="D5511" s="409"/>
      <c r="E5511" s="13" t="s">
        <v>47</v>
      </c>
      <c r="F5511" s="13" t="s">
        <v>1918</v>
      </c>
      <c r="G5511" s="410" t="s">
        <v>48</v>
      </c>
      <c r="H5511" s="411">
        <v>0.14000000000000001</v>
      </c>
      <c r="I5511" s="412">
        <f>IF(AND(E5511&lt;&gt;"",G5511&lt;&gt;""),IF(D5511="",IF(G5511="OH",VLOOKUP(F5511,UPAH!$B$4:$H$101,7,0),VLOOKUP(F5511,#REF!,4,0)),0),0)</f>
        <v>0</v>
      </c>
      <c r="J5511" s="16">
        <f>H5511*I5511</f>
        <v>0</v>
      </c>
    </row>
    <row r="5512" spans="1:10" ht="13">
      <c r="A5512" s="27"/>
      <c r="B5512" s="110"/>
      <c r="D5512" s="409"/>
      <c r="E5512" s="13" t="s">
        <v>476</v>
      </c>
      <c r="F5512" s="13" t="s">
        <v>1922</v>
      </c>
      <c r="G5512" s="410" t="s">
        <v>48</v>
      </c>
      <c r="H5512" s="411">
        <v>7.4999999999999997E-2</v>
      </c>
      <c r="I5512" s="412">
        <f>IF(AND(E5512&lt;&gt;"",G5512&lt;&gt;""),IF(D5512="",IF(G5512="OH",VLOOKUP(F5512,UPAH!$B$4:$H$101,7,0),VLOOKUP(F5512,#REF!,4,0)),0),0)</f>
        <v>0</v>
      </c>
      <c r="J5512" s="16">
        <f>H5512*I5512</f>
        <v>0</v>
      </c>
    </row>
    <row r="5513" spans="1:10" ht="13">
      <c r="A5513" s="27"/>
      <c r="B5513" s="110"/>
      <c r="D5513" s="409"/>
      <c r="E5513" s="13" t="s">
        <v>50</v>
      </c>
      <c r="F5513" s="13" t="s">
        <v>1928</v>
      </c>
      <c r="G5513" s="410" t="s">
        <v>48</v>
      </c>
      <c r="H5513" s="411">
        <v>8.0000000000000002E-3</v>
      </c>
      <c r="I5513" s="412">
        <f>IF(AND(E5513&lt;&gt;"",G5513&lt;&gt;""),IF(D5513="",IF(G5513="OH",VLOOKUP(F5513,UPAH!$B$4:$H$101,7,0),VLOOKUP(F5513,#REF!,4,0)),0),0)</f>
        <v>0</v>
      </c>
      <c r="J5513" s="16">
        <f>H5513*I5513</f>
        <v>0</v>
      </c>
    </row>
    <row r="5514" spans="1:10" ht="13.5" thickBot="1">
      <c r="A5514" s="27"/>
      <c r="B5514" s="110"/>
      <c r="D5514" s="409"/>
      <c r="E5514" s="13" t="s">
        <v>51</v>
      </c>
      <c r="F5514" s="13" t="s">
        <v>1929</v>
      </c>
      <c r="G5514" s="410" t="s">
        <v>48</v>
      </c>
      <c r="H5514" s="411">
        <v>8.0000000000000002E-3</v>
      </c>
      <c r="I5514" s="412">
        <f>IF(AND(E5514&lt;&gt;"",G5514&lt;&gt;""),IF(D5514="",IF(G5514="OH",VLOOKUP(F5514,UPAH!$B$4:$H$101,7,0),VLOOKUP(F5514,#REF!,4,0)),0),0)</f>
        <v>0</v>
      </c>
      <c r="J5514" s="16">
        <f>H5514*I5514</f>
        <v>0</v>
      </c>
    </row>
    <row r="5515" spans="1:10" ht="13.5" thickBot="1">
      <c r="A5515" s="27"/>
      <c r="B5515" s="110"/>
      <c r="D5515" s="417"/>
      <c r="E5515" s="418"/>
      <c r="F5515" s="418"/>
      <c r="G5515" s="419"/>
      <c r="H5515" s="420" t="s">
        <v>52</v>
      </c>
      <c r="I5515" s="421"/>
      <c r="J5515" s="396">
        <f>SUM(J5511:J5514)</f>
        <v>0</v>
      </c>
    </row>
    <row r="5516" spans="1:10" ht="13">
      <c r="A5516" s="27"/>
      <c r="B5516" s="110"/>
      <c r="D5516" s="406" t="s">
        <v>53</v>
      </c>
      <c r="E5516" s="13" t="s">
        <v>54</v>
      </c>
      <c r="F5516" s="14"/>
      <c r="G5516" s="15"/>
      <c r="H5516" s="451"/>
      <c r="I5516" s="412"/>
      <c r="J5516" s="16"/>
    </row>
    <row r="5517" spans="1:10" ht="13">
      <c r="A5517" s="27"/>
      <c r="B5517" s="110"/>
      <c r="D5517" s="409"/>
      <c r="E5517" s="458" t="s">
        <v>2899</v>
      </c>
      <c r="F5517" s="14"/>
      <c r="G5517" s="410" t="s">
        <v>74</v>
      </c>
      <c r="H5517" s="411">
        <v>0.6</v>
      </c>
      <c r="I5517" s="412">
        <f>'BAHAN '!G204</f>
        <v>0</v>
      </c>
      <c r="J5517" s="16">
        <f>H5517*I5517</f>
        <v>0</v>
      </c>
    </row>
    <row r="5518" spans="1:10" ht="13.5" thickBot="1">
      <c r="A5518" s="27"/>
      <c r="B5518" s="110"/>
      <c r="D5518" s="409"/>
      <c r="E5518" s="458" t="s">
        <v>2900</v>
      </c>
      <c r="F5518" s="14"/>
      <c r="G5518" s="410" t="s">
        <v>57</v>
      </c>
      <c r="H5518" s="411">
        <v>0.12</v>
      </c>
      <c r="I5518" s="412">
        <f>'BAHAN '!G128</f>
        <v>0</v>
      </c>
      <c r="J5518" s="16">
        <f>H5518*I5518</f>
        <v>0</v>
      </c>
    </row>
    <row r="5519" spans="1:10" ht="13.5" thickBot="1">
      <c r="A5519" s="27"/>
      <c r="B5519" s="110"/>
      <c r="D5519" s="417"/>
      <c r="E5519" s="418"/>
      <c r="F5519" s="418"/>
      <c r="G5519" s="419"/>
      <c r="H5519" s="420" t="s">
        <v>64</v>
      </c>
      <c r="I5519" s="421"/>
      <c r="J5519" s="396">
        <f>SUM(J5517:J5518)</f>
        <v>0</v>
      </c>
    </row>
    <row r="5520" spans="1:10" ht="13.5" thickBot="1">
      <c r="A5520" s="27"/>
      <c r="B5520" s="110"/>
      <c r="D5520" s="406" t="s">
        <v>65</v>
      </c>
      <c r="E5520" s="13" t="s">
        <v>66</v>
      </c>
      <c r="F5520" s="14"/>
      <c r="G5520" s="15"/>
      <c r="H5520" s="451"/>
      <c r="I5520" s="412">
        <f>IF(AND(E5520&lt;&gt;"",G5520&lt;&gt;""),IF(D5520="",IF(G5520="OH",VLOOKUP(E5520,UPAH!$C$4:$H$31,7,0),VLOOKUP(E5520,#REF!,4,0)),0),0)</f>
        <v>0</v>
      </c>
      <c r="J5520" s="16">
        <f>H5520*I5520</f>
        <v>0</v>
      </c>
    </row>
    <row r="5521" spans="1:10" ht="13.5" thickBot="1">
      <c r="A5521" s="27"/>
      <c r="B5521" s="110"/>
      <c r="D5521" s="417"/>
      <c r="E5521" s="418"/>
      <c r="F5521" s="418"/>
      <c r="G5521" s="419"/>
      <c r="H5521" s="420" t="s">
        <v>67</v>
      </c>
      <c r="I5521" s="421"/>
      <c r="J5521" s="396">
        <f>J5520</f>
        <v>0</v>
      </c>
    </row>
    <row r="5522" spans="1:10" ht="13">
      <c r="A5522" s="27"/>
      <c r="B5522" s="110"/>
      <c r="D5522" s="444" t="s">
        <v>68</v>
      </c>
      <c r="E5522" s="445" t="s">
        <v>69</v>
      </c>
      <c r="F5522" s="446"/>
      <c r="G5522" s="447"/>
      <c r="H5522" s="448"/>
      <c r="I5522" s="449">
        <f>IF(AND(E5522&lt;&gt;"",G5522&lt;&gt;""),IF(D5522="",IF(G5522="OH",VLOOKUP(E5522,UPAH!$C$4:$H$31,7,0),VLOOKUP(E5522,#REF!,4,0)),0),0)</f>
        <v>0</v>
      </c>
      <c r="J5522" s="16">
        <f>SUM(J5511:J5521)/2</f>
        <v>0</v>
      </c>
    </row>
    <row r="5523" spans="1:10" ht="13.5" thickBot="1">
      <c r="A5523" s="27"/>
      <c r="B5523" s="110"/>
      <c r="D5523" s="431" t="s">
        <v>70</v>
      </c>
      <c r="E5523" s="432" t="s">
        <v>477</v>
      </c>
      <c r="F5523" s="433"/>
      <c r="G5523" s="434"/>
      <c r="H5523" s="22">
        <v>0.1</v>
      </c>
      <c r="I5523" s="436"/>
      <c r="J5523" s="430">
        <f>H5523*J5522</f>
        <v>0</v>
      </c>
    </row>
    <row r="5524" spans="1:10" ht="13.5" thickBot="1">
      <c r="A5524" s="27"/>
      <c r="B5524" s="110"/>
      <c r="D5524" s="401" t="s">
        <v>71</v>
      </c>
      <c r="E5524" s="402" t="s">
        <v>72</v>
      </c>
      <c r="F5524" s="418"/>
      <c r="G5524" s="419"/>
      <c r="H5524" s="442"/>
      <c r="I5524" s="421">
        <f>IF(AND(E5524&lt;&gt;"",G5524&lt;&gt;""),IF(D5524="",IF(G5524="OH",VLOOKUP(E5524,UPAH!$C$4:$H$31,7,0),VLOOKUP(E5524,#REF!,4,0)),0),0)</f>
        <v>0</v>
      </c>
      <c r="J5524" s="396">
        <f>ROUNDDOWN(J5522+J5523,0)</f>
        <v>0</v>
      </c>
    </row>
    <row r="5525" spans="1:10" ht="13">
      <c r="A5525" s="27"/>
      <c r="B5525" s="110"/>
      <c r="D5525" s="11"/>
      <c r="E5525" s="11"/>
      <c r="H5525" s="443"/>
    </row>
    <row r="5526" spans="1:10" ht="13.5" thickBot="1">
      <c r="A5526" s="27"/>
      <c r="B5526" s="110"/>
      <c r="C5526" s="11" t="s">
        <v>1056</v>
      </c>
      <c r="D5526" s="10" t="s">
        <v>1057</v>
      </c>
      <c r="H5526" s="443"/>
    </row>
    <row r="5527" spans="1:10" ht="13.5" thickBot="1">
      <c r="A5527" s="27"/>
      <c r="B5527" s="110"/>
      <c r="D5527" s="401" t="s">
        <v>40</v>
      </c>
      <c r="E5527" s="402" t="s">
        <v>41</v>
      </c>
      <c r="F5527" s="402" t="s">
        <v>42</v>
      </c>
      <c r="G5527" s="403" t="s">
        <v>43</v>
      </c>
      <c r="H5527" s="404" t="s">
        <v>44</v>
      </c>
      <c r="I5527" s="402" t="s">
        <v>474</v>
      </c>
      <c r="J5527" s="405" t="s">
        <v>475</v>
      </c>
    </row>
    <row r="5528" spans="1:10" ht="13">
      <c r="A5528" s="27"/>
      <c r="B5528" s="110"/>
      <c r="D5528" s="406" t="s">
        <v>45</v>
      </c>
      <c r="E5528" s="13" t="s">
        <v>46</v>
      </c>
      <c r="F5528" s="14"/>
      <c r="G5528" s="15"/>
      <c r="H5528" s="451"/>
      <c r="I5528" s="412"/>
      <c r="J5528" s="16"/>
    </row>
    <row r="5529" spans="1:10" ht="13">
      <c r="A5529" s="27"/>
      <c r="B5529" s="110"/>
      <c r="D5529" s="409"/>
      <c r="E5529" s="13" t="s">
        <v>47</v>
      </c>
      <c r="F5529" s="13" t="s">
        <v>1918</v>
      </c>
      <c r="G5529" s="410" t="s">
        <v>48</v>
      </c>
      <c r="H5529" s="411">
        <v>0.14000000000000001</v>
      </c>
      <c r="I5529" s="412">
        <f>IF(AND(E5529&lt;&gt;"",G5529&lt;&gt;""),IF(D5529="",IF(G5529="OH",VLOOKUP(F5529,UPAH!$B$4:$H$101,7,0),VLOOKUP(F5529,#REF!,4,0)),0),0)</f>
        <v>0</v>
      </c>
      <c r="J5529" s="16">
        <f>H5529*I5529</f>
        <v>0</v>
      </c>
    </row>
    <row r="5530" spans="1:10" ht="13">
      <c r="A5530" s="27"/>
      <c r="B5530" s="110"/>
      <c r="D5530" s="409"/>
      <c r="E5530" s="13" t="s">
        <v>476</v>
      </c>
      <c r="F5530" s="13" t="s">
        <v>1922</v>
      </c>
      <c r="G5530" s="410" t="s">
        <v>48</v>
      </c>
      <c r="H5530" s="411">
        <v>7.0000000000000007E-2</v>
      </c>
      <c r="I5530" s="412">
        <f>IF(AND(E5530&lt;&gt;"",G5530&lt;&gt;""),IF(D5530="",IF(G5530="OH",VLOOKUP(F5530,UPAH!$B$4:$H$101,7,0),VLOOKUP(F5530,#REF!,4,0)),0),0)</f>
        <v>0</v>
      </c>
      <c r="J5530" s="16">
        <f>H5530*I5530</f>
        <v>0</v>
      </c>
    </row>
    <row r="5531" spans="1:10" ht="13">
      <c r="A5531" s="27"/>
      <c r="B5531" s="110"/>
      <c r="D5531" s="409"/>
      <c r="E5531" s="13" t="s">
        <v>50</v>
      </c>
      <c r="F5531" s="13" t="s">
        <v>1928</v>
      </c>
      <c r="G5531" s="410" t="s">
        <v>48</v>
      </c>
      <c r="H5531" s="411">
        <v>7.0000000000000001E-3</v>
      </c>
      <c r="I5531" s="412">
        <f>IF(AND(E5531&lt;&gt;"",G5531&lt;&gt;""),IF(D5531="",IF(G5531="OH",VLOOKUP(F5531,UPAH!$B$4:$H$101,7,0),VLOOKUP(F5531,#REF!,4,0)),0),0)</f>
        <v>0</v>
      </c>
      <c r="J5531" s="16">
        <f>H5531*I5531</f>
        <v>0</v>
      </c>
    </row>
    <row r="5532" spans="1:10" ht="13.5" thickBot="1">
      <c r="A5532" s="27"/>
      <c r="B5532" s="110"/>
      <c r="D5532" s="409"/>
      <c r="E5532" s="13" t="s">
        <v>51</v>
      </c>
      <c r="F5532" s="13" t="s">
        <v>1929</v>
      </c>
      <c r="G5532" s="410" t="s">
        <v>48</v>
      </c>
      <c r="H5532" s="411">
        <v>7.0000000000000001E-3</v>
      </c>
      <c r="I5532" s="412">
        <f>IF(AND(E5532&lt;&gt;"",G5532&lt;&gt;""),IF(D5532="",IF(G5532="OH",VLOOKUP(F5532,UPAH!$B$4:$H$101,7,0),VLOOKUP(F5532,#REF!,4,0)),0),0)</f>
        <v>0</v>
      </c>
      <c r="J5532" s="16">
        <f>H5532*I5532</f>
        <v>0</v>
      </c>
    </row>
    <row r="5533" spans="1:10" ht="13.5" thickBot="1">
      <c r="A5533" s="27"/>
      <c r="B5533" s="110"/>
      <c r="D5533" s="417"/>
      <c r="E5533" s="418"/>
      <c r="F5533" s="418"/>
      <c r="G5533" s="419"/>
      <c r="H5533" s="420" t="s">
        <v>52</v>
      </c>
      <c r="I5533" s="421"/>
      <c r="J5533" s="396">
        <f>SUM(J5529:J5532)</f>
        <v>0</v>
      </c>
    </row>
    <row r="5534" spans="1:10" ht="13">
      <c r="A5534" s="27"/>
      <c r="B5534" s="110"/>
      <c r="D5534" s="406" t="s">
        <v>53</v>
      </c>
      <c r="E5534" s="13" t="s">
        <v>54</v>
      </c>
      <c r="F5534" s="14"/>
      <c r="G5534" s="15"/>
      <c r="H5534" s="451"/>
      <c r="I5534" s="412"/>
      <c r="J5534" s="16"/>
    </row>
    <row r="5535" spans="1:10" ht="13">
      <c r="A5535" s="27"/>
      <c r="B5535" s="110"/>
      <c r="D5535" s="409"/>
      <c r="E5535" s="458" t="s">
        <v>2899</v>
      </c>
      <c r="F5535" s="496"/>
      <c r="G5535" s="497" t="s">
        <v>74</v>
      </c>
      <c r="H5535" s="498">
        <v>0.6</v>
      </c>
      <c r="I5535" s="521">
        <f>'BAHAN '!G204</f>
        <v>0</v>
      </c>
      <c r="J5535" s="16">
        <f>H5535*I5535</f>
        <v>0</v>
      </c>
    </row>
    <row r="5536" spans="1:10" ht="13.5" thickBot="1">
      <c r="A5536" s="27"/>
      <c r="B5536" s="110"/>
      <c r="D5536" s="409"/>
      <c r="E5536" s="458" t="s">
        <v>2900</v>
      </c>
      <c r="F5536" s="496"/>
      <c r="G5536" s="497" t="s">
        <v>57</v>
      </c>
      <c r="H5536" s="498">
        <v>0.12</v>
      </c>
      <c r="I5536" s="521">
        <f>'BAHAN '!G128</f>
        <v>0</v>
      </c>
      <c r="J5536" s="16">
        <f>H5536*I5536</f>
        <v>0</v>
      </c>
    </row>
    <row r="5537" spans="1:10" ht="13.5" thickBot="1">
      <c r="A5537" s="27"/>
      <c r="B5537" s="110"/>
      <c r="D5537" s="417"/>
      <c r="E5537" s="418"/>
      <c r="F5537" s="418"/>
      <c r="G5537" s="419"/>
      <c r="H5537" s="420" t="s">
        <v>64</v>
      </c>
      <c r="I5537" s="421"/>
      <c r="J5537" s="396">
        <f>SUM(J5535:J5536)</f>
        <v>0</v>
      </c>
    </row>
    <row r="5538" spans="1:10" ht="13.5" thickBot="1">
      <c r="A5538" s="27"/>
      <c r="B5538" s="110"/>
      <c r="D5538" s="406" t="s">
        <v>65</v>
      </c>
      <c r="E5538" s="13" t="s">
        <v>66</v>
      </c>
      <c r="F5538" s="14"/>
      <c r="G5538" s="15"/>
      <c r="H5538" s="451"/>
      <c r="I5538" s="412">
        <f>IF(AND(E5538&lt;&gt;"",G5538&lt;&gt;""),IF(D5538="",IF(G5538="OH",VLOOKUP(E5538,UPAH!$C$4:$H$31,7,0),VLOOKUP(E5538,#REF!,4,0)),0),0)</f>
        <v>0</v>
      </c>
      <c r="J5538" s="16">
        <f>H5538*I5538</f>
        <v>0</v>
      </c>
    </row>
    <row r="5539" spans="1:10" ht="13.5" thickBot="1">
      <c r="A5539" s="27"/>
      <c r="B5539" s="110"/>
      <c r="D5539" s="417"/>
      <c r="E5539" s="418"/>
      <c r="F5539" s="418"/>
      <c r="G5539" s="419"/>
      <c r="H5539" s="420" t="s">
        <v>67</v>
      </c>
      <c r="I5539" s="421"/>
      <c r="J5539" s="396">
        <f>J5538</f>
        <v>0</v>
      </c>
    </row>
    <row r="5540" spans="1:10" ht="13">
      <c r="A5540" s="27"/>
      <c r="B5540" s="110"/>
      <c r="D5540" s="444" t="s">
        <v>68</v>
      </c>
      <c r="E5540" s="445" t="s">
        <v>69</v>
      </c>
      <c r="F5540" s="446"/>
      <c r="G5540" s="447"/>
      <c r="H5540" s="448"/>
      <c r="I5540" s="449">
        <f>IF(AND(E5540&lt;&gt;"",G5540&lt;&gt;""),IF(D5540="",IF(G5540="OH",VLOOKUP(E5540,UPAH!$C$4:$H$31,7,0),VLOOKUP(E5540,#REF!,4,0)),0),0)</f>
        <v>0</v>
      </c>
      <c r="J5540" s="16">
        <f>SUM(J5529:J5539)/2</f>
        <v>0</v>
      </c>
    </row>
    <row r="5541" spans="1:10" ht="13.5" thickBot="1">
      <c r="A5541" s="27"/>
      <c r="B5541" s="110"/>
      <c r="D5541" s="431" t="s">
        <v>70</v>
      </c>
      <c r="E5541" s="432" t="s">
        <v>477</v>
      </c>
      <c r="F5541" s="433"/>
      <c r="G5541" s="434"/>
      <c r="H5541" s="22">
        <v>0.1</v>
      </c>
      <c r="I5541" s="436"/>
      <c r="J5541" s="430">
        <f>H5541*J5540</f>
        <v>0</v>
      </c>
    </row>
    <row r="5542" spans="1:10" ht="13.5" thickBot="1">
      <c r="A5542" s="27"/>
      <c r="B5542" s="110"/>
      <c r="D5542" s="401" t="s">
        <v>71</v>
      </c>
      <c r="E5542" s="402" t="s">
        <v>72</v>
      </c>
      <c r="F5542" s="418"/>
      <c r="G5542" s="419"/>
      <c r="H5542" s="442"/>
      <c r="I5542" s="421">
        <f>IF(AND(E5542&lt;&gt;"",G5542&lt;&gt;""),IF(D5542="",IF(G5542="OH",VLOOKUP(E5542,UPAH!$C$4:$H$31,7,0),VLOOKUP(E5542,#REF!,4,0)),0),0)</f>
        <v>0</v>
      </c>
      <c r="J5542" s="396">
        <f>ROUNDDOWN(J5540+J5541,0)</f>
        <v>0</v>
      </c>
    </row>
    <row r="5543" spans="1:10" ht="13">
      <c r="A5543" s="27"/>
      <c r="B5543" s="110"/>
      <c r="D5543" s="11"/>
      <c r="E5543" s="11"/>
      <c r="H5543" s="443"/>
    </row>
    <row r="5544" spans="1:10" ht="13.5" thickBot="1">
      <c r="A5544" s="27"/>
      <c r="B5544" s="110"/>
      <c r="C5544" s="11" t="s">
        <v>1058</v>
      </c>
      <c r="D5544" s="10" t="s">
        <v>1059</v>
      </c>
      <c r="H5544" s="443"/>
    </row>
    <row r="5545" spans="1:10" ht="13.5" thickBot="1">
      <c r="A5545" s="27"/>
      <c r="B5545" s="110"/>
      <c r="D5545" s="401" t="s">
        <v>40</v>
      </c>
      <c r="E5545" s="402" t="s">
        <v>41</v>
      </c>
      <c r="F5545" s="402" t="s">
        <v>42</v>
      </c>
      <c r="G5545" s="403" t="s">
        <v>43</v>
      </c>
      <c r="H5545" s="404" t="s">
        <v>44</v>
      </c>
      <c r="I5545" s="402" t="s">
        <v>474</v>
      </c>
      <c r="J5545" s="405" t="s">
        <v>475</v>
      </c>
    </row>
    <row r="5546" spans="1:10" ht="13">
      <c r="A5546" s="27"/>
      <c r="B5546" s="110"/>
      <c r="D5546" s="406" t="s">
        <v>45</v>
      </c>
      <c r="E5546" s="13" t="s">
        <v>46</v>
      </c>
      <c r="F5546" s="14"/>
      <c r="G5546" s="15"/>
      <c r="H5546" s="451"/>
      <c r="I5546" s="412"/>
      <c r="J5546" s="16"/>
    </row>
    <row r="5547" spans="1:10" ht="13">
      <c r="A5547" s="27"/>
      <c r="B5547" s="110"/>
      <c r="D5547" s="409"/>
      <c r="E5547" s="13" t="s">
        <v>47</v>
      </c>
      <c r="F5547" s="13" t="s">
        <v>1918</v>
      </c>
      <c r="G5547" s="410" t="s">
        <v>48</v>
      </c>
      <c r="H5547" s="411">
        <v>0.14000000000000001</v>
      </c>
      <c r="I5547" s="412">
        <f>IF(AND(E5547&lt;&gt;"",G5547&lt;&gt;""),IF(D5547="",IF(G5547="OH",VLOOKUP(F5547,UPAH!$B$4:$H$101,7,0),VLOOKUP(F5547,#REF!,4,0)),0),0)</f>
        <v>0</v>
      </c>
      <c r="J5547" s="16">
        <f>H5547*I5547</f>
        <v>0</v>
      </c>
    </row>
    <row r="5548" spans="1:10" ht="13">
      <c r="A5548" s="27"/>
      <c r="B5548" s="110"/>
      <c r="D5548" s="409"/>
      <c r="E5548" s="13" t="s">
        <v>476</v>
      </c>
      <c r="F5548" s="13" t="s">
        <v>1922</v>
      </c>
      <c r="G5548" s="410" t="s">
        <v>48</v>
      </c>
      <c r="H5548" s="411">
        <v>7.0000000000000007E-2</v>
      </c>
      <c r="I5548" s="412">
        <f>IF(AND(E5548&lt;&gt;"",G5548&lt;&gt;""),IF(D5548="",IF(G5548="OH",VLOOKUP(F5548,UPAH!$B$4:$H$101,7,0),VLOOKUP(F5548,#REF!,4,0)),0),0)</f>
        <v>0</v>
      </c>
      <c r="J5548" s="16">
        <f>H5548*I5548</f>
        <v>0</v>
      </c>
    </row>
    <row r="5549" spans="1:10" ht="13">
      <c r="A5549" s="27"/>
      <c r="B5549" s="110"/>
      <c r="D5549" s="409"/>
      <c r="E5549" s="13" t="s">
        <v>50</v>
      </c>
      <c r="F5549" s="13" t="s">
        <v>1928</v>
      </c>
      <c r="G5549" s="410" t="s">
        <v>48</v>
      </c>
      <c r="H5549" s="411">
        <v>7.0000000000000001E-3</v>
      </c>
      <c r="I5549" s="412">
        <f>IF(AND(E5549&lt;&gt;"",G5549&lt;&gt;""),IF(D5549="",IF(G5549="OH",VLOOKUP(F5549,UPAH!$B$4:$H$101,7,0),VLOOKUP(F5549,#REF!,4,0)),0),0)</f>
        <v>0</v>
      </c>
      <c r="J5549" s="16">
        <f>H5549*I5549</f>
        <v>0</v>
      </c>
    </row>
    <row r="5550" spans="1:10" ht="13.5" thickBot="1">
      <c r="A5550" s="27"/>
      <c r="B5550" s="110"/>
      <c r="D5550" s="409"/>
      <c r="E5550" s="13" t="s">
        <v>51</v>
      </c>
      <c r="F5550" s="13" t="s">
        <v>1929</v>
      </c>
      <c r="G5550" s="410" t="s">
        <v>48</v>
      </c>
      <c r="H5550" s="411">
        <v>7.0000000000000001E-3</v>
      </c>
      <c r="I5550" s="412">
        <f>IF(AND(E5550&lt;&gt;"",G5550&lt;&gt;""),IF(D5550="",IF(G5550="OH",VLOOKUP(F5550,UPAH!$B$4:$H$101,7,0),VLOOKUP(F5550,#REF!,4,0)),0),0)</f>
        <v>0</v>
      </c>
      <c r="J5550" s="16">
        <f>H5550*I5550</f>
        <v>0</v>
      </c>
    </row>
    <row r="5551" spans="1:10" ht="13.5" thickBot="1">
      <c r="A5551" s="27"/>
      <c r="B5551" s="110"/>
      <c r="D5551" s="417"/>
      <c r="E5551" s="418"/>
      <c r="F5551" s="418"/>
      <c r="G5551" s="419"/>
      <c r="H5551" s="420" t="s">
        <v>52</v>
      </c>
      <c r="I5551" s="421"/>
      <c r="J5551" s="396">
        <f>SUM(J5547:J5550)</f>
        <v>0</v>
      </c>
    </row>
    <row r="5552" spans="1:10" ht="13">
      <c r="A5552" s="27"/>
      <c r="B5552" s="110"/>
      <c r="D5552" s="406" t="s">
        <v>53</v>
      </c>
      <c r="E5552" s="13" t="s">
        <v>54</v>
      </c>
      <c r="F5552" s="14"/>
      <c r="G5552" s="15"/>
      <c r="H5552" s="451"/>
      <c r="I5552" s="412"/>
      <c r="J5552" s="16"/>
    </row>
    <row r="5553" spans="1:10" ht="13">
      <c r="A5553" s="27"/>
      <c r="B5553" s="110"/>
      <c r="D5553" s="409"/>
      <c r="E5553" s="458" t="s">
        <v>2899</v>
      </c>
      <c r="F5553" s="496"/>
      <c r="G5553" s="497" t="s">
        <v>74</v>
      </c>
      <c r="H5553" s="498">
        <v>0.75</v>
      </c>
      <c r="I5553" s="521">
        <f>'BAHAN '!G204</f>
        <v>0</v>
      </c>
      <c r="J5553" s="16">
        <f>H5553*I5553</f>
        <v>0</v>
      </c>
    </row>
    <row r="5554" spans="1:10" ht="13.5" thickBot="1">
      <c r="A5554" s="27"/>
      <c r="B5554" s="110"/>
      <c r="D5554" s="409"/>
      <c r="E5554" s="458" t="s">
        <v>2900</v>
      </c>
      <c r="F5554" s="496"/>
      <c r="G5554" s="497" t="s">
        <v>57</v>
      </c>
      <c r="H5554" s="498">
        <v>0.12</v>
      </c>
      <c r="I5554" s="521">
        <f>'BAHAN '!G128</f>
        <v>0</v>
      </c>
      <c r="J5554" s="16">
        <f>H5554*I5554</f>
        <v>0</v>
      </c>
    </row>
    <row r="5555" spans="1:10" ht="13.5" thickBot="1">
      <c r="A5555" s="27"/>
      <c r="B5555" s="110"/>
      <c r="D5555" s="417"/>
      <c r="E5555" s="418"/>
      <c r="F5555" s="418"/>
      <c r="G5555" s="419"/>
      <c r="H5555" s="420" t="s">
        <v>64</v>
      </c>
      <c r="I5555" s="421"/>
      <c r="J5555" s="396">
        <f>SUM(J5553:J5554)</f>
        <v>0</v>
      </c>
    </row>
    <row r="5556" spans="1:10" ht="13.5" thickBot="1">
      <c r="A5556" s="27"/>
      <c r="B5556" s="110"/>
      <c r="D5556" s="406" t="s">
        <v>65</v>
      </c>
      <c r="E5556" s="13" t="s">
        <v>66</v>
      </c>
      <c r="F5556" s="14"/>
      <c r="G5556" s="15"/>
      <c r="H5556" s="451"/>
      <c r="I5556" s="412">
        <f>IF(AND(E5556&lt;&gt;"",G5556&lt;&gt;""),IF(D5556="",IF(G5556="OH",VLOOKUP(E5556,UPAH!$C$4:$H$31,7,0),VLOOKUP(E5556,#REF!,4,0)),0),0)</f>
        <v>0</v>
      </c>
      <c r="J5556" s="16">
        <f>H5556*I5556</f>
        <v>0</v>
      </c>
    </row>
    <row r="5557" spans="1:10" ht="13.5" thickBot="1">
      <c r="A5557" s="27"/>
      <c r="B5557" s="110"/>
      <c r="D5557" s="417"/>
      <c r="E5557" s="418"/>
      <c r="F5557" s="418"/>
      <c r="G5557" s="419"/>
      <c r="H5557" s="420" t="s">
        <v>67</v>
      </c>
      <c r="I5557" s="421"/>
      <c r="J5557" s="396">
        <f>J5556</f>
        <v>0</v>
      </c>
    </row>
    <row r="5558" spans="1:10" ht="13">
      <c r="A5558" s="27"/>
      <c r="B5558" s="110"/>
      <c r="D5558" s="444" t="s">
        <v>68</v>
      </c>
      <c r="E5558" s="445" t="s">
        <v>69</v>
      </c>
      <c r="F5558" s="446"/>
      <c r="G5558" s="447"/>
      <c r="H5558" s="448"/>
      <c r="I5558" s="449">
        <f>IF(AND(E5558&lt;&gt;"",G5558&lt;&gt;""),IF(D5558="",IF(G5558="OH",VLOOKUP(E5558,UPAH!$C$4:$H$31,7,0),VLOOKUP(E5558,#REF!,4,0)),0),0)</f>
        <v>0</v>
      </c>
      <c r="J5558" s="16">
        <f>SUM(J5547:J5557)/2</f>
        <v>0</v>
      </c>
    </row>
    <row r="5559" spans="1:10" ht="13.5" thickBot="1">
      <c r="A5559" s="27"/>
      <c r="B5559" s="110"/>
      <c r="D5559" s="431" t="s">
        <v>70</v>
      </c>
      <c r="E5559" s="432" t="s">
        <v>477</v>
      </c>
      <c r="F5559" s="433"/>
      <c r="G5559" s="434"/>
      <c r="H5559" s="22">
        <v>0.1</v>
      </c>
      <c r="I5559" s="436"/>
      <c r="J5559" s="430">
        <f>H5559*J5558</f>
        <v>0</v>
      </c>
    </row>
    <row r="5560" spans="1:10" ht="13.5" thickBot="1">
      <c r="A5560" s="27"/>
      <c r="B5560" s="110"/>
      <c r="D5560" s="401" t="s">
        <v>71</v>
      </c>
      <c r="E5560" s="402" t="s">
        <v>72</v>
      </c>
      <c r="F5560" s="418"/>
      <c r="G5560" s="419"/>
      <c r="H5560" s="442"/>
      <c r="I5560" s="421">
        <f>IF(AND(E5560&lt;&gt;"",G5560&lt;&gt;""),IF(D5560="",IF(G5560="OH",VLOOKUP(E5560,UPAH!$C$4:$H$31,7,0),VLOOKUP(E5560,#REF!,4,0)),0),0)</f>
        <v>0</v>
      </c>
      <c r="J5560" s="396">
        <f>ROUNDDOWN(J5558+J5559,0)</f>
        <v>0</v>
      </c>
    </row>
    <row r="5561" spans="1:10" ht="13">
      <c r="A5561" s="27"/>
      <c r="B5561" s="110"/>
      <c r="D5561" s="11"/>
      <c r="E5561" s="11"/>
      <c r="H5561" s="443"/>
    </row>
    <row r="5562" spans="1:10" ht="13.5" thickBot="1">
      <c r="A5562" s="27"/>
      <c r="B5562" s="110"/>
      <c r="C5562" s="11" t="s">
        <v>1060</v>
      </c>
      <c r="D5562" s="10" t="s">
        <v>1061</v>
      </c>
      <c r="H5562" s="443"/>
    </row>
    <row r="5563" spans="1:10" ht="13.5" thickBot="1">
      <c r="A5563" s="27"/>
      <c r="B5563" s="110"/>
      <c r="D5563" s="401" t="s">
        <v>40</v>
      </c>
      <c r="E5563" s="402" t="s">
        <v>41</v>
      </c>
      <c r="F5563" s="402" t="s">
        <v>42</v>
      </c>
      <c r="G5563" s="403" t="s">
        <v>43</v>
      </c>
      <c r="H5563" s="404" t="s">
        <v>44</v>
      </c>
      <c r="I5563" s="402" t="s">
        <v>474</v>
      </c>
      <c r="J5563" s="405" t="s">
        <v>475</v>
      </c>
    </row>
    <row r="5564" spans="1:10" ht="13">
      <c r="A5564" s="27"/>
      <c r="B5564" s="110"/>
      <c r="D5564" s="406" t="s">
        <v>45</v>
      </c>
      <c r="E5564" s="13" t="s">
        <v>46</v>
      </c>
      <c r="F5564" s="14"/>
      <c r="G5564" s="15"/>
      <c r="H5564" s="451"/>
      <c r="I5564" s="412"/>
      <c r="J5564" s="16"/>
    </row>
    <row r="5565" spans="1:10" ht="13">
      <c r="A5565" s="27"/>
      <c r="B5565" s="110"/>
      <c r="D5565" s="409"/>
      <c r="E5565" s="13" t="s">
        <v>47</v>
      </c>
      <c r="F5565" s="13" t="s">
        <v>1918</v>
      </c>
      <c r="G5565" s="410" t="s">
        <v>48</v>
      </c>
      <c r="H5565" s="411">
        <v>0.14000000000000001</v>
      </c>
      <c r="I5565" s="412">
        <f>IF(AND(E5565&lt;&gt;"",G5565&lt;&gt;""),IF(D5565="",IF(G5565="OH",VLOOKUP(F5565,UPAH!$B$4:$H$101,7,0),VLOOKUP(F5565,#REF!,4,0)),0),0)</f>
        <v>0</v>
      </c>
      <c r="J5565" s="16">
        <f>H5565*I5565</f>
        <v>0</v>
      </c>
    </row>
    <row r="5566" spans="1:10" ht="13">
      <c r="A5566" s="27"/>
      <c r="B5566" s="110"/>
      <c r="D5566" s="409"/>
      <c r="E5566" s="13" t="s">
        <v>476</v>
      </c>
      <c r="F5566" s="13" t="s">
        <v>1922</v>
      </c>
      <c r="G5566" s="410" t="s">
        <v>48</v>
      </c>
      <c r="H5566" s="411">
        <v>7.0000000000000007E-2</v>
      </c>
      <c r="I5566" s="412">
        <f>IF(AND(E5566&lt;&gt;"",G5566&lt;&gt;""),IF(D5566="",IF(G5566="OH",VLOOKUP(F5566,UPAH!$B$4:$H$101,7,0),VLOOKUP(F5566,#REF!,4,0)),0),0)</f>
        <v>0</v>
      </c>
      <c r="J5566" s="16">
        <f>H5566*I5566</f>
        <v>0</v>
      </c>
    </row>
    <row r="5567" spans="1:10" ht="13">
      <c r="A5567" s="27"/>
      <c r="B5567" s="110"/>
      <c r="D5567" s="409"/>
      <c r="E5567" s="13" t="s">
        <v>50</v>
      </c>
      <c r="F5567" s="13" t="s">
        <v>1928</v>
      </c>
      <c r="G5567" s="410" t="s">
        <v>48</v>
      </c>
      <c r="H5567" s="411">
        <v>7.0000000000000001E-3</v>
      </c>
      <c r="I5567" s="412">
        <f>IF(AND(E5567&lt;&gt;"",G5567&lt;&gt;""),IF(D5567="",IF(G5567="OH",VLOOKUP(F5567,UPAH!$B$4:$H$101,7,0),VLOOKUP(F5567,#REF!,4,0)),0),0)</f>
        <v>0</v>
      </c>
      <c r="J5567" s="16">
        <f>H5567*I5567</f>
        <v>0</v>
      </c>
    </row>
    <row r="5568" spans="1:10" ht="13.5" thickBot="1">
      <c r="A5568" s="27"/>
      <c r="B5568" s="110"/>
      <c r="D5568" s="409"/>
      <c r="E5568" s="13" t="s">
        <v>51</v>
      </c>
      <c r="F5568" s="13" t="s">
        <v>1929</v>
      </c>
      <c r="G5568" s="410" t="s">
        <v>48</v>
      </c>
      <c r="H5568" s="411">
        <v>7.0000000000000001E-3</v>
      </c>
      <c r="I5568" s="412">
        <f>IF(AND(E5568&lt;&gt;"",G5568&lt;&gt;""),IF(D5568="",IF(G5568="OH",VLOOKUP(F5568,UPAH!$B$4:$H$101,7,0),VLOOKUP(F5568,#REF!,4,0)),0),0)</f>
        <v>0</v>
      </c>
      <c r="J5568" s="16">
        <f>H5568*I5568</f>
        <v>0</v>
      </c>
    </row>
    <row r="5569" spans="1:10" ht="13.5" thickBot="1">
      <c r="A5569" s="27"/>
      <c r="B5569" s="110"/>
      <c r="D5569" s="417"/>
      <c r="E5569" s="418"/>
      <c r="F5569" s="418"/>
      <c r="G5569" s="419"/>
      <c r="H5569" s="420" t="s">
        <v>52</v>
      </c>
      <c r="I5569" s="421"/>
      <c r="J5569" s="396">
        <f>SUM(J5565:J5568)</f>
        <v>0</v>
      </c>
    </row>
    <row r="5570" spans="1:10" ht="13">
      <c r="A5570" s="27"/>
      <c r="B5570" s="110"/>
      <c r="D5570" s="406" t="s">
        <v>53</v>
      </c>
      <c r="E5570" s="13" t="s">
        <v>54</v>
      </c>
      <c r="F5570" s="14"/>
      <c r="G5570" s="15"/>
      <c r="H5570" s="451"/>
      <c r="I5570" s="412"/>
      <c r="J5570" s="16"/>
    </row>
    <row r="5571" spans="1:10" ht="13">
      <c r="A5571" s="27"/>
      <c r="B5571" s="110"/>
      <c r="D5571" s="409"/>
      <c r="E5571" s="458" t="s">
        <v>2899</v>
      </c>
      <c r="F5571" s="496"/>
      <c r="G5571" s="497" t="s">
        <v>74</v>
      </c>
      <c r="H5571" s="498">
        <v>0.35</v>
      </c>
      <c r="I5571" s="521">
        <f>'BAHAN '!G204</f>
        <v>0</v>
      </c>
      <c r="J5571" s="16">
        <f>H5571*I5571</f>
        <v>0</v>
      </c>
    </row>
    <row r="5572" spans="1:10" ht="13.5" thickBot="1">
      <c r="A5572" s="27"/>
      <c r="B5572" s="110"/>
      <c r="D5572" s="409"/>
      <c r="E5572" s="458" t="s">
        <v>2900</v>
      </c>
      <c r="F5572" s="496"/>
      <c r="G5572" s="497" t="s">
        <v>57</v>
      </c>
      <c r="H5572" s="498">
        <v>0.12</v>
      </c>
      <c r="I5572" s="521">
        <f>'BAHAN '!G128</f>
        <v>0</v>
      </c>
      <c r="J5572" s="16">
        <f>H5572*I5572</f>
        <v>0</v>
      </c>
    </row>
    <row r="5573" spans="1:10" ht="13.5" thickBot="1">
      <c r="A5573" s="27"/>
      <c r="B5573" s="110"/>
      <c r="D5573" s="417"/>
      <c r="E5573" s="418"/>
      <c r="F5573" s="418"/>
      <c r="G5573" s="419"/>
      <c r="H5573" s="420" t="s">
        <v>64</v>
      </c>
      <c r="I5573" s="421"/>
      <c r="J5573" s="396">
        <f>SUM(J5571:J5572)</f>
        <v>0</v>
      </c>
    </row>
    <row r="5574" spans="1:10" ht="13.5" thickBot="1">
      <c r="A5574" s="27"/>
      <c r="B5574" s="110"/>
      <c r="D5574" s="406" t="s">
        <v>65</v>
      </c>
      <c r="E5574" s="13" t="s">
        <v>66</v>
      </c>
      <c r="F5574" s="14"/>
      <c r="G5574" s="15"/>
      <c r="H5574" s="451"/>
      <c r="I5574" s="412">
        <f>IF(AND(E5574&lt;&gt;"",G5574&lt;&gt;""),IF(D5574="",IF(G5574="OH",VLOOKUP(E5574,UPAH!$C$4:$H$31,7,0),VLOOKUP(E5574,#REF!,4,0)),0),0)</f>
        <v>0</v>
      </c>
      <c r="J5574" s="16">
        <f>H5574*I5574</f>
        <v>0</v>
      </c>
    </row>
    <row r="5575" spans="1:10" ht="13.5" thickBot="1">
      <c r="A5575" s="27"/>
      <c r="B5575" s="110"/>
      <c r="D5575" s="417"/>
      <c r="E5575" s="418"/>
      <c r="F5575" s="418"/>
      <c r="G5575" s="419"/>
      <c r="H5575" s="420" t="s">
        <v>67</v>
      </c>
      <c r="I5575" s="421"/>
      <c r="J5575" s="396">
        <f>J5574</f>
        <v>0</v>
      </c>
    </row>
    <row r="5576" spans="1:10" ht="13">
      <c r="A5576" s="27"/>
      <c r="B5576" s="110"/>
      <c r="D5576" s="444" t="s">
        <v>68</v>
      </c>
      <c r="E5576" s="445" t="s">
        <v>69</v>
      </c>
      <c r="F5576" s="446"/>
      <c r="G5576" s="447"/>
      <c r="H5576" s="448"/>
      <c r="I5576" s="449">
        <f>IF(AND(E5576&lt;&gt;"",G5576&lt;&gt;""),IF(D5576="",IF(G5576="OH",VLOOKUP(E5576,UPAH!$C$4:$H$31,7,0),VLOOKUP(E5576,#REF!,4,0)),0),0)</f>
        <v>0</v>
      </c>
      <c r="J5576" s="16">
        <f>SUM(J5565:J5575)/2</f>
        <v>0</v>
      </c>
    </row>
    <row r="5577" spans="1:10" ht="13.5" thickBot="1">
      <c r="A5577" s="27"/>
      <c r="B5577" s="110"/>
      <c r="D5577" s="478" t="s">
        <v>70</v>
      </c>
      <c r="E5577" s="479" t="s">
        <v>477</v>
      </c>
      <c r="F5577" s="480"/>
      <c r="G5577" s="481"/>
      <c r="H5577" s="512">
        <v>0.1</v>
      </c>
      <c r="I5577" s="483"/>
      <c r="J5577" s="465">
        <f>H5577*J5576</f>
        <v>0</v>
      </c>
    </row>
    <row r="5578" spans="1:10" ht="13.5" thickBot="1">
      <c r="A5578" s="27"/>
      <c r="B5578" s="110"/>
      <c r="D5578" s="401" t="s">
        <v>71</v>
      </c>
      <c r="E5578" s="402" t="s">
        <v>72</v>
      </c>
      <c r="F5578" s="418"/>
      <c r="G5578" s="419"/>
      <c r="H5578" s="442"/>
      <c r="I5578" s="421">
        <f>IF(AND(E5578&lt;&gt;"",G5578&lt;&gt;""),IF(D5578="",IF(G5578="OH",VLOOKUP(E5578,UPAH!$C$4:$H$31,7,0),VLOOKUP(E5578,#REF!,4,0)),0),0)</f>
        <v>0</v>
      </c>
      <c r="J5578" s="396">
        <f>ROUNDDOWN(J5576+J5577,0)</f>
        <v>0</v>
      </c>
    </row>
    <row r="5579" spans="1:10" ht="13">
      <c r="A5579" s="27"/>
      <c r="B5579" s="110"/>
      <c r="D5579" s="11"/>
      <c r="E5579" s="11"/>
      <c r="H5579" s="443"/>
    </row>
    <row r="5580" spans="1:10" ht="13.5" thickBot="1">
      <c r="A5580" s="27"/>
      <c r="B5580" s="110"/>
      <c r="C5580" s="11" t="s">
        <v>1062</v>
      </c>
      <c r="D5580" s="10" t="s">
        <v>1063</v>
      </c>
      <c r="H5580" s="443"/>
    </row>
    <row r="5581" spans="1:10" ht="13.5" thickBot="1">
      <c r="A5581" s="27"/>
      <c r="B5581" s="110"/>
      <c r="D5581" s="401" t="s">
        <v>40</v>
      </c>
      <c r="E5581" s="402" t="s">
        <v>41</v>
      </c>
      <c r="F5581" s="402" t="s">
        <v>42</v>
      </c>
      <c r="G5581" s="403" t="s">
        <v>43</v>
      </c>
      <c r="H5581" s="404" t="s">
        <v>44</v>
      </c>
      <c r="I5581" s="402" t="s">
        <v>474</v>
      </c>
      <c r="J5581" s="405" t="s">
        <v>475</v>
      </c>
    </row>
    <row r="5582" spans="1:10" ht="13">
      <c r="A5582" s="27"/>
      <c r="B5582" s="110"/>
      <c r="D5582" s="406" t="s">
        <v>45</v>
      </c>
      <c r="E5582" s="13" t="s">
        <v>46</v>
      </c>
      <c r="F5582" s="14"/>
      <c r="G5582" s="15"/>
      <c r="H5582" s="451"/>
      <c r="I5582" s="412"/>
      <c r="J5582" s="16"/>
    </row>
    <row r="5583" spans="1:10" ht="13">
      <c r="A5583" s="27"/>
      <c r="B5583" s="110"/>
      <c r="D5583" s="409"/>
      <c r="E5583" s="13" t="s">
        <v>47</v>
      </c>
      <c r="F5583" s="13" t="s">
        <v>1918</v>
      </c>
      <c r="G5583" s="410" t="s">
        <v>48</v>
      </c>
      <c r="H5583" s="411">
        <v>0.14000000000000001</v>
      </c>
      <c r="I5583" s="412">
        <f>IF(AND(E5583&lt;&gt;"",G5583&lt;&gt;""),IF(D5583="",IF(G5583="OH",VLOOKUP(F5583,UPAH!$B$4:$H$101,7,0),VLOOKUP(F5583,#REF!,4,0)),0),0)</f>
        <v>0</v>
      </c>
      <c r="J5583" s="16">
        <f>H5583*I5583</f>
        <v>0</v>
      </c>
    </row>
    <row r="5584" spans="1:10" ht="13">
      <c r="A5584" s="27"/>
      <c r="B5584" s="110"/>
      <c r="D5584" s="409"/>
      <c r="E5584" s="13" t="s">
        <v>476</v>
      </c>
      <c r="F5584" s="13" t="s">
        <v>1922</v>
      </c>
      <c r="G5584" s="410" t="s">
        <v>48</v>
      </c>
      <c r="H5584" s="411">
        <v>7.0000000000000007E-2</v>
      </c>
      <c r="I5584" s="412">
        <f>IF(AND(E5584&lt;&gt;"",G5584&lt;&gt;""),IF(D5584="",IF(G5584="OH",VLOOKUP(F5584,UPAH!$B$4:$H$101,7,0),VLOOKUP(F5584,#REF!,4,0)),0),0)</f>
        <v>0</v>
      </c>
      <c r="J5584" s="16">
        <f>H5584*I5584</f>
        <v>0</v>
      </c>
    </row>
    <row r="5585" spans="1:10" ht="13">
      <c r="A5585" s="27"/>
      <c r="B5585" s="110"/>
      <c r="D5585" s="409"/>
      <c r="E5585" s="13" t="s">
        <v>50</v>
      </c>
      <c r="F5585" s="13" t="s">
        <v>1928</v>
      </c>
      <c r="G5585" s="410" t="s">
        <v>48</v>
      </c>
      <c r="H5585" s="411">
        <v>7.0000000000000001E-3</v>
      </c>
      <c r="I5585" s="412">
        <f>IF(AND(E5585&lt;&gt;"",G5585&lt;&gt;""),IF(D5585="",IF(G5585="OH",VLOOKUP(F5585,UPAH!$B$4:$H$101,7,0),VLOOKUP(F5585,#REF!,4,0)),0),0)</f>
        <v>0</v>
      </c>
      <c r="J5585" s="16">
        <f>H5585*I5585</f>
        <v>0</v>
      </c>
    </row>
    <row r="5586" spans="1:10" ht="13.5" thickBot="1">
      <c r="A5586" s="27"/>
      <c r="B5586" s="110"/>
      <c r="D5586" s="409"/>
      <c r="E5586" s="13" t="s">
        <v>51</v>
      </c>
      <c r="F5586" s="13" t="s">
        <v>1929</v>
      </c>
      <c r="G5586" s="410" t="s">
        <v>48</v>
      </c>
      <c r="H5586" s="411">
        <v>7.0000000000000001E-3</v>
      </c>
      <c r="I5586" s="412">
        <f>IF(AND(E5586&lt;&gt;"",G5586&lt;&gt;""),IF(D5586="",IF(G5586="OH",VLOOKUP(F5586,UPAH!$B$4:$H$101,7,0),VLOOKUP(F5586,#REF!,4,0)),0),0)</f>
        <v>0</v>
      </c>
      <c r="J5586" s="16">
        <f>H5586*I5586</f>
        <v>0</v>
      </c>
    </row>
    <row r="5587" spans="1:10" ht="13.5" thickBot="1">
      <c r="A5587" s="27"/>
      <c r="B5587" s="110"/>
      <c r="D5587" s="417"/>
      <c r="E5587" s="418"/>
      <c r="F5587" s="418"/>
      <c r="G5587" s="419"/>
      <c r="H5587" s="420" t="s">
        <v>52</v>
      </c>
      <c r="I5587" s="421"/>
      <c r="J5587" s="396">
        <f>SUM(J5583:J5586)</f>
        <v>0</v>
      </c>
    </row>
    <row r="5588" spans="1:10" ht="13">
      <c r="A5588" s="27"/>
      <c r="B5588" s="110"/>
      <c r="D5588" s="406" t="s">
        <v>53</v>
      </c>
      <c r="E5588" s="13" t="s">
        <v>54</v>
      </c>
      <c r="F5588" s="14"/>
      <c r="G5588" s="15"/>
      <c r="H5588" s="451"/>
      <c r="I5588" s="412"/>
      <c r="J5588" s="16"/>
    </row>
    <row r="5589" spans="1:10" ht="13">
      <c r="A5589" s="27"/>
      <c r="B5589" s="110"/>
      <c r="D5589" s="409"/>
      <c r="E5589" s="458" t="s">
        <v>2899</v>
      </c>
      <c r="F5589" s="496"/>
      <c r="G5589" s="497" t="s">
        <v>74</v>
      </c>
      <c r="H5589" s="498">
        <v>0.42</v>
      </c>
      <c r="I5589" s="521">
        <f>'BAHAN '!G204</f>
        <v>0</v>
      </c>
      <c r="J5589" s="16">
        <f>H5589*I5589</f>
        <v>0</v>
      </c>
    </row>
    <row r="5590" spans="1:10" ht="13.5" thickBot="1">
      <c r="A5590" s="27"/>
      <c r="B5590" s="110"/>
      <c r="D5590" s="409"/>
      <c r="E5590" s="458" t="s">
        <v>2900</v>
      </c>
      <c r="F5590" s="496"/>
      <c r="G5590" s="497" t="s">
        <v>57</v>
      </c>
      <c r="H5590" s="498">
        <v>0.12</v>
      </c>
      <c r="I5590" s="521">
        <f>'BAHAN '!G128</f>
        <v>0</v>
      </c>
      <c r="J5590" s="16">
        <f>H5590*I5590</f>
        <v>0</v>
      </c>
    </row>
    <row r="5591" spans="1:10" ht="13.5" thickBot="1">
      <c r="A5591" s="27"/>
      <c r="B5591" s="110"/>
      <c r="D5591" s="417"/>
      <c r="E5591" s="418"/>
      <c r="F5591" s="418"/>
      <c r="G5591" s="419"/>
      <c r="H5591" s="420" t="s">
        <v>64</v>
      </c>
      <c r="I5591" s="421"/>
      <c r="J5591" s="396">
        <f>SUM(J5589:J5590)</f>
        <v>0</v>
      </c>
    </row>
    <row r="5592" spans="1:10" ht="13.5" thickBot="1">
      <c r="A5592" s="27"/>
      <c r="B5592" s="110"/>
      <c r="D5592" s="406" t="s">
        <v>65</v>
      </c>
      <c r="E5592" s="13" t="s">
        <v>66</v>
      </c>
      <c r="F5592" s="14"/>
      <c r="G5592" s="15"/>
      <c r="H5592" s="451"/>
      <c r="I5592" s="412">
        <f>IF(AND(E5592&lt;&gt;"",G5592&lt;&gt;""),IF(D5592="",IF(G5592="OH",VLOOKUP(E5592,UPAH!$C$4:$H$31,7,0),VLOOKUP(E5592,#REF!,4,0)),0),0)</f>
        <v>0</v>
      </c>
      <c r="J5592" s="16">
        <f>H5592*I5592</f>
        <v>0</v>
      </c>
    </row>
    <row r="5593" spans="1:10" ht="13.5" thickBot="1">
      <c r="A5593" s="27"/>
      <c r="B5593" s="110"/>
      <c r="D5593" s="417"/>
      <c r="E5593" s="418"/>
      <c r="F5593" s="418"/>
      <c r="G5593" s="419"/>
      <c r="H5593" s="420" t="s">
        <v>67</v>
      </c>
      <c r="I5593" s="421"/>
      <c r="J5593" s="396">
        <f>J5592</f>
        <v>0</v>
      </c>
    </row>
    <row r="5594" spans="1:10" ht="13">
      <c r="A5594" s="27"/>
      <c r="B5594" s="110"/>
      <c r="D5594" s="444" t="s">
        <v>68</v>
      </c>
      <c r="E5594" s="445" t="s">
        <v>69</v>
      </c>
      <c r="F5594" s="446"/>
      <c r="G5594" s="447"/>
      <c r="H5594" s="448"/>
      <c r="I5594" s="449">
        <f>IF(AND(E5594&lt;&gt;"",G5594&lt;&gt;""),IF(D5594="",IF(G5594="OH",VLOOKUP(E5594,UPAH!$C$4:$H$31,7,0),VLOOKUP(E5594,#REF!,4,0)),0),0)</f>
        <v>0</v>
      </c>
      <c r="J5594" s="16">
        <f>SUM(J5583:J5593)/2</f>
        <v>0</v>
      </c>
    </row>
    <row r="5595" spans="1:10" ht="13.5" thickBot="1">
      <c r="A5595" s="27"/>
      <c r="B5595" s="110"/>
      <c r="D5595" s="431" t="s">
        <v>70</v>
      </c>
      <c r="E5595" s="432" t="s">
        <v>477</v>
      </c>
      <c r="F5595" s="433"/>
      <c r="G5595" s="434"/>
      <c r="H5595" s="22">
        <v>0.1</v>
      </c>
      <c r="I5595" s="436"/>
      <c r="J5595" s="430">
        <f>H5595*J5594</f>
        <v>0</v>
      </c>
    </row>
    <row r="5596" spans="1:10" ht="13.5" thickBot="1">
      <c r="A5596" s="27"/>
      <c r="B5596" s="110"/>
      <c r="D5596" s="401" t="s">
        <v>71</v>
      </c>
      <c r="E5596" s="402" t="s">
        <v>72</v>
      </c>
      <c r="F5596" s="418"/>
      <c r="G5596" s="419"/>
      <c r="H5596" s="442"/>
      <c r="I5596" s="421">
        <f>IF(AND(E5596&lt;&gt;"",G5596&lt;&gt;""),IF(D5596="",IF(G5596="OH",VLOOKUP(E5596,UPAH!$C$4:$H$31,7,0),VLOOKUP(E5596,#REF!,4,0)),0),0)</f>
        <v>0</v>
      </c>
      <c r="J5596" s="396">
        <f>ROUNDDOWN(J5594+J5595,0)</f>
        <v>0</v>
      </c>
    </row>
    <row r="5597" spans="1:10" ht="13">
      <c r="A5597" s="27"/>
      <c r="B5597" s="110"/>
      <c r="D5597" s="11"/>
      <c r="E5597" s="11"/>
      <c r="H5597" s="443"/>
    </row>
    <row r="5598" spans="1:10" ht="13.5" thickBot="1">
      <c r="A5598" s="27"/>
      <c r="B5598" s="110"/>
      <c r="C5598" s="11" t="s">
        <v>1064</v>
      </c>
      <c r="D5598" s="10" t="s">
        <v>1065</v>
      </c>
      <c r="H5598" s="443"/>
    </row>
    <row r="5599" spans="1:10" ht="13.5" thickBot="1">
      <c r="A5599" s="27"/>
      <c r="B5599" s="110"/>
      <c r="D5599" s="401" t="s">
        <v>40</v>
      </c>
      <c r="E5599" s="402" t="s">
        <v>41</v>
      </c>
      <c r="F5599" s="402" t="s">
        <v>42</v>
      </c>
      <c r="G5599" s="403" t="s">
        <v>43</v>
      </c>
      <c r="H5599" s="404" t="s">
        <v>44</v>
      </c>
      <c r="I5599" s="402" t="s">
        <v>474</v>
      </c>
      <c r="J5599" s="405" t="s">
        <v>475</v>
      </c>
    </row>
    <row r="5600" spans="1:10" ht="13">
      <c r="A5600" s="27"/>
      <c r="B5600" s="110"/>
      <c r="D5600" s="406" t="s">
        <v>45</v>
      </c>
      <c r="E5600" s="13" t="s">
        <v>46</v>
      </c>
      <c r="F5600" s="14"/>
      <c r="G5600" s="15"/>
      <c r="H5600" s="451"/>
      <c r="I5600" s="412"/>
      <c r="J5600" s="16"/>
    </row>
    <row r="5601" spans="1:10" ht="13">
      <c r="A5601" s="27"/>
      <c r="B5601" s="110"/>
      <c r="D5601" s="409"/>
      <c r="E5601" s="13" t="s">
        <v>47</v>
      </c>
      <c r="F5601" s="13" t="s">
        <v>1918</v>
      </c>
      <c r="G5601" s="410" t="s">
        <v>48</v>
      </c>
      <c r="H5601" s="411">
        <v>0.14000000000000001</v>
      </c>
      <c r="I5601" s="412">
        <f>IF(AND(E5601&lt;&gt;"",G5601&lt;&gt;""),IF(D5601="",IF(G5601="OH",VLOOKUP(F5601,UPAH!$B$4:$H$101,7,0),VLOOKUP(F5601,#REF!,4,0)),0),0)</f>
        <v>0</v>
      </c>
      <c r="J5601" s="16">
        <f>H5601*I5601</f>
        <v>0</v>
      </c>
    </row>
    <row r="5602" spans="1:10" ht="13">
      <c r="A5602" s="27"/>
      <c r="B5602" s="110"/>
      <c r="D5602" s="409"/>
      <c r="E5602" s="13" t="s">
        <v>476</v>
      </c>
      <c r="F5602" s="13" t="s">
        <v>1922</v>
      </c>
      <c r="G5602" s="410" t="s">
        <v>48</v>
      </c>
      <c r="H5602" s="411">
        <v>7.0000000000000007E-2</v>
      </c>
      <c r="I5602" s="412">
        <f>IF(AND(E5602&lt;&gt;"",G5602&lt;&gt;""),IF(D5602="",IF(G5602="OH",VLOOKUP(F5602,UPAH!$B$4:$H$101,7,0),VLOOKUP(F5602,#REF!,4,0)),0),0)</f>
        <v>0</v>
      </c>
      <c r="J5602" s="16">
        <f>H5602*I5602</f>
        <v>0</v>
      </c>
    </row>
    <row r="5603" spans="1:10" ht="13">
      <c r="A5603" s="27"/>
      <c r="B5603" s="110"/>
      <c r="D5603" s="409"/>
      <c r="E5603" s="13" t="s">
        <v>50</v>
      </c>
      <c r="F5603" s="13" t="s">
        <v>1928</v>
      </c>
      <c r="G5603" s="410" t="s">
        <v>48</v>
      </c>
      <c r="H5603" s="411">
        <v>7.0000000000000001E-3</v>
      </c>
      <c r="I5603" s="412">
        <f>IF(AND(E5603&lt;&gt;"",G5603&lt;&gt;""),IF(D5603="",IF(G5603="OH",VLOOKUP(F5603,UPAH!$B$4:$H$101,7,0),VLOOKUP(F5603,#REF!,4,0)),0),0)</f>
        <v>0</v>
      </c>
      <c r="J5603" s="16">
        <f>H5603*I5603</f>
        <v>0</v>
      </c>
    </row>
    <row r="5604" spans="1:10" ht="13.5" thickBot="1">
      <c r="A5604" s="27"/>
      <c r="B5604" s="110"/>
      <c r="D5604" s="409"/>
      <c r="E5604" s="13" t="s">
        <v>51</v>
      </c>
      <c r="F5604" s="13" t="s">
        <v>1929</v>
      </c>
      <c r="G5604" s="410" t="s">
        <v>48</v>
      </c>
      <c r="H5604" s="411">
        <v>7.0000000000000001E-3</v>
      </c>
      <c r="I5604" s="412">
        <f>IF(AND(E5604&lt;&gt;"",G5604&lt;&gt;""),IF(D5604="",IF(G5604="OH",VLOOKUP(F5604,UPAH!$B$4:$H$101,7,0),VLOOKUP(F5604,#REF!,4,0)),0),0)</f>
        <v>0</v>
      </c>
      <c r="J5604" s="16">
        <f>H5604*I5604</f>
        <v>0</v>
      </c>
    </row>
    <row r="5605" spans="1:10" ht="13.5" thickBot="1">
      <c r="A5605" s="27"/>
      <c r="B5605" s="110"/>
      <c r="D5605" s="417"/>
      <c r="E5605" s="418"/>
      <c r="F5605" s="418"/>
      <c r="G5605" s="419"/>
      <c r="H5605" s="420" t="s">
        <v>52</v>
      </c>
      <c r="I5605" s="421"/>
      <c r="J5605" s="396">
        <f>SUM(J5601:J5604)</f>
        <v>0</v>
      </c>
    </row>
    <row r="5606" spans="1:10" ht="13">
      <c r="A5606" s="27"/>
      <c r="B5606" s="110"/>
      <c r="D5606" s="406" t="s">
        <v>53</v>
      </c>
      <c r="E5606" s="13" t="s">
        <v>54</v>
      </c>
      <c r="F5606" s="14"/>
      <c r="G5606" s="15"/>
      <c r="H5606" s="451"/>
      <c r="I5606" s="412"/>
      <c r="J5606" s="16"/>
    </row>
    <row r="5607" spans="1:10" ht="13">
      <c r="A5607" s="27"/>
      <c r="B5607" s="110"/>
      <c r="D5607" s="409"/>
      <c r="E5607" s="458" t="s">
        <v>2899</v>
      </c>
      <c r="F5607" s="496"/>
      <c r="G5607" s="497" t="s">
        <v>74</v>
      </c>
      <c r="H5607" s="498">
        <v>0.44</v>
      </c>
      <c r="I5607" s="521">
        <f>'BAHAN '!G204</f>
        <v>0</v>
      </c>
      <c r="J5607" s="16">
        <f>H5607*I5607</f>
        <v>0</v>
      </c>
    </row>
    <row r="5608" spans="1:10" ht="13.5" thickBot="1">
      <c r="A5608" s="27"/>
      <c r="B5608" s="110"/>
      <c r="D5608" s="409"/>
      <c r="E5608" s="458" t="s">
        <v>2900</v>
      </c>
      <c r="F5608" s="496"/>
      <c r="G5608" s="497" t="s">
        <v>57</v>
      </c>
      <c r="H5608" s="498">
        <v>0.12</v>
      </c>
      <c r="I5608" s="521">
        <f>'BAHAN '!G128</f>
        <v>0</v>
      </c>
      <c r="J5608" s="16">
        <f>H5608*I5608</f>
        <v>0</v>
      </c>
    </row>
    <row r="5609" spans="1:10" ht="13.5" thickBot="1">
      <c r="A5609" s="27"/>
      <c r="B5609" s="110"/>
      <c r="D5609" s="417"/>
      <c r="E5609" s="418"/>
      <c r="F5609" s="418"/>
      <c r="G5609" s="419"/>
      <c r="H5609" s="420" t="s">
        <v>64</v>
      </c>
      <c r="I5609" s="421"/>
      <c r="J5609" s="396">
        <f>SUM(J5607:J5608)</f>
        <v>0</v>
      </c>
    </row>
    <row r="5610" spans="1:10" ht="13.5" thickBot="1">
      <c r="A5610" s="27"/>
      <c r="B5610" s="110"/>
      <c r="D5610" s="406" t="s">
        <v>65</v>
      </c>
      <c r="E5610" s="13" t="s">
        <v>66</v>
      </c>
      <c r="F5610" s="14"/>
      <c r="G5610" s="15"/>
      <c r="H5610" s="451"/>
      <c r="I5610" s="412">
        <f>IF(AND(E5610&lt;&gt;"",G5610&lt;&gt;""),IF(D5610="",IF(G5610="OH",VLOOKUP(E5610,UPAH!$C$4:$H$31,7,0),VLOOKUP(E5610,#REF!,4,0)),0),0)</f>
        <v>0</v>
      </c>
      <c r="J5610" s="16">
        <f>H5610*I5610</f>
        <v>0</v>
      </c>
    </row>
    <row r="5611" spans="1:10" ht="13.5" thickBot="1">
      <c r="A5611" s="27"/>
      <c r="B5611" s="110"/>
      <c r="D5611" s="417"/>
      <c r="E5611" s="418"/>
      <c r="F5611" s="418"/>
      <c r="G5611" s="419"/>
      <c r="H5611" s="420" t="s">
        <v>67</v>
      </c>
      <c r="I5611" s="421"/>
      <c r="J5611" s="396">
        <f>J5610</f>
        <v>0</v>
      </c>
    </row>
    <row r="5612" spans="1:10" ht="13">
      <c r="A5612" s="27"/>
      <c r="B5612" s="110"/>
      <c r="D5612" s="444" t="s">
        <v>68</v>
      </c>
      <c r="E5612" s="445" t="s">
        <v>69</v>
      </c>
      <c r="F5612" s="446"/>
      <c r="G5612" s="447"/>
      <c r="H5612" s="448"/>
      <c r="I5612" s="449">
        <f>IF(AND(E5612&lt;&gt;"",G5612&lt;&gt;""),IF(D5612="",IF(G5612="OH",VLOOKUP(E5612,UPAH!$C$4:$H$31,7,0),VLOOKUP(E5612,#REF!,4,0)),0),0)</f>
        <v>0</v>
      </c>
      <c r="J5612" s="16">
        <f>SUM(J5601:J5611)/2</f>
        <v>0</v>
      </c>
    </row>
    <row r="5613" spans="1:10" ht="13.5" thickBot="1">
      <c r="A5613" s="27"/>
      <c r="B5613" s="110"/>
      <c r="D5613" s="431" t="s">
        <v>70</v>
      </c>
      <c r="E5613" s="432" t="s">
        <v>477</v>
      </c>
      <c r="F5613" s="433"/>
      <c r="G5613" s="434"/>
      <c r="H5613" s="22">
        <v>0.1</v>
      </c>
      <c r="I5613" s="436"/>
      <c r="J5613" s="430">
        <f>H5613*J5612</f>
        <v>0</v>
      </c>
    </row>
    <row r="5614" spans="1:10" ht="13.5" thickBot="1">
      <c r="A5614" s="27"/>
      <c r="B5614" s="110"/>
      <c r="D5614" s="401" t="s">
        <v>71</v>
      </c>
      <c r="E5614" s="402" t="s">
        <v>72</v>
      </c>
      <c r="F5614" s="418"/>
      <c r="G5614" s="419"/>
      <c r="H5614" s="442"/>
      <c r="I5614" s="421">
        <f>IF(AND(E5614&lt;&gt;"",G5614&lt;&gt;""),IF(D5614="",IF(G5614="OH",VLOOKUP(E5614,UPAH!$C$4:$H$31,7,0),VLOOKUP(E5614,#REF!,4,0)),0),0)</f>
        <v>0</v>
      </c>
      <c r="J5614" s="396">
        <f>ROUNDDOWN(J5612+J5613,0)</f>
        <v>0</v>
      </c>
    </row>
    <row r="5615" spans="1:10" ht="13">
      <c r="A5615" s="27"/>
      <c r="B5615" s="110"/>
      <c r="D5615" s="11"/>
      <c r="E5615" s="11"/>
      <c r="H5615" s="443"/>
    </row>
    <row r="5616" spans="1:10" ht="13.5" thickBot="1">
      <c r="A5616" s="27"/>
      <c r="B5616" s="110"/>
      <c r="C5616" s="11" t="s">
        <v>1108</v>
      </c>
      <c r="D5616" s="10" t="s">
        <v>1109</v>
      </c>
      <c r="H5616" s="443"/>
    </row>
    <row r="5617" spans="1:10" ht="13.5" thickBot="1">
      <c r="A5617" s="27"/>
      <c r="B5617" s="110"/>
      <c r="D5617" s="401" t="s">
        <v>40</v>
      </c>
      <c r="E5617" s="402" t="s">
        <v>41</v>
      </c>
      <c r="F5617" s="402" t="s">
        <v>42</v>
      </c>
      <c r="G5617" s="403" t="s">
        <v>43</v>
      </c>
      <c r="H5617" s="404" t="s">
        <v>44</v>
      </c>
      <c r="I5617" s="402" t="s">
        <v>474</v>
      </c>
      <c r="J5617" s="405" t="s">
        <v>475</v>
      </c>
    </row>
    <row r="5618" spans="1:10" ht="13">
      <c r="A5618" s="27"/>
      <c r="B5618" s="110"/>
      <c r="D5618" s="406" t="s">
        <v>45</v>
      </c>
      <c r="E5618" s="13" t="s">
        <v>46</v>
      </c>
      <c r="F5618" s="14"/>
      <c r="G5618" s="15"/>
      <c r="H5618" s="451"/>
      <c r="I5618" s="412"/>
      <c r="J5618" s="16"/>
    </row>
    <row r="5619" spans="1:10" ht="13">
      <c r="A5619" s="27"/>
      <c r="B5619" s="110"/>
      <c r="D5619" s="409"/>
      <c r="E5619" s="13" t="s">
        <v>47</v>
      </c>
      <c r="F5619" s="13" t="s">
        <v>1918</v>
      </c>
      <c r="G5619" s="410" t="s">
        <v>48</v>
      </c>
      <c r="H5619" s="411">
        <v>0.14000000000000001</v>
      </c>
      <c r="I5619" s="412">
        <f>IF(AND(E5619&lt;&gt;"",G5619&lt;&gt;""),IF(D5619="",IF(G5619="OH",VLOOKUP(F5619,UPAH!$B$4:$H$101,7,0),VLOOKUP(F5619,#REF!,4,0)),0),0)</f>
        <v>0</v>
      </c>
      <c r="J5619" s="16">
        <f>H5619*I5619</f>
        <v>0</v>
      </c>
    </row>
    <row r="5620" spans="1:10" ht="13">
      <c r="A5620" s="27"/>
      <c r="B5620" s="110"/>
      <c r="D5620" s="409"/>
      <c r="E5620" s="13" t="s">
        <v>476</v>
      </c>
      <c r="F5620" s="13" t="s">
        <v>1922</v>
      </c>
      <c r="G5620" s="410" t="s">
        <v>48</v>
      </c>
      <c r="H5620" s="411">
        <v>7.0000000000000007E-2</v>
      </c>
      <c r="I5620" s="412">
        <f>IF(AND(E5620&lt;&gt;"",G5620&lt;&gt;""),IF(D5620="",IF(G5620="OH",VLOOKUP(F5620,UPAH!$B$4:$H$101,7,0),VLOOKUP(F5620,#REF!,4,0)),0),0)</f>
        <v>0</v>
      </c>
      <c r="J5620" s="16">
        <f>H5620*I5620</f>
        <v>0</v>
      </c>
    </row>
    <row r="5621" spans="1:10" ht="13">
      <c r="A5621" s="27"/>
      <c r="B5621" s="110"/>
      <c r="D5621" s="409"/>
      <c r="E5621" s="13" t="s">
        <v>50</v>
      </c>
      <c r="F5621" s="13" t="s">
        <v>1928</v>
      </c>
      <c r="G5621" s="410" t="s">
        <v>48</v>
      </c>
      <c r="H5621" s="411">
        <v>7.0000000000000001E-3</v>
      </c>
      <c r="I5621" s="412">
        <f>IF(AND(E5621&lt;&gt;"",G5621&lt;&gt;""),IF(D5621="",IF(G5621="OH",VLOOKUP(F5621,UPAH!$B$4:$H$101,7,0),VLOOKUP(F5621,#REF!,4,0)),0),0)</f>
        <v>0</v>
      </c>
      <c r="J5621" s="16">
        <f>H5621*I5621</f>
        <v>0</v>
      </c>
    </row>
    <row r="5622" spans="1:10" ht="13.5" thickBot="1">
      <c r="A5622" s="27"/>
      <c r="B5622" s="110"/>
      <c r="D5622" s="409"/>
      <c r="E5622" s="13" t="s">
        <v>51</v>
      </c>
      <c r="F5622" s="13" t="s">
        <v>1929</v>
      </c>
      <c r="G5622" s="410" t="s">
        <v>48</v>
      </c>
      <c r="H5622" s="411">
        <v>7.0000000000000001E-3</v>
      </c>
      <c r="I5622" s="412">
        <f>IF(AND(E5622&lt;&gt;"",G5622&lt;&gt;""),IF(D5622="",IF(G5622="OH",VLOOKUP(F5622,UPAH!$B$4:$H$101,7,0),VLOOKUP(F5622,#REF!,4,0)),0),0)</f>
        <v>0</v>
      </c>
      <c r="J5622" s="16">
        <f>H5622*I5622</f>
        <v>0</v>
      </c>
    </row>
    <row r="5623" spans="1:10" ht="13.5" thickBot="1">
      <c r="A5623" s="27"/>
      <c r="B5623" s="110"/>
      <c r="D5623" s="417"/>
      <c r="E5623" s="418"/>
      <c r="F5623" s="418"/>
      <c r="G5623" s="419"/>
      <c r="H5623" s="420" t="s">
        <v>52</v>
      </c>
      <c r="I5623" s="421"/>
      <c r="J5623" s="396">
        <f>SUM(J5619:J5622)</f>
        <v>0</v>
      </c>
    </row>
    <row r="5624" spans="1:10" ht="13">
      <c r="A5624" s="27"/>
      <c r="B5624" s="110"/>
      <c r="D5624" s="406" t="s">
        <v>53</v>
      </c>
      <c r="E5624" s="13" t="s">
        <v>54</v>
      </c>
      <c r="F5624" s="14"/>
      <c r="G5624" s="15"/>
      <c r="H5624" s="451"/>
      <c r="I5624" s="412"/>
      <c r="J5624" s="16"/>
    </row>
    <row r="5625" spans="1:10" ht="13">
      <c r="A5625" s="27"/>
      <c r="B5625" s="110"/>
      <c r="D5625" s="409"/>
      <c r="E5625" s="458" t="s">
        <v>2899</v>
      </c>
      <c r="F5625" s="496"/>
      <c r="G5625" s="497" t="s">
        <v>74</v>
      </c>
      <c r="H5625" s="498">
        <v>0.51</v>
      </c>
      <c r="I5625" s="521">
        <f>'BAHAN '!G204</f>
        <v>0</v>
      </c>
      <c r="J5625" s="16">
        <f>H5625*I5625</f>
        <v>0</v>
      </c>
    </row>
    <row r="5626" spans="1:10" ht="13.5" thickBot="1">
      <c r="A5626" s="27"/>
      <c r="B5626" s="110"/>
      <c r="D5626" s="409"/>
      <c r="E5626" s="458" t="s">
        <v>2900</v>
      </c>
      <c r="F5626" s="496"/>
      <c r="G5626" s="497" t="s">
        <v>57</v>
      </c>
      <c r="H5626" s="498">
        <v>0.12</v>
      </c>
      <c r="I5626" s="521">
        <f>'BAHAN '!G128</f>
        <v>0</v>
      </c>
      <c r="J5626" s="16">
        <f>H5626*I5626</f>
        <v>0</v>
      </c>
    </row>
    <row r="5627" spans="1:10" ht="13.5" thickBot="1">
      <c r="A5627" s="27"/>
      <c r="B5627" s="110"/>
      <c r="D5627" s="417"/>
      <c r="E5627" s="418"/>
      <c r="F5627" s="418"/>
      <c r="G5627" s="419"/>
      <c r="H5627" s="420" t="s">
        <v>64</v>
      </c>
      <c r="I5627" s="421"/>
      <c r="J5627" s="396">
        <f>SUM(J5625:J5626)</f>
        <v>0</v>
      </c>
    </row>
    <row r="5628" spans="1:10" ht="13.5" thickBot="1">
      <c r="A5628" s="27"/>
      <c r="B5628" s="110"/>
      <c r="D5628" s="406" t="s">
        <v>65</v>
      </c>
      <c r="E5628" s="13" t="s">
        <v>66</v>
      </c>
      <c r="F5628" s="14"/>
      <c r="G5628" s="15"/>
      <c r="H5628" s="451"/>
      <c r="I5628" s="412">
        <f>IF(AND(E5628&lt;&gt;"",G5628&lt;&gt;""),IF(D5628="",IF(G5628="OH",VLOOKUP(E5628,UPAH!$C$4:$H$31,7,0),VLOOKUP(E5628,#REF!,4,0)),0),0)</f>
        <v>0</v>
      </c>
      <c r="J5628" s="16">
        <f>H5628*I5628</f>
        <v>0</v>
      </c>
    </row>
    <row r="5629" spans="1:10" ht="13.5" thickBot="1">
      <c r="A5629" s="27"/>
      <c r="B5629" s="110"/>
      <c r="D5629" s="417"/>
      <c r="E5629" s="418"/>
      <c r="F5629" s="418"/>
      <c r="G5629" s="419"/>
      <c r="H5629" s="420" t="s">
        <v>67</v>
      </c>
      <c r="I5629" s="421"/>
      <c r="J5629" s="396">
        <f>J5628</f>
        <v>0</v>
      </c>
    </row>
    <row r="5630" spans="1:10" ht="13">
      <c r="A5630" s="27"/>
      <c r="B5630" s="110"/>
      <c r="D5630" s="444" t="s">
        <v>68</v>
      </c>
      <c r="E5630" s="445" t="s">
        <v>69</v>
      </c>
      <c r="F5630" s="446"/>
      <c r="G5630" s="447"/>
      <c r="H5630" s="448"/>
      <c r="I5630" s="449">
        <f>IF(AND(E5630&lt;&gt;"",G5630&lt;&gt;""),IF(D5630="",IF(G5630="OH",VLOOKUP(E5630,UPAH!$C$4:$H$31,7,0),VLOOKUP(E5630,#REF!,4,0)),0),0)</f>
        <v>0</v>
      </c>
      <c r="J5630" s="16">
        <f>SUM(J5619:J5629)/2</f>
        <v>0</v>
      </c>
    </row>
    <row r="5631" spans="1:10" ht="13.5" thickBot="1">
      <c r="A5631" s="27"/>
      <c r="B5631" s="110"/>
      <c r="D5631" s="431" t="s">
        <v>70</v>
      </c>
      <c r="E5631" s="432" t="s">
        <v>477</v>
      </c>
      <c r="F5631" s="433"/>
      <c r="G5631" s="434"/>
      <c r="H5631" s="22">
        <v>0.1</v>
      </c>
      <c r="I5631" s="436"/>
      <c r="J5631" s="430">
        <f>H5631*J5630</f>
        <v>0</v>
      </c>
    </row>
    <row r="5632" spans="1:10" ht="13.5" thickBot="1">
      <c r="A5632" s="27"/>
      <c r="B5632" s="110"/>
      <c r="D5632" s="401" t="s">
        <v>71</v>
      </c>
      <c r="E5632" s="402" t="s">
        <v>72</v>
      </c>
      <c r="F5632" s="418"/>
      <c r="G5632" s="419"/>
      <c r="H5632" s="442"/>
      <c r="I5632" s="421">
        <f>IF(AND(E5632&lt;&gt;"",G5632&lt;&gt;""),IF(D5632="",IF(G5632="OH",VLOOKUP(E5632,UPAH!$C$4:$H$31,7,0),VLOOKUP(E5632,#REF!,4,0)),0),0)</f>
        <v>0</v>
      </c>
      <c r="J5632" s="396">
        <f>ROUNDDOWN(J5630+J5631,0)</f>
        <v>0</v>
      </c>
    </row>
    <row r="5633" spans="1:10" ht="13">
      <c r="A5633" s="27"/>
      <c r="B5633" s="110"/>
      <c r="D5633" s="11"/>
      <c r="E5633" s="11"/>
      <c r="H5633" s="443"/>
    </row>
    <row r="5634" spans="1:10" ht="13.5" thickBot="1">
      <c r="A5634" s="27"/>
      <c r="B5634" s="110"/>
      <c r="C5634" s="11" t="s">
        <v>1110</v>
      </c>
      <c r="D5634" s="10" t="s">
        <v>1111</v>
      </c>
      <c r="H5634" s="443"/>
    </row>
    <row r="5635" spans="1:10" ht="13.5" thickBot="1">
      <c r="A5635" s="27"/>
      <c r="B5635" s="110"/>
      <c r="D5635" s="401" t="s">
        <v>40</v>
      </c>
      <c r="E5635" s="402" t="s">
        <v>41</v>
      </c>
      <c r="F5635" s="402" t="s">
        <v>42</v>
      </c>
      <c r="G5635" s="403" t="s">
        <v>43</v>
      </c>
      <c r="H5635" s="404" t="s">
        <v>44</v>
      </c>
      <c r="I5635" s="402" t="s">
        <v>474</v>
      </c>
      <c r="J5635" s="405" t="s">
        <v>475</v>
      </c>
    </row>
    <row r="5636" spans="1:10" ht="13">
      <c r="A5636" s="27"/>
      <c r="B5636" s="110"/>
      <c r="D5636" s="406" t="s">
        <v>45</v>
      </c>
      <c r="E5636" s="13" t="s">
        <v>46</v>
      </c>
      <c r="F5636" s="14"/>
      <c r="G5636" s="15"/>
      <c r="H5636" s="451"/>
      <c r="I5636" s="412"/>
      <c r="J5636" s="16"/>
    </row>
    <row r="5637" spans="1:10" ht="13">
      <c r="A5637" s="27"/>
      <c r="B5637" s="110"/>
      <c r="D5637" s="409"/>
      <c r="E5637" s="13" t="s">
        <v>47</v>
      </c>
      <c r="F5637" s="13" t="s">
        <v>1918</v>
      </c>
      <c r="G5637" s="410" t="s">
        <v>48</v>
      </c>
      <c r="H5637" s="411">
        <v>0.14000000000000001</v>
      </c>
      <c r="I5637" s="412">
        <f>IF(AND(E5637&lt;&gt;"",G5637&lt;&gt;""),IF(D5637="",IF(G5637="OH",VLOOKUP(F5637,UPAH!$B$4:$H$101,7,0),VLOOKUP(F5637,#REF!,4,0)),0),0)</f>
        <v>0</v>
      </c>
      <c r="J5637" s="16">
        <f>H5637*I5637</f>
        <v>0</v>
      </c>
    </row>
    <row r="5638" spans="1:10" ht="13">
      <c r="A5638" s="27"/>
      <c r="B5638" s="110"/>
      <c r="D5638" s="409"/>
      <c r="E5638" s="13" t="s">
        <v>476</v>
      </c>
      <c r="F5638" s="13" t="s">
        <v>1922</v>
      </c>
      <c r="G5638" s="410" t="s">
        <v>48</v>
      </c>
      <c r="H5638" s="411">
        <v>7.0000000000000007E-2</v>
      </c>
      <c r="I5638" s="412">
        <f>IF(AND(E5638&lt;&gt;"",G5638&lt;&gt;""),IF(D5638="",IF(G5638="OH",VLOOKUP(F5638,UPAH!$B$4:$H$101,7,0),VLOOKUP(F5638,#REF!,4,0)),0),0)</f>
        <v>0</v>
      </c>
      <c r="J5638" s="16">
        <f>H5638*I5638</f>
        <v>0</v>
      </c>
    </row>
    <row r="5639" spans="1:10" ht="13">
      <c r="A5639" s="27"/>
      <c r="B5639" s="110"/>
      <c r="D5639" s="409"/>
      <c r="E5639" s="13" t="s">
        <v>50</v>
      </c>
      <c r="F5639" s="13" t="s">
        <v>1928</v>
      </c>
      <c r="G5639" s="410" t="s">
        <v>48</v>
      </c>
      <c r="H5639" s="411">
        <v>7.0000000000000001E-3</v>
      </c>
      <c r="I5639" s="412">
        <f>IF(AND(E5639&lt;&gt;"",G5639&lt;&gt;""),IF(D5639="",IF(G5639="OH",VLOOKUP(F5639,UPAH!$B$4:$H$101,7,0),VLOOKUP(F5639,#REF!,4,0)),0),0)</f>
        <v>0</v>
      </c>
      <c r="J5639" s="16">
        <f>H5639*I5639</f>
        <v>0</v>
      </c>
    </row>
    <row r="5640" spans="1:10" ht="13.5" thickBot="1">
      <c r="A5640" s="27"/>
      <c r="B5640" s="110"/>
      <c r="D5640" s="409"/>
      <c r="E5640" s="13" t="s">
        <v>51</v>
      </c>
      <c r="F5640" s="13" t="s">
        <v>1929</v>
      </c>
      <c r="G5640" s="410" t="s">
        <v>48</v>
      </c>
      <c r="H5640" s="411">
        <v>7.0000000000000001E-3</v>
      </c>
      <c r="I5640" s="412">
        <f>IF(AND(E5640&lt;&gt;"",G5640&lt;&gt;""),IF(D5640="",IF(G5640="OH",VLOOKUP(F5640,UPAH!$B$4:$H$101,7,0),VLOOKUP(F5640,#REF!,4,0)),0),0)</f>
        <v>0</v>
      </c>
      <c r="J5640" s="16">
        <f>H5640*I5640</f>
        <v>0</v>
      </c>
    </row>
    <row r="5641" spans="1:10" ht="13.5" thickBot="1">
      <c r="A5641" s="27"/>
      <c r="B5641" s="110"/>
      <c r="D5641" s="417"/>
      <c r="E5641" s="418"/>
      <c r="F5641" s="418"/>
      <c r="G5641" s="419"/>
      <c r="H5641" s="420" t="s">
        <v>52</v>
      </c>
      <c r="I5641" s="421"/>
      <c r="J5641" s="396">
        <f>SUM(J5637:J5640)</f>
        <v>0</v>
      </c>
    </row>
    <row r="5642" spans="1:10" ht="13">
      <c r="A5642" s="27"/>
      <c r="B5642" s="110"/>
      <c r="D5642" s="406" t="s">
        <v>53</v>
      </c>
      <c r="E5642" s="13" t="s">
        <v>54</v>
      </c>
      <c r="F5642" s="14"/>
      <c r="G5642" s="15"/>
      <c r="H5642" s="451"/>
      <c r="I5642" s="412"/>
      <c r="J5642" s="16"/>
    </row>
    <row r="5643" spans="1:10" ht="13">
      <c r="A5643" s="27"/>
      <c r="B5643" s="110"/>
      <c r="D5643" s="409"/>
      <c r="E5643" s="458" t="s">
        <v>2899</v>
      </c>
      <c r="F5643" s="496"/>
      <c r="G5643" s="497" t="s">
        <v>74</v>
      </c>
      <c r="H5643" s="498">
        <v>0.8</v>
      </c>
      <c r="I5643" s="521">
        <f>'BAHAN '!G204</f>
        <v>0</v>
      </c>
      <c r="J5643" s="16">
        <f>H5643*I5643</f>
        <v>0</v>
      </c>
    </row>
    <row r="5644" spans="1:10" ht="13.5" thickBot="1">
      <c r="A5644" s="27"/>
      <c r="B5644" s="110"/>
      <c r="D5644" s="409"/>
      <c r="E5644" s="458" t="s">
        <v>2900</v>
      </c>
      <c r="F5644" s="496"/>
      <c r="G5644" s="497" t="s">
        <v>57</v>
      </c>
      <c r="H5644" s="498">
        <v>0.12</v>
      </c>
      <c r="I5644" s="521">
        <f>'BAHAN '!G128</f>
        <v>0</v>
      </c>
      <c r="J5644" s="16">
        <f>H5644*I5644</f>
        <v>0</v>
      </c>
    </row>
    <row r="5645" spans="1:10" ht="13.5" thickBot="1">
      <c r="A5645" s="27"/>
      <c r="B5645" s="110"/>
      <c r="D5645" s="417"/>
      <c r="E5645" s="418"/>
      <c r="F5645" s="418"/>
      <c r="G5645" s="419"/>
      <c r="H5645" s="420" t="s">
        <v>64</v>
      </c>
      <c r="I5645" s="421"/>
      <c r="J5645" s="396">
        <f>SUM(J5643:J5644)</f>
        <v>0</v>
      </c>
    </row>
    <row r="5646" spans="1:10" ht="13.5" thickBot="1">
      <c r="A5646" s="27"/>
      <c r="B5646" s="110"/>
      <c r="D5646" s="406" t="s">
        <v>65</v>
      </c>
      <c r="E5646" s="13" t="s">
        <v>66</v>
      </c>
      <c r="F5646" s="14"/>
      <c r="G5646" s="15"/>
      <c r="H5646" s="451"/>
      <c r="I5646" s="412">
        <f>IF(AND(E5646&lt;&gt;"",G5646&lt;&gt;""),IF(D5646="",IF(G5646="OH",VLOOKUP(E5646,UPAH!$C$4:$H$31,7,0),VLOOKUP(E5646,#REF!,4,0)),0),0)</f>
        <v>0</v>
      </c>
      <c r="J5646" s="16">
        <f>H5646*I5646</f>
        <v>0</v>
      </c>
    </row>
    <row r="5647" spans="1:10" ht="13.5" thickBot="1">
      <c r="A5647" s="27"/>
      <c r="B5647" s="110"/>
      <c r="D5647" s="417"/>
      <c r="E5647" s="418"/>
      <c r="F5647" s="418"/>
      <c r="G5647" s="419"/>
      <c r="H5647" s="420" t="s">
        <v>67</v>
      </c>
      <c r="I5647" s="421"/>
      <c r="J5647" s="396">
        <f>J5646</f>
        <v>0</v>
      </c>
    </row>
    <row r="5648" spans="1:10" ht="13">
      <c r="A5648" s="27"/>
      <c r="B5648" s="110"/>
      <c r="D5648" s="444" t="s">
        <v>68</v>
      </c>
      <c r="E5648" s="445" t="s">
        <v>69</v>
      </c>
      <c r="F5648" s="446"/>
      <c r="G5648" s="447"/>
      <c r="H5648" s="448"/>
      <c r="I5648" s="449">
        <f>IF(AND(E5648&lt;&gt;"",G5648&lt;&gt;""),IF(D5648="",IF(G5648="OH",VLOOKUP(E5648,UPAH!$C$4:$H$31,7,0),VLOOKUP(E5648,#REF!,4,0)),0),0)</f>
        <v>0</v>
      </c>
      <c r="J5648" s="16">
        <f>SUM(J5637:J5647)/2</f>
        <v>0</v>
      </c>
    </row>
    <row r="5649" spans="1:10" ht="13.5" thickBot="1">
      <c r="A5649" s="27"/>
      <c r="B5649" s="110"/>
      <c r="D5649" s="431" t="s">
        <v>70</v>
      </c>
      <c r="E5649" s="432" t="s">
        <v>477</v>
      </c>
      <c r="F5649" s="433"/>
      <c r="G5649" s="434"/>
      <c r="H5649" s="22">
        <v>0.1</v>
      </c>
      <c r="I5649" s="436"/>
      <c r="J5649" s="430">
        <f>H5649*J5648</f>
        <v>0</v>
      </c>
    </row>
    <row r="5650" spans="1:10" ht="13.5" thickBot="1">
      <c r="A5650" s="27"/>
      <c r="B5650" s="110"/>
      <c r="D5650" s="401" t="s">
        <v>71</v>
      </c>
      <c r="E5650" s="402" t="s">
        <v>72</v>
      </c>
      <c r="F5650" s="418"/>
      <c r="G5650" s="419"/>
      <c r="H5650" s="442"/>
      <c r="I5650" s="421">
        <f>IF(AND(E5650&lt;&gt;"",G5650&lt;&gt;""),IF(D5650="",IF(G5650="OH",VLOOKUP(E5650,UPAH!$C$4:$H$31,7,0),VLOOKUP(E5650,#REF!,4,0)),0),0)</f>
        <v>0</v>
      </c>
      <c r="J5650" s="396">
        <f>ROUNDDOWN(J5648+J5649,0)</f>
        <v>0</v>
      </c>
    </row>
    <row r="5651" spans="1:10" ht="13">
      <c r="A5651" s="27"/>
      <c r="B5651" s="110"/>
      <c r="D5651" s="11"/>
      <c r="E5651" s="11"/>
      <c r="H5651" s="443"/>
    </row>
    <row r="5652" spans="1:10" ht="13.5" thickBot="1">
      <c r="A5652" s="27"/>
      <c r="B5652" s="110"/>
      <c r="C5652" s="11" t="s">
        <v>1112</v>
      </c>
      <c r="D5652" s="10" t="s">
        <v>1113</v>
      </c>
      <c r="H5652" s="443"/>
    </row>
    <row r="5653" spans="1:10" ht="13.5" thickBot="1">
      <c r="A5653" s="27"/>
      <c r="B5653" s="110"/>
      <c r="D5653" s="401" t="s">
        <v>40</v>
      </c>
      <c r="E5653" s="402" t="s">
        <v>41</v>
      </c>
      <c r="F5653" s="402" t="s">
        <v>42</v>
      </c>
      <c r="G5653" s="403" t="s">
        <v>43</v>
      </c>
      <c r="H5653" s="404" t="s">
        <v>44</v>
      </c>
      <c r="I5653" s="402" t="s">
        <v>474</v>
      </c>
      <c r="J5653" s="405" t="s">
        <v>475</v>
      </c>
    </row>
    <row r="5654" spans="1:10" ht="13">
      <c r="A5654" s="27"/>
      <c r="B5654" s="110"/>
      <c r="D5654" s="406" t="s">
        <v>45</v>
      </c>
      <c r="E5654" s="13" t="s">
        <v>46</v>
      </c>
      <c r="F5654" s="14"/>
      <c r="G5654" s="15"/>
      <c r="H5654" s="451"/>
      <c r="I5654" s="412"/>
      <c r="J5654" s="16"/>
    </row>
    <row r="5655" spans="1:10" ht="13">
      <c r="A5655" s="27"/>
      <c r="B5655" s="110"/>
      <c r="D5655" s="409"/>
      <c r="E5655" s="13" t="s">
        <v>47</v>
      </c>
      <c r="F5655" s="13" t="s">
        <v>1918</v>
      </c>
      <c r="G5655" s="410" t="s">
        <v>48</v>
      </c>
      <c r="H5655" s="411">
        <v>0.14000000000000001</v>
      </c>
      <c r="I5655" s="412">
        <f>IF(AND(E5655&lt;&gt;"",G5655&lt;&gt;""),IF(D5655="",IF(G5655="OH",VLOOKUP(F5655,UPAH!$B$4:$H$101,7,0),VLOOKUP(F5655,#REF!,4,0)),0),0)</f>
        <v>0</v>
      </c>
      <c r="J5655" s="16">
        <f>H5655*I5655</f>
        <v>0</v>
      </c>
    </row>
    <row r="5656" spans="1:10" ht="13">
      <c r="A5656" s="27"/>
      <c r="B5656" s="110"/>
      <c r="D5656" s="409"/>
      <c r="E5656" s="13" t="s">
        <v>476</v>
      </c>
      <c r="F5656" s="13" t="s">
        <v>1922</v>
      </c>
      <c r="G5656" s="410" t="s">
        <v>48</v>
      </c>
      <c r="H5656" s="411">
        <v>7.0000000000000007E-2</v>
      </c>
      <c r="I5656" s="412">
        <f>IF(AND(E5656&lt;&gt;"",G5656&lt;&gt;""),IF(D5656="",IF(G5656="OH",VLOOKUP(F5656,UPAH!$B$4:$H$101,7,0),VLOOKUP(F5656,#REF!,4,0)),0),0)</f>
        <v>0</v>
      </c>
      <c r="J5656" s="16">
        <f>H5656*I5656</f>
        <v>0</v>
      </c>
    </row>
    <row r="5657" spans="1:10" ht="13">
      <c r="A5657" s="27"/>
      <c r="B5657" s="110"/>
      <c r="D5657" s="409"/>
      <c r="E5657" s="13" t="s">
        <v>50</v>
      </c>
      <c r="F5657" s="13" t="s">
        <v>1928</v>
      </c>
      <c r="G5657" s="410" t="s">
        <v>48</v>
      </c>
      <c r="H5657" s="411">
        <v>7.0000000000000001E-3</v>
      </c>
      <c r="I5657" s="412">
        <f>IF(AND(E5657&lt;&gt;"",G5657&lt;&gt;""),IF(D5657="",IF(G5657="OH",VLOOKUP(F5657,UPAH!$B$4:$H$101,7,0),VLOOKUP(F5657,#REF!,4,0)),0),0)</f>
        <v>0</v>
      </c>
      <c r="J5657" s="16">
        <f>H5657*I5657</f>
        <v>0</v>
      </c>
    </row>
    <row r="5658" spans="1:10" ht="13.5" thickBot="1">
      <c r="A5658" s="27"/>
      <c r="B5658" s="110"/>
      <c r="D5658" s="409"/>
      <c r="E5658" s="13" t="s">
        <v>51</v>
      </c>
      <c r="F5658" s="13" t="s">
        <v>1929</v>
      </c>
      <c r="G5658" s="410" t="s">
        <v>48</v>
      </c>
      <c r="H5658" s="411">
        <v>7.0000000000000001E-3</v>
      </c>
      <c r="I5658" s="412">
        <f>IF(AND(E5658&lt;&gt;"",G5658&lt;&gt;""),IF(D5658="",IF(G5658="OH",VLOOKUP(F5658,UPAH!$B$4:$H$101,7,0),VLOOKUP(F5658,#REF!,4,0)),0),0)</f>
        <v>0</v>
      </c>
      <c r="J5658" s="16">
        <f>H5658*I5658</f>
        <v>0</v>
      </c>
    </row>
    <row r="5659" spans="1:10" ht="13.5" thickBot="1">
      <c r="A5659" s="27"/>
      <c r="B5659" s="110"/>
      <c r="D5659" s="417"/>
      <c r="E5659" s="418"/>
      <c r="F5659" s="418"/>
      <c r="G5659" s="419"/>
      <c r="H5659" s="420" t="s">
        <v>52</v>
      </c>
      <c r="I5659" s="421"/>
      <c r="J5659" s="396">
        <f>SUM(J5655:J5658)</f>
        <v>0</v>
      </c>
    </row>
    <row r="5660" spans="1:10" ht="13">
      <c r="A5660" s="27"/>
      <c r="B5660" s="110"/>
      <c r="D5660" s="406" t="s">
        <v>53</v>
      </c>
      <c r="E5660" s="13" t="s">
        <v>54</v>
      </c>
      <c r="F5660" s="14"/>
      <c r="G5660" s="15"/>
      <c r="H5660" s="451"/>
      <c r="I5660" s="412"/>
      <c r="J5660" s="16"/>
    </row>
    <row r="5661" spans="1:10" ht="13">
      <c r="A5661" s="27"/>
      <c r="B5661" s="110"/>
      <c r="D5661" s="409"/>
      <c r="E5661" s="458" t="s">
        <v>2899</v>
      </c>
      <c r="F5661" s="496"/>
      <c r="G5661" s="497" t="s">
        <v>74</v>
      </c>
      <c r="H5661" s="498">
        <v>0.37</v>
      </c>
      <c r="I5661" s="521">
        <f>'BAHAN '!G204</f>
        <v>0</v>
      </c>
      <c r="J5661" s="16">
        <f>H5661*I5661</f>
        <v>0</v>
      </c>
    </row>
    <row r="5662" spans="1:10" ht="13.5" thickBot="1">
      <c r="A5662" s="27"/>
      <c r="B5662" s="110"/>
      <c r="D5662" s="409"/>
      <c r="E5662" s="458" t="s">
        <v>2900</v>
      </c>
      <c r="F5662" s="496"/>
      <c r="G5662" s="497" t="s">
        <v>57</v>
      </c>
      <c r="H5662" s="498">
        <v>0.12</v>
      </c>
      <c r="I5662" s="521">
        <f>'BAHAN '!G128</f>
        <v>0</v>
      </c>
      <c r="J5662" s="16">
        <f>H5662*I5662</f>
        <v>0</v>
      </c>
    </row>
    <row r="5663" spans="1:10" ht="13.5" thickBot="1">
      <c r="A5663" s="27"/>
      <c r="B5663" s="110"/>
      <c r="D5663" s="417"/>
      <c r="E5663" s="418"/>
      <c r="F5663" s="418"/>
      <c r="G5663" s="419"/>
      <c r="H5663" s="420" t="s">
        <v>64</v>
      </c>
      <c r="I5663" s="421"/>
      <c r="J5663" s="396">
        <f>SUM(J5661:J5662)</f>
        <v>0</v>
      </c>
    </row>
    <row r="5664" spans="1:10" ht="13.5" thickBot="1">
      <c r="A5664" s="27"/>
      <c r="B5664" s="110"/>
      <c r="D5664" s="406" t="s">
        <v>65</v>
      </c>
      <c r="E5664" s="13" t="s">
        <v>66</v>
      </c>
      <c r="F5664" s="14"/>
      <c r="G5664" s="15"/>
      <c r="H5664" s="451"/>
      <c r="I5664" s="412">
        <f>IF(AND(E5664&lt;&gt;"",G5664&lt;&gt;""),IF(D5664="",IF(G5664="OH",VLOOKUP(E5664,UPAH!$C$4:$H$31,7,0),VLOOKUP(E5664,#REF!,4,0)),0),0)</f>
        <v>0</v>
      </c>
      <c r="J5664" s="16">
        <f>H5664*I5664</f>
        <v>0</v>
      </c>
    </row>
    <row r="5665" spans="1:10" ht="13.5" thickBot="1">
      <c r="A5665" s="27"/>
      <c r="B5665" s="110"/>
      <c r="D5665" s="417"/>
      <c r="E5665" s="418"/>
      <c r="F5665" s="418"/>
      <c r="G5665" s="419"/>
      <c r="H5665" s="420" t="s">
        <v>67</v>
      </c>
      <c r="I5665" s="421"/>
      <c r="J5665" s="396">
        <f>J5664</f>
        <v>0</v>
      </c>
    </row>
    <row r="5666" spans="1:10" ht="13">
      <c r="A5666" s="27"/>
      <c r="B5666" s="110"/>
      <c r="D5666" s="444" t="s">
        <v>68</v>
      </c>
      <c r="E5666" s="445" t="s">
        <v>69</v>
      </c>
      <c r="F5666" s="446"/>
      <c r="G5666" s="447"/>
      <c r="H5666" s="448"/>
      <c r="I5666" s="449">
        <f>IF(AND(E5666&lt;&gt;"",G5666&lt;&gt;""),IF(D5666="",IF(G5666="OH",VLOOKUP(E5666,UPAH!$C$4:$H$31,7,0),VLOOKUP(E5666,#REF!,4,0)),0),0)</f>
        <v>0</v>
      </c>
      <c r="J5666" s="16">
        <f>SUM(J5655:J5665)/2</f>
        <v>0</v>
      </c>
    </row>
    <row r="5667" spans="1:10" ht="13.5" thickBot="1">
      <c r="A5667" s="27"/>
      <c r="B5667" s="110"/>
      <c r="D5667" s="431" t="s">
        <v>70</v>
      </c>
      <c r="E5667" s="432" t="s">
        <v>477</v>
      </c>
      <c r="F5667" s="433"/>
      <c r="G5667" s="434"/>
      <c r="H5667" s="22">
        <v>0.1</v>
      </c>
      <c r="I5667" s="436"/>
      <c r="J5667" s="430">
        <f>H5667*J5666</f>
        <v>0</v>
      </c>
    </row>
    <row r="5668" spans="1:10" ht="13.5" thickBot="1">
      <c r="A5668" s="27"/>
      <c r="B5668" s="110"/>
      <c r="D5668" s="401" t="s">
        <v>71</v>
      </c>
      <c r="E5668" s="402" t="s">
        <v>72</v>
      </c>
      <c r="F5668" s="418"/>
      <c r="G5668" s="419"/>
      <c r="H5668" s="442"/>
      <c r="I5668" s="421">
        <f>IF(AND(E5668&lt;&gt;"",G5668&lt;&gt;""),IF(D5668="",IF(G5668="OH",VLOOKUP(E5668,UPAH!$C$4:$H$31,7,0),VLOOKUP(E5668,#REF!,4,0)),0),0)</f>
        <v>0</v>
      </c>
      <c r="J5668" s="396">
        <f>ROUNDDOWN(J5666+J5667,0)</f>
        <v>0</v>
      </c>
    </row>
    <row r="5669" spans="1:10" ht="13">
      <c r="A5669" s="27"/>
      <c r="B5669" s="110"/>
      <c r="D5669" s="11"/>
      <c r="E5669" s="11"/>
      <c r="H5669" s="443"/>
    </row>
    <row r="5670" spans="1:10" ht="13.5" thickBot="1">
      <c r="A5670" s="27"/>
      <c r="B5670" s="110"/>
      <c r="C5670" s="11" t="s">
        <v>1114</v>
      </c>
      <c r="D5670" s="10" t="s">
        <v>1115</v>
      </c>
      <c r="H5670" s="443"/>
    </row>
    <row r="5671" spans="1:10" ht="13.5" thickBot="1">
      <c r="A5671" s="27"/>
      <c r="B5671" s="110"/>
      <c r="D5671" s="401" t="s">
        <v>40</v>
      </c>
      <c r="E5671" s="402" t="s">
        <v>41</v>
      </c>
      <c r="F5671" s="402" t="s">
        <v>42</v>
      </c>
      <c r="G5671" s="403" t="s">
        <v>43</v>
      </c>
      <c r="H5671" s="404" t="s">
        <v>44</v>
      </c>
      <c r="I5671" s="402" t="s">
        <v>474</v>
      </c>
      <c r="J5671" s="405" t="s">
        <v>475</v>
      </c>
    </row>
    <row r="5672" spans="1:10" ht="13">
      <c r="A5672" s="27"/>
      <c r="B5672" s="110"/>
      <c r="D5672" s="406" t="s">
        <v>45</v>
      </c>
      <c r="E5672" s="13" t="s">
        <v>46</v>
      </c>
      <c r="F5672" s="14"/>
      <c r="G5672" s="15"/>
      <c r="H5672" s="451"/>
      <c r="I5672" s="412"/>
      <c r="J5672" s="16"/>
    </row>
    <row r="5673" spans="1:10" ht="13">
      <c r="A5673" s="27"/>
      <c r="B5673" s="110"/>
      <c r="D5673" s="409"/>
      <c r="E5673" s="13" t="s">
        <v>47</v>
      </c>
      <c r="F5673" s="13" t="s">
        <v>1918</v>
      </c>
      <c r="G5673" s="410" t="s">
        <v>48</v>
      </c>
      <c r="H5673" s="411">
        <v>0.14000000000000001</v>
      </c>
      <c r="I5673" s="412">
        <f>IF(AND(E5673&lt;&gt;"",G5673&lt;&gt;""),IF(D5673="",IF(G5673="OH",VLOOKUP(F5673,UPAH!$B$4:$H$101,7,0),VLOOKUP(F5673,#REF!,4,0)),0),0)</f>
        <v>0</v>
      </c>
      <c r="J5673" s="16">
        <f>H5673*I5673</f>
        <v>0</v>
      </c>
    </row>
    <row r="5674" spans="1:10" ht="13">
      <c r="A5674" s="27"/>
      <c r="B5674" s="110"/>
      <c r="D5674" s="409"/>
      <c r="E5674" s="13" t="s">
        <v>476</v>
      </c>
      <c r="F5674" s="13" t="s">
        <v>1922</v>
      </c>
      <c r="G5674" s="410" t="s">
        <v>48</v>
      </c>
      <c r="H5674" s="411">
        <v>7.0000000000000007E-2</v>
      </c>
      <c r="I5674" s="412">
        <f>IF(AND(E5674&lt;&gt;"",G5674&lt;&gt;""),IF(D5674="",IF(G5674="OH",VLOOKUP(F5674,UPAH!$B$4:$H$101,7,0),VLOOKUP(F5674,#REF!,4,0)),0),0)</f>
        <v>0</v>
      </c>
      <c r="J5674" s="16">
        <f>H5674*I5674</f>
        <v>0</v>
      </c>
    </row>
    <row r="5675" spans="1:10" ht="13">
      <c r="A5675" s="27"/>
      <c r="B5675" s="110"/>
      <c r="D5675" s="409"/>
      <c r="E5675" s="13" t="s">
        <v>50</v>
      </c>
      <c r="F5675" s="13" t="s">
        <v>1928</v>
      </c>
      <c r="G5675" s="410" t="s">
        <v>48</v>
      </c>
      <c r="H5675" s="411">
        <v>7.0000000000000001E-3</v>
      </c>
      <c r="I5675" s="412">
        <f>IF(AND(E5675&lt;&gt;"",G5675&lt;&gt;""),IF(D5675="",IF(G5675="OH",VLOOKUP(F5675,UPAH!$B$4:$H$101,7,0),VLOOKUP(F5675,#REF!,4,0)),0),0)</f>
        <v>0</v>
      </c>
      <c r="J5675" s="16">
        <f>H5675*I5675</f>
        <v>0</v>
      </c>
    </row>
    <row r="5676" spans="1:10" ht="13.5" thickBot="1">
      <c r="A5676" s="27"/>
      <c r="B5676" s="110"/>
      <c r="D5676" s="409"/>
      <c r="E5676" s="13" t="s">
        <v>51</v>
      </c>
      <c r="F5676" s="13" t="s">
        <v>1929</v>
      </c>
      <c r="G5676" s="410" t="s">
        <v>48</v>
      </c>
      <c r="H5676" s="411">
        <v>7.0000000000000001E-3</v>
      </c>
      <c r="I5676" s="412">
        <f>IF(AND(E5676&lt;&gt;"",G5676&lt;&gt;""),IF(D5676="",IF(G5676="OH",VLOOKUP(F5676,UPAH!$B$4:$H$101,7,0),VLOOKUP(F5676,#REF!,4,0)),0),0)</f>
        <v>0</v>
      </c>
      <c r="J5676" s="16">
        <f>H5676*I5676</f>
        <v>0</v>
      </c>
    </row>
    <row r="5677" spans="1:10" ht="13.5" thickBot="1">
      <c r="A5677" s="27"/>
      <c r="B5677" s="110"/>
      <c r="D5677" s="417"/>
      <c r="E5677" s="418"/>
      <c r="F5677" s="418"/>
      <c r="G5677" s="419"/>
      <c r="H5677" s="420" t="s">
        <v>52</v>
      </c>
      <c r="I5677" s="421"/>
      <c r="J5677" s="396">
        <f>SUM(J5673:J5676)</f>
        <v>0</v>
      </c>
    </row>
    <row r="5678" spans="1:10" ht="13">
      <c r="A5678" s="27"/>
      <c r="B5678" s="110"/>
      <c r="D5678" s="406" t="s">
        <v>53</v>
      </c>
      <c r="E5678" s="13" t="s">
        <v>54</v>
      </c>
      <c r="F5678" s="14"/>
      <c r="G5678" s="15"/>
      <c r="H5678" s="451"/>
      <c r="I5678" s="412"/>
      <c r="J5678" s="16"/>
    </row>
    <row r="5679" spans="1:10" ht="13">
      <c r="A5679" s="27"/>
      <c r="B5679" s="110"/>
      <c r="D5679" s="409"/>
      <c r="E5679" s="458" t="s">
        <v>2899</v>
      </c>
      <c r="F5679" s="496"/>
      <c r="G5679" s="497" t="s">
        <v>74</v>
      </c>
      <c r="H5679" s="498">
        <v>0.38</v>
      </c>
      <c r="I5679" s="521">
        <f>'BAHAN '!G204</f>
        <v>0</v>
      </c>
      <c r="J5679" s="16">
        <f>H5679*I5679</f>
        <v>0</v>
      </c>
    </row>
    <row r="5680" spans="1:10" ht="13.5" thickBot="1">
      <c r="A5680" s="27"/>
      <c r="B5680" s="110"/>
      <c r="D5680" s="409"/>
      <c r="E5680" s="458" t="s">
        <v>2900</v>
      </c>
      <c r="F5680" s="496"/>
      <c r="G5680" s="497" t="s">
        <v>57</v>
      </c>
      <c r="H5680" s="498">
        <v>0.12</v>
      </c>
      <c r="I5680" s="521">
        <f>'BAHAN '!G128</f>
        <v>0</v>
      </c>
      <c r="J5680" s="16">
        <f>H5680*I5680</f>
        <v>0</v>
      </c>
    </row>
    <row r="5681" spans="1:10" ht="13.5" thickBot="1">
      <c r="A5681" s="27"/>
      <c r="B5681" s="110"/>
      <c r="D5681" s="417"/>
      <c r="E5681" s="418"/>
      <c r="F5681" s="418"/>
      <c r="G5681" s="419"/>
      <c r="H5681" s="420" t="s">
        <v>64</v>
      </c>
      <c r="I5681" s="421"/>
      <c r="J5681" s="396">
        <f>SUM(J5679:J5680)</f>
        <v>0</v>
      </c>
    </row>
    <row r="5682" spans="1:10" ht="13.5" thickBot="1">
      <c r="A5682" s="27"/>
      <c r="B5682" s="110"/>
      <c r="D5682" s="406" t="s">
        <v>65</v>
      </c>
      <c r="E5682" s="13" t="s">
        <v>66</v>
      </c>
      <c r="F5682" s="14"/>
      <c r="G5682" s="15"/>
      <c r="H5682" s="451"/>
      <c r="I5682" s="412">
        <f>IF(AND(E5682&lt;&gt;"",G5682&lt;&gt;""),IF(D5682="",IF(G5682="OH",VLOOKUP(E5682,UPAH!$C$4:$H$31,7,0),VLOOKUP(E5682,#REF!,4,0)),0),0)</f>
        <v>0</v>
      </c>
      <c r="J5682" s="16">
        <f>H5682*I5682</f>
        <v>0</v>
      </c>
    </row>
    <row r="5683" spans="1:10" ht="13.5" thickBot="1">
      <c r="A5683" s="27"/>
      <c r="B5683" s="110"/>
      <c r="D5683" s="417"/>
      <c r="E5683" s="418"/>
      <c r="F5683" s="418"/>
      <c r="G5683" s="419"/>
      <c r="H5683" s="420" t="s">
        <v>67</v>
      </c>
      <c r="I5683" s="421"/>
      <c r="J5683" s="396">
        <f>J5682</f>
        <v>0</v>
      </c>
    </row>
    <row r="5684" spans="1:10" ht="13">
      <c r="A5684" s="27"/>
      <c r="B5684" s="110"/>
      <c r="D5684" s="444" t="s">
        <v>68</v>
      </c>
      <c r="E5684" s="445" t="s">
        <v>69</v>
      </c>
      <c r="F5684" s="446"/>
      <c r="G5684" s="447"/>
      <c r="H5684" s="448"/>
      <c r="I5684" s="449">
        <f>IF(AND(E5684&lt;&gt;"",G5684&lt;&gt;""),IF(D5684="",IF(G5684="OH",VLOOKUP(E5684,UPAH!$C$4:$H$31,7,0),VLOOKUP(E5684,#REF!,4,0)),0),0)</f>
        <v>0</v>
      </c>
      <c r="J5684" s="16">
        <f>SUM(J5673:J5683)/2</f>
        <v>0</v>
      </c>
    </row>
    <row r="5685" spans="1:10" ht="13.5" thickBot="1">
      <c r="A5685" s="27"/>
      <c r="B5685" s="110"/>
      <c r="D5685" s="431" t="s">
        <v>70</v>
      </c>
      <c r="E5685" s="432" t="s">
        <v>477</v>
      </c>
      <c r="F5685" s="433"/>
      <c r="G5685" s="434"/>
      <c r="H5685" s="22">
        <v>0.1</v>
      </c>
      <c r="I5685" s="436"/>
      <c r="J5685" s="430">
        <f>H5685*J5684</f>
        <v>0</v>
      </c>
    </row>
    <row r="5686" spans="1:10" ht="13.5" thickBot="1">
      <c r="A5686" s="27"/>
      <c r="B5686" s="110"/>
      <c r="D5686" s="401" t="s">
        <v>71</v>
      </c>
      <c r="E5686" s="402" t="s">
        <v>72</v>
      </c>
      <c r="F5686" s="418"/>
      <c r="G5686" s="419"/>
      <c r="H5686" s="442"/>
      <c r="I5686" s="421">
        <f>IF(AND(E5686&lt;&gt;"",G5686&lt;&gt;""),IF(D5686="",IF(G5686="OH",VLOOKUP(E5686,UPAH!$C$4:$H$31,7,0),VLOOKUP(E5686,#REF!,4,0)),0),0)</f>
        <v>0</v>
      </c>
      <c r="J5686" s="396">
        <f>ROUNDDOWN(J5684+J5685,0)</f>
        <v>0</v>
      </c>
    </row>
    <row r="5687" spans="1:10" ht="13">
      <c r="A5687" s="27"/>
      <c r="B5687" s="110"/>
      <c r="D5687" s="11"/>
      <c r="E5687" s="11"/>
      <c r="H5687" s="443"/>
    </row>
    <row r="5688" spans="1:10" ht="13.5" thickBot="1">
      <c r="A5688" s="27"/>
      <c r="B5688" s="110"/>
      <c r="C5688" s="11" t="s">
        <v>1832</v>
      </c>
      <c r="D5688" s="10" t="s">
        <v>1833</v>
      </c>
      <c r="H5688" s="443"/>
    </row>
    <row r="5689" spans="1:10" ht="13.5" thickBot="1">
      <c r="A5689" s="27"/>
      <c r="B5689" s="110"/>
      <c r="D5689" s="401" t="s">
        <v>40</v>
      </c>
      <c r="E5689" s="402" t="s">
        <v>41</v>
      </c>
      <c r="F5689" s="402" t="s">
        <v>42</v>
      </c>
      <c r="G5689" s="403" t="s">
        <v>43</v>
      </c>
      <c r="H5689" s="404" t="s">
        <v>44</v>
      </c>
      <c r="I5689" s="402" t="s">
        <v>474</v>
      </c>
      <c r="J5689" s="405" t="s">
        <v>475</v>
      </c>
    </row>
    <row r="5690" spans="1:10" ht="13">
      <c r="A5690" s="27"/>
      <c r="B5690" s="110"/>
      <c r="D5690" s="406" t="s">
        <v>45</v>
      </c>
      <c r="E5690" s="13" t="s">
        <v>46</v>
      </c>
      <c r="F5690" s="14"/>
      <c r="G5690" s="15"/>
      <c r="H5690" s="451"/>
      <c r="I5690" s="412"/>
      <c r="J5690" s="16"/>
    </row>
    <row r="5691" spans="1:10" ht="13">
      <c r="A5691" s="27"/>
      <c r="B5691" s="110"/>
      <c r="D5691" s="409"/>
      <c r="E5691" s="13" t="s">
        <v>47</v>
      </c>
      <c r="F5691" s="13" t="s">
        <v>1918</v>
      </c>
      <c r="G5691" s="410" t="s">
        <v>48</v>
      </c>
      <c r="H5691" s="411">
        <v>0.14000000000000001</v>
      </c>
      <c r="I5691" s="412">
        <f>IF(AND(E5691&lt;&gt;"",G5691&lt;&gt;""),IF(D5691="",IF(G5691="OH",VLOOKUP(F5691,UPAH!$B$4:$H$101,7,0),VLOOKUP(F5691,#REF!,4,0)),0),0)</f>
        <v>0</v>
      </c>
      <c r="J5691" s="16">
        <f>H5691*I5691</f>
        <v>0</v>
      </c>
    </row>
    <row r="5692" spans="1:10" ht="13">
      <c r="A5692" s="27"/>
      <c r="B5692" s="110"/>
      <c r="D5692" s="409"/>
      <c r="E5692" s="13" t="s">
        <v>476</v>
      </c>
      <c r="F5692" s="13" t="s">
        <v>1922</v>
      </c>
      <c r="G5692" s="410" t="s">
        <v>48</v>
      </c>
      <c r="H5692" s="411">
        <v>7.0000000000000007E-2</v>
      </c>
      <c r="I5692" s="412">
        <f>IF(AND(E5692&lt;&gt;"",G5692&lt;&gt;""),IF(D5692="",IF(G5692="OH",VLOOKUP(F5692,UPAH!$B$4:$H$101,7,0),VLOOKUP(F5692,#REF!,4,0)),0),0)</f>
        <v>0</v>
      </c>
      <c r="J5692" s="16">
        <f>H5692*I5692</f>
        <v>0</v>
      </c>
    </row>
    <row r="5693" spans="1:10" ht="13">
      <c r="A5693" s="27"/>
      <c r="B5693" s="110"/>
      <c r="D5693" s="409"/>
      <c r="E5693" s="13" t="s">
        <v>50</v>
      </c>
      <c r="F5693" s="13" t="s">
        <v>1928</v>
      </c>
      <c r="G5693" s="410" t="s">
        <v>48</v>
      </c>
      <c r="H5693" s="411">
        <v>7.0000000000000001E-3</v>
      </c>
      <c r="I5693" s="412">
        <f>IF(AND(E5693&lt;&gt;"",G5693&lt;&gt;""),IF(D5693="",IF(G5693="OH",VLOOKUP(F5693,UPAH!$B$4:$H$101,7,0),VLOOKUP(F5693,#REF!,4,0)),0),0)</f>
        <v>0</v>
      </c>
      <c r="J5693" s="16">
        <f>H5693*I5693</f>
        <v>0</v>
      </c>
    </row>
    <row r="5694" spans="1:10" ht="13.5" thickBot="1">
      <c r="A5694" s="27"/>
      <c r="B5694" s="110"/>
      <c r="D5694" s="409"/>
      <c r="E5694" s="13" t="s">
        <v>51</v>
      </c>
      <c r="F5694" s="13" t="s">
        <v>1929</v>
      </c>
      <c r="G5694" s="410" t="s">
        <v>48</v>
      </c>
      <c r="H5694" s="411">
        <v>7.0000000000000001E-3</v>
      </c>
      <c r="I5694" s="412">
        <f>IF(AND(E5694&lt;&gt;"",G5694&lt;&gt;""),IF(D5694="",IF(G5694="OH",VLOOKUP(F5694,UPAH!$B$4:$H$101,7,0),VLOOKUP(F5694,#REF!,4,0)),0),0)</f>
        <v>0</v>
      </c>
      <c r="J5694" s="16">
        <f>H5694*I5694</f>
        <v>0</v>
      </c>
    </row>
    <row r="5695" spans="1:10" ht="13.5" thickBot="1">
      <c r="A5695" s="27"/>
      <c r="B5695" s="110"/>
      <c r="D5695" s="417"/>
      <c r="E5695" s="418"/>
      <c r="F5695" s="418"/>
      <c r="G5695" s="419"/>
      <c r="H5695" s="420" t="s">
        <v>52</v>
      </c>
      <c r="I5695" s="421"/>
      <c r="J5695" s="396">
        <f>SUM(J5691:J5694)</f>
        <v>0</v>
      </c>
    </row>
    <row r="5696" spans="1:10" ht="13">
      <c r="A5696" s="27"/>
      <c r="B5696" s="110"/>
      <c r="D5696" s="406" t="s">
        <v>53</v>
      </c>
      <c r="E5696" s="13" t="s">
        <v>54</v>
      </c>
      <c r="F5696" s="14"/>
      <c r="G5696" s="15"/>
      <c r="H5696" s="451"/>
      <c r="I5696" s="412"/>
      <c r="J5696" s="16"/>
    </row>
    <row r="5697" spans="1:10" ht="13">
      <c r="A5697" s="27"/>
      <c r="B5697" s="110"/>
      <c r="D5697" s="409"/>
      <c r="E5697" s="458" t="s">
        <v>2899</v>
      </c>
      <c r="F5697" s="496"/>
      <c r="G5697" s="497" t="s">
        <v>74</v>
      </c>
      <c r="H5697" s="498">
        <v>0.46</v>
      </c>
      <c r="I5697" s="521">
        <f>'BAHAN '!G204</f>
        <v>0</v>
      </c>
      <c r="J5697" s="16">
        <f>H5697*I5697</f>
        <v>0</v>
      </c>
    </row>
    <row r="5698" spans="1:10" ht="13.5" thickBot="1">
      <c r="A5698" s="27"/>
      <c r="B5698" s="110"/>
      <c r="D5698" s="409"/>
      <c r="E5698" s="458" t="s">
        <v>2900</v>
      </c>
      <c r="F5698" s="496"/>
      <c r="G5698" s="497" t="s">
        <v>57</v>
      </c>
      <c r="H5698" s="498">
        <v>0.12</v>
      </c>
      <c r="I5698" s="521">
        <f>'BAHAN '!G128</f>
        <v>0</v>
      </c>
      <c r="J5698" s="16">
        <f>H5698*I5698</f>
        <v>0</v>
      </c>
    </row>
    <row r="5699" spans="1:10" ht="13.5" thickBot="1">
      <c r="A5699" s="27"/>
      <c r="B5699" s="110"/>
      <c r="D5699" s="417"/>
      <c r="E5699" s="522"/>
      <c r="F5699" s="522"/>
      <c r="G5699" s="523"/>
      <c r="H5699" s="524" t="s">
        <v>64</v>
      </c>
      <c r="I5699" s="525"/>
      <c r="J5699" s="396">
        <f>SUM(J5697:J5698)</f>
        <v>0</v>
      </c>
    </row>
    <row r="5700" spans="1:10" ht="13.5" thickBot="1">
      <c r="A5700" s="27"/>
      <c r="B5700" s="110"/>
      <c r="D5700" s="406" t="s">
        <v>65</v>
      </c>
      <c r="E5700" s="13" t="s">
        <v>66</v>
      </c>
      <c r="F5700" s="14"/>
      <c r="G5700" s="15"/>
      <c r="H5700" s="451"/>
      <c r="I5700" s="412">
        <f>IF(AND(E5700&lt;&gt;"",G5700&lt;&gt;""),IF(D5700="",IF(G5700="OH",VLOOKUP(E5700,UPAH!$C$4:$H$31,7,0),VLOOKUP(E5700,#REF!,4,0)),0),0)</f>
        <v>0</v>
      </c>
      <c r="J5700" s="16">
        <f>H5700*I5700</f>
        <v>0</v>
      </c>
    </row>
    <row r="5701" spans="1:10" ht="13.5" thickBot="1">
      <c r="A5701" s="27"/>
      <c r="B5701" s="110"/>
      <c r="D5701" s="417"/>
      <c r="E5701" s="418"/>
      <c r="F5701" s="418"/>
      <c r="G5701" s="419"/>
      <c r="H5701" s="420" t="s">
        <v>67</v>
      </c>
      <c r="I5701" s="421"/>
      <c r="J5701" s="396">
        <f>J5700</f>
        <v>0</v>
      </c>
    </row>
    <row r="5702" spans="1:10" ht="13">
      <c r="A5702" s="27"/>
      <c r="B5702" s="110"/>
      <c r="D5702" s="444" t="s">
        <v>68</v>
      </c>
      <c r="E5702" s="445" t="s">
        <v>69</v>
      </c>
      <c r="F5702" s="446"/>
      <c r="G5702" s="447"/>
      <c r="H5702" s="448"/>
      <c r="I5702" s="449">
        <f>IF(AND(E5702&lt;&gt;"",G5702&lt;&gt;""),IF(D5702="",IF(G5702="OH",VLOOKUP(E5702,UPAH!$C$4:$H$31,7,0),VLOOKUP(E5702,#REF!,4,0)),0),0)</f>
        <v>0</v>
      </c>
      <c r="J5702" s="16">
        <f>SUM(J5691:J5701)/2</f>
        <v>0</v>
      </c>
    </row>
    <row r="5703" spans="1:10" ht="13.5" thickBot="1">
      <c r="A5703" s="27"/>
      <c r="B5703" s="110"/>
      <c r="D5703" s="431" t="s">
        <v>70</v>
      </c>
      <c r="E5703" s="432" t="s">
        <v>477</v>
      </c>
      <c r="F5703" s="433"/>
      <c r="G5703" s="434"/>
      <c r="H5703" s="22">
        <v>0.1</v>
      </c>
      <c r="I5703" s="436"/>
      <c r="J5703" s="430">
        <f>H5703*J5702</f>
        <v>0</v>
      </c>
    </row>
    <row r="5704" spans="1:10" ht="13.5" thickBot="1">
      <c r="A5704" s="27"/>
      <c r="B5704" s="110"/>
      <c r="D5704" s="401" t="s">
        <v>71</v>
      </c>
      <c r="E5704" s="402" t="s">
        <v>72</v>
      </c>
      <c r="F5704" s="418"/>
      <c r="G5704" s="419"/>
      <c r="H5704" s="442"/>
      <c r="I5704" s="421">
        <f>IF(AND(E5704&lt;&gt;"",G5704&lt;&gt;""),IF(D5704="",IF(G5704="OH",VLOOKUP(E5704,UPAH!$C$4:$H$31,7,0),VLOOKUP(E5704,#REF!,4,0)),0),0)</f>
        <v>0</v>
      </c>
      <c r="J5704" s="396">
        <f>ROUNDDOWN(J5702+J5703,0)</f>
        <v>0</v>
      </c>
    </row>
    <row r="5705" spans="1:10" ht="13">
      <c r="A5705" s="27"/>
      <c r="B5705" s="110"/>
      <c r="D5705" s="11"/>
      <c r="E5705" s="11"/>
      <c r="H5705" s="443"/>
    </row>
    <row r="5706" spans="1:10" ht="13.5" thickBot="1">
      <c r="A5706" s="27"/>
      <c r="B5706" s="110"/>
      <c r="C5706" s="11" t="s">
        <v>1116</v>
      </c>
      <c r="D5706" s="10" t="s">
        <v>1117</v>
      </c>
      <c r="H5706" s="443"/>
    </row>
    <row r="5707" spans="1:10" ht="13.5" thickBot="1">
      <c r="A5707" s="27"/>
      <c r="B5707" s="110"/>
      <c r="D5707" s="401" t="s">
        <v>40</v>
      </c>
      <c r="E5707" s="402" t="s">
        <v>41</v>
      </c>
      <c r="F5707" s="402" t="s">
        <v>42</v>
      </c>
      <c r="G5707" s="403" t="s">
        <v>43</v>
      </c>
      <c r="H5707" s="404" t="s">
        <v>44</v>
      </c>
      <c r="I5707" s="402" t="s">
        <v>474</v>
      </c>
      <c r="J5707" s="405" t="s">
        <v>475</v>
      </c>
    </row>
    <row r="5708" spans="1:10" ht="13">
      <c r="A5708" s="27"/>
      <c r="B5708" s="110"/>
      <c r="D5708" s="406" t="s">
        <v>45</v>
      </c>
      <c r="E5708" s="13" t="s">
        <v>46</v>
      </c>
      <c r="F5708" s="14"/>
      <c r="G5708" s="15"/>
      <c r="H5708" s="451"/>
      <c r="I5708" s="412"/>
      <c r="J5708" s="16"/>
    </row>
    <row r="5709" spans="1:10" ht="13">
      <c r="A5709" s="27"/>
      <c r="B5709" s="110"/>
      <c r="D5709" s="409"/>
      <c r="E5709" s="13" t="s">
        <v>47</v>
      </c>
      <c r="F5709" s="13" t="s">
        <v>1918</v>
      </c>
      <c r="G5709" s="410" t="s">
        <v>48</v>
      </c>
      <c r="H5709" s="411">
        <v>0.14000000000000001</v>
      </c>
      <c r="I5709" s="412">
        <f>IF(AND(E5709&lt;&gt;"",G5709&lt;&gt;""),IF(D5709="",IF(G5709="OH",VLOOKUP(F5709,UPAH!$B$4:$H$101,7,0),VLOOKUP(F5709,#REF!,4,0)),0),0)</f>
        <v>0</v>
      </c>
      <c r="J5709" s="16">
        <f>H5709*I5709</f>
        <v>0</v>
      </c>
    </row>
    <row r="5710" spans="1:10" ht="13">
      <c r="A5710" s="27"/>
      <c r="B5710" s="110"/>
      <c r="D5710" s="409"/>
      <c r="E5710" s="13" t="s">
        <v>476</v>
      </c>
      <c r="F5710" s="13" t="s">
        <v>1922</v>
      </c>
      <c r="G5710" s="410" t="s">
        <v>48</v>
      </c>
      <c r="H5710" s="411">
        <v>7.0000000000000007E-2</v>
      </c>
      <c r="I5710" s="412">
        <f>IF(AND(E5710&lt;&gt;"",G5710&lt;&gt;""),IF(D5710="",IF(G5710="OH",VLOOKUP(F5710,UPAH!$B$4:$H$101,7,0),VLOOKUP(F5710,#REF!,4,0)),0),0)</f>
        <v>0</v>
      </c>
      <c r="J5710" s="16">
        <f>H5710*I5710</f>
        <v>0</v>
      </c>
    </row>
    <row r="5711" spans="1:10" ht="13">
      <c r="A5711" s="27"/>
      <c r="B5711" s="110"/>
      <c r="D5711" s="409"/>
      <c r="E5711" s="13" t="s">
        <v>50</v>
      </c>
      <c r="F5711" s="13" t="s">
        <v>1928</v>
      </c>
      <c r="G5711" s="410" t="s">
        <v>48</v>
      </c>
      <c r="H5711" s="411">
        <v>7.0000000000000001E-3</v>
      </c>
      <c r="I5711" s="412">
        <f>IF(AND(E5711&lt;&gt;"",G5711&lt;&gt;""),IF(D5711="",IF(G5711="OH",VLOOKUP(F5711,UPAH!$B$4:$H$101,7,0),VLOOKUP(F5711,#REF!,4,0)),0),0)</f>
        <v>0</v>
      </c>
      <c r="J5711" s="16">
        <f>H5711*I5711</f>
        <v>0</v>
      </c>
    </row>
    <row r="5712" spans="1:10" ht="13.5" thickBot="1">
      <c r="A5712" s="27"/>
      <c r="B5712" s="110"/>
      <c r="D5712" s="409"/>
      <c r="E5712" s="13" t="s">
        <v>51</v>
      </c>
      <c r="F5712" s="13" t="s">
        <v>1929</v>
      </c>
      <c r="G5712" s="410" t="s">
        <v>48</v>
      </c>
      <c r="H5712" s="411">
        <v>7.0000000000000001E-3</v>
      </c>
      <c r="I5712" s="412">
        <f>IF(AND(E5712&lt;&gt;"",G5712&lt;&gt;""),IF(D5712="",IF(G5712="OH",VLOOKUP(F5712,UPAH!$B$4:$H$101,7,0),VLOOKUP(F5712,#REF!,4,0)),0),0)</f>
        <v>0</v>
      </c>
      <c r="J5712" s="16">
        <f>H5712*I5712</f>
        <v>0</v>
      </c>
    </row>
    <row r="5713" spans="1:10" ht="13.5" thickBot="1">
      <c r="A5713" s="27"/>
      <c r="B5713" s="110"/>
      <c r="D5713" s="417"/>
      <c r="E5713" s="418"/>
      <c r="F5713" s="418"/>
      <c r="G5713" s="419"/>
      <c r="H5713" s="420" t="s">
        <v>52</v>
      </c>
      <c r="I5713" s="421"/>
      <c r="J5713" s="396">
        <f>SUM(J5709:J5712)</f>
        <v>0</v>
      </c>
    </row>
    <row r="5714" spans="1:10" ht="13">
      <c r="A5714" s="27"/>
      <c r="B5714" s="110"/>
      <c r="D5714" s="406" t="s">
        <v>53</v>
      </c>
      <c r="E5714" s="13" t="s">
        <v>54</v>
      </c>
      <c r="F5714" s="14"/>
      <c r="G5714" s="15"/>
      <c r="H5714" s="451"/>
      <c r="I5714" s="412"/>
      <c r="J5714" s="16"/>
    </row>
    <row r="5715" spans="1:10" ht="13">
      <c r="A5715" s="27"/>
      <c r="B5715" s="110"/>
      <c r="D5715" s="409"/>
      <c r="E5715" s="458" t="s">
        <v>2899</v>
      </c>
      <c r="F5715" s="496"/>
      <c r="G5715" s="497" t="s">
        <v>74</v>
      </c>
      <c r="H5715" s="498">
        <v>0.49</v>
      </c>
      <c r="I5715" s="521">
        <f>'BAHAN '!G204</f>
        <v>0</v>
      </c>
      <c r="J5715" s="16">
        <f>H5715*I5715</f>
        <v>0</v>
      </c>
    </row>
    <row r="5716" spans="1:10" ht="13.5" thickBot="1">
      <c r="A5716" s="27"/>
      <c r="B5716" s="110"/>
      <c r="D5716" s="409"/>
      <c r="E5716" s="458" t="s">
        <v>2900</v>
      </c>
      <c r="F5716" s="496"/>
      <c r="G5716" s="497" t="s">
        <v>57</v>
      </c>
      <c r="H5716" s="498">
        <v>0.12</v>
      </c>
      <c r="I5716" s="521">
        <f>'BAHAN '!G128</f>
        <v>0</v>
      </c>
      <c r="J5716" s="16">
        <f>H5716*I5716</f>
        <v>0</v>
      </c>
    </row>
    <row r="5717" spans="1:10" ht="13.5" thickBot="1">
      <c r="A5717" s="27"/>
      <c r="B5717" s="110"/>
      <c r="D5717" s="417"/>
      <c r="E5717" s="522"/>
      <c r="F5717" s="522"/>
      <c r="G5717" s="523"/>
      <c r="H5717" s="524" t="s">
        <v>64</v>
      </c>
      <c r="I5717" s="525"/>
      <c r="J5717" s="396">
        <f>SUM(J5715:J5716)</f>
        <v>0</v>
      </c>
    </row>
    <row r="5718" spans="1:10" ht="13.5" thickBot="1">
      <c r="A5718" s="27"/>
      <c r="B5718" s="110"/>
      <c r="D5718" s="406" t="s">
        <v>65</v>
      </c>
      <c r="E5718" s="13" t="s">
        <v>66</v>
      </c>
      <c r="F5718" s="14"/>
      <c r="G5718" s="15"/>
      <c r="H5718" s="451"/>
      <c r="I5718" s="412">
        <f>IF(AND(E5718&lt;&gt;"",G5718&lt;&gt;""),IF(D5718="",IF(G5718="OH",VLOOKUP(E5718,UPAH!$C$4:$H$31,7,0),VLOOKUP(E5718,#REF!,4,0)),0),0)</f>
        <v>0</v>
      </c>
      <c r="J5718" s="16">
        <f>H5718*I5718</f>
        <v>0</v>
      </c>
    </row>
    <row r="5719" spans="1:10" ht="13.5" thickBot="1">
      <c r="A5719" s="27"/>
      <c r="B5719" s="110"/>
      <c r="D5719" s="417"/>
      <c r="E5719" s="418"/>
      <c r="F5719" s="418"/>
      <c r="G5719" s="419"/>
      <c r="H5719" s="420" t="s">
        <v>67</v>
      </c>
      <c r="I5719" s="421"/>
      <c r="J5719" s="396">
        <f>J5718</f>
        <v>0</v>
      </c>
    </row>
    <row r="5720" spans="1:10" ht="13">
      <c r="A5720" s="27"/>
      <c r="B5720" s="110"/>
      <c r="D5720" s="444" t="s">
        <v>68</v>
      </c>
      <c r="E5720" s="445" t="s">
        <v>69</v>
      </c>
      <c r="F5720" s="446"/>
      <c r="G5720" s="447"/>
      <c r="H5720" s="448"/>
      <c r="I5720" s="449">
        <f>IF(AND(E5720&lt;&gt;"",G5720&lt;&gt;""),IF(D5720="",IF(G5720="OH",VLOOKUP(E5720,UPAH!$C$4:$H$31,7,0),VLOOKUP(E5720,#REF!,4,0)),0),0)</f>
        <v>0</v>
      </c>
      <c r="J5720" s="16">
        <f>SUM(J5709:J5719)/2</f>
        <v>0</v>
      </c>
    </row>
    <row r="5721" spans="1:10" ht="13.5" thickBot="1">
      <c r="A5721" s="27"/>
      <c r="B5721" s="110"/>
      <c r="D5721" s="431" t="s">
        <v>70</v>
      </c>
      <c r="E5721" s="432" t="s">
        <v>477</v>
      </c>
      <c r="F5721" s="433"/>
      <c r="G5721" s="434"/>
      <c r="H5721" s="22">
        <v>0.1</v>
      </c>
      <c r="I5721" s="436"/>
      <c r="J5721" s="430">
        <f>H5721*J5720</f>
        <v>0</v>
      </c>
    </row>
    <row r="5722" spans="1:10" ht="13.5" thickBot="1">
      <c r="A5722" s="27"/>
      <c r="B5722" s="110"/>
      <c r="D5722" s="401" t="s">
        <v>71</v>
      </c>
      <c r="E5722" s="402" t="s">
        <v>72</v>
      </c>
      <c r="F5722" s="418"/>
      <c r="G5722" s="419"/>
      <c r="H5722" s="442"/>
      <c r="I5722" s="421">
        <f>IF(AND(E5722&lt;&gt;"",G5722&lt;&gt;""),IF(D5722="",IF(G5722="OH",VLOOKUP(E5722,UPAH!$C$4:$H$31,7,0),VLOOKUP(E5722,#REF!,4,0)),0),0)</f>
        <v>0</v>
      </c>
      <c r="J5722" s="396">
        <f>ROUNDDOWN(J5720+J5721,0)</f>
        <v>0</v>
      </c>
    </row>
    <row r="5723" spans="1:10" ht="13">
      <c r="A5723" s="27"/>
      <c r="B5723" s="110"/>
      <c r="D5723" s="11"/>
      <c r="E5723" s="11"/>
      <c r="H5723" s="443"/>
    </row>
    <row r="5724" spans="1:10" ht="13.5" thickBot="1">
      <c r="A5724" s="27"/>
      <c r="B5724" s="110"/>
      <c r="C5724" s="11" t="s">
        <v>1118</v>
      </c>
      <c r="D5724" s="10" t="s">
        <v>1119</v>
      </c>
      <c r="H5724" s="443"/>
    </row>
    <row r="5725" spans="1:10" ht="13.5" thickBot="1">
      <c r="A5725" s="27"/>
      <c r="B5725" s="110"/>
      <c r="D5725" s="401" t="s">
        <v>40</v>
      </c>
      <c r="E5725" s="402" t="s">
        <v>41</v>
      </c>
      <c r="F5725" s="402" t="s">
        <v>42</v>
      </c>
      <c r="G5725" s="403" t="s">
        <v>43</v>
      </c>
      <c r="H5725" s="404" t="s">
        <v>44</v>
      </c>
      <c r="I5725" s="402" t="s">
        <v>474</v>
      </c>
      <c r="J5725" s="405" t="s">
        <v>475</v>
      </c>
    </row>
    <row r="5726" spans="1:10" ht="13">
      <c r="A5726" s="27"/>
      <c r="B5726" s="110"/>
      <c r="D5726" s="406" t="s">
        <v>45</v>
      </c>
      <c r="E5726" s="13" t="s">
        <v>46</v>
      </c>
      <c r="F5726" s="14"/>
      <c r="G5726" s="15"/>
      <c r="H5726" s="451"/>
      <c r="I5726" s="412"/>
      <c r="J5726" s="16"/>
    </row>
    <row r="5727" spans="1:10" ht="13">
      <c r="A5727" s="27"/>
      <c r="B5727" s="110"/>
      <c r="D5727" s="409"/>
      <c r="E5727" s="13" t="s">
        <v>47</v>
      </c>
      <c r="F5727" s="13" t="s">
        <v>1918</v>
      </c>
      <c r="G5727" s="410" t="s">
        <v>48</v>
      </c>
      <c r="H5727" s="411">
        <v>0.14000000000000001</v>
      </c>
      <c r="I5727" s="412">
        <f>IF(AND(E5727&lt;&gt;"",G5727&lt;&gt;""),IF(D5727="",IF(G5727="OH",VLOOKUP(F5727,UPAH!$B$4:$H$101,7,0),VLOOKUP(F5727,#REF!,4,0)),0),0)</f>
        <v>0</v>
      </c>
      <c r="J5727" s="16">
        <f>H5727*I5727</f>
        <v>0</v>
      </c>
    </row>
    <row r="5728" spans="1:10" ht="13">
      <c r="A5728" s="27"/>
      <c r="B5728" s="110"/>
      <c r="D5728" s="409"/>
      <c r="E5728" s="13" t="s">
        <v>476</v>
      </c>
      <c r="F5728" s="13" t="s">
        <v>1922</v>
      </c>
      <c r="G5728" s="410" t="s">
        <v>48</v>
      </c>
      <c r="H5728" s="411">
        <v>7.0000000000000007E-2</v>
      </c>
      <c r="I5728" s="412">
        <f>IF(AND(E5728&lt;&gt;"",G5728&lt;&gt;""),IF(D5728="",IF(G5728="OH",VLOOKUP(F5728,UPAH!$B$4:$H$101,7,0),VLOOKUP(F5728,#REF!,4,0)),0),0)</f>
        <v>0</v>
      </c>
      <c r="J5728" s="16">
        <f>H5728*I5728</f>
        <v>0</v>
      </c>
    </row>
    <row r="5729" spans="1:10" ht="13">
      <c r="A5729" s="27"/>
      <c r="B5729" s="110"/>
      <c r="D5729" s="409"/>
      <c r="E5729" s="13" t="s">
        <v>50</v>
      </c>
      <c r="F5729" s="13" t="s">
        <v>1928</v>
      </c>
      <c r="G5729" s="410" t="s">
        <v>48</v>
      </c>
      <c r="H5729" s="411">
        <v>7.0000000000000001E-3</v>
      </c>
      <c r="I5729" s="412">
        <f>IF(AND(E5729&lt;&gt;"",G5729&lt;&gt;""),IF(D5729="",IF(G5729="OH",VLOOKUP(F5729,UPAH!$B$4:$H$101,7,0),VLOOKUP(F5729,#REF!,4,0)),0),0)</f>
        <v>0</v>
      </c>
      <c r="J5729" s="16">
        <f>H5729*I5729</f>
        <v>0</v>
      </c>
    </row>
    <row r="5730" spans="1:10" ht="13.5" thickBot="1">
      <c r="A5730" s="27"/>
      <c r="B5730" s="110"/>
      <c r="D5730" s="409"/>
      <c r="E5730" s="13" t="s">
        <v>51</v>
      </c>
      <c r="F5730" s="13" t="s">
        <v>1929</v>
      </c>
      <c r="G5730" s="410" t="s">
        <v>48</v>
      </c>
      <c r="H5730" s="411">
        <v>7.0000000000000001E-3</v>
      </c>
      <c r="I5730" s="412">
        <f>IF(AND(E5730&lt;&gt;"",G5730&lt;&gt;""),IF(D5730="",IF(G5730="OH",VLOOKUP(F5730,UPAH!$B$4:$H$101,7,0),VLOOKUP(F5730,#REF!,4,0)),0),0)</f>
        <v>0</v>
      </c>
      <c r="J5730" s="16">
        <f>H5730*I5730</f>
        <v>0</v>
      </c>
    </row>
    <row r="5731" spans="1:10" ht="13.5" thickBot="1">
      <c r="A5731" s="27"/>
      <c r="B5731" s="110"/>
      <c r="D5731" s="417"/>
      <c r="E5731" s="418"/>
      <c r="F5731" s="418"/>
      <c r="G5731" s="419"/>
      <c r="H5731" s="420" t="s">
        <v>52</v>
      </c>
      <c r="I5731" s="421"/>
      <c r="J5731" s="396">
        <f>SUM(J5727:J5730)</f>
        <v>0</v>
      </c>
    </row>
    <row r="5732" spans="1:10" ht="13">
      <c r="A5732" s="27"/>
      <c r="B5732" s="110"/>
      <c r="D5732" s="406" t="s">
        <v>53</v>
      </c>
      <c r="E5732" s="13" t="s">
        <v>54</v>
      </c>
      <c r="F5732" s="14"/>
      <c r="G5732" s="15"/>
      <c r="H5732" s="451"/>
      <c r="I5732" s="412"/>
      <c r="J5732" s="16"/>
    </row>
    <row r="5733" spans="1:10" ht="13">
      <c r="A5733" s="27"/>
      <c r="B5733" s="110"/>
      <c r="D5733" s="409"/>
      <c r="E5733" s="458" t="s">
        <v>2899</v>
      </c>
      <c r="F5733" s="496"/>
      <c r="G5733" s="497" t="s">
        <v>74</v>
      </c>
      <c r="H5733" s="498">
        <v>0.56999999999999995</v>
      </c>
      <c r="I5733" s="521">
        <f>'BAHAN '!G204</f>
        <v>0</v>
      </c>
      <c r="J5733" s="16">
        <f>H5733*I5733</f>
        <v>0</v>
      </c>
    </row>
    <row r="5734" spans="1:10" ht="13.5" thickBot="1">
      <c r="A5734" s="27"/>
      <c r="B5734" s="110"/>
      <c r="D5734" s="409"/>
      <c r="E5734" s="458" t="s">
        <v>2900</v>
      </c>
      <c r="F5734" s="496"/>
      <c r="G5734" s="497" t="s">
        <v>57</v>
      </c>
      <c r="H5734" s="498">
        <v>0.12</v>
      </c>
      <c r="I5734" s="521">
        <f>'BAHAN '!G128</f>
        <v>0</v>
      </c>
      <c r="J5734" s="16">
        <f>H5734*I5734</f>
        <v>0</v>
      </c>
    </row>
    <row r="5735" spans="1:10" ht="13.5" thickBot="1">
      <c r="A5735" s="27"/>
      <c r="B5735" s="110"/>
      <c r="D5735" s="417"/>
      <c r="E5735" s="522"/>
      <c r="F5735" s="522"/>
      <c r="G5735" s="523"/>
      <c r="H5735" s="524" t="s">
        <v>64</v>
      </c>
      <c r="I5735" s="525"/>
      <c r="J5735" s="396">
        <f>SUM(J5733:J5734)</f>
        <v>0</v>
      </c>
    </row>
    <row r="5736" spans="1:10" ht="13.5" thickBot="1">
      <c r="A5736" s="27"/>
      <c r="B5736" s="110"/>
      <c r="D5736" s="406" t="s">
        <v>65</v>
      </c>
      <c r="E5736" s="458" t="s">
        <v>66</v>
      </c>
      <c r="F5736" s="496"/>
      <c r="G5736" s="526"/>
      <c r="H5736" s="498"/>
      <c r="I5736" s="521">
        <f>IF(AND(E5736&lt;&gt;"",G5736&lt;&gt;""),IF(D5736="",IF(G5736="OH",VLOOKUP(E5736,UPAH!$C$4:$H$31,7,0),VLOOKUP(E5736,#REF!,4,0)),0),0)</f>
        <v>0</v>
      </c>
      <c r="J5736" s="16">
        <f>H5736*I5736</f>
        <v>0</v>
      </c>
    </row>
    <row r="5737" spans="1:10" ht="13.5" thickBot="1">
      <c r="A5737" s="27"/>
      <c r="B5737" s="110"/>
      <c r="D5737" s="417"/>
      <c r="E5737" s="522"/>
      <c r="F5737" s="522"/>
      <c r="G5737" s="523"/>
      <c r="H5737" s="524" t="s">
        <v>67</v>
      </c>
      <c r="I5737" s="525"/>
      <c r="J5737" s="396">
        <f>J5736</f>
        <v>0</v>
      </c>
    </row>
    <row r="5738" spans="1:10" ht="13">
      <c r="A5738" s="27"/>
      <c r="B5738" s="110"/>
      <c r="D5738" s="444" t="s">
        <v>68</v>
      </c>
      <c r="E5738" s="527" t="s">
        <v>69</v>
      </c>
      <c r="F5738" s="528"/>
      <c r="G5738" s="529"/>
      <c r="H5738" s="530"/>
      <c r="I5738" s="531">
        <f>IF(AND(E5738&lt;&gt;"",G5738&lt;&gt;""),IF(D5738="",IF(G5738="OH",VLOOKUP(E5738,UPAH!$C$4:$H$31,7,0),VLOOKUP(E5738,#REF!,4,0)),0),0)</f>
        <v>0</v>
      </c>
      <c r="J5738" s="16">
        <f>SUM(J5727:J5737)/2</f>
        <v>0</v>
      </c>
    </row>
    <row r="5739" spans="1:10" ht="13.5" thickBot="1">
      <c r="A5739" s="27"/>
      <c r="B5739" s="110"/>
      <c r="D5739" s="431" t="s">
        <v>70</v>
      </c>
      <c r="E5739" s="532" t="s">
        <v>477</v>
      </c>
      <c r="F5739" s="533"/>
      <c r="G5739" s="534"/>
      <c r="H5739" s="30">
        <v>0.1</v>
      </c>
      <c r="I5739" s="535"/>
      <c r="J5739" s="430">
        <f>H5739*J5738</f>
        <v>0</v>
      </c>
    </row>
    <row r="5740" spans="1:10" ht="13.5" thickBot="1">
      <c r="A5740" s="27"/>
      <c r="B5740" s="110"/>
      <c r="D5740" s="401" t="s">
        <v>71</v>
      </c>
      <c r="E5740" s="536" t="s">
        <v>72</v>
      </c>
      <c r="F5740" s="522"/>
      <c r="G5740" s="523"/>
      <c r="H5740" s="524"/>
      <c r="I5740" s="525">
        <f>IF(AND(E5740&lt;&gt;"",G5740&lt;&gt;""),IF(D5740="",IF(G5740="OH",VLOOKUP(E5740,UPAH!$C$4:$H$31,7,0),VLOOKUP(E5740,#REF!,4,0)),0),0)</f>
        <v>0</v>
      </c>
      <c r="J5740" s="396">
        <f>ROUNDDOWN(J5738+J5739,0)</f>
        <v>0</v>
      </c>
    </row>
    <row r="5741" spans="1:10" ht="13">
      <c r="A5741" s="27"/>
      <c r="B5741" s="110"/>
      <c r="D5741" s="11"/>
      <c r="E5741" s="537"/>
      <c r="F5741" s="538"/>
      <c r="G5741" s="539"/>
      <c r="H5741" s="540"/>
      <c r="I5741" s="538"/>
    </row>
    <row r="5742" spans="1:10" ht="13.5" thickBot="1">
      <c r="A5742" s="27"/>
      <c r="B5742" s="110"/>
      <c r="C5742" s="11" t="s">
        <v>1120</v>
      </c>
      <c r="D5742" s="10" t="s">
        <v>1121</v>
      </c>
      <c r="E5742" s="538"/>
      <c r="F5742" s="538"/>
      <c r="G5742" s="539"/>
      <c r="H5742" s="540"/>
      <c r="I5742" s="538"/>
    </row>
    <row r="5743" spans="1:10" ht="13.5" thickBot="1">
      <c r="A5743" s="27"/>
      <c r="B5743" s="110"/>
      <c r="D5743" s="401" t="s">
        <v>40</v>
      </c>
      <c r="E5743" s="536" t="s">
        <v>41</v>
      </c>
      <c r="F5743" s="536" t="s">
        <v>42</v>
      </c>
      <c r="G5743" s="541" t="s">
        <v>43</v>
      </c>
      <c r="H5743" s="542" t="s">
        <v>44</v>
      </c>
      <c r="I5743" s="536" t="s">
        <v>474</v>
      </c>
      <c r="J5743" s="405" t="s">
        <v>475</v>
      </c>
    </row>
    <row r="5744" spans="1:10" ht="13">
      <c r="A5744" s="27"/>
      <c r="B5744" s="110"/>
      <c r="D5744" s="406" t="s">
        <v>45</v>
      </c>
      <c r="E5744" s="458" t="s">
        <v>46</v>
      </c>
      <c r="F5744" s="496"/>
      <c r="G5744" s="526"/>
      <c r="H5744" s="498"/>
      <c r="I5744" s="521"/>
      <c r="J5744" s="16"/>
    </row>
    <row r="5745" spans="1:10" ht="13">
      <c r="A5745" s="27"/>
      <c r="B5745" s="110"/>
      <c r="D5745" s="409"/>
      <c r="E5745" s="458" t="s">
        <v>47</v>
      </c>
      <c r="F5745" s="458" t="s">
        <v>1918</v>
      </c>
      <c r="G5745" s="497" t="s">
        <v>48</v>
      </c>
      <c r="H5745" s="498">
        <v>8.4000000000000005E-2</v>
      </c>
      <c r="I5745" s="521">
        <f>IF(AND(E5745&lt;&gt;"",G5745&lt;&gt;""),IF(D5745="",IF(G5745="OH",VLOOKUP(F5745,UPAH!$B$4:$H$101,7,0),VLOOKUP(F5745,#REF!,4,0)),0),0)</f>
        <v>0</v>
      </c>
      <c r="J5745" s="16">
        <f>H5745*I5745</f>
        <v>0</v>
      </c>
    </row>
    <row r="5746" spans="1:10" ht="13">
      <c r="A5746" s="27"/>
      <c r="B5746" s="110"/>
      <c r="D5746" s="409"/>
      <c r="E5746" s="458" t="s">
        <v>476</v>
      </c>
      <c r="F5746" s="458" t="s">
        <v>1922</v>
      </c>
      <c r="G5746" s="497" t="s">
        <v>48</v>
      </c>
      <c r="H5746" s="498">
        <v>0.125</v>
      </c>
      <c r="I5746" s="521">
        <f>IF(AND(E5746&lt;&gt;"",G5746&lt;&gt;""),IF(D5746="",IF(G5746="OH",VLOOKUP(F5746,UPAH!$B$4:$H$101,7,0),VLOOKUP(F5746,#REF!,4,0)),0),0)</f>
        <v>0</v>
      </c>
      <c r="J5746" s="16">
        <f>H5746*I5746</f>
        <v>0</v>
      </c>
    </row>
    <row r="5747" spans="1:10" ht="13">
      <c r="A5747" s="27"/>
      <c r="B5747" s="110"/>
      <c r="D5747" s="409"/>
      <c r="E5747" s="458" t="s">
        <v>50</v>
      </c>
      <c r="F5747" s="458" t="s">
        <v>1928</v>
      </c>
      <c r="G5747" s="497" t="s">
        <v>48</v>
      </c>
      <c r="H5747" s="498">
        <v>1.2999999999999999E-2</v>
      </c>
      <c r="I5747" s="521">
        <f>IF(AND(E5747&lt;&gt;"",G5747&lt;&gt;""),IF(D5747="",IF(G5747="OH",VLOOKUP(F5747,UPAH!$B$4:$H$101,7,0),VLOOKUP(F5747,#REF!,4,0)),0),0)</f>
        <v>0</v>
      </c>
      <c r="J5747" s="16">
        <f>H5747*I5747</f>
        <v>0</v>
      </c>
    </row>
    <row r="5748" spans="1:10" ht="13.5" thickBot="1">
      <c r="A5748" s="27"/>
      <c r="B5748" s="110"/>
      <c r="D5748" s="409"/>
      <c r="E5748" s="458" t="s">
        <v>51</v>
      </c>
      <c r="F5748" s="458" t="s">
        <v>1929</v>
      </c>
      <c r="G5748" s="497" t="s">
        <v>48</v>
      </c>
      <c r="H5748" s="498">
        <v>4.0000000000000001E-3</v>
      </c>
      <c r="I5748" s="521">
        <f>IF(AND(E5748&lt;&gt;"",G5748&lt;&gt;""),IF(D5748="",IF(G5748="OH",VLOOKUP(F5748,UPAH!$B$4:$H$101,7,0),VLOOKUP(F5748,#REF!,4,0)),0),0)</f>
        <v>0</v>
      </c>
      <c r="J5748" s="16">
        <f>H5748*I5748</f>
        <v>0</v>
      </c>
    </row>
    <row r="5749" spans="1:10" ht="13.5" thickBot="1">
      <c r="A5749" s="27"/>
      <c r="B5749" s="110"/>
      <c r="D5749" s="417"/>
      <c r="E5749" s="522"/>
      <c r="F5749" s="522"/>
      <c r="G5749" s="523"/>
      <c r="H5749" s="524" t="s">
        <v>52</v>
      </c>
      <c r="I5749" s="525"/>
      <c r="J5749" s="396">
        <f>SUM(J5745:J5748)</f>
        <v>0</v>
      </c>
    </row>
    <row r="5750" spans="1:10" ht="13">
      <c r="A5750" s="27"/>
      <c r="B5750" s="110"/>
      <c r="D5750" s="406" t="s">
        <v>53</v>
      </c>
      <c r="E5750" s="458" t="s">
        <v>54</v>
      </c>
      <c r="F5750" s="496"/>
      <c r="G5750" s="526"/>
      <c r="H5750" s="498"/>
      <c r="I5750" s="521"/>
      <c r="J5750" s="16"/>
    </row>
    <row r="5751" spans="1:10" ht="13">
      <c r="A5751" s="27"/>
      <c r="B5751" s="110"/>
      <c r="D5751" s="409"/>
      <c r="E5751" s="458" t="s">
        <v>186</v>
      </c>
      <c r="F5751" s="496"/>
      <c r="G5751" s="497" t="s">
        <v>74</v>
      </c>
      <c r="H5751" s="498">
        <v>2.4</v>
      </c>
      <c r="I5751" s="521">
        <f>'BAHAN '!G996</f>
        <v>0</v>
      </c>
      <c r="J5751" s="16">
        <f>H5751*I5751</f>
        <v>0</v>
      </c>
    </row>
    <row r="5752" spans="1:10" ht="13.5" thickBot="1">
      <c r="A5752" s="27"/>
      <c r="B5752" s="110"/>
      <c r="D5752" s="409"/>
      <c r="E5752" s="458" t="s">
        <v>178</v>
      </c>
      <c r="F5752" s="496"/>
      <c r="G5752" s="497" t="s">
        <v>87</v>
      </c>
      <c r="H5752" s="498">
        <v>6</v>
      </c>
      <c r="I5752" s="521">
        <f>'BAHAN '!G131</f>
        <v>0</v>
      </c>
      <c r="J5752" s="16">
        <f>H5752*I5752</f>
        <v>0</v>
      </c>
    </row>
    <row r="5753" spans="1:10" ht="13.5" thickBot="1">
      <c r="A5753" s="27"/>
      <c r="B5753" s="110"/>
      <c r="D5753" s="417"/>
      <c r="E5753" s="418"/>
      <c r="F5753" s="418"/>
      <c r="G5753" s="419"/>
      <c r="H5753" s="420" t="s">
        <v>64</v>
      </c>
      <c r="I5753" s="421"/>
      <c r="J5753" s="396">
        <f>SUM(J5751:J5752)</f>
        <v>0</v>
      </c>
    </row>
    <row r="5754" spans="1:10" ht="13.5" thickBot="1">
      <c r="A5754" s="27"/>
      <c r="B5754" s="110"/>
      <c r="D5754" s="406" t="s">
        <v>65</v>
      </c>
      <c r="E5754" s="13" t="s">
        <v>66</v>
      </c>
      <c r="F5754" s="14"/>
      <c r="G5754" s="15"/>
      <c r="H5754" s="451"/>
      <c r="I5754" s="412">
        <f>IF(AND(E5754&lt;&gt;"",G5754&lt;&gt;""),IF(D5754="",IF(G5754="OH",VLOOKUP(E5754,UPAH!$C$4:$H$31,7,0),VLOOKUP(E5754,#REF!,4,0)),0),0)</f>
        <v>0</v>
      </c>
      <c r="J5754" s="16">
        <f>H5754*I5754</f>
        <v>0</v>
      </c>
    </row>
    <row r="5755" spans="1:10" ht="13.5" thickBot="1">
      <c r="A5755" s="27"/>
      <c r="B5755" s="110"/>
      <c r="D5755" s="417"/>
      <c r="E5755" s="418"/>
      <c r="F5755" s="418"/>
      <c r="G5755" s="419"/>
      <c r="H5755" s="420" t="s">
        <v>67</v>
      </c>
      <c r="I5755" s="421"/>
      <c r="J5755" s="396">
        <f>J5754</f>
        <v>0</v>
      </c>
    </row>
    <row r="5756" spans="1:10" ht="13">
      <c r="A5756" s="27"/>
      <c r="B5756" s="110"/>
      <c r="D5756" s="444" t="s">
        <v>68</v>
      </c>
      <c r="E5756" s="445" t="s">
        <v>69</v>
      </c>
      <c r="F5756" s="446"/>
      <c r="G5756" s="447"/>
      <c r="H5756" s="448"/>
      <c r="I5756" s="449">
        <f>IF(AND(E5756&lt;&gt;"",G5756&lt;&gt;""),IF(D5756="",IF(G5756="OH",VLOOKUP(E5756,UPAH!$C$4:$H$31,7,0),VLOOKUP(E5756,#REF!,4,0)),0),0)</f>
        <v>0</v>
      </c>
      <c r="J5756" s="16">
        <f>SUM(J5745:J5755)/2</f>
        <v>0</v>
      </c>
    </row>
    <row r="5757" spans="1:10" ht="13.5" thickBot="1">
      <c r="A5757" s="27"/>
      <c r="B5757" s="110"/>
      <c r="D5757" s="431" t="s">
        <v>70</v>
      </c>
      <c r="E5757" s="432" t="s">
        <v>477</v>
      </c>
      <c r="F5757" s="433"/>
      <c r="G5757" s="434"/>
      <c r="H5757" s="22">
        <v>0.1</v>
      </c>
      <c r="I5757" s="436"/>
      <c r="J5757" s="430">
        <f>H5757*J5756</f>
        <v>0</v>
      </c>
    </row>
    <row r="5758" spans="1:10" ht="13.5" thickBot="1">
      <c r="A5758" s="27"/>
      <c r="B5758" s="110"/>
      <c r="D5758" s="401" t="s">
        <v>71</v>
      </c>
      <c r="E5758" s="402" t="s">
        <v>72</v>
      </c>
      <c r="F5758" s="418"/>
      <c r="G5758" s="419"/>
      <c r="H5758" s="442"/>
      <c r="I5758" s="421">
        <f>IF(AND(E5758&lt;&gt;"",G5758&lt;&gt;""),IF(D5758="",IF(G5758="OH",VLOOKUP(E5758,UPAH!$C$4:$H$31,7,0),VLOOKUP(E5758,#REF!,4,0)),0),0)</f>
        <v>0</v>
      </c>
      <c r="J5758" s="396">
        <f>ROUNDDOWN(J5756+J5757,0)</f>
        <v>0</v>
      </c>
    </row>
    <row r="5759" spans="1:10" ht="13">
      <c r="A5759" s="27"/>
      <c r="B5759" s="110"/>
      <c r="D5759" s="11"/>
      <c r="E5759" s="11"/>
      <c r="H5759" s="443"/>
    </row>
    <row r="5760" spans="1:10" ht="13.5" thickBot="1">
      <c r="A5760" s="27"/>
      <c r="B5760" s="110"/>
      <c r="C5760" s="11" t="s">
        <v>1122</v>
      </c>
      <c r="D5760" s="10" t="s">
        <v>1123</v>
      </c>
      <c r="H5760" s="443"/>
    </row>
    <row r="5761" spans="1:10" ht="13.5" thickBot="1">
      <c r="A5761" s="27"/>
      <c r="B5761" s="110"/>
      <c r="D5761" s="401" t="s">
        <v>40</v>
      </c>
      <c r="E5761" s="402" t="s">
        <v>41</v>
      </c>
      <c r="F5761" s="402" t="s">
        <v>42</v>
      </c>
      <c r="G5761" s="403" t="s">
        <v>43</v>
      </c>
      <c r="H5761" s="404" t="s">
        <v>44</v>
      </c>
      <c r="I5761" s="402" t="s">
        <v>474</v>
      </c>
      <c r="J5761" s="405" t="s">
        <v>475</v>
      </c>
    </row>
    <row r="5762" spans="1:10" ht="13">
      <c r="A5762" s="27"/>
      <c r="B5762" s="110"/>
      <c r="D5762" s="406" t="s">
        <v>45</v>
      </c>
      <c r="E5762" s="13" t="s">
        <v>46</v>
      </c>
      <c r="F5762" s="14"/>
      <c r="G5762" s="15"/>
      <c r="H5762" s="451"/>
      <c r="I5762" s="412"/>
      <c r="J5762" s="16"/>
    </row>
    <row r="5763" spans="1:10" ht="13">
      <c r="A5763" s="27"/>
      <c r="B5763" s="110"/>
      <c r="D5763" s="409"/>
      <c r="E5763" s="13" t="s">
        <v>47</v>
      </c>
      <c r="F5763" s="13" t="s">
        <v>1918</v>
      </c>
      <c r="G5763" s="410" t="s">
        <v>48</v>
      </c>
      <c r="H5763" s="411">
        <v>8.4000000000000005E-2</v>
      </c>
      <c r="I5763" s="412">
        <f>IF(AND(E5763&lt;&gt;"",G5763&lt;&gt;""),IF(D5763="",IF(G5763="OH",VLOOKUP(F5763,UPAH!$B$4:$H$101,7,0),VLOOKUP(F5763,#REF!,4,0)),0),0)</f>
        <v>0</v>
      </c>
      <c r="J5763" s="16">
        <f>H5763*I5763</f>
        <v>0</v>
      </c>
    </row>
    <row r="5764" spans="1:10" ht="13">
      <c r="A5764" s="27"/>
      <c r="B5764" s="110"/>
      <c r="D5764" s="409"/>
      <c r="E5764" s="13" t="s">
        <v>476</v>
      </c>
      <c r="F5764" s="13" t="s">
        <v>1922</v>
      </c>
      <c r="G5764" s="410" t="s">
        <v>48</v>
      </c>
      <c r="H5764" s="411">
        <v>0.125</v>
      </c>
      <c r="I5764" s="412">
        <f>IF(AND(E5764&lt;&gt;"",G5764&lt;&gt;""),IF(D5764="",IF(G5764="OH",VLOOKUP(F5764,UPAH!$B$4:$H$101,7,0),VLOOKUP(F5764,#REF!,4,0)),0),0)</f>
        <v>0</v>
      </c>
      <c r="J5764" s="16">
        <f>H5764*I5764</f>
        <v>0</v>
      </c>
    </row>
    <row r="5765" spans="1:10" ht="13">
      <c r="A5765" s="27"/>
      <c r="B5765" s="110"/>
      <c r="D5765" s="409"/>
      <c r="E5765" s="13" t="s">
        <v>50</v>
      </c>
      <c r="F5765" s="13" t="s">
        <v>1928</v>
      </c>
      <c r="G5765" s="410" t="s">
        <v>48</v>
      </c>
      <c r="H5765" s="411">
        <v>1.2999999999999999E-2</v>
      </c>
      <c r="I5765" s="412">
        <f>IF(AND(E5765&lt;&gt;"",G5765&lt;&gt;""),IF(D5765="",IF(G5765="OH",VLOOKUP(F5765,UPAH!$B$4:$H$101,7,0),VLOOKUP(F5765,#REF!,4,0)),0),0)</f>
        <v>0</v>
      </c>
      <c r="J5765" s="16">
        <f>H5765*I5765</f>
        <v>0</v>
      </c>
    </row>
    <row r="5766" spans="1:10" ht="13.5" thickBot="1">
      <c r="A5766" s="27"/>
      <c r="B5766" s="110"/>
      <c r="D5766" s="409"/>
      <c r="E5766" s="13" t="s">
        <v>51</v>
      </c>
      <c r="F5766" s="13" t="s">
        <v>1929</v>
      </c>
      <c r="G5766" s="410" t="s">
        <v>48</v>
      </c>
      <c r="H5766" s="411">
        <v>4.0000000000000001E-3</v>
      </c>
      <c r="I5766" s="412">
        <f>IF(AND(E5766&lt;&gt;"",G5766&lt;&gt;""),IF(D5766="",IF(G5766="OH",VLOOKUP(F5766,UPAH!$B$4:$H$101,7,0),VLOOKUP(F5766,#REF!,4,0)),0),0)</f>
        <v>0</v>
      </c>
      <c r="J5766" s="16">
        <f>H5766*I5766</f>
        <v>0</v>
      </c>
    </row>
    <row r="5767" spans="1:10" ht="13.5" thickBot="1">
      <c r="A5767" s="27"/>
      <c r="B5767" s="110"/>
      <c r="D5767" s="417"/>
      <c r="E5767" s="418"/>
      <c r="F5767" s="418"/>
      <c r="G5767" s="419"/>
      <c r="H5767" s="420" t="s">
        <v>52</v>
      </c>
      <c r="I5767" s="421"/>
      <c r="J5767" s="396">
        <f>SUM(J5763:J5766)</f>
        <v>0</v>
      </c>
    </row>
    <row r="5768" spans="1:10" ht="13">
      <c r="A5768" s="27"/>
      <c r="B5768" s="110"/>
      <c r="D5768" s="406" t="s">
        <v>53</v>
      </c>
      <c r="E5768" s="13" t="s">
        <v>54</v>
      </c>
      <c r="F5768" s="14"/>
      <c r="G5768" s="15"/>
      <c r="H5768" s="451"/>
      <c r="I5768" s="412"/>
      <c r="J5768" s="16"/>
    </row>
    <row r="5769" spans="1:10" ht="13">
      <c r="A5769" s="27"/>
      <c r="B5769" s="110"/>
      <c r="D5769" s="409"/>
      <c r="E5769" s="13" t="s">
        <v>186</v>
      </c>
      <c r="F5769" s="14"/>
      <c r="G5769" s="497" t="s">
        <v>74</v>
      </c>
      <c r="H5769" s="498">
        <v>2.1</v>
      </c>
      <c r="I5769" s="521">
        <f>'BAHAN '!G996</f>
        <v>0</v>
      </c>
      <c r="J5769" s="16">
        <f>H5769*I5769</f>
        <v>0</v>
      </c>
    </row>
    <row r="5770" spans="1:10" ht="13.5" thickBot="1">
      <c r="A5770" s="27"/>
      <c r="B5770" s="110"/>
      <c r="D5770" s="409"/>
      <c r="E5770" s="13" t="s">
        <v>178</v>
      </c>
      <c r="F5770" s="14"/>
      <c r="G5770" s="497" t="s">
        <v>87</v>
      </c>
      <c r="H5770" s="498">
        <v>6</v>
      </c>
      <c r="I5770" s="521">
        <f>'BAHAN '!G131</f>
        <v>0</v>
      </c>
      <c r="J5770" s="16">
        <f>H5770*I5770</f>
        <v>0</v>
      </c>
    </row>
    <row r="5771" spans="1:10" ht="13.5" thickBot="1">
      <c r="A5771" s="27"/>
      <c r="B5771" s="110"/>
      <c r="D5771" s="417"/>
      <c r="E5771" s="418"/>
      <c r="F5771" s="418"/>
      <c r="G5771" s="419"/>
      <c r="H5771" s="420" t="s">
        <v>64</v>
      </c>
      <c r="I5771" s="421"/>
      <c r="J5771" s="396">
        <f>SUM(J5769:J5770)</f>
        <v>0</v>
      </c>
    </row>
    <row r="5772" spans="1:10" ht="13.5" thickBot="1">
      <c r="A5772" s="27"/>
      <c r="B5772" s="110"/>
      <c r="D5772" s="406" t="s">
        <v>65</v>
      </c>
      <c r="E5772" s="13" t="s">
        <v>66</v>
      </c>
      <c r="F5772" s="14"/>
      <c r="G5772" s="15"/>
      <c r="H5772" s="451"/>
      <c r="I5772" s="412">
        <f>IF(AND(E5772&lt;&gt;"",G5772&lt;&gt;""),IF(D5772="",IF(G5772="OH",VLOOKUP(E5772,UPAH!$C$4:$H$31,7,0),VLOOKUP(E5772,#REF!,4,0)),0),0)</f>
        <v>0</v>
      </c>
      <c r="J5772" s="16">
        <f>H5772*I5772</f>
        <v>0</v>
      </c>
    </row>
    <row r="5773" spans="1:10" ht="13.5" thickBot="1">
      <c r="A5773" s="27"/>
      <c r="B5773" s="110"/>
      <c r="D5773" s="417"/>
      <c r="E5773" s="418"/>
      <c r="F5773" s="418"/>
      <c r="G5773" s="419"/>
      <c r="H5773" s="420" t="s">
        <v>67</v>
      </c>
      <c r="I5773" s="421"/>
      <c r="J5773" s="396">
        <f>J5772</f>
        <v>0</v>
      </c>
    </row>
    <row r="5774" spans="1:10" ht="13">
      <c r="A5774" s="27"/>
      <c r="B5774" s="110"/>
      <c r="D5774" s="444" t="s">
        <v>68</v>
      </c>
      <c r="E5774" s="445" t="s">
        <v>69</v>
      </c>
      <c r="F5774" s="446"/>
      <c r="G5774" s="447"/>
      <c r="H5774" s="448"/>
      <c r="I5774" s="449">
        <f>IF(AND(E5774&lt;&gt;"",G5774&lt;&gt;""),IF(D5774="",IF(G5774="OH",VLOOKUP(E5774,UPAH!$C$4:$H$31,7,0),VLOOKUP(E5774,#REF!,4,0)),0),0)</f>
        <v>0</v>
      </c>
      <c r="J5774" s="16">
        <f>SUM(J5763:J5773)/2</f>
        <v>0</v>
      </c>
    </row>
    <row r="5775" spans="1:10" ht="13.5" thickBot="1">
      <c r="A5775" s="27"/>
      <c r="B5775" s="110"/>
      <c r="D5775" s="431" t="s">
        <v>70</v>
      </c>
      <c r="E5775" s="432" t="s">
        <v>477</v>
      </c>
      <c r="F5775" s="433"/>
      <c r="G5775" s="434"/>
      <c r="H5775" s="22">
        <v>0.1</v>
      </c>
      <c r="I5775" s="436"/>
      <c r="J5775" s="430">
        <f>H5775*J5774</f>
        <v>0</v>
      </c>
    </row>
    <row r="5776" spans="1:10" ht="13.5" thickBot="1">
      <c r="A5776" s="27"/>
      <c r="B5776" s="110"/>
      <c r="D5776" s="401" t="s">
        <v>71</v>
      </c>
      <c r="E5776" s="402" t="s">
        <v>72</v>
      </c>
      <c r="F5776" s="418"/>
      <c r="G5776" s="419"/>
      <c r="H5776" s="442"/>
      <c r="I5776" s="421">
        <f>IF(AND(E5776&lt;&gt;"",G5776&lt;&gt;""),IF(D5776="",IF(G5776="OH",VLOOKUP(E5776,UPAH!$C$4:$H$31,7,0),VLOOKUP(E5776,#REF!,4,0)),0),0)</f>
        <v>0</v>
      </c>
      <c r="J5776" s="396">
        <f>ROUNDDOWN(J5774+J5775,0)</f>
        <v>0</v>
      </c>
    </row>
    <row r="5777" spans="1:10" ht="13">
      <c r="A5777" s="27"/>
      <c r="B5777" s="110"/>
      <c r="D5777" s="11"/>
      <c r="E5777" s="11"/>
      <c r="H5777" s="443"/>
    </row>
    <row r="5778" spans="1:10" ht="13.5" thickBot="1">
      <c r="A5778" s="27"/>
      <c r="B5778" s="110"/>
      <c r="C5778" s="11" t="s">
        <v>1124</v>
      </c>
      <c r="D5778" s="10" t="s">
        <v>1125</v>
      </c>
      <c r="H5778" s="443"/>
    </row>
    <row r="5779" spans="1:10" ht="13.5" thickBot="1">
      <c r="A5779" s="27"/>
      <c r="B5779" s="110"/>
      <c r="D5779" s="401" t="s">
        <v>40</v>
      </c>
      <c r="E5779" s="402" t="s">
        <v>41</v>
      </c>
      <c r="F5779" s="402" t="s">
        <v>42</v>
      </c>
      <c r="G5779" s="403" t="s">
        <v>43</v>
      </c>
      <c r="H5779" s="404" t="s">
        <v>44</v>
      </c>
      <c r="I5779" s="402" t="s">
        <v>474</v>
      </c>
      <c r="J5779" s="405" t="s">
        <v>475</v>
      </c>
    </row>
    <row r="5780" spans="1:10" ht="13">
      <c r="A5780" s="27"/>
      <c r="B5780" s="110"/>
      <c r="D5780" s="406" t="s">
        <v>45</v>
      </c>
      <c r="E5780" s="13" t="s">
        <v>46</v>
      </c>
      <c r="F5780" s="14"/>
      <c r="G5780" s="15"/>
      <c r="H5780" s="451"/>
      <c r="I5780" s="412"/>
      <c r="J5780" s="16"/>
    </row>
    <row r="5781" spans="1:10" ht="13">
      <c r="A5781" s="27"/>
      <c r="B5781" s="110"/>
      <c r="D5781" s="409"/>
      <c r="E5781" s="13" t="s">
        <v>47</v>
      </c>
      <c r="F5781" s="13" t="s">
        <v>1918</v>
      </c>
      <c r="G5781" s="410" t="s">
        <v>48</v>
      </c>
      <c r="H5781" s="411">
        <v>8.4000000000000005E-2</v>
      </c>
      <c r="I5781" s="412">
        <f>IF(AND(E5781&lt;&gt;"",G5781&lt;&gt;""),IF(D5781="",IF(G5781="OH",VLOOKUP(F5781,UPAH!$B$4:$H$101,7,0),VLOOKUP(F5781,#REF!,4,0)),0),0)</f>
        <v>0</v>
      </c>
      <c r="J5781" s="16">
        <f>H5781*I5781</f>
        <v>0</v>
      </c>
    </row>
    <row r="5782" spans="1:10" ht="13">
      <c r="A5782" s="27"/>
      <c r="B5782" s="110"/>
      <c r="D5782" s="409"/>
      <c r="E5782" s="13" t="s">
        <v>476</v>
      </c>
      <c r="F5782" s="13" t="s">
        <v>1922</v>
      </c>
      <c r="G5782" s="410" t="s">
        <v>48</v>
      </c>
      <c r="H5782" s="411">
        <v>0.125</v>
      </c>
      <c r="I5782" s="412">
        <f>IF(AND(E5782&lt;&gt;"",G5782&lt;&gt;""),IF(D5782="",IF(G5782="OH",VLOOKUP(F5782,UPAH!$B$4:$H$101,7,0),VLOOKUP(F5782,#REF!,4,0)),0),0)</f>
        <v>0</v>
      </c>
      <c r="J5782" s="16">
        <f>H5782*I5782</f>
        <v>0</v>
      </c>
    </row>
    <row r="5783" spans="1:10" ht="13">
      <c r="A5783" s="27"/>
      <c r="B5783" s="110"/>
      <c r="D5783" s="409"/>
      <c r="E5783" s="13" t="s">
        <v>50</v>
      </c>
      <c r="F5783" s="13" t="s">
        <v>1928</v>
      </c>
      <c r="G5783" s="410" t="s">
        <v>48</v>
      </c>
      <c r="H5783" s="411">
        <v>1.2999999999999999E-2</v>
      </c>
      <c r="I5783" s="412">
        <f>IF(AND(E5783&lt;&gt;"",G5783&lt;&gt;""),IF(D5783="",IF(G5783="OH",VLOOKUP(F5783,UPAH!$B$4:$H$101,7,0),VLOOKUP(F5783,#REF!,4,0)),0),0)</f>
        <v>0</v>
      </c>
      <c r="J5783" s="16">
        <f>H5783*I5783</f>
        <v>0</v>
      </c>
    </row>
    <row r="5784" spans="1:10" ht="13.5" thickBot="1">
      <c r="A5784" s="27"/>
      <c r="B5784" s="110"/>
      <c r="D5784" s="409"/>
      <c r="E5784" s="13" t="s">
        <v>51</v>
      </c>
      <c r="F5784" s="13" t="s">
        <v>1929</v>
      </c>
      <c r="G5784" s="410" t="s">
        <v>48</v>
      </c>
      <c r="H5784" s="411">
        <v>4.0000000000000001E-3</v>
      </c>
      <c r="I5784" s="412">
        <f>IF(AND(E5784&lt;&gt;"",G5784&lt;&gt;""),IF(D5784="",IF(G5784="OH",VLOOKUP(F5784,UPAH!$B$4:$H$101,7,0),VLOOKUP(F5784,#REF!,4,0)),0),0)</f>
        <v>0</v>
      </c>
      <c r="J5784" s="16">
        <f>H5784*I5784</f>
        <v>0</v>
      </c>
    </row>
    <row r="5785" spans="1:10" ht="13.5" thickBot="1">
      <c r="A5785" s="27"/>
      <c r="B5785" s="110"/>
      <c r="D5785" s="417"/>
      <c r="E5785" s="418"/>
      <c r="F5785" s="418"/>
      <c r="G5785" s="419"/>
      <c r="H5785" s="420" t="s">
        <v>52</v>
      </c>
      <c r="I5785" s="421"/>
      <c r="J5785" s="396">
        <f>SUM(J5781:J5784)</f>
        <v>0</v>
      </c>
    </row>
    <row r="5786" spans="1:10" ht="13">
      <c r="A5786" s="27"/>
      <c r="B5786" s="110"/>
      <c r="D5786" s="406" t="s">
        <v>53</v>
      </c>
      <c r="E5786" s="13" t="s">
        <v>54</v>
      </c>
      <c r="F5786" s="14"/>
      <c r="G5786" s="15"/>
      <c r="H5786" s="451"/>
      <c r="I5786" s="412"/>
      <c r="J5786" s="16"/>
    </row>
    <row r="5787" spans="1:10" ht="13">
      <c r="A5787" s="27"/>
      <c r="B5787" s="110"/>
      <c r="D5787" s="409"/>
      <c r="E5787" s="13" t="s">
        <v>186</v>
      </c>
      <c r="F5787" s="14"/>
      <c r="G5787" s="410" t="s">
        <v>74</v>
      </c>
      <c r="H5787" s="411">
        <v>2.0499999999999998</v>
      </c>
      <c r="I5787" s="412">
        <f>'BAHAN '!G996</f>
        <v>0</v>
      </c>
      <c r="J5787" s="16">
        <f>H5787*I5787</f>
        <v>0</v>
      </c>
    </row>
    <row r="5788" spans="1:10" ht="13.5" thickBot="1">
      <c r="A5788" s="27"/>
      <c r="B5788" s="110"/>
      <c r="D5788" s="409"/>
      <c r="E5788" s="13" t="s">
        <v>178</v>
      </c>
      <c r="F5788" s="14"/>
      <c r="G5788" s="410" t="s">
        <v>87</v>
      </c>
      <c r="H5788" s="411">
        <v>6</v>
      </c>
      <c r="I5788" s="412">
        <f>'BAHAN '!G131</f>
        <v>0</v>
      </c>
      <c r="J5788" s="16">
        <f>H5788*I5788</f>
        <v>0</v>
      </c>
    </row>
    <row r="5789" spans="1:10" ht="13.5" thickBot="1">
      <c r="A5789" s="27"/>
      <c r="B5789" s="110"/>
      <c r="D5789" s="417"/>
      <c r="E5789" s="418"/>
      <c r="F5789" s="418"/>
      <c r="G5789" s="419"/>
      <c r="H5789" s="420" t="s">
        <v>64</v>
      </c>
      <c r="I5789" s="421"/>
      <c r="J5789" s="396">
        <f>SUM(J5787:J5788)</f>
        <v>0</v>
      </c>
    </row>
    <row r="5790" spans="1:10" ht="13.5" thickBot="1">
      <c r="A5790" s="27"/>
      <c r="B5790" s="110"/>
      <c r="D5790" s="406" t="s">
        <v>65</v>
      </c>
      <c r="E5790" s="13" t="s">
        <v>66</v>
      </c>
      <c r="F5790" s="14"/>
      <c r="G5790" s="15"/>
      <c r="H5790" s="451"/>
      <c r="I5790" s="412">
        <f>IF(AND(E5790&lt;&gt;"",G5790&lt;&gt;""),IF(D5790="",IF(G5790="OH",VLOOKUP(E5790,UPAH!$C$4:$H$31,7,0),VLOOKUP(E5790,#REF!,4,0)),0),0)</f>
        <v>0</v>
      </c>
      <c r="J5790" s="16">
        <f>H5790*I5790</f>
        <v>0</v>
      </c>
    </row>
    <row r="5791" spans="1:10" ht="13.5" thickBot="1">
      <c r="A5791" s="27"/>
      <c r="B5791" s="110"/>
      <c r="D5791" s="417"/>
      <c r="E5791" s="418"/>
      <c r="F5791" s="418"/>
      <c r="G5791" s="419"/>
      <c r="H5791" s="420" t="s">
        <v>67</v>
      </c>
      <c r="I5791" s="421"/>
      <c r="J5791" s="396">
        <f>J5790</f>
        <v>0</v>
      </c>
    </row>
    <row r="5792" spans="1:10" ht="13">
      <c r="A5792" s="27"/>
      <c r="B5792" s="110"/>
      <c r="D5792" s="444" t="s">
        <v>68</v>
      </c>
      <c r="E5792" s="445" t="s">
        <v>69</v>
      </c>
      <c r="F5792" s="446"/>
      <c r="G5792" s="447"/>
      <c r="H5792" s="448"/>
      <c r="I5792" s="449">
        <f>IF(AND(E5792&lt;&gt;"",G5792&lt;&gt;""),IF(D5792="",IF(G5792="OH",VLOOKUP(E5792,UPAH!$C$4:$H$31,7,0),VLOOKUP(E5792,#REF!,4,0)),0),0)</f>
        <v>0</v>
      </c>
      <c r="J5792" s="16">
        <f>SUM(J5781:J5791)/2</f>
        <v>0</v>
      </c>
    </row>
    <row r="5793" spans="1:10" ht="13.5" thickBot="1">
      <c r="A5793" s="27"/>
      <c r="B5793" s="110"/>
      <c r="D5793" s="431" t="s">
        <v>70</v>
      </c>
      <c r="E5793" s="432" t="s">
        <v>477</v>
      </c>
      <c r="F5793" s="433"/>
      <c r="G5793" s="434"/>
      <c r="H5793" s="22">
        <v>0.1</v>
      </c>
      <c r="I5793" s="436"/>
      <c r="J5793" s="430">
        <f>H5793*J5792</f>
        <v>0</v>
      </c>
    </row>
    <row r="5794" spans="1:10" ht="13.5" thickBot="1">
      <c r="A5794" s="27"/>
      <c r="B5794" s="110"/>
      <c r="D5794" s="401" t="s">
        <v>71</v>
      </c>
      <c r="E5794" s="402" t="s">
        <v>72</v>
      </c>
      <c r="F5794" s="418"/>
      <c r="G5794" s="419"/>
      <c r="H5794" s="442"/>
      <c r="I5794" s="421">
        <f>IF(AND(E5794&lt;&gt;"",G5794&lt;&gt;""),IF(D5794="",IF(G5794="OH",VLOOKUP(E5794,UPAH!$C$4:$H$31,7,0),VLOOKUP(E5794,#REF!,4,0)),0),0)</f>
        <v>0</v>
      </c>
      <c r="J5794" s="396">
        <f>ROUNDDOWN(J5792+J5793,0)</f>
        <v>0</v>
      </c>
    </row>
    <row r="5795" spans="1:10" ht="13">
      <c r="A5795" s="27"/>
      <c r="B5795" s="110"/>
      <c r="D5795" s="11"/>
      <c r="E5795" s="11"/>
      <c r="H5795" s="443"/>
    </row>
    <row r="5796" spans="1:10" ht="13.5" thickBot="1">
      <c r="A5796" s="27"/>
      <c r="B5796" s="110"/>
      <c r="C5796" s="11" t="s">
        <v>1126</v>
      </c>
      <c r="D5796" s="10" t="s">
        <v>1127</v>
      </c>
      <c r="H5796" s="443"/>
    </row>
    <row r="5797" spans="1:10" ht="13.5" thickBot="1">
      <c r="A5797" s="27"/>
      <c r="B5797" s="110"/>
      <c r="D5797" s="401" t="s">
        <v>40</v>
      </c>
      <c r="E5797" s="402" t="s">
        <v>41</v>
      </c>
      <c r="F5797" s="402" t="s">
        <v>42</v>
      </c>
      <c r="G5797" s="403" t="s">
        <v>43</v>
      </c>
      <c r="H5797" s="404" t="s">
        <v>44</v>
      </c>
      <c r="I5797" s="402" t="s">
        <v>474</v>
      </c>
      <c r="J5797" s="405" t="s">
        <v>475</v>
      </c>
    </row>
    <row r="5798" spans="1:10" ht="13">
      <c r="A5798" s="27"/>
      <c r="B5798" s="110"/>
      <c r="D5798" s="406" t="s">
        <v>45</v>
      </c>
      <c r="E5798" s="13" t="s">
        <v>46</v>
      </c>
      <c r="F5798" s="14"/>
      <c r="G5798" s="15"/>
      <c r="H5798" s="451"/>
      <c r="I5798" s="412"/>
      <c r="J5798" s="16"/>
    </row>
    <row r="5799" spans="1:10" ht="13">
      <c r="A5799" s="27"/>
      <c r="B5799" s="110"/>
      <c r="D5799" s="409"/>
      <c r="E5799" s="13" t="s">
        <v>47</v>
      </c>
      <c r="F5799" s="13" t="s">
        <v>1918</v>
      </c>
      <c r="G5799" s="410" t="s">
        <v>48</v>
      </c>
      <c r="H5799" s="411">
        <v>8.4000000000000005E-2</v>
      </c>
      <c r="I5799" s="412">
        <f>IF(AND(E5799&lt;&gt;"",G5799&lt;&gt;""),IF(D5799="",IF(G5799="OH",VLOOKUP(F5799,UPAH!$B$4:$H$101,7,0),VLOOKUP(F5799,#REF!,4,0)),0),0)</f>
        <v>0</v>
      </c>
      <c r="J5799" s="16">
        <f>H5799*I5799</f>
        <v>0</v>
      </c>
    </row>
    <row r="5800" spans="1:10" ht="13">
      <c r="A5800" s="27"/>
      <c r="B5800" s="110"/>
      <c r="D5800" s="409"/>
      <c r="E5800" s="13" t="s">
        <v>476</v>
      </c>
      <c r="F5800" s="13" t="s">
        <v>1922</v>
      </c>
      <c r="G5800" s="410" t="s">
        <v>48</v>
      </c>
      <c r="H5800" s="411">
        <v>0.125</v>
      </c>
      <c r="I5800" s="412">
        <f>IF(AND(E5800&lt;&gt;"",G5800&lt;&gt;""),IF(D5800="",IF(G5800="OH",VLOOKUP(F5800,UPAH!$B$4:$H$101,7,0),VLOOKUP(F5800,#REF!,4,0)),0),0)</f>
        <v>0</v>
      </c>
      <c r="J5800" s="16">
        <f>H5800*I5800</f>
        <v>0</v>
      </c>
    </row>
    <row r="5801" spans="1:10" ht="13">
      <c r="A5801" s="27"/>
      <c r="B5801" s="110"/>
      <c r="D5801" s="409"/>
      <c r="E5801" s="13" t="s">
        <v>50</v>
      </c>
      <c r="F5801" s="13" t="s">
        <v>1928</v>
      </c>
      <c r="G5801" s="410" t="s">
        <v>48</v>
      </c>
      <c r="H5801" s="411">
        <v>1.2999999999999999E-2</v>
      </c>
      <c r="I5801" s="412">
        <f>IF(AND(E5801&lt;&gt;"",G5801&lt;&gt;""),IF(D5801="",IF(G5801="OH",VLOOKUP(F5801,UPAH!$B$4:$H$101,7,0),VLOOKUP(F5801,#REF!,4,0)),0),0)</f>
        <v>0</v>
      </c>
      <c r="J5801" s="16">
        <f>H5801*I5801</f>
        <v>0</v>
      </c>
    </row>
    <row r="5802" spans="1:10" ht="13.5" thickBot="1">
      <c r="A5802" s="27"/>
      <c r="B5802" s="110"/>
      <c r="D5802" s="409"/>
      <c r="E5802" s="13" t="s">
        <v>51</v>
      </c>
      <c r="F5802" s="13" t="s">
        <v>1929</v>
      </c>
      <c r="G5802" s="410" t="s">
        <v>48</v>
      </c>
      <c r="H5802" s="411">
        <v>4.0000000000000001E-3</v>
      </c>
      <c r="I5802" s="412">
        <f>IF(AND(E5802&lt;&gt;"",G5802&lt;&gt;""),IF(D5802="",IF(G5802="OH",VLOOKUP(F5802,UPAH!$B$4:$H$101,7,0),VLOOKUP(F5802,#REF!,4,0)),0),0)</f>
        <v>0</v>
      </c>
      <c r="J5802" s="16">
        <f>H5802*I5802</f>
        <v>0</v>
      </c>
    </row>
    <row r="5803" spans="1:10" ht="13.5" thickBot="1">
      <c r="A5803" s="27"/>
      <c r="B5803" s="110"/>
      <c r="D5803" s="417"/>
      <c r="E5803" s="418"/>
      <c r="F5803" s="418"/>
      <c r="G5803" s="419"/>
      <c r="H5803" s="420" t="s">
        <v>52</v>
      </c>
      <c r="I5803" s="421"/>
      <c r="J5803" s="396">
        <f>SUM(J5799:J5802)</f>
        <v>0</v>
      </c>
    </row>
    <row r="5804" spans="1:10" ht="13">
      <c r="A5804" s="27"/>
      <c r="B5804" s="110"/>
      <c r="D5804" s="406" t="s">
        <v>53</v>
      </c>
      <c r="E5804" s="13" t="s">
        <v>54</v>
      </c>
      <c r="F5804" s="14"/>
      <c r="G5804" s="15"/>
      <c r="H5804" s="451"/>
      <c r="I5804" s="412"/>
      <c r="J5804" s="16"/>
    </row>
    <row r="5805" spans="1:10" ht="13">
      <c r="A5805" s="27"/>
      <c r="B5805" s="110"/>
      <c r="D5805" s="409"/>
      <c r="E5805" s="13" t="s">
        <v>405</v>
      </c>
      <c r="F5805" s="14"/>
      <c r="G5805" s="410" t="s">
        <v>74</v>
      </c>
      <c r="H5805" s="411">
        <v>1.2</v>
      </c>
      <c r="I5805" s="412">
        <f>'BAHAN '!G228</f>
        <v>0</v>
      </c>
      <c r="J5805" s="16">
        <f>H5805*I5805</f>
        <v>0</v>
      </c>
    </row>
    <row r="5806" spans="1:10" ht="13.5" thickBot="1">
      <c r="A5806" s="27"/>
      <c r="B5806" s="110"/>
      <c r="D5806" s="409"/>
      <c r="E5806" s="13" t="s">
        <v>178</v>
      </c>
      <c r="F5806" s="14"/>
      <c r="G5806" s="410" t="s">
        <v>87</v>
      </c>
      <c r="H5806" s="411">
        <v>6</v>
      </c>
      <c r="I5806" s="412">
        <f>'BAHAN '!G131</f>
        <v>0</v>
      </c>
      <c r="J5806" s="16">
        <f>H5806*I5806</f>
        <v>0</v>
      </c>
    </row>
    <row r="5807" spans="1:10" ht="13.5" thickBot="1">
      <c r="A5807" s="27"/>
      <c r="B5807" s="110"/>
      <c r="D5807" s="417"/>
      <c r="E5807" s="418"/>
      <c r="F5807" s="418"/>
      <c r="G5807" s="419"/>
      <c r="H5807" s="420" t="s">
        <v>64</v>
      </c>
      <c r="I5807" s="421"/>
      <c r="J5807" s="396">
        <f>SUM(J5805:J5806)</f>
        <v>0</v>
      </c>
    </row>
    <row r="5808" spans="1:10" ht="13.5" thickBot="1">
      <c r="A5808" s="27"/>
      <c r="B5808" s="110"/>
      <c r="D5808" s="406" t="s">
        <v>65</v>
      </c>
      <c r="E5808" s="13" t="s">
        <v>66</v>
      </c>
      <c r="F5808" s="14"/>
      <c r="G5808" s="15"/>
      <c r="H5808" s="451"/>
      <c r="I5808" s="412">
        <f>IF(AND(E5808&lt;&gt;"",G5808&lt;&gt;""),IF(D5808="",IF(G5808="OH",VLOOKUP(E5808,UPAH!$C$4:$H$31,7,0),VLOOKUP(E5808,#REF!,4,0)),0),0)</f>
        <v>0</v>
      </c>
      <c r="J5808" s="16">
        <f>H5808*I5808</f>
        <v>0</v>
      </c>
    </row>
    <row r="5809" spans="1:10" ht="13.5" thickBot="1">
      <c r="A5809" s="27"/>
      <c r="B5809" s="110"/>
      <c r="D5809" s="417"/>
      <c r="E5809" s="418"/>
      <c r="F5809" s="418"/>
      <c r="G5809" s="419"/>
      <c r="H5809" s="420" t="s">
        <v>67</v>
      </c>
      <c r="I5809" s="421"/>
      <c r="J5809" s="396">
        <f>J5808</f>
        <v>0</v>
      </c>
    </row>
    <row r="5810" spans="1:10" ht="13">
      <c r="A5810" s="27"/>
      <c r="B5810" s="110"/>
      <c r="D5810" s="444" t="s">
        <v>68</v>
      </c>
      <c r="E5810" s="445" t="s">
        <v>69</v>
      </c>
      <c r="F5810" s="446"/>
      <c r="G5810" s="447"/>
      <c r="H5810" s="448"/>
      <c r="I5810" s="449">
        <f>IF(AND(E5810&lt;&gt;"",G5810&lt;&gt;""),IF(D5810="",IF(G5810="OH",VLOOKUP(E5810,UPAH!$C$4:$H$31,7,0),VLOOKUP(E5810,#REF!,4,0)),0),0)</f>
        <v>0</v>
      </c>
      <c r="J5810" s="16">
        <f>SUM(J5799:J5809)/2</f>
        <v>0</v>
      </c>
    </row>
    <row r="5811" spans="1:10" ht="13.5" thickBot="1">
      <c r="A5811" s="27"/>
      <c r="B5811" s="110"/>
      <c r="D5811" s="431" t="s">
        <v>70</v>
      </c>
      <c r="E5811" s="432" t="s">
        <v>477</v>
      </c>
      <c r="F5811" s="433"/>
      <c r="G5811" s="434"/>
      <c r="H5811" s="22">
        <v>0.1</v>
      </c>
      <c r="I5811" s="436"/>
      <c r="J5811" s="430">
        <f>H5811*J5810</f>
        <v>0</v>
      </c>
    </row>
    <row r="5812" spans="1:10" ht="13.5" thickBot="1">
      <c r="A5812" s="27"/>
      <c r="B5812" s="110"/>
      <c r="D5812" s="401" t="s">
        <v>71</v>
      </c>
      <c r="E5812" s="402" t="s">
        <v>72</v>
      </c>
      <c r="F5812" s="418"/>
      <c r="G5812" s="419"/>
      <c r="H5812" s="442"/>
      <c r="I5812" s="421">
        <f>IF(AND(E5812&lt;&gt;"",G5812&lt;&gt;""),IF(D5812="",IF(G5812="OH",VLOOKUP(E5812,UPAH!$C$4:$H$31,7,0),VLOOKUP(E5812,#REF!,4,0)),0),0)</f>
        <v>0</v>
      </c>
      <c r="J5812" s="396">
        <f>ROUNDDOWN(J5810+J5811,0)</f>
        <v>0</v>
      </c>
    </row>
    <row r="5813" spans="1:10" ht="13">
      <c r="A5813" s="27"/>
      <c r="B5813" s="110"/>
      <c r="D5813" s="11"/>
      <c r="E5813" s="11"/>
      <c r="H5813" s="443"/>
    </row>
    <row r="5814" spans="1:10" ht="13.5" thickBot="1">
      <c r="A5814" s="27"/>
      <c r="B5814" s="110"/>
      <c r="C5814" s="11" t="s">
        <v>1128</v>
      </c>
      <c r="D5814" s="10" t="s">
        <v>1129</v>
      </c>
      <c r="H5814" s="443"/>
    </row>
    <row r="5815" spans="1:10" ht="13.5" thickBot="1">
      <c r="A5815" s="27"/>
      <c r="B5815" s="110"/>
      <c r="D5815" s="401" t="s">
        <v>40</v>
      </c>
      <c r="E5815" s="402" t="s">
        <v>41</v>
      </c>
      <c r="F5815" s="402" t="s">
        <v>42</v>
      </c>
      <c r="G5815" s="403" t="s">
        <v>43</v>
      </c>
      <c r="H5815" s="404" t="s">
        <v>44</v>
      </c>
      <c r="I5815" s="402" t="s">
        <v>474</v>
      </c>
      <c r="J5815" s="405" t="s">
        <v>475</v>
      </c>
    </row>
    <row r="5816" spans="1:10" ht="13">
      <c r="A5816" s="27"/>
      <c r="B5816" s="110"/>
      <c r="D5816" s="406" t="s">
        <v>45</v>
      </c>
      <c r="E5816" s="13" t="s">
        <v>46</v>
      </c>
      <c r="F5816" s="14"/>
      <c r="G5816" s="15"/>
      <c r="H5816" s="451"/>
      <c r="I5816" s="412"/>
      <c r="J5816" s="16"/>
    </row>
    <row r="5817" spans="1:10" ht="13">
      <c r="A5817" s="27"/>
      <c r="B5817" s="110"/>
      <c r="D5817" s="409"/>
      <c r="E5817" s="13" t="s">
        <v>47</v>
      </c>
      <c r="F5817" s="13" t="s">
        <v>1918</v>
      </c>
      <c r="G5817" s="410" t="s">
        <v>48</v>
      </c>
      <c r="H5817" s="411">
        <v>8.4000000000000005E-2</v>
      </c>
      <c r="I5817" s="412">
        <f>IF(AND(E5817&lt;&gt;"",G5817&lt;&gt;""),IF(D5817="",IF(G5817="OH",VLOOKUP(F5817,UPAH!$B$4:$H$101,7,0),VLOOKUP(F5817,#REF!,4,0)),0),0)</f>
        <v>0</v>
      </c>
      <c r="J5817" s="16">
        <f>H5817*I5817</f>
        <v>0</v>
      </c>
    </row>
    <row r="5818" spans="1:10" ht="13">
      <c r="A5818" s="27"/>
      <c r="B5818" s="110"/>
      <c r="D5818" s="409"/>
      <c r="E5818" s="13" t="s">
        <v>476</v>
      </c>
      <c r="F5818" s="13" t="s">
        <v>1922</v>
      </c>
      <c r="G5818" s="410" t="s">
        <v>48</v>
      </c>
      <c r="H5818" s="411">
        <v>0.125</v>
      </c>
      <c r="I5818" s="412">
        <f>IF(AND(E5818&lt;&gt;"",G5818&lt;&gt;""),IF(D5818="",IF(G5818="OH",VLOOKUP(F5818,UPAH!$B$4:$H$101,7,0),VLOOKUP(F5818,#REF!,4,0)),0),0)</f>
        <v>0</v>
      </c>
      <c r="J5818" s="16">
        <f>H5818*I5818</f>
        <v>0</v>
      </c>
    </row>
    <row r="5819" spans="1:10" ht="13">
      <c r="A5819" s="27"/>
      <c r="B5819" s="110"/>
      <c r="D5819" s="409"/>
      <c r="E5819" s="13" t="s">
        <v>50</v>
      </c>
      <c r="F5819" s="13" t="s">
        <v>1928</v>
      </c>
      <c r="G5819" s="410" t="s">
        <v>48</v>
      </c>
      <c r="H5819" s="411">
        <v>1.2999999999999999E-2</v>
      </c>
      <c r="I5819" s="412">
        <f>IF(AND(E5819&lt;&gt;"",G5819&lt;&gt;""),IF(D5819="",IF(G5819="OH",VLOOKUP(F5819,UPAH!$B$4:$H$101,7,0),VLOOKUP(F5819,#REF!,4,0)),0),0)</f>
        <v>0</v>
      </c>
      <c r="J5819" s="16">
        <f>H5819*I5819</f>
        <v>0</v>
      </c>
    </row>
    <row r="5820" spans="1:10" ht="13.5" thickBot="1">
      <c r="A5820" s="27"/>
      <c r="B5820" s="110"/>
      <c r="D5820" s="409"/>
      <c r="E5820" s="13" t="s">
        <v>51</v>
      </c>
      <c r="F5820" s="13" t="s">
        <v>1929</v>
      </c>
      <c r="G5820" s="410" t="s">
        <v>48</v>
      </c>
      <c r="H5820" s="411">
        <v>4.0000000000000001E-3</v>
      </c>
      <c r="I5820" s="412">
        <f>IF(AND(E5820&lt;&gt;"",G5820&lt;&gt;""),IF(D5820="",IF(G5820="OH",VLOOKUP(F5820,UPAH!$B$4:$H$101,7,0),VLOOKUP(F5820,#REF!,4,0)),0),0)</f>
        <v>0</v>
      </c>
      <c r="J5820" s="16">
        <f>H5820*I5820</f>
        <v>0</v>
      </c>
    </row>
    <row r="5821" spans="1:10" ht="13.5" thickBot="1">
      <c r="A5821" s="27"/>
      <c r="B5821" s="110"/>
      <c r="D5821" s="417"/>
      <c r="E5821" s="418"/>
      <c r="F5821" s="418"/>
      <c r="G5821" s="419"/>
      <c r="H5821" s="420" t="s">
        <v>52</v>
      </c>
      <c r="I5821" s="421"/>
      <c r="J5821" s="396">
        <f>SUM(J5817:J5820)</f>
        <v>0</v>
      </c>
    </row>
    <row r="5822" spans="1:10" ht="13">
      <c r="A5822" s="27"/>
      <c r="B5822" s="110"/>
      <c r="D5822" s="406" t="s">
        <v>53</v>
      </c>
      <c r="E5822" s="13" t="s">
        <v>54</v>
      </c>
      <c r="F5822" s="14"/>
      <c r="G5822" s="15"/>
      <c r="H5822" s="451"/>
      <c r="I5822" s="412"/>
      <c r="J5822" s="16"/>
    </row>
    <row r="5823" spans="1:10" ht="13">
      <c r="A5823" s="27"/>
      <c r="B5823" s="110"/>
      <c r="D5823" s="409"/>
      <c r="E5823" s="13" t="s">
        <v>405</v>
      </c>
      <c r="F5823" s="14"/>
      <c r="G5823" s="410" t="s">
        <v>74</v>
      </c>
      <c r="H5823" s="411">
        <v>1.2</v>
      </c>
      <c r="I5823" s="412">
        <f>'BAHAN '!G228</f>
        <v>0</v>
      </c>
      <c r="J5823" s="16">
        <f>H5823*I5823</f>
        <v>0</v>
      </c>
    </row>
    <row r="5824" spans="1:10" ht="13.5" thickBot="1">
      <c r="A5824" s="27"/>
      <c r="B5824" s="110"/>
      <c r="D5824" s="409"/>
      <c r="E5824" s="13" t="s">
        <v>178</v>
      </c>
      <c r="F5824" s="14"/>
      <c r="G5824" s="410" t="s">
        <v>87</v>
      </c>
      <c r="H5824" s="411">
        <v>6</v>
      </c>
      <c r="I5824" s="412">
        <f>'BAHAN '!G131</f>
        <v>0</v>
      </c>
      <c r="J5824" s="16">
        <f>H5824*I5824</f>
        <v>0</v>
      </c>
    </row>
    <row r="5825" spans="1:10" ht="13.5" thickBot="1">
      <c r="A5825" s="27"/>
      <c r="B5825" s="110"/>
      <c r="D5825" s="417"/>
      <c r="E5825" s="418"/>
      <c r="F5825" s="418"/>
      <c r="G5825" s="419"/>
      <c r="H5825" s="420" t="s">
        <v>64</v>
      </c>
      <c r="I5825" s="421"/>
      <c r="J5825" s="396">
        <f>SUM(J5823:J5824)</f>
        <v>0</v>
      </c>
    </row>
    <row r="5826" spans="1:10" ht="13.5" thickBot="1">
      <c r="A5826" s="27"/>
      <c r="B5826" s="110"/>
      <c r="D5826" s="406" t="s">
        <v>65</v>
      </c>
      <c r="E5826" s="13" t="s">
        <v>66</v>
      </c>
      <c r="F5826" s="14"/>
      <c r="G5826" s="15"/>
      <c r="H5826" s="451"/>
      <c r="I5826" s="412">
        <f>IF(AND(E5826&lt;&gt;"",G5826&lt;&gt;""),IF(D5826="",IF(G5826="OH",VLOOKUP(E5826,UPAH!$C$4:$H$31,7,0),VLOOKUP(E5826,#REF!,4,0)),0),0)</f>
        <v>0</v>
      </c>
      <c r="J5826" s="16">
        <f>H5826*I5826</f>
        <v>0</v>
      </c>
    </row>
    <row r="5827" spans="1:10" ht="13.5" thickBot="1">
      <c r="A5827" s="27"/>
      <c r="B5827" s="110"/>
      <c r="D5827" s="417"/>
      <c r="E5827" s="418"/>
      <c r="F5827" s="418"/>
      <c r="G5827" s="419"/>
      <c r="H5827" s="420" t="s">
        <v>67</v>
      </c>
      <c r="I5827" s="421"/>
      <c r="J5827" s="396">
        <f>J5826</f>
        <v>0</v>
      </c>
    </row>
    <row r="5828" spans="1:10" ht="13">
      <c r="A5828" s="27"/>
      <c r="B5828" s="110"/>
      <c r="D5828" s="444" t="s">
        <v>68</v>
      </c>
      <c r="E5828" s="445" t="s">
        <v>69</v>
      </c>
      <c r="F5828" s="446"/>
      <c r="G5828" s="447"/>
      <c r="H5828" s="448"/>
      <c r="I5828" s="449">
        <f>IF(AND(E5828&lt;&gt;"",G5828&lt;&gt;""),IF(D5828="",IF(G5828="OH",VLOOKUP(E5828,UPAH!$C$4:$H$31,7,0),VLOOKUP(E5828,#REF!,4,0)),0),0)</f>
        <v>0</v>
      </c>
      <c r="J5828" s="16">
        <f>SUM(J5817:J5827)/2</f>
        <v>0</v>
      </c>
    </row>
    <row r="5829" spans="1:10" ht="13.5" thickBot="1">
      <c r="A5829" s="27"/>
      <c r="B5829" s="110"/>
      <c r="D5829" s="431" t="s">
        <v>70</v>
      </c>
      <c r="E5829" s="432" t="s">
        <v>477</v>
      </c>
      <c r="F5829" s="433"/>
      <c r="G5829" s="434"/>
      <c r="H5829" s="22">
        <v>0.1</v>
      </c>
      <c r="I5829" s="436"/>
      <c r="J5829" s="430">
        <f>H5829*J5828</f>
        <v>0</v>
      </c>
    </row>
    <row r="5830" spans="1:10" ht="13.5" thickBot="1">
      <c r="A5830" s="27"/>
      <c r="B5830" s="110"/>
      <c r="D5830" s="401" t="s">
        <v>71</v>
      </c>
      <c r="E5830" s="402" t="s">
        <v>72</v>
      </c>
      <c r="F5830" s="418"/>
      <c r="G5830" s="419"/>
      <c r="H5830" s="442"/>
      <c r="I5830" s="421">
        <f>IF(AND(E5830&lt;&gt;"",G5830&lt;&gt;""),IF(D5830="",IF(G5830="OH",VLOOKUP(E5830,UPAH!$C$4:$H$31,7,0),VLOOKUP(E5830,#REF!,4,0)),0),0)</f>
        <v>0</v>
      </c>
      <c r="J5830" s="396">
        <f>ROUNDDOWN(J5828+J5829,0)</f>
        <v>0</v>
      </c>
    </row>
    <row r="5831" spans="1:10" ht="13">
      <c r="A5831" s="27"/>
      <c r="B5831" s="110"/>
      <c r="D5831" s="11"/>
      <c r="E5831" s="11"/>
      <c r="H5831" s="443"/>
    </row>
    <row r="5832" spans="1:10" ht="13.5" thickBot="1">
      <c r="A5832" s="27"/>
      <c r="B5832" s="110"/>
      <c r="C5832" s="11" t="s">
        <v>1130</v>
      </c>
      <c r="D5832" s="10" t="s">
        <v>1131</v>
      </c>
      <c r="H5832" s="443"/>
    </row>
    <row r="5833" spans="1:10" ht="13.5" thickBot="1">
      <c r="A5833" s="27"/>
      <c r="B5833" s="110"/>
      <c r="D5833" s="401" t="s">
        <v>40</v>
      </c>
      <c r="E5833" s="402" t="s">
        <v>41</v>
      </c>
      <c r="F5833" s="402" t="s">
        <v>42</v>
      </c>
      <c r="G5833" s="403" t="s">
        <v>43</v>
      </c>
      <c r="H5833" s="404" t="s">
        <v>44</v>
      </c>
      <c r="I5833" s="402" t="s">
        <v>474</v>
      </c>
      <c r="J5833" s="405" t="s">
        <v>475</v>
      </c>
    </row>
    <row r="5834" spans="1:10" ht="13">
      <c r="A5834" s="27"/>
      <c r="B5834" s="110"/>
      <c r="D5834" s="406" t="s">
        <v>45</v>
      </c>
      <c r="E5834" s="13" t="s">
        <v>46</v>
      </c>
      <c r="F5834" s="14"/>
      <c r="G5834" s="15"/>
      <c r="H5834" s="451"/>
      <c r="I5834" s="412"/>
      <c r="J5834" s="16"/>
    </row>
    <row r="5835" spans="1:10" ht="13">
      <c r="A5835" s="27"/>
      <c r="B5835" s="110"/>
      <c r="D5835" s="409"/>
      <c r="E5835" s="13" t="s">
        <v>47</v>
      </c>
      <c r="F5835" s="13" t="s">
        <v>1918</v>
      </c>
      <c r="G5835" s="410" t="s">
        <v>48</v>
      </c>
      <c r="H5835" s="411">
        <v>8.4000000000000005E-2</v>
      </c>
      <c r="I5835" s="412">
        <f>IF(AND(E5835&lt;&gt;"",G5835&lt;&gt;""),IF(D5835="",IF(G5835="OH",VLOOKUP(F5835,UPAH!$B$4:$H$101,7,0),VLOOKUP(F5835,#REF!,4,0)),0),0)</f>
        <v>0</v>
      </c>
      <c r="J5835" s="16">
        <f>H5835*I5835</f>
        <v>0</v>
      </c>
    </row>
    <row r="5836" spans="1:10" ht="13">
      <c r="A5836" s="27"/>
      <c r="B5836" s="110"/>
      <c r="D5836" s="409"/>
      <c r="E5836" s="13" t="s">
        <v>476</v>
      </c>
      <c r="F5836" s="13" t="s">
        <v>1922</v>
      </c>
      <c r="G5836" s="410" t="s">
        <v>48</v>
      </c>
      <c r="H5836" s="411">
        <v>0.125</v>
      </c>
      <c r="I5836" s="412">
        <f>IF(AND(E5836&lt;&gt;"",G5836&lt;&gt;""),IF(D5836="",IF(G5836="OH",VLOOKUP(F5836,UPAH!$B$4:$H$101,7,0),VLOOKUP(F5836,#REF!,4,0)),0),0)</f>
        <v>0</v>
      </c>
      <c r="J5836" s="16">
        <f>H5836*I5836</f>
        <v>0</v>
      </c>
    </row>
    <row r="5837" spans="1:10" ht="13">
      <c r="A5837" s="27"/>
      <c r="B5837" s="110"/>
      <c r="D5837" s="409"/>
      <c r="E5837" s="13" t="s">
        <v>50</v>
      </c>
      <c r="F5837" s="13" t="s">
        <v>1928</v>
      </c>
      <c r="G5837" s="410" t="s">
        <v>48</v>
      </c>
      <c r="H5837" s="411">
        <v>1.2999999999999999E-2</v>
      </c>
      <c r="I5837" s="412">
        <f>IF(AND(E5837&lt;&gt;"",G5837&lt;&gt;""),IF(D5837="",IF(G5837="OH",VLOOKUP(F5837,UPAH!$B$4:$H$101,7,0),VLOOKUP(F5837,#REF!,4,0)),0),0)</f>
        <v>0</v>
      </c>
      <c r="J5837" s="16">
        <f>H5837*I5837</f>
        <v>0</v>
      </c>
    </row>
    <row r="5838" spans="1:10" ht="13.5" thickBot="1">
      <c r="A5838" s="27"/>
      <c r="B5838" s="110"/>
      <c r="D5838" s="409"/>
      <c r="E5838" s="13" t="s">
        <v>51</v>
      </c>
      <c r="F5838" s="13" t="s">
        <v>1929</v>
      </c>
      <c r="G5838" s="410" t="s">
        <v>48</v>
      </c>
      <c r="H5838" s="411">
        <v>4.0000000000000001E-3</v>
      </c>
      <c r="I5838" s="412">
        <f>IF(AND(E5838&lt;&gt;"",G5838&lt;&gt;""),IF(D5838="",IF(G5838="OH",VLOOKUP(F5838,UPAH!$B$4:$H$101,7,0),VLOOKUP(F5838,#REF!,4,0)),0),0)</f>
        <v>0</v>
      </c>
      <c r="J5838" s="16">
        <f>H5838*I5838</f>
        <v>0</v>
      </c>
    </row>
    <row r="5839" spans="1:10" ht="13.5" thickBot="1">
      <c r="A5839" s="27"/>
      <c r="B5839" s="110"/>
      <c r="D5839" s="417"/>
      <c r="E5839" s="418"/>
      <c r="F5839" s="418"/>
      <c r="G5839" s="419"/>
      <c r="H5839" s="420" t="s">
        <v>52</v>
      </c>
      <c r="I5839" s="421"/>
      <c r="J5839" s="396">
        <f>SUM(J5835:J5838)</f>
        <v>0</v>
      </c>
    </row>
    <row r="5840" spans="1:10" ht="13">
      <c r="A5840" s="27"/>
      <c r="B5840" s="110"/>
      <c r="D5840" s="406" t="s">
        <v>53</v>
      </c>
      <c r="E5840" s="13" t="s">
        <v>54</v>
      </c>
      <c r="F5840" s="14"/>
      <c r="G5840" s="15"/>
      <c r="H5840" s="451"/>
      <c r="I5840" s="412"/>
      <c r="J5840" s="16"/>
    </row>
    <row r="5841" spans="1:10" ht="13">
      <c r="A5841" s="27"/>
      <c r="B5841" s="110"/>
      <c r="D5841" s="409"/>
      <c r="E5841" s="13" t="s">
        <v>405</v>
      </c>
      <c r="F5841" s="14"/>
      <c r="G5841" s="410" t="s">
        <v>74</v>
      </c>
      <c r="H5841" s="411">
        <v>1.2</v>
      </c>
      <c r="I5841" s="412">
        <f>'BAHAN '!G228</f>
        <v>0</v>
      </c>
      <c r="J5841" s="16">
        <f>H5841*I5841</f>
        <v>0</v>
      </c>
    </row>
    <row r="5842" spans="1:10" ht="13.5" thickBot="1">
      <c r="A5842" s="27"/>
      <c r="B5842" s="110"/>
      <c r="D5842" s="409"/>
      <c r="E5842" s="13" t="s">
        <v>178</v>
      </c>
      <c r="F5842" s="14"/>
      <c r="G5842" s="410" t="s">
        <v>87</v>
      </c>
      <c r="H5842" s="411">
        <v>6</v>
      </c>
      <c r="I5842" s="412">
        <f>'BAHAN '!G131</f>
        <v>0</v>
      </c>
      <c r="J5842" s="16">
        <f>H5842*I5842</f>
        <v>0</v>
      </c>
    </row>
    <row r="5843" spans="1:10" ht="13.5" thickBot="1">
      <c r="A5843" s="27"/>
      <c r="B5843" s="110"/>
      <c r="D5843" s="417"/>
      <c r="E5843" s="418"/>
      <c r="F5843" s="418"/>
      <c r="G5843" s="419"/>
      <c r="H5843" s="420" t="s">
        <v>64</v>
      </c>
      <c r="I5843" s="421"/>
      <c r="J5843" s="396">
        <f>SUM(J5841:J5842)</f>
        <v>0</v>
      </c>
    </row>
    <row r="5844" spans="1:10" ht="13.5" thickBot="1">
      <c r="A5844" s="27"/>
      <c r="B5844" s="110"/>
      <c r="D5844" s="406" t="s">
        <v>65</v>
      </c>
      <c r="E5844" s="13" t="s">
        <v>66</v>
      </c>
      <c r="F5844" s="14"/>
      <c r="G5844" s="15"/>
      <c r="H5844" s="451"/>
      <c r="I5844" s="412">
        <f>IF(AND(E5844&lt;&gt;"",G5844&lt;&gt;""),IF(D5844="",IF(G5844="OH",VLOOKUP(E5844,UPAH!$C$4:$H$31,7,0),VLOOKUP(E5844,#REF!,4,0)),0),0)</f>
        <v>0</v>
      </c>
      <c r="J5844" s="16">
        <f>H5844*I5844</f>
        <v>0</v>
      </c>
    </row>
    <row r="5845" spans="1:10" ht="13.5" thickBot="1">
      <c r="A5845" s="27"/>
      <c r="B5845" s="110"/>
      <c r="D5845" s="417"/>
      <c r="E5845" s="418"/>
      <c r="F5845" s="418"/>
      <c r="G5845" s="419"/>
      <c r="H5845" s="420" t="s">
        <v>67</v>
      </c>
      <c r="I5845" s="421"/>
      <c r="J5845" s="396">
        <f>J5844</f>
        <v>0</v>
      </c>
    </row>
    <row r="5846" spans="1:10" ht="13">
      <c r="A5846" s="27"/>
      <c r="B5846" s="110"/>
      <c r="D5846" s="444" t="s">
        <v>68</v>
      </c>
      <c r="E5846" s="445" t="s">
        <v>69</v>
      </c>
      <c r="F5846" s="446"/>
      <c r="G5846" s="447"/>
      <c r="H5846" s="448"/>
      <c r="I5846" s="449">
        <f>IF(AND(E5846&lt;&gt;"",G5846&lt;&gt;""),IF(D5846="",IF(G5846="OH",VLOOKUP(E5846,UPAH!$C$4:$H$31,7,0),VLOOKUP(E5846,#REF!,4,0)),0),0)</f>
        <v>0</v>
      </c>
      <c r="J5846" s="16">
        <f>SUM(J5835:J5845)/2</f>
        <v>0</v>
      </c>
    </row>
    <row r="5847" spans="1:10" ht="13.5" thickBot="1">
      <c r="A5847" s="27"/>
      <c r="B5847" s="110"/>
      <c r="D5847" s="431" t="s">
        <v>70</v>
      </c>
      <c r="E5847" s="432" t="s">
        <v>477</v>
      </c>
      <c r="F5847" s="433"/>
      <c r="G5847" s="434"/>
      <c r="H5847" s="22">
        <v>0.1</v>
      </c>
      <c r="I5847" s="436"/>
      <c r="J5847" s="430">
        <f>H5847*J5846</f>
        <v>0</v>
      </c>
    </row>
    <row r="5848" spans="1:10" ht="13.5" thickBot="1">
      <c r="A5848" s="27"/>
      <c r="B5848" s="110"/>
      <c r="D5848" s="401" t="s">
        <v>71</v>
      </c>
      <c r="E5848" s="402" t="s">
        <v>72</v>
      </c>
      <c r="F5848" s="418"/>
      <c r="G5848" s="419"/>
      <c r="H5848" s="442"/>
      <c r="I5848" s="421">
        <f>IF(AND(E5848&lt;&gt;"",G5848&lt;&gt;""),IF(D5848="",IF(G5848="OH",VLOOKUP(E5848,UPAH!$C$4:$H$31,7,0),VLOOKUP(E5848,#REF!,4,0)),0),0)</f>
        <v>0</v>
      </c>
      <c r="J5848" s="396">
        <f>ROUNDDOWN(J5846+J5847,0)</f>
        <v>0</v>
      </c>
    </row>
    <row r="5849" spans="1:10" ht="13">
      <c r="A5849" s="27"/>
      <c r="B5849" s="110"/>
      <c r="D5849" s="11"/>
      <c r="E5849" s="11"/>
      <c r="H5849" s="443"/>
    </row>
    <row r="5850" spans="1:10" ht="13.5" thickBot="1">
      <c r="A5850" s="27"/>
      <c r="B5850" s="110"/>
      <c r="C5850" s="11" t="s">
        <v>1132</v>
      </c>
      <c r="D5850" s="10" t="s">
        <v>1133</v>
      </c>
      <c r="H5850" s="443"/>
    </row>
    <row r="5851" spans="1:10" ht="13.5" thickBot="1">
      <c r="A5851" s="27"/>
      <c r="B5851" s="110"/>
      <c r="D5851" s="401" t="s">
        <v>40</v>
      </c>
      <c r="E5851" s="402" t="s">
        <v>41</v>
      </c>
      <c r="F5851" s="402" t="s">
        <v>42</v>
      </c>
      <c r="G5851" s="403" t="s">
        <v>43</v>
      </c>
      <c r="H5851" s="404" t="s">
        <v>44</v>
      </c>
      <c r="I5851" s="402" t="s">
        <v>474</v>
      </c>
      <c r="J5851" s="405" t="s">
        <v>475</v>
      </c>
    </row>
    <row r="5852" spans="1:10" ht="13">
      <c r="A5852" s="27"/>
      <c r="B5852" s="110"/>
      <c r="D5852" s="406" t="s">
        <v>45</v>
      </c>
      <c r="E5852" s="13" t="s">
        <v>46</v>
      </c>
      <c r="F5852" s="14"/>
      <c r="G5852" s="15"/>
      <c r="H5852" s="451"/>
      <c r="I5852" s="412"/>
      <c r="J5852" s="16"/>
    </row>
    <row r="5853" spans="1:10" ht="13">
      <c r="A5853" s="27"/>
      <c r="B5853" s="110"/>
      <c r="D5853" s="409"/>
      <c r="E5853" s="13" t="s">
        <v>47</v>
      </c>
      <c r="F5853" s="13" t="s">
        <v>1918</v>
      </c>
      <c r="G5853" s="410" t="s">
        <v>48</v>
      </c>
      <c r="H5853" s="411">
        <v>0.1</v>
      </c>
      <c r="I5853" s="412">
        <f>IF(AND(E5853&lt;&gt;"",G5853&lt;&gt;""),IF(D5853="",IF(G5853="OH",VLOOKUP(F5853,UPAH!$B$4:$H$101,7,0),VLOOKUP(F5853,#REF!,4,0)),0),0)</f>
        <v>0</v>
      </c>
      <c r="J5853" s="16">
        <f>H5853*I5853</f>
        <v>0</v>
      </c>
    </row>
    <row r="5854" spans="1:10" ht="13">
      <c r="A5854" s="27"/>
      <c r="B5854" s="110"/>
      <c r="D5854" s="409"/>
      <c r="E5854" s="13" t="s">
        <v>476</v>
      </c>
      <c r="F5854" s="13" t="s">
        <v>1922</v>
      </c>
      <c r="G5854" s="410" t="s">
        <v>48</v>
      </c>
      <c r="H5854" s="411">
        <v>0.15</v>
      </c>
      <c r="I5854" s="412">
        <f>IF(AND(E5854&lt;&gt;"",G5854&lt;&gt;""),IF(D5854="",IF(G5854="OH",VLOOKUP(F5854,UPAH!$B$4:$H$101,7,0),VLOOKUP(F5854,#REF!,4,0)),0),0)</f>
        <v>0</v>
      </c>
      <c r="J5854" s="16">
        <f>H5854*I5854</f>
        <v>0</v>
      </c>
    </row>
    <row r="5855" spans="1:10" ht="13">
      <c r="A5855" s="27"/>
      <c r="B5855" s="110"/>
      <c r="D5855" s="409"/>
      <c r="E5855" s="13" t="s">
        <v>50</v>
      </c>
      <c r="F5855" s="13" t="s">
        <v>1928</v>
      </c>
      <c r="G5855" s="410" t="s">
        <v>48</v>
      </c>
      <c r="H5855" s="411">
        <v>1.2999999999999999E-2</v>
      </c>
      <c r="I5855" s="412">
        <f>IF(AND(E5855&lt;&gt;"",G5855&lt;&gt;""),IF(D5855="",IF(G5855="OH",VLOOKUP(F5855,UPAH!$B$4:$H$101,7,0),VLOOKUP(F5855,#REF!,4,0)),0),0)</f>
        <v>0</v>
      </c>
      <c r="J5855" s="16">
        <f>H5855*I5855</f>
        <v>0</v>
      </c>
    </row>
    <row r="5856" spans="1:10" ht="13.5" thickBot="1">
      <c r="A5856" s="27"/>
      <c r="B5856" s="110"/>
      <c r="D5856" s="409"/>
      <c r="E5856" s="13" t="s">
        <v>51</v>
      </c>
      <c r="F5856" s="13" t="s">
        <v>1929</v>
      </c>
      <c r="G5856" s="410" t="s">
        <v>48</v>
      </c>
      <c r="H5856" s="411">
        <v>4.0000000000000001E-3</v>
      </c>
      <c r="I5856" s="412">
        <f>IF(AND(E5856&lt;&gt;"",G5856&lt;&gt;""),IF(D5856="",IF(G5856="OH",VLOOKUP(F5856,UPAH!$B$4:$H$101,7,0),VLOOKUP(F5856,#REF!,4,0)),0),0)</f>
        <v>0</v>
      </c>
      <c r="J5856" s="16">
        <f>H5856*I5856</f>
        <v>0</v>
      </c>
    </row>
    <row r="5857" spans="1:10" ht="13.5" thickBot="1">
      <c r="A5857" s="27"/>
      <c r="B5857" s="110"/>
      <c r="D5857" s="417"/>
      <c r="E5857" s="418"/>
      <c r="F5857" s="418"/>
      <c r="G5857" s="419"/>
      <c r="H5857" s="420" t="s">
        <v>52</v>
      </c>
      <c r="I5857" s="421"/>
      <c r="J5857" s="396">
        <f>SUM(J5853:J5856)</f>
        <v>0</v>
      </c>
    </row>
    <row r="5858" spans="1:10" ht="13">
      <c r="A5858" s="27"/>
      <c r="B5858" s="110"/>
      <c r="D5858" s="406" t="s">
        <v>53</v>
      </c>
      <c r="E5858" s="13" t="s">
        <v>54</v>
      </c>
      <c r="F5858" s="14"/>
      <c r="G5858" s="15"/>
      <c r="H5858" s="451"/>
      <c r="I5858" s="412"/>
      <c r="J5858" s="16"/>
    </row>
    <row r="5859" spans="1:10" ht="13">
      <c r="A5859" s="27"/>
      <c r="B5859" s="110"/>
      <c r="D5859" s="409"/>
      <c r="E5859" s="13" t="s">
        <v>405</v>
      </c>
      <c r="F5859" s="14"/>
      <c r="G5859" s="410" t="s">
        <v>74</v>
      </c>
      <c r="H5859" s="411">
        <v>1.1000000000000001</v>
      </c>
      <c r="I5859" s="412">
        <f>'BAHAN '!G227</f>
        <v>0</v>
      </c>
      <c r="J5859" s="16">
        <f>H5859*I5859</f>
        <v>0</v>
      </c>
    </row>
    <row r="5860" spans="1:10" ht="13.5" thickBot="1">
      <c r="A5860" s="27"/>
      <c r="B5860" s="110"/>
      <c r="D5860" s="409"/>
      <c r="E5860" s="13" t="s">
        <v>178</v>
      </c>
      <c r="F5860" s="14"/>
      <c r="G5860" s="410" t="s">
        <v>87</v>
      </c>
      <c r="H5860" s="411">
        <v>6</v>
      </c>
      <c r="I5860" s="412">
        <f>'BAHAN '!G131</f>
        <v>0</v>
      </c>
      <c r="J5860" s="16">
        <f>H5860*I5860</f>
        <v>0</v>
      </c>
    </row>
    <row r="5861" spans="1:10" ht="13.5" thickBot="1">
      <c r="A5861" s="27"/>
      <c r="B5861" s="110"/>
      <c r="D5861" s="417"/>
      <c r="E5861" s="418"/>
      <c r="F5861" s="418"/>
      <c r="G5861" s="419"/>
      <c r="H5861" s="420" t="s">
        <v>64</v>
      </c>
      <c r="I5861" s="421"/>
      <c r="J5861" s="396">
        <f>SUM(J5859:J5860)</f>
        <v>0</v>
      </c>
    </row>
    <row r="5862" spans="1:10" ht="13.5" thickBot="1">
      <c r="A5862" s="27"/>
      <c r="B5862" s="110"/>
      <c r="D5862" s="406" t="s">
        <v>65</v>
      </c>
      <c r="E5862" s="13" t="s">
        <v>66</v>
      </c>
      <c r="F5862" s="14"/>
      <c r="G5862" s="15"/>
      <c r="H5862" s="451"/>
      <c r="I5862" s="412">
        <f>IF(AND(E5862&lt;&gt;"",G5862&lt;&gt;""),IF(D5862="",IF(G5862="OH",VLOOKUP(E5862,UPAH!$C$4:$H$31,7,0),VLOOKUP(E5862,#REF!,4,0)),0),0)</f>
        <v>0</v>
      </c>
      <c r="J5862" s="16">
        <f>H5862*I5862</f>
        <v>0</v>
      </c>
    </row>
    <row r="5863" spans="1:10" ht="13.5" thickBot="1">
      <c r="A5863" s="27"/>
      <c r="B5863" s="110"/>
      <c r="D5863" s="417"/>
      <c r="E5863" s="418"/>
      <c r="F5863" s="418"/>
      <c r="G5863" s="419"/>
      <c r="H5863" s="420" t="s">
        <v>67</v>
      </c>
      <c r="I5863" s="421"/>
      <c r="J5863" s="396">
        <f>J5862</f>
        <v>0</v>
      </c>
    </row>
    <row r="5864" spans="1:10" ht="13">
      <c r="A5864" s="27"/>
      <c r="B5864" s="110"/>
      <c r="D5864" s="444" t="s">
        <v>68</v>
      </c>
      <c r="E5864" s="445" t="s">
        <v>69</v>
      </c>
      <c r="F5864" s="446"/>
      <c r="G5864" s="447"/>
      <c r="H5864" s="448"/>
      <c r="I5864" s="449">
        <f>IF(AND(E5864&lt;&gt;"",G5864&lt;&gt;""),IF(D5864="",IF(G5864="OH",VLOOKUP(E5864,UPAH!$C$4:$H$31,7,0),VLOOKUP(E5864,#REF!,4,0)),0),0)</f>
        <v>0</v>
      </c>
      <c r="J5864" s="16">
        <f>SUM(J5853:J5863)/2</f>
        <v>0</v>
      </c>
    </row>
    <row r="5865" spans="1:10" ht="13.5" thickBot="1">
      <c r="A5865" s="27"/>
      <c r="B5865" s="110"/>
      <c r="D5865" s="431" t="s">
        <v>70</v>
      </c>
      <c r="E5865" s="432" t="s">
        <v>477</v>
      </c>
      <c r="F5865" s="433"/>
      <c r="G5865" s="434"/>
      <c r="H5865" s="22">
        <v>0.1</v>
      </c>
      <c r="I5865" s="436"/>
      <c r="J5865" s="430">
        <f>H5865*J5864</f>
        <v>0</v>
      </c>
    </row>
    <row r="5866" spans="1:10" ht="13.5" thickBot="1">
      <c r="A5866" s="27"/>
      <c r="B5866" s="110"/>
      <c r="D5866" s="401" t="s">
        <v>71</v>
      </c>
      <c r="E5866" s="402" t="s">
        <v>72</v>
      </c>
      <c r="F5866" s="418"/>
      <c r="G5866" s="419"/>
      <c r="H5866" s="442"/>
      <c r="I5866" s="421">
        <f>IF(AND(E5866&lt;&gt;"",G5866&lt;&gt;""),IF(D5866="",IF(G5866="OH",VLOOKUP(E5866,UPAH!$C$4:$H$31,7,0),VLOOKUP(E5866,#REF!,4,0)),0),0)</f>
        <v>0</v>
      </c>
      <c r="J5866" s="396">
        <f>ROUNDDOWN(J5864+J5865,0)</f>
        <v>0</v>
      </c>
    </row>
    <row r="5867" spans="1:10" ht="13">
      <c r="A5867" s="27"/>
      <c r="B5867" s="110"/>
      <c r="D5867" s="11"/>
      <c r="E5867" s="11"/>
      <c r="H5867" s="443"/>
    </row>
    <row r="5868" spans="1:10" ht="13.5" thickBot="1">
      <c r="A5868" s="27"/>
      <c r="B5868" s="110"/>
      <c r="C5868" s="11" t="s">
        <v>1134</v>
      </c>
      <c r="D5868" s="10" t="s">
        <v>1135</v>
      </c>
      <c r="H5868" s="443"/>
    </row>
    <row r="5869" spans="1:10" ht="13.5" thickBot="1">
      <c r="A5869" s="27"/>
      <c r="B5869" s="110"/>
      <c r="D5869" s="401" t="s">
        <v>40</v>
      </c>
      <c r="E5869" s="402" t="s">
        <v>41</v>
      </c>
      <c r="F5869" s="402" t="s">
        <v>42</v>
      </c>
      <c r="G5869" s="403" t="s">
        <v>43</v>
      </c>
      <c r="H5869" s="404" t="s">
        <v>44</v>
      </c>
      <c r="I5869" s="402" t="s">
        <v>474</v>
      </c>
      <c r="J5869" s="405" t="s">
        <v>475</v>
      </c>
    </row>
    <row r="5870" spans="1:10" ht="13">
      <c r="A5870" s="27"/>
      <c r="B5870" s="110"/>
      <c r="D5870" s="406" t="s">
        <v>45</v>
      </c>
      <c r="E5870" s="13" t="s">
        <v>46</v>
      </c>
      <c r="F5870" s="14"/>
      <c r="G5870" s="15"/>
      <c r="H5870" s="451"/>
      <c r="I5870" s="412"/>
      <c r="J5870" s="16"/>
    </row>
    <row r="5871" spans="1:10" ht="13">
      <c r="A5871" s="27"/>
      <c r="B5871" s="110"/>
      <c r="D5871" s="409"/>
      <c r="E5871" s="13" t="s">
        <v>47</v>
      </c>
      <c r="F5871" s="13" t="s">
        <v>1918</v>
      </c>
      <c r="G5871" s="410" t="s">
        <v>48</v>
      </c>
      <c r="H5871" s="411">
        <v>8.4000000000000005E-2</v>
      </c>
      <c r="I5871" s="412">
        <f>IF(AND(E5871&lt;&gt;"",G5871&lt;&gt;""),IF(D5871="",IF(G5871="OH",VLOOKUP(F5871,UPAH!$B$4:$H$101,7,0),VLOOKUP(F5871,#REF!,4,0)),0),0)</f>
        <v>0</v>
      </c>
      <c r="J5871" s="16">
        <f>H5871*I5871</f>
        <v>0</v>
      </c>
    </row>
    <row r="5872" spans="1:10" ht="13">
      <c r="A5872" s="27"/>
      <c r="B5872" s="110"/>
      <c r="D5872" s="409"/>
      <c r="E5872" s="13" t="s">
        <v>476</v>
      </c>
      <c r="F5872" s="13" t="s">
        <v>1922</v>
      </c>
      <c r="G5872" s="410" t="s">
        <v>48</v>
      </c>
      <c r="H5872" s="411">
        <v>0.125</v>
      </c>
      <c r="I5872" s="412">
        <f>IF(AND(E5872&lt;&gt;"",G5872&lt;&gt;""),IF(D5872="",IF(G5872="OH",VLOOKUP(F5872,UPAH!$B$4:$H$101,7,0),VLOOKUP(F5872,#REF!,4,0)),0),0)</f>
        <v>0</v>
      </c>
      <c r="J5872" s="16">
        <f>H5872*I5872</f>
        <v>0</v>
      </c>
    </row>
    <row r="5873" spans="1:10" ht="13">
      <c r="A5873" s="27"/>
      <c r="B5873" s="110"/>
      <c r="D5873" s="409"/>
      <c r="E5873" s="13" t="s">
        <v>50</v>
      </c>
      <c r="F5873" s="13" t="s">
        <v>1928</v>
      </c>
      <c r="G5873" s="410" t="s">
        <v>48</v>
      </c>
      <c r="H5873" s="411">
        <v>1.2999999999999999E-2</v>
      </c>
      <c r="I5873" s="412">
        <f>IF(AND(E5873&lt;&gt;"",G5873&lt;&gt;""),IF(D5873="",IF(G5873="OH",VLOOKUP(F5873,UPAH!$B$4:$H$101,7,0),VLOOKUP(F5873,#REF!,4,0)),0),0)</f>
        <v>0</v>
      </c>
      <c r="J5873" s="16">
        <f>H5873*I5873</f>
        <v>0</v>
      </c>
    </row>
    <row r="5874" spans="1:10" ht="13.5" thickBot="1">
      <c r="A5874" s="27"/>
      <c r="B5874" s="110"/>
      <c r="D5874" s="409"/>
      <c r="E5874" s="13" t="s">
        <v>51</v>
      </c>
      <c r="F5874" s="13" t="s">
        <v>1929</v>
      </c>
      <c r="G5874" s="410" t="s">
        <v>48</v>
      </c>
      <c r="H5874" s="411">
        <v>4.0000000000000001E-3</v>
      </c>
      <c r="I5874" s="412">
        <f>IF(AND(E5874&lt;&gt;"",G5874&lt;&gt;""),IF(D5874="",IF(G5874="OH",VLOOKUP(F5874,UPAH!$B$4:$H$101,7,0),VLOOKUP(F5874,#REF!,4,0)),0),0)</f>
        <v>0</v>
      </c>
      <c r="J5874" s="16">
        <f>H5874*I5874</f>
        <v>0</v>
      </c>
    </row>
    <row r="5875" spans="1:10" ht="13.5" thickBot="1">
      <c r="A5875" s="27"/>
      <c r="B5875" s="110"/>
      <c r="D5875" s="417"/>
      <c r="E5875" s="418"/>
      <c r="F5875" s="418"/>
      <c r="G5875" s="419"/>
      <c r="H5875" s="420" t="s">
        <v>52</v>
      </c>
      <c r="I5875" s="421"/>
      <c r="J5875" s="396">
        <f>SUM(J5871:J5874)</f>
        <v>0</v>
      </c>
    </row>
    <row r="5876" spans="1:10" ht="13">
      <c r="A5876" s="27"/>
      <c r="B5876" s="110"/>
      <c r="D5876" s="406" t="s">
        <v>53</v>
      </c>
      <c r="E5876" s="13" t="s">
        <v>54</v>
      </c>
      <c r="F5876" s="14"/>
      <c r="G5876" s="15"/>
      <c r="H5876" s="451"/>
      <c r="I5876" s="412"/>
      <c r="J5876" s="16"/>
    </row>
    <row r="5877" spans="1:10" ht="13">
      <c r="A5877" s="27"/>
      <c r="B5877" s="110"/>
      <c r="D5877" s="409"/>
      <c r="E5877" s="13" t="s">
        <v>405</v>
      </c>
      <c r="F5877" s="14"/>
      <c r="G5877" s="410" t="s">
        <v>74</v>
      </c>
      <c r="H5877" s="411">
        <v>1.1000000000000001</v>
      </c>
      <c r="I5877" s="412">
        <f>$I$5859</f>
        <v>0</v>
      </c>
      <c r="J5877" s="16">
        <f>H5877*I5877</f>
        <v>0</v>
      </c>
    </row>
    <row r="5878" spans="1:10" ht="13.5" thickBot="1">
      <c r="A5878" s="27"/>
      <c r="B5878" s="110"/>
      <c r="D5878" s="409"/>
      <c r="E5878" s="13" t="s">
        <v>178</v>
      </c>
      <c r="F5878" s="14"/>
      <c r="G5878" s="410" t="s">
        <v>87</v>
      </c>
      <c r="H5878" s="411">
        <v>6</v>
      </c>
      <c r="I5878" s="412">
        <f>'BAHAN '!G131</f>
        <v>0</v>
      </c>
      <c r="J5878" s="16">
        <f>H5878*I5878</f>
        <v>0</v>
      </c>
    </row>
    <row r="5879" spans="1:10" ht="13.5" thickBot="1">
      <c r="A5879" s="27"/>
      <c r="B5879" s="110"/>
      <c r="D5879" s="417"/>
      <c r="E5879" s="418"/>
      <c r="F5879" s="418"/>
      <c r="G5879" s="419"/>
      <c r="H5879" s="420" t="s">
        <v>64</v>
      </c>
      <c r="I5879" s="421"/>
      <c r="J5879" s="396">
        <f>SUM(J5877:J5878)</f>
        <v>0</v>
      </c>
    </row>
    <row r="5880" spans="1:10" ht="13.5" thickBot="1">
      <c r="A5880" s="27"/>
      <c r="B5880" s="110"/>
      <c r="D5880" s="406" t="s">
        <v>65</v>
      </c>
      <c r="E5880" s="13" t="s">
        <v>66</v>
      </c>
      <c r="F5880" s="14"/>
      <c r="G5880" s="15"/>
      <c r="H5880" s="451"/>
      <c r="I5880" s="412">
        <f>IF(AND(E5880&lt;&gt;"",G5880&lt;&gt;""),IF(D5880="",IF(G5880="OH",VLOOKUP(E5880,UPAH!$C$4:$H$31,7,0),VLOOKUP(E5880,#REF!,4,0)),0),0)</f>
        <v>0</v>
      </c>
      <c r="J5880" s="16">
        <f>H5880*I5880</f>
        <v>0</v>
      </c>
    </row>
    <row r="5881" spans="1:10" ht="13.5" thickBot="1">
      <c r="A5881" s="27"/>
      <c r="B5881" s="110"/>
      <c r="D5881" s="417"/>
      <c r="E5881" s="418"/>
      <c r="F5881" s="418"/>
      <c r="G5881" s="419"/>
      <c r="H5881" s="420" t="s">
        <v>67</v>
      </c>
      <c r="I5881" s="421"/>
      <c r="J5881" s="396">
        <f>J5880</f>
        <v>0</v>
      </c>
    </row>
    <row r="5882" spans="1:10" ht="13">
      <c r="A5882" s="27"/>
      <c r="B5882" s="110"/>
      <c r="D5882" s="444" t="s">
        <v>68</v>
      </c>
      <c r="E5882" s="445" t="s">
        <v>69</v>
      </c>
      <c r="F5882" s="446"/>
      <c r="G5882" s="447"/>
      <c r="H5882" s="448"/>
      <c r="I5882" s="449">
        <f>IF(AND(E5882&lt;&gt;"",G5882&lt;&gt;""),IF(D5882="",IF(G5882="OH",VLOOKUP(E5882,UPAH!$C$4:$H$31,7,0),VLOOKUP(E5882,#REF!,4,0)),0),0)</f>
        <v>0</v>
      </c>
      <c r="J5882" s="16">
        <f>SUM(J5871:J5881)/2</f>
        <v>0</v>
      </c>
    </row>
    <row r="5883" spans="1:10" ht="13.5" thickBot="1">
      <c r="A5883" s="27"/>
      <c r="B5883" s="110"/>
      <c r="D5883" s="431" t="s">
        <v>70</v>
      </c>
      <c r="E5883" s="432" t="s">
        <v>477</v>
      </c>
      <c r="F5883" s="433"/>
      <c r="G5883" s="434"/>
      <c r="H5883" s="22">
        <v>0.1</v>
      </c>
      <c r="I5883" s="436"/>
      <c r="J5883" s="430">
        <f>H5883*J5882</f>
        <v>0</v>
      </c>
    </row>
    <row r="5884" spans="1:10" ht="13.5" thickBot="1">
      <c r="A5884" s="27"/>
      <c r="B5884" s="110"/>
      <c r="D5884" s="401" t="s">
        <v>71</v>
      </c>
      <c r="E5884" s="402" t="s">
        <v>72</v>
      </c>
      <c r="F5884" s="418"/>
      <c r="G5884" s="419"/>
      <c r="H5884" s="442"/>
      <c r="I5884" s="421">
        <f>IF(AND(E5884&lt;&gt;"",G5884&lt;&gt;""),IF(D5884="",IF(G5884="OH",VLOOKUP(E5884,UPAH!$C$4:$H$31,7,0),VLOOKUP(E5884,#REF!,4,0)),0),0)</f>
        <v>0</v>
      </c>
      <c r="J5884" s="396">
        <f>ROUNDDOWN(J5882+J5883,0)</f>
        <v>0</v>
      </c>
    </row>
    <row r="5885" spans="1:10" ht="13">
      <c r="A5885" s="27"/>
      <c r="B5885" s="110"/>
      <c r="D5885" s="11"/>
      <c r="E5885" s="11"/>
      <c r="H5885" s="443"/>
    </row>
    <row r="5886" spans="1:10" ht="13.5" thickBot="1">
      <c r="A5886" s="27"/>
      <c r="B5886" s="110"/>
      <c r="C5886" s="11" t="s">
        <v>1136</v>
      </c>
      <c r="D5886" s="10" t="s">
        <v>1137</v>
      </c>
      <c r="H5886" s="443"/>
    </row>
    <row r="5887" spans="1:10" ht="13.5" thickBot="1">
      <c r="A5887" s="27"/>
      <c r="B5887" s="110"/>
      <c r="D5887" s="401" t="s">
        <v>40</v>
      </c>
      <c r="E5887" s="402" t="s">
        <v>41</v>
      </c>
      <c r="F5887" s="402" t="s">
        <v>42</v>
      </c>
      <c r="G5887" s="403" t="s">
        <v>43</v>
      </c>
      <c r="H5887" s="404" t="s">
        <v>44</v>
      </c>
      <c r="I5887" s="402" t="s">
        <v>474</v>
      </c>
      <c r="J5887" s="405" t="s">
        <v>475</v>
      </c>
    </row>
    <row r="5888" spans="1:10" ht="13">
      <c r="A5888" s="27"/>
      <c r="B5888" s="110"/>
      <c r="D5888" s="406" t="s">
        <v>45</v>
      </c>
      <c r="E5888" s="13" t="s">
        <v>46</v>
      </c>
      <c r="F5888" s="14"/>
      <c r="G5888" s="15"/>
      <c r="H5888" s="451"/>
      <c r="I5888" s="412"/>
      <c r="J5888" s="16"/>
    </row>
    <row r="5889" spans="1:10" ht="13">
      <c r="A5889" s="27"/>
      <c r="B5889" s="110"/>
      <c r="D5889" s="409"/>
      <c r="E5889" s="13" t="s">
        <v>47</v>
      </c>
      <c r="F5889" s="13" t="s">
        <v>1918</v>
      </c>
      <c r="G5889" s="410" t="s">
        <v>48</v>
      </c>
      <c r="H5889" s="411">
        <v>0.2</v>
      </c>
      <c r="I5889" s="412">
        <f>IF(AND(E5889&lt;&gt;"",G5889&lt;&gt;""),IF(D5889="",IF(G5889="OH",VLOOKUP(F5889,UPAH!$B$4:$H$101,7,0),VLOOKUP(F5889,#REF!,4,0)),0),0)</f>
        <v>0</v>
      </c>
      <c r="J5889" s="16">
        <f>H5889*I5889</f>
        <v>0</v>
      </c>
    </row>
    <row r="5890" spans="1:10" ht="13">
      <c r="A5890" s="27"/>
      <c r="B5890" s="110"/>
      <c r="D5890" s="409"/>
      <c r="E5890" s="13" t="s">
        <v>476</v>
      </c>
      <c r="F5890" s="13" t="s">
        <v>1922</v>
      </c>
      <c r="G5890" s="410" t="s">
        <v>48</v>
      </c>
      <c r="H5890" s="411">
        <v>0.1</v>
      </c>
      <c r="I5890" s="412">
        <f>IF(AND(E5890&lt;&gt;"",G5890&lt;&gt;""),IF(D5890="",IF(G5890="OH",VLOOKUP(F5890,UPAH!$B$4:$H$101,7,0),VLOOKUP(F5890,#REF!,4,0)),0),0)</f>
        <v>0</v>
      </c>
      <c r="J5890" s="16">
        <f>H5890*I5890</f>
        <v>0</v>
      </c>
    </row>
    <row r="5891" spans="1:10" ht="13">
      <c r="A5891" s="27"/>
      <c r="B5891" s="110"/>
      <c r="D5891" s="409"/>
      <c r="E5891" s="13" t="s">
        <v>50</v>
      </c>
      <c r="F5891" s="13" t="s">
        <v>1928</v>
      </c>
      <c r="G5891" s="410" t="s">
        <v>48</v>
      </c>
      <c r="H5891" s="411">
        <v>0.01</v>
      </c>
      <c r="I5891" s="412">
        <f>IF(AND(E5891&lt;&gt;"",G5891&lt;&gt;""),IF(D5891="",IF(G5891="OH",VLOOKUP(F5891,UPAH!$B$4:$H$101,7,0),VLOOKUP(F5891,#REF!,4,0)),0),0)</f>
        <v>0</v>
      </c>
      <c r="J5891" s="16">
        <f>H5891*I5891</f>
        <v>0</v>
      </c>
    </row>
    <row r="5892" spans="1:10" ht="13.5" thickBot="1">
      <c r="A5892" s="27"/>
      <c r="B5892" s="110"/>
      <c r="D5892" s="409"/>
      <c r="E5892" s="13" t="s">
        <v>51</v>
      </c>
      <c r="F5892" s="13" t="s">
        <v>1929</v>
      </c>
      <c r="G5892" s="410" t="s">
        <v>48</v>
      </c>
      <c r="H5892" s="411">
        <v>0.01</v>
      </c>
      <c r="I5892" s="412">
        <f>IF(AND(E5892&lt;&gt;"",G5892&lt;&gt;""),IF(D5892="",IF(G5892="OH",VLOOKUP(F5892,UPAH!$B$4:$H$101,7,0),VLOOKUP(F5892,#REF!,4,0)),0),0)</f>
        <v>0</v>
      </c>
      <c r="J5892" s="16">
        <f>H5892*I5892</f>
        <v>0</v>
      </c>
    </row>
    <row r="5893" spans="1:10" ht="13.5" thickBot="1">
      <c r="A5893" s="27"/>
      <c r="B5893" s="110"/>
      <c r="D5893" s="417"/>
      <c r="E5893" s="418"/>
      <c r="F5893" s="418"/>
      <c r="G5893" s="419"/>
      <c r="H5893" s="420" t="s">
        <v>52</v>
      </c>
      <c r="I5893" s="421"/>
      <c r="J5893" s="396">
        <f>SUM(J5889:J5892)</f>
        <v>0</v>
      </c>
    </row>
    <row r="5894" spans="1:10" ht="13">
      <c r="A5894" s="27"/>
      <c r="B5894" s="110"/>
      <c r="D5894" s="406" t="s">
        <v>53</v>
      </c>
      <c r="E5894" s="13" t="s">
        <v>54</v>
      </c>
      <c r="F5894" s="14"/>
      <c r="G5894" s="15"/>
      <c r="H5894" s="451"/>
      <c r="I5894" s="412"/>
      <c r="J5894" s="16"/>
    </row>
    <row r="5895" spans="1:10" ht="13">
      <c r="A5895" s="27"/>
      <c r="B5895" s="110"/>
      <c r="D5895" s="409"/>
      <c r="E5895" s="13" t="s">
        <v>187</v>
      </c>
      <c r="F5895" s="14"/>
      <c r="G5895" s="410" t="s">
        <v>87</v>
      </c>
      <c r="H5895" s="411">
        <v>11</v>
      </c>
      <c r="I5895" s="412">
        <f>'BAHAN '!G217</f>
        <v>0</v>
      </c>
      <c r="J5895" s="16">
        <f>H5895*I5895</f>
        <v>0</v>
      </c>
    </row>
    <row r="5896" spans="1:10" ht="13.5" thickBot="1">
      <c r="A5896" s="27"/>
      <c r="B5896" s="110"/>
      <c r="D5896" s="409"/>
      <c r="E5896" s="13" t="s">
        <v>486</v>
      </c>
      <c r="F5896" s="14"/>
      <c r="G5896" s="410" t="s">
        <v>57</v>
      </c>
      <c r="H5896" s="411">
        <v>0.03</v>
      </c>
      <c r="I5896" s="412">
        <f>'BAHAN '!G127</f>
        <v>0</v>
      </c>
      <c r="J5896" s="16">
        <f>H5896*I5896</f>
        <v>0</v>
      </c>
    </row>
    <row r="5897" spans="1:10" ht="13.5" thickBot="1">
      <c r="A5897" s="27"/>
      <c r="B5897" s="110"/>
      <c r="D5897" s="417"/>
      <c r="E5897" s="418"/>
      <c r="F5897" s="418"/>
      <c r="G5897" s="419"/>
      <c r="H5897" s="420" t="s">
        <v>64</v>
      </c>
      <c r="I5897" s="421"/>
      <c r="J5897" s="396">
        <f>SUM(J5895:J5896)</f>
        <v>0</v>
      </c>
    </row>
    <row r="5898" spans="1:10" ht="13.5" thickBot="1">
      <c r="A5898" s="27"/>
      <c r="B5898" s="110"/>
      <c r="D5898" s="406" t="s">
        <v>65</v>
      </c>
      <c r="E5898" s="13" t="s">
        <v>66</v>
      </c>
      <c r="F5898" s="14"/>
      <c r="G5898" s="15"/>
      <c r="H5898" s="451"/>
      <c r="I5898" s="412">
        <f>IF(AND(E5898&lt;&gt;"",G5898&lt;&gt;""),IF(D5898="",IF(G5898="OH",VLOOKUP(E5898,UPAH!$C$4:$H$31,7,0),VLOOKUP(E5898,#REF!,4,0)),0),0)</f>
        <v>0</v>
      </c>
      <c r="J5898" s="16">
        <f>H5898*I5898</f>
        <v>0</v>
      </c>
    </row>
    <row r="5899" spans="1:10" ht="13.5" thickBot="1">
      <c r="A5899" s="27"/>
      <c r="B5899" s="110"/>
      <c r="D5899" s="417"/>
      <c r="E5899" s="418"/>
      <c r="F5899" s="418"/>
      <c r="G5899" s="419"/>
      <c r="H5899" s="420" t="s">
        <v>67</v>
      </c>
      <c r="I5899" s="421"/>
      <c r="J5899" s="396">
        <f>J5898</f>
        <v>0</v>
      </c>
    </row>
    <row r="5900" spans="1:10" ht="13">
      <c r="A5900" s="27"/>
      <c r="B5900" s="110"/>
      <c r="D5900" s="444" t="s">
        <v>68</v>
      </c>
      <c r="E5900" s="445" t="s">
        <v>69</v>
      </c>
      <c r="F5900" s="446"/>
      <c r="G5900" s="447"/>
      <c r="H5900" s="448"/>
      <c r="I5900" s="449">
        <f>IF(AND(E5900&lt;&gt;"",G5900&lt;&gt;""),IF(D5900="",IF(G5900="OH",VLOOKUP(E5900,UPAH!$C$4:$H$31,7,0),VLOOKUP(E5900,#REF!,4,0)),0),0)</f>
        <v>0</v>
      </c>
      <c r="J5900" s="16">
        <f>SUM(J5889:J5899)/2</f>
        <v>0</v>
      </c>
    </row>
    <row r="5901" spans="1:10" ht="13.5" thickBot="1">
      <c r="A5901" s="27"/>
      <c r="B5901" s="110"/>
      <c r="D5901" s="431" t="s">
        <v>70</v>
      </c>
      <c r="E5901" s="432" t="s">
        <v>477</v>
      </c>
      <c r="F5901" s="433"/>
      <c r="G5901" s="434"/>
      <c r="H5901" s="22">
        <v>0.1</v>
      </c>
      <c r="I5901" s="436"/>
      <c r="J5901" s="430">
        <f>H5901*J5900</f>
        <v>0</v>
      </c>
    </row>
    <row r="5902" spans="1:10" ht="13.5" thickBot="1">
      <c r="A5902" s="27"/>
      <c r="B5902" s="110"/>
      <c r="D5902" s="401" t="s">
        <v>71</v>
      </c>
      <c r="E5902" s="402" t="s">
        <v>72</v>
      </c>
      <c r="F5902" s="418"/>
      <c r="G5902" s="419"/>
      <c r="H5902" s="442"/>
      <c r="I5902" s="421">
        <f>IF(AND(E5902&lt;&gt;"",G5902&lt;&gt;""),IF(D5902="",IF(G5902="OH",VLOOKUP(E5902,UPAH!$C$4:$H$31,7,0),VLOOKUP(E5902,#REF!,4,0)),0),0)</f>
        <v>0</v>
      </c>
      <c r="J5902" s="396">
        <f>ROUNDDOWN(J5900+J5901,0)</f>
        <v>0</v>
      </c>
    </row>
    <row r="5903" spans="1:10" ht="13">
      <c r="A5903" s="27"/>
      <c r="B5903" s="110"/>
      <c r="D5903" s="11"/>
      <c r="E5903" s="11"/>
      <c r="H5903" s="443"/>
    </row>
    <row r="5904" spans="1:10" ht="13.5" thickBot="1">
      <c r="A5904" s="27"/>
      <c r="B5904" s="110"/>
      <c r="C5904" s="11" t="s">
        <v>1138</v>
      </c>
      <c r="D5904" s="10" t="s">
        <v>1139</v>
      </c>
      <c r="H5904" s="443"/>
    </row>
    <row r="5905" spans="1:10" ht="13.5" thickBot="1">
      <c r="A5905" s="27"/>
      <c r="B5905" s="110"/>
      <c r="D5905" s="401" t="s">
        <v>40</v>
      </c>
      <c r="E5905" s="402" t="s">
        <v>41</v>
      </c>
      <c r="F5905" s="402" t="s">
        <v>42</v>
      </c>
      <c r="G5905" s="403" t="s">
        <v>43</v>
      </c>
      <c r="H5905" s="404" t="s">
        <v>44</v>
      </c>
      <c r="I5905" s="402" t="s">
        <v>474</v>
      </c>
      <c r="J5905" s="405" t="s">
        <v>475</v>
      </c>
    </row>
    <row r="5906" spans="1:10" ht="13">
      <c r="A5906" s="27"/>
      <c r="B5906" s="110"/>
      <c r="D5906" s="406" t="s">
        <v>45</v>
      </c>
      <c r="E5906" s="13" t="s">
        <v>46</v>
      </c>
      <c r="F5906" s="14"/>
      <c r="G5906" s="15"/>
      <c r="H5906" s="451"/>
      <c r="I5906" s="412"/>
      <c r="J5906" s="16"/>
    </row>
    <row r="5907" spans="1:10" ht="13">
      <c r="A5907" s="27"/>
      <c r="B5907" s="110"/>
      <c r="D5907" s="409"/>
      <c r="E5907" s="13" t="s">
        <v>47</v>
      </c>
      <c r="F5907" s="13" t="s">
        <v>1918</v>
      </c>
      <c r="G5907" s="410" t="s">
        <v>48</v>
      </c>
      <c r="H5907" s="411">
        <v>0.2</v>
      </c>
      <c r="I5907" s="412">
        <f>IF(AND(E5907&lt;&gt;"",G5907&lt;&gt;""),IF(D5907="",IF(G5907="OH",VLOOKUP(F5907,UPAH!$B$4:$H$101,7,0),VLOOKUP(F5907,#REF!,4,0)),0),0)</f>
        <v>0</v>
      </c>
      <c r="J5907" s="16">
        <f>H5907*I5907</f>
        <v>0</v>
      </c>
    </row>
    <row r="5908" spans="1:10" ht="13">
      <c r="A5908" s="27"/>
      <c r="B5908" s="110"/>
      <c r="D5908" s="409"/>
      <c r="E5908" s="13" t="s">
        <v>476</v>
      </c>
      <c r="F5908" s="13" t="s">
        <v>1922</v>
      </c>
      <c r="G5908" s="410" t="s">
        <v>48</v>
      </c>
      <c r="H5908" s="411">
        <v>0.3</v>
      </c>
      <c r="I5908" s="412">
        <f>IF(AND(E5908&lt;&gt;"",G5908&lt;&gt;""),IF(D5908="",IF(G5908="OH",VLOOKUP(F5908,UPAH!$B$4:$H$101,7,0),VLOOKUP(F5908,#REF!,4,0)),0),0)</f>
        <v>0</v>
      </c>
      <c r="J5908" s="16">
        <f>H5908*I5908</f>
        <v>0</v>
      </c>
    </row>
    <row r="5909" spans="1:10" ht="13">
      <c r="A5909" s="27"/>
      <c r="B5909" s="110"/>
      <c r="D5909" s="409"/>
      <c r="E5909" s="13" t="s">
        <v>50</v>
      </c>
      <c r="F5909" s="13" t="s">
        <v>1928</v>
      </c>
      <c r="G5909" s="410" t="s">
        <v>48</v>
      </c>
      <c r="H5909" s="411">
        <v>3.0000000000000001E-3</v>
      </c>
      <c r="I5909" s="412">
        <f>IF(AND(E5909&lt;&gt;"",G5909&lt;&gt;""),IF(D5909="",IF(G5909="OH",VLOOKUP(F5909,UPAH!$B$4:$H$101,7,0),VLOOKUP(F5909,#REF!,4,0)),0),0)</f>
        <v>0</v>
      </c>
      <c r="J5909" s="16">
        <f>H5909*I5909</f>
        <v>0</v>
      </c>
    </row>
    <row r="5910" spans="1:10" ht="13.5" thickBot="1">
      <c r="A5910" s="27"/>
      <c r="B5910" s="110"/>
      <c r="D5910" s="409"/>
      <c r="E5910" s="13" t="s">
        <v>51</v>
      </c>
      <c r="F5910" s="13" t="s">
        <v>1929</v>
      </c>
      <c r="G5910" s="410" t="s">
        <v>48</v>
      </c>
      <c r="H5910" s="411">
        <v>0.01</v>
      </c>
      <c r="I5910" s="412">
        <f>IF(AND(E5910&lt;&gt;"",G5910&lt;&gt;""),IF(D5910="",IF(G5910="OH",VLOOKUP(F5910,UPAH!$B$4:$H$101,7,0),VLOOKUP(F5910,#REF!,4,0)),0),0)</f>
        <v>0</v>
      </c>
      <c r="J5910" s="16">
        <f>H5910*I5910</f>
        <v>0</v>
      </c>
    </row>
    <row r="5911" spans="1:10" ht="13.5" thickBot="1">
      <c r="A5911" s="27"/>
      <c r="B5911" s="110"/>
      <c r="D5911" s="417"/>
      <c r="E5911" s="418"/>
      <c r="F5911" s="418"/>
      <c r="G5911" s="419"/>
      <c r="H5911" s="420" t="s">
        <v>52</v>
      </c>
      <c r="I5911" s="421"/>
      <c r="J5911" s="396">
        <f>SUM(J5907:J5910)</f>
        <v>0</v>
      </c>
    </row>
    <row r="5912" spans="1:10" ht="13">
      <c r="A5912" s="27"/>
      <c r="B5912" s="110"/>
      <c r="D5912" s="406" t="s">
        <v>53</v>
      </c>
      <c r="E5912" s="13" t="s">
        <v>54</v>
      </c>
      <c r="F5912" s="14"/>
      <c r="G5912" s="15"/>
      <c r="H5912" s="451"/>
      <c r="I5912" s="412"/>
      <c r="J5912" s="16"/>
    </row>
    <row r="5913" spans="1:10" ht="13">
      <c r="A5913" s="27"/>
      <c r="B5913" s="110"/>
      <c r="D5913" s="409"/>
      <c r="E5913" s="13" t="s">
        <v>188</v>
      </c>
      <c r="F5913" s="14"/>
      <c r="G5913" s="410" t="s">
        <v>87</v>
      </c>
      <c r="H5913" s="411">
        <v>6.9</v>
      </c>
      <c r="I5913" s="412">
        <f>'BAHAN '!G216</f>
        <v>0</v>
      </c>
      <c r="J5913" s="16">
        <f>H5913*I5913</f>
        <v>0</v>
      </c>
    </row>
    <row r="5914" spans="1:10" ht="13">
      <c r="A5914" s="27"/>
      <c r="B5914" s="110"/>
      <c r="D5914" s="409"/>
      <c r="E5914" s="13" t="s">
        <v>509</v>
      </c>
      <c r="F5914" s="14"/>
      <c r="G5914" s="410" t="s">
        <v>74</v>
      </c>
      <c r="H5914" s="411">
        <v>0.35</v>
      </c>
      <c r="I5914" s="412">
        <f>'BAHAN '!G808</f>
        <v>0</v>
      </c>
      <c r="J5914" s="16">
        <f>H5914*I5914</f>
        <v>0</v>
      </c>
    </row>
    <row r="5915" spans="1:10" ht="13">
      <c r="A5915" s="27"/>
      <c r="B5915" s="110"/>
      <c r="D5915" s="409"/>
      <c r="E5915" s="13" t="s">
        <v>83</v>
      </c>
      <c r="F5915" s="14"/>
      <c r="G5915" s="410" t="s">
        <v>57</v>
      </c>
      <c r="H5915" s="411">
        <v>0.03</v>
      </c>
      <c r="I5915" s="412">
        <f>'BAHAN '!G127</f>
        <v>0</v>
      </c>
      <c r="J5915" s="16">
        <f>H5915*I5915</f>
        <v>0</v>
      </c>
    </row>
    <row r="5916" spans="1:10" ht="13.5" thickBot="1">
      <c r="A5916" s="27"/>
      <c r="B5916" s="110"/>
      <c r="D5916" s="409"/>
      <c r="E5916" s="13" t="s">
        <v>189</v>
      </c>
      <c r="F5916" s="14"/>
      <c r="G5916" s="410" t="s">
        <v>87</v>
      </c>
      <c r="H5916" s="411">
        <v>0.5</v>
      </c>
      <c r="I5916" s="412"/>
      <c r="J5916" s="16">
        <f>H5916*I5916</f>
        <v>0</v>
      </c>
    </row>
    <row r="5917" spans="1:10" ht="13.5" thickBot="1">
      <c r="A5917" s="27"/>
      <c r="B5917" s="110"/>
      <c r="D5917" s="417"/>
      <c r="E5917" s="418"/>
      <c r="F5917" s="418"/>
      <c r="G5917" s="419"/>
      <c r="H5917" s="420" t="s">
        <v>64</v>
      </c>
      <c r="I5917" s="421"/>
      <c r="J5917" s="396">
        <f>SUM(J5913:J5916)</f>
        <v>0</v>
      </c>
    </row>
    <row r="5918" spans="1:10" ht="13.5" thickBot="1">
      <c r="A5918" s="27"/>
      <c r="B5918" s="110"/>
      <c r="D5918" s="406" t="s">
        <v>65</v>
      </c>
      <c r="E5918" s="13" t="s">
        <v>66</v>
      </c>
      <c r="F5918" s="14"/>
      <c r="G5918" s="15"/>
      <c r="H5918" s="451"/>
      <c r="I5918" s="412">
        <f>IF(AND(E5918&lt;&gt;"",G5918&lt;&gt;""),IF(D5918="",IF(G5918="OH",VLOOKUP(E5918,UPAH!$C$4:$H$31,7,0),VLOOKUP(E5918,#REF!,4,0)),0),0)</f>
        <v>0</v>
      </c>
      <c r="J5918" s="16">
        <f>H5918*I5918</f>
        <v>0</v>
      </c>
    </row>
    <row r="5919" spans="1:10" ht="13.5" thickBot="1">
      <c r="A5919" s="27"/>
      <c r="B5919" s="110"/>
      <c r="D5919" s="417"/>
      <c r="E5919" s="418"/>
      <c r="F5919" s="418"/>
      <c r="G5919" s="419"/>
      <c r="H5919" s="420" t="s">
        <v>67</v>
      </c>
      <c r="I5919" s="421"/>
      <c r="J5919" s="396">
        <f>J5918</f>
        <v>0</v>
      </c>
    </row>
    <row r="5920" spans="1:10" ht="13">
      <c r="A5920" s="27"/>
      <c r="B5920" s="110"/>
      <c r="D5920" s="444" t="s">
        <v>68</v>
      </c>
      <c r="E5920" s="445" t="s">
        <v>69</v>
      </c>
      <c r="F5920" s="446"/>
      <c r="G5920" s="447"/>
      <c r="H5920" s="448"/>
      <c r="I5920" s="449">
        <f>IF(AND(E5920&lt;&gt;"",G5920&lt;&gt;""),IF(D5920="",IF(G5920="OH",VLOOKUP(E5920,UPAH!$C$4:$H$31,7,0),VLOOKUP(E5920,#REF!,4,0)),0),0)</f>
        <v>0</v>
      </c>
      <c r="J5920" s="16">
        <f>SUM(J5907:J5919)/2</f>
        <v>0</v>
      </c>
    </row>
    <row r="5921" spans="1:10" ht="13.5" thickBot="1">
      <c r="A5921" s="27"/>
      <c r="B5921" s="110"/>
      <c r="D5921" s="431" t="s">
        <v>70</v>
      </c>
      <c r="E5921" s="432" t="s">
        <v>477</v>
      </c>
      <c r="F5921" s="433"/>
      <c r="G5921" s="434"/>
      <c r="H5921" s="22">
        <v>0.1</v>
      </c>
      <c r="I5921" s="436"/>
      <c r="J5921" s="430">
        <f>H5921*J5920</f>
        <v>0</v>
      </c>
    </row>
    <row r="5922" spans="1:10" ht="13.5" thickBot="1">
      <c r="A5922" s="27"/>
      <c r="B5922" s="110"/>
      <c r="D5922" s="401" t="s">
        <v>71</v>
      </c>
      <c r="E5922" s="402" t="s">
        <v>72</v>
      </c>
      <c r="F5922" s="418"/>
      <c r="G5922" s="419"/>
      <c r="H5922" s="442"/>
      <c r="I5922" s="421">
        <f>IF(AND(E5922&lt;&gt;"",G5922&lt;&gt;""),IF(D5922="",IF(G5922="OH",VLOOKUP(E5922,UPAH!$C$4:$H$31,7,0),VLOOKUP(E5922,#REF!,4,0)),0),0)</f>
        <v>0</v>
      </c>
      <c r="J5922" s="396">
        <f>ROUNDDOWN(J5920+J5921,0)</f>
        <v>0</v>
      </c>
    </row>
    <row r="5923" spans="1:10" ht="13">
      <c r="A5923" s="27"/>
      <c r="B5923" s="110"/>
      <c r="D5923" s="11"/>
      <c r="E5923" s="11"/>
      <c r="H5923" s="443"/>
    </row>
    <row r="5924" spans="1:10" ht="13.5" thickBot="1">
      <c r="A5924" s="27"/>
      <c r="B5924" s="110"/>
      <c r="C5924" s="456" t="s">
        <v>1140</v>
      </c>
      <c r="D5924" s="10" t="s">
        <v>1141</v>
      </c>
      <c r="E5924" s="11"/>
      <c r="H5924" s="443"/>
    </row>
    <row r="5925" spans="1:10" ht="13.5" thickBot="1">
      <c r="A5925" s="27"/>
      <c r="B5925" s="110"/>
      <c r="D5925" s="401" t="s">
        <v>40</v>
      </c>
      <c r="E5925" s="402" t="s">
        <v>41</v>
      </c>
      <c r="F5925" s="402" t="s">
        <v>42</v>
      </c>
      <c r="G5925" s="403" t="s">
        <v>43</v>
      </c>
      <c r="H5925" s="404" t="s">
        <v>44</v>
      </c>
      <c r="I5925" s="402" t="s">
        <v>474</v>
      </c>
      <c r="J5925" s="405" t="s">
        <v>475</v>
      </c>
    </row>
    <row r="5926" spans="1:10" ht="13">
      <c r="A5926" s="27"/>
      <c r="B5926" s="110"/>
      <c r="D5926" s="406" t="s">
        <v>45</v>
      </c>
      <c r="E5926" s="13" t="s">
        <v>46</v>
      </c>
      <c r="F5926" s="14"/>
      <c r="G5926" s="15"/>
      <c r="H5926" s="451"/>
      <c r="I5926" s="412"/>
      <c r="J5926" s="16"/>
    </row>
    <row r="5927" spans="1:10" ht="13">
      <c r="A5927" s="27"/>
      <c r="B5927" s="110"/>
      <c r="D5927" s="409"/>
      <c r="E5927" s="13" t="s">
        <v>47</v>
      </c>
      <c r="F5927" s="13" t="s">
        <v>1918</v>
      </c>
      <c r="G5927" s="410" t="s">
        <v>48</v>
      </c>
      <c r="H5927" s="411">
        <v>0.2</v>
      </c>
      <c r="I5927" s="412">
        <f>IF(AND(E5927&lt;&gt;"",G5927&lt;&gt;""),IF(D5927="",IF(G5927="OH",VLOOKUP(F5927,UPAH!$B$4:$H$101,7,0),VLOOKUP(F5927,#REF!,4,0)),0),0)</f>
        <v>0</v>
      </c>
      <c r="J5927" s="16">
        <f>H5927*I5927</f>
        <v>0</v>
      </c>
    </row>
    <row r="5928" spans="1:10" ht="13">
      <c r="A5928" s="27"/>
      <c r="B5928" s="110"/>
      <c r="D5928" s="409"/>
      <c r="E5928" s="13" t="s">
        <v>476</v>
      </c>
      <c r="F5928" s="13" t="s">
        <v>1922</v>
      </c>
      <c r="G5928" s="410" t="s">
        <v>48</v>
      </c>
      <c r="H5928" s="411">
        <v>0.1</v>
      </c>
      <c r="I5928" s="412">
        <f>IF(AND(E5928&lt;&gt;"",G5928&lt;&gt;""),IF(D5928="",IF(G5928="OH",VLOOKUP(F5928,UPAH!$B$4:$H$101,7,0),VLOOKUP(F5928,#REF!,4,0)),0),0)</f>
        <v>0</v>
      </c>
      <c r="J5928" s="16">
        <f>H5928*I5928</f>
        <v>0</v>
      </c>
    </row>
    <row r="5929" spans="1:10" ht="13">
      <c r="A5929" s="27"/>
      <c r="B5929" s="110"/>
      <c r="D5929" s="409"/>
      <c r="E5929" s="13" t="s">
        <v>50</v>
      </c>
      <c r="F5929" s="13" t="s">
        <v>1928</v>
      </c>
      <c r="G5929" s="410" t="s">
        <v>48</v>
      </c>
      <c r="H5929" s="411">
        <v>0.01</v>
      </c>
      <c r="I5929" s="412">
        <f>IF(AND(E5929&lt;&gt;"",G5929&lt;&gt;""),IF(D5929="",IF(G5929="OH",VLOOKUP(F5929,UPAH!$B$4:$H$101,7,0),VLOOKUP(F5929,#REF!,4,0)),0),0)</f>
        <v>0</v>
      </c>
      <c r="J5929" s="16">
        <f>H5929*I5929</f>
        <v>0</v>
      </c>
    </row>
    <row r="5930" spans="1:10" ht="13.5" thickBot="1">
      <c r="A5930" s="27"/>
      <c r="B5930" s="110"/>
      <c r="D5930" s="409"/>
      <c r="E5930" s="13" t="s">
        <v>51</v>
      </c>
      <c r="F5930" s="13" t="s">
        <v>1929</v>
      </c>
      <c r="G5930" s="410" t="s">
        <v>48</v>
      </c>
      <c r="H5930" s="411">
        <v>1E-3</v>
      </c>
      <c r="I5930" s="412">
        <f>IF(AND(E5930&lt;&gt;"",G5930&lt;&gt;""),IF(D5930="",IF(G5930="OH",VLOOKUP(F5930,UPAH!$B$4:$H$101,7,0),VLOOKUP(F5930,#REF!,4,0)),0),0)</f>
        <v>0</v>
      </c>
      <c r="J5930" s="16">
        <f>H5930*I5930</f>
        <v>0</v>
      </c>
    </row>
    <row r="5931" spans="1:10" ht="13.5" thickBot="1">
      <c r="A5931" s="27"/>
      <c r="B5931" s="110"/>
      <c r="D5931" s="417"/>
      <c r="E5931" s="418"/>
      <c r="F5931" s="418"/>
      <c r="G5931" s="419"/>
      <c r="H5931" s="420" t="s">
        <v>52</v>
      </c>
      <c r="I5931" s="421"/>
      <c r="J5931" s="396">
        <f>SUM(J5927:J5930)</f>
        <v>0</v>
      </c>
    </row>
    <row r="5932" spans="1:10" ht="13">
      <c r="A5932" s="27"/>
      <c r="B5932" s="110"/>
      <c r="D5932" s="406" t="s">
        <v>53</v>
      </c>
      <c r="E5932" s="13" t="s">
        <v>54</v>
      </c>
      <c r="F5932" s="14"/>
      <c r="G5932" s="15"/>
      <c r="H5932" s="451"/>
      <c r="I5932" s="412"/>
      <c r="J5932" s="16"/>
    </row>
    <row r="5933" spans="1:10" ht="13">
      <c r="A5933" s="27"/>
      <c r="B5933" s="110"/>
      <c r="D5933" s="409"/>
      <c r="E5933" s="13" t="s">
        <v>190</v>
      </c>
      <c r="F5933" s="14"/>
      <c r="G5933" s="410" t="s">
        <v>87</v>
      </c>
      <c r="H5933" s="411">
        <v>1.3</v>
      </c>
      <c r="I5933" s="412">
        <f>'BAHAN '!G214</f>
        <v>0</v>
      </c>
      <c r="J5933" s="16">
        <f>H5933*I5933</f>
        <v>0</v>
      </c>
    </row>
    <row r="5934" spans="1:10" ht="13.5" thickBot="1">
      <c r="A5934" s="27"/>
      <c r="B5934" s="110"/>
      <c r="D5934" s="409"/>
      <c r="E5934" s="13" t="s">
        <v>185</v>
      </c>
      <c r="F5934" s="14"/>
      <c r="G5934" s="410" t="s">
        <v>57</v>
      </c>
      <c r="H5934" s="411">
        <v>0.2</v>
      </c>
      <c r="I5934" s="412">
        <f>'BAHAN '!G127</f>
        <v>0</v>
      </c>
      <c r="J5934" s="16">
        <f>H5934*I5934</f>
        <v>0</v>
      </c>
    </row>
    <row r="5935" spans="1:10" ht="13.5" thickBot="1">
      <c r="A5935" s="27"/>
      <c r="B5935" s="110"/>
      <c r="D5935" s="417"/>
      <c r="E5935" s="418"/>
      <c r="F5935" s="418"/>
      <c r="G5935" s="419"/>
      <c r="H5935" s="420" t="s">
        <v>64</v>
      </c>
      <c r="I5935" s="421"/>
      <c r="J5935" s="396">
        <f>SUM(J5933:J5934)</f>
        <v>0</v>
      </c>
    </row>
    <row r="5936" spans="1:10" ht="13.5" thickBot="1">
      <c r="A5936" s="27"/>
      <c r="B5936" s="110"/>
      <c r="D5936" s="406" t="s">
        <v>65</v>
      </c>
      <c r="E5936" s="13" t="s">
        <v>66</v>
      </c>
      <c r="F5936" s="14"/>
      <c r="G5936" s="15"/>
      <c r="H5936" s="451"/>
      <c r="I5936" s="412">
        <f>IF(AND(E5936&lt;&gt;"",G5936&lt;&gt;""),IF(D5936="",IF(G5936="OH",VLOOKUP(E5936,UPAH!$C$4:$H$31,7,0),VLOOKUP(E5936,#REF!,4,0)),0),0)</f>
        <v>0</v>
      </c>
      <c r="J5936" s="16">
        <f>H5936*I5936</f>
        <v>0</v>
      </c>
    </row>
    <row r="5937" spans="1:10" ht="13.5" thickBot="1">
      <c r="A5937" s="27"/>
      <c r="B5937" s="110"/>
      <c r="D5937" s="417"/>
      <c r="E5937" s="418"/>
      <c r="F5937" s="418"/>
      <c r="G5937" s="419"/>
      <c r="H5937" s="420" t="s">
        <v>67</v>
      </c>
      <c r="I5937" s="421"/>
      <c r="J5937" s="396">
        <f>J5936</f>
        <v>0</v>
      </c>
    </row>
    <row r="5938" spans="1:10" ht="13">
      <c r="A5938" s="27"/>
      <c r="B5938" s="110"/>
      <c r="D5938" s="444" t="s">
        <v>68</v>
      </c>
      <c r="E5938" s="445" t="s">
        <v>69</v>
      </c>
      <c r="F5938" s="446"/>
      <c r="G5938" s="447"/>
      <c r="H5938" s="448"/>
      <c r="I5938" s="449">
        <f>IF(AND(E5938&lt;&gt;"",G5938&lt;&gt;""),IF(D5938="",IF(G5938="OH",VLOOKUP(E5938,UPAH!$C$4:$H$31,7,0),VLOOKUP(E5938,#REF!,4,0)),0),0)</f>
        <v>0</v>
      </c>
      <c r="J5938" s="16">
        <f>SUM(J5927:J5937)/2</f>
        <v>0</v>
      </c>
    </row>
    <row r="5939" spans="1:10" ht="13.5" thickBot="1">
      <c r="A5939" s="27"/>
      <c r="B5939" s="110"/>
      <c r="D5939" s="431" t="s">
        <v>70</v>
      </c>
      <c r="E5939" s="432" t="s">
        <v>477</v>
      </c>
      <c r="F5939" s="433"/>
      <c r="G5939" s="434"/>
      <c r="H5939" s="22">
        <v>0.1</v>
      </c>
      <c r="I5939" s="436"/>
      <c r="J5939" s="430">
        <f>H5939*J5938</f>
        <v>0</v>
      </c>
    </row>
    <row r="5940" spans="1:10" ht="13.5" thickBot="1">
      <c r="A5940" s="27"/>
      <c r="B5940" s="110"/>
      <c r="D5940" s="401" t="s">
        <v>71</v>
      </c>
      <c r="E5940" s="402" t="s">
        <v>72</v>
      </c>
      <c r="F5940" s="418"/>
      <c r="G5940" s="419"/>
      <c r="H5940" s="442"/>
      <c r="I5940" s="421">
        <f>IF(AND(E5940&lt;&gt;"",G5940&lt;&gt;""),IF(D5940="",IF(G5940="OH",VLOOKUP(E5940,UPAH!$C$4:$H$31,7,0),VLOOKUP(E5940,#REF!,4,0)),0),0)</f>
        <v>0</v>
      </c>
      <c r="J5940" s="396">
        <f>ROUNDDOWN(J5938+J5939,0)</f>
        <v>0</v>
      </c>
    </row>
    <row r="5941" spans="1:10" ht="13">
      <c r="A5941" s="27"/>
      <c r="B5941" s="110"/>
      <c r="D5941" s="11"/>
      <c r="E5941" s="11"/>
      <c r="H5941" s="443"/>
      <c r="I5941" s="17"/>
      <c r="J5941" s="18"/>
    </row>
    <row r="5942" spans="1:10" ht="13.5" thickBot="1">
      <c r="A5942" s="27"/>
      <c r="B5942" s="110"/>
      <c r="C5942" s="456" t="s">
        <v>1142</v>
      </c>
      <c r="D5942" s="10" t="s">
        <v>1143</v>
      </c>
      <c r="E5942" s="11"/>
      <c r="H5942" s="443"/>
    </row>
    <row r="5943" spans="1:10" ht="13.5" thickBot="1">
      <c r="A5943" s="27"/>
      <c r="B5943" s="110"/>
      <c r="D5943" s="401" t="s">
        <v>40</v>
      </c>
      <c r="E5943" s="402" t="s">
        <v>41</v>
      </c>
      <c r="F5943" s="402" t="s">
        <v>42</v>
      </c>
      <c r="G5943" s="403" t="s">
        <v>43</v>
      </c>
      <c r="H5943" s="404" t="s">
        <v>44</v>
      </c>
      <c r="I5943" s="402" t="s">
        <v>474</v>
      </c>
      <c r="J5943" s="405" t="s">
        <v>475</v>
      </c>
    </row>
    <row r="5944" spans="1:10" ht="13">
      <c r="A5944" s="27"/>
      <c r="B5944" s="110"/>
      <c r="D5944" s="406" t="s">
        <v>45</v>
      </c>
      <c r="E5944" s="13" t="s">
        <v>46</v>
      </c>
      <c r="F5944" s="14"/>
      <c r="G5944" s="15"/>
      <c r="H5944" s="451"/>
      <c r="I5944" s="412"/>
      <c r="J5944" s="16"/>
    </row>
    <row r="5945" spans="1:10" ht="13">
      <c r="A5945" s="27"/>
      <c r="B5945" s="110"/>
      <c r="D5945" s="409"/>
      <c r="E5945" s="13" t="s">
        <v>47</v>
      </c>
      <c r="F5945" s="13" t="s">
        <v>1918</v>
      </c>
      <c r="G5945" s="410" t="s">
        <v>48</v>
      </c>
      <c r="H5945" s="411">
        <v>0.2</v>
      </c>
      <c r="I5945" s="412">
        <f>IF(AND(E5945&lt;&gt;"",G5945&lt;&gt;""),IF(D5945="",IF(G5945="OH",VLOOKUP(F5945,UPAH!$B$4:$H$101,7,0),VLOOKUP(F5945,#REF!,4,0)),0),0)</f>
        <v>0</v>
      </c>
      <c r="J5945" s="16">
        <f>H5945*I5945</f>
        <v>0</v>
      </c>
    </row>
    <row r="5946" spans="1:10" ht="13">
      <c r="A5946" s="27"/>
      <c r="B5946" s="110"/>
      <c r="D5946" s="409"/>
      <c r="E5946" s="13" t="s">
        <v>476</v>
      </c>
      <c r="F5946" s="13" t="s">
        <v>1922</v>
      </c>
      <c r="G5946" s="410" t="s">
        <v>48</v>
      </c>
      <c r="H5946" s="411">
        <v>0.1</v>
      </c>
      <c r="I5946" s="412">
        <f>IF(AND(E5946&lt;&gt;"",G5946&lt;&gt;""),IF(D5946="",IF(G5946="OH",VLOOKUP(F5946,UPAH!$B$4:$H$101,7,0),VLOOKUP(F5946,#REF!,4,0)),0),0)</f>
        <v>0</v>
      </c>
      <c r="J5946" s="16">
        <f>H5946*I5946</f>
        <v>0</v>
      </c>
    </row>
    <row r="5947" spans="1:10" ht="13">
      <c r="A5947" s="27"/>
      <c r="B5947" s="110"/>
      <c r="D5947" s="409"/>
      <c r="E5947" s="13" t="s">
        <v>50</v>
      </c>
      <c r="F5947" s="13" t="s">
        <v>1928</v>
      </c>
      <c r="G5947" s="410" t="s">
        <v>48</v>
      </c>
      <c r="H5947" s="411">
        <v>0.01</v>
      </c>
      <c r="I5947" s="412">
        <f>IF(AND(E5947&lt;&gt;"",G5947&lt;&gt;""),IF(D5947="",IF(G5947="OH",VLOOKUP(F5947,UPAH!$B$4:$H$101,7,0),VLOOKUP(F5947,#REF!,4,0)),0),0)</f>
        <v>0</v>
      </c>
      <c r="J5947" s="16">
        <f>H5947*I5947</f>
        <v>0</v>
      </c>
    </row>
    <row r="5948" spans="1:10" ht="13.5" thickBot="1">
      <c r="A5948" s="27"/>
      <c r="B5948" s="110"/>
      <c r="D5948" s="409"/>
      <c r="E5948" s="13" t="s">
        <v>51</v>
      </c>
      <c r="F5948" s="13" t="s">
        <v>1929</v>
      </c>
      <c r="G5948" s="410" t="s">
        <v>48</v>
      </c>
      <c r="H5948" s="411">
        <v>1E-3</v>
      </c>
      <c r="I5948" s="412">
        <f>IF(AND(E5948&lt;&gt;"",G5948&lt;&gt;""),IF(D5948="",IF(G5948="OH",VLOOKUP(F5948,UPAH!$B$4:$H$101,7,0),VLOOKUP(F5948,#REF!,4,0)),0),0)</f>
        <v>0</v>
      </c>
      <c r="J5948" s="16">
        <f>H5948*I5948</f>
        <v>0</v>
      </c>
    </row>
    <row r="5949" spans="1:10" ht="13.5" thickBot="1">
      <c r="A5949" s="27"/>
      <c r="B5949" s="110"/>
      <c r="D5949" s="417"/>
      <c r="E5949" s="418"/>
      <c r="F5949" s="418"/>
      <c r="G5949" s="419"/>
      <c r="H5949" s="420" t="s">
        <v>52</v>
      </c>
      <c r="I5949" s="421"/>
      <c r="J5949" s="396">
        <f>SUM(J5945:J5948)</f>
        <v>0</v>
      </c>
    </row>
    <row r="5950" spans="1:10" ht="13">
      <c r="A5950" s="27"/>
      <c r="B5950" s="110"/>
      <c r="D5950" s="406" t="s">
        <v>53</v>
      </c>
      <c r="E5950" s="13" t="s">
        <v>54</v>
      </c>
      <c r="F5950" s="14"/>
      <c r="G5950" s="15"/>
      <c r="H5950" s="451"/>
      <c r="I5950" s="412"/>
      <c r="J5950" s="16"/>
    </row>
    <row r="5951" spans="1:10" ht="13">
      <c r="A5951" s="27"/>
      <c r="B5951" s="110"/>
      <c r="D5951" s="409"/>
      <c r="E5951" s="13" t="s">
        <v>190</v>
      </c>
      <c r="F5951" s="14"/>
      <c r="G5951" s="410" t="s">
        <v>87</v>
      </c>
      <c r="H5951" s="411">
        <v>2</v>
      </c>
      <c r="I5951" s="412">
        <f>'BAHAN '!G214</f>
        <v>0</v>
      </c>
      <c r="J5951" s="16">
        <f>H5951*I5951</f>
        <v>0</v>
      </c>
    </row>
    <row r="5952" spans="1:10" ht="13.5" thickBot="1">
      <c r="A5952" s="27"/>
      <c r="B5952" s="110"/>
      <c r="D5952" s="409"/>
      <c r="E5952" s="13" t="s">
        <v>185</v>
      </c>
      <c r="F5952" s="14"/>
      <c r="G5952" s="410" t="s">
        <v>57</v>
      </c>
      <c r="H5952" s="411">
        <v>0.2</v>
      </c>
      <c r="I5952" s="412">
        <f>'BAHAN '!G127</f>
        <v>0</v>
      </c>
      <c r="J5952" s="16">
        <f>H5952*I5952</f>
        <v>0</v>
      </c>
    </row>
    <row r="5953" spans="1:10" ht="13.5" thickBot="1">
      <c r="A5953" s="27"/>
      <c r="B5953" s="110"/>
      <c r="D5953" s="417"/>
      <c r="E5953" s="418"/>
      <c r="F5953" s="418"/>
      <c r="G5953" s="419"/>
      <c r="H5953" s="420" t="s">
        <v>64</v>
      </c>
      <c r="I5953" s="421"/>
      <c r="J5953" s="396">
        <f>SUM(J5951:J5952)</f>
        <v>0</v>
      </c>
    </row>
    <row r="5954" spans="1:10" ht="13.5" thickBot="1">
      <c r="A5954" s="27"/>
      <c r="B5954" s="110"/>
      <c r="D5954" s="406" t="s">
        <v>65</v>
      </c>
      <c r="E5954" s="13" t="s">
        <v>66</v>
      </c>
      <c r="F5954" s="14"/>
      <c r="G5954" s="15"/>
      <c r="H5954" s="451"/>
      <c r="I5954" s="412">
        <f>IF(AND(E5954&lt;&gt;"",G5954&lt;&gt;""),IF(D5954="",IF(G5954="OH",VLOOKUP(E5954,UPAH!$C$4:$H$31,7,0),VLOOKUP(E5954,#REF!,4,0)),0),0)</f>
        <v>0</v>
      </c>
      <c r="J5954" s="16">
        <f>H5954*I5954</f>
        <v>0</v>
      </c>
    </row>
    <row r="5955" spans="1:10" ht="13.5" thickBot="1">
      <c r="A5955" s="27"/>
      <c r="B5955" s="110"/>
      <c r="D5955" s="417"/>
      <c r="E5955" s="418"/>
      <c r="F5955" s="418"/>
      <c r="G5955" s="419"/>
      <c r="H5955" s="420" t="s">
        <v>67</v>
      </c>
      <c r="I5955" s="421"/>
      <c r="J5955" s="396">
        <f>J5954</f>
        <v>0</v>
      </c>
    </row>
    <row r="5956" spans="1:10" ht="13">
      <c r="A5956" s="27"/>
      <c r="B5956" s="110"/>
      <c r="D5956" s="444" t="s">
        <v>68</v>
      </c>
      <c r="E5956" s="445" t="s">
        <v>69</v>
      </c>
      <c r="F5956" s="446"/>
      <c r="G5956" s="447"/>
      <c r="H5956" s="448"/>
      <c r="I5956" s="449">
        <f>IF(AND(E5956&lt;&gt;"",G5956&lt;&gt;""),IF(D5956="",IF(G5956="OH",VLOOKUP(E5956,UPAH!$C$4:$H$31,7,0),VLOOKUP(E5956,#REF!,4,0)),0),0)</f>
        <v>0</v>
      </c>
      <c r="J5956" s="16">
        <f>SUM(J5945:J5955)/2</f>
        <v>0</v>
      </c>
    </row>
    <row r="5957" spans="1:10" ht="13.5" thickBot="1">
      <c r="A5957" s="27"/>
      <c r="B5957" s="110"/>
      <c r="D5957" s="431" t="s">
        <v>70</v>
      </c>
      <c r="E5957" s="432" t="s">
        <v>477</v>
      </c>
      <c r="F5957" s="433"/>
      <c r="G5957" s="434"/>
      <c r="H5957" s="22">
        <v>0.1</v>
      </c>
      <c r="I5957" s="436"/>
      <c r="J5957" s="430">
        <f>H5957*J5956</f>
        <v>0</v>
      </c>
    </row>
    <row r="5958" spans="1:10" ht="13.5" thickBot="1">
      <c r="A5958" s="27"/>
      <c r="B5958" s="110"/>
      <c r="D5958" s="401" t="s">
        <v>71</v>
      </c>
      <c r="E5958" s="402" t="s">
        <v>72</v>
      </c>
      <c r="F5958" s="418"/>
      <c r="G5958" s="419"/>
      <c r="H5958" s="442"/>
      <c r="I5958" s="421">
        <f>IF(AND(E5958&lt;&gt;"",G5958&lt;&gt;""),IF(D5958="",IF(G5958="OH",VLOOKUP(E5958,UPAH!$C$4:$H$31,7,0),VLOOKUP(E5958,#REF!,4,0)),0),0)</f>
        <v>0</v>
      </c>
      <c r="J5958" s="396">
        <f>ROUNDDOWN(J5956+J5957,0)</f>
        <v>0</v>
      </c>
    </row>
    <row r="5959" spans="1:10" ht="13">
      <c r="A5959" s="27"/>
      <c r="B5959" s="110"/>
      <c r="D5959" s="11"/>
      <c r="E5959" s="11"/>
      <c r="H5959" s="443"/>
      <c r="I5959" s="17"/>
      <c r="J5959" s="18"/>
    </row>
    <row r="5960" spans="1:10" ht="13">
      <c r="A5960" s="27"/>
      <c r="B5960" s="110"/>
      <c r="D5960" s="11"/>
      <c r="E5960" s="11"/>
      <c r="H5960" s="443"/>
      <c r="I5960" s="17"/>
      <c r="J5960" s="18"/>
    </row>
    <row r="5961" spans="1:10" ht="13">
      <c r="A5961" s="27"/>
      <c r="B5961" s="110"/>
      <c r="D5961" s="11"/>
      <c r="E5961" s="11"/>
      <c r="H5961" s="443"/>
    </row>
    <row r="5962" spans="1:10" ht="13.5" thickBot="1">
      <c r="A5962" s="27"/>
      <c r="B5962" s="110"/>
      <c r="C5962" s="11" t="s">
        <v>1145</v>
      </c>
      <c r="D5962" s="10" t="s">
        <v>1144</v>
      </c>
      <c r="H5962" s="443"/>
    </row>
    <row r="5963" spans="1:10" ht="13.5" thickBot="1">
      <c r="A5963" s="27"/>
      <c r="B5963" s="110"/>
      <c r="D5963" s="401" t="s">
        <v>40</v>
      </c>
      <c r="E5963" s="402" t="s">
        <v>41</v>
      </c>
      <c r="F5963" s="402" t="s">
        <v>42</v>
      </c>
      <c r="G5963" s="403" t="s">
        <v>43</v>
      </c>
      <c r="H5963" s="404" t="s">
        <v>44</v>
      </c>
      <c r="I5963" s="402" t="s">
        <v>474</v>
      </c>
      <c r="J5963" s="405" t="s">
        <v>475</v>
      </c>
    </row>
    <row r="5964" spans="1:10" ht="13">
      <c r="A5964" s="27"/>
      <c r="B5964" s="110"/>
      <c r="D5964" s="406" t="s">
        <v>45</v>
      </c>
      <c r="E5964" s="13" t="s">
        <v>46</v>
      </c>
      <c r="F5964" s="14"/>
      <c r="G5964" s="15"/>
      <c r="H5964" s="451"/>
      <c r="I5964" s="412"/>
      <c r="J5964" s="16"/>
    </row>
    <row r="5965" spans="1:10" ht="13">
      <c r="A5965" s="27"/>
      <c r="B5965" s="110"/>
      <c r="D5965" s="409"/>
      <c r="E5965" s="13" t="s">
        <v>47</v>
      </c>
      <c r="F5965" s="13" t="s">
        <v>1918</v>
      </c>
      <c r="G5965" s="410" t="s">
        <v>48</v>
      </c>
      <c r="H5965" s="411">
        <v>0.16600000000000001</v>
      </c>
      <c r="I5965" s="412">
        <f>IF(AND(E5965&lt;&gt;"",G5965&lt;&gt;""),IF(D5965="",IF(G5965="OH",VLOOKUP(F5965,UPAH!$B$4:$H$101,7,0),VLOOKUP(F5965,#REF!,4,0)),0),0)</f>
        <v>0</v>
      </c>
      <c r="J5965" s="16">
        <f>H5965*I5965</f>
        <v>0</v>
      </c>
    </row>
    <row r="5966" spans="1:10" ht="13">
      <c r="A5966" s="27"/>
      <c r="B5966" s="110"/>
      <c r="D5966" s="409"/>
      <c r="E5966" s="13" t="s">
        <v>476</v>
      </c>
      <c r="F5966" s="13" t="s">
        <v>1922</v>
      </c>
      <c r="G5966" s="410" t="s">
        <v>48</v>
      </c>
      <c r="H5966" s="411">
        <v>0.25</v>
      </c>
      <c r="I5966" s="412">
        <f>IF(AND(E5966&lt;&gt;"",G5966&lt;&gt;""),IF(D5966="",IF(G5966="OH",VLOOKUP(F5966,UPAH!$B$4:$H$101,7,0),VLOOKUP(F5966,#REF!,4,0)),0),0)</f>
        <v>0</v>
      </c>
      <c r="J5966" s="16">
        <f>H5966*I5966</f>
        <v>0</v>
      </c>
    </row>
    <row r="5967" spans="1:10" ht="13">
      <c r="A5967" s="27"/>
      <c r="B5967" s="110"/>
      <c r="D5967" s="409"/>
      <c r="E5967" s="13" t="s">
        <v>50</v>
      </c>
      <c r="F5967" s="13" t="s">
        <v>1928</v>
      </c>
      <c r="G5967" s="410" t="s">
        <v>48</v>
      </c>
      <c r="H5967" s="411">
        <v>2.5000000000000001E-2</v>
      </c>
      <c r="I5967" s="412">
        <f>IF(AND(E5967&lt;&gt;"",G5967&lt;&gt;""),IF(D5967="",IF(G5967="OH",VLOOKUP(F5967,UPAH!$B$4:$H$101,7,0),VLOOKUP(F5967,#REF!,4,0)),0),0)</f>
        <v>0</v>
      </c>
      <c r="J5967" s="16">
        <f>H5967*I5967</f>
        <v>0</v>
      </c>
    </row>
    <row r="5968" spans="1:10" ht="13.5" thickBot="1">
      <c r="A5968" s="27"/>
      <c r="B5968" s="110"/>
      <c r="D5968" s="409"/>
      <c r="E5968" s="13" t="s">
        <v>51</v>
      </c>
      <c r="F5968" s="13" t="s">
        <v>1929</v>
      </c>
      <c r="G5968" s="410" t="s">
        <v>48</v>
      </c>
      <c r="H5968" s="411">
        <v>8.0000000000000002E-3</v>
      </c>
      <c r="I5968" s="412">
        <f>IF(AND(E5968&lt;&gt;"",G5968&lt;&gt;""),IF(D5968="",IF(G5968="OH",VLOOKUP(F5968,UPAH!$B$4:$H$101,7,0),VLOOKUP(F5968,#REF!,4,0)),0),0)</f>
        <v>0</v>
      </c>
      <c r="J5968" s="16">
        <f>H5968*I5968</f>
        <v>0</v>
      </c>
    </row>
    <row r="5969" spans="1:10" ht="13.5" thickBot="1">
      <c r="A5969" s="27"/>
      <c r="B5969" s="110"/>
      <c r="D5969" s="417"/>
      <c r="E5969" s="418"/>
      <c r="F5969" s="418"/>
      <c r="G5969" s="419"/>
      <c r="H5969" s="420" t="s">
        <v>52</v>
      </c>
      <c r="I5969" s="421"/>
      <c r="J5969" s="396">
        <f>SUM(J5965:J5968)</f>
        <v>0</v>
      </c>
    </row>
    <row r="5970" spans="1:10" ht="13">
      <c r="A5970" s="27"/>
      <c r="B5970" s="110"/>
      <c r="D5970" s="406" t="s">
        <v>53</v>
      </c>
      <c r="E5970" s="13" t="s">
        <v>54</v>
      </c>
      <c r="F5970" s="14"/>
      <c r="G5970" s="15"/>
      <c r="H5970" s="451"/>
      <c r="I5970" s="412"/>
      <c r="J5970" s="16"/>
    </row>
    <row r="5971" spans="1:10" ht="13">
      <c r="A5971" s="27"/>
      <c r="B5971" s="110"/>
      <c r="D5971" s="409"/>
      <c r="E5971" s="13" t="s">
        <v>191</v>
      </c>
      <c r="F5971" s="14"/>
      <c r="G5971" s="410" t="s">
        <v>87</v>
      </c>
      <c r="H5971" s="411">
        <v>30</v>
      </c>
      <c r="I5971" s="412">
        <f>'BAHAN '!G220</f>
        <v>0</v>
      </c>
      <c r="J5971" s="16">
        <f>H5971*I5971</f>
        <v>0</v>
      </c>
    </row>
    <row r="5972" spans="1:10" ht="13.5" thickBot="1">
      <c r="A5972" s="27"/>
      <c r="B5972" s="110"/>
      <c r="D5972" s="409"/>
      <c r="E5972" s="13" t="s">
        <v>486</v>
      </c>
      <c r="F5972" s="14"/>
      <c r="G5972" s="410" t="s">
        <v>57</v>
      </c>
      <c r="H5972" s="411">
        <v>0.2</v>
      </c>
      <c r="I5972" s="412">
        <f>'BAHAN '!G127</f>
        <v>0</v>
      </c>
      <c r="J5972" s="16">
        <f>H5972*I5972</f>
        <v>0</v>
      </c>
    </row>
    <row r="5973" spans="1:10" ht="13.5" thickBot="1">
      <c r="A5973" s="27"/>
      <c r="B5973" s="110"/>
      <c r="D5973" s="417"/>
      <c r="E5973" s="418"/>
      <c r="F5973" s="418"/>
      <c r="G5973" s="419"/>
      <c r="H5973" s="420" t="s">
        <v>64</v>
      </c>
      <c r="I5973" s="421"/>
      <c r="J5973" s="396">
        <f>SUM(J5971:J5972)</f>
        <v>0</v>
      </c>
    </row>
    <row r="5974" spans="1:10" ht="13.5" thickBot="1">
      <c r="A5974" s="27"/>
      <c r="B5974" s="110"/>
      <c r="D5974" s="406" t="s">
        <v>65</v>
      </c>
      <c r="E5974" s="13" t="s">
        <v>66</v>
      </c>
      <c r="F5974" s="14"/>
      <c r="G5974" s="15"/>
      <c r="H5974" s="451"/>
      <c r="I5974" s="412">
        <f>IF(AND(E5974&lt;&gt;"",G5974&lt;&gt;""),IF(D5974="",IF(G5974="OH",VLOOKUP(E5974,UPAH!$C$4:$H$31,7,0),VLOOKUP(E5974,#REF!,4,0)),0),0)</f>
        <v>0</v>
      </c>
      <c r="J5974" s="16">
        <f>H5974*I5974</f>
        <v>0</v>
      </c>
    </row>
    <row r="5975" spans="1:10" ht="13.5" thickBot="1">
      <c r="A5975" s="27"/>
      <c r="B5975" s="110"/>
      <c r="D5975" s="417"/>
      <c r="E5975" s="418"/>
      <c r="F5975" s="418"/>
      <c r="G5975" s="419"/>
      <c r="H5975" s="420" t="s">
        <v>67</v>
      </c>
      <c r="I5975" s="421"/>
      <c r="J5975" s="396">
        <f>J5974</f>
        <v>0</v>
      </c>
    </row>
    <row r="5976" spans="1:10" ht="13">
      <c r="A5976" s="27"/>
      <c r="B5976" s="110"/>
      <c r="D5976" s="444" t="s">
        <v>68</v>
      </c>
      <c r="E5976" s="445" t="s">
        <v>69</v>
      </c>
      <c r="F5976" s="446"/>
      <c r="G5976" s="447"/>
      <c r="H5976" s="448"/>
      <c r="I5976" s="449">
        <f>IF(AND(E5976&lt;&gt;"",G5976&lt;&gt;""),IF(D5976="",IF(G5976="OH",VLOOKUP(E5976,UPAH!$C$4:$H$31,7,0),VLOOKUP(E5976,#REF!,4,0)),0),0)</f>
        <v>0</v>
      </c>
      <c r="J5976" s="16">
        <f>SUM(J5965:J5975)/2</f>
        <v>0</v>
      </c>
    </row>
    <row r="5977" spans="1:10" ht="13.5" thickBot="1">
      <c r="A5977" s="27"/>
      <c r="B5977" s="110"/>
      <c r="D5977" s="431" t="s">
        <v>70</v>
      </c>
      <c r="E5977" s="432" t="s">
        <v>477</v>
      </c>
      <c r="F5977" s="433"/>
      <c r="G5977" s="434"/>
      <c r="H5977" s="22">
        <v>0.1</v>
      </c>
      <c r="I5977" s="436"/>
      <c r="J5977" s="430">
        <f>H5977*J5976</f>
        <v>0</v>
      </c>
    </row>
    <row r="5978" spans="1:10" ht="13.5" thickBot="1">
      <c r="A5978" s="27"/>
      <c r="B5978" s="110"/>
      <c r="D5978" s="401" t="s">
        <v>71</v>
      </c>
      <c r="E5978" s="402" t="s">
        <v>72</v>
      </c>
      <c r="F5978" s="418"/>
      <c r="G5978" s="419"/>
      <c r="H5978" s="442"/>
      <c r="I5978" s="421">
        <f>IF(AND(E5978&lt;&gt;"",G5978&lt;&gt;""),IF(D5978="",IF(G5978="OH",VLOOKUP(E5978,UPAH!$C$4:$H$31,7,0),VLOOKUP(E5978,#REF!,4,0)),0),0)</f>
        <v>0</v>
      </c>
      <c r="J5978" s="396">
        <f>ROUNDDOWN(J5976+J5977,0)</f>
        <v>0</v>
      </c>
    </row>
    <row r="5979" spans="1:10" ht="13">
      <c r="A5979" s="27"/>
      <c r="B5979" s="110"/>
      <c r="D5979" s="11"/>
      <c r="E5979" s="11"/>
      <c r="H5979" s="443"/>
    </row>
    <row r="5980" spans="1:10" ht="13.5" thickBot="1">
      <c r="A5980" s="27"/>
      <c r="B5980" s="110"/>
      <c r="C5980" s="11" t="s">
        <v>1147</v>
      </c>
      <c r="D5980" s="10" t="s">
        <v>1146</v>
      </c>
      <c r="H5980" s="443"/>
    </row>
    <row r="5981" spans="1:10" ht="13.5" thickBot="1">
      <c r="A5981" s="27"/>
      <c r="B5981" s="110"/>
      <c r="D5981" s="401" t="s">
        <v>40</v>
      </c>
      <c r="E5981" s="402" t="s">
        <v>41</v>
      </c>
      <c r="F5981" s="402" t="s">
        <v>42</v>
      </c>
      <c r="G5981" s="403" t="s">
        <v>43</v>
      </c>
      <c r="H5981" s="404" t="s">
        <v>44</v>
      </c>
      <c r="I5981" s="402" t="s">
        <v>474</v>
      </c>
      <c r="J5981" s="405" t="s">
        <v>475</v>
      </c>
    </row>
    <row r="5982" spans="1:10" ht="13">
      <c r="A5982" s="27"/>
      <c r="B5982" s="110"/>
      <c r="D5982" s="406" t="s">
        <v>45</v>
      </c>
      <c r="E5982" s="13" t="s">
        <v>46</v>
      </c>
      <c r="F5982" s="14"/>
      <c r="G5982" s="15"/>
      <c r="H5982" s="451"/>
      <c r="I5982" s="412"/>
      <c r="J5982" s="16"/>
    </row>
    <row r="5983" spans="1:10" ht="13">
      <c r="A5983" s="27"/>
      <c r="B5983" s="110"/>
      <c r="D5983" s="409"/>
      <c r="E5983" s="13" t="s">
        <v>47</v>
      </c>
      <c r="F5983" s="13" t="s">
        <v>1918</v>
      </c>
      <c r="G5983" s="410" t="s">
        <v>48</v>
      </c>
      <c r="H5983" s="411">
        <v>0.4</v>
      </c>
      <c r="I5983" s="412">
        <f>IF(AND(E5983&lt;&gt;"",G5983&lt;&gt;""),IF(D5983="",IF(G5983="OH",VLOOKUP(F5983,UPAH!$B$4:$H$101,7,0),VLOOKUP(F5983,#REF!,4,0)),0),0)</f>
        <v>0</v>
      </c>
      <c r="J5983" s="16">
        <f>H5983*I5983</f>
        <v>0</v>
      </c>
    </row>
    <row r="5984" spans="1:10" ht="13">
      <c r="A5984" s="27"/>
      <c r="B5984" s="110"/>
      <c r="D5984" s="409"/>
      <c r="E5984" s="13" t="s">
        <v>476</v>
      </c>
      <c r="F5984" s="13" t="s">
        <v>1922</v>
      </c>
      <c r="G5984" s="410" t="s">
        <v>48</v>
      </c>
      <c r="H5984" s="411">
        <v>0.2</v>
      </c>
      <c r="I5984" s="412">
        <f>IF(AND(E5984&lt;&gt;"",G5984&lt;&gt;""),IF(D5984="",IF(G5984="OH",VLOOKUP(F5984,UPAH!$B$4:$H$101,7,0),VLOOKUP(F5984,#REF!,4,0)),0),0)</f>
        <v>0</v>
      </c>
      <c r="J5984" s="16">
        <f>H5984*I5984</f>
        <v>0</v>
      </c>
    </row>
    <row r="5985" spans="1:10" ht="13">
      <c r="A5985" s="27"/>
      <c r="B5985" s="110"/>
      <c r="D5985" s="409"/>
      <c r="E5985" s="13" t="s">
        <v>50</v>
      </c>
      <c r="F5985" s="13" t="s">
        <v>1928</v>
      </c>
      <c r="G5985" s="410" t="s">
        <v>48</v>
      </c>
      <c r="H5985" s="411">
        <v>0.02</v>
      </c>
      <c r="I5985" s="412">
        <f>IF(AND(E5985&lt;&gt;"",G5985&lt;&gt;""),IF(D5985="",IF(G5985="OH",VLOOKUP(F5985,UPAH!$B$4:$H$101,7,0),VLOOKUP(F5985,#REF!,4,0)),0),0)</f>
        <v>0</v>
      </c>
      <c r="J5985" s="16">
        <f>H5985*I5985</f>
        <v>0</v>
      </c>
    </row>
    <row r="5986" spans="1:10" ht="13.5" thickBot="1">
      <c r="A5986" s="27"/>
      <c r="B5986" s="110"/>
      <c r="D5986" s="409"/>
      <c r="E5986" s="13" t="s">
        <v>51</v>
      </c>
      <c r="F5986" s="13" t="s">
        <v>1929</v>
      </c>
      <c r="G5986" s="410" t="s">
        <v>48</v>
      </c>
      <c r="H5986" s="411">
        <v>0.02</v>
      </c>
      <c r="I5986" s="412">
        <f>IF(AND(E5986&lt;&gt;"",G5986&lt;&gt;""),IF(D5986="",IF(G5986="OH",VLOOKUP(F5986,UPAH!$B$4:$H$101,7,0),VLOOKUP(F5986,#REF!,4,0)),0),0)</f>
        <v>0</v>
      </c>
      <c r="J5986" s="16">
        <f>H5986*I5986</f>
        <v>0</v>
      </c>
    </row>
    <row r="5987" spans="1:10" ht="13.5" thickBot="1">
      <c r="A5987" s="27"/>
      <c r="B5987" s="110"/>
      <c r="D5987" s="417"/>
      <c r="E5987" s="418"/>
      <c r="F5987" s="418"/>
      <c r="G5987" s="419"/>
      <c r="H5987" s="420" t="s">
        <v>52</v>
      </c>
      <c r="I5987" s="421"/>
      <c r="J5987" s="396">
        <f>SUM(J5983:J5986)</f>
        <v>0</v>
      </c>
    </row>
    <row r="5988" spans="1:10" ht="13">
      <c r="A5988" s="27"/>
      <c r="B5988" s="110"/>
      <c r="D5988" s="406" t="s">
        <v>53</v>
      </c>
      <c r="E5988" s="13" t="s">
        <v>54</v>
      </c>
      <c r="F5988" s="14"/>
      <c r="G5988" s="15"/>
      <c r="H5988" s="451"/>
      <c r="I5988" s="412"/>
      <c r="J5988" s="16"/>
    </row>
    <row r="5989" spans="1:10" ht="13">
      <c r="A5989" s="27"/>
      <c r="B5989" s="110"/>
      <c r="D5989" s="409"/>
      <c r="E5989" s="13" t="s">
        <v>192</v>
      </c>
      <c r="F5989" s="14"/>
      <c r="G5989" s="410" t="s">
        <v>87</v>
      </c>
      <c r="H5989" s="411">
        <v>3.5</v>
      </c>
      <c r="I5989" s="412">
        <f>'BAHAN '!G228</f>
        <v>0</v>
      </c>
      <c r="J5989" s="16">
        <f>H5989*I5989</f>
        <v>0</v>
      </c>
    </row>
    <row r="5990" spans="1:10" ht="13">
      <c r="A5990" s="27"/>
      <c r="B5990" s="110"/>
      <c r="D5990" s="409"/>
      <c r="E5990" s="13" t="s">
        <v>486</v>
      </c>
      <c r="F5990" s="14"/>
      <c r="G5990" s="410" t="s">
        <v>57</v>
      </c>
      <c r="H5990" s="411">
        <v>0.05</v>
      </c>
      <c r="I5990" s="412">
        <f>'BAHAN '!G127</f>
        <v>0</v>
      </c>
      <c r="J5990" s="16">
        <f>H5990*I5990</f>
        <v>0</v>
      </c>
    </row>
    <row r="5991" spans="1:10" ht="13">
      <c r="A5991" s="27"/>
      <c r="B5991" s="110"/>
      <c r="D5991" s="409"/>
      <c r="E5991" s="13" t="s">
        <v>56</v>
      </c>
      <c r="F5991" s="14"/>
      <c r="G5991" s="410" t="s">
        <v>57</v>
      </c>
      <c r="H5991" s="411">
        <v>10.8</v>
      </c>
      <c r="I5991" s="412">
        <f>'BAHAN '!G72</f>
        <v>0</v>
      </c>
      <c r="J5991" s="16">
        <f>H5991*I5991</f>
        <v>0</v>
      </c>
    </row>
    <row r="5992" spans="1:10" ht="13">
      <c r="A5992" s="27"/>
      <c r="B5992" s="110"/>
      <c r="D5992" s="409"/>
      <c r="E5992" s="13" t="s">
        <v>101</v>
      </c>
      <c r="F5992" s="14"/>
      <c r="G5992" s="410" t="s">
        <v>170</v>
      </c>
      <c r="H5992" s="411">
        <v>3.2000000000000001E-2</v>
      </c>
      <c r="I5992" s="412">
        <f>'BAHAN '!G59</f>
        <v>0</v>
      </c>
      <c r="J5992" s="16">
        <f>H5992*I5992</f>
        <v>0</v>
      </c>
    </row>
    <row r="5993" spans="1:10" ht="13.5" thickBot="1">
      <c r="A5993" s="27"/>
      <c r="B5993" s="110"/>
      <c r="D5993" s="409"/>
      <c r="E5993" s="13" t="s">
        <v>169</v>
      </c>
      <c r="F5993" s="14"/>
      <c r="G5993" s="410" t="s">
        <v>57</v>
      </c>
      <c r="H5993" s="411">
        <v>1</v>
      </c>
      <c r="I5993" s="412">
        <f>'BAHAN '!G74</f>
        <v>0</v>
      </c>
      <c r="J5993" s="16">
        <f>H5993*I5993</f>
        <v>0</v>
      </c>
    </row>
    <row r="5994" spans="1:10" ht="13.5" thickBot="1">
      <c r="A5994" s="27"/>
      <c r="B5994" s="110"/>
      <c r="D5994" s="417"/>
      <c r="E5994" s="418"/>
      <c r="F5994" s="418"/>
      <c r="G5994" s="419"/>
      <c r="H5994" s="420" t="s">
        <v>64</v>
      </c>
      <c r="I5994" s="421"/>
      <c r="J5994" s="396">
        <f>SUM(J5989:J5993)</f>
        <v>0</v>
      </c>
    </row>
    <row r="5995" spans="1:10" ht="13.5" thickBot="1">
      <c r="A5995" s="27"/>
      <c r="B5995" s="110"/>
      <c r="D5995" s="406" t="s">
        <v>65</v>
      </c>
      <c r="E5995" s="13" t="s">
        <v>66</v>
      </c>
      <c r="F5995" s="14"/>
      <c r="G5995" s="15"/>
      <c r="H5995" s="451"/>
      <c r="I5995" s="412">
        <f>IF(AND(E5995&lt;&gt;"",G5995&lt;&gt;""),IF(D5995="",IF(G5995="OH",VLOOKUP(E5995,UPAH!$C$4:$H$31,7,0),VLOOKUP(E5995,#REF!,4,0)),0),0)</f>
        <v>0</v>
      </c>
      <c r="J5995" s="16">
        <f>H5995*I5995</f>
        <v>0</v>
      </c>
    </row>
    <row r="5996" spans="1:10" ht="13.5" thickBot="1">
      <c r="A5996" s="27"/>
      <c r="B5996" s="110"/>
      <c r="D5996" s="417"/>
      <c r="E5996" s="418"/>
      <c r="F5996" s="418"/>
      <c r="G5996" s="419"/>
      <c r="H5996" s="420" t="s">
        <v>67</v>
      </c>
      <c r="I5996" s="421"/>
      <c r="J5996" s="396">
        <f>J5995</f>
        <v>0</v>
      </c>
    </row>
    <row r="5997" spans="1:10" ht="13">
      <c r="A5997" s="27"/>
      <c r="B5997" s="110"/>
      <c r="D5997" s="444" t="s">
        <v>68</v>
      </c>
      <c r="E5997" s="445" t="s">
        <v>69</v>
      </c>
      <c r="F5997" s="446"/>
      <c r="G5997" s="447"/>
      <c r="H5997" s="448"/>
      <c r="I5997" s="449">
        <f>IF(AND(E5997&lt;&gt;"",G5997&lt;&gt;""),IF(D5997="",IF(G5997="OH",VLOOKUP(E5997,UPAH!$C$4:$H$31,7,0),VLOOKUP(E5997,#REF!,4,0)),0),0)</f>
        <v>0</v>
      </c>
      <c r="J5997" s="16">
        <f>SUM(J5982:J5996)/2</f>
        <v>0</v>
      </c>
    </row>
    <row r="5998" spans="1:10" ht="13.5" thickBot="1">
      <c r="A5998" s="27"/>
      <c r="B5998" s="110"/>
      <c r="D5998" s="431" t="s">
        <v>70</v>
      </c>
      <c r="E5998" s="432" t="s">
        <v>477</v>
      </c>
      <c r="F5998" s="433"/>
      <c r="G5998" s="434"/>
      <c r="H5998" s="22">
        <v>0.1</v>
      </c>
      <c r="I5998" s="436"/>
      <c r="J5998" s="430">
        <f>H5998*J5997</f>
        <v>0</v>
      </c>
    </row>
    <row r="5999" spans="1:10" ht="13.5" thickBot="1">
      <c r="A5999" s="27"/>
      <c r="B5999" s="110"/>
      <c r="D5999" s="401" t="s">
        <v>71</v>
      </c>
      <c r="E5999" s="402" t="s">
        <v>72</v>
      </c>
      <c r="F5999" s="418"/>
      <c r="G5999" s="419"/>
      <c r="H5999" s="442"/>
      <c r="I5999" s="421">
        <f>IF(AND(E5999&lt;&gt;"",G5999&lt;&gt;""),IF(D5999="",IF(G5999="OH",VLOOKUP(E5999,UPAH!$C$4:$H$31,7,0),VLOOKUP(E5999,#REF!,4,0)),0),0)</f>
        <v>0</v>
      </c>
      <c r="J5999" s="396">
        <f>ROUNDDOWN(J5997+J5998,0)</f>
        <v>0</v>
      </c>
    </row>
    <row r="6000" spans="1:10" ht="13">
      <c r="A6000" s="27"/>
      <c r="B6000" s="110"/>
      <c r="D6000" s="11"/>
      <c r="E6000" s="11"/>
      <c r="H6000" s="443"/>
    </row>
    <row r="6001" spans="1:10" ht="13.5" thickBot="1">
      <c r="A6001" s="27"/>
      <c r="B6001" s="110"/>
      <c r="C6001" s="11" t="s">
        <v>1149</v>
      </c>
      <c r="D6001" s="10" t="s">
        <v>1148</v>
      </c>
      <c r="H6001" s="443"/>
    </row>
    <row r="6002" spans="1:10" ht="13.5" thickBot="1">
      <c r="A6002" s="27"/>
      <c r="B6002" s="110"/>
      <c r="D6002" s="401" t="s">
        <v>40</v>
      </c>
      <c r="E6002" s="402" t="s">
        <v>41</v>
      </c>
      <c r="F6002" s="402" t="s">
        <v>42</v>
      </c>
      <c r="G6002" s="403" t="s">
        <v>43</v>
      </c>
      <c r="H6002" s="404" t="s">
        <v>44</v>
      </c>
      <c r="I6002" s="402" t="s">
        <v>474</v>
      </c>
      <c r="J6002" s="405" t="s">
        <v>475</v>
      </c>
    </row>
    <row r="6003" spans="1:10" ht="13">
      <c r="A6003" s="27"/>
      <c r="B6003" s="110"/>
      <c r="D6003" s="406" t="s">
        <v>45</v>
      </c>
      <c r="E6003" s="13" t="s">
        <v>46</v>
      </c>
      <c r="F6003" s="14"/>
      <c r="G6003" s="15"/>
      <c r="H6003" s="451"/>
      <c r="I6003" s="412"/>
      <c r="J6003" s="16"/>
    </row>
    <row r="6004" spans="1:10" ht="13">
      <c r="A6004" s="27"/>
      <c r="B6004" s="110"/>
      <c r="D6004" s="409"/>
      <c r="E6004" s="13" t="s">
        <v>47</v>
      </c>
      <c r="F6004" s="13" t="s">
        <v>1918</v>
      </c>
      <c r="G6004" s="410" t="s">
        <v>48</v>
      </c>
      <c r="H6004" s="411">
        <v>0.125</v>
      </c>
      <c r="I6004" s="412">
        <f>IF(AND(E6004&lt;&gt;"",G6004&lt;&gt;""),IF(D6004="",IF(G6004="OH",VLOOKUP(F6004,UPAH!$B$4:$H$101,7,0),VLOOKUP(F6004,#REF!,4,0)),0),0)</f>
        <v>0</v>
      </c>
      <c r="J6004" s="16">
        <f>H6004*I6004</f>
        <v>0</v>
      </c>
    </row>
    <row r="6005" spans="1:10" ht="13">
      <c r="A6005" s="27"/>
      <c r="B6005" s="110"/>
      <c r="D6005" s="409"/>
      <c r="E6005" s="13" t="s">
        <v>476</v>
      </c>
      <c r="F6005" s="13" t="s">
        <v>1922</v>
      </c>
      <c r="G6005" s="410" t="s">
        <v>48</v>
      </c>
      <c r="H6005" s="411">
        <v>0.25</v>
      </c>
      <c r="I6005" s="412">
        <f>IF(AND(E6005&lt;&gt;"",G6005&lt;&gt;""),IF(D6005="",IF(G6005="OH",VLOOKUP(F6005,UPAH!$B$4:$H$101,7,0),VLOOKUP(F6005,#REF!,4,0)),0),0)</f>
        <v>0</v>
      </c>
      <c r="J6005" s="16">
        <f>H6005*I6005</f>
        <v>0</v>
      </c>
    </row>
    <row r="6006" spans="1:10" ht="13">
      <c r="A6006" s="27"/>
      <c r="B6006" s="110"/>
      <c r="D6006" s="409"/>
      <c r="E6006" s="13" t="s">
        <v>50</v>
      </c>
      <c r="F6006" s="13" t="s">
        <v>1928</v>
      </c>
      <c r="G6006" s="410" t="s">
        <v>48</v>
      </c>
      <c r="H6006" s="411">
        <v>2.5000000000000001E-2</v>
      </c>
      <c r="I6006" s="412">
        <f>IF(AND(E6006&lt;&gt;"",G6006&lt;&gt;""),IF(D6006="",IF(G6006="OH",VLOOKUP(F6006,UPAH!$B$4:$H$101,7,0),VLOOKUP(F6006,#REF!,4,0)),0),0)</f>
        <v>0</v>
      </c>
      <c r="J6006" s="16">
        <f>H6006*I6006</f>
        <v>0</v>
      </c>
    </row>
    <row r="6007" spans="1:10" ht="13.5" thickBot="1">
      <c r="A6007" s="27"/>
      <c r="B6007" s="110"/>
      <c r="D6007" s="409"/>
      <c r="E6007" s="13" t="s">
        <v>51</v>
      </c>
      <c r="F6007" s="13" t="s">
        <v>1929</v>
      </c>
      <c r="G6007" s="410" t="s">
        <v>48</v>
      </c>
      <c r="H6007" s="411">
        <v>6.0000000000000001E-3</v>
      </c>
      <c r="I6007" s="412">
        <f>IF(AND(E6007&lt;&gt;"",G6007&lt;&gt;""),IF(D6007="",IF(G6007="OH",VLOOKUP(F6007,UPAH!$B$4:$H$101,7,0),VLOOKUP(F6007,#REF!,4,0)),0),0)</f>
        <v>0</v>
      </c>
      <c r="J6007" s="16">
        <f>H6007*I6007</f>
        <v>0</v>
      </c>
    </row>
    <row r="6008" spans="1:10" ht="13.5" thickBot="1">
      <c r="A6008" s="27"/>
      <c r="B6008" s="110"/>
      <c r="D6008" s="417"/>
      <c r="E6008" s="418"/>
      <c r="F6008" s="418"/>
      <c r="G6008" s="419"/>
      <c r="H6008" s="420" t="s">
        <v>52</v>
      </c>
      <c r="I6008" s="421"/>
      <c r="J6008" s="396">
        <f>SUM(J6004:J6007)</f>
        <v>0</v>
      </c>
    </row>
    <row r="6009" spans="1:10" ht="13">
      <c r="A6009" s="27"/>
      <c r="B6009" s="110"/>
      <c r="D6009" s="406" t="s">
        <v>53</v>
      </c>
      <c r="E6009" s="13" t="s">
        <v>54</v>
      </c>
      <c r="F6009" s="14"/>
      <c r="G6009" s="15"/>
      <c r="H6009" s="451"/>
      <c r="I6009" s="412"/>
      <c r="J6009" s="16"/>
    </row>
    <row r="6010" spans="1:10" ht="13">
      <c r="A6010" s="27"/>
      <c r="B6010" s="110"/>
      <c r="D6010" s="409"/>
      <c r="E6010" s="13" t="s">
        <v>193</v>
      </c>
      <c r="F6010" s="14"/>
      <c r="G6010" s="410" t="s">
        <v>87</v>
      </c>
      <c r="H6010" s="411">
        <v>2</v>
      </c>
      <c r="I6010" s="412">
        <f>'BAHAN '!G228</f>
        <v>0</v>
      </c>
      <c r="J6010" s="16">
        <f>H6010*I6010</f>
        <v>0</v>
      </c>
    </row>
    <row r="6011" spans="1:10" ht="13">
      <c r="A6011" s="27"/>
      <c r="B6011" s="110"/>
      <c r="D6011" s="409"/>
      <c r="E6011" s="13" t="s">
        <v>486</v>
      </c>
      <c r="F6011" s="14"/>
      <c r="G6011" s="410" t="s">
        <v>57</v>
      </c>
      <c r="H6011" s="411">
        <v>0.05</v>
      </c>
      <c r="I6011" s="412">
        <f>'BAHAN '!G127</f>
        <v>0</v>
      </c>
      <c r="J6011" s="16">
        <f>H6011*I6011</f>
        <v>0</v>
      </c>
    </row>
    <row r="6012" spans="1:10" ht="13.5" thickBot="1">
      <c r="A6012" s="27"/>
      <c r="B6012" s="110"/>
      <c r="D6012" s="409"/>
      <c r="E6012" s="13" t="s">
        <v>194</v>
      </c>
      <c r="F6012" s="14"/>
      <c r="G6012" s="410" t="s">
        <v>170</v>
      </c>
      <c r="H6012" s="411">
        <v>3.5000000000000001E-3</v>
      </c>
      <c r="I6012" s="412">
        <f>'BAHAN '!G199</f>
        <v>0</v>
      </c>
      <c r="J6012" s="16">
        <f>H6012*I6012</f>
        <v>0</v>
      </c>
    </row>
    <row r="6013" spans="1:10" ht="13.5" thickBot="1">
      <c r="A6013" s="27"/>
      <c r="B6013" s="110"/>
      <c r="D6013" s="417"/>
      <c r="E6013" s="418"/>
      <c r="F6013" s="418"/>
      <c r="G6013" s="419"/>
      <c r="H6013" s="420" t="s">
        <v>64</v>
      </c>
      <c r="I6013" s="421"/>
      <c r="J6013" s="396">
        <f>SUM(J6010:J6012)</f>
        <v>0</v>
      </c>
    </row>
    <row r="6014" spans="1:10" ht="13.5" thickBot="1">
      <c r="A6014" s="27"/>
      <c r="B6014" s="110"/>
      <c r="D6014" s="406" t="s">
        <v>65</v>
      </c>
      <c r="E6014" s="13" t="s">
        <v>66</v>
      </c>
      <c r="F6014" s="14"/>
      <c r="G6014" s="15"/>
      <c r="H6014" s="451"/>
      <c r="I6014" s="412">
        <f>IF(AND(E6014&lt;&gt;"",G6014&lt;&gt;""),IF(D6014="",IF(G6014="OH",VLOOKUP(E6014,UPAH!$C$4:$H$31,7,0),VLOOKUP(E6014,#REF!,4,0)),0),0)</f>
        <v>0</v>
      </c>
      <c r="J6014" s="16">
        <f>H6014*I6014</f>
        <v>0</v>
      </c>
    </row>
    <row r="6015" spans="1:10" ht="13.5" thickBot="1">
      <c r="A6015" s="27"/>
      <c r="B6015" s="110"/>
      <c r="D6015" s="417"/>
      <c r="E6015" s="418"/>
      <c r="F6015" s="418"/>
      <c r="G6015" s="419"/>
      <c r="H6015" s="420" t="s">
        <v>67</v>
      </c>
      <c r="I6015" s="421"/>
      <c r="J6015" s="396">
        <f>J6014</f>
        <v>0</v>
      </c>
    </row>
    <row r="6016" spans="1:10" ht="13">
      <c r="A6016" s="27"/>
      <c r="B6016" s="110"/>
      <c r="D6016" s="444" t="s">
        <v>68</v>
      </c>
      <c r="E6016" s="445" t="s">
        <v>69</v>
      </c>
      <c r="F6016" s="446"/>
      <c r="G6016" s="447"/>
      <c r="H6016" s="448"/>
      <c r="I6016" s="449">
        <f>IF(AND(E6016&lt;&gt;"",G6016&lt;&gt;""),IF(D6016="",IF(G6016="OH",VLOOKUP(E6016,UPAH!$C$4:$H$31,7,0),VLOOKUP(E6016,#REF!,4,0)),0),0)</f>
        <v>0</v>
      </c>
      <c r="J6016" s="16">
        <f>SUM(J6004:J6015)/2</f>
        <v>0</v>
      </c>
    </row>
    <row r="6017" spans="1:10" ht="13.5" thickBot="1">
      <c r="A6017" s="27"/>
      <c r="B6017" s="110"/>
      <c r="D6017" s="431" t="s">
        <v>70</v>
      </c>
      <c r="E6017" s="432" t="s">
        <v>477</v>
      </c>
      <c r="F6017" s="433"/>
      <c r="G6017" s="434"/>
      <c r="H6017" s="22">
        <v>0.1</v>
      </c>
      <c r="I6017" s="436"/>
      <c r="J6017" s="430">
        <f>H6017*J6016</f>
        <v>0</v>
      </c>
    </row>
    <row r="6018" spans="1:10" ht="13.5" thickBot="1">
      <c r="A6018" s="27"/>
      <c r="B6018" s="110"/>
      <c r="D6018" s="401" t="s">
        <v>71</v>
      </c>
      <c r="E6018" s="402" t="s">
        <v>72</v>
      </c>
      <c r="F6018" s="418"/>
      <c r="G6018" s="419"/>
      <c r="H6018" s="442"/>
      <c r="I6018" s="421">
        <f>IF(AND(E6018&lt;&gt;"",G6018&lt;&gt;""),IF(D6018="",IF(G6018="OH",VLOOKUP(E6018,UPAH!$C$4:$H$31,7,0),VLOOKUP(E6018,#REF!,4,0)),0),0)</f>
        <v>0</v>
      </c>
      <c r="J6018" s="396">
        <f>ROUNDDOWN(J6016+J6017,0)</f>
        <v>0</v>
      </c>
    </row>
    <row r="6019" spans="1:10" ht="13">
      <c r="A6019" s="27"/>
      <c r="B6019" s="110"/>
      <c r="D6019" s="11"/>
      <c r="E6019" s="11"/>
      <c r="H6019" s="443"/>
    </row>
    <row r="6020" spans="1:10" ht="13.5" thickBot="1">
      <c r="A6020" s="27"/>
      <c r="B6020" s="110"/>
      <c r="C6020" s="11" t="s">
        <v>1151</v>
      </c>
      <c r="D6020" s="10" t="s">
        <v>1150</v>
      </c>
      <c r="H6020" s="443"/>
    </row>
    <row r="6021" spans="1:10" ht="13.5" thickBot="1">
      <c r="A6021" s="27"/>
      <c r="B6021" s="110"/>
      <c r="D6021" s="401" t="s">
        <v>40</v>
      </c>
      <c r="E6021" s="402" t="s">
        <v>41</v>
      </c>
      <c r="F6021" s="402" t="s">
        <v>42</v>
      </c>
      <c r="G6021" s="403" t="s">
        <v>43</v>
      </c>
      <c r="H6021" s="404" t="s">
        <v>44</v>
      </c>
      <c r="I6021" s="402" t="s">
        <v>474</v>
      </c>
      <c r="J6021" s="405" t="s">
        <v>475</v>
      </c>
    </row>
    <row r="6022" spans="1:10" ht="13">
      <c r="A6022" s="27"/>
      <c r="B6022" s="110"/>
      <c r="D6022" s="406" t="s">
        <v>45</v>
      </c>
      <c r="E6022" s="13" t="s">
        <v>46</v>
      </c>
      <c r="F6022" s="14"/>
      <c r="G6022" s="15"/>
      <c r="H6022" s="451"/>
      <c r="I6022" s="412"/>
      <c r="J6022" s="16"/>
    </row>
    <row r="6023" spans="1:10" ht="13">
      <c r="A6023" s="27"/>
      <c r="B6023" s="110"/>
      <c r="D6023" s="409"/>
      <c r="E6023" s="13" t="s">
        <v>47</v>
      </c>
      <c r="F6023" s="13" t="s">
        <v>1918</v>
      </c>
      <c r="G6023" s="410" t="s">
        <v>48</v>
      </c>
      <c r="H6023" s="411">
        <v>0.25</v>
      </c>
      <c r="I6023" s="412">
        <f>IF(AND(E6023&lt;&gt;"",G6023&lt;&gt;""),IF(D6023="",IF(G6023="OH",VLOOKUP(F6023,UPAH!$B$4:$H$101,7,0),VLOOKUP(F6023,#REF!,4,0)),0),0)</f>
        <v>0</v>
      </c>
      <c r="J6023" s="16">
        <f>H6023*I6023</f>
        <v>0</v>
      </c>
    </row>
    <row r="6024" spans="1:10" ht="13">
      <c r="A6024" s="27"/>
      <c r="B6024" s="110"/>
      <c r="D6024" s="409"/>
      <c r="E6024" s="13" t="s">
        <v>476</v>
      </c>
      <c r="F6024" s="13" t="s">
        <v>1922</v>
      </c>
      <c r="G6024" s="410" t="s">
        <v>48</v>
      </c>
      <c r="H6024" s="411">
        <v>0.15</v>
      </c>
      <c r="I6024" s="412">
        <f>IF(AND(E6024&lt;&gt;"",G6024&lt;&gt;""),IF(D6024="",IF(G6024="OH",VLOOKUP(F6024,UPAH!$B$4:$H$101,7,0),VLOOKUP(F6024,#REF!,4,0)),0),0)</f>
        <v>0</v>
      </c>
      <c r="J6024" s="16">
        <f>H6024*I6024</f>
        <v>0</v>
      </c>
    </row>
    <row r="6025" spans="1:10" ht="13">
      <c r="A6025" s="27"/>
      <c r="B6025" s="110"/>
      <c r="D6025" s="409"/>
      <c r="E6025" s="13" t="s">
        <v>50</v>
      </c>
      <c r="F6025" s="13" t="s">
        <v>1928</v>
      </c>
      <c r="G6025" s="410" t="s">
        <v>48</v>
      </c>
      <c r="H6025" s="411">
        <v>1.4999999999999999E-2</v>
      </c>
      <c r="I6025" s="412">
        <f>IF(AND(E6025&lt;&gt;"",G6025&lt;&gt;""),IF(D6025="",IF(G6025="OH",VLOOKUP(F6025,UPAH!$B$4:$H$101,7,0),VLOOKUP(F6025,#REF!,4,0)),0),0)</f>
        <v>0</v>
      </c>
      <c r="J6025" s="16">
        <f>H6025*I6025</f>
        <v>0</v>
      </c>
    </row>
    <row r="6026" spans="1:10" ht="13.5" thickBot="1">
      <c r="A6026" s="27"/>
      <c r="B6026" s="110"/>
      <c r="D6026" s="409"/>
      <c r="E6026" s="13" t="s">
        <v>51</v>
      </c>
      <c r="F6026" s="13" t="s">
        <v>1929</v>
      </c>
      <c r="G6026" s="410" t="s">
        <v>48</v>
      </c>
      <c r="H6026" s="411">
        <v>1.2999999999999999E-2</v>
      </c>
      <c r="I6026" s="412">
        <f>IF(AND(E6026&lt;&gt;"",G6026&lt;&gt;""),IF(D6026="",IF(G6026="OH",VLOOKUP(F6026,UPAH!$B$4:$H$101,7,0),VLOOKUP(F6026,#REF!,4,0)),0),0)</f>
        <v>0</v>
      </c>
      <c r="J6026" s="16">
        <f>H6026*I6026</f>
        <v>0</v>
      </c>
    </row>
    <row r="6027" spans="1:10" ht="13.5" thickBot="1">
      <c r="A6027" s="27"/>
      <c r="B6027" s="110"/>
      <c r="D6027" s="417"/>
      <c r="E6027" s="418"/>
      <c r="F6027" s="418"/>
      <c r="G6027" s="419"/>
      <c r="H6027" s="420" t="s">
        <v>52</v>
      </c>
      <c r="I6027" s="421"/>
      <c r="J6027" s="396">
        <f>SUM(J6023:J6026)</f>
        <v>0</v>
      </c>
    </row>
    <row r="6028" spans="1:10" ht="13">
      <c r="A6028" s="27"/>
      <c r="B6028" s="110"/>
      <c r="D6028" s="406" t="s">
        <v>53</v>
      </c>
      <c r="E6028" s="13" t="s">
        <v>54</v>
      </c>
      <c r="F6028" s="14"/>
      <c r="G6028" s="15"/>
      <c r="H6028" s="451"/>
      <c r="I6028" s="412"/>
      <c r="J6028" s="16"/>
    </row>
    <row r="6029" spans="1:10" ht="13">
      <c r="A6029" s="27"/>
      <c r="B6029" s="110"/>
      <c r="D6029" s="409"/>
      <c r="E6029" s="13" t="s">
        <v>195</v>
      </c>
      <c r="F6029" s="14"/>
      <c r="G6029" s="410" t="s">
        <v>87</v>
      </c>
      <c r="H6029" s="411">
        <v>1.1000000000000001</v>
      </c>
      <c r="I6029" s="412">
        <f>'BAHAN '!G230</f>
        <v>0</v>
      </c>
      <c r="J6029" s="16">
        <f>H6029*I6029</f>
        <v>0</v>
      </c>
    </row>
    <row r="6030" spans="1:10" ht="13.5" thickBot="1">
      <c r="A6030" s="27"/>
      <c r="B6030" s="110"/>
      <c r="D6030" s="409"/>
      <c r="E6030" s="13" t="s">
        <v>486</v>
      </c>
      <c r="F6030" s="14"/>
      <c r="G6030" s="410" t="s">
        <v>57</v>
      </c>
      <c r="H6030" s="411">
        <v>0.05</v>
      </c>
      <c r="I6030" s="412">
        <f>'BAHAN '!G127</f>
        <v>0</v>
      </c>
      <c r="J6030" s="16">
        <f>H6030*I6030</f>
        <v>0</v>
      </c>
    </row>
    <row r="6031" spans="1:10" ht="13.5" thickBot="1">
      <c r="A6031" s="27"/>
      <c r="B6031" s="110"/>
      <c r="D6031" s="417"/>
      <c r="E6031" s="418"/>
      <c r="F6031" s="418"/>
      <c r="G6031" s="419"/>
      <c r="H6031" s="420" t="s">
        <v>64</v>
      </c>
      <c r="I6031" s="421"/>
      <c r="J6031" s="396">
        <f>SUM(J6029:J6030)</f>
        <v>0</v>
      </c>
    </row>
    <row r="6032" spans="1:10" ht="13.5" thickBot="1">
      <c r="A6032" s="27"/>
      <c r="B6032" s="110"/>
      <c r="D6032" s="406" t="s">
        <v>65</v>
      </c>
      <c r="E6032" s="13" t="s">
        <v>66</v>
      </c>
      <c r="F6032" s="14"/>
      <c r="G6032" s="15"/>
      <c r="H6032" s="451"/>
      <c r="I6032" s="412">
        <f>IF(AND(E6032&lt;&gt;"",G6032&lt;&gt;""),IF(D6032="",IF(G6032="OH",VLOOKUP(E6032,UPAH!$C$4:$H$31,7,0),VLOOKUP(E6032,#REF!,4,0)),0),0)</f>
        <v>0</v>
      </c>
      <c r="J6032" s="16">
        <f>H6032*I6032</f>
        <v>0</v>
      </c>
    </row>
    <row r="6033" spans="1:10" ht="13.5" thickBot="1">
      <c r="A6033" s="27"/>
      <c r="B6033" s="110"/>
      <c r="D6033" s="417"/>
      <c r="E6033" s="418"/>
      <c r="F6033" s="418"/>
      <c r="G6033" s="419"/>
      <c r="H6033" s="420" t="s">
        <v>67</v>
      </c>
      <c r="I6033" s="421"/>
      <c r="J6033" s="396">
        <f>J6032</f>
        <v>0</v>
      </c>
    </row>
    <row r="6034" spans="1:10" ht="13">
      <c r="A6034" s="27"/>
      <c r="B6034" s="110"/>
      <c r="D6034" s="444" t="s">
        <v>68</v>
      </c>
      <c r="E6034" s="445" t="s">
        <v>69</v>
      </c>
      <c r="F6034" s="446"/>
      <c r="G6034" s="447"/>
      <c r="H6034" s="448"/>
      <c r="I6034" s="449">
        <f>IF(AND(E6034&lt;&gt;"",G6034&lt;&gt;""),IF(D6034="",IF(G6034="OH",VLOOKUP(E6034,UPAH!$C$4:$H$31,7,0),VLOOKUP(E6034,#REF!,4,0)),0),0)</f>
        <v>0</v>
      </c>
      <c r="J6034" s="16">
        <f>SUM(J6023:J6033)/2</f>
        <v>0</v>
      </c>
    </row>
    <row r="6035" spans="1:10" ht="13.5" thickBot="1">
      <c r="A6035" s="27"/>
      <c r="B6035" s="110"/>
      <c r="D6035" s="431" t="s">
        <v>70</v>
      </c>
      <c r="E6035" s="432" t="s">
        <v>477</v>
      </c>
      <c r="F6035" s="433"/>
      <c r="G6035" s="434"/>
      <c r="H6035" s="22">
        <v>0.1</v>
      </c>
      <c r="I6035" s="436"/>
      <c r="J6035" s="430">
        <f>H6035*J6034</f>
        <v>0</v>
      </c>
    </row>
    <row r="6036" spans="1:10" ht="13.5" thickBot="1">
      <c r="A6036" s="27"/>
      <c r="B6036" s="110"/>
      <c r="D6036" s="401" t="s">
        <v>71</v>
      </c>
      <c r="E6036" s="402" t="s">
        <v>72</v>
      </c>
      <c r="F6036" s="418"/>
      <c r="G6036" s="419"/>
      <c r="H6036" s="442"/>
      <c r="I6036" s="421">
        <f>IF(AND(E6036&lt;&gt;"",G6036&lt;&gt;""),IF(D6036="",IF(G6036="OH",VLOOKUP(E6036,UPAH!$C$4:$H$31,7,0),VLOOKUP(E6036,#REF!,4,0)),0),0)</f>
        <v>0</v>
      </c>
      <c r="J6036" s="396">
        <f>ROUNDDOWN(J6034+J6035,0)</f>
        <v>0</v>
      </c>
    </row>
    <row r="6037" spans="1:10" ht="13">
      <c r="A6037" s="27"/>
      <c r="B6037" s="110"/>
      <c r="D6037" s="11"/>
      <c r="E6037" s="11"/>
      <c r="H6037" s="443"/>
    </row>
    <row r="6038" spans="1:10" ht="13.5" thickBot="1">
      <c r="A6038" s="27"/>
      <c r="B6038" s="110"/>
      <c r="C6038" s="11" t="s">
        <v>1153</v>
      </c>
      <c r="D6038" s="10" t="s">
        <v>1152</v>
      </c>
      <c r="H6038" s="443"/>
    </row>
    <row r="6039" spans="1:10" ht="13.5" thickBot="1">
      <c r="A6039" s="27"/>
      <c r="B6039" s="110"/>
      <c r="D6039" s="401" t="s">
        <v>40</v>
      </c>
      <c r="E6039" s="402" t="s">
        <v>41</v>
      </c>
      <c r="F6039" s="402" t="s">
        <v>42</v>
      </c>
      <c r="G6039" s="403" t="s">
        <v>43</v>
      </c>
      <c r="H6039" s="404" t="s">
        <v>44</v>
      </c>
      <c r="I6039" s="402" t="s">
        <v>474</v>
      </c>
      <c r="J6039" s="405" t="s">
        <v>475</v>
      </c>
    </row>
    <row r="6040" spans="1:10" ht="13">
      <c r="A6040" s="27"/>
      <c r="B6040" s="110"/>
      <c r="D6040" s="406" t="s">
        <v>45</v>
      </c>
      <c r="E6040" s="13" t="s">
        <v>46</v>
      </c>
      <c r="F6040" s="14"/>
      <c r="G6040" s="15"/>
      <c r="H6040" s="451"/>
      <c r="I6040" s="412"/>
      <c r="J6040" s="16"/>
    </row>
    <row r="6041" spans="1:10" ht="13">
      <c r="A6041" s="27"/>
      <c r="B6041" s="110"/>
      <c r="D6041" s="409"/>
      <c r="E6041" s="13" t="s">
        <v>47</v>
      </c>
      <c r="F6041" s="13" t="s">
        <v>1918</v>
      </c>
      <c r="G6041" s="410" t="s">
        <v>48</v>
      </c>
      <c r="H6041" s="411">
        <v>0.125</v>
      </c>
      <c r="I6041" s="412">
        <f>IF(AND(E6041&lt;&gt;"",G6041&lt;&gt;""),IF(D6041="",IF(G6041="OH",VLOOKUP(F6041,UPAH!$B$4:$H$101,7,0),VLOOKUP(F6041,#REF!,4,0)),0),0)</f>
        <v>0</v>
      </c>
      <c r="J6041" s="16">
        <f>H6041*I6041</f>
        <v>0</v>
      </c>
    </row>
    <row r="6042" spans="1:10" ht="13">
      <c r="A6042" s="27"/>
      <c r="B6042" s="110"/>
      <c r="D6042" s="409"/>
      <c r="E6042" s="13" t="s">
        <v>476</v>
      </c>
      <c r="F6042" s="13" t="s">
        <v>1922</v>
      </c>
      <c r="G6042" s="410" t="s">
        <v>48</v>
      </c>
      <c r="H6042" s="411">
        <v>0.25</v>
      </c>
      <c r="I6042" s="412">
        <f>IF(AND(E6042&lt;&gt;"",G6042&lt;&gt;""),IF(D6042="",IF(G6042="OH",VLOOKUP(F6042,UPAH!$B$4:$H$101,7,0),VLOOKUP(F6042,#REF!,4,0)),0),0)</f>
        <v>0</v>
      </c>
      <c r="J6042" s="16">
        <f>H6042*I6042</f>
        <v>0</v>
      </c>
    </row>
    <row r="6043" spans="1:10" ht="13">
      <c r="A6043" s="27"/>
      <c r="B6043" s="110"/>
      <c r="D6043" s="409"/>
      <c r="E6043" s="13" t="s">
        <v>50</v>
      </c>
      <c r="F6043" s="13" t="s">
        <v>1928</v>
      </c>
      <c r="G6043" s="410" t="s">
        <v>48</v>
      </c>
      <c r="H6043" s="411">
        <v>2.5000000000000001E-2</v>
      </c>
      <c r="I6043" s="412">
        <f>IF(AND(E6043&lt;&gt;"",G6043&lt;&gt;""),IF(D6043="",IF(G6043="OH",VLOOKUP(F6043,UPAH!$B$4:$H$101,7,0),VLOOKUP(F6043,#REF!,4,0)),0),0)</f>
        <v>0</v>
      </c>
      <c r="J6043" s="16">
        <f>H6043*I6043</f>
        <v>0</v>
      </c>
    </row>
    <row r="6044" spans="1:10" ht="13.5" thickBot="1">
      <c r="A6044" s="27"/>
      <c r="B6044" s="110"/>
      <c r="D6044" s="409"/>
      <c r="E6044" s="13" t="s">
        <v>51</v>
      </c>
      <c r="F6044" s="13" t="s">
        <v>1929</v>
      </c>
      <c r="G6044" s="410" t="s">
        <v>48</v>
      </c>
      <c r="H6044" s="411">
        <v>6.0000000000000001E-3</v>
      </c>
      <c r="I6044" s="412">
        <f>IF(AND(E6044&lt;&gt;"",G6044&lt;&gt;""),IF(D6044="",IF(G6044="OH",VLOOKUP(F6044,UPAH!$B$4:$H$101,7,0),VLOOKUP(F6044,#REF!,4,0)),0),0)</f>
        <v>0</v>
      </c>
      <c r="J6044" s="16">
        <f>H6044*I6044</f>
        <v>0</v>
      </c>
    </row>
    <row r="6045" spans="1:10" ht="13.5" thickBot="1">
      <c r="A6045" s="27"/>
      <c r="B6045" s="110"/>
      <c r="D6045" s="417"/>
      <c r="E6045" s="418"/>
      <c r="F6045" s="418"/>
      <c r="G6045" s="419"/>
      <c r="H6045" s="420" t="s">
        <v>52</v>
      </c>
      <c r="I6045" s="421"/>
      <c r="J6045" s="396">
        <f>SUM(J6041:J6044)</f>
        <v>0</v>
      </c>
    </row>
    <row r="6046" spans="1:10" ht="13">
      <c r="A6046" s="27"/>
      <c r="B6046" s="110"/>
      <c r="D6046" s="406" t="s">
        <v>53</v>
      </c>
      <c r="E6046" s="13" t="s">
        <v>54</v>
      </c>
      <c r="F6046" s="14"/>
      <c r="G6046" s="15"/>
      <c r="H6046" s="451"/>
      <c r="I6046" s="412"/>
      <c r="J6046" s="16"/>
    </row>
    <row r="6047" spans="1:10" ht="13">
      <c r="A6047" s="27"/>
      <c r="B6047" s="110"/>
      <c r="D6047" s="409"/>
      <c r="E6047" s="13" t="s">
        <v>443</v>
      </c>
      <c r="F6047" s="14"/>
      <c r="G6047" s="410" t="s">
        <v>74</v>
      </c>
      <c r="H6047" s="411">
        <v>0.4</v>
      </c>
      <c r="I6047" s="412">
        <f>'BAHAN '!G236</f>
        <v>0</v>
      </c>
      <c r="J6047" s="16">
        <f>H6047*I6047</f>
        <v>0</v>
      </c>
    </row>
    <row r="6048" spans="1:10" ht="13">
      <c r="A6048" s="27"/>
      <c r="B6048" s="110"/>
      <c r="D6048" s="409"/>
      <c r="E6048" s="13" t="s">
        <v>486</v>
      </c>
      <c r="F6048" s="14"/>
      <c r="G6048" s="410" t="s">
        <v>57</v>
      </c>
      <c r="H6048" s="411">
        <v>0.05</v>
      </c>
      <c r="I6048" s="412">
        <f>'BAHAN '!G127</f>
        <v>0</v>
      </c>
      <c r="J6048" s="16">
        <f>H6048*I6048</f>
        <v>0</v>
      </c>
    </row>
    <row r="6049" spans="1:10" ht="13.5" thickBot="1">
      <c r="A6049" s="27"/>
      <c r="B6049" s="110"/>
      <c r="D6049" s="409"/>
      <c r="E6049" s="13" t="s">
        <v>486</v>
      </c>
      <c r="F6049" s="14"/>
      <c r="G6049" s="410" t="s">
        <v>57</v>
      </c>
      <c r="H6049" s="411">
        <v>0.05</v>
      </c>
      <c r="I6049" s="412">
        <f>'BAHAN '!G127</f>
        <v>0</v>
      </c>
      <c r="J6049" s="16">
        <f>H6049*I6049</f>
        <v>0</v>
      </c>
    </row>
    <row r="6050" spans="1:10" ht="13.5" thickBot="1">
      <c r="A6050" s="27"/>
      <c r="B6050" s="110"/>
      <c r="D6050" s="417"/>
      <c r="E6050" s="418"/>
      <c r="F6050" s="418"/>
      <c r="G6050" s="419"/>
      <c r="H6050" s="420" t="s">
        <v>64</v>
      </c>
      <c r="I6050" s="421"/>
      <c r="J6050" s="396">
        <f>SUM(J6047:J6049)</f>
        <v>0</v>
      </c>
    </row>
    <row r="6051" spans="1:10" ht="13.5" thickBot="1">
      <c r="A6051" s="27"/>
      <c r="B6051" s="110"/>
      <c r="D6051" s="406" t="s">
        <v>65</v>
      </c>
      <c r="E6051" s="13" t="s">
        <v>66</v>
      </c>
      <c r="F6051" s="14"/>
      <c r="G6051" s="15"/>
      <c r="H6051" s="451"/>
      <c r="I6051" s="412">
        <f>IF(AND(E6051&lt;&gt;"",G6051&lt;&gt;""),IF(D6051="",IF(G6051="OH",VLOOKUP(E6051,UPAH!$C$4:$H$31,7,0),VLOOKUP(E6051,#REF!,4,0)),0),0)</f>
        <v>0</v>
      </c>
      <c r="J6051" s="16">
        <f>H6051*I6051</f>
        <v>0</v>
      </c>
    </row>
    <row r="6052" spans="1:10" ht="13.5" thickBot="1">
      <c r="A6052" s="27"/>
      <c r="B6052" s="110"/>
      <c r="D6052" s="417"/>
      <c r="E6052" s="418"/>
      <c r="F6052" s="418"/>
      <c r="G6052" s="419"/>
      <c r="H6052" s="420" t="s">
        <v>67</v>
      </c>
      <c r="I6052" s="421"/>
      <c r="J6052" s="396">
        <f>J6051</f>
        <v>0</v>
      </c>
    </row>
    <row r="6053" spans="1:10" ht="13">
      <c r="A6053" s="27"/>
      <c r="B6053" s="110"/>
      <c r="D6053" s="444" t="s">
        <v>68</v>
      </c>
      <c r="E6053" s="445" t="s">
        <v>69</v>
      </c>
      <c r="F6053" s="446"/>
      <c r="G6053" s="447"/>
      <c r="H6053" s="448"/>
      <c r="I6053" s="449">
        <f>IF(AND(E6053&lt;&gt;"",G6053&lt;&gt;""),IF(D6053="",IF(G6053="OH",VLOOKUP(E6053,UPAH!$C$4:$H$31,7,0),VLOOKUP(E6053,#REF!,4,0)),0),0)</f>
        <v>0</v>
      </c>
      <c r="J6053" s="16">
        <f>SUM(J6041:J6052)/2</f>
        <v>0</v>
      </c>
    </row>
    <row r="6054" spans="1:10" ht="13.5" thickBot="1">
      <c r="A6054" s="27"/>
      <c r="B6054" s="110"/>
      <c r="D6054" s="431" t="s">
        <v>70</v>
      </c>
      <c r="E6054" s="432" t="s">
        <v>477</v>
      </c>
      <c r="F6054" s="433"/>
      <c r="G6054" s="434"/>
      <c r="H6054" s="22">
        <v>0.1</v>
      </c>
      <c r="I6054" s="436"/>
      <c r="J6054" s="430">
        <f>H6054*J6053</f>
        <v>0</v>
      </c>
    </row>
    <row r="6055" spans="1:10" ht="13.5" thickBot="1">
      <c r="A6055" s="27"/>
      <c r="B6055" s="110"/>
      <c r="D6055" s="401" t="s">
        <v>71</v>
      </c>
      <c r="E6055" s="402" t="s">
        <v>72</v>
      </c>
      <c r="F6055" s="418"/>
      <c r="G6055" s="419"/>
      <c r="H6055" s="442"/>
      <c r="I6055" s="421">
        <f>IF(AND(E6055&lt;&gt;"",G6055&lt;&gt;""),IF(D6055="",IF(G6055="OH",VLOOKUP(E6055,UPAH!$C$4:$H$31,7,0),VLOOKUP(E6055,#REF!,4,0)),0),0)</f>
        <v>0</v>
      </c>
      <c r="J6055" s="396">
        <f>ROUNDDOWN(J6053+J6054,0)</f>
        <v>0</v>
      </c>
    </row>
    <row r="6056" spans="1:10" ht="13">
      <c r="A6056" s="27"/>
      <c r="B6056" s="110"/>
      <c r="D6056" s="11"/>
      <c r="E6056" s="11"/>
      <c r="H6056" s="443"/>
    </row>
    <row r="6057" spans="1:10" ht="13.5" thickBot="1">
      <c r="A6057" s="27"/>
      <c r="B6057" s="110"/>
      <c r="C6057" s="11" t="s">
        <v>1158</v>
      </c>
      <c r="D6057" s="10" t="s">
        <v>1159</v>
      </c>
      <c r="H6057" s="443"/>
    </row>
    <row r="6058" spans="1:10" ht="13.5" thickBot="1">
      <c r="A6058" s="27"/>
      <c r="B6058" s="110"/>
      <c r="D6058" s="401" t="s">
        <v>40</v>
      </c>
      <c r="E6058" s="402" t="s">
        <v>41</v>
      </c>
      <c r="F6058" s="402" t="s">
        <v>42</v>
      </c>
      <c r="G6058" s="403" t="s">
        <v>43</v>
      </c>
      <c r="H6058" s="404" t="s">
        <v>44</v>
      </c>
      <c r="I6058" s="402" t="s">
        <v>474</v>
      </c>
      <c r="J6058" s="405" t="s">
        <v>475</v>
      </c>
    </row>
    <row r="6059" spans="1:10" ht="13">
      <c r="A6059" s="27"/>
      <c r="B6059" s="110"/>
      <c r="D6059" s="406" t="s">
        <v>45</v>
      </c>
      <c r="E6059" s="13" t="s">
        <v>46</v>
      </c>
      <c r="F6059" s="14"/>
      <c r="G6059" s="15"/>
      <c r="H6059" s="451"/>
      <c r="I6059" s="412"/>
      <c r="J6059" s="16"/>
    </row>
    <row r="6060" spans="1:10" ht="13">
      <c r="A6060" s="27"/>
      <c r="B6060" s="110"/>
      <c r="D6060" s="406" t="s">
        <v>45</v>
      </c>
      <c r="E6060" s="13" t="s">
        <v>46</v>
      </c>
      <c r="F6060" s="14"/>
      <c r="G6060" s="15"/>
      <c r="H6060" s="451"/>
      <c r="I6060" s="412">
        <f>IF(AND(E6060&lt;&gt;"",G6060&lt;&gt;""),IF(D6060="",IF(G6060="OH",VLOOKUP(E6060,UPAH!$C$4:$H$31,7,0),VLOOKUP(E6060,#REF!,4,0)),0),0)</f>
        <v>0</v>
      </c>
      <c r="J6060" s="16">
        <f>H6060*I6060</f>
        <v>0</v>
      </c>
    </row>
    <row r="6061" spans="1:10" ht="13">
      <c r="A6061" s="27"/>
      <c r="B6061" s="110"/>
      <c r="D6061" s="409"/>
      <c r="E6061" s="13" t="s">
        <v>47</v>
      </c>
      <c r="F6061" s="13" t="s">
        <v>1918</v>
      </c>
      <c r="G6061" s="410" t="s">
        <v>48</v>
      </c>
      <c r="H6061" s="411">
        <v>0.12</v>
      </c>
      <c r="I6061" s="412">
        <f>IF(AND(E6061&lt;&gt;"",G6061&lt;&gt;""),IF(D6061="",IF(G6061="OH",VLOOKUP(F6061,UPAH!$B$4:$H$101,7,0),VLOOKUP(F6061,#REF!,4,0)),0),0)</f>
        <v>0</v>
      </c>
      <c r="J6061" s="16">
        <f>H6061*I6061</f>
        <v>0</v>
      </c>
    </row>
    <row r="6062" spans="1:10" ht="13">
      <c r="A6062" s="27"/>
      <c r="B6062" s="110"/>
      <c r="D6062" s="409"/>
      <c r="E6062" s="13" t="s">
        <v>476</v>
      </c>
      <c r="F6062" s="13" t="s">
        <v>1922</v>
      </c>
      <c r="G6062" s="410" t="s">
        <v>48</v>
      </c>
      <c r="H6062" s="411">
        <v>0.06</v>
      </c>
      <c r="I6062" s="412">
        <f>IF(AND(E6062&lt;&gt;"",G6062&lt;&gt;""),IF(D6062="",IF(G6062="OH",VLOOKUP(F6062,UPAH!$B$4:$H$101,7,0),VLOOKUP(F6062,#REF!,4,0)),0),0)</f>
        <v>0</v>
      </c>
      <c r="J6062" s="16">
        <f>H6062*I6062</f>
        <v>0</v>
      </c>
    </row>
    <row r="6063" spans="1:10" ht="13">
      <c r="A6063" s="27"/>
      <c r="B6063" s="110"/>
      <c r="D6063" s="409"/>
      <c r="E6063" s="13" t="s">
        <v>50</v>
      </c>
      <c r="F6063" s="13" t="s">
        <v>1928</v>
      </c>
      <c r="G6063" s="410" t="s">
        <v>48</v>
      </c>
      <c r="H6063" s="411">
        <v>6.0000000000000001E-3</v>
      </c>
      <c r="I6063" s="412">
        <f>IF(AND(E6063&lt;&gt;"",G6063&lt;&gt;""),IF(D6063="",IF(G6063="OH",VLOOKUP(F6063,UPAH!$B$4:$H$101,7,0),VLOOKUP(F6063,#REF!,4,0)),0),0)</f>
        <v>0</v>
      </c>
      <c r="J6063" s="16">
        <f>H6063*I6063</f>
        <v>0</v>
      </c>
    </row>
    <row r="6064" spans="1:10" ht="13.5" thickBot="1">
      <c r="A6064" s="27"/>
      <c r="B6064" s="110"/>
      <c r="D6064" s="409"/>
      <c r="E6064" s="13" t="s">
        <v>51</v>
      </c>
      <c r="F6064" s="13" t="s">
        <v>1929</v>
      </c>
      <c r="G6064" s="410" t="s">
        <v>48</v>
      </c>
      <c r="H6064" s="411">
        <v>6.0000000000000001E-3</v>
      </c>
      <c r="I6064" s="412">
        <f>IF(AND(E6064&lt;&gt;"",G6064&lt;&gt;""),IF(D6064="",IF(G6064="OH",VLOOKUP(F6064,UPAH!$B$4:$H$101,7,0),VLOOKUP(F6064,#REF!,4,0)),0),0)</f>
        <v>0</v>
      </c>
      <c r="J6064" s="16">
        <f>H6064*I6064</f>
        <v>0</v>
      </c>
    </row>
    <row r="6065" spans="1:10" ht="13.5" thickBot="1">
      <c r="A6065" s="27"/>
      <c r="B6065" s="110"/>
      <c r="D6065" s="417"/>
      <c r="E6065" s="418"/>
      <c r="F6065" s="418"/>
      <c r="G6065" s="419"/>
      <c r="H6065" s="420" t="s">
        <v>52</v>
      </c>
      <c r="I6065" s="421"/>
      <c r="J6065" s="396">
        <f>SUM(J6061:J6064)</f>
        <v>0</v>
      </c>
    </row>
    <row r="6066" spans="1:10" ht="13">
      <c r="A6066" s="27"/>
      <c r="B6066" s="110"/>
      <c r="D6066" s="406" t="s">
        <v>53</v>
      </c>
      <c r="E6066" s="13" t="s">
        <v>54</v>
      </c>
      <c r="F6066" s="14"/>
      <c r="G6066" s="15"/>
      <c r="H6066" s="451"/>
      <c r="I6066" s="412"/>
      <c r="J6066" s="16"/>
    </row>
    <row r="6067" spans="1:10" ht="13">
      <c r="A6067" s="27"/>
      <c r="B6067" s="110"/>
      <c r="D6067" s="409"/>
      <c r="E6067" s="13" t="s">
        <v>73</v>
      </c>
      <c r="F6067" s="14"/>
      <c r="G6067" s="410" t="s">
        <v>74</v>
      </c>
      <c r="H6067" s="411">
        <v>0.7</v>
      </c>
      <c r="I6067" s="412">
        <f>'BAHAN '!G234</f>
        <v>0</v>
      </c>
      <c r="J6067" s="16">
        <f>H6067*I6067</f>
        <v>0</v>
      </c>
    </row>
    <row r="6068" spans="1:10" ht="13.5" thickBot="1">
      <c r="A6068" s="27"/>
      <c r="B6068" s="110"/>
      <c r="D6068" s="409"/>
      <c r="E6068" s="13" t="s">
        <v>486</v>
      </c>
      <c r="F6068" s="14"/>
      <c r="G6068" s="410" t="s">
        <v>57</v>
      </c>
      <c r="H6068" s="411">
        <v>0.02</v>
      </c>
      <c r="I6068" s="412">
        <f>'BAHAN '!G127</f>
        <v>0</v>
      </c>
      <c r="J6068" s="16">
        <f>H6068*I6068</f>
        <v>0</v>
      </c>
    </row>
    <row r="6069" spans="1:10" ht="13.5" thickBot="1">
      <c r="A6069" s="27"/>
      <c r="B6069" s="110"/>
      <c r="D6069" s="417"/>
      <c r="E6069" s="418"/>
      <c r="F6069" s="418"/>
      <c r="G6069" s="419"/>
      <c r="H6069" s="420" t="s">
        <v>64</v>
      </c>
      <c r="I6069" s="421"/>
      <c r="J6069" s="396">
        <f>SUM(J6067:J6068)</f>
        <v>0</v>
      </c>
    </row>
    <row r="6070" spans="1:10" ht="13.5" thickBot="1">
      <c r="A6070" s="27"/>
      <c r="B6070" s="110"/>
      <c r="D6070" s="406" t="s">
        <v>65</v>
      </c>
      <c r="E6070" s="13" t="s">
        <v>66</v>
      </c>
      <c r="F6070" s="14"/>
      <c r="G6070" s="15"/>
      <c r="H6070" s="451"/>
      <c r="I6070" s="412">
        <f>IF(AND(E6070&lt;&gt;"",G6070&lt;&gt;""),IF(D6070="",IF(G6070="OH",VLOOKUP(E6070,UPAH!$C$4:$H$31,7,0),VLOOKUP(E6070,#REF!,4,0)),0),0)</f>
        <v>0</v>
      </c>
      <c r="J6070" s="16">
        <f>H6070*I6070</f>
        <v>0</v>
      </c>
    </row>
    <row r="6071" spans="1:10" ht="13.5" thickBot="1">
      <c r="A6071" s="27"/>
      <c r="B6071" s="110"/>
      <c r="D6071" s="417"/>
      <c r="E6071" s="418"/>
      <c r="F6071" s="418"/>
      <c r="G6071" s="419"/>
      <c r="H6071" s="420" t="s">
        <v>67</v>
      </c>
      <c r="I6071" s="421"/>
      <c r="J6071" s="396">
        <f>J6070</f>
        <v>0</v>
      </c>
    </row>
    <row r="6072" spans="1:10" ht="13">
      <c r="A6072" s="27"/>
      <c r="B6072" s="110"/>
      <c r="D6072" s="444" t="s">
        <v>68</v>
      </c>
      <c r="E6072" s="445" t="s">
        <v>69</v>
      </c>
      <c r="F6072" s="446"/>
      <c r="G6072" s="447"/>
      <c r="H6072" s="448"/>
      <c r="I6072" s="449">
        <f>IF(AND(E6072&lt;&gt;"",G6072&lt;&gt;""),IF(D6072="",IF(G6072="OH",VLOOKUP(E6072,UPAH!$C$4:$H$31,7,0),VLOOKUP(E6072,#REF!,4,0)),0),0)</f>
        <v>0</v>
      </c>
      <c r="J6072" s="16">
        <f>SUM(J6061:J6071)/2</f>
        <v>0</v>
      </c>
    </row>
    <row r="6073" spans="1:10" ht="13.5" thickBot="1">
      <c r="A6073" s="27"/>
      <c r="B6073" s="110"/>
      <c r="D6073" s="431" t="s">
        <v>70</v>
      </c>
      <c r="E6073" s="432" t="s">
        <v>477</v>
      </c>
      <c r="F6073" s="433"/>
      <c r="G6073" s="434"/>
      <c r="H6073" s="22">
        <v>0.1</v>
      </c>
      <c r="I6073" s="436"/>
      <c r="J6073" s="430">
        <f>H6073*J6072</f>
        <v>0</v>
      </c>
    </row>
    <row r="6074" spans="1:10" ht="13.5" thickBot="1">
      <c r="A6074" s="27"/>
      <c r="B6074" s="110"/>
      <c r="D6074" s="401" t="s">
        <v>71</v>
      </c>
      <c r="E6074" s="402" t="s">
        <v>72</v>
      </c>
      <c r="F6074" s="418"/>
      <c r="G6074" s="419"/>
      <c r="H6074" s="442"/>
      <c r="I6074" s="421">
        <f>IF(AND(E6074&lt;&gt;"",G6074&lt;&gt;""),IF(D6074="",IF(G6074="OH",VLOOKUP(E6074,UPAH!$C$4:$H$31,7,0),VLOOKUP(E6074,#REF!,4,0)),0),0)</f>
        <v>0</v>
      </c>
      <c r="J6074" s="396">
        <f>ROUNDDOWN(J6072+J6073,0)</f>
        <v>0</v>
      </c>
    </row>
    <row r="6075" spans="1:10" ht="13">
      <c r="A6075" s="27"/>
      <c r="B6075" s="110"/>
      <c r="D6075" s="11"/>
      <c r="E6075" s="11"/>
      <c r="H6075" s="443"/>
    </row>
    <row r="6076" spans="1:10" ht="13.5" thickBot="1">
      <c r="A6076" s="27"/>
      <c r="B6076" s="110"/>
      <c r="C6076" s="11" t="s">
        <v>1156</v>
      </c>
      <c r="D6076" s="10" t="s">
        <v>1157</v>
      </c>
      <c r="H6076" s="443"/>
    </row>
    <row r="6077" spans="1:10" ht="13.5" thickBot="1">
      <c r="A6077" s="27"/>
      <c r="B6077" s="110"/>
      <c r="D6077" s="401" t="s">
        <v>40</v>
      </c>
      <c r="E6077" s="402" t="s">
        <v>41</v>
      </c>
      <c r="F6077" s="402" t="s">
        <v>42</v>
      </c>
      <c r="G6077" s="403" t="s">
        <v>43</v>
      </c>
      <c r="H6077" s="404" t="s">
        <v>44</v>
      </c>
      <c r="I6077" s="402" t="s">
        <v>474</v>
      </c>
      <c r="J6077" s="405" t="s">
        <v>475</v>
      </c>
    </row>
    <row r="6078" spans="1:10" ht="13">
      <c r="A6078" s="27"/>
      <c r="B6078" s="110"/>
      <c r="D6078" s="406" t="s">
        <v>45</v>
      </c>
      <c r="E6078" s="13" t="s">
        <v>46</v>
      </c>
      <c r="F6078" s="14"/>
      <c r="G6078" s="15"/>
      <c r="H6078" s="451"/>
      <c r="I6078" s="412"/>
      <c r="J6078" s="16"/>
    </row>
    <row r="6079" spans="1:10" ht="13">
      <c r="A6079" s="27"/>
      <c r="B6079" s="110"/>
      <c r="D6079" s="409"/>
      <c r="E6079" s="13" t="s">
        <v>47</v>
      </c>
      <c r="F6079" s="13" t="s">
        <v>1918</v>
      </c>
      <c r="G6079" s="410" t="s">
        <v>48</v>
      </c>
      <c r="H6079" s="411">
        <v>0.15</v>
      </c>
      <c r="I6079" s="412">
        <f>IF(AND(E6079&lt;&gt;"",G6079&lt;&gt;""),IF(D6079="",IF(G6079="OH",VLOOKUP(F6079,UPAH!$B$4:$H$101,7,0),VLOOKUP(F6079,#REF!,4,0)),0),0)</f>
        <v>0</v>
      </c>
      <c r="J6079" s="16">
        <f>H6079*I6079</f>
        <v>0</v>
      </c>
    </row>
    <row r="6080" spans="1:10" ht="13">
      <c r="A6080" s="27"/>
      <c r="B6080" s="110"/>
      <c r="D6080" s="409"/>
      <c r="E6080" s="13" t="s">
        <v>476</v>
      </c>
      <c r="F6080" s="13" t="s">
        <v>1922</v>
      </c>
      <c r="G6080" s="410" t="s">
        <v>48</v>
      </c>
      <c r="H6080" s="411">
        <v>7.0000000000000007E-2</v>
      </c>
      <c r="I6080" s="412">
        <f>IF(AND(E6080&lt;&gt;"",G6080&lt;&gt;""),IF(D6080="",IF(G6080="OH",VLOOKUP(F6080,UPAH!$B$4:$H$101,7,0),VLOOKUP(F6080,#REF!,4,0)),0),0)</f>
        <v>0</v>
      </c>
      <c r="J6080" s="16">
        <f>H6080*I6080</f>
        <v>0</v>
      </c>
    </row>
    <row r="6081" spans="1:10" ht="13">
      <c r="A6081" s="27"/>
      <c r="B6081" s="110"/>
      <c r="D6081" s="409"/>
      <c r="E6081" s="13" t="s">
        <v>50</v>
      </c>
      <c r="F6081" s="13" t="s">
        <v>1928</v>
      </c>
      <c r="G6081" s="410" t="s">
        <v>48</v>
      </c>
      <c r="H6081" s="411">
        <v>7.0000000000000001E-3</v>
      </c>
      <c r="I6081" s="412">
        <f>IF(AND(E6081&lt;&gt;"",G6081&lt;&gt;""),IF(D6081="",IF(G6081="OH",VLOOKUP(F6081,UPAH!$B$4:$H$101,7,0),VLOOKUP(F6081,#REF!,4,0)),0),0)</f>
        <v>0</v>
      </c>
      <c r="J6081" s="16">
        <f>H6081*I6081</f>
        <v>0</v>
      </c>
    </row>
    <row r="6082" spans="1:10" ht="13.5" thickBot="1">
      <c r="A6082" s="27"/>
      <c r="B6082" s="110"/>
      <c r="D6082" s="409"/>
      <c r="E6082" s="13" t="s">
        <v>51</v>
      </c>
      <c r="F6082" s="13" t="s">
        <v>1929</v>
      </c>
      <c r="G6082" s="410" t="s">
        <v>48</v>
      </c>
      <c r="H6082" s="411">
        <v>6.0000000000000001E-3</v>
      </c>
      <c r="I6082" s="412">
        <f>IF(AND(E6082&lt;&gt;"",G6082&lt;&gt;""),IF(D6082="",IF(G6082="OH",VLOOKUP(F6082,UPAH!$B$4:$H$101,7,0),VLOOKUP(F6082,#REF!,4,0)),0),0)</f>
        <v>0</v>
      </c>
      <c r="J6082" s="16">
        <f>H6082*I6082</f>
        <v>0</v>
      </c>
    </row>
    <row r="6083" spans="1:10" ht="13.5" thickBot="1">
      <c r="A6083" s="27"/>
      <c r="B6083" s="110"/>
      <c r="D6083" s="417"/>
      <c r="E6083" s="418"/>
      <c r="F6083" s="418"/>
      <c r="G6083" s="419"/>
      <c r="H6083" s="420" t="s">
        <v>52</v>
      </c>
      <c r="I6083" s="421"/>
      <c r="J6083" s="396">
        <f>SUM(J6079:J6082)</f>
        <v>0</v>
      </c>
    </row>
    <row r="6084" spans="1:10" ht="13">
      <c r="A6084" s="27"/>
      <c r="B6084" s="110"/>
      <c r="D6084" s="406" t="s">
        <v>53</v>
      </c>
      <c r="E6084" s="13" t="s">
        <v>54</v>
      </c>
      <c r="F6084" s="14"/>
      <c r="G6084" s="15"/>
      <c r="H6084" s="451"/>
      <c r="I6084" s="412"/>
      <c r="J6084" s="16"/>
    </row>
    <row r="6085" spans="1:10" ht="13">
      <c r="A6085" s="27"/>
      <c r="B6085" s="110"/>
      <c r="D6085" s="409"/>
      <c r="E6085" s="13" t="s">
        <v>443</v>
      </c>
      <c r="F6085" s="14"/>
      <c r="G6085" s="410" t="s">
        <v>74</v>
      </c>
      <c r="H6085" s="411">
        <v>0.3</v>
      </c>
      <c r="I6085" s="412">
        <v>0</v>
      </c>
      <c r="J6085" s="16">
        <f>H6085*I6085</f>
        <v>0</v>
      </c>
    </row>
    <row r="6086" spans="1:10" ht="13.5" thickBot="1">
      <c r="A6086" s="27"/>
      <c r="B6086" s="110"/>
      <c r="D6086" s="409"/>
      <c r="E6086" s="13" t="s">
        <v>486</v>
      </c>
      <c r="F6086" s="14"/>
      <c r="G6086" s="410" t="s">
        <v>57</v>
      </c>
      <c r="H6086" s="411">
        <v>0.04</v>
      </c>
      <c r="I6086" s="412">
        <v>0</v>
      </c>
      <c r="J6086" s="16">
        <f>H6086*I6086</f>
        <v>0</v>
      </c>
    </row>
    <row r="6087" spans="1:10" ht="13.5" thickBot="1">
      <c r="A6087" s="27"/>
      <c r="B6087" s="110"/>
      <c r="D6087" s="417"/>
      <c r="E6087" s="418"/>
      <c r="F6087" s="418"/>
      <c r="G6087" s="419"/>
      <c r="H6087" s="420" t="s">
        <v>64</v>
      </c>
      <c r="I6087" s="421"/>
      <c r="J6087" s="396">
        <f>SUM(J6085:J6086)</f>
        <v>0</v>
      </c>
    </row>
    <row r="6088" spans="1:10" ht="13.5" thickBot="1">
      <c r="A6088" s="27"/>
      <c r="B6088" s="110"/>
      <c r="D6088" s="406" t="s">
        <v>65</v>
      </c>
      <c r="E6088" s="13" t="s">
        <v>66</v>
      </c>
      <c r="F6088" s="14"/>
      <c r="G6088" s="15"/>
      <c r="H6088" s="451"/>
      <c r="I6088" s="412">
        <f>IF(AND(E6088&lt;&gt;"",G6088&lt;&gt;""),IF(D6088="",IF(G6088="OH",VLOOKUP(E6088,UPAH!$C$4:$H$31,7,0),VLOOKUP(E6088,#REF!,4,0)),0),0)</f>
        <v>0</v>
      </c>
      <c r="J6088" s="16">
        <f>H6088*I6088</f>
        <v>0</v>
      </c>
    </row>
    <row r="6089" spans="1:10" ht="13.5" thickBot="1">
      <c r="A6089" s="27"/>
      <c r="B6089" s="110"/>
      <c r="D6089" s="417"/>
      <c r="E6089" s="418"/>
      <c r="F6089" s="418"/>
      <c r="G6089" s="419"/>
      <c r="H6089" s="420" t="s">
        <v>67</v>
      </c>
      <c r="I6089" s="421"/>
      <c r="J6089" s="396">
        <f>J6088</f>
        <v>0</v>
      </c>
    </row>
    <row r="6090" spans="1:10" ht="13">
      <c r="A6090" s="27"/>
      <c r="B6090" s="110"/>
      <c r="D6090" s="444" t="s">
        <v>68</v>
      </c>
      <c r="E6090" s="445" t="s">
        <v>69</v>
      </c>
      <c r="F6090" s="446"/>
      <c r="G6090" s="447"/>
      <c r="H6090" s="448"/>
      <c r="I6090" s="449">
        <f>IF(AND(E6090&lt;&gt;"",G6090&lt;&gt;""),IF(D6090="",IF(G6090="OH",VLOOKUP(E6090,UPAH!$C$4:$H$31,7,0),VLOOKUP(E6090,#REF!,4,0)),0),0)</f>
        <v>0</v>
      </c>
      <c r="J6090" s="16">
        <f>SUM(J6079:J6089)/2</f>
        <v>0</v>
      </c>
    </row>
    <row r="6091" spans="1:10" ht="13.5" thickBot="1">
      <c r="A6091" s="27"/>
      <c r="B6091" s="110"/>
      <c r="D6091" s="431" t="s">
        <v>70</v>
      </c>
      <c r="E6091" s="432" t="s">
        <v>477</v>
      </c>
      <c r="F6091" s="433"/>
      <c r="G6091" s="434"/>
      <c r="H6091" s="22">
        <v>0.1</v>
      </c>
      <c r="I6091" s="436"/>
      <c r="J6091" s="430">
        <f>H6091*J6090</f>
        <v>0</v>
      </c>
    </row>
    <row r="6092" spans="1:10" ht="13.5" thickBot="1">
      <c r="A6092" s="27"/>
      <c r="B6092" s="110"/>
      <c r="D6092" s="401" t="s">
        <v>71</v>
      </c>
      <c r="E6092" s="402" t="s">
        <v>72</v>
      </c>
      <c r="F6092" s="418"/>
      <c r="G6092" s="419"/>
      <c r="H6092" s="442"/>
      <c r="I6092" s="421">
        <f>IF(AND(E6092&lt;&gt;"",G6092&lt;&gt;""),IF(D6092="",IF(G6092="OH",VLOOKUP(E6092,UPAH!$C$4:$H$31,7,0),VLOOKUP(E6092,#REF!,4,0)),0),0)</f>
        <v>0</v>
      </c>
      <c r="J6092" s="396">
        <f>ROUNDDOWN(J6090+J6091,0)</f>
        <v>0</v>
      </c>
    </row>
    <row r="6093" spans="1:10" ht="13">
      <c r="A6093" s="27"/>
      <c r="B6093" s="110"/>
      <c r="D6093" s="11"/>
      <c r="E6093" s="11"/>
      <c r="H6093" s="443"/>
    </row>
    <row r="6094" spans="1:10" ht="13.5" thickBot="1">
      <c r="A6094" s="27"/>
      <c r="B6094" s="110"/>
      <c r="C6094" s="11" t="s">
        <v>1154</v>
      </c>
      <c r="D6094" s="10" t="s">
        <v>1155</v>
      </c>
      <c r="H6094" s="443"/>
    </row>
    <row r="6095" spans="1:10" ht="13.5" thickBot="1">
      <c r="A6095" s="27"/>
      <c r="B6095" s="110"/>
      <c r="D6095" s="401" t="s">
        <v>40</v>
      </c>
      <c r="E6095" s="402" t="s">
        <v>41</v>
      </c>
      <c r="F6095" s="402" t="s">
        <v>42</v>
      </c>
      <c r="G6095" s="403" t="s">
        <v>43</v>
      </c>
      <c r="H6095" s="404" t="s">
        <v>44</v>
      </c>
      <c r="I6095" s="402" t="s">
        <v>474</v>
      </c>
      <c r="J6095" s="405" t="s">
        <v>475</v>
      </c>
    </row>
    <row r="6096" spans="1:10" ht="13">
      <c r="A6096" s="27"/>
      <c r="B6096" s="110"/>
      <c r="D6096" s="406" t="s">
        <v>45</v>
      </c>
      <c r="E6096" s="13" t="s">
        <v>46</v>
      </c>
      <c r="F6096" s="14"/>
      <c r="G6096" s="15"/>
      <c r="H6096" s="451"/>
      <c r="I6096" s="412"/>
      <c r="J6096" s="16"/>
    </row>
    <row r="6097" spans="1:10" ht="13">
      <c r="A6097" s="27"/>
      <c r="B6097" s="110"/>
      <c r="D6097" s="409"/>
      <c r="E6097" s="13" t="s">
        <v>47</v>
      </c>
      <c r="F6097" s="13" t="s">
        <v>1918</v>
      </c>
      <c r="G6097" s="410" t="s">
        <v>48</v>
      </c>
      <c r="H6097" s="411">
        <v>0.15</v>
      </c>
      <c r="I6097" s="412">
        <f>IF(AND(E6097&lt;&gt;"",G6097&lt;&gt;""),IF(D6097="",IF(G6097="OH",VLOOKUP(F6097,UPAH!$B$4:$H$101,7,0),VLOOKUP(F6097,#REF!,4,0)),0),0)</f>
        <v>0</v>
      </c>
      <c r="J6097" s="16">
        <f>H6097*I6097</f>
        <v>0</v>
      </c>
    </row>
    <row r="6098" spans="1:10" ht="13">
      <c r="A6098" s="27"/>
      <c r="B6098" s="110"/>
      <c r="D6098" s="409"/>
      <c r="E6098" s="13" t="s">
        <v>476</v>
      </c>
      <c r="F6098" s="13" t="s">
        <v>1922</v>
      </c>
      <c r="G6098" s="410" t="s">
        <v>48</v>
      </c>
      <c r="H6098" s="411">
        <v>0.75</v>
      </c>
      <c r="I6098" s="412">
        <f>IF(AND(E6098&lt;&gt;"",G6098&lt;&gt;""),IF(D6098="",IF(G6098="OH",VLOOKUP(F6098,UPAH!$B$4:$H$101,7,0),VLOOKUP(F6098,#REF!,4,0)),0),0)</f>
        <v>0</v>
      </c>
      <c r="J6098" s="16">
        <f>H6098*I6098</f>
        <v>0</v>
      </c>
    </row>
    <row r="6099" spans="1:10" ht="13">
      <c r="A6099" s="27"/>
      <c r="B6099" s="110"/>
      <c r="D6099" s="409"/>
      <c r="E6099" s="13" t="s">
        <v>50</v>
      </c>
      <c r="F6099" s="13" t="s">
        <v>1928</v>
      </c>
      <c r="G6099" s="410" t="s">
        <v>48</v>
      </c>
      <c r="H6099" s="411">
        <v>0.08</v>
      </c>
      <c r="I6099" s="412">
        <f>IF(AND(E6099&lt;&gt;"",G6099&lt;&gt;""),IF(D6099="",IF(G6099="OH",VLOOKUP(F6099,UPAH!$B$4:$H$101,7,0),VLOOKUP(F6099,#REF!,4,0)),0),0)</f>
        <v>0</v>
      </c>
      <c r="J6099" s="16">
        <f>H6099*I6099</f>
        <v>0</v>
      </c>
    </row>
    <row r="6100" spans="1:10" ht="13.5" thickBot="1">
      <c r="A6100" s="27"/>
      <c r="B6100" s="110"/>
      <c r="D6100" s="409"/>
      <c r="E6100" s="13" t="s">
        <v>51</v>
      </c>
      <c r="F6100" s="13" t="s">
        <v>1929</v>
      </c>
      <c r="G6100" s="410" t="s">
        <v>48</v>
      </c>
      <c r="H6100" s="411">
        <v>6.0000000000000001E-3</v>
      </c>
      <c r="I6100" s="412">
        <f>IF(AND(E6100&lt;&gt;"",G6100&lt;&gt;""),IF(D6100="",IF(G6100="OH",VLOOKUP(F6100,UPAH!$B$4:$H$101,7,0),VLOOKUP(F6100,#REF!,4,0)),0),0)</f>
        <v>0</v>
      </c>
      <c r="J6100" s="16">
        <f>H6100*I6100</f>
        <v>0</v>
      </c>
    </row>
    <row r="6101" spans="1:10" ht="13.5" thickBot="1">
      <c r="A6101" s="27"/>
      <c r="B6101" s="110"/>
      <c r="D6101" s="417"/>
      <c r="E6101" s="418"/>
      <c r="F6101" s="418"/>
      <c r="G6101" s="419"/>
      <c r="H6101" s="420" t="s">
        <v>52</v>
      </c>
      <c r="I6101" s="421"/>
      <c r="J6101" s="396">
        <f>SUM(J6097:J6100)</f>
        <v>0</v>
      </c>
    </row>
    <row r="6102" spans="1:10" ht="13">
      <c r="A6102" s="27"/>
      <c r="B6102" s="110"/>
      <c r="D6102" s="406" t="s">
        <v>53</v>
      </c>
      <c r="E6102" s="13" t="s">
        <v>54</v>
      </c>
      <c r="F6102" s="14"/>
      <c r="G6102" s="15"/>
      <c r="H6102" s="451"/>
      <c r="I6102" s="412"/>
      <c r="J6102" s="16"/>
    </row>
    <row r="6103" spans="1:10" ht="13">
      <c r="A6103" s="27"/>
      <c r="B6103" s="110"/>
      <c r="D6103" s="409"/>
      <c r="E6103" s="13" t="s">
        <v>379</v>
      </c>
      <c r="F6103" s="14"/>
      <c r="G6103" s="410" t="s">
        <v>74</v>
      </c>
      <c r="H6103" s="411">
        <v>1.05</v>
      </c>
      <c r="I6103" s="412">
        <f>'BAHAN '!G205</f>
        <v>0</v>
      </c>
      <c r="J6103" s="16">
        <f>H6103*I6103</f>
        <v>0</v>
      </c>
    </row>
    <row r="6104" spans="1:10" ht="13.5" thickBot="1">
      <c r="A6104" s="27"/>
      <c r="B6104" s="110"/>
      <c r="D6104" s="409"/>
      <c r="E6104" s="13" t="s">
        <v>407</v>
      </c>
      <c r="F6104" s="14"/>
      <c r="G6104" s="410" t="s">
        <v>57</v>
      </c>
      <c r="H6104" s="411">
        <v>0.02</v>
      </c>
      <c r="I6104" s="412">
        <f>'BAHAN '!G132</f>
        <v>0</v>
      </c>
      <c r="J6104" s="16">
        <f>H6104*I6104</f>
        <v>0</v>
      </c>
    </row>
    <row r="6105" spans="1:10" ht="13.5" thickBot="1">
      <c r="A6105" s="27"/>
      <c r="B6105" s="110"/>
      <c r="D6105" s="417"/>
      <c r="E6105" s="418"/>
      <c r="F6105" s="418"/>
      <c r="G6105" s="419"/>
      <c r="H6105" s="420" t="s">
        <v>64</v>
      </c>
      <c r="I6105" s="421"/>
      <c r="J6105" s="396">
        <f>SUM(J6103:J6104)</f>
        <v>0</v>
      </c>
    </row>
    <row r="6106" spans="1:10" ht="13.5" thickBot="1">
      <c r="A6106" s="27"/>
      <c r="B6106" s="110"/>
      <c r="D6106" s="406" t="s">
        <v>65</v>
      </c>
      <c r="E6106" s="13" t="s">
        <v>66</v>
      </c>
      <c r="F6106" s="14"/>
      <c r="G6106" s="15"/>
      <c r="H6106" s="451"/>
      <c r="I6106" s="412">
        <f>IF(AND(E6106&lt;&gt;"",G6106&lt;&gt;""),IF(D6106="",IF(G6106="OH",VLOOKUP(E6106,UPAH!$C$4:$H$31,7,0),VLOOKUP(E6106,#REF!,4,0)),0),0)</f>
        <v>0</v>
      </c>
      <c r="J6106" s="16">
        <f>H6106*I6106</f>
        <v>0</v>
      </c>
    </row>
    <row r="6107" spans="1:10" ht="13.5" thickBot="1">
      <c r="A6107" s="27"/>
      <c r="B6107" s="110"/>
      <c r="D6107" s="417"/>
      <c r="E6107" s="418"/>
      <c r="F6107" s="418"/>
      <c r="G6107" s="419"/>
      <c r="H6107" s="420" t="s">
        <v>67</v>
      </c>
      <c r="I6107" s="421"/>
      <c r="J6107" s="396">
        <f>J6106</f>
        <v>0</v>
      </c>
    </row>
    <row r="6108" spans="1:10" ht="13">
      <c r="A6108" s="27"/>
      <c r="B6108" s="110"/>
      <c r="D6108" s="444" t="s">
        <v>68</v>
      </c>
      <c r="E6108" s="445" t="s">
        <v>69</v>
      </c>
      <c r="F6108" s="446"/>
      <c r="G6108" s="447"/>
      <c r="H6108" s="448"/>
      <c r="I6108" s="449">
        <f>IF(AND(E6108&lt;&gt;"",G6108&lt;&gt;""),IF(D6108="",IF(G6108="OH",VLOOKUP(E6108,UPAH!$C$4:$H$31,7,0),VLOOKUP(E6108,#REF!,4,0)),0),0)</f>
        <v>0</v>
      </c>
      <c r="J6108" s="16">
        <f>SUM(J6097:J6107)/2</f>
        <v>0</v>
      </c>
    </row>
    <row r="6109" spans="1:10" ht="13.5" thickBot="1">
      <c r="A6109" s="27"/>
      <c r="B6109" s="110"/>
      <c r="D6109" s="431" t="s">
        <v>70</v>
      </c>
      <c r="E6109" s="432" t="s">
        <v>477</v>
      </c>
      <c r="F6109" s="433"/>
      <c r="G6109" s="434"/>
      <c r="H6109" s="22">
        <v>0.1</v>
      </c>
      <c r="I6109" s="436"/>
      <c r="J6109" s="430">
        <f>H6109*J6108</f>
        <v>0</v>
      </c>
    </row>
    <row r="6110" spans="1:10" ht="13.5" thickBot="1">
      <c r="A6110" s="27"/>
      <c r="B6110" s="110"/>
      <c r="D6110" s="401" t="s">
        <v>71</v>
      </c>
      <c r="E6110" s="402" t="s">
        <v>72</v>
      </c>
      <c r="F6110" s="418"/>
      <c r="G6110" s="419"/>
      <c r="H6110" s="442"/>
      <c r="I6110" s="421">
        <f>IF(AND(E6110&lt;&gt;"",G6110&lt;&gt;""),IF(D6110="",IF(G6110="OH",VLOOKUP(E6110,UPAH!$C$4:$H$31,7,0),VLOOKUP(E6110,#REF!,4,0)),0),0)</f>
        <v>0</v>
      </c>
      <c r="J6110" s="396">
        <f>ROUNDDOWN(J6108+J6109,0)</f>
        <v>0</v>
      </c>
    </row>
    <row r="6111" spans="1:10" ht="13">
      <c r="A6111" s="27"/>
      <c r="B6111" s="110"/>
      <c r="D6111" s="11"/>
      <c r="E6111" s="11"/>
      <c r="H6111" s="443"/>
    </row>
    <row r="6112" spans="1:10" ht="13.5" thickBot="1">
      <c r="A6112" s="27"/>
      <c r="B6112" s="110"/>
      <c r="C6112" s="11" t="s">
        <v>1160</v>
      </c>
      <c r="D6112" s="10" t="s">
        <v>1161</v>
      </c>
      <c r="H6112" s="443"/>
    </row>
    <row r="6113" spans="1:10" ht="13.5" thickBot="1">
      <c r="A6113" s="27"/>
      <c r="B6113" s="110"/>
      <c r="D6113" s="401" t="s">
        <v>40</v>
      </c>
      <c r="E6113" s="402" t="s">
        <v>41</v>
      </c>
      <c r="F6113" s="402" t="s">
        <v>42</v>
      </c>
      <c r="G6113" s="403" t="s">
        <v>43</v>
      </c>
      <c r="H6113" s="404" t="s">
        <v>44</v>
      </c>
      <c r="I6113" s="402" t="s">
        <v>474</v>
      </c>
      <c r="J6113" s="405" t="s">
        <v>475</v>
      </c>
    </row>
    <row r="6114" spans="1:10" ht="13">
      <c r="A6114" s="27"/>
      <c r="B6114" s="110"/>
      <c r="D6114" s="406" t="s">
        <v>45</v>
      </c>
      <c r="E6114" s="13" t="s">
        <v>46</v>
      </c>
      <c r="F6114" s="14"/>
      <c r="G6114" s="15"/>
      <c r="H6114" s="451"/>
      <c r="I6114" s="412"/>
      <c r="J6114" s="16"/>
    </row>
    <row r="6115" spans="1:10" ht="13">
      <c r="A6115" s="27"/>
      <c r="B6115" s="110"/>
      <c r="D6115" s="409"/>
      <c r="E6115" s="13" t="s">
        <v>47</v>
      </c>
      <c r="F6115" s="13" t="s">
        <v>1918</v>
      </c>
      <c r="G6115" s="410" t="s">
        <v>48</v>
      </c>
      <c r="H6115" s="411">
        <v>0.1</v>
      </c>
      <c r="I6115" s="412">
        <f>IF(AND(E6115&lt;&gt;"",G6115&lt;&gt;""),IF(D6115="",IF(G6115="OH",VLOOKUP(F6115,UPAH!$B$4:$H$101,7,0),VLOOKUP(F6115,#REF!,4,0)),0),0)</f>
        <v>0</v>
      </c>
      <c r="J6115" s="16">
        <f>H6115*I6115</f>
        <v>0</v>
      </c>
    </row>
    <row r="6116" spans="1:10" ht="13">
      <c r="A6116" s="27"/>
      <c r="B6116" s="110"/>
      <c r="D6116" s="409"/>
      <c r="E6116" s="13" t="s">
        <v>476</v>
      </c>
      <c r="F6116" s="13" t="s">
        <v>1922</v>
      </c>
      <c r="G6116" s="410" t="s">
        <v>48</v>
      </c>
      <c r="H6116" s="411">
        <v>1</v>
      </c>
      <c r="I6116" s="412">
        <f>IF(AND(E6116&lt;&gt;"",G6116&lt;&gt;""),IF(D6116="",IF(G6116="OH",VLOOKUP(F6116,UPAH!$B$4:$H$101,7,0),VLOOKUP(F6116,#REF!,4,0)),0),0)</f>
        <v>0</v>
      </c>
      <c r="J6116" s="16">
        <f>H6116*I6116</f>
        <v>0</v>
      </c>
    </row>
    <row r="6117" spans="1:10" ht="13">
      <c r="A6117" s="27"/>
      <c r="B6117" s="110"/>
      <c r="D6117" s="409"/>
      <c r="E6117" s="13" t="s">
        <v>50</v>
      </c>
      <c r="F6117" s="13" t="s">
        <v>1928</v>
      </c>
      <c r="G6117" s="410" t="s">
        <v>48</v>
      </c>
      <c r="H6117" s="411">
        <v>0.1</v>
      </c>
      <c r="I6117" s="412">
        <f>IF(AND(E6117&lt;&gt;"",G6117&lt;&gt;""),IF(D6117="",IF(G6117="OH",VLOOKUP(F6117,UPAH!$B$4:$H$101,7,0),VLOOKUP(F6117,#REF!,4,0)),0),0)</f>
        <v>0</v>
      </c>
      <c r="J6117" s="16">
        <f>H6117*I6117</f>
        <v>0</v>
      </c>
    </row>
    <row r="6118" spans="1:10" ht="13.5" thickBot="1">
      <c r="A6118" s="27"/>
      <c r="B6118" s="110"/>
      <c r="D6118" s="409"/>
      <c r="E6118" s="13" t="s">
        <v>51</v>
      </c>
      <c r="F6118" s="13" t="s">
        <v>1929</v>
      </c>
      <c r="G6118" s="410" t="s">
        <v>48</v>
      </c>
      <c r="H6118" s="411">
        <v>0.05</v>
      </c>
      <c r="I6118" s="412">
        <f>IF(AND(E6118&lt;&gt;"",G6118&lt;&gt;""),IF(D6118="",IF(G6118="OH",VLOOKUP(F6118,UPAH!$B$4:$H$101,7,0),VLOOKUP(F6118,#REF!,4,0)),0),0)</f>
        <v>0</v>
      </c>
      <c r="J6118" s="16">
        <f>H6118*I6118</f>
        <v>0</v>
      </c>
    </row>
    <row r="6119" spans="1:10" ht="13.5" thickBot="1">
      <c r="A6119" s="27"/>
      <c r="B6119" s="110"/>
      <c r="D6119" s="417"/>
      <c r="E6119" s="418"/>
      <c r="F6119" s="418"/>
      <c r="G6119" s="419"/>
      <c r="H6119" s="420" t="s">
        <v>52</v>
      </c>
      <c r="I6119" s="421"/>
      <c r="J6119" s="396">
        <f>SUM(J6115:J6118)</f>
        <v>0</v>
      </c>
    </row>
    <row r="6120" spans="1:10" ht="13">
      <c r="A6120" s="27"/>
      <c r="B6120" s="110"/>
      <c r="D6120" s="406" t="s">
        <v>53</v>
      </c>
      <c r="E6120" s="13" t="s">
        <v>54</v>
      </c>
      <c r="F6120" s="14"/>
      <c r="G6120" s="15"/>
      <c r="H6120" s="451"/>
      <c r="I6120" s="412"/>
      <c r="J6120" s="16"/>
    </row>
    <row r="6121" spans="1:10" ht="13">
      <c r="A6121" s="27"/>
      <c r="B6121" s="110"/>
      <c r="D6121" s="409"/>
      <c r="E6121" s="13" t="s">
        <v>406</v>
      </c>
      <c r="F6121" s="14"/>
      <c r="G6121" s="410" t="s">
        <v>87</v>
      </c>
      <c r="H6121" s="411">
        <v>1.2</v>
      </c>
      <c r="I6121" s="412">
        <f>'BAHAN '!G227</f>
        <v>0</v>
      </c>
      <c r="J6121" s="16">
        <f>H6121*I6121</f>
        <v>0</v>
      </c>
    </row>
    <row r="6122" spans="1:10" ht="13.5" thickBot="1">
      <c r="A6122" s="27"/>
      <c r="B6122" s="110"/>
      <c r="D6122" s="409"/>
      <c r="E6122" s="13" t="s">
        <v>407</v>
      </c>
      <c r="F6122" s="14"/>
      <c r="G6122" s="410" t="s">
        <v>57</v>
      </c>
      <c r="H6122" s="411">
        <v>0.04</v>
      </c>
      <c r="I6122" s="412">
        <f>$I$6104</f>
        <v>0</v>
      </c>
      <c r="J6122" s="16">
        <f>H6122*I6122</f>
        <v>0</v>
      </c>
    </row>
    <row r="6123" spans="1:10" ht="13.5" thickBot="1">
      <c r="A6123" s="27"/>
      <c r="B6123" s="110"/>
      <c r="D6123" s="417"/>
      <c r="E6123" s="418"/>
      <c r="F6123" s="418"/>
      <c r="G6123" s="419"/>
      <c r="H6123" s="420" t="s">
        <v>64</v>
      </c>
      <c r="I6123" s="421"/>
      <c r="J6123" s="396">
        <f>SUM(J6121:J6122)</f>
        <v>0</v>
      </c>
    </row>
    <row r="6124" spans="1:10" ht="13.5" thickBot="1">
      <c r="A6124" s="27"/>
      <c r="B6124" s="110"/>
      <c r="D6124" s="406" t="s">
        <v>65</v>
      </c>
      <c r="E6124" s="13" t="s">
        <v>66</v>
      </c>
      <c r="F6124" s="14"/>
      <c r="G6124" s="15"/>
      <c r="H6124" s="451"/>
      <c r="I6124" s="412">
        <f>IF(AND(E6124&lt;&gt;"",G6124&lt;&gt;""),IF(D6124="",IF(G6124="OH",VLOOKUP(E6124,UPAH!$C$4:$H$31,7,0),VLOOKUP(E6124,#REF!,4,0)),0),0)</f>
        <v>0</v>
      </c>
      <c r="J6124" s="16">
        <f>H6124*I6124</f>
        <v>0</v>
      </c>
    </row>
    <row r="6125" spans="1:10" ht="13.5" thickBot="1">
      <c r="A6125" s="27"/>
      <c r="B6125" s="110"/>
      <c r="D6125" s="417"/>
      <c r="E6125" s="418"/>
      <c r="F6125" s="418"/>
      <c r="G6125" s="419"/>
      <c r="H6125" s="420" t="s">
        <v>67</v>
      </c>
      <c r="I6125" s="421"/>
      <c r="J6125" s="396">
        <f>J6124</f>
        <v>0</v>
      </c>
    </row>
    <row r="6126" spans="1:10" ht="13">
      <c r="A6126" s="27"/>
      <c r="B6126" s="110"/>
      <c r="D6126" s="444" t="s">
        <v>68</v>
      </c>
      <c r="E6126" s="445" t="s">
        <v>69</v>
      </c>
      <c r="F6126" s="446"/>
      <c r="G6126" s="447"/>
      <c r="H6126" s="448"/>
      <c r="I6126" s="449">
        <f>IF(AND(E6126&lt;&gt;"",G6126&lt;&gt;""),IF(D6126="",IF(G6126="OH",VLOOKUP(E6126,UPAH!$C$4:$H$31,7,0),VLOOKUP(E6126,#REF!,4,0)),0),0)</f>
        <v>0</v>
      </c>
      <c r="J6126" s="16">
        <f>SUM(J6115:J6125)/2</f>
        <v>0</v>
      </c>
    </row>
    <row r="6127" spans="1:10" ht="13.5" thickBot="1">
      <c r="A6127" s="27"/>
      <c r="B6127" s="110"/>
      <c r="D6127" s="431" t="s">
        <v>70</v>
      </c>
      <c r="E6127" s="432" t="s">
        <v>477</v>
      </c>
      <c r="F6127" s="433"/>
      <c r="G6127" s="434"/>
      <c r="H6127" s="22">
        <v>0.1</v>
      </c>
      <c r="I6127" s="436"/>
      <c r="J6127" s="430">
        <f>H6127*J6126</f>
        <v>0</v>
      </c>
    </row>
    <row r="6128" spans="1:10" ht="13.5" thickBot="1">
      <c r="A6128" s="27"/>
      <c r="B6128" s="110"/>
      <c r="D6128" s="401" t="s">
        <v>71</v>
      </c>
      <c r="E6128" s="402" t="s">
        <v>72</v>
      </c>
      <c r="F6128" s="418"/>
      <c r="G6128" s="419"/>
      <c r="H6128" s="442"/>
      <c r="I6128" s="421">
        <f>IF(AND(E6128&lt;&gt;"",G6128&lt;&gt;""),IF(D6128="",IF(G6128="OH",VLOOKUP(E6128,UPAH!$C$4:$H$31,7,0),VLOOKUP(E6128,#REF!,4,0)),0),0)</f>
        <v>0</v>
      </c>
      <c r="J6128" s="396">
        <f>ROUNDDOWN(J6126+J6127,0)</f>
        <v>0</v>
      </c>
    </row>
    <row r="6129" spans="1:10" ht="13">
      <c r="A6129" s="27"/>
      <c r="B6129" s="110"/>
      <c r="D6129" s="11"/>
      <c r="E6129" s="11"/>
      <c r="H6129" s="443"/>
    </row>
    <row r="6130" spans="1:10" ht="13.5" thickBot="1">
      <c r="A6130" s="27"/>
      <c r="B6130" s="110"/>
      <c r="C6130" s="11" t="s">
        <v>1162</v>
      </c>
      <c r="D6130" s="10" t="s">
        <v>1163</v>
      </c>
      <c r="F6130" s="11"/>
      <c r="H6130" s="443"/>
    </row>
    <row r="6131" spans="1:10" ht="13.5" thickBot="1">
      <c r="A6131" s="27"/>
      <c r="B6131" s="110"/>
      <c r="D6131" s="401" t="s">
        <v>40</v>
      </c>
      <c r="E6131" s="402" t="s">
        <v>41</v>
      </c>
      <c r="F6131" s="402" t="s">
        <v>42</v>
      </c>
      <c r="G6131" s="403" t="s">
        <v>43</v>
      </c>
      <c r="H6131" s="404" t="s">
        <v>44</v>
      </c>
      <c r="I6131" s="402" t="s">
        <v>474</v>
      </c>
      <c r="J6131" s="405" t="s">
        <v>475</v>
      </c>
    </row>
    <row r="6132" spans="1:10" ht="13">
      <c r="A6132" s="27"/>
      <c r="B6132" s="110"/>
      <c r="D6132" s="406" t="s">
        <v>45</v>
      </c>
      <c r="E6132" s="13" t="s">
        <v>46</v>
      </c>
      <c r="F6132" s="14"/>
      <c r="G6132" s="15"/>
      <c r="H6132" s="451"/>
      <c r="I6132" s="412"/>
      <c r="J6132" s="16"/>
    </row>
    <row r="6133" spans="1:10" ht="13">
      <c r="A6133" s="27"/>
      <c r="B6133" s="110"/>
      <c r="D6133" s="409"/>
      <c r="E6133" s="13" t="s">
        <v>47</v>
      </c>
      <c r="F6133" s="13" t="s">
        <v>1918</v>
      </c>
      <c r="G6133" s="410" t="s">
        <v>48</v>
      </c>
      <c r="H6133" s="411">
        <v>0.15</v>
      </c>
      <c r="I6133" s="412">
        <f>IF(AND(E6133&lt;&gt;"",G6133&lt;&gt;""),IF(D6133="",IF(G6133="OH",VLOOKUP(F6133,UPAH!$B$4:$H$101,7,0),VLOOKUP(F6133,#REF!,4,0)),0),0)</f>
        <v>0</v>
      </c>
      <c r="J6133" s="16">
        <f>H6133*I6133</f>
        <v>0</v>
      </c>
    </row>
    <row r="6134" spans="1:10" ht="13">
      <c r="A6134" s="27"/>
      <c r="B6134" s="110"/>
      <c r="D6134" s="409"/>
      <c r="E6134" s="13" t="s">
        <v>476</v>
      </c>
      <c r="F6134" s="13" t="s">
        <v>1922</v>
      </c>
      <c r="G6134" s="410" t="s">
        <v>48</v>
      </c>
      <c r="H6134" s="411">
        <v>0.05</v>
      </c>
      <c r="I6134" s="412">
        <f>IF(AND(E6134&lt;&gt;"",G6134&lt;&gt;""),IF(D6134="",IF(G6134="OH",VLOOKUP(F6134,UPAH!$B$4:$H$101,7,0),VLOOKUP(F6134,#REF!,4,0)),0),0)</f>
        <v>0</v>
      </c>
      <c r="J6134" s="16">
        <f>H6134*I6134</f>
        <v>0</v>
      </c>
    </row>
    <row r="6135" spans="1:10" ht="13">
      <c r="A6135" s="27"/>
      <c r="B6135" s="110"/>
      <c r="D6135" s="409"/>
      <c r="E6135" s="13" t="s">
        <v>50</v>
      </c>
      <c r="F6135" s="13" t="s">
        <v>1928</v>
      </c>
      <c r="G6135" s="410" t="s">
        <v>48</v>
      </c>
      <c r="H6135" s="411">
        <v>5.0000000000000001E-3</v>
      </c>
      <c r="I6135" s="412">
        <f>IF(AND(E6135&lt;&gt;"",G6135&lt;&gt;""),IF(D6135="",IF(G6135="OH",VLOOKUP(F6135,UPAH!$B$4:$H$101,7,0),VLOOKUP(F6135,#REF!,4,0)),0),0)</f>
        <v>0</v>
      </c>
      <c r="J6135" s="16">
        <f>H6135*I6135</f>
        <v>0</v>
      </c>
    </row>
    <row r="6136" spans="1:10" ht="13.5" thickBot="1">
      <c r="A6136" s="27"/>
      <c r="B6136" s="110"/>
      <c r="D6136" s="409"/>
      <c r="E6136" s="13" t="s">
        <v>51</v>
      </c>
      <c r="F6136" s="13" t="s">
        <v>1929</v>
      </c>
      <c r="G6136" s="410" t="s">
        <v>48</v>
      </c>
      <c r="H6136" s="411">
        <v>8.0000000000000002E-3</v>
      </c>
      <c r="I6136" s="412">
        <f>IF(AND(E6136&lt;&gt;"",G6136&lt;&gt;""),IF(D6136="",IF(G6136="OH",VLOOKUP(F6136,UPAH!$B$4:$H$101,7,0),VLOOKUP(F6136,#REF!,4,0)),0),0)</f>
        <v>0</v>
      </c>
      <c r="J6136" s="16">
        <f>H6136*I6136</f>
        <v>0</v>
      </c>
    </row>
    <row r="6137" spans="1:10" ht="13.5" thickBot="1">
      <c r="A6137" s="27"/>
      <c r="B6137" s="110"/>
      <c r="D6137" s="417"/>
      <c r="E6137" s="418"/>
      <c r="F6137" s="418"/>
      <c r="G6137" s="419"/>
      <c r="H6137" s="420" t="s">
        <v>52</v>
      </c>
      <c r="I6137" s="421"/>
      <c r="J6137" s="396">
        <f>SUM(J6133:J6136)</f>
        <v>0</v>
      </c>
    </row>
    <row r="6138" spans="1:10" ht="13">
      <c r="A6138" s="27"/>
      <c r="B6138" s="110"/>
      <c r="D6138" s="406" t="s">
        <v>53</v>
      </c>
      <c r="E6138" s="13" t="s">
        <v>54</v>
      </c>
      <c r="F6138" s="14"/>
      <c r="G6138" s="15"/>
      <c r="H6138" s="451"/>
      <c r="I6138" s="412"/>
      <c r="J6138" s="16"/>
    </row>
    <row r="6139" spans="1:10" ht="13.5" thickBot="1">
      <c r="A6139" s="27"/>
      <c r="B6139" s="110"/>
      <c r="D6139" s="409"/>
      <c r="E6139" s="13" t="s">
        <v>378</v>
      </c>
      <c r="F6139" s="14"/>
      <c r="G6139" s="410" t="s">
        <v>380</v>
      </c>
      <c r="H6139" s="411">
        <v>1.05</v>
      </c>
      <c r="I6139" s="412">
        <f>'BAHAN '!G725</f>
        <v>0</v>
      </c>
      <c r="J6139" s="16">
        <f>H6139*I6139</f>
        <v>0</v>
      </c>
    </row>
    <row r="6140" spans="1:10" ht="13.5" thickBot="1">
      <c r="A6140" s="27"/>
      <c r="B6140" s="110"/>
      <c r="D6140" s="417"/>
      <c r="E6140" s="418"/>
      <c r="F6140" s="418"/>
      <c r="G6140" s="419"/>
      <c r="H6140" s="420" t="s">
        <v>64</v>
      </c>
      <c r="I6140" s="421"/>
      <c r="J6140" s="396">
        <f>SUM(J6138:J6139)</f>
        <v>0</v>
      </c>
    </row>
    <row r="6141" spans="1:10" ht="13.5" thickBot="1">
      <c r="A6141" s="27"/>
      <c r="B6141" s="110"/>
      <c r="D6141" s="406" t="s">
        <v>65</v>
      </c>
      <c r="E6141" s="13" t="s">
        <v>66</v>
      </c>
      <c r="F6141" s="14"/>
      <c r="G6141" s="15"/>
      <c r="H6141" s="451"/>
      <c r="I6141" s="412">
        <f>IF(AND(E6141&lt;&gt;"",G6141&lt;&gt;""),IF(D6141="",IF(G6141="OH",VLOOKUP(E6141,UPAH!$C$4:$H$31,7,0),VLOOKUP(E6141,#REF!,4,0)),0),0)</f>
        <v>0</v>
      </c>
      <c r="J6141" s="16">
        <f>H6141*I6141</f>
        <v>0</v>
      </c>
    </row>
    <row r="6142" spans="1:10" ht="13.5" thickBot="1">
      <c r="A6142" s="27"/>
      <c r="B6142" s="110"/>
      <c r="D6142" s="417"/>
      <c r="E6142" s="418"/>
      <c r="F6142" s="418"/>
      <c r="G6142" s="419"/>
      <c r="H6142" s="420" t="s">
        <v>67</v>
      </c>
      <c r="I6142" s="421"/>
      <c r="J6142" s="396">
        <f>J6141</f>
        <v>0</v>
      </c>
    </row>
    <row r="6143" spans="1:10" ht="13">
      <c r="A6143" s="27"/>
      <c r="B6143" s="110"/>
      <c r="D6143" s="444" t="s">
        <v>68</v>
      </c>
      <c r="E6143" s="445" t="s">
        <v>69</v>
      </c>
      <c r="F6143" s="446"/>
      <c r="G6143" s="447"/>
      <c r="H6143" s="448"/>
      <c r="I6143" s="449">
        <f>IF(AND(E6143&lt;&gt;"",G6143&lt;&gt;""),IF(D6143="",IF(G6143="OH",VLOOKUP(E6143,UPAH!$C$4:$H$31,7,0),VLOOKUP(E6143,#REF!,4,0)),0),0)</f>
        <v>0</v>
      </c>
      <c r="J6143" s="16">
        <f>SUM(J6132:J6142)/2</f>
        <v>0</v>
      </c>
    </row>
    <row r="6144" spans="1:10" ht="13.5" thickBot="1">
      <c r="A6144" s="27"/>
      <c r="B6144" s="110"/>
      <c r="D6144" s="431" t="s">
        <v>70</v>
      </c>
      <c r="E6144" s="432" t="s">
        <v>477</v>
      </c>
      <c r="F6144" s="433"/>
      <c r="G6144" s="434"/>
      <c r="H6144" s="22">
        <v>0.1</v>
      </c>
      <c r="I6144" s="436"/>
      <c r="J6144" s="430">
        <f>H6144*J6143</f>
        <v>0</v>
      </c>
    </row>
    <row r="6145" spans="1:10" ht="13.5" thickBot="1">
      <c r="A6145" s="27"/>
      <c r="B6145" s="110"/>
      <c r="D6145" s="401" t="s">
        <v>71</v>
      </c>
      <c r="E6145" s="402" t="s">
        <v>72</v>
      </c>
      <c r="F6145" s="418"/>
      <c r="G6145" s="419"/>
      <c r="H6145" s="442"/>
      <c r="I6145" s="421">
        <f>IF(AND(E6145&lt;&gt;"",G6145&lt;&gt;""),IF(D6145="",IF(G6145="OH",VLOOKUP(E6145,UPAH!$C$4:$H$31,7,0),VLOOKUP(E6145,#REF!,4,0)),0),0)</f>
        <v>0</v>
      </c>
      <c r="J6145" s="396">
        <f>ROUNDDOWN(J6143+J6144,0)</f>
        <v>0</v>
      </c>
    </row>
    <row r="6146" spans="1:10" ht="13">
      <c r="A6146" s="27"/>
      <c r="B6146" s="110"/>
      <c r="D6146" s="11"/>
      <c r="E6146" s="11"/>
      <c r="H6146" s="443"/>
    </row>
    <row r="6147" spans="1:10" ht="13.5" thickBot="1">
      <c r="A6147" s="27"/>
      <c r="B6147" s="110"/>
      <c r="C6147" s="11" t="s">
        <v>3652</v>
      </c>
      <c r="D6147" s="10" t="s">
        <v>3267</v>
      </c>
      <c r="F6147" s="11"/>
      <c r="H6147" s="443"/>
    </row>
    <row r="6148" spans="1:10" ht="13.5" thickBot="1">
      <c r="A6148" s="27"/>
      <c r="B6148" s="110"/>
      <c r="D6148" s="401" t="s">
        <v>40</v>
      </c>
      <c r="E6148" s="402" t="s">
        <v>41</v>
      </c>
      <c r="F6148" s="402" t="s">
        <v>42</v>
      </c>
      <c r="G6148" s="403" t="s">
        <v>43</v>
      </c>
      <c r="H6148" s="404" t="s">
        <v>44</v>
      </c>
      <c r="I6148" s="402" t="s">
        <v>474</v>
      </c>
      <c r="J6148" s="405" t="s">
        <v>475</v>
      </c>
    </row>
    <row r="6149" spans="1:10" ht="13">
      <c r="A6149" s="27"/>
      <c r="B6149" s="110"/>
      <c r="D6149" s="406" t="s">
        <v>45</v>
      </c>
      <c r="E6149" s="13" t="s">
        <v>46</v>
      </c>
      <c r="F6149" s="14"/>
      <c r="G6149" s="15"/>
      <c r="H6149" s="451"/>
      <c r="I6149" s="412"/>
      <c r="J6149" s="16"/>
    </row>
    <row r="6150" spans="1:10" ht="13">
      <c r="A6150" s="27"/>
      <c r="B6150" s="110"/>
      <c r="D6150" s="409"/>
      <c r="E6150" s="13" t="s">
        <v>47</v>
      </c>
      <c r="F6150" s="13" t="s">
        <v>1918</v>
      </c>
      <c r="G6150" s="410" t="s">
        <v>48</v>
      </c>
      <c r="H6150" s="411">
        <v>0.1</v>
      </c>
      <c r="I6150" s="412">
        <f>IF(AND(E6150&lt;&gt;"",G6150&lt;&gt;""),IF(D6150="",IF(G6150="OH",VLOOKUP(F6150,UPAH!$B$4:$H$101,7,0),VLOOKUP(F6150,#REF!,4,0)),0),0)</f>
        <v>0</v>
      </c>
      <c r="J6150" s="16">
        <f>H6150*I6150</f>
        <v>0</v>
      </c>
    </row>
    <row r="6151" spans="1:10" ht="13">
      <c r="A6151" s="27"/>
      <c r="B6151" s="110"/>
      <c r="D6151" s="409"/>
      <c r="E6151" s="13" t="s">
        <v>476</v>
      </c>
      <c r="F6151" s="13" t="s">
        <v>1922</v>
      </c>
      <c r="G6151" s="410" t="s">
        <v>48</v>
      </c>
      <c r="H6151" s="411">
        <v>0.2</v>
      </c>
      <c r="I6151" s="412">
        <f>IF(AND(E6151&lt;&gt;"",G6151&lt;&gt;""),IF(D6151="",IF(G6151="OH",VLOOKUP(F6151,UPAH!$B$4:$H$101,7,0),VLOOKUP(F6151,#REF!,4,0)),0),0)</f>
        <v>0</v>
      </c>
      <c r="J6151" s="16">
        <f>H6151*I6151</f>
        <v>0</v>
      </c>
    </row>
    <row r="6152" spans="1:10" ht="13">
      <c r="A6152" s="27"/>
      <c r="B6152" s="110"/>
      <c r="D6152" s="409"/>
      <c r="E6152" s="13" t="s">
        <v>50</v>
      </c>
      <c r="F6152" s="13" t="s">
        <v>1928</v>
      </c>
      <c r="G6152" s="410" t="s">
        <v>48</v>
      </c>
      <c r="H6152" s="411">
        <v>0.02</v>
      </c>
      <c r="I6152" s="412">
        <f>IF(AND(E6152&lt;&gt;"",G6152&lt;&gt;""),IF(D6152="",IF(G6152="OH",VLOOKUP(F6152,UPAH!$B$4:$H$101,7,0),VLOOKUP(F6152,#REF!,4,0)),0),0)</f>
        <v>0</v>
      </c>
      <c r="J6152" s="16">
        <f>H6152*I6152</f>
        <v>0</v>
      </c>
    </row>
    <row r="6153" spans="1:10" ht="13.5" thickBot="1">
      <c r="A6153" s="27"/>
      <c r="B6153" s="110"/>
      <c r="D6153" s="409"/>
      <c r="E6153" s="13" t="s">
        <v>51</v>
      </c>
      <c r="F6153" s="13" t="s">
        <v>1929</v>
      </c>
      <c r="G6153" s="410" t="s">
        <v>48</v>
      </c>
      <c r="H6153" s="411">
        <v>5.0000000000000001E-3</v>
      </c>
      <c r="I6153" s="412">
        <f>IF(AND(E6153&lt;&gt;"",G6153&lt;&gt;""),IF(D6153="",IF(G6153="OH",VLOOKUP(F6153,UPAH!$B$4:$H$101,7,0),VLOOKUP(F6153,#REF!,4,0)),0),0)</f>
        <v>0</v>
      </c>
      <c r="J6153" s="16">
        <f>H6153*I6153</f>
        <v>0</v>
      </c>
    </row>
    <row r="6154" spans="1:10" ht="13.5" thickBot="1">
      <c r="A6154" s="27"/>
      <c r="B6154" s="110"/>
      <c r="D6154" s="417"/>
      <c r="E6154" s="418"/>
      <c r="F6154" s="418"/>
      <c r="G6154" s="419"/>
      <c r="H6154" s="420" t="s">
        <v>52</v>
      </c>
      <c r="I6154" s="421"/>
      <c r="J6154" s="396">
        <f>SUM(J6150:J6153)</f>
        <v>0</v>
      </c>
    </row>
    <row r="6155" spans="1:10" ht="13">
      <c r="A6155" s="27"/>
      <c r="B6155" s="110"/>
      <c r="D6155" s="406" t="s">
        <v>53</v>
      </c>
      <c r="E6155" s="13" t="s">
        <v>54</v>
      </c>
      <c r="F6155" s="14"/>
      <c r="G6155" s="15"/>
      <c r="H6155" s="451"/>
      <c r="I6155" s="412"/>
      <c r="J6155" s="16"/>
    </row>
    <row r="6156" spans="1:10" ht="13">
      <c r="A6156" s="27"/>
      <c r="B6156" s="110"/>
      <c r="D6156" s="409"/>
      <c r="E6156" s="13" t="s">
        <v>3653</v>
      </c>
      <c r="F6156" s="13"/>
      <c r="G6156" s="410" t="s">
        <v>2911</v>
      </c>
      <c r="H6156" s="411">
        <v>1</v>
      </c>
      <c r="I6156" s="412">
        <v>0</v>
      </c>
      <c r="J6156" s="16">
        <f>H6156*I6156</f>
        <v>0</v>
      </c>
    </row>
    <row r="6157" spans="1:10" ht="13.5" thickBot="1">
      <c r="A6157" s="27"/>
      <c r="B6157" s="110"/>
      <c r="D6157" s="409"/>
      <c r="E6157" s="13" t="s">
        <v>3654</v>
      </c>
      <c r="F6157" s="13"/>
      <c r="G6157" s="410" t="s">
        <v>93</v>
      </c>
      <c r="H6157" s="411">
        <v>0.05</v>
      </c>
      <c r="I6157" s="412">
        <v>0</v>
      </c>
      <c r="J6157" s="16">
        <f>H6157*I6157</f>
        <v>0</v>
      </c>
    </row>
    <row r="6158" spans="1:10" ht="13.5" thickBot="1">
      <c r="A6158" s="27"/>
      <c r="B6158" s="110"/>
      <c r="D6158" s="417"/>
      <c r="E6158" s="418"/>
      <c r="F6158" s="418"/>
      <c r="G6158" s="419"/>
      <c r="H6158" s="420" t="s">
        <v>64</v>
      </c>
      <c r="I6158" s="421"/>
      <c r="J6158" s="396">
        <f>SUM(J6155:J6157)</f>
        <v>0</v>
      </c>
    </row>
    <row r="6159" spans="1:10" ht="13.5" thickBot="1">
      <c r="A6159" s="27"/>
      <c r="B6159" s="110"/>
      <c r="D6159" s="406" t="s">
        <v>65</v>
      </c>
      <c r="E6159" s="13" t="s">
        <v>66</v>
      </c>
      <c r="F6159" s="14"/>
      <c r="G6159" s="15"/>
      <c r="H6159" s="451"/>
      <c r="I6159" s="412">
        <f>IF(AND(E6159&lt;&gt;"",G6159&lt;&gt;""),IF(D6159="",IF(G6159="OH",VLOOKUP(E6159,UPAH!$C$4:$H$31,7,0),VLOOKUP(E6159,#REF!,4,0)),0),0)</f>
        <v>0</v>
      </c>
      <c r="J6159" s="16">
        <f>H6159*I6159</f>
        <v>0</v>
      </c>
    </row>
    <row r="6160" spans="1:10" ht="13.5" thickBot="1">
      <c r="A6160" s="27"/>
      <c r="B6160" s="110"/>
      <c r="D6160" s="417"/>
      <c r="E6160" s="418"/>
      <c r="F6160" s="418"/>
      <c r="G6160" s="419"/>
      <c r="H6160" s="420" t="s">
        <v>67</v>
      </c>
      <c r="I6160" s="421"/>
      <c r="J6160" s="396">
        <f>J6159</f>
        <v>0</v>
      </c>
    </row>
    <row r="6161" spans="1:10" ht="13">
      <c r="A6161" s="27"/>
      <c r="B6161" s="110"/>
      <c r="D6161" s="444" t="s">
        <v>68</v>
      </c>
      <c r="E6161" s="445" t="s">
        <v>69</v>
      </c>
      <c r="F6161" s="446"/>
      <c r="G6161" s="447"/>
      <c r="H6161" s="448"/>
      <c r="I6161" s="449">
        <f>IF(AND(E6161&lt;&gt;"",G6161&lt;&gt;""),IF(D6161="",IF(G6161="OH",VLOOKUP(E6161,UPAH!$C$4:$H$31,7,0),VLOOKUP(E6161,#REF!,4,0)),0),0)</f>
        <v>0</v>
      </c>
      <c r="J6161" s="16">
        <f>SUM(J6149:J6160)/2</f>
        <v>0</v>
      </c>
    </row>
    <row r="6162" spans="1:10" ht="13.5" thickBot="1">
      <c r="A6162" s="27"/>
      <c r="B6162" s="110"/>
      <c r="D6162" s="431" t="s">
        <v>70</v>
      </c>
      <c r="E6162" s="432" t="s">
        <v>477</v>
      </c>
      <c r="F6162" s="433"/>
      <c r="G6162" s="434"/>
      <c r="H6162" s="22">
        <v>0.1</v>
      </c>
      <c r="I6162" s="436"/>
      <c r="J6162" s="430">
        <f>H6162*J6161</f>
        <v>0</v>
      </c>
    </row>
    <row r="6163" spans="1:10" ht="13.5" thickBot="1">
      <c r="A6163" s="27"/>
      <c r="B6163" s="110"/>
      <c r="D6163" s="401" t="s">
        <v>71</v>
      </c>
      <c r="E6163" s="402" t="s">
        <v>72</v>
      </c>
      <c r="F6163" s="418"/>
      <c r="G6163" s="419"/>
      <c r="H6163" s="442"/>
      <c r="I6163" s="421">
        <f>IF(AND(E6163&lt;&gt;"",G6163&lt;&gt;""),IF(D6163="",IF(G6163="OH",VLOOKUP(E6163,UPAH!$C$4:$H$31,7,0),VLOOKUP(E6163,#REF!,4,0)),0),0)</f>
        <v>0</v>
      </c>
      <c r="J6163" s="396">
        <f>ROUNDDOWN(J6161+J6162,0)</f>
        <v>0</v>
      </c>
    </row>
    <row r="6164" spans="1:10" ht="13">
      <c r="A6164" s="27"/>
      <c r="B6164" s="110"/>
      <c r="D6164" s="11"/>
      <c r="E6164" s="11"/>
      <c r="H6164" s="443"/>
    </row>
    <row r="6165" spans="1:10" ht="13.5" thickBot="1">
      <c r="A6165" s="27"/>
      <c r="B6165" s="110"/>
      <c r="C6165" s="11" t="s">
        <v>3655</v>
      </c>
      <c r="D6165" s="10" t="s">
        <v>3656</v>
      </c>
      <c r="F6165" s="11"/>
      <c r="H6165" s="443"/>
    </row>
    <row r="6166" spans="1:10" ht="13.5" thickBot="1">
      <c r="A6166" s="27"/>
      <c r="B6166" s="110"/>
      <c r="D6166" s="401" t="s">
        <v>40</v>
      </c>
      <c r="E6166" s="402" t="s">
        <v>41</v>
      </c>
      <c r="F6166" s="402" t="s">
        <v>42</v>
      </c>
      <c r="G6166" s="403" t="s">
        <v>43</v>
      </c>
      <c r="H6166" s="404" t="s">
        <v>44</v>
      </c>
      <c r="I6166" s="402" t="s">
        <v>474</v>
      </c>
      <c r="J6166" s="405" t="s">
        <v>475</v>
      </c>
    </row>
    <row r="6167" spans="1:10" ht="13">
      <c r="A6167" s="27"/>
      <c r="B6167" s="110"/>
      <c r="D6167" s="406" t="s">
        <v>45</v>
      </c>
      <c r="E6167" s="13" t="s">
        <v>46</v>
      </c>
      <c r="F6167" s="14"/>
      <c r="G6167" s="15"/>
      <c r="H6167" s="451"/>
      <c r="I6167" s="412"/>
      <c r="J6167" s="16"/>
    </row>
    <row r="6168" spans="1:10" ht="13">
      <c r="A6168" s="27"/>
      <c r="B6168" s="110"/>
      <c r="D6168" s="409"/>
      <c r="E6168" s="13" t="s">
        <v>47</v>
      </c>
      <c r="F6168" s="13" t="s">
        <v>1918</v>
      </c>
      <c r="G6168" s="410" t="s">
        <v>48</v>
      </c>
      <c r="H6168" s="411">
        <v>0.15</v>
      </c>
      <c r="I6168" s="412">
        <f>IF(AND(E6168&lt;&gt;"",G6168&lt;&gt;""),IF(D6168="",IF(G6168="OH",VLOOKUP(F6168,UPAH!$B$4:$H$101,7,0),VLOOKUP(F6168,#REF!,4,0)),0),0)</f>
        <v>0</v>
      </c>
      <c r="J6168" s="16">
        <f>H6168*I6168</f>
        <v>0</v>
      </c>
    </row>
    <row r="6169" spans="1:10" ht="13">
      <c r="A6169" s="27"/>
      <c r="B6169" s="110"/>
      <c r="D6169" s="409"/>
      <c r="E6169" s="13" t="s">
        <v>476</v>
      </c>
      <c r="F6169" s="13" t="s">
        <v>1922</v>
      </c>
      <c r="G6169" s="410" t="s">
        <v>48</v>
      </c>
      <c r="H6169" s="411">
        <v>0.4</v>
      </c>
      <c r="I6169" s="412">
        <f>IF(AND(E6169&lt;&gt;"",G6169&lt;&gt;""),IF(D6169="",IF(G6169="OH",VLOOKUP(F6169,UPAH!$B$4:$H$101,7,0),VLOOKUP(F6169,#REF!,4,0)),0),0)</f>
        <v>0</v>
      </c>
      <c r="J6169" s="16">
        <f>H6169*I6169</f>
        <v>0</v>
      </c>
    </row>
    <row r="6170" spans="1:10" ht="13">
      <c r="A6170" s="27"/>
      <c r="B6170" s="110"/>
      <c r="D6170" s="409"/>
      <c r="E6170" s="13" t="s">
        <v>50</v>
      </c>
      <c r="F6170" s="13" t="s">
        <v>1928</v>
      </c>
      <c r="G6170" s="410" t="s">
        <v>48</v>
      </c>
      <c r="H6170" s="411">
        <v>2.5000000000000001E-2</v>
      </c>
      <c r="I6170" s="412">
        <f>IF(AND(E6170&lt;&gt;"",G6170&lt;&gt;""),IF(D6170="",IF(G6170="OH",VLOOKUP(F6170,UPAH!$B$4:$H$101,7,0),VLOOKUP(F6170,#REF!,4,0)),0),0)</f>
        <v>0</v>
      </c>
      <c r="J6170" s="16">
        <f>H6170*I6170</f>
        <v>0</v>
      </c>
    </row>
    <row r="6171" spans="1:10" ht="13.5" thickBot="1">
      <c r="A6171" s="27"/>
      <c r="B6171" s="110"/>
      <c r="D6171" s="409"/>
      <c r="E6171" s="13" t="s">
        <v>51</v>
      </c>
      <c r="F6171" s="13" t="s">
        <v>1929</v>
      </c>
      <c r="G6171" s="410" t="s">
        <v>48</v>
      </c>
      <c r="H6171" s="411">
        <v>1.2999999999999999E-3</v>
      </c>
      <c r="I6171" s="412">
        <f>IF(AND(E6171&lt;&gt;"",G6171&lt;&gt;""),IF(D6171="",IF(G6171="OH",VLOOKUP(F6171,UPAH!$B$4:$H$101,7,0),VLOOKUP(F6171,#REF!,4,0)),0),0)</f>
        <v>0</v>
      </c>
      <c r="J6171" s="16">
        <f>H6171*I6171</f>
        <v>0</v>
      </c>
    </row>
    <row r="6172" spans="1:10" ht="13.5" thickBot="1">
      <c r="A6172" s="27"/>
      <c r="B6172" s="110"/>
      <c r="D6172" s="417"/>
      <c r="E6172" s="418"/>
      <c r="F6172" s="418"/>
      <c r="G6172" s="419"/>
      <c r="H6172" s="420" t="s">
        <v>52</v>
      </c>
      <c r="I6172" s="421"/>
      <c r="J6172" s="396">
        <f>SUM(J6168:J6171)</f>
        <v>0</v>
      </c>
    </row>
    <row r="6173" spans="1:10" ht="13">
      <c r="A6173" s="27"/>
      <c r="B6173" s="110"/>
      <c r="D6173" s="406" t="s">
        <v>53</v>
      </c>
      <c r="E6173" s="13" t="s">
        <v>54</v>
      </c>
      <c r="F6173" s="14"/>
      <c r="G6173" s="15"/>
      <c r="H6173" s="451"/>
      <c r="I6173" s="412"/>
      <c r="J6173" s="16"/>
    </row>
    <row r="6174" spans="1:10" ht="13">
      <c r="A6174" s="27"/>
      <c r="B6174" s="110"/>
      <c r="D6174" s="409"/>
      <c r="E6174" s="13" t="s">
        <v>3657</v>
      </c>
      <c r="F6174" s="13"/>
      <c r="G6174" s="410" t="s">
        <v>2911</v>
      </c>
      <c r="H6174" s="411">
        <v>1</v>
      </c>
      <c r="I6174" s="412">
        <v>0</v>
      </c>
      <c r="J6174" s="16">
        <f>H6174*I6174</f>
        <v>0</v>
      </c>
    </row>
    <row r="6175" spans="1:10" ht="13.5" thickBot="1">
      <c r="A6175" s="27"/>
      <c r="B6175" s="110"/>
      <c r="D6175" s="409"/>
      <c r="E6175" s="13" t="s">
        <v>3654</v>
      </c>
      <c r="F6175" s="13"/>
      <c r="G6175" s="410" t="s">
        <v>93</v>
      </c>
      <c r="H6175" s="411">
        <v>0.05</v>
      </c>
      <c r="I6175" s="412">
        <v>0</v>
      </c>
      <c r="J6175" s="16">
        <f>H6175*I6175</f>
        <v>0</v>
      </c>
    </row>
    <row r="6176" spans="1:10" ht="13.5" thickBot="1">
      <c r="A6176" s="27"/>
      <c r="B6176" s="110"/>
      <c r="D6176" s="417"/>
      <c r="E6176" s="418"/>
      <c r="F6176" s="418"/>
      <c r="G6176" s="419"/>
      <c r="H6176" s="420" t="s">
        <v>64</v>
      </c>
      <c r="I6176" s="421"/>
      <c r="J6176" s="396">
        <f>SUM(J6173:J6175)</f>
        <v>0</v>
      </c>
    </row>
    <row r="6177" spans="1:10" ht="13.5" thickBot="1">
      <c r="A6177" s="27"/>
      <c r="B6177" s="110"/>
      <c r="D6177" s="406" t="s">
        <v>65</v>
      </c>
      <c r="E6177" s="13" t="s">
        <v>66</v>
      </c>
      <c r="F6177" s="14"/>
      <c r="G6177" s="15"/>
      <c r="H6177" s="451"/>
      <c r="I6177" s="412">
        <f>IF(AND(E6177&lt;&gt;"",G6177&lt;&gt;""),IF(D6177="",IF(G6177="OH",VLOOKUP(E6177,UPAH!$C$4:$H$31,7,0),VLOOKUP(E6177,#REF!,4,0)),0),0)</f>
        <v>0</v>
      </c>
      <c r="J6177" s="16">
        <f>H6177*I6177</f>
        <v>0</v>
      </c>
    </row>
    <row r="6178" spans="1:10" ht="13.5" thickBot="1">
      <c r="A6178" s="27"/>
      <c r="B6178" s="110"/>
      <c r="D6178" s="417"/>
      <c r="E6178" s="418"/>
      <c r="F6178" s="418"/>
      <c r="G6178" s="419"/>
      <c r="H6178" s="420" t="s">
        <v>67</v>
      </c>
      <c r="I6178" s="421"/>
      <c r="J6178" s="396">
        <f>J6177</f>
        <v>0</v>
      </c>
    </row>
    <row r="6179" spans="1:10" ht="13">
      <c r="A6179" s="27"/>
      <c r="B6179" s="110"/>
      <c r="D6179" s="444" t="s">
        <v>68</v>
      </c>
      <c r="E6179" s="445" t="s">
        <v>69</v>
      </c>
      <c r="F6179" s="446"/>
      <c r="G6179" s="447"/>
      <c r="H6179" s="448"/>
      <c r="I6179" s="449">
        <f>IF(AND(E6179&lt;&gt;"",G6179&lt;&gt;""),IF(D6179="",IF(G6179="OH",VLOOKUP(E6179,UPAH!$C$4:$H$31,7,0),VLOOKUP(E6179,#REF!,4,0)),0),0)</f>
        <v>0</v>
      </c>
      <c r="J6179" s="16">
        <f>SUM(J6167:J6178)/2</f>
        <v>0</v>
      </c>
    </row>
    <row r="6180" spans="1:10" ht="13.5" thickBot="1">
      <c r="A6180" s="27"/>
      <c r="B6180" s="110"/>
      <c r="D6180" s="431" t="s">
        <v>70</v>
      </c>
      <c r="E6180" s="432" t="s">
        <v>477</v>
      </c>
      <c r="F6180" s="433"/>
      <c r="G6180" s="434"/>
      <c r="H6180" s="22">
        <v>0.1</v>
      </c>
      <c r="I6180" s="436"/>
      <c r="J6180" s="430">
        <f>H6180*J6179</f>
        <v>0</v>
      </c>
    </row>
    <row r="6181" spans="1:10" ht="13.5" thickBot="1">
      <c r="A6181" s="27"/>
      <c r="B6181" s="110"/>
      <c r="D6181" s="401" t="s">
        <v>71</v>
      </c>
      <c r="E6181" s="402" t="s">
        <v>72</v>
      </c>
      <c r="F6181" s="418"/>
      <c r="G6181" s="419"/>
      <c r="H6181" s="442"/>
      <c r="I6181" s="421">
        <f>IF(AND(E6181&lt;&gt;"",G6181&lt;&gt;""),IF(D6181="",IF(G6181="OH",VLOOKUP(E6181,UPAH!$C$4:$H$31,7,0),VLOOKUP(E6181,#REF!,4,0)),0),0)</f>
        <v>0</v>
      </c>
      <c r="J6181" s="396">
        <f>ROUNDDOWN(J6179+J6180,0)</f>
        <v>0</v>
      </c>
    </row>
    <row r="6182" spans="1:10" ht="13">
      <c r="A6182" s="27"/>
      <c r="B6182" s="110"/>
      <c r="D6182" s="11"/>
      <c r="E6182" s="11"/>
      <c r="H6182" s="443"/>
    </row>
    <row r="6183" spans="1:10" s="27" customFormat="1" ht="13">
      <c r="B6183" s="110"/>
      <c r="C6183" s="452" t="s">
        <v>511</v>
      </c>
      <c r="G6183" s="399"/>
      <c r="H6183" s="453"/>
    </row>
    <row r="6184" spans="1:10" ht="13.5" thickBot="1">
      <c r="A6184" s="27"/>
      <c r="B6184" s="110"/>
      <c r="C6184" s="11" t="s">
        <v>1164</v>
      </c>
      <c r="D6184" s="10" t="s">
        <v>1165</v>
      </c>
      <c r="H6184" s="443"/>
    </row>
    <row r="6185" spans="1:10" ht="13.5" thickBot="1">
      <c r="A6185" s="27"/>
      <c r="B6185" s="110"/>
      <c r="D6185" s="401" t="s">
        <v>40</v>
      </c>
      <c r="E6185" s="402" t="s">
        <v>41</v>
      </c>
      <c r="F6185" s="402" t="s">
        <v>42</v>
      </c>
      <c r="G6185" s="403" t="s">
        <v>43</v>
      </c>
      <c r="H6185" s="404" t="s">
        <v>44</v>
      </c>
      <c r="I6185" s="402" t="s">
        <v>474</v>
      </c>
      <c r="J6185" s="405" t="s">
        <v>475</v>
      </c>
    </row>
    <row r="6186" spans="1:10" ht="13">
      <c r="A6186" s="27"/>
      <c r="B6186" s="110"/>
      <c r="D6186" s="406" t="s">
        <v>45</v>
      </c>
      <c r="E6186" s="13" t="s">
        <v>46</v>
      </c>
      <c r="F6186" s="14"/>
      <c r="G6186" s="15"/>
      <c r="H6186" s="451"/>
      <c r="I6186" s="412"/>
      <c r="J6186" s="16"/>
    </row>
    <row r="6187" spans="1:10" ht="13">
      <c r="A6187" s="27"/>
      <c r="B6187" s="110"/>
      <c r="D6187" s="409"/>
      <c r="E6187" s="13" t="s">
        <v>47</v>
      </c>
      <c r="F6187" s="13" t="s">
        <v>1918</v>
      </c>
      <c r="G6187" s="410" t="s">
        <v>48</v>
      </c>
      <c r="H6187" s="411">
        <v>7</v>
      </c>
      <c r="I6187" s="412">
        <f>IF(AND(E6187&lt;&gt;"",G6187&lt;&gt;""),IF(D6187="",IF(G6187="OH",VLOOKUP(F6187,UPAH!$B$4:$H$101,7,0),VLOOKUP(F6187,#REF!,4,0)),0),0)</f>
        <v>0</v>
      </c>
      <c r="J6187" s="16">
        <f>H6187*I6187</f>
        <v>0</v>
      </c>
    </row>
    <row r="6188" spans="1:10" ht="13">
      <c r="A6188" s="27"/>
      <c r="B6188" s="110"/>
      <c r="D6188" s="409"/>
      <c r="E6188" s="13" t="s">
        <v>49</v>
      </c>
      <c r="F6188" s="13" t="s">
        <v>1922</v>
      </c>
      <c r="G6188" s="410" t="s">
        <v>48</v>
      </c>
      <c r="H6188" s="411">
        <v>21</v>
      </c>
      <c r="I6188" s="412">
        <f>IF(AND(E6188&lt;&gt;"",G6188&lt;&gt;""),IF(D6188="",IF(G6188="OH",VLOOKUP(F6188,UPAH!$B$4:$H$101,7,0),VLOOKUP(F6188,#REF!,4,0)),0),0)</f>
        <v>0</v>
      </c>
      <c r="J6188" s="16">
        <f>H6188*I6188</f>
        <v>0</v>
      </c>
    </row>
    <row r="6189" spans="1:10" ht="13">
      <c r="A6189" s="27"/>
      <c r="B6189" s="110"/>
      <c r="D6189" s="409"/>
      <c r="E6189" s="13" t="s">
        <v>50</v>
      </c>
      <c r="F6189" s="13" t="s">
        <v>1928</v>
      </c>
      <c r="G6189" s="410" t="s">
        <v>48</v>
      </c>
      <c r="H6189" s="411">
        <v>2.1</v>
      </c>
      <c r="I6189" s="412">
        <f>IF(AND(E6189&lt;&gt;"",G6189&lt;&gt;""),IF(D6189="",IF(G6189="OH",VLOOKUP(F6189,UPAH!$B$4:$H$101,7,0),VLOOKUP(F6189,#REF!,4,0)),0),0)</f>
        <v>0</v>
      </c>
      <c r="J6189" s="16">
        <f>H6189*I6189</f>
        <v>0</v>
      </c>
    </row>
    <row r="6190" spans="1:10" ht="13.5" thickBot="1">
      <c r="A6190" s="27"/>
      <c r="B6190" s="110"/>
      <c r="D6190" s="409"/>
      <c r="E6190" s="13" t="s">
        <v>51</v>
      </c>
      <c r="F6190" s="13" t="s">
        <v>1929</v>
      </c>
      <c r="G6190" s="410" t="s">
        <v>48</v>
      </c>
      <c r="H6190" s="411">
        <v>0.35</v>
      </c>
      <c r="I6190" s="412">
        <f>IF(AND(E6190&lt;&gt;"",G6190&lt;&gt;""),IF(D6190="",IF(G6190="OH",VLOOKUP(F6190,UPAH!$B$4:$H$101,7,0),VLOOKUP(F6190,#REF!,4,0)),0),0)</f>
        <v>0</v>
      </c>
      <c r="J6190" s="16">
        <f>H6190*I6190</f>
        <v>0</v>
      </c>
    </row>
    <row r="6191" spans="1:10" ht="13.5" thickBot="1">
      <c r="A6191" s="27"/>
      <c r="B6191" s="110"/>
      <c r="D6191" s="417"/>
      <c r="E6191" s="418"/>
      <c r="F6191" s="418"/>
      <c r="G6191" s="419"/>
      <c r="H6191" s="420" t="s">
        <v>52</v>
      </c>
      <c r="I6191" s="421"/>
      <c r="J6191" s="396">
        <f>SUM(J6187:J6190)</f>
        <v>0</v>
      </c>
    </row>
    <row r="6192" spans="1:10" ht="13">
      <c r="A6192" s="27"/>
      <c r="B6192" s="110"/>
      <c r="D6192" s="406" t="s">
        <v>53</v>
      </c>
      <c r="E6192" s="13" t="s">
        <v>54</v>
      </c>
      <c r="F6192" s="14"/>
      <c r="G6192" s="15"/>
      <c r="H6192" s="451"/>
      <c r="I6192" s="412"/>
      <c r="J6192" s="16"/>
    </row>
    <row r="6193" spans="1:10" ht="13">
      <c r="A6193" s="27"/>
      <c r="B6193" s="110"/>
      <c r="D6193" s="409"/>
      <c r="E6193" s="13" t="s">
        <v>196</v>
      </c>
      <c r="F6193" s="14"/>
      <c r="G6193" s="410" t="s">
        <v>375</v>
      </c>
      <c r="H6193" s="411">
        <v>1.1000000000000001</v>
      </c>
      <c r="I6193" s="412">
        <f>'BAHAN '!G197</f>
        <v>0</v>
      </c>
      <c r="J6193" s="16">
        <f>H6193*I6193</f>
        <v>0</v>
      </c>
    </row>
    <row r="6194" spans="1:10" ht="13">
      <c r="A6194" s="27"/>
      <c r="B6194" s="110"/>
      <c r="D6194" s="409"/>
      <c r="E6194" s="13" t="s">
        <v>486</v>
      </c>
      <c r="F6194" s="14"/>
      <c r="G6194" s="410" t="s">
        <v>57</v>
      </c>
      <c r="H6194" s="411">
        <v>1.25</v>
      </c>
      <c r="I6194" s="412">
        <f>'BAHAN '!G127</f>
        <v>0</v>
      </c>
      <c r="J6194" s="16">
        <f>H6194*I6194</f>
        <v>0</v>
      </c>
    </row>
    <row r="6195" spans="1:10" ht="13.5" thickBot="1">
      <c r="A6195" s="27"/>
      <c r="B6195" s="110"/>
      <c r="D6195" s="409"/>
      <c r="E6195" s="13" t="s">
        <v>502</v>
      </c>
      <c r="F6195" s="14"/>
      <c r="G6195" s="410" t="s">
        <v>57</v>
      </c>
      <c r="H6195" s="411">
        <v>1</v>
      </c>
      <c r="I6195" s="412">
        <f>'BAHAN '!G816</f>
        <v>0</v>
      </c>
      <c r="J6195" s="16">
        <f>H6195*I6195</f>
        <v>0</v>
      </c>
    </row>
    <row r="6196" spans="1:10" ht="13.5" thickBot="1">
      <c r="A6196" s="27"/>
      <c r="B6196" s="110"/>
      <c r="D6196" s="417"/>
      <c r="E6196" s="418"/>
      <c r="F6196" s="418"/>
      <c r="G6196" s="419"/>
      <c r="H6196" s="420" t="s">
        <v>64</v>
      </c>
      <c r="I6196" s="421"/>
      <c r="J6196" s="396">
        <f>SUM(J6193:J6195)</f>
        <v>0</v>
      </c>
    </row>
    <row r="6197" spans="1:10" ht="13.5" thickBot="1">
      <c r="A6197" s="27"/>
      <c r="B6197" s="110"/>
      <c r="D6197" s="406" t="s">
        <v>65</v>
      </c>
      <c r="E6197" s="13" t="s">
        <v>66</v>
      </c>
      <c r="F6197" s="14"/>
      <c r="G6197" s="15"/>
      <c r="H6197" s="451"/>
      <c r="I6197" s="412">
        <f>IF(AND(E6197&lt;&gt;"",G6197&lt;&gt;""),IF(D6197="",IF(G6197="OH",VLOOKUP(E6197,UPAH!$C$4:$H$31,7,0),VLOOKUP(E6197,#REF!,4,0)),0),0)</f>
        <v>0</v>
      </c>
      <c r="J6197" s="16">
        <f>H6197*I6197</f>
        <v>0</v>
      </c>
    </row>
    <row r="6198" spans="1:10" ht="13.5" thickBot="1">
      <c r="A6198" s="27"/>
      <c r="B6198" s="110"/>
      <c r="D6198" s="417"/>
      <c r="E6198" s="418"/>
      <c r="F6198" s="418"/>
      <c r="G6198" s="419"/>
      <c r="H6198" s="420" t="s">
        <v>67</v>
      </c>
      <c r="I6198" s="421"/>
      <c r="J6198" s="396">
        <f>J6197</f>
        <v>0</v>
      </c>
    </row>
    <row r="6199" spans="1:10" ht="13">
      <c r="A6199" s="27"/>
      <c r="B6199" s="110"/>
      <c r="D6199" s="444" t="s">
        <v>68</v>
      </c>
      <c r="E6199" s="445" t="s">
        <v>69</v>
      </c>
      <c r="F6199" s="446"/>
      <c r="G6199" s="447"/>
      <c r="H6199" s="448"/>
      <c r="I6199" s="449">
        <f>IF(AND(E6199&lt;&gt;"",G6199&lt;&gt;""),IF(D6199="",IF(G6199="OH",VLOOKUP(E6199,UPAH!$C$4:$H$31,7,0),VLOOKUP(E6199,#REF!,4,0)),0),0)</f>
        <v>0</v>
      </c>
      <c r="J6199" s="16">
        <f>SUM(J6187:J6198)/2</f>
        <v>0</v>
      </c>
    </row>
    <row r="6200" spans="1:10" ht="13.5" thickBot="1">
      <c r="A6200" s="27"/>
      <c r="B6200" s="110"/>
      <c r="D6200" s="431" t="s">
        <v>70</v>
      </c>
      <c r="E6200" s="432" t="s">
        <v>477</v>
      </c>
      <c r="F6200" s="433"/>
      <c r="G6200" s="434"/>
      <c r="H6200" s="22">
        <v>0.1</v>
      </c>
      <c r="I6200" s="436"/>
      <c r="J6200" s="430">
        <f>H6200*J6199</f>
        <v>0</v>
      </c>
    </row>
    <row r="6201" spans="1:10" ht="13.5" thickBot="1">
      <c r="A6201" s="27"/>
      <c r="B6201" s="110"/>
      <c r="D6201" s="401" t="s">
        <v>71</v>
      </c>
      <c r="E6201" s="402" t="s">
        <v>72</v>
      </c>
      <c r="F6201" s="418"/>
      <c r="G6201" s="419"/>
      <c r="H6201" s="442"/>
      <c r="I6201" s="421">
        <f>IF(AND(E6201&lt;&gt;"",G6201&lt;&gt;""),IF(D6201="",IF(G6201="OH",VLOOKUP(E6201,UPAH!$C$4:$H$31,7,0),VLOOKUP(E6201,#REF!,4,0)),0),0)</f>
        <v>0</v>
      </c>
      <c r="J6201" s="396">
        <f>ROUNDDOWN(J6199+J6200,0)</f>
        <v>0</v>
      </c>
    </row>
    <row r="6202" spans="1:10" ht="13">
      <c r="A6202" s="27"/>
      <c r="B6202" s="110"/>
      <c r="D6202" s="11"/>
      <c r="E6202" s="11"/>
      <c r="H6202" s="443"/>
    </row>
    <row r="6203" spans="1:10" ht="13.5" thickBot="1">
      <c r="A6203" s="27"/>
      <c r="B6203" s="110"/>
      <c r="C6203" s="11" t="s">
        <v>1166</v>
      </c>
      <c r="D6203" s="10" t="s">
        <v>1167</v>
      </c>
      <c r="H6203" s="443"/>
    </row>
    <row r="6204" spans="1:10" ht="13.5" thickBot="1">
      <c r="A6204" s="27"/>
      <c r="B6204" s="110"/>
      <c r="D6204" s="401" t="s">
        <v>40</v>
      </c>
      <c r="E6204" s="402" t="s">
        <v>41</v>
      </c>
      <c r="F6204" s="402" t="s">
        <v>42</v>
      </c>
      <c r="G6204" s="403" t="s">
        <v>43</v>
      </c>
      <c r="H6204" s="404" t="s">
        <v>44</v>
      </c>
      <c r="I6204" s="402" t="s">
        <v>474</v>
      </c>
      <c r="J6204" s="405" t="s">
        <v>475</v>
      </c>
    </row>
    <row r="6205" spans="1:10" ht="13">
      <c r="A6205" s="27"/>
      <c r="B6205" s="110"/>
      <c r="D6205" s="406" t="s">
        <v>45</v>
      </c>
      <c r="E6205" s="13" t="s">
        <v>46</v>
      </c>
      <c r="F6205" s="14"/>
      <c r="G6205" s="15"/>
      <c r="H6205" s="451"/>
      <c r="I6205" s="412"/>
      <c r="J6205" s="16"/>
    </row>
    <row r="6206" spans="1:10" ht="13">
      <c r="A6206" s="27"/>
      <c r="B6206" s="110"/>
      <c r="D6206" s="409"/>
      <c r="E6206" s="13" t="s">
        <v>47</v>
      </c>
      <c r="F6206" s="13" t="s">
        <v>1918</v>
      </c>
      <c r="G6206" s="410" t="s">
        <v>48</v>
      </c>
      <c r="H6206" s="411">
        <v>6</v>
      </c>
      <c r="I6206" s="412">
        <f>IF(AND(E6206&lt;&gt;"",G6206&lt;&gt;""),IF(D6206="",IF(G6206="OH",VLOOKUP(F6206,UPAH!$B$4:$H$101,7,0),VLOOKUP(F6206,#REF!,4,0)),0),0)</f>
        <v>0</v>
      </c>
      <c r="J6206" s="16">
        <f>H6206*I6206</f>
        <v>0</v>
      </c>
    </row>
    <row r="6207" spans="1:10" ht="13">
      <c r="A6207" s="27"/>
      <c r="B6207" s="110"/>
      <c r="D6207" s="409"/>
      <c r="E6207" s="13" t="s">
        <v>49</v>
      </c>
      <c r="F6207" s="13" t="s">
        <v>1922</v>
      </c>
      <c r="G6207" s="410" t="s">
        <v>48</v>
      </c>
      <c r="H6207" s="411">
        <v>18</v>
      </c>
      <c r="I6207" s="412">
        <f>IF(AND(E6207&lt;&gt;"",G6207&lt;&gt;""),IF(D6207="",IF(G6207="OH",VLOOKUP(F6207,UPAH!$B$4:$H$101,7,0),VLOOKUP(F6207,#REF!,4,0)),0),0)</f>
        <v>0</v>
      </c>
      <c r="J6207" s="16">
        <f>H6207*I6207</f>
        <v>0</v>
      </c>
    </row>
    <row r="6208" spans="1:10" ht="13">
      <c r="A6208" s="27"/>
      <c r="B6208" s="110"/>
      <c r="D6208" s="409"/>
      <c r="E6208" s="13" t="s">
        <v>50</v>
      </c>
      <c r="F6208" s="13" t="s">
        <v>1928</v>
      </c>
      <c r="G6208" s="410" t="s">
        <v>48</v>
      </c>
      <c r="H6208" s="411">
        <v>1.8</v>
      </c>
      <c r="I6208" s="412">
        <f>IF(AND(E6208&lt;&gt;"",G6208&lt;&gt;""),IF(D6208="",IF(G6208="OH",VLOOKUP(F6208,UPAH!$B$4:$H$101,7,0),VLOOKUP(F6208,#REF!,4,0)),0),0)</f>
        <v>0</v>
      </c>
      <c r="J6208" s="16">
        <f>H6208*I6208</f>
        <v>0</v>
      </c>
    </row>
    <row r="6209" spans="1:10" ht="13.5" thickBot="1">
      <c r="A6209" s="27"/>
      <c r="B6209" s="110"/>
      <c r="D6209" s="409"/>
      <c r="E6209" s="13" t="s">
        <v>51</v>
      </c>
      <c r="F6209" s="13" t="s">
        <v>1929</v>
      </c>
      <c r="G6209" s="410" t="s">
        <v>48</v>
      </c>
      <c r="H6209" s="411">
        <v>0.3</v>
      </c>
      <c r="I6209" s="412">
        <f>IF(AND(E6209&lt;&gt;"",G6209&lt;&gt;""),IF(D6209="",IF(G6209="OH",VLOOKUP(F6209,UPAH!$B$4:$H$101,7,0),VLOOKUP(F6209,#REF!,4,0)),0),0)</f>
        <v>0</v>
      </c>
      <c r="J6209" s="16">
        <f>H6209*I6209</f>
        <v>0</v>
      </c>
    </row>
    <row r="6210" spans="1:10" ht="13.5" thickBot="1">
      <c r="A6210" s="27"/>
      <c r="B6210" s="110"/>
      <c r="D6210" s="417"/>
      <c r="E6210" s="418"/>
      <c r="F6210" s="418"/>
      <c r="G6210" s="419"/>
      <c r="H6210" s="420" t="s">
        <v>52</v>
      </c>
      <c r="I6210" s="421"/>
      <c r="J6210" s="396">
        <f>SUM(J6206:J6209)</f>
        <v>0</v>
      </c>
    </row>
    <row r="6211" spans="1:10" ht="13">
      <c r="A6211" s="27"/>
      <c r="B6211" s="110"/>
      <c r="D6211" s="406" t="s">
        <v>53</v>
      </c>
      <c r="E6211" s="13" t="s">
        <v>54</v>
      </c>
      <c r="F6211" s="14"/>
      <c r="G6211" s="15"/>
      <c r="H6211" s="451"/>
      <c r="I6211" s="412"/>
      <c r="J6211" s="16"/>
    </row>
    <row r="6212" spans="1:10" ht="13">
      <c r="A6212" s="27"/>
      <c r="B6212" s="110"/>
      <c r="D6212" s="409"/>
      <c r="E6212" s="13" t="s">
        <v>196</v>
      </c>
      <c r="F6212" s="14"/>
      <c r="G6212" s="410" t="s">
        <v>375</v>
      </c>
      <c r="H6212" s="411">
        <v>1.2</v>
      </c>
      <c r="I6212" s="412">
        <f>'BAHAN '!G199</f>
        <v>0</v>
      </c>
      <c r="J6212" s="16">
        <f>H6212*I6212</f>
        <v>0</v>
      </c>
    </row>
    <row r="6213" spans="1:10" ht="13">
      <c r="A6213" s="27"/>
      <c r="B6213" s="110"/>
      <c r="D6213" s="409"/>
      <c r="E6213" s="13" t="s">
        <v>486</v>
      </c>
      <c r="F6213" s="14"/>
      <c r="G6213" s="410" t="s">
        <v>57</v>
      </c>
      <c r="H6213" s="411">
        <v>1.25</v>
      </c>
      <c r="I6213" s="412">
        <f>'BAHAN '!G127</f>
        <v>0</v>
      </c>
      <c r="J6213" s="16">
        <f>H6213*I6213</f>
        <v>0</v>
      </c>
    </row>
    <row r="6214" spans="1:10" ht="13.5" thickBot="1">
      <c r="A6214" s="27"/>
      <c r="B6214" s="110"/>
      <c r="D6214" s="409"/>
      <c r="E6214" s="13" t="s">
        <v>502</v>
      </c>
      <c r="F6214" s="14"/>
      <c r="G6214" s="410" t="s">
        <v>57</v>
      </c>
      <c r="H6214" s="411">
        <v>1</v>
      </c>
      <c r="I6214" s="412">
        <f>'BAHAN '!G816</f>
        <v>0</v>
      </c>
      <c r="J6214" s="16">
        <f>H6214*I6214</f>
        <v>0</v>
      </c>
    </row>
    <row r="6215" spans="1:10" ht="13.5" thickBot="1">
      <c r="A6215" s="27"/>
      <c r="B6215" s="110"/>
      <c r="D6215" s="417"/>
      <c r="E6215" s="418"/>
      <c r="F6215" s="418"/>
      <c r="G6215" s="419"/>
      <c r="H6215" s="420" t="s">
        <v>64</v>
      </c>
      <c r="I6215" s="421"/>
      <c r="J6215" s="396">
        <f>SUM(J6212:J6214)</f>
        <v>0</v>
      </c>
    </row>
    <row r="6216" spans="1:10" ht="13.5" thickBot="1">
      <c r="A6216" s="27"/>
      <c r="B6216" s="110"/>
      <c r="D6216" s="406" t="s">
        <v>65</v>
      </c>
      <c r="E6216" s="13" t="s">
        <v>66</v>
      </c>
      <c r="F6216" s="14"/>
      <c r="G6216" s="15"/>
      <c r="H6216" s="451"/>
      <c r="I6216" s="412">
        <f>IF(AND(E6216&lt;&gt;"",G6216&lt;&gt;""),IF(D6216="",IF(G6216="OH",VLOOKUP(E6216,UPAH!$C$4:$H$31,7,0),VLOOKUP(E6216,#REF!,4,0)),0),0)</f>
        <v>0</v>
      </c>
      <c r="J6216" s="16">
        <f>H6216*I6216</f>
        <v>0</v>
      </c>
    </row>
    <row r="6217" spans="1:10" ht="13.5" thickBot="1">
      <c r="A6217" s="27"/>
      <c r="B6217" s="110"/>
      <c r="D6217" s="417"/>
      <c r="E6217" s="418"/>
      <c r="F6217" s="418"/>
      <c r="G6217" s="419"/>
      <c r="H6217" s="420" t="s">
        <v>67</v>
      </c>
      <c r="I6217" s="421"/>
      <c r="J6217" s="396">
        <f>J6216</f>
        <v>0</v>
      </c>
    </row>
    <row r="6218" spans="1:10" ht="13">
      <c r="A6218" s="27"/>
      <c r="B6218" s="110"/>
      <c r="D6218" s="444" t="s">
        <v>68</v>
      </c>
      <c r="E6218" s="445" t="s">
        <v>69</v>
      </c>
      <c r="F6218" s="446"/>
      <c r="G6218" s="447"/>
      <c r="H6218" s="448"/>
      <c r="I6218" s="449">
        <f>IF(AND(E6218&lt;&gt;"",G6218&lt;&gt;""),IF(D6218="",IF(G6218="OH",VLOOKUP(E6218,UPAH!$C$4:$H$31,7,0),VLOOKUP(E6218,#REF!,4,0)),0),0)</f>
        <v>0</v>
      </c>
      <c r="J6218" s="16">
        <f>SUM(J6206:J6217)/2</f>
        <v>0</v>
      </c>
    </row>
    <row r="6219" spans="1:10" ht="13.5" thickBot="1">
      <c r="A6219" s="27"/>
      <c r="B6219" s="110"/>
      <c r="D6219" s="431" t="s">
        <v>70</v>
      </c>
      <c r="E6219" s="432" t="s">
        <v>477</v>
      </c>
      <c r="F6219" s="433"/>
      <c r="G6219" s="434"/>
      <c r="H6219" s="22">
        <v>0.1</v>
      </c>
      <c r="I6219" s="436"/>
      <c r="J6219" s="430">
        <f>H6219*J6218</f>
        <v>0</v>
      </c>
    </row>
    <row r="6220" spans="1:10" ht="13.5" thickBot="1">
      <c r="A6220" s="27"/>
      <c r="B6220" s="110"/>
      <c r="D6220" s="401" t="s">
        <v>71</v>
      </c>
      <c r="E6220" s="402" t="s">
        <v>72</v>
      </c>
      <c r="F6220" s="418"/>
      <c r="G6220" s="419"/>
      <c r="H6220" s="442"/>
      <c r="I6220" s="421">
        <f>IF(AND(E6220&lt;&gt;"",G6220&lt;&gt;""),IF(D6220="",IF(G6220="OH",VLOOKUP(E6220,UPAH!$C$4:$H$31,7,0),VLOOKUP(E6220,#REF!,4,0)),0),0)</f>
        <v>0</v>
      </c>
      <c r="J6220" s="396">
        <f>ROUNDDOWN(J6218+J6219,0)</f>
        <v>0</v>
      </c>
    </row>
    <row r="6221" spans="1:10" ht="13">
      <c r="A6221" s="27"/>
      <c r="B6221" s="110"/>
      <c r="D6221" s="11"/>
      <c r="E6221" s="11"/>
      <c r="H6221" s="443"/>
    </row>
    <row r="6222" spans="1:10" ht="13.5" thickBot="1">
      <c r="A6222" s="27"/>
      <c r="B6222" s="110"/>
      <c r="C6222" s="11" t="s">
        <v>1168</v>
      </c>
      <c r="D6222" s="10" t="s">
        <v>1169</v>
      </c>
      <c r="H6222" s="443"/>
    </row>
    <row r="6223" spans="1:10" ht="13.5" thickBot="1">
      <c r="A6223" s="27"/>
      <c r="B6223" s="110"/>
      <c r="D6223" s="401" t="s">
        <v>40</v>
      </c>
      <c r="E6223" s="402" t="s">
        <v>41</v>
      </c>
      <c r="F6223" s="402" t="s">
        <v>42</v>
      </c>
      <c r="G6223" s="403" t="s">
        <v>43</v>
      </c>
      <c r="H6223" s="404" t="s">
        <v>44</v>
      </c>
      <c r="I6223" s="402" t="s">
        <v>474</v>
      </c>
      <c r="J6223" s="405" t="s">
        <v>475</v>
      </c>
    </row>
    <row r="6224" spans="1:10" ht="13">
      <c r="A6224" s="27"/>
      <c r="B6224" s="110"/>
      <c r="D6224" s="406" t="s">
        <v>45</v>
      </c>
      <c r="E6224" s="13" t="s">
        <v>46</v>
      </c>
      <c r="F6224" s="14"/>
      <c r="G6224" s="15"/>
      <c r="H6224" s="451"/>
      <c r="I6224" s="412"/>
      <c r="J6224" s="16"/>
    </row>
    <row r="6225" spans="1:10" ht="13">
      <c r="A6225" s="27"/>
      <c r="B6225" s="110"/>
      <c r="D6225" s="409"/>
      <c r="E6225" s="13" t="s">
        <v>47</v>
      </c>
      <c r="F6225" s="13" t="s">
        <v>1918</v>
      </c>
      <c r="G6225" s="410" t="s">
        <v>48</v>
      </c>
      <c r="H6225" s="411">
        <v>0.35</v>
      </c>
      <c r="I6225" s="412">
        <f>IF(AND(E6225&lt;&gt;"",G6225&lt;&gt;""),IF(D6225="",IF(G6225="OH",VLOOKUP(F6225,UPAH!$B$4:$H$101,7,0),VLOOKUP(F6225,#REF!,4,0)),0),0)</f>
        <v>0</v>
      </c>
      <c r="J6225" s="16">
        <f>H6225*I6225</f>
        <v>0</v>
      </c>
    </row>
    <row r="6226" spans="1:10" ht="13">
      <c r="A6226" s="27"/>
      <c r="B6226" s="110"/>
      <c r="D6226" s="409"/>
      <c r="E6226" s="13" t="s">
        <v>49</v>
      </c>
      <c r="F6226" s="13" t="s">
        <v>1922</v>
      </c>
      <c r="G6226" s="410" t="s">
        <v>48</v>
      </c>
      <c r="H6226" s="411">
        <v>1.05</v>
      </c>
      <c r="I6226" s="412">
        <f>IF(AND(E6226&lt;&gt;"",G6226&lt;&gt;""),IF(D6226="",IF(G6226="OH",VLOOKUP(F6226,UPAH!$B$4:$H$101,7,0),VLOOKUP(F6226,#REF!,4,0)),0),0)</f>
        <v>0</v>
      </c>
      <c r="J6226" s="16">
        <f>H6226*I6226</f>
        <v>0</v>
      </c>
    </row>
    <row r="6227" spans="1:10" ht="13">
      <c r="A6227" s="27"/>
      <c r="B6227" s="110"/>
      <c r="D6227" s="409"/>
      <c r="E6227" s="13" t="s">
        <v>50</v>
      </c>
      <c r="F6227" s="13" t="s">
        <v>1928</v>
      </c>
      <c r="G6227" s="410" t="s">
        <v>48</v>
      </c>
      <c r="H6227" s="411">
        <v>0.105</v>
      </c>
      <c r="I6227" s="412">
        <f>IF(AND(E6227&lt;&gt;"",G6227&lt;&gt;""),IF(D6227="",IF(G6227="OH",VLOOKUP(F6227,UPAH!$B$4:$H$101,7,0),VLOOKUP(F6227,#REF!,4,0)),0),0)</f>
        <v>0</v>
      </c>
      <c r="J6227" s="16">
        <f>H6227*I6227</f>
        <v>0</v>
      </c>
    </row>
    <row r="6228" spans="1:10" ht="13.5" thickBot="1">
      <c r="A6228" s="27"/>
      <c r="B6228" s="110"/>
      <c r="D6228" s="409"/>
      <c r="E6228" s="13" t="s">
        <v>51</v>
      </c>
      <c r="F6228" s="13" t="s">
        <v>1929</v>
      </c>
      <c r="G6228" s="410" t="s">
        <v>48</v>
      </c>
      <c r="H6228" s="411">
        <v>1.7999999999999999E-2</v>
      </c>
      <c r="I6228" s="412">
        <f>IF(AND(E6228&lt;&gt;"",G6228&lt;&gt;""),IF(D6228="",IF(G6228="OH",VLOOKUP(F6228,UPAH!$B$4:$H$101,7,0),VLOOKUP(F6228,#REF!,4,0)),0),0)</f>
        <v>0</v>
      </c>
      <c r="J6228" s="16">
        <f>H6228*I6228</f>
        <v>0</v>
      </c>
    </row>
    <row r="6229" spans="1:10" ht="13.5" thickBot="1">
      <c r="A6229" s="27"/>
      <c r="B6229" s="110"/>
      <c r="D6229" s="417"/>
      <c r="E6229" s="418"/>
      <c r="F6229" s="418"/>
      <c r="G6229" s="419"/>
      <c r="H6229" s="420" t="s">
        <v>52</v>
      </c>
      <c r="I6229" s="421"/>
      <c r="J6229" s="396">
        <f>SUM(J6225:J6228)</f>
        <v>0</v>
      </c>
    </row>
    <row r="6230" spans="1:10" ht="13">
      <c r="A6230" s="27"/>
      <c r="B6230" s="110"/>
      <c r="D6230" s="406" t="s">
        <v>53</v>
      </c>
      <c r="E6230" s="13" t="s">
        <v>54</v>
      </c>
      <c r="F6230" s="14"/>
      <c r="G6230" s="15"/>
      <c r="H6230" s="451"/>
      <c r="I6230" s="412"/>
      <c r="J6230" s="16"/>
    </row>
    <row r="6231" spans="1:10" ht="13">
      <c r="A6231" s="27"/>
      <c r="B6231" s="110"/>
      <c r="D6231" s="409"/>
      <c r="E6231" s="13" t="s">
        <v>512</v>
      </c>
      <c r="F6231" s="14"/>
      <c r="G6231" s="410" t="s">
        <v>375</v>
      </c>
      <c r="H6231" s="411">
        <v>0.04</v>
      </c>
      <c r="I6231" s="412">
        <f>'BAHAN '!G199</f>
        <v>0</v>
      </c>
      <c r="J6231" s="16">
        <f>H6231*I6231</f>
        <v>0</v>
      </c>
    </row>
    <row r="6232" spans="1:10" ht="13.5" thickBot="1">
      <c r="A6232" s="27"/>
      <c r="B6232" s="110"/>
      <c r="D6232" s="409"/>
      <c r="E6232" s="13" t="s">
        <v>486</v>
      </c>
      <c r="F6232" s="14"/>
      <c r="G6232" s="410" t="s">
        <v>57</v>
      </c>
      <c r="H6232" s="411">
        <v>0.05</v>
      </c>
      <c r="I6232" s="412">
        <f>'BAHAN '!G127</f>
        <v>0</v>
      </c>
      <c r="J6232" s="16">
        <f>H6232*I6232</f>
        <v>0</v>
      </c>
    </row>
    <row r="6233" spans="1:10" ht="13.5" thickBot="1">
      <c r="A6233" s="27"/>
      <c r="B6233" s="110"/>
      <c r="D6233" s="417"/>
      <c r="E6233" s="418"/>
      <c r="F6233" s="418"/>
      <c r="G6233" s="419"/>
      <c r="H6233" s="420" t="s">
        <v>64</v>
      </c>
      <c r="I6233" s="421"/>
      <c r="J6233" s="396">
        <f>SUM(J6231:J6232)</f>
        <v>0</v>
      </c>
    </row>
    <row r="6234" spans="1:10" ht="13.5" thickBot="1">
      <c r="A6234" s="27"/>
      <c r="B6234" s="110"/>
      <c r="D6234" s="406" t="s">
        <v>65</v>
      </c>
      <c r="E6234" s="13" t="s">
        <v>66</v>
      </c>
      <c r="F6234" s="14"/>
      <c r="G6234" s="15"/>
      <c r="H6234" s="451"/>
      <c r="I6234" s="412">
        <f>IF(AND(E6234&lt;&gt;"",G6234&lt;&gt;""),IF(D6234="",IF(G6234="OH",VLOOKUP(E6234,UPAH!$C$4:$H$31,7,0),VLOOKUP(E6234,#REF!,4,0)),0),0)</f>
        <v>0</v>
      </c>
      <c r="J6234" s="16">
        <f>H6234*I6234</f>
        <v>0</v>
      </c>
    </row>
    <row r="6235" spans="1:10" ht="13.5" thickBot="1">
      <c r="A6235" s="27"/>
      <c r="B6235" s="110"/>
      <c r="D6235" s="417"/>
      <c r="E6235" s="418"/>
      <c r="F6235" s="418"/>
      <c r="G6235" s="419"/>
      <c r="H6235" s="420" t="s">
        <v>67</v>
      </c>
      <c r="I6235" s="421"/>
      <c r="J6235" s="396">
        <f>J6234</f>
        <v>0</v>
      </c>
    </row>
    <row r="6236" spans="1:10" ht="13">
      <c r="A6236" s="27"/>
      <c r="B6236" s="110"/>
      <c r="D6236" s="444" t="s">
        <v>68</v>
      </c>
      <c r="E6236" s="445" t="s">
        <v>69</v>
      </c>
      <c r="F6236" s="446"/>
      <c r="G6236" s="447"/>
      <c r="H6236" s="448"/>
      <c r="I6236" s="449">
        <f>IF(AND(E6236&lt;&gt;"",G6236&lt;&gt;""),IF(D6236="",IF(G6236="OH",VLOOKUP(E6236,UPAH!$C$4:$H$31,7,0),VLOOKUP(E6236,#REF!,4,0)),0),0)</f>
        <v>0</v>
      </c>
      <c r="J6236" s="16">
        <f>SUM(J6225:J6235)/2</f>
        <v>0</v>
      </c>
    </row>
    <row r="6237" spans="1:10" ht="13.5" thickBot="1">
      <c r="A6237" s="27"/>
      <c r="B6237" s="110"/>
      <c r="D6237" s="431" t="s">
        <v>70</v>
      </c>
      <c r="E6237" s="432" t="s">
        <v>477</v>
      </c>
      <c r="F6237" s="433"/>
      <c r="G6237" s="434"/>
      <c r="H6237" s="22">
        <v>0.1</v>
      </c>
      <c r="I6237" s="436"/>
      <c r="J6237" s="430">
        <f>H6237*J6236</f>
        <v>0</v>
      </c>
    </row>
    <row r="6238" spans="1:10" ht="13.5" thickBot="1">
      <c r="A6238" s="27"/>
      <c r="B6238" s="110"/>
      <c r="D6238" s="401" t="s">
        <v>71</v>
      </c>
      <c r="E6238" s="402" t="s">
        <v>72</v>
      </c>
      <c r="F6238" s="418"/>
      <c r="G6238" s="419"/>
      <c r="H6238" s="442"/>
      <c r="I6238" s="421">
        <f>IF(AND(E6238&lt;&gt;"",G6238&lt;&gt;""),IF(D6238="",IF(G6238="OH",VLOOKUP(E6238,UPAH!$C$4:$H$31,7,0),VLOOKUP(E6238,#REF!,4,0)),0),0)</f>
        <v>0</v>
      </c>
      <c r="J6238" s="396">
        <f>ROUNDDOWN(J6236+J6237,0)</f>
        <v>0</v>
      </c>
    </row>
    <row r="6239" spans="1:10" ht="13">
      <c r="A6239" s="27"/>
      <c r="B6239" s="110"/>
      <c r="D6239" s="11"/>
      <c r="E6239" s="11"/>
      <c r="H6239" s="443"/>
    </row>
    <row r="6240" spans="1:10" ht="13.5" thickBot="1">
      <c r="A6240" s="27"/>
      <c r="B6240" s="110"/>
      <c r="C6240" s="11" t="s">
        <v>1170</v>
      </c>
      <c r="D6240" s="10" t="s">
        <v>1171</v>
      </c>
      <c r="H6240" s="443"/>
    </row>
    <row r="6241" spans="1:10" ht="13.5" thickBot="1">
      <c r="A6241" s="27"/>
      <c r="B6241" s="110"/>
      <c r="D6241" s="401" t="s">
        <v>40</v>
      </c>
      <c r="E6241" s="402" t="s">
        <v>41</v>
      </c>
      <c r="F6241" s="402" t="s">
        <v>42</v>
      </c>
      <c r="G6241" s="403" t="s">
        <v>43</v>
      </c>
      <c r="H6241" s="404" t="s">
        <v>44</v>
      </c>
      <c r="I6241" s="402" t="s">
        <v>474</v>
      </c>
      <c r="J6241" s="405" t="s">
        <v>475</v>
      </c>
    </row>
    <row r="6242" spans="1:10" ht="13">
      <c r="A6242" s="27"/>
      <c r="B6242" s="110"/>
      <c r="D6242" s="406" t="s">
        <v>45</v>
      </c>
      <c r="E6242" s="13" t="s">
        <v>46</v>
      </c>
      <c r="F6242" s="14"/>
      <c r="G6242" s="15"/>
      <c r="H6242" s="451"/>
      <c r="I6242" s="412"/>
      <c r="J6242" s="16"/>
    </row>
    <row r="6243" spans="1:10" ht="13">
      <c r="A6243" s="27"/>
      <c r="B6243" s="110"/>
      <c r="D6243" s="409"/>
      <c r="E6243" s="13" t="s">
        <v>47</v>
      </c>
      <c r="F6243" s="13" t="s">
        <v>1918</v>
      </c>
      <c r="G6243" s="410" t="s">
        <v>48</v>
      </c>
      <c r="H6243" s="411">
        <v>0.35</v>
      </c>
      <c r="I6243" s="412">
        <f>IF(AND(E6243&lt;&gt;"",G6243&lt;&gt;""),IF(D6243="",IF(G6243="OH",VLOOKUP(F6243,UPAH!$B$4:$H$101,7,0),VLOOKUP(F6243,#REF!,4,0)),0),0)</f>
        <v>0</v>
      </c>
      <c r="J6243" s="16">
        <f>H6243*I6243</f>
        <v>0</v>
      </c>
    </row>
    <row r="6244" spans="1:10" ht="13">
      <c r="A6244" s="27"/>
      <c r="B6244" s="110"/>
      <c r="D6244" s="409"/>
      <c r="E6244" s="13" t="s">
        <v>49</v>
      </c>
      <c r="F6244" s="13" t="s">
        <v>1922</v>
      </c>
      <c r="G6244" s="410" t="s">
        <v>48</v>
      </c>
      <c r="H6244" s="411">
        <v>1.05</v>
      </c>
      <c r="I6244" s="412">
        <f>IF(AND(E6244&lt;&gt;"",G6244&lt;&gt;""),IF(D6244="",IF(G6244="OH",VLOOKUP(F6244,UPAH!$B$4:$H$101,7,0),VLOOKUP(F6244,#REF!,4,0)),0),0)</f>
        <v>0</v>
      </c>
      <c r="J6244" s="16">
        <f>H6244*I6244</f>
        <v>0</v>
      </c>
    </row>
    <row r="6245" spans="1:10" ht="13">
      <c r="A6245" s="27"/>
      <c r="B6245" s="110"/>
      <c r="D6245" s="409"/>
      <c r="E6245" s="13" t="s">
        <v>50</v>
      </c>
      <c r="F6245" s="13" t="s">
        <v>1928</v>
      </c>
      <c r="G6245" s="410" t="s">
        <v>48</v>
      </c>
      <c r="H6245" s="411">
        <v>0.105</v>
      </c>
      <c r="I6245" s="412">
        <f>IF(AND(E6245&lt;&gt;"",G6245&lt;&gt;""),IF(D6245="",IF(G6245="OH",VLOOKUP(F6245,UPAH!$B$4:$H$101,7,0),VLOOKUP(F6245,#REF!,4,0)),0),0)</f>
        <v>0</v>
      </c>
      <c r="J6245" s="16">
        <f>H6245*I6245</f>
        <v>0</v>
      </c>
    </row>
    <row r="6246" spans="1:10" ht="13.5" thickBot="1">
      <c r="A6246" s="27"/>
      <c r="B6246" s="110"/>
      <c r="D6246" s="409"/>
      <c r="E6246" s="13" t="s">
        <v>51</v>
      </c>
      <c r="F6246" s="13" t="s">
        <v>1929</v>
      </c>
      <c r="G6246" s="410" t="s">
        <v>48</v>
      </c>
      <c r="H6246" s="411">
        <v>1.7999999999999999E-2</v>
      </c>
      <c r="I6246" s="412">
        <f>IF(AND(E6246&lt;&gt;"",G6246&lt;&gt;""),IF(D6246="",IF(G6246="OH",VLOOKUP(F6246,UPAH!$B$4:$H$101,7,0),VLOOKUP(F6246,#REF!,4,0)),0),0)</f>
        <v>0</v>
      </c>
      <c r="J6246" s="16">
        <f>H6246*I6246</f>
        <v>0</v>
      </c>
    </row>
    <row r="6247" spans="1:10" ht="13.5" thickBot="1">
      <c r="A6247" s="27"/>
      <c r="B6247" s="110"/>
      <c r="D6247" s="417"/>
      <c r="E6247" s="418"/>
      <c r="F6247" s="418"/>
      <c r="G6247" s="419"/>
      <c r="H6247" s="420" t="s">
        <v>52</v>
      </c>
      <c r="I6247" s="421"/>
      <c r="J6247" s="396">
        <f>SUM(J6243:J6246)</f>
        <v>0</v>
      </c>
    </row>
    <row r="6248" spans="1:10" ht="13">
      <c r="A6248" s="27"/>
      <c r="B6248" s="110"/>
      <c r="D6248" s="406" t="s">
        <v>53</v>
      </c>
      <c r="E6248" s="13" t="s">
        <v>54</v>
      </c>
      <c r="F6248" s="14"/>
      <c r="G6248" s="15"/>
      <c r="H6248" s="451"/>
      <c r="I6248" s="412"/>
      <c r="J6248" s="16"/>
    </row>
    <row r="6249" spans="1:10" ht="13">
      <c r="A6249" s="27"/>
      <c r="B6249" s="110"/>
      <c r="D6249" s="409"/>
      <c r="E6249" s="13" t="s">
        <v>512</v>
      </c>
      <c r="F6249" s="14"/>
      <c r="G6249" s="410" t="s">
        <v>375</v>
      </c>
      <c r="H6249" s="411">
        <v>0.04</v>
      </c>
      <c r="I6249" s="412">
        <f>'BAHAN '!G200</f>
        <v>0</v>
      </c>
      <c r="J6249" s="16">
        <f>H6249*I6249</f>
        <v>0</v>
      </c>
    </row>
    <row r="6250" spans="1:10" ht="13.5" thickBot="1">
      <c r="A6250" s="27"/>
      <c r="B6250" s="110"/>
      <c r="D6250" s="409"/>
      <c r="E6250" s="13" t="s">
        <v>486</v>
      </c>
      <c r="F6250" s="14"/>
      <c r="G6250" s="410" t="s">
        <v>57</v>
      </c>
      <c r="H6250" s="411">
        <v>0.05</v>
      </c>
      <c r="I6250" s="412">
        <f>'BAHAN '!G127</f>
        <v>0</v>
      </c>
      <c r="J6250" s="16">
        <f>H6250*I6250</f>
        <v>0</v>
      </c>
    </row>
    <row r="6251" spans="1:10" ht="13.5" thickBot="1">
      <c r="A6251" s="27"/>
      <c r="B6251" s="110"/>
      <c r="D6251" s="417"/>
      <c r="E6251" s="418"/>
      <c r="F6251" s="418"/>
      <c r="G6251" s="419"/>
      <c r="H6251" s="420" t="s">
        <v>64</v>
      </c>
      <c r="I6251" s="421"/>
      <c r="J6251" s="396">
        <f>SUM(J6249:J6250)</f>
        <v>0</v>
      </c>
    </row>
    <row r="6252" spans="1:10" ht="13.5" thickBot="1">
      <c r="A6252" s="27"/>
      <c r="B6252" s="110"/>
      <c r="D6252" s="406" t="s">
        <v>65</v>
      </c>
      <c r="E6252" s="13" t="s">
        <v>66</v>
      </c>
      <c r="F6252" s="14"/>
      <c r="G6252" s="15"/>
      <c r="H6252" s="451"/>
      <c r="I6252" s="412">
        <f>IF(AND(E6252&lt;&gt;"",G6252&lt;&gt;""),IF(D6252="",IF(G6252="OH",VLOOKUP(E6252,UPAH!$C$4:$H$31,7,0),VLOOKUP(E6252,#REF!,4,0)),0),0)</f>
        <v>0</v>
      </c>
      <c r="J6252" s="16">
        <f>H6252*I6252</f>
        <v>0</v>
      </c>
    </row>
    <row r="6253" spans="1:10" ht="13.5" thickBot="1">
      <c r="A6253" s="27"/>
      <c r="B6253" s="110"/>
      <c r="D6253" s="417"/>
      <c r="E6253" s="418"/>
      <c r="F6253" s="418"/>
      <c r="G6253" s="419"/>
      <c r="H6253" s="420" t="s">
        <v>67</v>
      </c>
      <c r="I6253" s="421"/>
      <c r="J6253" s="396">
        <f>J6252</f>
        <v>0</v>
      </c>
    </row>
    <row r="6254" spans="1:10" ht="13">
      <c r="A6254" s="27"/>
      <c r="B6254" s="110"/>
      <c r="D6254" s="444" t="s">
        <v>68</v>
      </c>
      <c r="E6254" s="445" t="s">
        <v>69</v>
      </c>
      <c r="F6254" s="446"/>
      <c r="G6254" s="447"/>
      <c r="H6254" s="448"/>
      <c r="I6254" s="449">
        <f>IF(AND(E6254&lt;&gt;"",G6254&lt;&gt;""),IF(D6254="",IF(G6254="OH",VLOOKUP(E6254,UPAH!$C$4:$H$31,7,0),VLOOKUP(E6254,#REF!,4,0)),0),0)</f>
        <v>0</v>
      </c>
      <c r="J6254" s="16">
        <f>SUM(J6243:J6253)/2</f>
        <v>0</v>
      </c>
    </row>
    <row r="6255" spans="1:10" ht="13.5" thickBot="1">
      <c r="A6255" s="27"/>
      <c r="B6255" s="110"/>
      <c r="D6255" s="431" t="s">
        <v>70</v>
      </c>
      <c r="E6255" s="432" t="s">
        <v>477</v>
      </c>
      <c r="F6255" s="433"/>
      <c r="G6255" s="434"/>
      <c r="H6255" s="22">
        <v>0.1</v>
      </c>
      <c r="I6255" s="436"/>
      <c r="J6255" s="430">
        <f>H6255*J6254</f>
        <v>0</v>
      </c>
    </row>
    <row r="6256" spans="1:10" ht="13.5" thickBot="1">
      <c r="A6256" s="27"/>
      <c r="B6256" s="110"/>
      <c r="D6256" s="401" t="s">
        <v>71</v>
      </c>
      <c r="E6256" s="402" t="s">
        <v>72</v>
      </c>
      <c r="F6256" s="418"/>
      <c r="G6256" s="419"/>
      <c r="H6256" s="442"/>
      <c r="I6256" s="421">
        <f>IF(AND(E6256&lt;&gt;"",G6256&lt;&gt;""),IF(D6256="",IF(G6256="OH",VLOOKUP(E6256,UPAH!$C$4:$H$31,7,0),VLOOKUP(E6256,#REF!,4,0)),0),0)</f>
        <v>0</v>
      </c>
      <c r="J6256" s="396">
        <f>ROUNDDOWN(J6254+J6255,0)</f>
        <v>0</v>
      </c>
    </row>
    <row r="6257" spans="1:10" ht="13">
      <c r="A6257" s="27"/>
      <c r="B6257" s="110"/>
      <c r="D6257" s="11"/>
      <c r="E6257" s="11"/>
      <c r="H6257" s="443"/>
    </row>
    <row r="6258" spans="1:10" ht="13.5" thickBot="1">
      <c r="A6258" s="27"/>
      <c r="B6258" s="110"/>
      <c r="C6258" s="11" t="s">
        <v>1836</v>
      </c>
      <c r="D6258" s="10" t="s">
        <v>1837</v>
      </c>
      <c r="H6258" s="443"/>
    </row>
    <row r="6259" spans="1:10" ht="13.5" thickBot="1">
      <c r="A6259" s="27"/>
      <c r="B6259" s="110"/>
      <c r="D6259" s="401" t="s">
        <v>40</v>
      </c>
      <c r="E6259" s="402" t="s">
        <v>41</v>
      </c>
      <c r="F6259" s="402" t="s">
        <v>42</v>
      </c>
      <c r="G6259" s="403" t="s">
        <v>43</v>
      </c>
      <c r="H6259" s="404" t="s">
        <v>44</v>
      </c>
      <c r="I6259" s="402" t="s">
        <v>474</v>
      </c>
      <c r="J6259" s="405" t="s">
        <v>475</v>
      </c>
    </row>
    <row r="6260" spans="1:10" ht="13">
      <c r="A6260" s="27"/>
      <c r="B6260" s="110"/>
      <c r="D6260" s="406" t="s">
        <v>45</v>
      </c>
      <c r="E6260" s="13" t="s">
        <v>46</v>
      </c>
      <c r="F6260" s="14"/>
      <c r="G6260" s="15"/>
      <c r="H6260" s="451"/>
      <c r="I6260" s="412"/>
      <c r="J6260" s="16"/>
    </row>
    <row r="6261" spans="1:10" ht="13">
      <c r="A6261" s="27"/>
      <c r="B6261" s="110"/>
      <c r="D6261" s="409"/>
      <c r="E6261" s="13" t="s">
        <v>47</v>
      </c>
      <c r="F6261" s="13" t="s">
        <v>1918</v>
      </c>
      <c r="G6261" s="410" t="s">
        <v>48</v>
      </c>
      <c r="H6261" s="411">
        <v>1</v>
      </c>
      <c r="I6261" s="412">
        <f>IF(AND(E6261&lt;&gt;"",G6261&lt;&gt;""),IF(D6261="",IF(G6261="OH",VLOOKUP(F6261,UPAH!$B$4:$H$101,7,0),VLOOKUP(F6261,#REF!,4,0)),0),0)</f>
        <v>0</v>
      </c>
      <c r="J6261" s="16">
        <f>H6261*I6261</f>
        <v>0</v>
      </c>
    </row>
    <row r="6262" spans="1:10" ht="13">
      <c r="A6262" s="27"/>
      <c r="B6262" s="110"/>
      <c r="D6262" s="409"/>
      <c r="E6262" s="13" t="s">
        <v>49</v>
      </c>
      <c r="F6262" s="13" t="s">
        <v>1922</v>
      </c>
      <c r="G6262" s="410" t="s">
        <v>48</v>
      </c>
      <c r="H6262" s="411">
        <v>3</v>
      </c>
      <c r="I6262" s="412">
        <f>IF(AND(E6262&lt;&gt;"",G6262&lt;&gt;""),IF(D6262="",IF(G6262="OH",VLOOKUP(F6262,UPAH!$B$4:$H$101,7,0),VLOOKUP(F6262,#REF!,4,0)),0),0)</f>
        <v>0</v>
      </c>
      <c r="J6262" s="16">
        <f>H6262*I6262</f>
        <v>0</v>
      </c>
    </row>
    <row r="6263" spans="1:10" ht="13">
      <c r="A6263" s="27"/>
      <c r="B6263" s="110"/>
      <c r="D6263" s="409"/>
      <c r="E6263" s="13" t="s">
        <v>50</v>
      </c>
      <c r="F6263" s="13" t="s">
        <v>1928</v>
      </c>
      <c r="G6263" s="410" t="s">
        <v>48</v>
      </c>
      <c r="H6263" s="411">
        <v>0.3</v>
      </c>
      <c r="I6263" s="412">
        <f>IF(AND(E6263&lt;&gt;"",G6263&lt;&gt;""),IF(D6263="",IF(G6263="OH",VLOOKUP(F6263,UPAH!$B$4:$H$101,7,0),VLOOKUP(F6263,#REF!,4,0)),0),0)</f>
        <v>0</v>
      </c>
      <c r="J6263" s="16">
        <f>H6263*I6263</f>
        <v>0</v>
      </c>
    </row>
    <row r="6264" spans="1:10" ht="13.5" thickBot="1">
      <c r="A6264" s="27"/>
      <c r="B6264" s="110"/>
      <c r="D6264" s="409"/>
      <c r="E6264" s="13" t="s">
        <v>51</v>
      </c>
      <c r="F6264" s="13" t="s">
        <v>1929</v>
      </c>
      <c r="G6264" s="410" t="s">
        <v>48</v>
      </c>
      <c r="H6264" s="411">
        <v>0.05</v>
      </c>
      <c r="I6264" s="412">
        <f>IF(AND(E6264&lt;&gt;"",G6264&lt;&gt;""),IF(D6264="",IF(G6264="OH",VLOOKUP(F6264,UPAH!$B$4:$H$101,7,0),VLOOKUP(F6264,#REF!,4,0)),0),0)</f>
        <v>0</v>
      </c>
      <c r="J6264" s="16">
        <f>H6264*I6264</f>
        <v>0</v>
      </c>
    </row>
    <row r="6265" spans="1:10" ht="13.5" thickBot="1">
      <c r="A6265" s="27"/>
      <c r="B6265" s="110"/>
      <c r="D6265" s="417"/>
      <c r="E6265" s="418"/>
      <c r="F6265" s="418"/>
      <c r="G6265" s="419"/>
      <c r="H6265" s="420" t="s">
        <v>52</v>
      </c>
      <c r="I6265" s="421"/>
      <c r="J6265" s="396">
        <f>SUM(J6261:J6264)</f>
        <v>0</v>
      </c>
    </row>
    <row r="6266" spans="1:10" ht="13">
      <c r="A6266" s="27"/>
      <c r="B6266" s="110"/>
      <c r="D6266" s="406" t="s">
        <v>53</v>
      </c>
      <c r="E6266" s="13" t="s">
        <v>54</v>
      </c>
      <c r="F6266" s="14"/>
      <c r="G6266" s="15"/>
      <c r="H6266" s="451"/>
      <c r="I6266" s="412"/>
      <c r="J6266" s="16"/>
    </row>
    <row r="6267" spans="1:10" ht="13">
      <c r="A6267" s="27"/>
      <c r="B6267" s="110"/>
      <c r="D6267" s="409"/>
      <c r="E6267" s="13" t="s">
        <v>512</v>
      </c>
      <c r="F6267" s="14"/>
      <c r="G6267" s="410" t="s">
        <v>375</v>
      </c>
      <c r="H6267" s="411">
        <v>0.04</v>
      </c>
      <c r="I6267" s="412">
        <f>'BAHAN '!G199</f>
        <v>0</v>
      </c>
      <c r="J6267" s="16">
        <f>H6267*I6267</f>
        <v>0</v>
      </c>
    </row>
    <row r="6268" spans="1:10" ht="13.5" thickBot="1">
      <c r="A6268" s="27"/>
      <c r="B6268" s="110"/>
      <c r="D6268" s="409"/>
      <c r="E6268" s="13" t="s">
        <v>502</v>
      </c>
      <c r="F6268" s="14"/>
      <c r="G6268" s="410" t="s">
        <v>57</v>
      </c>
      <c r="H6268" s="411">
        <v>0.5</v>
      </c>
      <c r="I6268" s="412">
        <f>'BAHAN '!G816</f>
        <v>0</v>
      </c>
      <c r="J6268" s="16">
        <f>H6268*I6268</f>
        <v>0</v>
      </c>
    </row>
    <row r="6269" spans="1:10" ht="13.5" thickBot="1">
      <c r="A6269" s="27"/>
      <c r="B6269" s="110"/>
      <c r="D6269" s="417"/>
      <c r="E6269" s="418"/>
      <c r="F6269" s="418"/>
      <c r="G6269" s="419"/>
      <c r="H6269" s="420" t="s">
        <v>64</v>
      </c>
      <c r="I6269" s="421"/>
      <c r="J6269" s="396">
        <f>SUM(J6267:J6268)</f>
        <v>0</v>
      </c>
    </row>
    <row r="6270" spans="1:10" ht="13.5" thickBot="1">
      <c r="A6270" s="27"/>
      <c r="B6270" s="110"/>
      <c r="D6270" s="406" t="s">
        <v>65</v>
      </c>
      <c r="E6270" s="13" t="s">
        <v>66</v>
      </c>
      <c r="F6270" s="14"/>
      <c r="G6270" s="15"/>
      <c r="H6270" s="451"/>
      <c r="I6270" s="412">
        <f>IF(AND(E6270&lt;&gt;"",G6270&lt;&gt;""),IF(D6270="",IF(G6270="OH",VLOOKUP(E6270,UPAH!$C$4:$H$31,7,0),VLOOKUP(E6270,#REF!,4,0)),0),0)</f>
        <v>0</v>
      </c>
      <c r="J6270" s="16">
        <f>H6270*I6270</f>
        <v>0</v>
      </c>
    </row>
    <row r="6271" spans="1:10" ht="13.5" thickBot="1">
      <c r="A6271" s="27"/>
      <c r="B6271" s="110"/>
      <c r="D6271" s="417"/>
      <c r="E6271" s="418"/>
      <c r="F6271" s="418"/>
      <c r="G6271" s="419"/>
      <c r="H6271" s="420" t="s">
        <v>67</v>
      </c>
      <c r="I6271" s="421"/>
      <c r="J6271" s="396">
        <f>J6270</f>
        <v>0</v>
      </c>
    </row>
    <row r="6272" spans="1:10" ht="13">
      <c r="A6272" s="27"/>
      <c r="B6272" s="110"/>
      <c r="D6272" s="444" t="s">
        <v>68</v>
      </c>
      <c r="E6272" s="445" t="s">
        <v>69</v>
      </c>
      <c r="F6272" s="446"/>
      <c r="G6272" s="447"/>
      <c r="H6272" s="448"/>
      <c r="I6272" s="449">
        <f>IF(AND(E6272&lt;&gt;"",G6272&lt;&gt;""),IF(D6272="",IF(G6272="OH",VLOOKUP(E6272,UPAH!$C$4:$H$31,7,0),VLOOKUP(E6272,#REF!,4,0)),0),0)</f>
        <v>0</v>
      </c>
      <c r="J6272" s="16">
        <f>SUM(J6261:J6271)/2</f>
        <v>0</v>
      </c>
    </row>
    <row r="6273" spans="1:10" ht="13.5" thickBot="1">
      <c r="A6273" s="27"/>
      <c r="B6273" s="110"/>
      <c r="D6273" s="431" t="s">
        <v>70</v>
      </c>
      <c r="E6273" s="432" t="s">
        <v>477</v>
      </c>
      <c r="F6273" s="433"/>
      <c r="G6273" s="434"/>
      <c r="H6273" s="22">
        <v>0.1</v>
      </c>
      <c r="I6273" s="436"/>
      <c r="J6273" s="430">
        <f>H6273*J6272</f>
        <v>0</v>
      </c>
    </row>
    <row r="6274" spans="1:10" ht="13.5" thickBot="1">
      <c r="A6274" s="27"/>
      <c r="B6274" s="110"/>
      <c r="D6274" s="401" t="s">
        <v>71</v>
      </c>
      <c r="E6274" s="402" t="s">
        <v>72</v>
      </c>
      <c r="F6274" s="418"/>
      <c r="G6274" s="419"/>
      <c r="H6274" s="442"/>
      <c r="I6274" s="421">
        <f>IF(AND(E6274&lt;&gt;"",G6274&lt;&gt;""),IF(D6274="",IF(G6274="OH",VLOOKUP(E6274,UPAH!$C$4:$H$31,7,0),VLOOKUP(E6274,#REF!,4,0)),0),0)</f>
        <v>0</v>
      </c>
      <c r="J6274" s="396">
        <f>ROUNDDOWN(J6272+J6273,0)</f>
        <v>0</v>
      </c>
    </row>
    <row r="6275" spans="1:10" ht="13">
      <c r="A6275" s="27"/>
      <c r="B6275" s="110"/>
      <c r="D6275" s="11"/>
      <c r="E6275" s="11"/>
      <c r="H6275" s="443"/>
    </row>
    <row r="6276" spans="1:10" ht="13.5" thickBot="1">
      <c r="A6276" s="27"/>
      <c r="B6276" s="110"/>
      <c r="C6276" s="11" t="s">
        <v>1172</v>
      </c>
      <c r="D6276" s="10" t="s">
        <v>1173</v>
      </c>
      <c r="H6276" s="443"/>
    </row>
    <row r="6277" spans="1:10" ht="13.5" thickBot="1">
      <c r="A6277" s="27"/>
      <c r="B6277" s="110"/>
      <c r="D6277" s="401" t="s">
        <v>40</v>
      </c>
      <c r="E6277" s="402" t="s">
        <v>41</v>
      </c>
      <c r="F6277" s="402" t="s">
        <v>42</v>
      </c>
      <c r="G6277" s="403" t="s">
        <v>43</v>
      </c>
      <c r="H6277" s="404" t="s">
        <v>44</v>
      </c>
      <c r="I6277" s="402" t="s">
        <v>474</v>
      </c>
      <c r="J6277" s="405" t="s">
        <v>475</v>
      </c>
    </row>
    <row r="6278" spans="1:10" ht="13">
      <c r="A6278" s="27"/>
      <c r="B6278" s="110"/>
      <c r="D6278" s="406" t="s">
        <v>45</v>
      </c>
      <c r="E6278" s="13" t="s">
        <v>46</v>
      </c>
      <c r="F6278" s="14"/>
      <c r="G6278" s="15"/>
      <c r="H6278" s="451"/>
      <c r="I6278" s="412"/>
      <c r="J6278" s="16"/>
    </row>
    <row r="6279" spans="1:10" ht="13">
      <c r="A6279" s="27"/>
      <c r="B6279" s="110"/>
      <c r="D6279" s="409"/>
      <c r="E6279" s="13" t="s">
        <v>47</v>
      </c>
      <c r="F6279" s="13" t="s">
        <v>1918</v>
      </c>
      <c r="G6279" s="410" t="s">
        <v>48</v>
      </c>
      <c r="H6279" s="411">
        <v>0.8</v>
      </c>
      <c r="I6279" s="412">
        <f>IF(AND(E6279&lt;&gt;"",G6279&lt;&gt;""),IF(D6279="",IF(G6279="OH",VLOOKUP(F6279,UPAH!$B$4:$H$101,7,0),VLOOKUP(F6279,#REF!,4,0)),0),0)</f>
        <v>0</v>
      </c>
      <c r="J6279" s="16">
        <f>H6279*I6279</f>
        <v>0</v>
      </c>
    </row>
    <row r="6280" spans="1:10" ht="13">
      <c r="A6280" s="27"/>
      <c r="B6280" s="110"/>
      <c r="D6280" s="409"/>
      <c r="E6280" s="13" t="s">
        <v>49</v>
      </c>
      <c r="F6280" s="13" t="s">
        <v>1922</v>
      </c>
      <c r="G6280" s="410" t="s">
        <v>48</v>
      </c>
      <c r="H6280" s="411">
        <v>2.4</v>
      </c>
      <c r="I6280" s="412">
        <f>IF(AND(E6280&lt;&gt;"",G6280&lt;&gt;""),IF(D6280="",IF(G6280="OH",VLOOKUP(F6280,UPAH!$B$4:$H$101,7,0),VLOOKUP(F6280,#REF!,4,0)),0),0)</f>
        <v>0</v>
      </c>
      <c r="J6280" s="16">
        <f>H6280*I6280</f>
        <v>0</v>
      </c>
    </row>
    <row r="6281" spans="1:10" ht="13">
      <c r="A6281" s="27"/>
      <c r="B6281" s="110"/>
      <c r="D6281" s="409"/>
      <c r="E6281" s="13" t="s">
        <v>50</v>
      </c>
      <c r="F6281" s="13" t="s">
        <v>1928</v>
      </c>
      <c r="G6281" s="410" t="s">
        <v>48</v>
      </c>
      <c r="H6281" s="411">
        <v>0.24</v>
      </c>
      <c r="I6281" s="412">
        <f>IF(AND(E6281&lt;&gt;"",G6281&lt;&gt;""),IF(D6281="",IF(G6281="OH",VLOOKUP(F6281,UPAH!$B$4:$H$101,7,0),VLOOKUP(F6281,#REF!,4,0)),0),0)</f>
        <v>0</v>
      </c>
      <c r="J6281" s="16">
        <f>H6281*I6281</f>
        <v>0</v>
      </c>
    </row>
    <row r="6282" spans="1:10" ht="13.5" thickBot="1">
      <c r="A6282" s="27"/>
      <c r="B6282" s="110"/>
      <c r="D6282" s="409"/>
      <c r="E6282" s="13" t="s">
        <v>51</v>
      </c>
      <c r="F6282" s="13" t="s">
        <v>1929</v>
      </c>
      <c r="G6282" s="410" t="s">
        <v>48</v>
      </c>
      <c r="H6282" s="411">
        <v>0.04</v>
      </c>
      <c r="I6282" s="412">
        <f>IF(AND(E6282&lt;&gt;"",G6282&lt;&gt;""),IF(D6282="",IF(G6282="OH",VLOOKUP(F6282,UPAH!$B$4:$H$101,7,0),VLOOKUP(F6282,#REF!,4,0)),0),0)</f>
        <v>0</v>
      </c>
      <c r="J6282" s="16">
        <f>H6282*I6282</f>
        <v>0</v>
      </c>
    </row>
    <row r="6283" spans="1:10" ht="13.5" thickBot="1">
      <c r="A6283" s="27"/>
      <c r="B6283" s="110"/>
      <c r="D6283" s="417"/>
      <c r="E6283" s="418"/>
      <c r="F6283" s="418"/>
      <c r="G6283" s="419"/>
      <c r="H6283" s="420" t="s">
        <v>52</v>
      </c>
      <c r="I6283" s="421"/>
      <c r="J6283" s="396">
        <f>SUM(J6279:J6282)</f>
        <v>0</v>
      </c>
    </row>
    <row r="6284" spans="1:10" ht="13">
      <c r="A6284" s="27"/>
      <c r="B6284" s="110"/>
      <c r="D6284" s="406" t="s">
        <v>53</v>
      </c>
      <c r="E6284" s="13" t="s">
        <v>54</v>
      </c>
      <c r="F6284" s="14"/>
      <c r="G6284" s="15"/>
      <c r="H6284" s="451"/>
      <c r="I6284" s="412"/>
      <c r="J6284" s="16"/>
    </row>
    <row r="6285" spans="1:10" ht="13">
      <c r="A6285" s="27"/>
      <c r="B6285" s="110"/>
      <c r="D6285" s="409"/>
      <c r="E6285" s="13" t="s">
        <v>512</v>
      </c>
      <c r="F6285" s="14"/>
      <c r="G6285" s="410" t="s">
        <v>375</v>
      </c>
      <c r="H6285" s="411">
        <v>2.4E-2</v>
      </c>
      <c r="I6285" s="412">
        <f>'BAHAN '!G199</f>
        <v>0</v>
      </c>
      <c r="J6285" s="16">
        <f>H6285*I6285</f>
        <v>0</v>
      </c>
    </row>
    <row r="6286" spans="1:10" ht="13.5" thickBot="1">
      <c r="A6286" s="27"/>
      <c r="B6286" s="110"/>
      <c r="D6286" s="409"/>
      <c r="E6286" s="13" t="s">
        <v>502</v>
      </c>
      <c r="F6286" s="14"/>
      <c r="G6286" s="410" t="s">
        <v>57</v>
      </c>
      <c r="H6286" s="411">
        <v>0.3</v>
      </c>
      <c r="I6286" s="412">
        <f>'BAHAN '!G816</f>
        <v>0</v>
      </c>
      <c r="J6286" s="16">
        <f>H6286*I6286</f>
        <v>0</v>
      </c>
    </row>
    <row r="6287" spans="1:10" ht="13.5" thickBot="1">
      <c r="A6287" s="27"/>
      <c r="B6287" s="110"/>
      <c r="D6287" s="417"/>
      <c r="E6287" s="418"/>
      <c r="F6287" s="418"/>
      <c r="G6287" s="419"/>
      <c r="H6287" s="420" t="s">
        <v>64</v>
      </c>
      <c r="I6287" s="421"/>
      <c r="J6287" s="396">
        <f>SUM(J6285:J6286)</f>
        <v>0</v>
      </c>
    </row>
    <row r="6288" spans="1:10" ht="13.5" thickBot="1">
      <c r="A6288" s="27"/>
      <c r="B6288" s="110"/>
      <c r="D6288" s="406" t="s">
        <v>65</v>
      </c>
      <c r="E6288" s="13" t="s">
        <v>66</v>
      </c>
      <c r="F6288" s="14"/>
      <c r="G6288" s="15"/>
      <c r="H6288" s="451"/>
      <c r="I6288" s="412">
        <f>IF(AND(E6288&lt;&gt;"",G6288&lt;&gt;""),IF(D6288="",IF(G6288="OH",VLOOKUP(E6288,UPAH!$C$4:$H$31,7,0),VLOOKUP(E6288,#REF!,4,0)),0),0)</f>
        <v>0</v>
      </c>
      <c r="J6288" s="16">
        <f>H6288*I6288</f>
        <v>0</v>
      </c>
    </row>
    <row r="6289" spans="1:10" ht="13.5" thickBot="1">
      <c r="A6289" s="27"/>
      <c r="B6289" s="110"/>
      <c r="D6289" s="417"/>
      <c r="E6289" s="418"/>
      <c r="F6289" s="418"/>
      <c r="G6289" s="419"/>
      <c r="H6289" s="420" t="s">
        <v>67</v>
      </c>
      <c r="I6289" s="421"/>
      <c r="J6289" s="396">
        <f>J6288</f>
        <v>0</v>
      </c>
    </row>
    <row r="6290" spans="1:10" ht="13">
      <c r="A6290" s="27"/>
      <c r="B6290" s="110"/>
      <c r="D6290" s="444" t="s">
        <v>68</v>
      </c>
      <c r="E6290" s="445" t="s">
        <v>69</v>
      </c>
      <c r="F6290" s="446"/>
      <c r="G6290" s="447"/>
      <c r="H6290" s="448"/>
      <c r="I6290" s="449">
        <f>IF(AND(E6290&lt;&gt;"",G6290&lt;&gt;""),IF(D6290="",IF(G6290="OH",VLOOKUP(E6290,UPAH!$C$4:$H$31,7,0),VLOOKUP(E6290,#REF!,4,0)),0),0)</f>
        <v>0</v>
      </c>
      <c r="J6290" s="16">
        <f>SUM(J6279:J6289)/2</f>
        <v>0</v>
      </c>
    </row>
    <row r="6291" spans="1:10" ht="13.5" thickBot="1">
      <c r="A6291" s="27"/>
      <c r="B6291" s="110"/>
      <c r="D6291" s="431" t="s">
        <v>70</v>
      </c>
      <c r="E6291" s="432" t="s">
        <v>477</v>
      </c>
      <c r="F6291" s="433"/>
      <c r="G6291" s="434"/>
      <c r="H6291" s="22">
        <v>0.1</v>
      </c>
      <c r="I6291" s="436"/>
      <c r="J6291" s="430">
        <f>H6291*J6290</f>
        <v>0</v>
      </c>
    </row>
    <row r="6292" spans="1:10" ht="13.5" thickBot="1">
      <c r="A6292" s="27"/>
      <c r="B6292" s="110"/>
      <c r="D6292" s="401" t="s">
        <v>71</v>
      </c>
      <c r="E6292" s="402" t="s">
        <v>72</v>
      </c>
      <c r="F6292" s="418"/>
      <c r="G6292" s="419"/>
      <c r="H6292" s="442"/>
      <c r="I6292" s="421">
        <f>IF(AND(E6292&lt;&gt;"",G6292&lt;&gt;""),IF(D6292="",IF(G6292="OH",VLOOKUP(E6292,UPAH!$C$4:$H$31,7,0),VLOOKUP(E6292,#REF!,4,0)),0),0)</f>
        <v>0</v>
      </c>
      <c r="J6292" s="396">
        <f>ROUNDDOWN(J6290+J6291,0)</f>
        <v>0</v>
      </c>
    </row>
    <row r="6293" spans="1:10" ht="13">
      <c r="A6293" s="27"/>
      <c r="B6293" s="110"/>
      <c r="D6293" s="11"/>
      <c r="E6293" s="11"/>
      <c r="H6293" s="443"/>
    </row>
    <row r="6294" spans="1:10" ht="13.5" thickBot="1">
      <c r="A6294" s="27"/>
      <c r="B6294" s="110"/>
      <c r="C6294" s="11" t="s">
        <v>1174</v>
      </c>
      <c r="D6294" s="10" t="s">
        <v>1175</v>
      </c>
      <c r="H6294" s="443"/>
    </row>
    <row r="6295" spans="1:10" ht="13.5" thickBot="1">
      <c r="A6295" s="27"/>
      <c r="B6295" s="110"/>
      <c r="D6295" s="401" t="s">
        <v>40</v>
      </c>
      <c r="E6295" s="402" t="s">
        <v>41</v>
      </c>
      <c r="F6295" s="402" t="s">
        <v>42</v>
      </c>
      <c r="G6295" s="403" t="s">
        <v>43</v>
      </c>
      <c r="H6295" s="404" t="s">
        <v>44</v>
      </c>
      <c r="I6295" s="402" t="s">
        <v>474</v>
      </c>
      <c r="J6295" s="405" t="s">
        <v>475</v>
      </c>
    </row>
    <row r="6296" spans="1:10" ht="13">
      <c r="A6296" s="27"/>
      <c r="B6296" s="110"/>
      <c r="D6296" s="406" t="s">
        <v>45</v>
      </c>
      <c r="E6296" s="13" t="s">
        <v>46</v>
      </c>
      <c r="F6296" s="14"/>
      <c r="G6296" s="15"/>
      <c r="H6296" s="451"/>
      <c r="I6296" s="412"/>
      <c r="J6296" s="16"/>
    </row>
    <row r="6297" spans="1:10" ht="13">
      <c r="A6297" s="27"/>
      <c r="B6297" s="110"/>
      <c r="D6297" s="409"/>
      <c r="E6297" s="13" t="s">
        <v>47</v>
      </c>
      <c r="F6297" s="13" t="s">
        <v>1918</v>
      </c>
      <c r="G6297" s="410" t="s">
        <v>48</v>
      </c>
      <c r="H6297" s="411">
        <v>1</v>
      </c>
      <c r="I6297" s="412">
        <f>IF(AND(E6297&lt;&gt;"",G6297&lt;&gt;""),IF(D6297="",IF(G6297="OH",VLOOKUP(F6297,UPAH!$B$4:$H$101,7,0),VLOOKUP(F6297,#REF!,4,0)),0),0)</f>
        <v>0</v>
      </c>
      <c r="J6297" s="16">
        <f>H6297*I6297</f>
        <v>0</v>
      </c>
    </row>
    <row r="6298" spans="1:10" ht="13">
      <c r="A6298" s="27"/>
      <c r="B6298" s="110"/>
      <c r="D6298" s="409"/>
      <c r="E6298" s="13" t="s">
        <v>49</v>
      </c>
      <c r="F6298" s="13" t="s">
        <v>1922</v>
      </c>
      <c r="G6298" s="410" t="s">
        <v>48</v>
      </c>
      <c r="H6298" s="411">
        <v>3</v>
      </c>
      <c r="I6298" s="412">
        <f>IF(AND(E6298&lt;&gt;"",G6298&lt;&gt;""),IF(D6298="",IF(G6298="OH",VLOOKUP(F6298,UPAH!$B$4:$H$101,7,0),VLOOKUP(F6298,#REF!,4,0)),0),0)</f>
        <v>0</v>
      </c>
      <c r="J6298" s="16">
        <f>H6298*I6298</f>
        <v>0</v>
      </c>
    </row>
    <row r="6299" spans="1:10" ht="13">
      <c r="A6299" s="27"/>
      <c r="B6299" s="110"/>
      <c r="D6299" s="409"/>
      <c r="E6299" s="13" t="s">
        <v>50</v>
      </c>
      <c r="F6299" s="13" t="s">
        <v>1928</v>
      </c>
      <c r="G6299" s="410" t="s">
        <v>48</v>
      </c>
      <c r="H6299" s="411">
        <v>0.3</v>
      </c>
      <c r="I6299" s="412">
        <f>IF(AND(E6299&lt;&gt;"",G6299&lt;&gt;""),IF(D6299="",IF(G6299="OH",VLOOKUP(F6299,UPAH!$B$4:$H$101,7,0),VLOOKUP(F6299,#REF!,4,0)),0),0)</f>
        <v>0</v>
      </c>
      <c r="J6299" s="16">
        <f>H6299*I6299</f>
        <v>0</v>
      </c>
    </row>
    <row r="6300" spans="1:10" ht="13.5" thickBot="1">
      <c r="A6300" s="27"/>
      <c r="B6300" s="110"/>
      <c r="D6300" s="409"/>
      <c r="E6300" s="13" t="s">
        <v>51</v>
      </c>
      <c r="F6300" s="13" t="s">
        <v>1929</v>
      </c>
      <c r="G6300" s="410" t="s">
        <v>48</v>
      </c>
      <c r="H6300" s="411">
        <v>0.05</v>
      </c>
      <c r="I6300" s="412">
        <f>IF(AND(E6300&lt;&gt;"",G6300&lt;&gt;""),IF(D6300="",IF(G6300="OH",VLOOKUP(F6300,UPAH!$B$4:$H$101,7,0),VLOOKUP(F6300,#REF!,4,0)),0),0)</f>
        <v>0</v>
      </c>
      <c r="J6300" s="16">
        <f>H6300*I6300</f>
        <v>0</v>
      </c>
    </row>
    <row r="6301" spans="1:10" ht="13.5" thickBot="1">
      <c r="A6301" s="27"/>
      <c r="B6301" s="110"/>
      <c r="D6301" s="417"/>
      <c r="E6301" s="418"/>
      <c r="F6301" s="418"/>
      <c r="G6301" s="419"/>
      <c r="H6301" s="420" t="s">
        <v>52</v>
      </c>
      <c r="I6301" s="421"/>
      <c r="J6301" s="396">
        <f>SUM(J6297:J6300)</f>
        <v>0</v>
      </c>
    </row>
    <row r="6302" spans="1:10" ht="13">
      <c r="A6302" s="27"/>
      <c r="B6302" s="110"/>
      <c r="D6302" s="406" t="s">
        <v>53</v>
      </c>
      <c r="E6302" s="13" t="s">
        <v>54</v>
      </c>
      <c r="F6302" s="14"/>
      <c r="G6302" s="15"/>
      <c r="H6302" s="451"/>
      <c r="I6302" s="412"/>
      <c r="J6302" s="16"/>
    </row>
    <row r="6303" spans="1:10" ht="13">
      <c r="A6303" s="27"/>
      <c r="B6303" s="110"/>
      <c r="D6303" s="409"/>
      <c r="E6303" s="13" t="s">
        <v>512</v>
      </c>
      <c r="F6303" s="14"/>
      <c r="G6303" s="410" t="s">
        <v>375</v>
      </c>
      <c r="H6303" s="411">
        <v>6.4000000000000001E-2</v>
      </c>
      <c r="I6303" s="412">
        <f>'BAHAN '!G199</f>
        <v>0</v>
      </c>
      <c r="J6303" s="16">
        <f>H6303*I6303</f>
        <v>0</v>
      </c>
    </row>
    <row r="6304" spans="1:10" ht="13.5" thickBot="1">
      <c r="A6304" s="27"/>
      <c r="B6304" s="110"/>
      <c r="D6304" s="409"/>
      <c r="E6304" s="13" t="s">
        <v>502</v>
      </c>
      <c r="F6304" s="14"/>
      <c r="G6304" s="410" t="s">
        <v>57</v>
      </c>
      <c r="H6304" s="411">
        <v>0.5</v>
      </c>
      <c r="I6304" s="412">
        <f>'BAHAN '!G816</f>
        <v>0</v>
      </c>
      <c r="J6304" s="16">
        <f>H6304*I6304</f>
        <v>0</v>
      </c>
    </row>
    <row r="6305" spans="1:10" ht="13.5" thickBot="1">
      <c r="A6305" s="27"/>
      <c r="B6305" s="110"/>
      <c r="D6305" s="417"/>
      <c r="E6305" s="418"/>
      <c r="F6305" s="418"/>
      <c r="G6305" s="419"/>
      <c r="H6305" s="420" t="s">
        <v>64</v>
      </c>
      <c r="I6305" s="421"/>
      <c r="J6305" s="396">
        <f>SUM(J6303:J6304)</f>
        <v>0</v>
      </c>
    </row>
    <row r="6306" spans="1:10" ht="13.5" thickBot="1">
      <c r="A6306" s="27"/>
      <c r="B6306" s="110"/>
      <c r="D6306" s="406" t="s">
        <v>65</v>
      </c>
      <c r="E6306" s="13" t="s">
        <v>66</v>
      </c>
      <c r="F6306" s="14"/>
      <c r="G6306" s="15"/>
      <c r="H6306" s="451"/>
      <c r="I6306" s="412">
        <f>IF(AND(E6306&lt;&gt;"",G6306&lt;&gt;""),IF(D6306="",IF(G6306="OH",VLOOKUP(E6306,UPAH!$C$4:$H$31,7,0),VLOOKUP(E6306,#REF!,4,0)),0),0)</f>
        <v>0</v>
      </c>
      <c r="J6306" s="16">
        <f>H6306*I6306</f>
        <v>0</v>
      </c>
    </row>
    <row r="6307" spans="1:10" ht="13.5" thickBot="1">
      <c r="A6307" s="27"/>
      <c r="B6307" s="110"/>
      <c r="D6307" s="417"/>
      <c r="E6307" s="418"/>
      <c r="F6307" s="418"/>
      <c r="G6307" s="419"/>
      <c r="H6307" s="420" t="s">
        <v>67</v>
      </c>
      <c r="I6307" s="421"/>
      <c r="J6307" s="396">
        <f>J6306</f>
        <v>0</v>
      </c>
    </row>
    <row r="6308" spans="1:10" ht="13">
      <c r="A6308" s="27"/>
      <c r="B6308" s="110"/>
      <c r="D6308" s="444" t="s">
        <v>68</v>
      </c>
      <c r="E6308" s="445" t="s">
        <v>69</v>
      </c>
      <c r="F6308" s="446"/>
      <c r="G6308" s="447"/>
      <c r="H6308" s="448"/>
      <c r="I6308" s="449">
        <f>IF(AND(E6308&lt;&gt;"",G6308&lt;&gt;""),IF(D6308="",IF(G6308="OH",VLOOKUP(E6308,UPAH!$C$4:$H$31,7,0),VLOOKUP(E6308,#REF!,4,0)),0),0)</f>
        <v>0</v>
      </c>
      <c r="J6308" s="16">
        <f>SUM(J6297:J6307)/2</f>
        <v>0</v>
      </c>
    </row>
    <row r="6309" spans="1:10" ht="13.5" thickBot="1">
      <c r="A6309" s="27"/>
      <c r="B6309" s="110"/>
      <c r="D6309" s="431" t="s">
        <v>70</v>
      </c>
      <c r="E6309" s="432" t="s">
        <v>477</v>
      </c>
      <c r="F6309" s="433"/>
      <c r="G6309" s="434"/>
      <c r="H6309" s="22">
        <v>0.1</v>
      </c>
      <c r="I6309" s="436"/>
      <c r="J6309" s="430">
        <f>H6309*J6308</f>
        <v>0</v>
      </c>
    </row>
    <row r="6310" spans="1:10" ht="13.5" thickBot="1">
      <c r="A6310" s="27"/>
      <c r="B6310" s="110"/>
      <c r="D6310" s="401" t="s">
        <v>71</v>
      </c>
      <c r="E6310" s="402" t="s">
        <v>72</v>
      </c>
      <c r="F6310" s="418"/>
      <c r="G6310" s="419"/>
      <c r="H6310" s="442"/>
      <c r="I6310" s="421">
        <f>IF(AND(E6310&lt;&gt;"",G6310&lt;&gt;""),IF(D6310="",IF(G6310="OH",VLOOKUP(E6310,UPAH!$C$4:$H$31,7,0),VLOOKUP(E6310,#REF!,4,0)),0),0)</f>
        <v>0</v>
      </c>
      <c r="J6310" s="396">
        <f>ROUNDDOWN(J6308+J6309,0)</f>
        <v>0</v>
      </c>
    </row>
    <row r="6311" spans="1:10" ht="13">
      <c r="A6311" s="27"/>
      <c r="B6311" s="110"/>
      <c r="D6311" s="11"/>
      <c r="E6311" s="11"/>
      <c r="H6311" s="443"/>
    </row>
    <row r="6312" spans="1:10" ht="13.5" thickBot="1">
      <c r="A6312" s="27"/>
      <c r="B6312" s="110"/>
      <c r="C6312" s="11" t="s">
        <v>1176</v>
      </c>
      <c r="D6312" s="10" t="s">
        <v>1177</v>
      </c>
      <c r="H6312" s="443"/>
    </row>
    <row r="6313" spans="1:10" ht="13.5" thickBot="1">
      <c r="A6313" s="27"/>
      <c r="B6313" s="110"/>
      <c r="D6313" s="401" t="s">
        <v>40</v>
      </c>
      <c r="E6313" s="402" t="s">
        <v>41</v>
      </c>
      <c r="F6313" s="402" t="s">
        <v>42</v>
      </c>
      <c r="G6313" s="403" t="s">
        <v>43</v>
      </c>
      <c r="H6313" s="404" t="s">
        <v>44</v>
      </c>
      <c r="I6313" s="402" t="s">
        <v>474</v>
      </c>
      <c r="J6313" s="405" t="s">
        <v>475</v>
      </c>
    </row>
    <row r="6314" spans="1:10" ht="13">
      <c r="A6314" s="27"/>
      <c r="B6314" s="110"/>
      <c r="D6314" s="406" t="s">
        <v>45</v>
      </c>
      <c r="E6314" s="13" t="s">
        <v>46</v>
      </c>
      <c r="F6314" s="14"/>
      <c r="G6314" s="15"/>
      <c r="H6314" s="451"/>
      <c r="I6314" s="412"/>
      <c r="J6314" s="16"/>
    </row>
    <row r="6315" spans="1:10" ht="13">
      <c r="A6315" s="27"/>
      <c r="B6315" s="110"/>
      <c r="D6315" s="409"/>
      <c r="E6315" s="13" t="s">
        <v>47</v>
      </c>
      <c r="F6315" s="13" t="s">
        <v>1918</v>
      </c>
      <c r="G6315" s="410" t="s">
        <v>48</v>
      </c>
      <c r="H6315" s="411">
        <v>0.7</v>
      </c>
      <c r="I6315" s="412">
        <f>IF(AND(E6315&lt;&gt;"",G6315&lt;&gt;""),IF(D6315="",IF(G6315="OH",VLOOKUP(F6315,UPAH!$B$4:$H$101,7,0),VLOOKUP(F6315,#REF!,4,0)),0),0)</f>
        <v>0</v>
      </c>
      <c r="J6315" s="16">
        <f>H6315*I6315</f>
        <v>0</v>
      </c>
    </row>
    <row r="6316" spans="1:10" ht="13">
      <c r="A6316" s="27"/>
      <c r="B6316" s="110"/>
      <c r="D6316" s="409"/>
      <c r="E6316" s="13" t="s">
        <v>49</v>
      </c>
      <c r="F6316" s="13" t="s">
        <v>1922</v>
      </c>
      <c r="G6316" s="410" t="s">
        <v>48</v>
      </c>
      <c r="H6316" s="411">
        <v>2.1</v>
      </c>
      <c r="I6316" s="412">
        <f>IF(AND(E6316&lt;&gt;"",G6316&lt;&gt;""),IF(D6316="",IF(G6316="OH",VLOOKUP(F6316,UPAH!$B$4:$H$101,7,0),VLOOKUP(F6316,#REF!,4,0)),0),0)</f>
        <v>0</v>
      </c>
      <c r="J6316" s="16">
        <f>H6316*I6316</f>
        <v>0</v>
      </c>
    </row>
    <row r="6317" spans="1:10" ht="13">
      <c r="A6317" s="27"/>
      <c r="B6317" s="110"/>
      <c r="D6317" s="409"/>
      <c r="E6317" s="13" t="s">
        <v>50</v>
      </c>
      <c r="F6317" s="13" t="s">
        <v>1928</v>
      </c>
      <c r="G6317" s="410" t="s">
        <v>48</v>
      </c>
      <c r="H6317" s="411">
        <v>0.21</v>
      </c>
      <c r="I6317" s="412">
        <f>IF(AND(E6317&lt;&gt;"",G6317&lt;&gt;""),IF(D6317="",IF(G6317="OH",VLOOKUP(F6317,UPAH!$B$4:$H$101,7,0),VLOOKUP(F6317,#REF!,4,0)),0),0)</f>
        <v>0</v>
      </c>
      <c r="J6317" s="16">
        <f>H6317*I6317</f>
        <v>0</v>
      </c>
    </row>
    <row r="6318" spans="1:10" ht="13.5" thickBot="1">
      <c r="A6318" s="27"/>
      <c r="B6318" s="110"/>
      <c r="D6318" s="409"/>
      <c r="E6318" s="13" t="s">
        <v>51</v>
      </c>
      <c r="F6318" s="13" t="s">
        <v>1929</v>
      </c>
      <c r="G6318" s="410" t="s">
        <v>48</v>
      </c>
      <c r="H6318" s="411">
        <v>3.5000000000000003E-2</v>
      </c>
      <c r="I6318" s="412">
        <f>IF(AND(E6318&lt;&gt;"",G6318&lt;&gt;""),IF(D6318="",IF(G6318="OH",VLOOKUP(F6318,UPAH!$B$4:$H$101,7,0),VLOOKUP(F6318,#REF!,4,0)),0),0)</f>
        <v>0</v>
      </c>
      <c r="J6318" s="16">
        <f>H6318*I6318</f>
        <v>0</v>
      </c>
    </row>
    <row r="6319" spans="1:10" ht="13.5" thickBot="1">
      <c r="A6319" s="27"/>
      <c r="B6319" s="110"/>
      <c r="D6319" s="417"/>
      <c r="E6319" s="418"/>
      <c r="F6319" s="418"/>
      <c r="G6319" s="419"/>
      <c r="H6319" s="420" t="s">
        <v>52</v>
      </c>
      <c r="I6319" s="421"/>
      <c r="J6319" s="396">
        <f>SUM(J6315:J6318)</f>
        <v>0</v>
      </c>
    </row>
    <row r="6320" spans="1:10" ht="13">
      <c r="A6320" s="27"/>
      <c r="B6320" s="110"/>
      <c r="D6320" s="406" t="s">
        <v>53</v>
      </c>
      <c r="E6320" s="13" t="s">
        <v>54</v>
      </c>
      <c r="F6320" s="14"/>
      <c r="G6320" s="15"/>
      <c r="H6320" s="451"/>
      <c r="I6320" s="412"/>
      <c r="J6320" s="16"/>
    </row>
    <row r="6321" spans="1:10" ht="13">
      <c r="A6321" s="27"/>
      <c r="B6321" s="110"/>
      <c r="D6321" s="409"/>
      <c r="E6321" s="13" t="s">
        <v>512</v>
      </c>
      <c r="F6321" s="14"/>
      <c r="G6321" s="410" t="s">
        <v>375</v>
      </c>
      <c r="H6321" s="411">
        <v>2.5000000000000001E-2</v>
      </c>
      <c r="I6321" s="412">
        <f>'BAHAN '!G199</f>
        <v>0</v>
      </c>
      <c r="J6321" s="16">
        <f>H6321*I6321</f>
        <v>0</v>
      </c>
    </row>
    <row r="6322" spans="1:10" ht="13">
      <c r="A6322" s="27"/>
      <c r="B6322" s="110"/>
      <c r="D6322" s="409"/>
      <c r="E6322" s="13" t="s">
        <v>486</v>
      </c>
      <c r="F6322" s="14"/>
      <c r="G6322" s="410" t="s">
        <v>93</v>
      </c>
      <c r="H6322" s="411">
        <v>0.03</v>
      </c>
      <c r="I6322" s="412">
        <f>'BAHAN '!G127</f>
        <v>0</v>
      </c>
      <c r="J6322" s="16">
        <f>H6322*I6322</f>
        <v>0</v>
      </c>
    </row>
    <row r="6323" spans="1:10" ht="13">
      <c r="A6323" s="27"/>
      <c r="B6323" s="110"/>
      <c r="D6323" s="409"/>
      <c r="E6323" s="13" t="s">
        <v>502</v>
      </c>
      <c r="F6323" s="14"/>
      <c r="G6323" s="410" t="s">
        <v>93</v>
      </c>
      <c r="H6323" s="411">
        <v>0.5</v>
      </c>
      <c r="I6323" s="412">
        <f>'BAHAN '!G816</f>
        <v>0</v>
      </c>
      <c r="J6323" s="16">
        <f>H6323*I6323</f>
        <v>0</v>
      </c>
    </row>
    <row r="6324" spans="1:10" ht="13.5" thickBot="1">
      <c r="A6324" s="27"/>
      <c r="B6324" s="110"/>
      <c r="D6324" s="409"/>
      <c r="E6324" s="13" t="s">
        <v>434</v>
      </c>
      <c r="F6324" s="14"/>
      <c r="G6324" s="410" t="s">
        <v>175</v>
      </c>
      <c r="H6324" s="411">
        <v>1</v>
      </c>
      <c r="I6324" s="412">
        <f>'BAHAN '!G807</f>
        <v>0</v>
      </c>
      <c r="J6324" s="16">
        <f>H6324*I6324</f>
        <v>0</v>
      </c>
    </row>
    <row r="6325" spans="1:10" ht="13.5" thickBot="1">
      <c r="A6325" s="27"/>
      <c r="B6325" s="110"/>
      <c r="D6325" s="417"/>
      <c r="E6325" s="418"/>
      <c r="F6325" s="418"/>
      <c r="G6325" s="419"/>
      <c r="H6325" s="420" t="s">
        <v>64</v>
      </c>
      <c r="I6325" s="421"/>
      <c r="J6325" s="396">
        <f>SUM(J6321:J6324)</f>
        <v>0</v>
      </c>
    </row>
    <row r="6326" spans="1:10" ht="13.5" thickBot="1">
      <c r="A6326" s="27"/>
      <c r="B6326" s="110"/>
      <c r="D6326" s="406" t="s">
        <v>65</v>
      </c>
      <c r="E6326" s="13" t="s">
        <v>66</v>
      </c>
      <c r="F6326" s="14"/>
      <c r="G6326" s="15"/>
      <c r="H6326" s="451"/>
      <c r="I6326" s="412">
        <f>IF(AND(E6326&lt;&gt;"",G6326&lt;&gt;""),IF(D6326="",IF(G6326="OH",VLOOKUP(E6326,UPAH!$C$4:$H$31,7,0),VLOOKUP(E6326,#REF!,4,0)),0),0)</f>
        <v>0</v>
      </c>
      <c r="J6326" s="16">
        <f>H6326*I6326</f>
        <v>0</v>
      </c>
    </row>
    <row r="6327" spans="1:10" ht="13.5" thickBot="1">
      <c r="A6327" s="27"/>
      <c r="B6327" s="110"/>
      <c r="D6327" s="417"/>
      <c r="E6327" s="418"/>
      <c r="F6327" s="418"/>
      <c r="G6327" s="419"/>
      <c r="H6327" s="420" t="s">
        <v>67</v>
      </c>
      <c r="I6327" s="421"/>
      <c r="J6327" s="396">
        <f>J6326</f>
        <v>0</v>
      </c>
    </row>
    <row r="6328" spans="1:10" ht="13">
      <c r="A6328" s="27"/>
      <c r="B6328" s="110"/>
      <c r="D6328" s="444" t="s">
        <v>68</v>
      </c>
      <c r="E6328" s="445" t="s">
        <v>69</v>
      </c>
      <c r="F6328" s="446"/>
      <c r="G6328" s="447"/>
      <c r="H6328" s="448"/>
      <c r="I6328" s="449">
        <f>IF(AND(E6328&lt;&gt;"",G6328&lt;&gt;""),IF(D6328="",IF(G6328="OH",VLOOKUP(E6328,UPAH!$C$4:$H$31,7,0),VLOOKUP(E6328,#REF!,4,0)),0),0)</f>
        <v>0</v>
      </c>
      <c r="J6328" s="16">
        <f>SUM(J6315:J6327)/2</f>
        <v>0</v>
      </c>
    </row>
    <row r="6329" spans="1:10" ht="13.5" thickBot="1">
      <c r="A6329" s="27"/>
      <c r="B6329" s="110"/>
      <c r="D6329" s="431" t="s">
        <v>70</v>
      </c>
      <c r="E6329" s="432" t="s">
        <v>477</v>
      </c>
      <c r="F6329" s="433"/>
      <c r="G6329" s="434"/>
      <c r="H6329" s="22">
        <v>0.1</v>
      </c>
      <c r="I6329" s="436"/>
      <c r="J6329" s="430">
        <f>H6329*J6328</f>
        <v>0</v>
      </c>
    </row>
    <row r="6330" spans="1:10" ht="13.5" thickBot="1">
      <c r="A6330" s="27"/>
      <c r="B6330" s="110"/>
      <c r="D6330" s="401" t="s">
        <v>71</v>
      </c>
      <c r="E6330" s="402" t="s">
        <v>72</v>
      </c>
      <c r="F6330" s="418"/>
      <c r="G6330" s="419"/>
      <c r="H6330" s="442"/>
      <c r="I6330" s="421">
        <f>IF(AND(E6330&lt;&gt;"",G6330&lt;&gt;""),IF(D6330="",IF(G6330="OH",VLOOKUP(E6330,UPAH!$C$4:$H$31,7,0),VLOOKUP(E6330,#REF!,4,0)),0),0)</f>
        <v>0</v>
      </c>
      <c r="J6330" s="396">
        <f>ROUNDDOWN(J6328+J6329,0)</f>
        <v>0</v>
      </c>
    </row>
    <row r="6331" spans="1:10" ht="13">
      <c r="A6331" s="27"/>
      <c r="B6331" s="110"/>
      <c r="D6331" s="11"/>
      <c r="E6331" s="11"/>
      <c r="H6331" s="443"/>
    </row>
    <row r="6332" spans="1:10" ht="13.5" thickBot="1">
      <c r="A6332" s="27"/>
      <c r="B6332" s="110"/>
      <c r="C6332" s="11" t="s">
        <v>1180</v>
      </c>
      <c r="D6332" s="10" t="s">
        <v>1181</v>
      </c>
      <c r="H6332" s="443"/>
    </row>
    <row r="6333" spans="1:10" ht="13.5" thickBot="1">
      <c r="A6333" s="27"/>
      <c r="B6333" s="110"/>
      <c r="D6333" s="401" t="s">
        <v>40</v>
      </c>
      <c r="E6333" s="402" t="s">
        <v>41</v>
      </c>
      <c r="F6333" s="402" t="s">
        <v>42</v>
      </c>
      <c r="G6333" s="403" t="s">
        <v>43</v>
      </c>
      <c r="H6333" s="404" t="s">
        <v>44</v>
      </c>
      <c r="I6333" s="402" t="s">
        <v>474</v>
      </c>
      <c r="J6333" s="405" t="s">
        <v>475</v>
      </c>
    </row>
    <row r="6334" spans="1:10" ht="13">
      <c r="A6334" s="27"/>
      <c r="B6334" s="110"/>
      <c r="D6334" s="406" t="s">
        <v>45</v>
      </c>
      <c r="E6334" s="13" t="s">
        <v>46</v>
      </c>
      <c r="F6334" s="14"/>
      <c r="G6334" s="15"/>
      <c r="H6334" s="451"/>
      <c r="I6334" s="412"/>
      <c r="J6334" s="16"/>
    </row>
    <row r="6335" spans="1:10" ht="13">
      <c r="A6335" s="27"/>
      <c r="B6335" s="110"/>
      <c r="D6335" s="409"/>
      <c r="E6335" s="13" t="s">
        <v>47</v>
      </c>
      <c r="F6335" s="13" t="s">
        <v>1918</v>
      </c>
      <c r="G6335" s="410" t="s">
        <v>48</v>
      </c>
      <c r="H6335" s="411">
        <v>0.8</v>
      </c>
      <c r="I6335" s="412">
        <f>IF(AND(E6335&lt;&gt;"",G6335&lt;&gt;""),IF(D6335="",IF(G6335="OH",VLOOKUP(F6335,UPAH!$B$4:$H$101,7,0),VLOOKUP(F6335,#REF!,4,0)),0),0)</f>
        <v>0</v>
      </c>
      <c r="J6335" s="16">
        <f>H6335*I6335</f>
        <v>0</v>
      </c>
    </row>
    <row r="6336" spans="1:10" ht="13">
      <c r="A6336" s="27"/>
      <c r="B6336" s="110"/>
      <c r="D6336" s="409"/>
      <c r="E6336" s="13" t="s">
        <v>49</v>
      </c>
      <c r="F6336" s="13" t="s">
        <v>1922</v>
      </c>
      <c r="G6336" s="410" t="s">
        <v>48</v>
      </c>
      <c r="H6336" s="411">
        <v>2.4</v>
      </c>
      <c r="I6336" s="412">
        <f>IF(AND(E6336&lt;&gt;"",G6336&lt;&gt;""),IF(D6336="",IF(G6336="OH",VLOOKUP(F6336,UPAH!$B$4:$H$101,7,0),VLOOKUP(F6336,#REF!,4,0)),0),0)</f>
        <v>0</v>
      </c>
      <c r="J6336" s="16">
        <f>H6336*I6336</f>
        <v>0</v>
      </c>
    </row>
    <row r="6337" spans="1:10" ht="13">
      <c r="A6337" s="27"/>
      <c r="B6337" s="110"/>
      <c r="D6337" s="409"/>
      <c r="E6337" s="13" t="s">
        <v>50</v>
      </c>
      <c r="F6337" s="13" t="s">
        <v>1928</v>
      </c>
      <c r="G6337" s="410" t="s">
        <v>48</v>
      </c>
      <c r="H6337" s="411">
        <v>0.24</v>
      </c>
      <c r="I6337" s="412">
        <f>IF(AND(E6337&lt;&gt;"",G6337&lt;&gt;""),IF(D6337="",IF(G6337="OH",VLOOKUP(F6337,UPAH!$B$4:$H$101,7,0),VLOOKUP(F6337,#REF!,4,0)),0),0)</f>
        <v>0</v>
      </c>
      <c r="J6337" s="16">
        <f>H6337*I6337</f>
        <v>0</v>
      </c>
    </row>
    <row r="6338" spans="1:10" ht="13.5" thickBot="1">
      <c r="A6338" s="27"/>
      <c r="B6338" s="110"/>
      <c r="D6338" s="409"/>
      <c r="E6338" s="13" t="s">
        <v>51</v>
      </c>
      <c r="F6338" s="13" t="s">
        <v>1929</v>
      </c>
      <c r="G6338" s="410" t="s">
        <v>48</v>
      </c>
      <c r="H6338" s="411">
        <v>0.04</v>
      </c>
      <c r="I6338" s="412">
        <f>IF(AND(E6338&lt;&gt;"",G6338&lt;&gt;""),IF(D6338="",IF(G6338="OH",VLOOKUP(F6338,UPAH!$B$4:$H$101,7,0),VLOOKUP(F6338,#REF!,4,0)),0),0)</f>
        <v>0</v>
      </c>
      <c r="J6338" s="16">
        <f>H6338*I6338</f>
        <v>0</v>
      </c>
    </row>
    <row r="6339" spans="1:10" ht="13.5" thickBot="1">
      <c r="A6339" s="27"/>
      <c r="B6339" s="110"/>
      <c r="D6339" s="417"/>
      <c r="E6339" s="418"/>
      <c r="F6339" s="418"/>
      <c r="G6339" s="419"/>
      <c r="H6339" s="420" t="s">
        <v>52</v>
      </c>
      <c r="I6339" s="421"/>
      <c r="J6339" s="396">
        <f>SUM(J6335:J6338)</f>
        <v>0</v>
      </c>
    </row>
    <row r="6340" spans="1:10" ht="13">
      <c r="A6340" s="27"/>
      <c r="B6340" s="110"/>
      <c r="D6340" s="406" t="s">
        <v>53</v>
      </c>
      <c r="E6340" s="13" t="s">
        <v>54</v>
      </c>
      <c r="F6340" s="14"/>
      <c r="G6340" s="15"/>
      <c r="H6340" s="451"/>
      <c r="I6340" s="412"/>
      <c r="J6340" s="16"/>
    </row>
    <row r="6341" spans="1:10" ht="13">
      <c r="A6341" s="27"/>
      <c r="B6341" s="110"/>
      <c r="D6341" s="409"/>
      <c r="E6341" s="13" t="s">
        <v>512</v>
      </c>
      <c r="F6341" s="14"/>
      <c r="G6341" s="410" t="s">
        <v>375</v>
      </c>
      <c r="H6341" s="411">
        <v>2.5600000000000001E-2</v>
      </c>
      <c r="I6341" s="412">
        <f>'BAHAN '!G199</f>
        <v>0</v>
      </c>
      <c r="J6341" s="16">
        <f>H6341*I6341</f>
        <v>0</v>
      </c>
    </row>
    <row r="6342" spans="1:10" ht="13">
      <c r="A6342" s="27"/>
      <c r="B6342" s="110"/>
      <c r="D6342" s="409"/>
      <c r="E6342" s="13" t="s">
        <v>486</v>
      </c>
      <c r="F6342" s="14"/>
      <c r="G6342" s="410" t="s">
        <v>93</v>
      </c>
      <c r="H6342" s="411">
        <v>0.03</v>
      </c>
      <c r="I6342" s="412">
        <f>'BAHAN '!G127</f>
        <v>0</v>
      </c>
      <c r="J6342" s="16">
        <f>H6342*I6342</f>
        <v>0</v>
      </c>
    </row>
    <row r="6343" spans="1:10" ht="13">
      <c r="A6343" s="27"/>
      <c r="B6343" s="110"/>
      <c r="D6343" s="409"/>
      <c r="E6343" s="13" t="s">
        <v>502</v>
      </c>
      <c r="F6343" s="14"/>
      <c r="G6343" s="410" t="s">
        <v>93</v>
      </c>
      <c r="H6343" s="411">
        <v>0.5</v>
      </c>
      <c r="I6343" s="412">
        <f>'BAHAN '!G816</f>
        <v>0</v>
      </c>
      <c r="J6343" s="16">
        <f>H6343*I6343</f>
        <v>0</v>
      </c>
    </row>
    <row r="6344" spans="1:10" ht="13.5" thickBot="1">
      <c r="A6344" s="27"/>
      <c r="B6344" s="110"/>
      <c r="D6344" s="409"/>
      <c r="E6344" s="13" t="s">
        <v>434</v>
      </c>
      <c r="F6344" s="14"/>
      <c r="G6344" s="410" t="s">
        <v>175</v>
      </c>
      <c r="H6344" s="411">
        <v>1</v>
      </c>
      <c r="I6344" s="412">
        <f>'BAHAN '!G807</f>
        <v>0</v>
      </c>
      <c r="J6344" s="16">
        <f>H6344*I6344</f>
        <v>0</v>
      </c>
    </row>
    <row r="6345" spans="1:10" ht="13.5" thickBot="1">
      <c r="A6345" s="27"/>
      <c r="B6345" s="110"/>
      <c r="D6345" s="417"/>
      <c r="E6345" s="418"/>
      <c r="F6345" s="418"/>
      <c r="G6345" s="419"/>
      <c r="H6345" s="420" t="s">
        <v>64</v>
      </c>
      <c r="I6345" s="421"/>
      <c r="J6345" s="396">
        <f>SUM(J6341:J6344)</f>
        <v>0</v>
      </c>
    </row>
    <row r="6346" spans="1:10" ht="13.5" thickBot="1">
      <c r="A6346" s="27"/>
      <c r="B6346" s="110"/>
      <c r="D6346" s="406" t="s">
        <v>65</v>
      </c>
      <c r="E6346" s="13" t="s">
        <v>66</v>
      </c>
      <c r="F6346" s="14"/>
      <c r="G6346" s="15"/>
      <c r="H6346" s="451"/>
      <c r="I6346" s="412">
        <f>IF(AND(E6346&lt;&gt;"",G6346&lt;&gt;""),IF(D6346="",IF(G6346="OH",VLOOKUP(E6346,UPAH!$C$4:$H$31,7,0),VLOOKUP(E6346,#REF!,4,0)),0),0)</f>
        <v>0</v>
      </c>
      <c r="J6346" s="16">
        <f>H6346*I6346</f>
        <v>0</v>
      </c>
    </row>
    <row r="6347" spans="1:10" ht="13.5" thickBot="1">
      <c r="A6347" s="27"/>
      <c r="B6347" s="110"/>
      <c r="D6347" s="417"/>
      <c r="E6347" s="418"/>
      <c r="F6347" s="418"/>
      <c r="G6347" s="419"/>
      <c r="H6347" s="420" t="s">
        <v>67</v>
      </c>
      <c r="I6347" s="421"/>
      <c r="J6347" s="396">
        <f>J6346</f>
        <v>0</v>
      </c>
    </row>
    <row r="6348" spans="1:10" ht="13">
      <c r="A6348" s="27"/>
      <c r="B6348" s="110"/>
      <c r="D6348" s="444" t="s">
        <v>68</v>
      </c>
      <c r="E6348" s="445" t="s">
        <v>69</v>
      </c>
      <c r="F6348" s="446"/>
      <c r="G6348" s="447"/>
      <c r="H6348" s="448"/>
      <c r="I6348" s="449">
        <f>IF(AND(E6348&lt;&gt;"",G6348&lt;&gt;""),IF(D6348="",IF(G6348="OH",VLOOKUP(E6348,UPAH!$C$4:$H$31,7,0),VLOOKUP(E6348,#REF!,4,0)),0),0)</f>
        <v>0</v>
      </c>
      <c r="J6348" s="16">
        <f>SUM(J6335:J6347)/2</f>
        <v>0</v>
      </c>
    </row>
    <row r="6349" spans="1:10" ht="13.5" thickBot="1">
      <c r="A6349" s="27"/>
      <c r="B6349" s="110"/>
      <c r="D6349" s="431" t="s">
        <v>70</v>
      </c>
      <c r="E6349" s="432" t="s">
        <v>477</v>
      </c>
      <c r="F6349" s="433"/>
      <c r="G6349" s="434"/>
      <c r="H6349" s="22">
        <v>0.1</v>
      </c>
      <c r="I6349" s="436"/>
      <c r="J6349" s="430">
        <f>H6349*J6348</f>
        <v>0</v>
      </c>
    </row>
    <row r="6350" spans="1:10" ht="13.5" thickBot="1">
      <c r="A6350" s="27"/>
      <c r="B6350" s="110"/>
      <c r="D6350" s="401" t="s">
        <v>71</v>
      </c>
      <c r="E6350" s="402" t="s">
        <v>72</v>
      </c>
      <c r="F6350" s="418"/>
      <c r="G6350" s="419"/>
      <c r="H6350" s="442"/>
      <c r="I6350" s="421">
        <f>IF(AND(E6350&lt;&gt;"",G6350&lt;&gt;""),IF(D6350="",IF(G6350="OH",VLOOKUP(E6350,UPAH!$C$4:$H$31,7,0),VLOOKUP(E6350,#REF!,4,0)),0),0)</f>
        <v>0</v>
      </c>
      <c r="J6350" s="396">
        <f>ROUNDDOWN(J6348+J6349,0)</f>
        <v>0</v>
      </c>
    </row>
    <row r="6351" spans="1:10" ht="13">
      <c r="A6351" s="27"/>
      <c r="B6351" s="110"/>
      <c r="D6351" s="11"/>
      <c r="E6351" s="11"/>
      <c r="H6351" s="443"/>
    </row>
    <row r="6352" spans="1:10" ht="13.5" thickBot="1">
      <c r="A6352" s="27"/>
      <c r="B6352" s="110"/>
      <c r="C6352" s="11" t="s">
        <v>1178</v>
      </c>
      <c r="D6352" s="10" t="s">
        <v>1179</v>
      </c>
      <c r="H6352" s="443"/>
    </row>
    <row r="6353" spans="1:10" ht="13.5" thickBot="1">
      <c r="A6353" s="27"/>
      <c r="B6353" s="110"/>
      <c r="D6353" s="401" t="s">
        <v>40</v>
      </c>
      <c r="E6353" s="402" t="s">
        <v>41</v>
      </c>
      <c r="F6353" s="402" t="s">
        <v>42</v>
      </c>
      <c r="G6353" s="403" t="s">
        <v>43</v>
      </c>
      <c r="H6353" s="404" t="s">
        <v>44</v>
      </c>
      <c r="I6353" s="402" t="s">
        <v>474</v>
      </c>
      <c r="J6353" s="405" t="s">
        <v>475</v>
      </c>
    </row>
    <row r="6354" spans="1:10" ht="13">
      <c r="A6354" s="27"/>
      <c r="B6354" s="110"/>
      <c r="D6354" s="406" t="s">
        <v>45</v>
      </c>
      <c r="E6354" s="13" t="s">
        <v>46</v>
      </c>
      <c r="F6354" s="14"/>
      <c r="G6354" s="15"/>
      <c r="H6354" s="451"/>
      <c r="I6354" s="412"/>
      <c r="J6354" s="16"/>
    </row>
    <row r="6355" spans="1:10" ht="13">
      <c r="A6355" s="27"/>
      <c r="B6355" s="110"/>
      <c r="D6355" s="409"/>
      <c r="E6355" s="13" t="s">
        <v>47</v>
      </c>
      <c r="F6355" s="13" t="s">
        <v>1918</v>
      </c>
      <c r="G6355" s="543" t="s">
        <v>48</v>
      </c>
      <c r="H6355" s="544">
        <v>0.67</v>
      </c>
      <c r="I6355" s="412">
        <f>IF(AND(E6355&lt;&gt;"",G6355&lt;&gt;""),IF(D6355="",IF(G6355="OH",VLOOKUP(F6355,UPAH!$B$4:$H$101,7,0),VLOOKUP(F6355,#REF!,4,0)),0),0)</f>
        <v>0</v>
      </c>
      <c r="J6355" s="16">
        <f>H6355*I6355</f>
        <v>0</v>
      </c>
    </row>
    <row r="6356" spans="1:10" ht="13">
      <c r="A6356" s="27"/>
      <c r="B6356" s="110"/>
      <c r="D6356" s="409"/>
      <c r="E6356" s="13" t="s">
        <v>49</v>
      </c>
      <c r="F6356" s="13" t="s">
        <v>1922</v>
      </c>
      <c r="G6356" s="543" t="s">
        <v>48</v>
      </c>
      <c r="H6356" s="545">
        <v>2</v>
      </c>
      <c r="I6356" s="412">
        <f>IF(AND(E6356&lt;&gt;"",G6356&lt;&gt;""),IF(D6356="",IF(G6356="OH",VLOOKUP(F6356,UPAH!$B$4:$H$101,7,0),VLOOKUP(F6356,#REF!,4,0)),0),0)</f>
        <v>0</v>
      </c>
      <c r="J6356" s="16">
        <f>H6356*I6356</f>
        <v>0</v>
      </c>
    </row>
    <row r="6357" spans="1:10" ht="13">
      <c r="A6357" s="27"/>
      <c r="B6357" s="110"/>
      <c r="D6357" s="409"/>
      <c r="E6357" s="13" t="s">
        <v>50</v>
      </c>
      <c r="F6357" s="13" t="s">
        <v>1928</v>
      </c>
      <c r="G6357" s="543" t="s">
        <v>48</v>
      </c>
      <c r="H6357" s="544">
        <v>0.2</v>
      </c>
      <c r="I6357" s="412">
        <f>IF(AND(E6357&lt;&gt;"",G6357&lt;&gt;""),IF(D6357="",IF(G6357="OH",VLOOKUP(F6357,UPAH!$B$4:$H$101,7,0),VLOOKUP(F6357,#REF!,4,0)),0),0)</f>
        <v>0</v>
      </c>
      <c r="J6357" s="16">
        <f>H6357*I6357</f>
        <v>0</v>
      </c>
    </row>
    <row r="6358" spans="1:10" ht="13.5" thickBot="1">
      <c r="A6358" s="27"/>
      <c r="B6358" s="110"/>
      <c r="D6358" s="409"/>
      <c r="E6358" s="13" t="s">
        <v>51</v>
      </c>
      <c r="F6358" s="13" t="s">
        <v>1929</v>
      </c>
      <c r="G6358" s="543" t="s">
        <v>48</v>
      </c>
      <c r="H6358" s="544">
        <v>0.33500000000000002</v>
      </c>
      <c r="I6358" s="412">
        <f>IF(AND(E6358&lt;&gt;"",G6358&lt;&gt;""),IF(D6358="",IF(G6358="OH",VLOOKUP(F6358,UPAH!$B$4:$H$101,7,0),VLOOKUP(F6358,#REF!,4,0)),0),0)</f>
        <v>0</v>
      </c>
      <c r="J6358" s="16">
        <f>H6358*I6358</f>
        <v>0</v>
      </c>
    </row>
    <row r="6359" spans="1:10" ht="13.5" thickBot="1">
      <c r="A6359" s="27"/>
      <c r="B6359" s="110"/>
      <c r="D6359" s="417"/>
      <c r="E6359" s="418"/>
      <c r="F6359" s="418"/>
      <c r="G6359" s="419"/>
      <c r="H6359" s="420" t="s">
        <v>52</v>
      </c>
      <c r="I6359" s="421"/>
      <c r="J6359" s="396">
        <f>SUM(J6355:J6358)</f>
        <v>0</v>
      </c>
    </row>
    <row r="6360" spans="1:10" ht="13">
      <c r="A6360" s="27"/>
      <c r="B6360" s="110"/>
      <c r="D6360" s="406" t="s">
        <v>53</v>
      </c>
      <c r="E6360" s="13" t="s">
        <v>54</v>
      </c>
      <c r="F6360" s="14"/>
      <c r="G6360" s="15"/>
      <c r="H6360" s="451"/>
      <c r="I6360" s="412"/>
      <c r="J6360" s="16"/>
    </row>
    <row r="6361" spans="1:10" ht="13">
      <c r="A6361" s="27"/>
      <c r="B6361" s="110"/>
      <c r="D6361" s="409"/>
      <c r="E6361" s="13" t="s">
        <v>513</v>
      </c>
      <c r="F6361" s="14"/>
      <c r="G6361" s="543" t="s">
        <v>375</v>
      </c>
      <c r="H6361" s="544">
        <v>0.06</v>
      </c>
      <c r="I6361" s="412">
        <f>'BAHAN '!G199</f>
        <v>0</v>
      </c>
      <c r="J6361" s="16">
        <f>H6361*I6361</f>
        <v>0</v>
      </c>
    </row>
    <row r="6362" spans="1:10" ht="13.5" thickBot="1">
      <c r="A6362" s="27"/>
      <c r="B6362" s="110"/>
      <c r="D6362" s="409"/>
      <c r="E6362" s="13" t="s">
        <v>486</v>
      </c>
      <c r="F6362" s="14"/>
      <c r="G6362" s="543" t="s">
        <v>93</v>
      </c>
      <c r="H6362" s="544">
        <v>0.15</v>
      </c>
      <c r="I6362" s="412">
        <f>'BAHAN '!G127</f>
        <v>0</v>
      </c>
      <c r="J6362" s="16">
        <f>H6362*I6362</f>
        <v>0</v>
      </c>
    </row>
    <row r="6363" spans="1:10" ht="13.5" thickBot="1">
      <c r="A6363" s="27"/>
      <c r="B6363" s="110"/>
      <c r="D6363" s="417"/>
      <c r="E6363" s="418"/>
      <c r="F6363" s="418"/>
      <c r="G6363" s="419"/>
      <c r="H6363" s="420" t="s">
        <v>64</v>
      </c>
      <c r="I6363" s="421"/>
      <c r="J6363" s="396">
        <f>SUM(J6361:J6362)</f>
        <v>0</v>
      </c>
    </row>
    <row r="6364" spans="1:10" ht="13.5" thickBot="1">
      <c r="A6364" s="27"/>
      <c r="B6364" s="110"/>
      <c r="D6364" s="406" t="s">
        <v>65</v>
      </c>
      <c r="E6364" s="13" t="s">
        <v>66</v>
      </c>
      <c r="F6364" s="14"/>
      <c r="G6364" s="15"/>
      <c r="H6364" s="451"/>
      <c r="I6364" s="412">
        <f>IF(AND(E6364&lt;&gt;"",G6364&lt;&gt;""),IF(D6364="",IF(G6364="OH",VLOOKUP(E6364,UPAH!$C$4:$H$31,7,0),VLOOKUP(E6364,#REF!,4,0)),0),0)</f>
        <v>0</v>
      </c>
      <c r="J6364" s="16">
        <f>H6364*I6364</f>
        <v>0</v>
      </c>
    </row>
    <row r="6365" spans="1:10" ht="13.5" thickBot="1">
      <c r="A6365" s="27"/>
      <c r="B6365" s="110"/>
      <c r="D6365" s="417"/>
      <c r="E6365" s="418"/>
      <c r="F6365" s="418"/>
      <c r="G6365" s="419"/>
      <c r="H6365" s="420" t="s">
        <v>67</v>
      </c>
      <c r="I6365" s="421"/>
      <c r="J6365" s="396">
        <f>J6364</f>
        <v>0</v>
      </c>
    </row>
    <row r="6366" spans="1:10" ht="13">
      <c r="A6366" s="27"/>
      <c r="B6366" s="110"/>
      <c r="D6366" s="444" t="s">
        <v>68</v>
      </c>
      <c r="E6366" s="445" t="s">
        <v>69</v>
      </c>
      <c r="F6366" s="446"/>
      <c r="G6366" s="447"/>
      <c r="H6366" s="448"/>
      <c r="I6366" s="449">
        <f>IF(AND(E6366&lt;&gt;"",G6366&lt;&gt;""),IF(D6366="",IF(G6366="OH",VLOOKUP(E6366,UPAH!$C$4:$H$31,7,0),VLOOKUP(E6366,#REF!,4,0)),0),0)</f>
        <v>0</v>
      </c>
      <c r="J6366" s="16">
        <f>SUM(J6355:J6365)/2</f>
        <v>0</v>
      </c>
    </row>
    <row r="6367" spans="1:10" ht="13.5" thickBot="1">
      <c r="A6367" s="27"/>
      <c r="B6367" s="110"/>
      <c r="D6367" s="431" t="s">
        <v>70</v>
      </c>
      <c r="E6367" s="432" t="s">
        <v>477</v>
      </c>
      <c r="F6367" s="433"/>
      <c r="G6367" s="434"/>
      <c r="H6367" s="22">
        <v>0.1</v>
      </c>
      <c r="I6367" s="436"/>
      <c r="J6367" s="430">
        <f>H6367*J6366</f>
        <v>0</v>
      </c>
    </row>
    <row r="6368" spans="1:10" ht="13.5" thickBot="1">
      <c r="A6368" s="27"/>
      <c r="B6368" s="110"/>
      <c r="D6368" s="401" t="s">
        <v>71</v>
      </c>
      <c r="E6368" s="402" t="s">
        <v>72</v>
      </c>
      <c r="F6368" s="418"/>
      <c r="G6368" s="419"/>
      <c r="H6368" s="442"/>
      <c r="I6368" s="421">
        <f>IF(AND(E6368&lt;&gt;"",G6368&lt;&gt;""),IF(D6368="",IF(G6368="OH",VLOOKUP(E6368,UPAH!$C$4:$H$31,7,0),VLOOKUP(E6368,#REF!,4,0)),0),0)</f>
        <v>0</v>
      </c>
      <c r="J6368" s="396">
        <f>ROUNDDOWN(J6366+J6367,0)</f>
        <v>0</v>
      </c>
    </row>
    <row r="6369" spans="1:10" ht="13">
      <c r="A6369" s="27"/>
      <c r="B6369" s="110"/>
      <c r="D6369" s="11"/>
      <c r="E6369" s="11"/>
      <c r="H6369" s="443"/>
    </row>
    <row r="6370" spans="1:10" ht="13.5" thickBot="1">
      <c r="A6370" s="27"/>
      <c r="B6370" s="110"/>
      <c r="C6370" s="11" t="s">
        <v>1184</v>
      </c>
      <c r="D6370" s="10" t="s">
        <v>1185</v>
      </c>
      <c r="H6370" s="443"/>
    </row>
    <row r="6371" spans="1:10" ht="13.5" thickBot="1">
      <c r="A6371" s="27"/>
      <c r="B6371" s="110"/>
      <c r="D6371" s="401" t="s">
        <v>40</v>
      </c>
      <c r="E6371" s="402" t="s">
        <v>41</v>
      </c>
      <c r="F6371" s="402" t="s">
        <v>42</v>
      </c>
      <c r="G6371" s="403" t="s">
        <v>43</v>
      </c>
      <c r="H6371" s="404" t="s">
        <v>44</v>
      </c>
      <c r="I6371" s="402" t="s">
        <v>474</v>
      </c>
      <c r="J6371" s="405" t="s">
        <v>475</v>
      </c>
    </row>
    <row r="6372" spans="1:10" ht="13">
      <c r="A6372" s="27"/>
      <c r="B6372" s="110"/>
      <c r="D6372" s="406" t="s">
        <v>45</v>
      </c>
      <c r="E6372" s="13" t="s">
        <v>46</v>
      </c>
      <c r="F6372" s="14"/>
      <c r="G6372" s="15"/>
      <c r="H6372" s="451"/>
      <c r="I6372" s="412"/>
      <c r="J6372" s="16"/>
    </row>
    <row r="6373" spans="1:10" ht="13">
      <c r="A6373" s="27"/>
      <c r="B6373" s="110"/>
      <c r="D6373" s="409"/>
      <c r="E6373" s="13" t="s">
        <v>47</v>
      </c>
      <c r="F6373" s="13" t="s">
        <v>1918</v>
      </c>
      <c r="G6373" s="543" t="s">
        <v>48</v>
      </c>
      <c r="H6373" s="544">
        <v>0.8</v>
      </c>
      <c r="I6373" s="412">
        <f>IF(AND(E6373&lt;&gt;"",G6373&lt;&gt;""),IF(D6373="",IF(G6373="OH",VLOOKUP(F6373,UPAH!$B$4:$H$101,7,0),VLOOKUP(F6373,#REF!,4,0)),0),0)</f>
        <v>0</v>
      </c>
      <c r="J6373" s="16">
        <f>H6373*I6373</f>
        <v>0</v>
      </c>
    </row>
    <row r="6374" spans="1:10" ht="13">
      <c r="A6374" s="27"/>
      <c r="B6374" s="110"/>
      <c r="D6374" s="409"/>
      <c r="E6374" s="13" t="s">
        <v>49</v>
      </c>
      <c r="F6374" s="13" t="s">
        <v>1922</v>
      </c>
      <c r="G6374" s="543" t="s">
        <v>48</v>
      </c>
      <c r="H6374" s="545">
        <v>2.4</v>
      </c>
      <c r="I6374" s="412">
        <f>IF(AND(E6374&lt;&gt;"",G6374&lt;&gt;""),IF(D6374="",IF(G6374="OH",VLOOKUP(F6374,UPAH!$B$4:$H$101,7,0),VLOOKUP(F6374,#REF!,4,0)),0),0)</f>
        <v>0</v>
      </c>
      <c r="J6374" s="16">
        <f>H6374*I6374</f>
        <v>0</v>
      </c>
    </row>
    <row r="6375" spans="1:10" ht="13">
      <c r="A6375" s="27"/>
      <c r="B6375" s="110"/>
      <c r="D6375" s="409"/>
      <c r="E6375" s="13" t="s">
        <v>50</v>
      </c>
      <c r="F6375" s="13" t="s">
        <v>1928</v>
      </c>
      <c r="G6375" s="543" t="s">
        <v>48</v>
      </c>
      <c r="H6375" s="544">
        <v>0.24</v>
      </c>
      <c r="I6375" s="412">
        <f>IF(AND(E6375&lt;&gt;"",G6375&lt;&gt;""),IF(D6375="",IF(G6375="OH",VLOOKUP(F6375,UPAH!$B$4:$H$101,7,0),VLOOKUP(F6375,#REF!,4,0)),0),0)</f>
        <v>0</v>
      </c>
      <c r="J6375" s="16">
        <f>H6375*I6375</f>
        <v>0</v>
      </c>
    </row>
    <row r="6376" spans="1:10" ht="13.5" thickBot="1">
      <c r="A6376" s="27"/>
      <c r="B6376" s="110"/>
      <c r="D6376" s="409"/>
      <c r="E6376" s="13" t="s">
        <v>51</v>
      </c>
      <c r="F6376" s="13" t="s">
        <v>1929</v>
      </c>
      <c r="G6376" s="543" t="s">
        <v>48</v>
      </c>
      <c r="H6376" s="544">
        <v>0.04</v>
      </c>
      <c r="I6376" s="412">
        <f>IF(AND(E6376&lt;&gt;"",G6376&lt;&gt;""),IF(D6376="",IF(G6376="OH",VLOOKUP(F6376,UPAH!$B$4:$H$101,7,0),VLOOKUP(F6376,#REF!,4,0)),0),0)</f>
        <v>0</v>
      </c>
      <c r="J6376" s="16">
        <f>H6376*I6376</f>
        <v>0</v>
      </c>
    </row>
    <row r="6377" spans="1:10" ht="13.5" thickBot="1">
      <c r="A6377" s="27"/>
      <c r="B6377" s="110"/>
      <c r="D6377" s="417"/>
      <c r="E6377" s="418"/>
      <c r="F6377" s="418"/>
      <c r="G6377" s="419"/>
      <c r="H6377" s="420" t="s">
        <v>52</v>
      </c>
      <c r="I6377" s="421"/>
      <c r="J6377" s="396">
        <f>SUM(J6373:J6376)</f>
        <v>0</v>
      </c>
    </row>
    <row r="6378" spans="1:10" ht="13">
      <c r="A6378" s="27"/>
      <c r="B6378" s="110"/>
      <c r="D6378" s="406" t="s">
        <v>53</v>
      </c>
      <c r="E6378" s="13" t="s">
        <v>54</v>
      </c>
      <c r="F6378" s="14"/>
      <c r="G6378" s="15"/>
      <c r="H6378" s="451"/>
      <c r="I6378" s="412"/>
      <c r="J6378" s="16"/>
    </row>
    <row r="6379" spans="1:10" ht="13">
      <c r="A6379" s="27"/>
      <c r="B6379" s="110"/>
      <c r="D6379" s="409"/>
      <c r="E6379" s="13" t="s">
        <v>513</v>
      </c>
      <c r="F6379" s="14"/>
      <c r="G6379" s="543" t="s">
        <v>375</v>
      </c>
      <c r="H6379" s="544">
        <v>2.5000000000000001E-2</v>
      </c>
      <c r="I6379" s="412">
        <f>'BAHAN '!G197</f>
        <v>0</v>
      </c>
      <c r="J6379" s="16">
        <f>H6379*I6379</f>
        <v>0</v>
      </c>
    </row>
    <row r="6380" spans="1:10" ht="13">
      <c r="A6380" s="27"/>
      <c r="B6380" s="110"/>
      <c r="D6380" s="409"/>
      <c r="E6380" s="13" t="s">
        <v>486</v>
      </c>
      <c r="F6380" s="14"/>
      <c r="G6380" s="543" t="s">
        <v>93</v>
      </c>
      <c r="H6380" s="544">
        <v>0.03</v>
      </c>
      <c r="I6380" s="412">
        <f>'BAHAN '!G127</f>
        <v>0</v>
      </c>
      <c r="J6380" s="16">
        <f>H6380*I6380</f>
        <v>0</v>
      </c>
    </row>
    <row r="6381" spans="1:10" ht="13">
      <c r="A6381" s="27"/>
      <c r="B6381" s="110"/>
      <c r="D6381" s="409"/>
      <c r="E6381" s="13" t="s">
        <v>502</v>
      </c>
      <c r="F6381" s="14"/>
      <c r="G6381" s="543" t="s">
        <v>93</v>
      </c>
      <c r="H6381" s="544">
        <v>0.3</v>
      </c>
      <c r="I6381" s="412">
        <f>'BAHAN '!G816</f>
        <v>0</v>
      </c>
      <c r="J6381" s="16">
        <f>H6381*I6381</f>
        <v>0</v>
      </c>
    </row>
    <row r="6382" spans="1:10" ht="13.5" thickBot="1">
      <c r="A6382" s="27"/>
      <c r="B6382" s="110"/>
      <c r="D6382" s="409"/>
      <c r="E6382" s="13" t="s">
        <v>197</v>
      </c>
      <c r="F6382" s="14"/>
      <c r="G6382" s="410" t="s">
        <v>175</v>
      </c>
      <c r="H6382" s="545">
        <v>1</v>
      </c>
      <c r="I6382" s="412">
        <f>'BAHAN '!G812</f>
        <v>0</v>
      </c>
      <c r="J6382" s="16">
        <f>H6382*I6382</f>
        <v>0</v>
      </c>
    </row>
    <row r="6383" spans="1:10" ht="13.5" thickBot="1">
      <c r="A6383" s="27"/>
      <c r="B6383" s="110"/>
      <c r="D6383" s="417"/>
      <c r="E6383" s="418"/>
      <c r="F6383" s="418"/>
      <c r="G6383" s="419"/>
      <c r="H6383" s="420" t="s">
        <v>64</v>
      </c>
      <c r="I6383" s="421"/>
      <c r="J6383" s="396">
        <f>SUM(J6379:J6382)</f>
        <v>0</v>
      </c>
    </row>
    <row r="6384" spans="1:10" ht="13.5" thickBot="1">
      <c r="A6384" s="27"/>
      <c r="B6384" s="110"/>
      <c r="D6384" s="406" t="s">
        <v>65</v>
      </c>
      <c r="E6384" s="13" t="s">
        <v>66</v>
      </c>
      <c r="F6384" s="14"/>
      <c r="G6384" s="15"/>
      <c r="H6384" s="451"/>
      <c r="I6384" s="412">
        <f>IF(AND(E6384&lt;&gt;"",G6384&lt;&gt;""),IF(D6384="",IF(G6384="OH",VLOOKUP(E6384,UPAH!$C$4:$H$31,7,0),VLOOKUP(E6384,#REF!,4,0)),0),0)</f>
        <v>0</v>
      </c>
      <c r="J6384" s="16">
        <f>H6384*I6384</f>
        <v>0</v>
      </c>
    </row>
    <row r="6385" spans="1:10" ht="13.5" thickBot="1">
      <c r="A6385" s="27"/>
      <c r="B6385" s="110"/>
      <c r="D6385" s="417"/>
      <c r="E6385" s="418"/>
      <c r="F6385" s="418"/>
      <c r="G6385" s="419"/>
      <c r="H6385" s="420" t="s">
        <v>67</v>
      </c>
      <c r="I6385" s="421"/>
      <c r="J6385" s="396">
        <f>J6384</f>
        <v>0</v>
      </c>
    </row>
    <row r="6386" spans="1:10" ht="13">
      <c r="A6386" s="27"/>
      <c r="B6386" s="110"/>
      <c r="D6386" s="444" t="s">
        <v>68</v>
      </c>
      <c r="E6386" s="445" t="s">
        <v>69</v>
      </c>
      <c r="F6386" s="446"/>
      <c r="G6386" s="447"/>
      <c r="H6386" s="448"/>
      <c r="I6386" s="449">
        <f>IF(AND(E6386&lt;&gt;"",G6386&lt;&gt;""),IF(D6386="",IF(G6386="OH",VLOOKUP(E6386,UPAH!$C$4:$H$31,7,0),VLOOKUP(E6386,#REF!,4,0)),0),0)</f>
        <v>0</v>
      </c>
      <c r="J6386" s="16">
        <f>SUM(J6373:J6385)/2</f>
        <v>0</v>
      </c>
    </row>
    <row r="6387" spans="1:10" ht="13.5" thickBot="1">
      <c r="A6387" s="27"/>
      <c r="B6387" s="110"/>
      <c r="D6387" s="431" t="s">
        <v>70</v>
      </c>
      <c r="E6387" s="432" t="s">
        <v>477</v>
      </c>
      <c r="F6387" s="433"/>
      <c r="G6387" s="434"/>
      <c r="H6387" s="22">
        <v>0.1</v>
      </c>
      <c r="I6387" s="436"/>
      <c r="J6387" s="430">
        <f>H6387*J6386</f>
        <v>0</v>
      </c>
    </row>
    <row r="6388" spans="1:10" ht="13.5" thickBot="1">
      <c r="A6388" s="27"/>
      <c r="B6388" s="110"/>
      <c r="D6388" s="401" t="s">
        <v>71</v>
      </c>
      <c r="E6388" s="402" t="s">
        <v>72</v>
      </c>
      <c r="F6388" s="418"/>
      <c r="G6388" s="419"/>
      <c r="H6388" s="442"/>
      <c r="I6388" s="421">
        <f>IF(AND(E6388&lt;&gt;"",G6388&lt;&gt;""),IF(D6388="",IF(G6388="OH",VLOOKUP(E6388,UPAH!$C$4:$H$31,7,0),VLOOKUP(E6388,#REF!,4,0)),0),0)</f>
        <v>0</v>
      </c>
      <c r="J6388" s="396">
        <f>ROUNDDOWN(J6386+J6387,0)</f>
        <v>0</v>
      </c>
    </row>
    <row r="6389" spans="1:10" ht="13">
      <c r="A6389" s="27"/>
      <c r="B6389" s="110"/>
      <c r="D6389" s="11"/>
      <c r="E6389" s="11"/>
      <c r="H6389" s="443"/>
    </row>
    <row r="6390" spans="1:10" ht="13.5" thickBot="1">
      <c r="A6390" s="27"/>
      <c r="B6390" s="110"/>
      <c r="C6390" s="11" t="s">
        <v>1182</v>
      </c>
      <c r="D6390" s="10" t="s">
        <v>1183</v>
      </c>
      <c r="H6390" s="443"/>
    </row>
    <row r="6391" spans="1:10" ht="13.5" thickBot="1">
      <c r="A6391" s="27"/>
      <c r="B6391" s="110"/>
      <c r="D6391" s="401" t="s">
        <v>40</v>
      </c>
      <c r="E6391" s="402" t="s">
        <v>41</v>
      </c>
      <c r="F6391" s="402" t="s">
        <v>42</v>
      </c>
      <c r="G6391" s="403" t="s">
        <v>43</v>
      </c>
      <c r="H6391" s="404" t="s">
        <v>44</v>
      </c>
      <c r="I6391" s="402" t="s">
        <v>474</v>
      </c>
      <c r="J6391" s="405" t="s">
        <v>475</v>
      </c>
    </row>
    <row r="6392" spans="1:10" ht="13">
      <c r="A6392" s="27"/>
      <c r="B6392" s="110"/>
      <c r="D6392" s="406" t="s">
        <v>45</v>
      </c>
      <c r="E6392" s="13" t="s">
        <v>46</v>
      </c>
      <c r="F6392" s="14"/>
      <c r="G6392" s="15"/>
      <c r="H6392" s="451"/>
      <c r="I6392" s="412"/>
      <c r="J6392" s="16"/>
    </row>
    <row r="6393" spans="1:10" ht="13">
      <c r="A6393" s="27"/>
      <c r="B6393" s="110"/>
      <c r="D6393" s="409"/>
      <c r="E6393" s="13" t="s">
        <v>47</v>
      </c>
      <c r="F6393" s="13" t="s">
        <v>1918</v>
      </c>
      <c r="G6393" s="543" t="s">
        <v>48</v>
      </c>
      <c r="H6393" s="544">
        <v>0.85</v>
      </c>
      <c r="I6393" s="412">
        <f>IF(AND(E6393&lt;&gt;"",G6393&lt;&gt;""),IF(D6393="",IF(G6393="OH",VLOOKUP(F6393,UPAH!$B$4:$H$101,7,0),VLOOKUP(F6393,#REF!,4,0)),0),0)</f>
        <v>0</v>
      </c>
      <c r="J6393" s="16">
        <f>H6393*I6393</f>
        <v>0</v>
      </c>
    </row>
    <row r="6394" spans="1:10" ht="13">
      <c r="A6394" s="27"/>
      <c r="B6394" s="110"/>
      <c r="D6394" s="409"/>
      <c r="E6394" s="13" t="s">
        <v>49</v>
      </c>
      <c r="F6394" s="13" t="s">
        <v>1922</v>
      </c>
      <c r="G6394" s="543" t="s">
        <v>48</v>
      </c>
      <c r="H6394" s="545">
        <v>2.5499999999999998</v>
      </c>
      <c r="I6394" s="412">
        <f>IF(AND(E6394&lt;&gt;"",G6394&lt;&gt;""),IF(D6394="",IF(G6394="OH",VLOOKUP(F6394,UPAH!$B$4:$H$101,7,0),VLOOKUP(F6394,#REF!,4,0)),0),0)</f>
        <v>0</v>
      </c>
      <c r="J6394" s="16">
        <f>H6394*I6394</f>
        <v>0</v>
      </c>
    </row>
    <row r="6395" spans="1:10" ht="13">
      <c r="A6395" s="27"/>
      <c r="B6395" s="110"/>
      <c r="D6395" s="409"/>
      <c r="E6395" s="13" t="s">
        <v>50</v>
      </c>
      <c r="F6395" s="13" t="s">
        <v>1928</v>
      </c>
      <c r="G6395" s="543" t="s">
        <v>48</v>
      </c>
      <c r="H6395" s="544">
        <v>0.255</v>
      </c>
      <c r="I6395" s="412">
        <f>IF(AND(E6395&lt;&gt;"",G6395&lt;&gt;""),IF(D6395="",IF(G6395="OH",VLOOKUP(F6395,UPAH!$B$4:$H$101,7,0),VLOOKUP(F6395,#REF!,4,0)),0),0)</f>
        <v>0</v>
      </c>
      <c r="J6395" s="16">
        <f>H6395*I6395</f>
        <v>0</v>
      </c>
    </row>
    <row r="6396" spans="1:10" ht="13.5" thickBot="1">
      <c r="A6396" s="27"/>
      <c r="B6396" s="110"/>
      <c r="D6396" s="409"/>
      <c r="E6396" s="13" t="s">
        <v>51</v>
      </c>
      <c r="F6396" s="13" t="s">
        <v>1929</v>
      </c>
      <c r="G6396" s="543" t="s">
        <v>48</v>
      </c>
      <c r="H6396" s="544">
        <v>4.2999999999999997E-2</v>
      </c>
      <c r="I6396" s="412">
        <f>IF(AND(E6396&lt;&gt;"",G6396&lt;&gt;""),IF(D6396="",IF(G6396="OH",VLOOKUP(F6396,UPAH!$B$4:$H$101,7,0),VLOOKUP(F6396,#REF!,4,0)),0),0)</f>
        <v>0</v>
      </c>
      <c r="J6396" s="16">
        <f>H6396*I6396</f>
        <v>0</v>
      </c>
    </row>
    <row r="6397" spans="1:10" ht="13.5" thickBot="1">
      <c r="A6397" s="27"/>
      <c r="B6397" s="110"/>
      <c r="D6397" s="417"/>
      <c r="E6397" s="418"/>
      <c r="F6397" s="418"/>
      <c r="G6397" s="419"/>
      <c r="H6397" s="420" t="s">
        <v>52</v>
      </c>
      <c r="I6397" s="421"/>
      <c r="J6397" s="396">
        <f>SUM(J6393:J6396)</f>
        <v>0</v>
      </c>
    </row>
    <row r="6398" spans="1:10" ht="13">
      <c r="A6398" s="27"/>
      <c r="B6398" s="110"/>
      <c r="D6398" s="406" t="s">
        <v>53</v>
      </c>
      <c r="E6398" s="13" t="s">
        <v>54</v>
      </c>
      <c r="F6398" s="14"/>
      <c r="G6398" s="15"/>
      <c r="H6398" s="451"/>
      <c r="I6398" s="412"/>
      <c r="J6398" s="16"/>
    </row>
    <row r="6399" spans="1:10" ht="13">
      <c r="A6399" s="27"/>
      <c r="B6399" s="110"/>
      <c r="D6399" s="409"/>
      <c r="E6399" s="13" t="s">
        <v>513</v>
      </c>
      <c r="F6399" s="14"/>
      <c r="G6399" s="543" t="s">
        <v>375</v>
      </c>
      <c r="H6399" s="544">
        <v>2.5000000000000001E-2</v>
      </c>
      <c r="I6399" s="412">
        <f>'BAHAN '!G199</f>
        <v>0</v>
      </c>
      <c r="J6399" s="16">
        <f>H6399*I6399</f>
        <v>0</v>
      </c>
    </row>
    <row r="6400" spans="1:10" ht="13">
      <c r="A6400" s="27"/>
      <c r="B6400" s="110"/>
      <c r="D6400" s="409"/>
      <c r="E6400" s="13" t="s">
        <v>486</v>
      </c>
      <c r="F6400" s="14"/>
      <c r="G6400" s="543" t="s">
        <v>93</v>
      </c>
      <c r="H6400" s="544">
        <v>0.03</v>
      </c>
      <c r="I6400" s="412">
        <f>'BAHAN '!G127</f>
        <v>0</v>
      </c>
      <c r="J6400" s="16">
        <f>H6400*I6400</f>
        <v>0</v>
      </c>
    </row>
    <row r="6401" spans="1:10" ht="13">
      <c r="A6401" s="27"/>
      <c r="B6401" s="110"/>
      <c r="D6401" s="409"/>
      <c r="E6401" s="13" t="s">
        <v>502</v>
      </c>
      <c r="F6401" s="14"/>
      <c r="G6401" s="543" t="s">
        <v>93</v>
      </c>
      <c r="H6401" s="544">
        <v>0.8</v>
      </c>
      <c r="I6401" s="412">
        <f>'BAHAN '!G816</f>
        <v>0</v>
      </c>
      <c r="J6401" s="16">
        <f>H6401*I6401</f>
        <v>0</v>
      </c>
    </row>
    <row r="6402" spans="1:10" ht="13">
      <c r="A6402" s="27"/>
      <c r="B6402" s="110"/>
      <c r="D6402" s="409"/>
      <c r="E6402" s="13" t="s">
        <v>197</v>
      </c>
      <c r="F6402" s="14"/>
      <c r="G6402" s="410" t="s">
        <v>175</v>
      </c>
      <c r="H6402" s="545">
        <v>1</v>
      </c>
      <c r="I6402" s="412">
        <f>$I$6382</f>
        <v>0</v>
      </c>
      <c r="J6402" s="16">
        <f>H6402*I6402</f>
        <v>0</v>
      </c>
    </row>
    <row r="6403" spans="1:10" ht="13.5" thickBot="1">
      <c r="A6403" s="27"/>
      <c r="B6403" s="110"/>
      <c r="D6403" s="409"/>
      <c r="E6403" s="13" t="s">
        <v>198</v>
      </c>
      <c r="F6403" s="14"/>
      <c r="G6403" s="410" t="s">
        <v>175</v>
      </c>
      <c r="H6403" s="544">
        <v>0.5</v>
      </c>
      <c r="I6403" s="412">
        <f>'BAHAN '!G772</f>
        <v>0</v>
      </c>
      <c r="J6403" s="16">
        <f>H6403*I6403</f>
        <v>0</v>
      </c>
    </row>
    <row r="6404" spans="1:10" ht="13.5" thickBot="1">
      <c r="A6404" s="27"/>
      <c r="B6404" s="110"/>
      <c r="D6404" s="417"/>
      <c r="E6404" s="418"/>
      <c r="F6404" s="418"/>
      <c r="G6404" s="419"/>
      <c r="H6404" s="420" t="s">
        <v>64</v>
      </c>
      <c r="I6404" s="421"/>
      <c r="J6404" s="396">
        <f>SUM(J6399:J6403)</f>
        <v>0</v>
      </c>
    </row>
    <row r="6405" spans="1:10" ht="13.5" thickBot="1">
      <c r="A6405" s="27"/>
      <c r="B6405" s="110"/>
      <c r="D6405" s="406" t="s">
        <v>65</v>
      </c>
      <c r="E6405" s="13" t="s">
        <v>66</v>
      </c>
      <c r="F6405" s="14"/>
      <c r="G6405" s="15"/>
      <c r="H6405" s="451"/>
      <c r="I6405" s="412">
        <f>IF(AND(E6405&lt;&gt;"",G6405&lt;&gt;""),IF(D6405="",IF(G6405="OH",VLOOKUP(E6405,UPAH!$C$4:$H$31,7,0),VLOOKUP(E6405,#REF!,4,0)),0),0)</f>
        <v>0</v>
      </c>
      <c r="J6405" s="16">
        <f>H6405*I6405</f>
        <v>0</v>
      </c>
    </row>
    <row r="6406" spans="1:10" ht="13.5" thickBot="1">
      <c r="A6406" s="27"/>
      <c r="B6406" s="110"/>
      <c r="D6406" s="417"/>
      <c r="E6406" s="418"/>
      <c r="F6406" s="418"/>
      <c r="G6406" s="419"/>
      <c r="H6406" s="420" t="s">
        <v>67</v>
      </c>
      <c r="I6406" s="421"/>
      <c r="J6406" s="396">
        <f>J6405</f>
        <v>0</v>
      </c>
    </row>
    <row r="6407" spans="1:10" ht="13">
      <c r="A6407" s="27"/>
      <c r="B6407" s="110"/>
      <c r="D6407" s="444" t="s">
        <v>68</v>
      </c>
      <c r="E6407" s="445" t="s">
        <v>69</v>
      </c>
      <c r="F6407" s="446"/>
      <c r="G6407" s="447"/>
      <c r="H6407" s="448"/>
      <c r="I6407" s="449">
        <f>IF(AND(E6407&lt;&gt;"",G6407&lt;&gt;""),IF(D6407="",IF(G6407="OH",VLOOKUP(E6407,UPAH!$C$4:$H$31,7,0),VLOOKUP(E6407,#REF!,4,0)),0),0)</f>
        <v>0</v>
      </c>
      <c r="J6407" s="16">
        <f>SUM(J6393:J6406)/2</f>
        <v>0</v>
      </c>
    </row>
    <row r="6408" spans="1:10" ht="13.5" thickBot="1">
      <c r="A6408" s="27"/>
      <c r="B6408" s="110"/>
      <c r="D6408" s="431" t="s">
        <v>70</v>
      </c>
      <c r="E6408" s="432" t="s">
        <v>477</v>
      </c>
      <c r="F6408" s="433"/>
      <c r="G6408" s="434"/>
      <c r="H6408" s="22">
        <v>0.1</v>
      </c>
      <c r="I6408" s="436"/>
      <c r="J6408" s="430">
        <f>H6408*J6407</f>
        <v>0</v>
      </c>
    </row>
    <row r="6409" spans="1:10" ht="13.5" thickBot="1">
      <c r="A6409" s="27"/>
      <c r="B6409" s="110"/>
      <c r="D6409" s="401" t="s">
        <v>71</v>
      </c>
      <c r="E6409" s="402" t="s">
        <v>72</v>
      </c>
      <c r="F6409" s="418"/>
      <c r="G6409" s="419"/>
      <c r="H6409" s="442"/>
      <c r="I6409" s="421">
        <f>IF(AND(E6409&lt;&gt;"",G6409&lt;&gt;""),IF(D6409="",IF(G6409="OH",VLOOKUP(E6409,UPAH!$C$4:$H$31,7,0),VLOOKUP(E6409,#REF!,4,0)),0),0)</f>
        <v>0</v>
      </c>
      <c r="J6409" s="396">
        <f>ROUNDDOWN(J6407+J6408,0)</f>
        <v>0</v>
      </c>
    </row>
    <row r="6410" spans="1:10" ht="13">
      <c r="A6410" s="27"/>
      <c r="B6410" s="110"/>
      <c r="D6410" s="11"/>
      <c r="E6410" s="11"/>
      <c r="H6410" s="443"/>
    </row>
    <row r="6411" spans="1:10" ht="13.5" thickBot="1">
      <c r="A6411" s="27"/>
      <c r="B6411" s="110"/>
      <c r="C6411" s="11" t="s">
        <v>1186</v>
      </c>
      <c r="D6411" s="10" t="s">
        <v>1187</v>
      </c>
      <c r="H6411" s="443"/>
    </row>
    <row r="6412" spans="1:10" ht="13.5" thickBot="1">
      <c r="A6412" s="27"/>
      <c r="B6412" s="110"/>
      <c r="D6412" s="401" t="s">
        <v>40</v>
      </c>
      <c r="E6412" s="402" t="s">
        <v>41</v>
      </c>
      <c r="F6412" s="402" t="s">
        <v>42</v>
      </c>
      <c r="G6412" s="403" t="s">
        <v>43</v>
      </c>
      <c r="H6412" s="404" t="s">
        <v>44</v>
      </c>
      <c r="I6412" s="402" t="s">
        <v>474</v>
      </c>
      <c r="J6412" s="405" t="s">
        <v>475</v>
      </c>
    </row>
    <row r="6413" spans="1:10" ht="13">
      <c r="A6413" s="27"/>
      <c r="B6413" s="110"/>
      <c r="D6413" s="406" t="s">
        <v>45</v>
      </c>
      <c r="E6413" s="13" t="s">
        <v>46</v>
      </c>
      <c r="F6413" s="14"/>
      <c r="G6413" s="15"/>
      <c r="H6413" s="451"/>
      <c r="I6413" s="412"/>
      <c r="J6413" s="16"/>
    </row>
    <row r="6414" spans="1:10" ht="13">
      <c r="A6414" s="27"/>
      <c r="B6414" s="110"/>
      <c r="D6414" s="409"/>
      <c r="E6414" s="13" t="s">
        <v>47</v>
      </c>
      <c r="F6414" s="13" t="s">
        <v>1918</v>
      </c>
      <c r="G6414" s="543" t="s">
        <v>48</v>
      </c>
      <c r="H6414" s="545">
        <v>4</v>
      </c>
      <c r="I6414" s="412">
        <f>IF(AND(E6414&lt;&gt;"",G6414&lt;&gt;""),IF(D6414="",IF(G6414="OH",VLOOKUP(F6414,UPAH!$B$4:$H$101,7,0),VLOOKUP(F6414,#REF!,4,0)),0),0)</f>
        <v>0</v>
      </c>
      <c r="J6414" s="16">
        <f>H6414*I6414</f>
        <v>0</v>
      </c>
    </row>
    <row r="6415" spans="1:10" ht="13">
      <c r="A6415" s="27"/>
      <c r="B6415" s="110"/>
      <c r="D6415" s="409"/>
      <c r="E6415" s="13" t="s">
        <v>49</v>
      </c>
      <c r="F6415" s="13" t="s">
        <v>1922</v>
      </c>
      <c r="G6415" s="543" t="s">
        <v>48</v>
      </c>
      <c r="H6415" s="545">
        <v>12</v>
      </c>
      <c r="I6415" s="412">
        <f>IF(AND(E6415&lt;&gt;"",G6415&lt;&gt;""),IF(D6415="",IF(G6415="OH",VLOOKUP(F6415,UPAH!$B$4:$H$101,7,0),VLOOKUP(F6415,#REF!,4,0)),0),0)</f>
        <v>0</v>
      </c>
      <c r="J6415" s="16">
        <f>H6415*I6415</f>
        <v>0</v>
      </c>
    </row>
    <row r="6416" spans="1:10" ht="13">
      <c r="A6416" s="27"/>
      <c r="B6416" s="110"/>
      <c r="D6416" s="409"/>
      <c r="E6416" s="13" t="s">
        <v>50</v>
      </c>
      <c r="F6416" s="13" t="s">
        <v>1928</v>
      </c>
      <c r="G6416" s="543" t="s">
        <v>48</v>
      </c>
      <c r="H6416" s="545">
        <v>1.2</v>
      </c>
      <c r="I6416" s="412">
        <f>IF(AND(E6416&lt;&gt;"",G6416&lt;&gt;""),IF(D6416="",IF(G6416="OH",VLOOKUP(F6416,UPAH!$B$4:$H$101,7,0),VLOOKUP(F6416,#REF!,4,0)),0),0)</f>
        <v>0</v>
      </c>
      <c r="J6416" s="16">
        <f>H6416*I6416</f>
        <v>0</v>
      </c>
    </row>
    <row r="6417" spans="1:10" ht="13.5" thickBot="1">
      <c r="A6417" s="27"/>
      <c r="B6417" s="110"/>
      <c r="D6417" s="409"/>
      <c r="E6417" s="13" t="s">
        <v>51</v>
      </c>
      <c r="F6417" s="13" t="s">
        <v>1929</v>
      </c>
      <c r="G6417" s="543" t="s">
        <v>48</v>
      </c>
      <c r="H6417" s="544">
        <v>0.2</v>
      </c>
      <c r="I6417" s="412">
        <f>IF(AND(E6417&lt;&gt;"",G6417&lt;&gt;""),IF(D6417="",IF(G6417="OH",VLOOKUP(F6417,UPAH!$B$4:$H$101,7,0),VLOOKUP(F6417,#REF!,4,0)),0),0)</f>
        <v>0</v>
      </c>
      <c r="J6417" s="16">
        <f>H6417*I6417</f>
        <v>0</v>
      </c>
    </row>
    <row r="6418" spans="1:10" ht="13.5" thickBot="1">
      <c r="A6418" s="27"/>
      <c r="B6418" s="110"/>
      <c r="D6418" s="417"/>
      <c r="E6418" s="418"/>
      <c r="F6418" s="418"/>
      <c r="G6418" s="419"/>
      <c r="H6418" s="420" t="s">
        <v>52</v>
      </c>
      <c r="I6418" s="421"/>
      <c r="J6418" s="396">
        <f>SUM(J6414:J6417)</f>
        <v>0</v>
      </c>
    </row>
    <row r="6419" spans="1:10" ht="13">
      <c r="A6419" s="27"/>
      <c r="B6419" s="110"/>
      <c r="D6419" s="406" t="s">
        <v>53</v>
      </c>
      <c r="E6419" s="13" t="s">
        <v>54</v>
      </c>
      <c r="F6419" s="14"/>
      <c r="G6419" s="15"/>
      <c r="H6419" s="451"/>
      <c r="I6419" s="412"/>
      <c r="J6419" s="16"/>
    </row>
    <row r="6420" spans="1:10" ht="13">
      <c r="A6420" s="27"/>
      <c r="B6420" s="110"/>
      <c r="D6420" s="409"/>
      <c r="E6420" s="13" t="s">
        <v>196</v>
      </c>
      <c r="F6420" s="14"/>
      <c r="G6420" s="543" t="s">
        <v>375</v>
      </c>
      <c r="H6420" s="545">
        <v>1.1000000000000001</v>
      </c>
      <c r="I6420" s="412">
        <f>'BAHAN '!G199</f>
        <v>0</v>
      </c>
      <c r="J6420" s="16">
        <f>H6420*I6420</f>
        <v>0</v>
      </c>
    </row>
    <row r="6421" spans="1:10" ht="13">
      <c r="A6421" s="27"/>
      <c r="B6421" s="110"/>
      <c r="D6421" s="409"/>
      <c r="E6421" s="13" t="s">
        <v>84</v>
      </c>
      <c r="F6421" s="14"/>
      <c r="G6421" s="543" t="s">
        <v>93</v>
      </c>
      <c r="H6421" s="545">
        <v>15</v>
      </c>
      <c r="I6421" s="412">
        <f>'BAHAN '!G98</f>
        <v>0</v>
      </c>
      <c r="J6421" s="16">
        <f>H6421*I6421</f>
        <v>0</v>
      </c>
    </row>
    <row r="6422" spans="1:10" ht="13.5" thickBot="1">
      <c r="A6422" s="27"/>
      <c r="B6422" s="110"/>
      <c r="D6422" s="409"/>
      <c r="E6422" s="13" t="s">
        <v>486</v>
      </c>
      <c r="F6422" s="14"/>
      <c r="G6422" s="543" t="s">
        <v>93</v>
      </c>
      <c r="H6422" s="545">
        <v>5.6</v>
      </c>
      <c r="I6422" s="412">
        <f>'BAHAN '!G127</f>
        <v>0</v>
      </c>
      <c r="J6422" s="16">
        <f>H6422*I6422</f>
        <v>0</v>
      </c>
    </row>
    <row r="6423" spans="1:10" ht="13.5" thickBot="1">
      <c r="A6423" s="27"/>
      <c r="B6423" s="110"/>
      <c r="D6423" s="417"/>
      <c r="E6423" s="418"/>
      <c r="F6423" s="418"/>
      <c r="G6423" s="419"/>
      <c r="H6423" s="420" t="s">
        <v>64</v>
      </c>
      <c r="I6423" s="421"/>
      <c r="J6423" s="396">
        <f>SUM(J6420:J6422)</f>
        <v>0</v>
      </c>
    </row>
    <row r="6424" spans="1:10" ht="13.5" thickBot="1">
      <c r="A6424" s="27"/>
      <c r="B6424" s="110"/>
      <c r="D6424" s="406" t="s">
        <v>65</v>
      </c>
      <c r="E6424" s="13" t="s">
        <v>66</v>
      </c>
      <c r="F6424" s="14"/>
      <c r="G6424" s="15"/>
      <c r="H6424" s="451"/>
      <c r="I6424" s="412">
        <f>IF(AND(E6424&lt;&gt;"",G6424&lt;&gt;""),IF(D6424="",IF(G6424="OH",VLOOKUP(E6424,UPAH!$C$4:$H$31,7,0),VLOOKUP(E6424,#REF!,4,0)),0),0)</f>
        <v>0</v>
      </c>
      <c r="J6424" s="16">
        <f>H6424*I6424</f>
        <v>0</v>
      </c>
    </row>
    <row r="6425" spans="1:10" ht="13.5" thickBot="1">
      <c r="A6425" s="27"/>
      <c r="B6425" s="110"/>
      <c r="D6425" s="417"/>
      <c r="E6425" s="418"/>
      <c r="F6425" s="418"/>
      <c r="G6425" s="419"/>
      <c r="H6425" s="420" t="s">
        <v>67</v>
      </c>
      <c r="I6425" s="421"/>
      <c r="J6425" s="396">
        <f>J6424</f>
        <v>0</v>
      </c>
    </row>
    <row r="6426" spans="1:10" ht="13">
      <c r="A6426" s="27"/>
      <c r="B6426" s="110"/>
      <c r="D6426" s="444" t="s">
        <v>68</v>
      </c>
      <c r="E6426" s="445" t="s">
        <v>69</v>
      </c>
      <c r="F6426" s="446"/>
      <c r="G6426" s="447"/>
      <c r="H6426" s="448"/>
      <c r="I6426" s="449">
        <f>IF(AND(E6426&lt;&gt;"",G6426&lt;&gt;""),IF(D6426="",IF(G6426="OH",VLOOKUP(E6426,UPAH!$C$4:$H$31,7,0),VLOOKUP(E6426,#REF!,4,0)),0),0)</f>
        <v>0</v>
      </c>
      <c r="J6426" s="16">
        <f>SUM(J6414:J6425)/2</f>
        <v>0</v>
      </c>
    </row>
    <row r="6427" spans="1:10" ht="13.5" thickBot="1">
      <c r="A6427" s="27"/>
      <c r="B6427" s="110"/>
      <c r="D6427" s="431" t="s">
        <v>70</v>
      </c>
      <c r="E6427" s="432" t="s">
        <v>477</v>
      </c>
      <c r="F6427" s="433"/>
      <c r="G6427" s="434"/>
      <c r="H6427" s="22">
        <v>0.1</v>
      </c>
      <c r="I6427" s="436"/>
      <c r="J6427" s="430">
        <f>H6427*J6426</f>
        <v>0</v>
      </c>
    </row>
    <row r="6428" spans="1:10" ht="13.5" thickBot="1">
      <c r="A6428" s="27"/>
      <c r="B6428" s="110"/>
      <c r="D6428" s="401" t="s">
        <v>71</v>
      </c>
      <c r="E6428" s="402" t="s">
        <v>72</v>
      </c>
      <c r="F6428" s="418"/>
      <c r="G6428" s="419"/>
      <c r="H6428" s="442"/>
      <c r="I6428" s="421">
        <f>IF(AND(E6428&lt;&gt;"",G6428&lt;&gt;""),IF(D6428="",IF(G6428="OH",VLOOKUP(E6428,UPAH!$C$4:$H$31,7,0),VLOOKUP(E6428,#REF!,4,0)),0),0)</f>
        <v>0</v>
      </c>
      <c r="J6428" s="396">
        <f>ROUNDDOWN(J6426+J6427,0)</f>
        <v>0</v>
      </c>
    </row>
    <row r="6429" spans="1:10" ht="13">
      <c r="A6429" s="27"/>
      <c r="B6429" s="110"/>
      <c r="D6429" s="11"/>
      <c r="E6429" s="11"/>
      <c r="H6429" s="443"/>
    </row>
    <row r="6430" spans="1:10" ht="13.5" thickBot="1">
      <c r="A6430" s="27"/>
      <c r="B6430" s="110"/>
      <c r="C6430" s="11" t="s">
        <v>1188</v>
      </c>
      <c r="D6430" s="10" t="s">
        <v>1189</v>
      </c>
      <c r="H6430" s="443"/>
    </row>
    <row r="6431" spans="1:10" ht="13.5" thickBot="1">
      <c r="A6431" s="27"/>
      <c r="B6431" s="110"/>
      <c r="D6431" s="401" t="s">
        <v>40</v>
      </c>
      <c r="E6431" s="402" t="s">
        <v>41</v>
      </c>
      <c r="F6431" s="402" t="s">
        <v>42</v>
      </c>
      <c r="G6431" s="403" t="s">
        <v>43</v>
      </c>
      <c r="H6431" s="404" t="s">
        <v>44</v>
      </c>
      <c r="I6431" s="402" t="s">
        <v>474</v>
      </c>
      <c r="J6431" s="405" t="s">
        <v>475</v>
      </c>
    </row>
    <row r="6432" spans="1:10" ht="13">
      <c r="A6432" s="27"/>
      <c r="B6432" s="110"/>
      <c r="D6432" s="406" t="s">
        <v>45</v>
      </c>
      <c r="E6432" s="13" t="s">
        <v>46</v>
      </c>
      <c r="F6432" s="14"/>
      <c r="G6432" s="15"/>
      <c r="H6432" s="451"/>
      <c r="I6432" s="412"/>
      <c r="J6432" s="16"/>
    </row>
    <row r="6433" spans="1:10" ht="13">
      <c r="A6433" s="27"/>
      <c r="B6433" s="110"/>
      <c r="D6433" s="409"/>
      <c r="E6433" s="13" t="s">
        <v>47</v>
      </c>
      <c r="F6433" s="13" t="s">
        <v>1918</v>
      </c>
      <c r="G6433" s="543" t="s">
        <v>48</v>
      </c>
      <c r="H6433" s="545">
        <v>6.7</v>
      </c>
      <c r="I6433" s="412">
        <f>IF(AND(E6433&lt;&gt;"",G6433&lt;&gt;""),IF(D6433="",IF(G6433="OH",VLOOKUP(F6433,UPAH!$B$4:$H$101,7,0),VLOOKUP(F6433,#REF!,4,0)),0),0)</f>
        <v>0</v>
      </c>
      <c r="J6433" s="16">
        <f>H6433*I6433</f>
        <v>0</v>
      </c>
    </row>
    <row r="6434" spans="1:10" ht="13">
      <c r="A6434" s="27"/>
      <c r="B6434" s="110"/>
      <c r="D6434" s="409"/>
      <c r="E6434" s="13" t="s">
        <v>49</v>
      </c>
      <c r="F6434" s="13" t="s">
        <v>1922</v>
      </c>
      <c r="G6434" s="543" t="s">
        <v>48</v>
      </c>
      <c r="H6434" s="545">
        <v>20.100000000000001</v>
      </c>
      <c r="I6434" s="412">
        <f>IF(AND(E6434&lt;&gt;"",G6434&lt;&gt;""),IF(D6434="",IF(G6434="OH",VLOOKUP(F6434,UPAH!$B$4:$H$101,7,0),VLOOKUP(F6434,#REF!,4,0)),0),0)</f>
        <v>0</v>
      </c>
      <c r="J6434" s="16">
        <f>H6434*I6434</f>
        <v>0</v>
      </c>
    </row>
    <row r="6435" spans="1:10" ht="13">
      <c r="A6435" s="27"/>
      <c r="B6435" s="110"/>
      <c r="D6435" s="409"/>
      <c r="E6435" s="13" t="s">
        <v>50</v>
      </c>
      <c r="F6435" s="13" t="s">
        <v>1928</v>
      </c>
      <c r="G6435" s="543" t="s">
        <v>48</v>
      </c>
      <c r="H6435" s="545">
        <v>2.0099999999999998</v>
      </c>
      <c r="I6435" s="412">
        <f>IF(AND(E6435&lt;&gt;"",G6435&lt;&gt;""),IF(D6435="",IF(G6435="OH",VLOOKUP(F6435,UPAH!$B$4:$H$101,7,0),VLOOKUP(F6435,#REF!,4,0)),0),0)</f>
        <v>0</v>
      </c>
      <c r="J6435" s="16">
        <f>H6435*I6435</f>
        <v>0</v>
      </c>
    </row>
    <row r="6436" spans="1:10" ht="13.5" thickBot="1">
      <c r="A6436" s="27"/>
      <c r="B6436" s="110"/>
      <c r="D6436" s="409"/>
      <c r="E6436" s="13" t="s">
        <v>51</v>
      </c>
      <c r="F6436" s="13" t="s">
        <v>1929</v>
      </c>
      <c r="G6436" s="543" t="s">
        <v>48</v>
      </c>
      <c r="H6436" s="544">
        <v>0.33500000000000002</v>
      </c>
      <c r="I6436" s="412">
        <f>IF(AND(E6436&lt;&gt;"",G6436&lt;&gt;""),IF(D6436="",IF(G6436="OH",VLOOKUP(F6436,UPAH!$B$4:$H$101,7,0),VLOOKUP(F6436,#REF!,4,0)),0),0)</f>
        <v>0</v>
      </c>
      <c r="J6436" s="16">
        <f>H6436*I6436</f>
        <v>0</v>
      </c>
    </row>
    <row r="6437" spans="1:10" ht="13.5" thickBot="1">
      <c r="A6437" s="27"/>
      <c r="B6437" s="110"/>
      <c r="D6437" s="417"/>
      <c r="E6437" s="418"/>
      <c r="F6437" s="418"/>
      <c r="G6437" s="419"/>
      <c r="H6437" s="420" t="s">
        <v>52</v>
      </c>
      <c r="I6437" s="421"/>
      <c r="J6437" s="396">
        <f>SUM(J6433:J6436)</f>
        <v>0</v>
      </c>
    </row>
    <row r="6438" spans="1:10" ht="13">
      <c r="A6438" s="27"/>
      <c r="B6438" s="110"/>
      <c r="D6438" s="406" t="s">
        <v>53</v>
      </c>
      <c r="E6438" s="13" t="s">
        <v>54</v>
      </c>
      <c r="F6438" s="14"/>
      <c r="G6438" s="15"/>
      <c r="H6438" s="451"/>
      <c r="I6438" s="412"/>
      <c r="J6438" s="16"/>
    </row>
    <row r="6439" spans="1:10" ht="13">
      <c r="A6439" s="27"/>
      <c r="B6439" s="110"/>
      <c r="D6439" s="409"/>
      <c r="E6439" s="13" t="s">
        <v>196</v>
      </c>
      <c r="F6439" s="14"/>
      <c r="G6439" s="543" t="s">
        <v>375</v>
      </c>
      <c r="H6439" s="545">
        <v>1.2</v>
      </c>
      <c r="I6439" s="412">
        <f>'BAHAN '!G197</f>
        <v>0</v>
      </c>
      <c r="J6439" s="16">
        <f>H6439*I6439</f>
        <v>0</v>
      </c>
    </row>
    <row r="6440" spans="1:10" ht="13">
      <c r="A6440" s="27"/>
      <c r="B6440" s="110"/>
      <c r="D6440" s="409"/>
      <c r="E6440" s="13" t="s">
        <v>84</v>
      </c>
      <c r="F6440" s="14"/>
      <c r="G6440" s="543" t="s">
        <v>93</v>
      </c>
      <c r="H6440" s="545">
        <v>15</v>
      </c>
      <c r="I6440" s="412">
        <f>'BAHAN '!G98</f>
        <v>0</v>
      </c>
      <c r="J6440" s="16">
        <f>H6440*I6440</f>
        <v>0</v>
      </c>
    </row>
    <row r="6441" spans="1:10" ht="13.5" thickBot="1">
      <c r="A6441" s="27"/>
      <c r="B6441" s="110"/>
      <c r="D6441" s="409"/>
      <c r="E6441" s="13" t="s">
        <v>486</v>
      </c>
      <c r="F6441" s="14"/>
      <c r="G6441" s="543" t="s">
        <v>93</v>
      </c>
      <c r="H6441" s="545">
        <v>5.6</v>
      </c>
      <c r="I6441" s="412">
        <f>'BAHAN '!G127</f>
        <v>0</v>
      </c>
      <c r="J6441" s="16">
        <f>H6441*I6441</f>
        <v>0</v>
      </c>
    </row>
    <row r="6442" spans="1:10" ht="13.5" thickBot="1">
      <c r="A6442" s="27"/>
      <c r="B6442" s="110"/>
      <c r="D6442" s="417"/>
      <c r="E6442" s="418"/>
      <c r="F6442" s="418"/>
      <c r="G6442" s="419"/>
      <c r="H6442" s="420" t="s">
        <v>64</v>
      </c>
      <c r="I6442" s="421"/>
      <c r="J6442" s="396">
        <f>SUM(J6439:J6441)</f>
        <v>0</v>
      </c>
    </row>
    <row r="6443" spans="1:10" ht="13.5" thickBot="1">
      <c r="A6443" s="27"/>
      <c r="B6443" s="110"/>
      <c r="D6443" s="406" t="s">
        <v>65</v>
      </c>
      <c r="E6443" s="13" t="s">
        <v>66</v>
      </c>
      <c r="F6443" s="14"/>
      <c r="G6443" s="15"/>
      <c r="H6443" s="451"/>
      <c r="I6443" s="412">
        <f>IF(AND(E6443&lt;&gt;"",G6443&lt;&gt;""),IF(D6443="",IF(G6443="OH",VLOOKUP(E6443,UPAH!$C$4:$H$31,7,0),VLOOKUP(E6443,#REF!,4,0)),0),0)</f>
        <v>0</v>
      </c>
      <c r="J6443" s="16">
        <f>H6443*I6443</f>
        <v>0</v>
      </c>
    </row>
    <row r="6444" spans="1:10" ht="13.5" thickBot="1">
      <c r="A6444" s="27"/>
      <c r="B6444" s="110"/>
      <c r="D6444" s="417"/>
      <c r="E6444" s="418"/>
      <c r="F6444" s="418"/>
      <c r="G6444" s="419"/>
      <c r="H6444" s="420" t="s">
        <v>67</v>
      </c>
      <c r="I6444" s="421"/>
      <c r="J6444" s="396">
        <f>J6443</f>
        <v>0</v>
      </c>
    </row>
    <row r="6445" spans="1:10" ht="13">
      <c r="A6445" s="27"/>
      <c r="B6445" s="110"/>
      <c r="D6445" s="444" t="s">
        <v>68</v>
      </c>
      <c r="E6445" s="445" t="s">
        <v>69</v>
      </c>
      <c r="F6445" s="446"/>
      <c r="G6445" s="447"/>
      <c r="H6445" s="448"/>
      <c r="I6445" s="449">
        <f>IF(AND(E6445&lt;&gt;"",G6445&lt;&gt;""),IF(D6445="",IF(G6445="OH",VLOOKUP(E6445,UPAH!$C$4:$H$31,7,0),VLOOKUP(E6445,#REF!,4,0)),0),0)</f>
        <v>0</v>
      </c>
      <c r="J6445" s="16">
        <f>SUM(J6433:J6444)/2</f>
        <v>0</v>
      </c>
    </row>
    <row r="6446" spans="1:10" ht="13.5" thickBot="1">
      <c r="A6446" s="27"/>
      <c r="B6446" s="110"/>
      <c r="D6446" s="431" t="s">
        <v>70</v>
      </c>
      <c r="E6446" s="432" t="s">
        <v>477</v>
      </c>
      <c r="F6446" s="433"/>
      <c r="G6446" s="434"/>
      <c r="H6446" s="22">
        <v>0.1</v>
      </c>
      <c r="I6446" s="436"/>
      <c r="J6446" s="430">
        <f>H6446*J6445</f>
        <v>0</v>
      </c>
    </row>
    <row r="6447" spans="1:10" ht="13.5" thickBot="1">
      <c r="A6447" s="27"/>
      <c r="B6447" s="110"/>
      <c r="D6447" s="401" t="s">
        <v>71</v>
      </c>
      <c r="E6447" s="402" t="s">
        <v>72</v>
      </c>
      <c r="F6447" s="418"/>
      <c r="G6447" s="419"/>
      <c r="H6447" s="442"/>
      <c r="I6447" s="421">
        <f>IF(AND(E6447&lt;&gt;"",G6447&lt;&gt;""),IF(D6447="",IF(G6447="OH",VLOOKUP(E6447,UPAH!$C$4:$H$31,7,0),VLOOKUP(E6447,#REF!,4,0)),0),0)</f>
        <v>0</v>
      </c>
      <c r="J6447" s="396">
        <f>ROUNDDOWN(J6445+J6446,0)</f>
        <v>0</v>
      </c>
    </row>
    <row r="6448" spans="1:10" ht="13">
      <c r="A6448" s="27"/>
      <c r="B6448" s="110"/>
      <c r="D6448" s="11"/>
      <c r="E6448" s="11"/>
      <c r="H6448" s="443"/>
    </row>
    <row r="6449" spans="1:10" ht="13.5" thickBot="1">
      <c r="A6449" s="27"/>
      <c r="B6449" s="110"/>
      <c r="C6449" s="11" t="s">
        <v>1190</v>
      </c>
      <c r="D6449" s="10" t="s">
        <v>1191</v>
      </c>
      <c r="H6449" s="443"/>
    </row>
    <row r="6450" spans="1:10" ht="13.5" thickBot="1">
      <c r="A6450" s="27"/>
      <c r="B6450" s="110"/>
      <c r="D6450" s="401" t="s">
        <v>40</v>
      </c>
      <c r="E6450" s="402" t="s">
        <v>41</v>
      </c>
      <c r="F6450" s="402" t="s">
        <v>42</v>
      </c>
      <c r="G6450" s="403" t="s">
        <v>43</v>
      </c>
      <c r="H6450" s="404" t="s">
        <v>44</v>
      </c>
      <c r="I6450" s="402" t="s">
        <v>474</v>
      </c>
      <c r="J6450" s="405" t="s">
        <v>475</v>
      </c>
    </row>
    <row r="6451" spans="1:10" ht="13">
      <c r="A6451" s="27"/>
      <c r="B6451" s="110"/>
      <c r="D6451" s="406" t="s">
        <v>45</v>
      </c>
      <c r="E6451" s="13" t="s">
        <v>46</v>
      </c>
      <c r="F6451" s="14"/>
      <c r="G6451" s="15"/>
      <c r="H6451" s="451"/>
      <c r="I6451" s="412"/>
      <c r="J6451" s="16"/>
    </row>
    <row r="6452" spans="1:10" ht="13">
      <c r="A6452" s="27"/>
      <c r="B6452" s="110"/>
      <c r="D6452" s="409"/>
      <c r="E6452" s="13" t="s">
        <v>47</v>
      </c>
      <c r="F6452" s="13" t="s">
        <v>1918</v>
      </c>
      <c r="G6452" s="543" t="s">
        <v>48</v>
      </c>
      <c r="H6452" s="545">
        <v>6.7</v>
      </c>
      <c r="I6452" s="412">
        <f>IF(AND(E6452&lt;&gt;"",G6452&lt;&gt;""),IF(D6452="",IF(G6452="OH",VLOOKUP(F6452,UPAH!$B$4:$H$101,7,0),VLOOKUP(F6452,#REF!,4,0)),0),0)</f>
        <v>0</v>
      </c>
      <c r="J6452" s="16">
        <f>H6452*I6452</f>
        <v>0</v>
      </c>
    </row>
    <row r="6453" spans="1:10" ht="13">
      <c r="A6453" s="27"/>
      <c r="B6453" s="110"/>
      <c r="D6453" s="409"/>
      <c r="E6453" s="13" t="s">
        <v>49</v>
      </c>
      <c r="F6453" s="13" t="s">
        <v>1922</v>
      </c>
      <c r="G6453" s="543" t="s">
        <v>48</v>
      </c>
      <c r="H6453" s="545">
        <v>20.100000000000001</v>
      </c>
      <c r="I6453" s="412">
        <f>IF(AND(E6453&lt;&gt;"",G6453&lt;&gt;""),IF(D6453="",IF(G6453="OH",VLOOKUP(F6453,UPAH!$B$4:$H$101,7,0),VLOOKUP(F6453,#REF!,4,0)),0),0)</f>
        <v>0</v>
      </c>
      <c r="J6453" s="16">
        <f>H6453*I6453</f>
        <v>0</v>
      </c>
    </row>
    <row r="6454" spans="1:10" ht="13">
      <c r="A6454" s="27"/>
      <c r="B6454" s="110"/>
      <c r="D6454" s="409"/>
      <c r="E6454" s="13" t="s">
        <v>50</v>
      </c>
      <c r="F6454" s="13" t="s">
        <v>1928</v>
      </c>
      <c r="G6454" s="543" t="s">
        <v>48</v>
      </c>
      <c r="H6454" s="545">
        <v>2.0099999999999998</v>
      </c>
      <c r="I6454" s="412">
        <f>IF(AND(E6454&lt;&gt;"",G6454&lt;&gt;""),IF(D6454="",IF(G6454="OH",VLOOKUP(F6454,UPAH!$B$4:$H$101,7,0),VLOOKUP(F6454,#REF!,4,0)),0),0)</f>
        <v>0</v>
      </c>
      <c r="J6454" s="16">
        <f>H6454*I6454</f>
        <v>0</v>
      </c>
    </row>
    <row r="6455" spans="1:10" ht="13.5" thickBot="1">
      <c r="A6455" s="27"/>
      <c r="B6455" s="110"/>
      <c r="D6455" s="409"/>
      <c r="E6455" s="13" t="s">
        <v>51</v>
      </c>
      <c r="F6455" s="13" t="s">
        <v>1929</v>
      </c>
      <c r="G6455" s="543" t="s">
        <v>48</v>
      </c>
      <c r="H6455" s="546" t="s">
        <v>3229</v>
      </c>
      <c r="I6455" s="412">
        <f>IF(AND(E6455&lt;&gt;"",G6455&lt;&gt;""),IF(D6455="",IF(G6455="OH",VLOOKUP(F6455,UPAH!$B$4:$H$101,7,0),VLOOKUP(F6455,#REF!,4,0)),0),0)</f>
        <v>0</v>
      </c>
      <c r="J6455" s="547">
        <v>0</v>
      </c>
    </row>
    <row r="6456" spans="1:10" ht="13.5" thickBot="1">
      <c r="A6456" s="27"/>
      <c r="B6456" s="110"/>
      <c r="D6456" s="417"/>
      <c r="E6456" s="418"/>
      <c r="F6456" s="418"/>
      <c r="G6456" s="419"/>
      <c r="H6456" s="420" t="s">
        <v>52</v>
      </c>
      <c r="I6456" s="421"/>
      <c r="J6456" s="396">
        <f>SUM(J6452:J6455)</f>
        <v>0</v>
      </c>
    </row>
    <row r="6457" spans="1:10" ht="13">
      <c r="A6457" s="27"/>
      <c r="B6457" s="110"/>
      <c r="D6457" s="406" t="s">
        <v>53</v>
      </c>
      <c r="E6457" s="13" t="s">
        <v>54</v>
      </c>
      <c r="F6457" s="14"/>
      <c r="G6457" s="15"/>
      <c r="H6457" s="451"/>
      <c r="I6457" s="412"/>
      <c r="J6457" s="16"/>
    </row>
    <row r="6458" spans="1:10" ht="13">
      <c r="A6458" s="27"/>
      <c r="B6458" s="110"/>
      <c r="D6458" s="409"/>
      <c r="E6458" s="13" t="s">
        <v>196</v>
      </c>
      <c r="F6458" s="14"/>
      <c r="G6458" s="543" t="s">
        <v>375</v>
      </c>
      <c r="H6458" s="545">
        <v>1.1000000000000001</v>
      </c>
      <c r="I6458" s="412">
        <f>'BAHAN '!G199</f>
        <v>0</v>
      </c>
      <c r="J6458" s="16">
        <f>H6458*I6458</f>
        <v>0</v>
      </c>
    </row>
    <row r="6459" spans="1:10" ht="13">
      <c r="A6459" s="27"/>
      <c r="B6459" s="110"/>
      <c r="D6459" s="409"/>
      <c r="E6459" s="13" t="s">
        <v>84</v>
      </c>
      <c r="F6459" s="14"/>
      <c r="G6459" s="543" t="s">
        <v>93</v>
      </c>
      <c r="H6459" s="545">
        <v>15</v>
      </c>
      <c r="I6459" s="412">
        <f>'BAHAN '!G98</f>
        <v>0</v>
      </c>
      <c r="J6459" s="16">
        <f>H6459*I6459</f>
        <v>0</v>
      </c>
    </row>
    <row r="6460" spans="1:10" ht="13.5" thickBot="1">
      <c r="A6460" s="27"/>
      <c r="B6460" s="110"/>
      <c r="D6460" s="409"/>
      <c r="E6460" s="13" t="s">
        <v>486</v>
      </c>
      <c r="F6460" s="14"/>
      <c r="G6460" s="543" t="s">
        <v>93</v>
      </c>
      <c r="H6460" s="545">
        <v>3</v>
      </c>
      <c r="I6460" s="412">
        <f>'BAHAN '!G127</f>
        <v>0</v>
      </c>
      <c r="J6460" s="16">
        <f>H6460*I6460</f>
        <v>0</v>
      </c>
    </row>
    <row r="6461" spans="1:10" ht="13.5" thickBot="1">
      <c r="A6461" s="27"/>
      <c r="B6461" s="110"/>
      <c r="D6461" s="417"/>
      <c r="E6461" s="418"/>
      <c r="F6461" s="418"/>
      <c r="G6461" s="419"/>
      <c r="H6461" s="420" t="s">
        <v>64</v>
      </c>
      <c r="I6461" s="421"/>
      <c r="J6461" s="396">
        <f>SUM(J6458:J6460)</f>
        <v>0</v>
      </c>
    </row>
    <row r="6462" spans="1:10" ht="13.5" thickBot="1">
      <c r="A6462" s="27"/>
      <c r="B6462" s="110"/>
      <c r="D6462" s="406" t="s">
        <v>65</v>
      </c>
      <c r="E6462" s="13" t="s">
        <v>66</v>
      </c>
      <c r="F6462" s="14"/>
      <c r="G6462" s="15"/>
      <c r="H6462" s="451"/>
      <c r="I6462" s="412">
        <f>IF(AND(E6462&lt;&gt;"",G6462&lt;&gt;""),IF(D6462="",IF(G6462="OH",VLOOKUP(E6462,UPAH!$C$4:$H$31,7,0),VLOOKUP(E6462,#REF!,4,0)),0),0)</f>
        <v>0</v>
      </c>
      <c r="J6462" s="16">
        <f>H6462*I6462</f>
        <v>0</v>
      </c>
    </row>
    <row r="6463" spans="1:10" ht="13.5" thickBot="1">
      <c r="A6463" s="27"/>
      <c r="B6463" s="110"/>
      <c r="D6463" s="417"/>
      <c r="E6463" s="418"/>
      <c r="F6463" s="418"/>
      <c r="G6463" s="419"/>
      <c r="H6463" s="420" t="s">
        <v>67</v>
      </c>
      <c r="I6463" s="421"/>
      <c r="J6463" s="396">
        <f>J6462</f>
        <v>0</v>
      </c>
    </row>
    <row r="6464" spans="1:10" ht="13">
      <c r="A6464" s="27"/>
      <c r="B6464" s="110"/>
      <c r="D6464" s="444" t="s">
        <v>68</v>
      </c>
      <c r="E6464" s="445" t="s">
        <v>69</v>
      </c>
      <c r="F6464" s="446"/>
      <c r="G6464" s="447"/>
      <c r="H6464" s="448"/>
      <c r="I6464" s="449">
        <f>IF(AND(E6464&lt;&gt;"",G6464&lt;&gt;""),IF(D6464="",IF(G6464="OH",VLOOKUP(E6464,UPAH!$C$4:$H$31,7,0),VLOOKUP(E6464,#REF!,4,0)),0),0)</f>
        <v>0</v>
      </c>
      <c r="J6464" s="16">
        <f>SUM(J6452:J6463)/2</f>
        <v>0</v>
      </c>
    </row>
    <row r="6465" spans="1:10" ht="13.5" thickBot="1">
      <c r="A6465" s="27"/>
      <c r="B6465" s="110"/>
      <c r="D6465" s="431" t="s">
        <v>70</v>
      </c>
      <c r="E6465" s="432" t="s">
        <v>477</v>
      </c>
      <c r="F6465" s="433"/>
      <c r="G6465" s="434"/>
      <c r="H6465" s="22">
        <v>0.1</v>
      </c>
      <c r="I6465" s="436"/>
      <c r="J6465" s="430">
        <f>H6465*J6464</f>
        <v>0</v>
      </c>
    </row>
    <row r="6466" spans="1:10" ht="13.5" thickBot="1">
      <c r="A6466" s="27"/>
      <c r="B6466" s="110"/>
      <c r="D6466" s="401" t="s">
        <v>71</v>
      </c>
      <c r="E6466" s="402" t="s">
        <v>72</v>
      </c>
      <c r="F6466" s="418"/>
      <c r="G6466" s="419"/>
      <c r="H6466" s="442"/>
      <c r="I6466" s="421">
        <f>IF(AND(E6466&lt;&gt;"",G6466&lt;&gt;""),IF(D6466="",IF(G6466="OH",VLOOKUP(E6466,UPAH!$C$4:$H$31,7,0),VLOOKUP(E6466,#REF!,4,0)),0),0)</f>
        <v>0</v>
      </c>
      <c r="J6466" s="396">
        <f>ROUNDDOWN(J6464+J6465,0)</f>
        <v>0</v>
      </c>
    </row>
    <row r="6467" spans="1:10" ht="13">
      <c r="A6467" s="27"/>
      <c r="B6467" s="110"/>
      <c r="D6467" s="11"/>
      <c r="E6467" s="11"/>
      <c r="H6467" s="443"/>
    </row>
    <row r="6468" spans="1:10" ht="13.5" thickBot="1">
      <c r="A6468" s="27"/>
      <c r="B6468" s="110"/>
      <c r="C6468" s="11" t="s">
        <v>1192</v>
      </c>
      <c r="D6468" s="10" t="s">
        <v>1193</v>
      </c>
      <c r="H6468" s="443"/>
    </row>
    <row r="6469" spans="1:10" ht="13.5" thickBot="1">
      <c r="A6469" s="27"/>
      <c r="B6469" s="110"/>
      <c r="D6469" s="401" t="s">
        <v>40</v>
      </c>
      <c r="E6469" s="402" t="s">
        <v>41</v>
      </c>
      <c r="F6469" s="402" t="s">
        <v>42</v>
      </c>
      <c r="G6469" s="403" t="s">
        <v>43</v>
      </c>
      <c r="H6469" s="404" t="s">
        <v>44</v>
      </c>
      <c r="I6469" s="402" t="s">
        <v>474</v>
      </c>
      <c r="J6469" s="405" t="s">
        <v>475</v>
      </c>
    </row>
    <row r="6470" spans="1:10" ht="13">
      <c r="A6470" s="27"/>
      <c r="B6470" s="110"/>
      <c r="D6470" s="406" t="s">
        <v>45</v>
      </c>
      <c r="E6470" s="13" t="s">
        <v>46</v>
      </c>
      <c r="F6470" s="14"/>
      <c r="G6470" s="15"/>
      <c r="H6470" s="451"/>
      <c r="I6470" s="412"/>
      <c r="J6470" s="16"/>
    </row>
    <row r="6471" spans="1:10" ht="13">
      <c r="A6471" s="27"/>
      <c r="B6471" s="110"/>
      <c r="D6471" s="409"/>
      <c r="E6471" s="13" t="s">
        <v>47</v>
      </c>
      <c r="F6471" s="13" t="s">
        <v>1918</v>
      </c>
      <c r="G6471" s="543" t="s">
        <v>48</v>
      </c>
      <c r="H6471" s="544">
        <v>0.1</v>
      </c>
      <c r="I6471" s="412">
        <f>IF(AND(E6471&lt;&gt;"",G6471&lt;&gt;""),IF(D6471="",IF(G6471="OH",VLOOKUP(F6471,UPAH!$B$4:$H$101,7,0),VLOOKUP(F6471,#REF!,4,0)),0),0)</f>
        <v>0</v>
      </c>
      <c r="J6471" s="16">
        <f>H6471*I6471</f>
        <v>0</v>
      </c>
    </row>
    <row r="6472" spans="1:10" ht="13">
      <c r="A6472" s="27"/>
      <c r="B6472" s="110"/>
      <c r="D6472" s="409"/>
      <c r="E6472" s="13" t="s">
        <v>49</v>
      </c>
      <c r="F6472" s="13" t="s">
        <v>1922</v>
      </c>
      <c r="G6472" s="543" t="s">
        <v>48</v>
      </c>
      <c r="H6472" s="544">
        <v>0.1</v>
      </c>
      <c r="I6472" s="412">
        <f>IF(AND(E6472&lt;&gt;"",G6472&lt;&gt;""),IF(D6472="",IF(G6472="OH",VLOOKUP(F6472,UPAH!$B$4:$H$101,7,0),VLOOKUP(F6472,#REF!,4,0)),0),0)</f>
        <v>0</v>
      </c>
      <c r="J6472" s="16">
        <f>H6472*I6472</f>
        <v>0</v>
      </c>
    </row>
    <row r="6473" spans="1:10" ht="13">
      <c r="A6473" s="27"/>
      <c r="B6473" s="110"/>
      <c r="D6473" s="409"/>
      <c r="E6473" s="13" t="s">
        <v>50</v>
      </c>
      <c r="F6473" s="13" t="s">
        <v>1928</v>
      </c>
      <c r="G6473" s="543" t="s">
        <v>48</v>
      </c>
      <c r="H6473" s="544">
        <v>0.01</v>
      </c>
      <c r="I6473" s="412">
        <f>IF(AND(E6473&lt;&gt;"",G6473&lt;&gt;""),IF(D6473="",IF(G6473="OH",VLOOKUP(F6473,UPAH!$B$4:$H$101,7,0),VLOOKUP(F6473,#REF!,4,0)),0),0)</f>
        <v>0</v>
      </c>
      <c r="J6473" s="16">
        <f>H6473*I6473</f>
        <v>0</v>
      </c>
    </row>
    <row r="6474" spans="1:10" ht="13.5" thickBot="1">
      <c r="A6474" s="27"/>
      <c r="B6474" s="110"/>
      <c r="D6474" s="409"/>
      <c r="E6474" s="13" t="s">
        <v>51</v>
      </c>
      <c r="F6474" s="13" t="s">
        <v>1929</v>
      </c>
      <c r="G6474" s="543" t="s">
        <v>48</v>
      </c>
      <c r="H6474" s="544">
        <v>5.0000000000000001E-3</v>
      </c>
      <c r="I6474" s="412">
        <f>IF(AND(E6474&lt;&gt;"",G6474&lt;&gt;""),IF(D6474="",IF(G6474="OH",VLOOKUP(F6474,UPAH!$B$4:$H$101,7,0),VLOOKUP(F6474,#REF!,4,0)),0),0)</f>
        <v>0</v>
      </c>
      <c r="J6474" s="16">
        <f>H6474*I6474</f>
        <v>0</v>
      </c>
    </row>
    <row r="6475" spans="1:10" ht="13.5" thickBot="1">
      <c r="A6475" s="27"/>
      <c r="B6475" s="110"/>
      <c r="D6475" s="417"/>
      <c r="E6475" s="418"/>
      <c r="F6475" s="418"/>
      <c r="G6475" s="419"/>
      <c r="H6475" s="420" t="s">
        <v>52</v>
      </c>
      <c r="I6475" s="421"/>
      <c r="J6475" s="396">
        <f>SUM(J6471:J6474)</f>
        <v>0</v>
      </c>
    </row>
    <row r="6476" spans="1:10" ht="13">
      <c r="A6476" s="27"/>
      <c r="B6476" s="110"/>
      <c r="D6476" s="406" t="s">
        <v>53</v>
      </c>
      <c r="E6476" s="13" t="s">
        <v>54</v>
      </c>
      <c r="F6476" s="14"/>
      <c r="G6476" s="15"/>
      <c r="H6476" s="451"/>
      <c r="I6476" s="412"/>
      <c r="J6476" s="16"/>
    </row>
    <row r="6477" spans="1:10" ht="13">
      <c r="A6477" s="27"/>
      <c r="B6477" s="110"/>
      <c r="D6477" s="409"/>
      <c r="E6477" s="13" t="s">
        <v>60</v>
      </c>
      <c r="F6477" s="14"/>
      <c r="G6477" s="543" t="s">
        <v>375</v>
      </c>
      <c r="H6477" s="544">
        <v>1.4E-2</v>
      </c>
      <c r="I6477" s="412">
        <f>'BAHAN '!G199</f>
        <v>0</v>
      </c>
      <c r="J6477" s="16">
        <f>H6477*I6477</f>
        <v>0</v>
      </c>
    </row>
    <row r="6478" spans="1:10" ht="13">
      <c r="A6478" s="27"/>
      <c r="B6478" s="110"/>
      <c r="D6478" s="409"/>
      <c r="E6478" s="13" t="s">
        <v>199</v>
      </c>
      <c r="F6478" s="14"/>
      <c r="G6478" s="543" t="s">
        <v>375</v>
      </c>
      <c r="H6478" s="544">
        <v>3.5999999999999997E-2</v>
      </c>
      <c r="I6478" s="412">
        <f>'BAHAN '!G199</f>
        <v>0</v>
      </c>
      <c r="J6478" s="16">
        <f>H6478*I6478</f>
        <v>0</v>
      </c>
    </row>
    <row r="6479" spans="1:10" ht="13.5" thickBot="1">
      <c r="A6479" s="27"/>
      <c r="B6479" s="110"/>
      <c r="D6479" s="409"/>
      <c r="E6479" s="13" t="s">
        <v>486</v>
      </c>
      <c r="F6479" s="14"/>
      <c r="G6479" s="543" t="s">
        <v>93</v>
      </c>
      <c r="H6479" s="544">
        <v>0.25</v>
      </c>
      <c r="I6479" s="412">
        <f>'BAHAN '!G127</f>
        <v>0</v>
      </c>
      <c r="J6479" s="16">
        <f>H6479*I6479</f>
        <v>0</v>
      </c>
    </row>
    <row r="6480" spans="1:10" ht="13.5" thickBot="1">
      <c r="A6480" s="27"/>
      <c r="B6480" s="110"/>
      <c r="D6480" s="417"/>
      <c r="E6480" s="418"/>
      <c r="F6480" s="418"/>
      <c r="G6480" s="419"/>
      <c r="H6480" s="420" t="s">
        <v>64</v>
      </c>
      <c r="I6480" s="421"/>
      <c r="J6480" s="396">
        <f>SUM(J6477:J6479)</f>
        <v>0</v>
      </c>
    </row>
    <row r="6481" spans="1:10" ht="13.5" thickBot="1">
      <c r="A6481" s="27"/>
      <c r="B6481" s="110"/>
      <c r="D6481" s="406" t="s">
        <v>65</v>
      </c>
      <c r="E6481" s="13" t="s">
        <v>66</v>
      </c>
      <c r="F6481" s="14"/>
      <c r="G6481" s="15"/>
      <c r="H6481" s="451"/>
      <c r="I6481" s="412">
        <f>IF(AND(E6481&lt;&gt;"",G6481&lt;&gt;""),IF(D6481="",IF(G6481="OH",VLOOKUP(E6481,UPAH!$C$4:$H$31,7,0),VLOOKUP(E6481,#REF!,4,0)),0),0)</f>
        <v>0</v>
      </c>
      <c r="J6481" s="16">
        <f>H6481*I6481</f>
        <v>0</v>
      </c>
    </row>
    <row r="6482" spans="1:10" ht="13.5" thickBot="1">
      <c r="A6482" s="27"/>
      <c r="B6482" s="110"/>
      <c r="D6482" s="417"/>
      <c r="E6482" s="418"/>
      <c r="F6482" s="418"/>
      <c r="G6482" s="419"/>
      <c r="H6482" s="420" t="s">
        <v>67</v>
      </c>
      <c r="I6482" s="421"/>
      <c r="J6482" s="396">
        <f>J6481</f>
        <v>0</v>
      </c>
    </row>
    <row r="6483" spans="1:10" ht="13">
      <c r="A6483" s="27"/>
      <c r="B6483" s="110"/>
      <c r="D6483" s="444" t="s">
        <v>68</v>
      </c>
      <c r="E6483" s="445" t="s">
        <v>69</v>
      </c>
      <c r="F6483" s="446"/>
      <c r="G6483" s="447"/>
      <c r="H6483" s="448"/>
      <c r="I6483" s="449">
        <f>IF(AND(E6483&lt;&gt;"",G6483&lt;&gt;""),IF(D6483="",IF(G6483="OH",VLOOKUP(E6483,UPAH!$C$4:$H$31,7,0),VLOOKUP(E6483,#REF!,4,0)),0),0)</f>
        <v>0</v>
      </c>
      <c r="J6483" s="16">
        <f>SUM(J6470:J6482)/2</f>
        <v>0</v>
      </c>
    </row>
    <row r="6484" spans="1:10" ht="13.5" thickBot="1">
      <c r="A6484" s="27"/>
      <c r="B6484" s="110"/>
      <c r="D6484" s="431" t="s">
        <v>70</v>
      </c>
      <c r="E6484" s="432" t="s">
        <v>477</v>
      </c>
      <c r="F6484" s="433"/>
      <c r="G6484" s="434"/>
      <c r="H6484" s="22">
        <v>0.1</v>
      </c>
      <c r="I6484" s="436"/>
      <c r="J6484" s="430">
        <f>H6484*J6483</f>
        <v>0</v>
      </c>
    </row>
    <row r="6485" spans="1:10" ht="13.5" thickBot="1">
      <c r="A6485" s="27"/>
      <c r="B6485" s="110"/>
      <c r="D6485" s="401" t="s">
        <v>71</v>
      </c>
      <c r="E6485" s="402" t="s">
        <v>72</v>
      </c>
      <c r="F6485" s="418"/>
      <c r="G6485" s="419"/>
      <c r="H6485" s="442"/>
      <c r="I6485" s="421">
        <f>IF(AND(E6485&lt;&gt;"",G6485&lt;&gt;""),IF(D6485="",IF(G6485="OH",VLOOKUP(E6485,UPAH!$C$4:$H$31,7,0),VLOOKUP(E6485,#REF!,4,0)),0),0)</f>
        <v>0</v>
      </c>
      <c r="J6485" s="396">
        <f>ROUNDDOWN(J6483+J6484,0)</f>
        <v>0</v>
      </c>
    </row>
    <row r="6486" spans="1:10" ht="13">
      <c r="A6486" s="27"/>
      <c r="B6486" s="110"/>
      <c r="D6486" s="11"/>
      <c r="E6486" s="11"/>
      <c r="H6486" s="443"/>
    </row>
    <row r="6487" spans="1:10" ht="13.5" thickBot="1">
      <c r="A6487" s="27"/>
      <c r="B6487" s="110"/>
      <c r="C6487" s="11" t="s">
        <v>1194</v>
      </c>
      <c r="D6487" s="10" t="s">
        <v>1195</v>
      </c>
      <c r="H6487" s="443"/>
    </row>
    <row r="6488" spans="1:10" ht="13.5" thickBot="1">
      <c r="A6488" s="27"/>
      <c r="B6488" s="110"/>
      <c r="D6488" s="401" t="s">
        <v>40</v>
      </c>
      <c r="E6488" s="402" t="s">
        <v>41</v>
      </c>
      <c r="F6488" s="402" t="s">
        <v>42</v>
      </c>
      <c r="G6488" s="403" t="s">
        <v>43</v>
      </c>
      <c r="H6488" s="404" t="s">
        <v>44</v>
      </c>
      <c r="I6488" s="402" t="s">
        <v>474</v>
      </c>
      <c r="J6488" s="405" t="s">
        <v>475</v>
      </c>
    </row>
    <row r="6489" spans="1:10" ht="13">
      <c r="A6489" s="27"/>
      <c r="B6489" s="110"/>
      <c r="D6489" s="406" t="s">
        <v>45</v>
      </c>
      <c r="E6489" s="13" t="s">
        <v>46</v>
      </c>
      <c r="F6489" s="14"/>
      <c r="G6489" s="15"/>
      <c r="H6489" s="451"/>
      <c r="I6489" s="412"/>
      <c r="J6489" s="16"/>
    </row>
    <row r="6490" spans="1:10" ht="13">
      <c r="A6490" s="27"/>
      <c r="B6490" s="110"/>
      <c r="D6490" s="409"/>
      <c r="E6490" s="13" t="s">
        <v>47</v>
      </c>
      <c r="F6490" s="13" t="s">
        <v>1918</v>
      </c>
      <c r="G6490" s="543" t="s">
        <v>48</v>
      </c>
      <c r="H6490" s="544">
        <v>0.1</v>
      </c>
      <c r="I6490" s="412">
        <f>IF(AND(E6490&lt;&gt;"",G6490&lt;&gt;""),IF(D6490="",IF(G6490="OH",VLOOKUP(F6490,UPAH!$B$4:$H$101,7,0),VLOOKUP(F6490,#REF!,4,0)),0),0)</f>
        <v>0</v>
      </c>
      <c r="J6490" s="16">
        <f>H6490*I6490</f>
        <v>0</v>
      </c>
    </row>
    <row r="6491" spans="1:10" ht="13">
      <c r="A6491" s="27"/>
      <c r="B6491" s="110"/>
      <c r="D6491" s="409"/>
      <c r="E6491" s="13" t="s">
        <v>49</v>
      </c>
      <c r="F6491" s="13" t="s">
        <v>1922</v>
      </c>
      <c r="G6491" s="543" t="s">
        <v>48</v>
      </c>
      <c r="H6491" s="544">
        <v>0.1</v>
      </c>
      <c r="I6491" s="412">
        <f>IF(AND(E6491&lt;&gt;"",G6491&lt;&gt;""),IF(D6491="",IF(G6491="OH",VLOOKUP(F6491,UPAH!$B$4:$H$101,7,0),VLOOKUP(F6491,#REF!,4,0)),0),0)</f>
        <v>0</v>
      </c>
      <c r="J6491" s="16">
        <f>H6491*I6491</f>
        <v>0</v>
      </c>
    </row>
    <row r="6492" spans="1:10" ht="13">
      <c r="A6492" s="27"/>
      <c r="B6492" s="110"/>
      <c r="D6492" s="409"/>
      <c r="E6492" s="13" t="s">
        <v>50</v>
      </c>
      <c r="F6492" s="13" t="s">
        <v>1928</v>
      </c>
      <c r="G6492" s="543" t="s">
        <v>48</v>
      </c>
      <c r="H6492" s="544">
        <v>0.01</v>
      </c>
      <c r="I6492" s="412">
        <f>IF(AND(E6492&lt;&gt;"",G6492&lt;&gt;""),IF(D6492="",IF(G6492="OH",VLOOKUP(F6492,UPAH!$B$4:$H$101,7,0),VLOOKUP(F6492,#REF!,4,0)),0),0)</f>
        <v>0</v>
      </c>
      <c r="J6492" s="16">
        <f>H6492*I6492</f>
        <v>0</v>
      </c>
    </row>
    <row r="6493" spans="1:10" ht="13.5" thickBot="1">
      <c r="A6493" s="27"/>
      <c r="B6493" s="110"/>
      <c r="D6493" s="409"/>
      <c r="E6493" s="13" t="s">
        <v>51</v>
      </c>
      <c r="F6493" s="13" t="s">
        <v>1929</v>
      </c>
      <c r="G6493" s="543" t="s">
        <v>48</v>
      </c>
      <c r="H6493" s="544">
        <v>5.0000000000000001E-3</v>
      </c>
      <c r="I6493" s="412">
        <f>IF(AND(E6493&lt;&gt;"",G6493&lt;&gt;""),IF(D6493="",IF(G6493="OH",VLOOKUP(F6493,UPAH!$B$4:$H$101,7,0),VLOOKUP(F6493,#REF!,4,0)),0),0)</f>
        <v>0</v>
      </c>
      <c r="J6493" s="16">
        <f>H6493*I6493</f>
        <v>0</v>
      </c>
    </row>
    <row r="6494" spans="1:10" ht="13.5" thickBot="1">
      <c r="A6494" s="27"/>
      <c r="B6494" s="110"/>
      <c r="D6494" s="417"/>
      <c r="E6494" s="418"/>
      <c r="F6494" s="418"/>
      <c r="G6494" s="419"/>
      <c r="H6494" s="420" t="s">
        <v>52</v>
      </c>
      <c r="I6494" s="421"/>
      <c r="J6494" s="396">
        <f>SUM(J6490:J6493)</f>
        <v>0</v>
      </c>
    </row>
    <row r="6495" spans="1:10" ht="13">
      <c r="A6495" s="27"/>
      <c r="B6495" s="110"/>
      <c r="D6495" s="406" t="s">
        <v>53</v>
      </c>
      <c r="E6495" s="13" t="s">
        <v>54</v>
      </c>
      <c r="F6495" s="14"/>
      <c r="G6495" s="15"/>
      <c r="H6495" s="451"/>
      <c r="I6495" s="412"/>
      <c r="J6495" s="16"/>
    </row>
    <row r="6496" spans="1:10" ht="13">
      <c r="A6496" s="27"/>
      <c r="B6496" s="110"/>
      <c r="D6496" s="409"/>
      <c r="E6496" s="13" t="s">
        <v>60</v>
      </c>
      <c r="F6496" s="14"/>
      <c r="G6496" s="543" t="s">
        <v>375</v>
      </c>
      <c r="H6496" s="544">
        <v>1.4E-2</v>
      </c>
      <c r="I6496" s="412">
        <f>'BAHAN '!G199</f>
        <v>0</v>
      </c>
      <c r="J6496" s="16">
        <f>H6496*I6496</f>
        <v>0</v>
      </c>
    </row>
    <row r="6497" spans="1:10" ht="13">
      <c r="A6497" s="27"/>
      <c r="B6497" s="110"/>
      <c r="D6497" s="409"/>
      <c r="E6497" s="13" t="s">
        <v>200</v>
      </c>
      <c r="F6497" s="14"/>
      <c r="G6497" s="543" t="s">
        <v>375</v>
      </c>
      <c r="H6497" s="544">
        <v>5.7000000000000002E-2</v>
      </c>
      <c r="I6497" s="412">
        <f>'BAHAN '!G199</f>
        <v>0</v>
      </c>
      <c r="J6497" s="16">
        <f>H6497*I6497</f>
        <v>0</v>
      </c>
    </row>
    <row r="6498" spans="1:10" ht="13.5" thickBot="1">
      <c r="A6498" s="27"/>
      <c r="B6498" s="110"/>
      <c r="D6498" s="409"/>
      <c r="E6498" s="13" t="s">
        <v>486</v>
      </c>
      <c r="F6498" s="14"/>
      <c r="G6498" s="543" t="s">
        <v>93</v>
      </c>
      <c r="H6498" s="544">
        <v>0.25</v>
      </c>
      <c r="I6498" s="412">
        <f>'BAHAN '!G127</f>
        <v>0</v>
      </c>
      <c r="J6498" s="16">
        <f>H6498*I6498</f>
        <v>0</v>
      </c>
    </row>
    <row r="6499" spans="1:10" ht="13.5" thickBot="1">
      <c r="A6499" s="27"/>
      <c r="B6499" s="110"/>
      <c r="D6499" s="417"/>
      <c r="E6499" s="418"/>
      <c r="F6499" s="418"/>
      <c r="G6499" s="419"/>
      <c r="H6499" s="420" t="s">
        <v>64</v>
      </c>
      <c r="I6499" s="421"/>
      <c r="J6499" s="396">
        <f>SUM(J6496:J6498)</f>
        <v>0</v>
      </c>
    </row>
    <row r="6500" spans="1:10" ht="13.5" thickBot="1">
      <c r="A6500" s="27"/>
      <c r="B6500" s="110"/>
      <c r="D6500" s="406" t="s">
        <v>65</v>
      </c>
      <c r="E6500" s="13" t="s">
        <v>66</v>
      </c>
      <c r="F6500" s="14"/>
      <c r="G6500" s="15"/>
      <c r="H6500" s="451"/>
      <c r="I6500" s="412">
        <f>IF(AND(E6500&lt;&gt;"",G6500&lt;&gt;""),IF(D6500="",IF(G6500="OH",VLOOKUP(E6500,UPAH!$C$4:$H$31,7,0),VLOOKUP(E6500,#REF!,4,0)),0),0)</f>
        <v>0</v>
      </c>
      <c r="J6500" s="16">
        <f>H6500*I6500</f>
        <v>0</v>
      </c>
    </row>
    <row r="6501" spans="1:10" ht="13.5" thickBot="1">
      <c r="A6501" s="27"/>
      <c r="B6501" s="110"/>
      <c r="D6501" s="417"/>
      <c r="E6501" s="418"/>
      <c r="F6501" s="418"/>
      <c r="G6501" s="419"/>
      <c r="H6501" s="420" t="s">
        <v>67</v>
      </c>
      <c r="I6501" s="421"/>
      <c r="J6501" s="396">
        <f>J6500</f>
        <v>0</v>
      </c>
    </row>
    <row r="6502" spans="1:10" ht="13">
      <c r="A6502" s="27"/>
      <c r="B6502" s="110"/>
      <c r="D6502" s="444" t="s">
        <v>68</v>
      </c>
      <c r="E6502" s="445" t="s">
        <v>69</v>
      </c>
      <c r="F6502" s="446"/>
      <c r="G6502" s="447"/>
      <c r="H6502" s="448"/>
      <c r="I6502" s="449">
        <f>IF(AND(E6502&lt;&gt;"",G6502&lt;&gt;""),IF(D6502="",IF(G6502="OH",VLOOKUP(E6502,UPAH!$C$4:$H$31,7,0),VLOOKUP(E6502,#REF!,4,0)),0),0)</f>
        <v>0</v>
      </c>
      <c r="J6502" s="16">
        <f>SUM(J6490:J6501)/2</f>
        <v>0</v>
      </c>
    </row>
    <row r="6503" spans="1:10" ht="13.5" thickBot="1">
      <c r="A6503" s="27"/>
      <c r="B6503" s="110"/>
      <c r="D6503" s="431" t="s">
        <v>70</v>
      </c>
      <c r="E6503" s="432" t="s">
        <v>477</v>
      </c>
      <c r="F6503" s="433"/>
      <c r="G6503" s="434"/>
      <c r="H6503" s="22">
        <v>0.1</v>
      </c>
      <c r="I6503" s="436"/>
      <c r="J6503" s="430">
        <f>H6503*J6502</f>
        <v>0</v>
      </c>
    </row>
    <row r="6504" spans="1:10" ht="13.5" thickBot="1">
      <c r="A6504" s="27"/>
      <c r="B6504" s="110"/>
      <c r="D6504" s="401" t="s">
        <v>71</v>
      </c>
      <c r="E6504" s="402" t="s">
        <v>72</v>
      </c>
      <c r="F6504" s="418"/>
      <c r="G6504" s="419"/>
      <c r="H6504" s="442"/>
      <c r="I6504" s="421">
        <f>IF(AND(E6504&lt;&gt;"",G6504&lt;&gt;""),IF(D6504="",IF(G6504="OH",VLOOKUP(E6504,UPAH!$C$4:$H$31,7,0),VLOOKUP(E6504,#REF!,4,0)),0),0)</f>
        <v>0</v>
      </c>
      <c r="J6504" s="396">
        <f>ROUNDDOWN(J6502+J6503,0)</f>
        <v>0</v>
      </c>
    </row>
    <row r="6505" spans="1:10" ht="13">
      <c r="A6505" s="27"/>
      <c r="B6505" s="110"/>
      <c r="D6505" s="11"/>
      <c r="E6505" s="11"/>
      <c r="H6505" s="443"/>
    </row>
    <row r="6506" spans="1:10" ht="13.5" thickBot="1">
      <c r="A6506" s="27"/>
      <c r="B6506" s="110"/>
      <c r="C6506" s="11" t="s">
        <v>1196</v>
      </c>
      <c r="D6506" s="10" t="s">
        <v>1197</v>
      </c>
      <c r="H6506" s="443"/>
    </row>
    <row r="6507" spans="1:10" ht="13.5" thickBot="1">
      <c r="A6507" s="27"/>
      <c r="B6507" s="110"/>
      <c r="D6507" s="401" t="s">
        <v>40</v>
      </c>
      <c r="E6507" s="402" t="s">
        <v>41</v>
      </c>
      <c r="F6507" s="402" t="s">
        <v>42</v>
      </c>
      <c r="G6507" s="403" t="s">
        <v>43</v>
      </c>
      <c r="H6507" s="404" t="s">
        <v>44</v>
      </c>
      <c r="I6507" s="402" t="s">
        <v>474</v>
      </c>
      <c r="J6507" s="405" t="s">
        <v>475</v>
      </c>
    </row>
    <row r="6508" spans="1:10" ht="13">
      <c r="A6508" s="27"/>
      <c r="B6508" s="110"/>
      <c r="D6508" s="406" t="s">
        <v>45</v>
      </c>
      <c r="E6508" s="13" t="s">
        <v>46</v>
      </c>
      <c r="F6508" s="14"/>
      <c r="G6508" s="15"/>
      <c r="H6508" s="451"/>
      <c r="I6508" s="412"/>
      <c r="J6508" s="16"/>
    </row>
    <row r="6509" spans="1:10" ht="13">
      <c r="A6509" s="27"/>
      <c r="B6509" s="110"/>
      <c r="D6509" s="409"/>
      <c r="E6509" s="13" t="s">
        <v>47</v>
      </c>
      <c r="F6509" s="13" t="s">
        <v>1918</v>
      </c>
      <c r="G6509" s="543" t="s">
        <v>48</v>
      </c>
      <c r="H6509" s="544">
        <v>0.12</v>
      </c>
      <c r="I6509" s="412">
        <f>IF(AND(E6509&lt;&gt;"",G6509&lt;&gt;""),IF(D6509="",IF(G6509="OH",VLOOKUP(F6509,UPAH!$B$4:$H$101,7,0),VLOOKUP(F6509,#REF!,4,0)),0),0)</f>
        <v>0</v>
      </c>
      <c r="J6509" s="16">
        <f>H6509*I6509</f>
        <v>0</v>
      </c>
    </row>
    <row r="6510" spans="1:10" ht="13">
      <c r="A6510" s="27"/>
      <c r="B6510" s="110"/>
      <c r="D6510" s="409"/>
      <c r="E6510" s="13" t="s">
        <v>49</v>
      </c>
      <c r="F6510" s="13" t="s">
        <v>1922</v>
      </c>
      <c r="G6510" s="543" t="s">
        <v>48</v>
      </c>
      <c r="H6510" s="544">
        <v>0.12</v>
      </c>
      <c r="I6510" s="412">
        <f>IF(AND(E6510&lt;&gt;"",G6510&lt;&gt;""),IF(D6510="",IF(G6510="OH",VLOOKUP(F6510,UPAH!$B$4:$H$101,7,0),VLOOKUP(F6510,#REF!,4,0)),0),0)</f>
        <v>0</v>
      </c>
      <c r="J6510" s="16">
        <f>H6510*I6510</f>
        <v>0</v>
      </c>
    </row>
    <row r="6511" spans="1:10" ht="13">
      <c r="A6511" s="27"/>
      <c r="B6511" s="110"/>
      <c r="D6511" s="409"/>
      <c r="E6511" s="13" t="s">
        <v>50</v>
      </c>
      <c r="F6511" s="13" t="s">
        <v>1928</v>
      </c>
      <c r="G6511" s="543" t="s">
        <v>48</v>
      </c>
      <c r="H6511" s="544">
        <v>1.2E-2</v>
      </c>
      <c r="I6511" s="412">
        <f>IF(AND(E6511&lt;&gt;"",G6511&lt;&gt;""),IF(D6511="",IF(G6511="OH",VLOOKUP(F6511,UPAH!$B$4:$H$101,7,0),VLOOKUP(F6511,#REF!,4,0)),0),0)</f>
        <v>0</v>
      </c>
      <c r="J6511" s="16">
        <f>H6511*I6511</f>
        <v>0</v>
      </c>
    </row>
    <row r="6512" spans="1:10" ht="13.5" thickBot="1">
      <c r="A6512" s="27"/>
      <c r="B6512" s="110"/>
      <c r="D6512" s="409"/>
      <c r="E6512" s="13" t="s">
        <v>51</v>
      </c>
      <c r="F6512" s="13" t="s">
        <v>1929</v>
      </c>
      <c r="G6512" s="543" t="s">
        <v>48</v>
      </c>
      <c r="H6512" s="544">
        <v>6.0000000000000001E-3</v>
      </c>
      <c r="I6512" s="412">
        <f>IF(AND(E6512&lt;&gt;"",G6512&lt;&gt;""),IF(D6512="",IF(G6512="OH",VLOOKUP(F6512,UPAH!$B$4:$H$101,7,0),VLOOKUP(F6512,#REF!,4,0)),0),0)</f>
        <v>0</v>
      </c>
      <c r="J6512" s="16">
        <f>H6512*I6512</f>
        <v>0</v>
      </c>
    </row>
    <row r="6513" spans="1:10" ht="13.5" thickBot="1">
      <c r="A6513" s="27"/>
      <c r="B6513" s="110"/>
      <c r="D6513" s="417"/>
      <c r="E6513" s="418"/>
      <c r="F6513" s="418"/>
      <c r="G6513" s="419"/>
      <c r="H6513" s="420" t="s">
        <v>52</v>
      </c>
      <c r="I6513" s="421"/>
      <c r="J6513" s="396">
        <f>SUM(J6509:J6512)</f>
        <v>0</v>
      </c>
    </row>
    <row r="6514" spans="1:10" ht="13">
      <c r="A6514" s="27"/>
      <c r="B6514" s="110"/>
      <c r="D6514" s="406" t="s">
        <v>53</v>
      </c>
      <c r="E6514" s="13" t="s">
        <v>54</v>
      </c>
      <c r="F6514" s="14"/>
      <c r="G6514" s="15"/>
      <c r="H6514" s="451"/>
      <c r="I6514" s="412"/>
      <c r="J6514" s="16"/>
    </row>
    <row r="6515" spans="1:10" ht="13">
      <c r="A6515" s="27"/>
      <c r="B6515" s="110"/>
      <c r="D6515" s="409"/>
      <c r="E6515" s="13" t="s">
        <v>201</v>
      </c>
      <c r="F6515" s="14"/>
      <c r="G6515" s="543" t="s">
        <v>375</v>
      </c>
      <c r="H6515" s="544">
        <v>1.4E-2</v>
      </c>
      <c r="I6515" s="412">
        <f>'BAHAN '!G199</f>
        <v>0</v>
      </c>
      <c r="J6515" s="16">
        <f>H6515*I6515</f>
        <v>0</v>
      </c>
    </row>
    <row r="6516" spans="1:10" ht="13.5" thickBot="1">
      <c r="A6516" s="27"/>
      <c r="B6516" s="110"/>
      <c r="D6516" s="409"/>
      <c r="E6516" s="13" t="s">
        <v>486</v>
      </c>
      <c r="F6516" s="14"/>
      <c r="G6516" s="543" t="s">
        <v>375</v>
      </c>
      <c r="H6516" s="544">
        <v>5.7000000000000002E-2</v>
      </c>
      <c r="I6516" s="412">
        <f>'BAHAN '!G127</f>
        <v>0</v>
      </c>
      <c r="J6516" s="16">
        <f>H6516*I6516</f>
        <v>0</v>
      </c>
    </row>
    <row r="6517" spans="1:10" ht="13.5" thickBot="1">
      <c r="A6517" s="27"/>
      <c r="B6517" s="110"/>
      <c r="D6517" s="417"/>
      <c r="E6517" s="418"/>
      <c r="F6517" s="418"/>
      <c r="G6517" s="419"/>
      <c r="H6517" s="420" t="s">
        <v>64</v>
      </c>
      <c r="I6517" s="421"/>
      <c r="J6517" s="396">
        <f>SUM(J6515:J6516)</f>
        <v>0</v>
      </c>
    </row>
    <row r="6518" spans="1:10" ht="13.5" thickBot="1">
      <c r="A6518" s="27"/>
      <c r="B6518" s="110"/>
      <c r="D6518" s="406" t="s">
        <v>65</v>
      </c>
      <c r="E6518" s="13" t="s">
        <v>66</v>
      </c>
      <c r="F6518" s="14"/>
      <c r="G6518" s="15"/>
      <c r="H6518" s="451"/>
      <c r="I6518" s="412">
        <f>IF(AND(E6518&lt;&gt;"",G6518&lt;&gt;""),IF(D6518="",IF(G6518="OH",VLOOKUP(E6518,UPAH!$C$4:$H$31,7,0),VLOOKUP(E6518,#REF!,4,0)),0),0)</f>
        <v>0</v>
      </c>
      <c r="J6518" s="16">
        <f>H6518*I6518</f>
        <v>0</v>
      </c>
    </row>
    <row r="6519" spans="1:10" ht="13.5" thickBot="1">
      <c r="A6519" s="27"/>
      <c r="B6519" s="110"/>
      <c r="D6519" s="417"/>
      <c r="E6519" s="418"/>
      <c r="F6519" s="418"/>
      <c r="G6519" s="419"/>
      <c r="H6519" s="420" t="s">
        <v>67</v>
      </c>
      <c r="I6519" s="421"/>
      <c r="J6519" s="396">
        <f>J6518</f>
        <v>0</v>
      </c>
    </row>
    <row r="6520" spans="1:10" ht="13">
      <c r="A6520" s="27"/>
      <c r="B6520" s="110"/>
      <c r="D6520" s="444" t="s">
        <v>68</v>
      </c>
      <c r="E6520" s="445" t="s">
        <v>69</v>
      </c>
      <c r="F6520" s="446"/>
      <c r="G6520" s="447"/>
      <c r="H6520" s="448"/>
      <c r="I6520" s="449">
        <f>IF(AND(E6520&lt;&gt;"",G6520&lt;&gt;""),IF(D6520="",IF(G6520="OH",VLOOKUP(E6520,UPAH!$C$4:$H$31,7,0),VLOOKUP(E6520,#REF!,4,0)),0),0)</f>
        <v>0</v>
      </c>
      <c r="J6520" s="16">
        <f>SUM(J6509:J6519)/2</f>
        <v>0</v>
      </c>
    </row>
    <row r="6521" spans="1:10" ht="13.5" thickBot="1">
      <c r="A6521" s="27"/>
      <c r="B6521" s="110"/>
      <c r="D6521" s="431" t="s">
        <v>70</v>
      </c>
      <c r="E6521" s="432" t="s">
        <v>477</v>
      </c>
      <c r="F6521" s="433"/>
      <c r="G6521" s="434"/>
      <c r="H6521" s="22">
        <v>0.1</v>
      </c>
      <c r="I6521" s="436"/>
      <c r="J6521" s="430">
        <f>H6521*J6520</f>
        <v>0</v>
      </c>
    </row>
    <row r="6522" spans="1:10" ht="13.5" thickBot="1">
      <c r="A6522" s="27"/>
      <c r="B6522" s="110"/>
      <c r="D6522" s="401" t="s">
        <v>71</v>
      </c>
      <c r="E6522" s="402" t="s">
        <v>72</v>
      </c>
      <c r="F6522" s="418"/>
      <c r="G6522" s="419"/>
      <c r="H6522" s="442"/>
      <c r="I6522" s="421">
        <f>IF(AND(E6522&lt;&gt;"",G6522&lt;&gt;""),IF(D6522="",IF(G6522="OH",VLOOKUP(E6522,UPAH!$C$4:$H$31,7,0),VLOOKUP(E6522,#REF!,4,0)),0),0)</f>
        <v>0</v>
      </c>
      <c r="J6522" s="396">
        <f>ROUNDDOWN(J6520+J6521,0)</f>
        <v>0</v>
      </c>
    </row>
    <row r="6523" spans="1:10" ht="13">
      <c r="A6523" s="27"/>
      <c r="B6523" s="110"/>
      <c r="D6523" s="11"/>
      <c r="E6523" s="11"/>
      <c r="H6523" s="443"/>
    </row>
    <row r="6524" spans="1:10" ht="13.5" thickBot="1">
      <c r="A6524" s="27"/>
      <c r="B6524" s="110"/>
      <c r="C6524" s="11" t="s">
        <v>1198</v>
      </c>
      <c r="D6524" s="10" t="s">
        <v>1199</v>
      </c>
      <c r="H6524" s="443"/>
    </row>
    <row r="6525" spans="1:10" ht="13.5" thickBot="1">
      <c r="A6525" s="27"/>
      <c r="B6525" s="110"/>
      <c r="D6525" s="401" t="s">
        <v>40</v>
      </c>
      <c r="E6525" s="402" t="s">
        <v>41</v>
      </c>
      <c r="F6525" s="402" t="s">
        <v>42</v>
      </c>
      <c r="G6525" s="403" t="s">
        <v>43</v>
      </c>
      <c r="H6525" s="404" t="s">
        <v>44</v>
      </c>
      <c r="I6525" s="402" t="s">
        <v>474</v>
      </c>
      <c r="J6525" s="405" t="s">
        <v>475</v>
      </c>
    </row>
    <row r="6526" spans="1:10" ht="13">
      <c r="A6526" s="27"/>
      <c r="B6526" s="110"/>
      <c r="D6526" s="406" t="s">
        <v>45</v>
      </c>
      <c r="E6526" s="13" t="s">
        <v>46</v>
      </c>
      <c r="F6526" s="14"/>
      <c r="G6526" s="15"/>
      <c r="H6526" s="451"/>
      <c r="I6526" s="412"/>
      <c r="J6526" s="16"/>
    </row>
    <row r="6527" spans="1:10" ht="13">
      <c r="A6527" s="27"/>
      <c r="B6527" s="110"/>
      <c r="D6527" s="409"/>
      <c r="E6527" s="13" t="s">
        <v>47</v>
      </c>
      <c r="F6527" s="13" t="s">
        <v>1918</v>
      </c>
      <c r="G6527" s="543" t="s">
        <v>48</v>
      </c>
      <c r="H6527" s="544">
        <v>0.15</v>
      </c>
      <c r="I6527" s="412">
        <f>IF(AND(E6527&lt;&gt;"",G6527&lt;&gt;""),IF(D6527="",IF(G6527="OH",VLOOKUP(F6527,UPAH!$B$4:$H$101,7,0),VLOOKUP(F6527,#REF!,4,0)),0),0)</f>
        <v>0</v>
      </c>
      <c r="J6527" s="16">
        <f>H6527*I6527</f>
        <v>0</v>
      </c>
    </row>
    <row r="6528" spans="1:10" ht="13">
      <c r="A6528" s="27"/>
      <c r="B6528" s="110"/>
      <c r="D6528" s="409"/>
      <c r="E6528" s="13" t="s">
        <v>49</v>
      </c>
      <c r="F6528" s="13" t="s">
        <v>1922</v>
      </c>
      <c r="G6528" s="543" t="s">
        <v>48</v>
      </c>
      <c r="H6528" s="544">
        <v>0.3</v>
      </c>
      <c r="I6528" s="412">
        <f>IF(AND(E6528&lt;&gt;"",G6528&lt;&gt;""),IF(D6528="",IF(G6528="OH",VLOOKUP(F6528,UPAH!$B$4:$H$101,7,0),VLOOKUP(F6528,#REF!,4,0)),0),0)</f>
        <v>0</v>
      </c>
      <c r="J6528" s="16">
        <f>H6528*I6528</f>
        <v>0</v>
      </c>
    </row>
    <row r="6529" spans="1:10" ht="13">
      <c r="A6529" s="27"/>
      <c r="B6529" s="110"/>
      <c r="D6529" s="409"/>
      <c r="E6529" s="13" t="s">
        <v>50</v>
      </c>
      <c r="F6529" s="13" t="s">
        <v>1928</v>
      </c>
      <c r="G6529" s="543" t="s">
        <v>48</v>
      </c>
      <c r="H6529" s="544">
        <v>0.03</v>
      </c>
      <c r="I6529" s="412">
        <f>IF(AND(E6529&lt;&gt;"",G6529&lt;&gt;""),IF(D6529="",IF(G6529="OH",VLOOKUP(F6529,UPAH!$B$4:$H$101,7,0),VLOOKUP(F6529,#REF!,4,0)),0),0)</f>
        <v>0</v>
      </c>
      <c r="J6529" s="16">
        <f>H6529*I6529</f>
        <v>0</v>
      </c>
    </row>
    <row r="6530" spans="1:10" ht="13.5" thickBot="1">
      <c r="A6530" s="27"/>
      <c r="B6530" s="110"/>
      <c r="D6530" s="409"/>
      <c r="E6530" s="13" t="s">
        <v>51</v>
      </c>
      <c r="F6530" s="13" t="s">
        <v>1929</v>
      </c>
      <c r="G6530" s="543" t="s">
        <v>48</v>
      </c>
      <c r="H6530" s="544">
        <v>7.4999999999999997E-2</v>
      </c>
      <c r="I6530" s="412">
        <f>IF(AND(E6530&lt;&gt;"",G6530&lt;&gt;""),IF(D6530="",IF(G6530="OH",VLOOKUP(F6530,UPAH!$B$4:$H$101,7,0),VLOOKUP(F6530,#REF!,4,0)),0),0)</f>
        <v>0</v>
      </c>
      <c r="J6530" s="16">
        <f>H6530*I6530</f>
        <v>0</v>
      </c>
    </row>
    <row r="6531" spans="1:10" ht="13.5" thickBot="1">
      <c r="A6531" s="27"/>
      <c r="B6531" s="110"/>
      <c r="D6531" s="417"/>
      <c r="E6531" s="418"/>
      <c r="F6531" s="418"/>
      <c r="G6531" s="419"/>
      <c r="H6531" s="420" t="s">
        <v>52</v>
      </c>
      <c r="I6531" s="421"/>
      <c r="J6531" s="396">
        <f>SUM(J6527:J6530)</f>
        <v>0</v>
      </c>
    </row>
    <row r="6532" spans="1:10" ht="13">
      <c r="A6532" s="27"/>
      <c r="B6532" s="110"/>
      <c r="D6532" s="406" t="s">
        <v>53</v>
      </c>
      <c r="E6532" s="13" t="s">
        <v>54</v>
      </c>
      <c r="F6532" s="14"/>
      <c r="G6532" s="15"/>
      <c r="H6532" s="451"/>
      <c r="I6532" s="412"/>
      <c r="J6532" s="16"/>
    </row>
    <row r="6533" spans="1:10" ht="13">
      <c r="A6533" s="27"/>
      <c r="B6533" s="110"/>
      <c r="D6533" s="409"/>
      <c r="E6533" s="13" t="s">
        <v>60</v>
      </c>
      <c r="F6533" s="14"/>
      <c r="G6533" s="543" t="s">
        <v>375</v>
      </c>
      <c r="H6533" s="544">
        <v>1.54E-2</v>
      </c>
      <c r="I6533" s="412">
        <f>'BAHAN '!G199</f>
        <v>0</v>
      </c>
      <c r="J6533" s="16">
        <f>H6533*I6533</f>
        <v>0</v>
      </c>
    </row>
    <row r="6534" spans="1:10" ht="13.5" thickBot="1">
      <c r="A6534" s="27"/>
      <c r="B6534" s="110"/>
      <c r="D6534" s="409"/>
      <c r="E6534" s="13" t="s">
        <v>486</v>
      </c>
      <c r="F6534" s="14"/>
      <c r="G6534" s="543" t="s">
        <v>93</v>
      </c>
      <c r="H6534" s="544">
        <v>0.2</v>
      </c>
      <c r="I6534" s="412">
        <f>'BAHAN '!G127</f>
        <v>0</v>
      </c>
      <c r="J6534" s="16">
        <f>H6534*I6534</f>
        <v>0</v>
      </c>
    </row>
    <row r="6535" spans="1:10" ht="13.5" thickBot="1">
      <c r="A6535" s="27"/>
      <c r="B6535" s="110"/>
      <c r="D6535" s="417"/>
      <c r="E6535" s="418"/>
      <c r="F6535" s="418"/>
      <c r="G6535" s="419"/>
      <c r="H6535" s="420" t="s">
        <v>64</v>
      </c>
      <c r="I6535" s="421"/>
      <c r="J6535" s="396">
        <f>SUM(J6533:J6534)</f>
        <v>0</v>
      </c>
    </row>
    <row r="6536" spans="1:10" ht="13.5" thickBot="1">
      <c r="A6536" s="27"/>
      <c r="B6536" s="110"/>
      <c r="D6536" s="406" t="s">
        <v>65</v>
      </c>
      <c r="E6536" s="13" t="s">
        <v>66</v>
      </c>
      <c r="F6536" s="14"/>
      <c r="G6536" s="15"/>
      <c r="H6536" s="451"/>
      <c r="I6536" s="412">
        <f>IF(AND(E6536&lt;&gt;"",G6536&lt;&gt;""),IF(D6536="",IF(G6536="OH",VLOOKUP(E6536,UPAH!$C$4:$H$31,7,0),VLOOKUP(E6536,#REF!,4,0)),0),0)</f>
        <v>0</v>
      </c>
      <c r="J6536" s="16">
        <f>H6536*I6536</f>
        <v>0</v>
      </c>
    </row>
    <row r="6537" spans="1:10" ht="13.5" thickBot="1">
      <c r="A6537" s="27"/>
      <c r="B6537" s="110"/>
      <c r="D6537" s="417"/>
      <c r="E6537" s="418"/>
      <c r="F6537" s="418"/>
      <c r="G6537" s="419"/>
      <c r="H6537" s="420" t="s">
        <v>67</v>
      </c>
      <c r="I6537" s="421"/>
      <c r="J6537" s="396">
        <f>J6536</f>
        <v>0</v>
      </c>
    </row>
    <row r="6538" spans="1:10" ht="13">
      <c r="A6538" s="27"/>
      <c r="B6538" s="110"/>
      <c r="D6538" s="444" t="s">
        <v>68</v>
      </c>
      <c r="E6538" s="445" t="s">
        <v>69</v>
      </c>
      <c r="F6538" s="446"/>
      <c r="G6538" s="447"/>
      <c r="H6538" s="448"/>
      <c r="I6538" s="449">
        <f>IF(AND(E6538&lt;&gt;"",G6538&lt;&gt;""),IF(D6538="",IF(G6538="OH",VLOOKUP(E6538,UPAH!$C$4:$H$31,7,0),VLOOKUP(E6538,#REF!,4,0)),0),0)</f>
        <v>0</v>
      </c>
      <c r="J6538" s="16">
        <f>SUM(J6527:J6537)/2</f>
        <v>0</v>
      </c>
    </row>
    <row r="6539" spans="1:10" ht="13.5" thickBot="1">
      <c r="A6539" s="27"/>
      <c r="B6539" s="110"/>
      <c r="D6539" s="431" t="s">
        <v>70</v>
      </c>
      <c r="E6539" s="432" t="s">
        <v>477</v>
      </c>
      <c r="F6539" s="433"/>
      <c r="G6539" s="434"/>
      <c r="H6539" s="22">
        <v>0.1</v>
      </c>
      <c r="I6539" s="436"/>
      <c r="J6539" s="430">
        <f>H6539*J6538</f>
        <v>0</v>
      </c>
    </row>
    <row r="6540" spans="1:10" ht="13.5" thickBot="1">
      <c r="A6540" s="27"/>
      <c r="B6540" s="110"/>
      <c r="D6540" s="401" t="s">
        <v>71</v>
      </c>
      <c r="E6540" s="402" t="s">
        <v>72</v>
      </c>
      <c r="F6540" s="418"/>
      <c r="G6540" s="419"/>
      <c r="H6540" s="442"/>
      <c r="I6540" s="421">
        <f>IF(AND(E6540&lt;&gt;"",G6540&lt;&gt;""),IF(D6540="",IF(G6540="OH",VLOOKUP(E6540,UPAH!$C$4:$H$31,7,0),VLOOKUP(E6540,#REF!,4,0)),0),0)</f>
        <v>0</v>
      </c>
      <c r="J6540" s="396">
        <f>ROUNDDOWN(J6538+J6539,0)</f>
        <v>0</v>
      </c>
    </row>
    <row r="6541" spans="1:10" ht="13">
      <c r="A6541" s="27"/>
      <c r="B6541" s="110"/>
      <c r="D6541" s="11"/>
      <c r="E6541" s="11"/>
      <c r="H6541" s="443"/>
    </row>
    <row r="6542" spans="1:10" ht="13.5" thickBot="1">
      <c r="A6542" s="27"/>
      <c r="B6542" s="110"/>
      <c r="C6542" s="11" t="s">
        <v>1200</v>
      </c>
      <c r="D6542" s="10" t="s">
        <v>1201</v>
      </c>
      <c r="H6542" s="443"/>
    </row>
    <row r="6543" spans="1:10" ht="13.5" thickBot="1">
      <c r="A6543" s="27"/>
      <c r="B6543" s="110"/>
      <c r="D6543" s="401" t="s">
        <v>40</v>
      </c>
      <c r="E6543" s="402" t="s">
        <v>41</v>
      </c>
      <c r="F6543" s="402" t="s">
        <v>42</v>
      </c>
      <c r="G6543" s="403" t="s">
        <v>43</v>
      </c>
      <c r="H6543" s="404" t="s">
        <v>44</v>
      </c>
      <c r="I6543" s="402" t="s">
        <v>474</v>
      </c>
      <c r="J6543" s="405" t="s">
        <v>475</v>
      </c>
    </row>
    <row r="6544" spans="1:10" ht="13">
      <c r="A6544" s="27"/>
      <c r="B6544" s="110"/>
      <c r="D6544" s="406" t="s">
        <v>45</v>
      </c>
      <c r="E6544" s="13" t="s">
        <v>46</v>
      </c>
      <c r="F6544" s="14"/>
      <c r="G6544" s="15"/>
      <c r="H6544" s="451"/>
      <c r="I6544" s="412"/>
      <c r="J6544" s="16"/>
    </row>
    <row r="6545" spans="1:10" ht="13">
      <c r="A6545" s="27"/>
      <c r="B6545" s="110"/>
      <c r="D6545" s="409"/>
      <c r="E6545" s="13" t="s">
        <v>47</v>
      </c>
      <c r="F6545" s="13" t="s">
        <v>1918</v>
      </c>
      <c r="G6545" s="543" t="s">
        <v>48</v>
      </c>
      <c r="H6545" s="544">
        <v>0.2</v>
      </c>
      <c r="I6545" s="412">
        <f>IF(AND(E6545&lt;&gt;"",G6545&lt;&gt;""),IF(D6545="",IF(G6545="OH",VLOOKUP(F6545,UPAH!$B$4:$H$101,7,0),VLOOKUP(F6545,#REF!,4,0)),0),0)</f>
        <v>0</v>
      </c>
      <c r="J6545" s="16">
        <f>H6545*I6545</f>
        <v>0</v>
      </c>
    </row>
    <row r="6546" spans="1:10" ht="13">
      <c r="A6546" s="27"/>
      <c r="B6546" s="110"/>
      <c r="D6546" s="409"/>
      <c r="E6546" s="13" t="s">
        <v>49</v>
      </c>
      <c r="F6546" s="13" t="s">
        <v>1922</v>
      </c>
      <c r="G6546" s="543" t="s">
        <v>48</v>
      </c>
      <c r="H6546" s="544">
        <v>0.3</v>
      </c>
      <c r="I6546" s="412">
        <f>IF(AND(E6546&lt;&gt;"",G6546&lt;&gt;""),IF(D6546="",IF(G6546="OH",VLOOKUP(F6546,UPAH!$B$4:$H$101,7,0),VLOOKUP(F6546,#REF!,4,0)),0),0)</f>
        <v>0</v>
      </c>
      <c r="J6546" s="16">
        <f>H6546*I6546</f>
        <v>0</v>
      </c>
    </row>
    <row r="6547" spans="1:10" ht="13">
      <c r="A6547" s="27"/>
      <c r="B6547" s="110"/>
      <c r="D6547" s="409"/>
      <c r="E6547" s="13" t="s">
        <v>50</v>
      </c>
      <c r="F6547" s="13" t="s">
        <v>1928</v>
      </c>
      <c r="G6547" s="543" t="s">
        <v>48</v>
      </c>
      <c r="H6547" s="544">
        <v>0.03</v>
      </c>
      <c r="I6547" s="412">
        <f>IF(AND(E6547&lt;&gt;"",G6547&lt;&gt;""),IF(D6547="",IF(G6547="OH",VLOOKUP(F6547,UPAH!$B$4:$H$101,7,0),VLOOKUP(F6547,#REF!,4,0)),0),0)</f>
        <v>0</v>
      </c>
      <c r="J6547" s="16">
        <f>H6547*I6547</f>
        <v>0</v>
      </c>
    </row>
    <row r="6548" spans="1:10" ht="13.5" thickBot="1">
      <c r="A6548" s="27"/>
      <c r="B6548" s="110"/>
      <c r="D6548" s="409"/>
      <c r="E6548" s="13" t="s">
        <v>51</v>
      </c>
      <c r="F6548" s="13" t="s">
        <v>1929</v>
      </c>
      <c r="G6548" s="543" t="s">
        <v>48</v>
      </c>
      <c r="H6548" s="544">
        <v>0.01</v>
      </c>
      <c r="I6548" s="412">
        <f>IF(AND(E6548&lt;&gt;"",G6548&lt;&gt;""),IF(D6548="",IF(G6548="OH",VLOOKUP(F6548,UPAH!$B$4:$H$101,7,0),VLOOKUP(F6548,#REF!,4,0)),0),0)</f>
        <v>0</v>
      </c>
      <c r="J6548" s="16">
        <f>H6548*I6548</f>
        <v>0</v>
      </c>
    </row>
    <row r="6549" spans="1:10" ht="13.5" thickBot="1">
      <c r="A6549" s="27"/>
      <c r="B6549" s="110"/>
      <c r="D6549" s="417"/>
      <c r="E6549" s="418"/>
      <c r="F6549" s="418"/>
      <c r="G6549" s="419"/>
      <c r="H6549" s="420" t="s">
        <v>52</v>
      </c>
      <c r="I6549" s="421"/>
      <c r="J6549" s="396">
        <f>SUM(J6545:J6548)</f>
        <v>0</v>
      </c>
    </row>
    <row r="6550" spans="1:10" ht="13">
      <c r="A6550" s="27"/>
      <c r="B6550" s="110"/>
      <c r="D6550" s="406" t="s">
        <v>53</v>
      </c>
      <c r="E6550" s="13" t="s">
        <v>54</v>
      </c>
      <c r="F6550" s="14"/>
      <c r="G6550" s="15"/>
      <c r="H6550" s="451"/>
      <c r="I6550" s="412"/>
      <c r="J6550" s="16"/>
    </row>
    <row r="6551" spans="1:10" ht="13">
      <c r="A6551" s="27"/>
      <c r="B6551" s="110"/>
      <c r="D6551" s="409"/>
      <c r="E6551" s="13" t="s">
        <v>60</v>
      </c>
      <c r="F6551" s="14"/>
      <c r="G6551" s="543" t="s">
        <v>375</v>
      </c>
      <c r="H6551" s="544">
        <v>1.6299999999999999E-2</v>
      </c>
      <c r="I6551" s="412">
        <f>'BAHAN '!G199</f>
        <v>0</v>
      </c>
      <c r="J6551" s="16">
        <f>H6551*I6551</f>
        <v>0</v>
      </c>
    </row>
    <row r="6552" spans="1:10" ht="13.5" thickBot="1">
      <c r="A6552" s="27"/>
      <c r="B6552" s="110"/>
      <c r="D6552" s="409"/>
      <c r="E6552" s="13" t="s">
        <v>486</v>
      </c>
      <c r="F6552" s="14"/>
      <c r="G6552" s="543" t="s">
        <v>93</v>
      </c>
      <c r="H6552" s="544">
        <v>0.25</v>
      </c>
      <c r="I6552" s="412">
        <f>'BAHAN '!G127</f>
        <v>0</v>
      </c>
      <c r="J6552" s="16">
        <f>H6552*I6552</f>
        <v>0</v>
      </c>
    </row>
    <row r="6553" spans="1:10" ht="13.5" thickBot="1">
      <c r="A6553" s="27"/>
      <c r="B6553" s="110"/>
      <c r="D6553" s="417"/>
      <c r="E6553" s="418"/>
      <c r="F6553" s="418"/>
      <c r="G6553" s="419"/>
      <c r="H6553" s="420" t="s">
        <v>64</v>
      </c>
      <c r="I6553" s="421"/>
      <c r="J6553" s="396">
        <f>SUM(J6551:J6552)</f>
        <v>0</v>
      </c>
    </row>
    <row r="6554" spans="1:10" ht="13.5" thickBot="1">
      <c r="A6554" s="27"/>
      <c r="B6554" s="110"/>
      <c r="D6554" s="406" t="s">
        <v>65</v>
      </c>
      <c r="E6554" s="13" t="s">
        <v>66</v>
      </c>
      <c r="F6554" s="14"/>
      <c r="G6554" s="15"/>
      <c r="H6554" s="451"/>
      <c r="I6554" s="412">
        <f>IF(AND(E6554&lt;&gt;"",G6554&lt;&gt;""),IF(D6554="",IF(G6554="OH",VLOOKUP(E6554,UPAH!$C$4:$H$31,7,0),VLOOKUP(E6554,#REF!,4,0)),0),0)</f>
        <v>0</v>
      </c>
      <c r="J6554" s="16">
        <f>H6554*I6554</f>
        <v>0</v>
      </c>
    </row>
    <row r="6555" spans="1:10" ht="13.5" thickBot="1">
      <c r="A6555" s="27"/>
      <c r="B6555" s="110"/>
      <c r="D6555" s="417"/>
      <c r="E6555" s="418"/>
      <c r="F6555" s="418"/>
      <c r="G6555" s="419"/>
      <c r="H6555" s="420" t="s">
        <v>67</v>
      </c>
      <c r="I6555" s="421"/>
      <c r="J6555" s="396">
        <f>J6554</f>
        <v>0</v>
      </c>
    </row>
    <row r="6556" spans="1:10" ht="13">
      <c r="A6556" s="27"/>
      <c r="B6556" s="110"/>
      <c r="D6556" s="444" t="s">
        <v>68</v>
      </c>
      <c r="E6556" s="445" t="s">
        <v>69</v>
      </c>
      <c r="F6556" s="446"/>
      <c r="G6556" s="447"/>
      <c r="H6556" s="448"/>
      <c r="I6556" s="449">
        <f>IF(AND(E6556&lt;&gt;"",G6556&lt;&gt;""),IF(D6556="",IF(G6556="OH",VLOOKUP(E6556,UPAH!$C$4:$H$31,7,0),VLOOKUP(E6556,#REF!,4,0)),0),0)</f>
        <v>0</v>
      </c>
      <c r="J6556" s="16">
        <f>SUM(J6545:J6555)/2</f>
        <v>0</v>
      </c>
    </row>
    <row r="6557" spans="1:10" ht="13.5" thickBot="1">
      <c r="A6557" s="27"/>
      <c r="B6557" s="110"/>
      <c r="D6557" s="431" t="s">
        <v>70</v>
      </c>
      <c r="E6557" s="432" t="s">
        <v>477</v>
      </c>
      <c r="F6557" s="433"/>
      <c r="G6557" s="434"/>
      <c r="H6557" s="22">
        <v>0.1</v>
      </c>
      <c r="I6557" s="436"/>
      <c r="J6557" s="430">
        <f>H6557*J6556</f>
        <v>0</v>
      </c>
    </row>
    <row r="6558" spans="1:10" ht="13.5" thickBot="1">
      <c r="A6558" s="27"/>
      <c r="B6558" s="110"/>
      <c r="D6558" s="401" t="s">
        <v>71</v>
      </c>
      <c r="E6558" s="402" t="s">
        <v>72</v>
      </c>
      <c r="F6558" s="418"/>
      <c r="G6558" s="419"/>
      <c r="H6558" s="442"/>
      <c r="I6558" s="421">
        <f>IF(AND(E6558&lt;&gt;"",G6558&lt;&gt;""),IF(D6558="",IF(G6558="OH",VLOOKUP(E6558,UPAH!$C$4:$H$31,7,0),VLOOKUP(E6558,#REF!,4,0)),0),0)</f>
        <v>0</v>
      </c>
      <c r="J6558" s="396">
        <f>ROUNDDOWN(J6556+J6557,0)</f>
        <v>0</v>
      </c>
    </row>
    <row r="6559" spans="1:10" ht="13">
      <c r="A6559" s="27"/>
      <c r="B6559" s="110"/>
      <c r="D6559" s="11"/>
      <c r="E6559" s="11"/>
      <c r="H6559" s="443"/>
    </row>
    <row r="6560" spans="1:10" ht="13.5" thickBot="1">
      <c r="A6560" s="27"/>
      <c r="B6560" s="110"/>
      <c r="C6560" s="11" t="s">
        <v>1834</v>
      </c>
      <c r="D6560" s="10" t="s">
        <v>1835</v>
      </c>
      <c r="H6560" s="443"/>
    </row>
    <row r="6561" spans="1:10" ht="13.5" thickBot="1">
      <c r="A6561" s="27"/>
      <c r="B6561" s="110"/>
      <c r="D6561" s="401" t="s">
        <v>40</v>
      </c>
      <c r="E6561" s="402" t="s">
        <v>41</v>
      </c>
      <c r="F6561" s="402" t="s">
        <v>42</v>
      </c>
      <c r="G6561" s="403" t="s">
        <v>43</v>
      </c>
      <c r="H6561" s="404" t="s">
        <v>44</v>
      </c>
      <c r="I6561" s="402" t="s">
        <v>474</v>
      </c>
      <c r="J6561" s="405" t="s">
        <v>475</v>
      </c>
    </row>
    <row r="6562" spans="1:10" ht="13">
      <c r="A6562" s="27"/>
      <c r="B6562" s="110"/>
      <c r="D6562" s="406" t="s">
        <v>45</v>
      </c>
      <c r="E6562" s="13" t="s">
        <v>46</v>
      </c>
      <c r="F6562" s="14"/>
      <c r="G6562" s="15"/>
      <c r="H6562" s="451"/>
      <c r="I6562" s="412"/>
      <c r="J6562" s="16"/>
    </row>
    <row r="6563" spans="1:10" ht="13">
      <c r="A6563" s="27"/>
      <c r="B6563" s="110"/>
      <c r="D6563" s="409"/>
      <c r="E6563" s="13" t="s">
        <v>47</v>
      </c>
      <c r="F6563" s="13" t="s">
        <v>1918</v>
      </c>
      <c r="G6563" s="543" t="s">
        <v>48</v>
      </c>
      <c r="H6563" s="544">
        <v>0.1</v>
      </c>
      <c r="I6563" s="412">
        <f>IF(AND(E6563&lt;&gt;"",G6563&lt;&gt;""),IF(D6563="",IF(G6563="OH",VLOOKUP(F6563,UPAH!$B$4:$H$101,7,0),VLOOKUP(F6563,#REF!,4,0)),0),0)</f>
        <v>0</v>
      </c>
      <c r="J6563" s="16">
        <f>H6563*I6563</f>
        <v>0</v>
      </c>
    </row>
    <row r="6564" spans="1:10" ht="13">
      <c r="A6564" s="27"/>
      <c r="B6564" s="110"/>
      <c r="D6564" s="409"/>
      <c r="E6564" s="13" t="s">
        <v>49</v>
      </c>
      <c r="F6564" s="13" t="s">
        <v>1922</v>
      </c>
      <c r="G6564" s="543" t="s">
        <v>48</v>
      </c>
      <c r="H6564" s="544">
        <v>0.2</v>
      </c>
      <c r="I6564" s="412">
        <f>IF(AND(E6564&lt;&gt;"",G6564&lt;&gt;""),IF(D6564="",IF(G6564="OH",VLOOKUP(F6564,UPAH!$B$4:$H$101,7,0),VLOOKUP(F6564,#REF!,4,0)),0),0)</f>
        <v>0</v>
      </c>
      <c r="J6564" s="16">
        <f>H6564*I6564</f>
        <v>0</v>
      </c>
    </row>
    <row r="6565" spans="1:10" ht="13">
      <c r="A6565" s="27"/>
      <c r="B6565" s="110"/>
      <c r="D6565" s="409"/>
      <c r="E6565" s="13" t="s">
        <v>50</v>
      </c>
      <c r="F6565" s="13" t="s">
        <v>1928</v>
      </c>
      <c r="G6565" s="543" t="s">
        <v>48</v>
      </c>
      <c r="H6565" s="544">
        <v>0.02</v>
      </c>
      <c r="I6565" s="412">
        <f>IF(AND(E6565&lt;&gt;"",G6565&lt;&gt;""),IF(D6565="",IF(G6565="OH",VLOOKUP(F6565,UPAH!$B$4:$H$101,7,0),VLOOKUP(F6565,#REF!,4,0)),0),0)</f>
        <v>0</v>
      </c>
      <c r="J6565" s="16">
        <f>H6565*I6565</f>
        <v>0</v>
      </c>
    </row>
    <row r="6566" spans="1:10" ht="13.5" thickBot="1">
      <c r="A6566" s="27"/>
      <c r="B6566" s="110"/>
      <c r="D6566" s="409"/>
      <c r="E6566" s="13" t="s">
        <v>51</v>
      </c>
      <c r="F6566" s="13" t="s">
        <v>1929</v>
      </c>
      <c r="G6566" s="543" t="s">
        <v>48</v>
      </c>
      <c r="H6566" s="544">
        <v>5.0000000000000001E-3</v>
      </c>
      <c r="I6566" s="412">
        <f>IF(AND(E6566&lt;&gt;"",G6566&lt;&gt;""),IF(D6566="",IF(G6566="OH",VLOOKUP(F6566,UPAH!$B$4:$H$101,7,0),VLOOKUP(F6566,#REF!,4,0)),0),0)</f>
        <v>0</v>
      </c>
      <c r="J6566" s="16">
        <f>H6566*I6566</f>
        <v>0</v>
      </c>
    </row>
    <row r="6567" spans="1:10" ht="13.5" thickBot="1">
      <c r="A6567" s="27"/>
      <c r="B6567" s="110"/>
      <c r="D6567" s="417"/>
      <c r="E6567" s="418"/>
      <c r="F6567" s="418"/>
      <c r="G6567" s="419"/>
      <c r="H6567" s="420" t="s">
        <v>52</v>
      </c>
      <c r="I6567" s="421"/>
      <c r="J6567" s="396">
        <f>SUM(J6563:J6566)</f>
        <v>0</v>
      </c>
    </row>
    <row r="6568" spans="1:10" ht="13">
      <c r="A6568" s="27"/>
      <c r="B6568" s="110"/>
      <c r="D6568" s="406" t="s">
        <v>53</v>
      </c>
      <c r="E6568" s="13" t="s">
        <v>54</v>
      </c>
      <c r="F6568" s="14"/>
      <c r="G6568" s="15"/>
      <c r="H6568" s="451"/>
      <c r="I6568" s="412"/>
      <c r="J6568" s="16"/>
    </row>
    <row r="6569" spans="1:10" ht="13">
      <c r="A6569" s="27"/>
      <c r="B6569" s="110"/>
      <c r="D6569" s="409"/>
      <c r="E6569" s="13" t="s">
        <v>513</v>
      </c>
      <c r="F6569" s="14"/>
      <c r="G6569" s="543" t="s">
        <v>375</v>
      </c>
      <c r="H6569" s="544">
        <v>1.0800000000000001E-2</v>
      </c>
      <c r="I6569" s="412">
        <f>'BAHAN '!G199</f>
        <v>0</v>
      </c>
      <c r="J6569" s="16">
        <f>H6569*I6569</f>
        <v>0</v>
      </c>
    </row>
    <row r="6570" spans="1:10" ht="13.5" thickBot="1">
      <c r="A6570" s="27"/>
      <c r="B6570" s="110"/>
      <c r="D6570" s="409"/>
      <c r="E6570" s="13" t="s">
        <v>486</v>
      </c>
      <c r="F6570" s="14"/>
      <c r="G6570" s="543" t="s">
        <v>93</v>
      </c>
      <c r="H6570" s="544">
        <v>0.1</v>
      </c>
      <c r="I6570" s="412">
        <f>'BAHAN '!G127</f>
        <v>0</v>
      </c>
      <c r="J6570" s="16">
        <f>H6570*I6570</f>
        <v>0</v>
      </c>
    </row>
    <row r="6571" spans="1:10" ht="13.5" thickBot="1">
      <c r="A6571" s="27"/>
      <c r="B6571" s="110"/>
      <c r="D6571" s="417"/>
      <c r="E6571" s="418"/>
      <c r="F6571" s="418"/>
      <c r="G6571" s="419"/>
      <c r="H6571" s="420" t="s">
        <v>64</v>
      </c>
      <c r="I6571" s="421"/>
      <c r="J6571" s="396">
        <f>SUM(J6569:J6570)</f>
        <v>0</v>
      </c>
    </row>
    <row r="6572" spans="1:10" ht="13.5" thickBot="1">
      <c r="A6572" s="27"/>
      <c r="B6572" s="110"/>
      <c r="D6572" s="406" t="s">
        <v>65</v>
      </c>
      <c r="E6572" s="13" t="s">
        <v>66</v>
      </c>
      <c r="F6572" s="14"/>
      <c r="G6572" s="15"/>
      <c r="H6572" s="451"/>
      <c r="I6572" s="412">
        <f>IF(AND(E6572&lt;&gt;"",G6572&lt;&gt;""),IF(D6572="",IF(G6572="OH",VLOOKUP(E6572,UPAH!$C$4:$H$31,7,0),VLOOKUP(E6572,#REF!,4,0)),0),0)</f>
        <v>0</v>
      </c>
      <c r="J6572" s="16">
        <f>H6572*I6572</f>
        <v>0</v>
      </c>
    </row>
    <row r="6573" spans="1:10" ht="13.5" thickBot="1">
      <c r="A6573" s="27"/>
      <c r="B6573" s="110"/>
      <c r="D6573" s="417"/>
      <c r="E6573" s="418"/>
      <c r="F6573" s="418"/>
      <c r="G6573" s="419"/>
      <c r="H6573" s="420" t="s">
        <v>67</v>
      </c>
      <c r="I6573" s="421"/>
      <c r="J6573" s="396">
        <f>J6572</f>
        <v>0</v>
      </c>
    </row>
    <row r="6574" spans="1:10" ht="13">
      <c r="A6574" s="27"/>
      <c r="B6574" s="110"/>
      <c r="D6574" s="444" t="s">
        <v>68</v>
      </c>
      <c r="E6574" s="445" t="s">
        <v>69</v>
      </c>
      <c r="F6574" s="446"/>
      <c r="G6574" s="447"/>
      <c r="H6574" s="448"/>
      <c r="I6574" s="449">
        <f>IF(AND(E6574&lt;&gt;"",G6574&lt;&gt;""),IF(D6574="",IF(G6574="OH",VLOOKUP(E6574,UPAH!$C$4:$H$31,7,0),VLOOKUP(E6574,#REF!,4,0)),0),0)</f>
        <v>0</v>
      </c>
      <c r="J6574" s="16">
        <f>SUM(J6563:J6573)/2</f>
        <v>0</v>
      </c>
    </row>
    <row r="6575" spans="1:10" ht="13.5" thickBot="1">
      <c r="A6575" s="27"/>
      <c r="B6575" s="110"/>
      <c r="D6575" s="431" t="s">
        <v>70</v>
      </c>
      <c r="E6575" s="432" t="s">
        <v>477</v>
      </c>
      <c r="F6575" s="433"/>
      <c r="G6575" s="434"/>
      <c r="H6575" s="22">
        <v>0.1</v>
      </c>
      <c r="I6575" s="436"/>
      <c r="J6575" s="430">
        <f>H6575*J6574</f>
        <v>0</v>
      </c>
    </row>
    <row r="6576" spans="1:10" ht="13.5" thickBot="1">
      <c r="A6576" s="27"/>
      <c r="B6576" s="110"/>
      <c r="D6576" s="401" t="s">
        <v>71</v>
      </c>
      <c r="E6576" s="402" t="s">
        <v>72</v>
      </c>
      <c r="F6576" s="418"/>
      <c r="G6576" s="419"/>
      <c r="H6576" s="442"/>
      <c r="I6576" s="421">
        <f>IF(AND(E6576&lt;&gt;"",G6576&lt;&gt;""),IF(D6576="",IF(G6576="OH",VLOOKUP(E6576,UPAH!$C$4:$H$31,7,0),VLOOKUP(E6576,#REF!,4,0)),0),0)</f>
        <v>0</v>
      </c>
      <c r="J6576" s="396">
        <f>ROUNDDOWN(J6574+J6575,0)</f>
        <v>0</v>
      </c>
    </row>
    <row r="6577" spans="1:10" ht="13">
      <c r="A6577" s="27"/>
      <c r="B6577" s="110"/>
      <c r="D6577" s="11"/>
      <c r="E6577" s="11"/>
      <c r="H6577" s="443"/>
    </row>
    <row r="6578" spans="1:10" ht="13.5" thickBot="1">
      <c r="A6578" s="27"/>
      <c r="B6578" s="110"/>
      <c r="C6578" s="11" t="s">
        <v>1202</v>
      </c>
      <c r="D6578" s="10" t="s">
        <v>1203</v>
      </c>
      <c r="H6578" s="443"/>
    </row>
    <row r="6579" spans="1:10" ht="13.5" thickBot="1">
      <c r="A6579" s="27"/>
      <c r="B6579" s="110"/>
      <c r="D6579" s="401" t="s">
        <v>40</v>
      </c>
      <c r="E6579" s="402" t="s">
        <v>41</v>
      </c>
      <c r="F6579" s="402" t="s">
        <v>42</v>
      </c>
      <c r="G6579" s="403" t="s">
        <v>43</v>
      </c>
      <c r="H6579" s="404" t="s">
        <v>44</v>
      </c>
      <c r="I6579" s="402" t="s">
        <v>474</v>
      </c>
      <c r="J6579" s="405" t="s">
        <v>475</v>
      </c>
    </row>
    <row r="6580" spans="1:10" ht="13">
      <c r="A6580" s="27"/>
      <c r="B6580" s="110"/>
      <c r="D6580" s="406" t="s">
        <v>45</v>
      </c>
      <c r="E6580" s="13" t="s">
        <v>46</v>
      </c>
      <c r="F6580" s="14"/>
      <c r="G6580" s="15"/>
      <c r="H6580" s="451"/>
      <c r="I6580" s="412"/>
      <c r="J6580" s="16"/>
    </row>
    <row r="6581" spans="1:10" ht="13">
      <c r="A6581" s="27"/>
      <c r="B6581" s="110"/>
      <c r="D6581" s="409"/>
      <c r="E6581" s="13" t="s">
        <v>47</v>
      </c>
      <c r="F6581" s="13" t="s">
        <v>1918</v>
      </c>
      <c r="G6581" s="543" t="s">
        <v>48</v>
      </c>
      <c r="H6581" s="544">
        <v>0.1</v>
      </c>
      <c r="I6581" s="412">
        <f>IF(AND(E6581&lt;&gt;"",G6581&lt;&gt;""),IF(D6581="",IF(G6581="OH",VLOOKUP(F6581,UPAH!$B$4:$H$101,7,0),VLOOKUP(F6581,#REF!,4,0)),0),0)</f>
        <v>0</v>
      </c>
      <c r="J6581" s="16">
        <f>H6581*I6581</f>
        <v>0</v>
      </c>
    </row>
    <row r="6582" spans="1:10" ht="13">
      <c r="A6582" s="27"/>
      <c r="B6582" s="110"/>
      <c r="D6582" s="409"/>
      <c r="E6582" s="13" t="s">
        <v>49</v>
      </c>
      <c r="F6582" s="13" t="s">
        <v>1922</v>
      </c>
      <c r="G6582" s="543" t="s">
        <v>48</v>
      </c>
      <c r="H6582" s="544">
        <v>0.2</v>
      </c>
      <c r="I6582" s="412">
        <f>IF(AND(E6582&lt;&gt;"",G6582&lt;&gt;""),IF(D6582="",IF(G6582="OH",VLOOKUP(F6582,UPAH!$B$4:$H$101,7,0),VLOOKUP(F6582,#REF!,4,0)),0),0)</f>
        <v>0</v>
      </c>
      <c r="J6582" s="16">
        <f>H6582*I6582</f>
        <v>0</v>
      </c>
    </row>
    <row r="6583" spans="1:10" ht="13">
      <c r="A6583" s="27"/>
      <c r="B6583" s="110"/>
      <c r="D6583" s="409"/>
      <c r="E6583" s="13" t="s">
        <v>50</v>
      </c>
      <c r="F6583" s="13" t="s">
        <v>1928</v>
      </c>
      <c r="G6583" s="543" t="s">
        <v>48</v>
      </c>
      <c r="H6583" s="544">
        <v>0.02</v>
      </c>
      <c r="I6583" s="412">
        <f>IF(AND(E6583&lt;&gt;"",G6583&lt;&gt;""),IF(D6583="",IF(G6583="OH",VLOOKUP(F6583,UPAH!$B$4:$H$101,7,0),VLOOKUP(F6583,#REF!,4,0)),0),0)</f>
        <v>0</v>
      </c>
      <c r="J6583" s="16">
        <f>H6583*I6583</f>
        <v>0</v>
      </c>
    </row>
    <row r="6584" spans="1:10" ht="13.5" thickBot="1">
      <c r="A6584" s="27"/>
      <c r="B6584" s="110"/>
      <c r="D6584" s="409"/>
      <c r="E6584" s="13" t="s">
        <v>51</v>
      </c>
      <c r="F6584" s="13" t="s">
        <v>1929</v>
      </c>
      <c r="G6584" s="543" t="s">
        <v>48</v>
      </c>
      <c r="H6584" s="544">
        <v>5.0000000000000001E-3</v>
      </c>
      <c r="I6584" s="412">
        <f>IF(AND(E6584&lt;&gt;"",G6584&lt;&gt;""),IF(D6584="",IF(G6584="OH",VLOOKUP(F6584,UPAH!$B$4:$H$101,7,0),VLOOKUP(F6584,#REF!,4,0)),0),0)</f>
        <v>0</v>
      </c>
      <c r="J6584" s="16">
        <f>H6584*I6584</f>
        <v>0</v>
      </c>
    </row>
    <row r="6585" spans="1:10" ht="13.5" thickBot="1">
      <c r="A6585" s="27"/>
      <c r="B6585" s="110"/>
      <c r="D6585" s="417"/>
      <c r="E6585" s="418"/>
      <c r="F6585" s="418"/>
      <c r="G6585" s="419"/>
      <c r="H6585" s="420" t="s">
        <v>52</v>
      </c>
      <c r="I6585" s="421"/>
      <c r="J6585" s="396">
        <f>SUM(J6581:J6584)</f>
        <v>0</v>
      </c>
    </row>
    <row r="6586" spans="1:10" ht="13">
      <c r="A6586" s="27"/>
      <c r="B6586" s="110"/>
      <c r="D6586" s="406" t="s">
        <v>53</v>
      </c>
      <c r="E6586" s="13" t="s">
        <v>54</v>
      </c>
      <c r="F6586" s="14"/>
      <c r="G6586" s="15"/>
      <c r="H6586" s="451"/>
      <c r="I6586" s="412"/>
      <c r="J6586" s="16"/>
    </row>
    <row r="6587" spans="1:10" ht="13">
      <c r="A6587" s="27"/>
      <c r="B6587" s="110"/>
      <c r="D6587" s="409"/>
      <c r="E6587" s="13" t="s">
        <v>513</v>
      </c>
      <c r="F6587" s="14"/>
      <c r="G6587" s="543" t="s">
        <v>375</v>
      </c>
      <c r="H6587" s="544">
        <v>1.0999999999999999E-2</v>
      </c>
      <c r="I6587" s="412">
        <f>'BAHAN '!G199</f>
        <v>0</v>
      </c>
      <c r="J6587" s="16">
        <f>H6587*I6587</f>
        <v>0</v>
      </c>
    </row>
    <row r="6588" spans="1:10" ht="13.5" thickBot="1">
      <c r="A6588" s="27"/>
      <c r="B6588" s="110"/>
      <c r="D6588" s="409"/>
      <c r="E6588" s="13" t="s">
        <v>486</v>
      </c>
      <c r="F6588" s="14"/>
      <c r="G6588" s="543" t="s">
        <v>93</v>
      </c>
      <c r="H6588" s="544">
        <v>0.05</v>
      </c>
      <c r="I6588" s="412">
        <f>'BAHAN '!G127</f>
        <v>0</v>
      </c>
      <c r="J6588" s="16">
        <f>H6588*I6588</f>
        <v>0</v>
      </c>
    </row>
    <row r="6589" spans="1:10" ht="13.5" thickBot="1">
      <c r="A6589" s="27"/>
      <c r="B6589" s="110"/>
      <c r="D6589" s="417"/>
      <c r="E6589" s="418"/>
      <c r="F6589" s="418"/>
      <c r="G6589" s="419"/>
      <c r="H6589" s="420" t="s">
        <v>64</v>
      </c>
      <c r="I6589" s="421"/>
      <c r="J6589" s="396">
        <f>SUM(J6587:J6588)</f>
        <v>0</v>
      </c>
    </row>
    <row r="6590" spans="1:10" ht="13.5" thickBot="1">
      <c r="A6590" s="27"/>
      <c r="B6590" s="110"/>
      <c r="D6590" s="406" t="s">
        <v>65</v>
      </c>
      <c r="E6590" s="13" t="s">
        <v>66</v>
      </c>
      <c r="F6590" s="14"/>
      <c r="G6590" s="15"/>
      <c r="H6590" s="451"/>
      <c r="I6590" s="412">
        <f>IF(AND(E6590&lt;&gt;"",G6590&lt;&gt;""),IF(D6590="",IF(G6590="OH",VLOOKUP(E6590,UPAH!$C$4:$H$31,7,0),VLOOKUP(E6590,#REF!,4,0)),0),0)</f>
        <v>0</v>
      </c>
      <c r="J6590" s="16">
        <f>H6590*I6590</f>
        <v>0</v>
      </c>
    </row>
    <row r="6591" spans="1:10" ht="13.5" thickBot="1">
      <c r="A6591" s="27"/>
      <c r="B6591" s="110"/>
      <c r="D6591" s="417"/>
      <c r="E6591" s="418"/>
      <c r="F6591" s="418"/>
      <c r="G6591" s="419"/>
      <c r="H6591" s="420" t="s">
        <v>67</v>
      </c>
      <c r="I6591" s="421"/>
      <c r="J6591" s="396">
        <f>J6590</f>
        <v>0</v>
      </c>
    </row>
    <row r="6592" spans="1:10" ht="13">
      <c r="A6592" s="27"/>
      <c r="B6592" s="110"/>
      <c r="D6592" s="444" t="s">
        <v>68</v>
      </c>
      <c r="E6592" s="445" t="s">
        <v>69</v>
      </c>
      <c r="F6592" s="446"/>
      <c r="G6592" s="447"/>
      <c r="H6592" s="448"/>
      <c r="I6592" s="449">
        <f>IF(AND(E6592&lt;&gt;"",G6592&lt;&gt;""),IF(D6592="",IF(G6592="OH",VLOOKUP(E6592,UPAH!$C$4:$H$31,7,0),VLOOKUP(E6592,#REF!,4,0)),0),0)</f>
        <v>0</v>
      </c>
      <c r="J6592" s="16">
        <f>SUM(J6581:J6591)/2</f>
        <v>0</v>
      </c>
    </row>
    <row r="6593" spans="1:10" ht="13.5" thickBot="1">
      <c r="A6593" s="27"/>
      <c r="B6593" s="110"/>
      <c r="D6593" s="431" t="s">
        <v>70</v>
      </c>
      <c r="E6593" s="432" t="s">
        <v>477</v>
      </c>
      <c r="F6593" s="433"/>
      <c r="G6593" s="434"/>
      <c r="H6593" s="22">
        <v>0.1</v>
      </c>
      <c r="I6593" s="436"/>
      <c r="J6593" s="430">
        <f>H6593*J6592</f>
        <v>0</v>
      </c>
    </row>
    <row r="6594" spans="1:10" ht="13.5" thickBot="1">
      <c r="A6594" s="27"/>
      <c r="B6594" s="110"/>
      <c r="D6594" s="401" t="s">
        <v>71</v>
      </c>
      <c r="E6594" s="402" t="s">
        <v>72</v>
      </c>
      <c r="F6594" s="418"/>
      <c r="G6594" s="419"/>
      <c r="H6594" s="442"/>
      <c r="I6594" s="421">
        <f>IF(AND(E6594&lt;&gt;"",G6594&lt;&gt;""),IF(D6594="",IF(G6594="OH",VLOOKUP(E6594,UPAH!$C$4:$H$31,7,0),VLOOKUP(E6594,#REF!,4,0)),0),0)</f>
        <v>0</v>
      </c>
      <c r="J6594" s="396">
        <f>ROUNDDOWN(J6592+J6593,0)</f>
        <v>0</v>
      </c>
    </row>
    <row r="6595" spans="1:10" ht="13">
      <c r="A6595" s="27"/>
      <c r="B6595" s="110"/>
      <c r="D6595" s="11"/>
      <c r="E6595" s="11"/>
      <c r="H6595" s="443"/>
    </row>
    <row r="6596" spans="1:10" ht="13.5" thickBot="1">
      <c r="A6596" s="27"/>
      <c r="B6596" s="110"/>
      <c r="C6596" s="11" t="s">
        <v>1204</v>
      </c>
      <c r="D6596" s="10" t="s">
        <v>1205</v>
      </c>
      <c r="H6596" s="443"/>
    </row>
    <row r="6597" spans="1:10" ht="13.5" thickBot="1">
      <c r="A6597" s="27"/>
      <c r="B6597" s="110"/>
      <c r="D6597" s="401" t="s">
        <v>40</v>
      </c>
      <c r="E6597" s="402" t="s">
        <v>41</v>
      </c>
      <c r="F6597" s="402" t="s">
        <v>42</v>
      </c>
      <c r="G6597" s="403" t="s">
        <v>43</v>
      </c>
      <c r="H6597" s="404" t="s">
        <v>44</v>
      </c>
      <c r="I6597" s="402" t="s">
        <v>474</v>
      </c>
      <c r="J6597" s="405" t="s">
        <v>475</v>
      </c>
    </row>
    <row r="6598" spans="1:10" ht="13">
      <c r="A6598" s="27"/>
      <c r="B6598" s="110"/>
      <c r="D6598" s="406" t="s">
        <v>45</v>
      </c>
      <c r="E6598" s="13" t="s">
        <v>46</v>
      </c>
      <c r="F6598" s="14"/>
      <c r="G6598" s="15"/>
      <c r="H6598" s="451"/>
      <c r="I6598" s="412"/>
      <c r="J6598" s="16"/>
    </row>
    <row r="6599" spans="1:10" ht="13">
      <c r="A6599" s="27"/>
      <c r="B6599" s="110"/>
      <c r="D6599" s="409"/>
      <c r="E6599" s="13" t="s">
        <v>47</v>
      </c>
      <c r="F6599" s="13" t="s">
        <v>1918</v>
      </c>
      <c r="G6599" s="543" t="s">
        <v>48</v>
      </c>
      <c r="H6599" s="544">
        <v>0.15</v>
      </c>
      <c r="I6599" s="412">
        <f>IF(AND(E6599&lt;&gt;"",G6599&lt;&gt;""),IF(D6599="",IF(G6599="OH",VLOOKUP(F6599,UPAH!$B$4:$H$101,7,0),VLOOKUP(F6599,#REF!,4,0)),0),0)</f>
        <v>0</v>
      </c>
      <c r="J6599" s="16">
        <f>H6599*I6599</f>
        <v>0</v>
      </c>
    </row>
    <row r="6600" spans="1:10" ht="13">
      <c r="A6600" s="27"/>
      <c r="B6600" s="110"/>
      <c r="D6600" s="409"/>
      <c r="E6600" s="13" t="s">
        <v>49</v>
      </c>
      <c r="F6600" s="13" t="s">
        <v>1922</v>
      </c>
      <c r="G6600" s="543" t="s">
        <v>48</v>
      </c>
      <c r="H6600" s="544">
        <v>0.45</v>
      </c>
      <c r="I6600" s="412">
        <f>IF(AND(E6600&lt;&gt;"",G6600&lt;&gt;""),IF(D6600="",IF(G6600="OH",VLOOKUP(F6600,UPAH!$B$4:$H$101,7,0),VLOOKUP(F6600,#REF!,4,0)),0),0)</f>
        <v>0</v>
      </c>
      <c r="J6600" s="16">
        <f>H6600*I6600</f>
        <v>0</v>
      </c>
    </row>
    <row r="6601" spans="1:10" ht="13">
      <c r="A6601" s="27"/>
      <c r="B6601" s="110"/>
      <c r="D6601" s="409"/>
      <c r="E6601" s="13" t="s">
        <v>50</v>
      </c>
      <c r="F6601" s="13" t="s">
        <v>1928</v>
      </c>
      <c r="G6601" s="543" t="s">
        <v>48</v>
      </c>
      <c r="H6601" s="544">
        <v>4.4999999999999998E-2</v>
      </c>
      <c r="I6601" s="412">
        <f>IF(AND(E6601&lt;&gt;"",G6601&lt;&gt;""),IF(D6601="",IF(G6601="OH",VLOOKUP(F6601,UPAH!$B$4:$H$101,7,0),VLOOKUP(F6601,#REF!,4,0)),0),0)</f>
        <v>0</v>
      </c>
      <c r="J6601" s="16">
        <f>H6601*I6601</f>
        <v>0</v>
      </c>
    </row>
    <row r="6602" spans="1:10" ht="13.5" thickBot="1">
      <c r="A6602" s="27"/>
      <c r="B6602" s="110"/>
      <c r="D6602" s="409"/>
      <c r="E6602" s="13" t="s">
        <v>51</v>
      </c>
      <c r="F6602" s="13" t="s">
        <v>1929</v>
      </c>
      <c r="G6602" s="543" t="s">
        <v>48</v>
      </c>
      <c r="H6602" s="544">
        <v>8.0000000000000002E-3</v>
      </c>
      <c r="I6602" s="412">
        <f>IF(AND(E6602&lt;&gt;"",G6602&lt;&gt;""),IF(D6602="",IF(G6602="OH",VLOOKUP(F6602,UPAH!$B$4:$H$101,7,0),VLOOKUP(F6602,#REF!,4,0)),0),0)</f>
        <v>0</v>
      </c>
      <c r="J6602" s="16">
        <f>H6602*I6602</f>
        <v>0</v>
      </c>
    </row>
    <row r="6603" spans="1:10" ht="13.5" thickBot="1">
      <c r="A6603" s="27"/>
      <c r="B6603" s="110"/>
      <c r="D6603" s="417"/>
      <c r="E6603" s="418"/>
      <c r="F6603" s="418"/>
      <c r="G6603" s="419"/>
      <c r="H6603" s="420" t="s">
        <v>52</v>
      </c>
      <c r="I6603" s="421"/>
      <c r="J6603" s="396">
        <f>SUM(J6599:J6602)</f>
        <v>0</v>
      </c>
    </row>
    <row r="6604" spans="1:10" ht="13">
      <c r="A6604" s="27"/>
      <c r="B6604" s="110"/>
      <c r="D6604" s="406" t="s">
        <v>53</v>
      </c>
      <c r="E6604" s="13" t="s">
        <v>54</v>
      </c>
      <c r="F6604" s="14"/>
      <c r="G6604" s="15"/>
      <c r="H6604" s="451"/>
      <c r="I6604" s="412"/>
      <c r="J6604" s="16"/>
    </row>
    <row r="6605" spans="1:10" ht="13">
      <c r="A6605" s="27"/>
      <c r="B6605" s="110"/>
      <c r="D6605" s="409"/>
      <c r="E6605" s="13" t="s">
        <v>196</v>
      </c>
      <c r="F6605" s="14"/>
      <c r="G6605" s="543" t="s">
        <v>375</v>
      </c>
      <c r="H6605" s="544">
        <v>2.8000000000000001E-2</v>
      </c>
      <c r="I6605" s="412">
        <f>'BAHAN '!G199</f>
        <v>0</v>
      </c>
      <c r="J6605" s="16">
        <f>H6605*I6605</f>
        <v>0</v>
      </c>
    </row>
    <row r="6606" spans="1:10" ht="13.5" thickBot="1">
      <c r="A6606" s="27"/>
      <c r="B6606" s="110"/>
      <c r="D6606" s="409"/>
      <c r="E6606" s="13" t="s">
        <v>486</v>
      </c>
      <c r="F6606" s="14"/>
      <c r="G6606" s="543" t="s">
        <v>93</v>
      </c>
      <c r="H6606" s="544">
        <v>0.15</v>
      </c>
      <c r="I6606" s="412">
        <f>'BAHAN '!G127</f>
        <v>0</v>
      </c>
      <c r="J6606" s="16">
        <f>H6606*I6606</f>
        <v>0</v>
      </c>
    </row>
    <row r="6607" spans="1:10" ht="13.5" thickBot="1">
      <c r="A6607" s="27"/>
      <c r="B6607" s="110"/>
      <c r="D6607" s="417"/>
      <c r="E6607" s="418"/>
      <c r="F6607" s="418"/>
      <c r="G6607" s="419"/>
      <c r="H6607" s="420" t="s">
        <v>64</v>
      </c>
      <c r="I6607" s="421"/>
      <c r="J6607" s="396">
        <f>SUM(J6605:J6606)</f>
        <v>0</v>
      </c>
    </row>
    <row r="6608" spans="1:10" ht="13.5" thickBot="1">
      <c r="A6608" s="27"/>
      <c r="B6608" s="110"/>
      <c r="D6608" s="406" t="s">
        <v>65</v>
      </c>
      <c r="E6608" s="13" t="s">
        <v>66</v>
      </c>
      <c r="F6608" s="14"/>
      <c r="G6608" s="15"/>
      <c r="H6608" s="451"/>
      <c r="I6608" s="412">
        <f>IF(AND(E6608&lt;&gt;"",G6608&lt;&gt;""),IF(D6608="",IF(G6608="OH",VLOOKUP(E6608,UPAH!$C$4:$H$31,7,0),VLOOKUP(E6608,#REF!,4,0)),0),0)</f>
        <v>0</v>
      </c>
      <c r="J6608" s="16">
        <f>H6608*I6608</f>
        <v>0</v>
      </c>
    </row>
    <row r="6609" spans="1:10" ht="13.5" thickBot="1">
      <c r="A6609" s="27"/>
      <c r="B6609" s="110"/>
      <c r="D6609" s="417"/>
      <c r="E6609" s="418"/>
      <c r="F6609" s="418"/>
      <c r="G6609" s="419"/>
      <c r="H6609" s="420" t="s">
        <v>67</v>
      </c>
      <c r="I6609" s="421"/>
      <c r="J6609" s="396">
        <f>J6608</f>
        <v>0</v>
      </c>
    </row>
    <row r="6610" spans="1:10" ht="13">
      <c r="A6610" s="27"/>
      <c r="B6610" s="110"/>
      <c r="D6610" s="444" t="s">
        <v>68</v>
      </c>
      <c r="E6610" s="445" t="s">
        <v>69</v>
      </c>
      <c r="F6610" s="446"/>
      <c r="G6610" s="447"/>
      <c r="H6610" s="448"/>
      <c r="I6610" s="449">
        <f>IF(AND(E6610&lt;&gt;"",G6610&lt;&gt;""),IF(D6610="",IF(G6610="OH",VLOOKUP(E6610,UPAH!$C$4:$H$31,7,0),VLOOKUP(E6610,#REF!,4,0)),0),0)</f>
        <v>0</v>
      </c>
      <c r="J6610" s="16">
        <f>SUM(J6599:J6609)/2</f>
        <v>0</v>
      </c>
    </row>
    <row r="6611" spans="1:10" ht="13.5" thickBot="1">
      <c r="A6611" s="27"/>
      <c r="B6611" s="110"/>
      <c r="D6611" s="431" t="s">
        <v>70</v>
      </c>
      <c r="E6611" s="432" t="s">
        <v>477</v>
      </c>
      <c r="F6611" s="433"/>
      <c r="G6611" s="434"/>
      <c r="H6611" s="22">
        <v>0.1</v>
      </c>
      <c r="I6611" s="436"/>
      <c r="J6611" s="430">
        <f>H6611*J6610</f>
        <v>0</v>
      </c>
    </row>
    <row r="6612" spans="1:10" ht="13.5" thickBot="1">
      <c r="A6612" s="27"/>
      <c r="B6612" s="110"/>
      <c r="D6612" s="401" t="s">
        <v>71</v>
      </c>
      <c r="E6612" s="402" t="s">
        <v>72</v>
      </c>
      <c r="F6612" s="418"/>
      <c r="G6612" s="419"/>
      <c r="H6612" s="442"/>
      <c r="I6612" s="421">
        <f>IF(AND(E6612&lt;&gt;"",G6612&lt;&gt;""),IF(D6612="",IF(G6612="OH",VLOOKUP(E6612,UPAH!$C$4:$H$31,7,0),VLOOKUP(E6612,#REF!,4,0)),0),0)</f>
        <v>0</v>
      </c>
      <c r="J6612" s="396">
        <f>ROUNDDOWN(J6610+J6611,0)</f>
        <v>0</v>
      </c>
    </row>
    <row r="6613" spans="1:10" ht="13">
      <c r="A6613" s="27"/>
      <c r="B6613" s="110"/>
      <c r="D6613" s="11"/>
      <c r="E6613" s="11"/>
      <c r="H6613" s="443"/>
    </row>
    <row r="6614" spans="1:10" ht="13.5" thickBot="1">
      <c r="A6614" s="27"/>
      <c r="B6614" s="110"/>
      <c r="C6614" s="11" t="s">
        <v>1206</v>
      </c>
      <c r="D6614" s="10" t="s">
        <v>1207</v>
      </c>
      <c r="H6614" s="443"/>
    </row>
    <row r="6615" spans="1:10" ht="13.5" thickBot="1">
      <c r="A6615" s="27"/>
      <c r="B6615" s="110"/>
      <c r="D6615" s="401" t="s">
        <v>40</v>
      </c>
      <c r="E6615" s="402" t="s">
        <v>41</v>
      </c>
      <c r="F6615" s="402" t="s">
        <v>42</v>
      </c>
      <c r="G6615" s="403" t="s">
        <v>43</v>
      </c>
      <c r="H6615" s="404" t="s">
        <v>44</v>
      </c>
      <c r="I6615" s="402" t="s">
        <v>474</v>
      </c>
      <c r="J6615" s="405" t="s">
        <v>475</v>
      </c>
    </row>
    <row r="6616" spans="1:10" ht="13">
      <c r="A6616" s="27"/>
      <c r="B6616" s="110"/>
      <c r="D6616" s="406" t="s">
        <v>45</v>
      </c>
      <c r="E6616" s="13" t="s">
        <v>46</v>
      </c>
      <c r="F6616" s="14"/>
      <c r="G6616" s="15"/>
      <c r="H6616" s="451"/>
      <c r="I6616" s="412"/>
      <c r="J6616" s="16"/>
    </row>
    <row r="6617" spans="1:10" ht="13">
      <c r="A6617" s="27"/>
      <c r="B6617" s="110"/>
      <c r="D6617" s="409"/>
      <c r="E6617" s="13" t="s">
        <v>47</v>
      </c>
      <c r="F6617" s="13" t="s">
        <v>1918</v>
      </c>
      <c r="G6617" s="543" t="s">
        <v>48</v>
      </c>
      <c r="H6617" s="544">
        <v>0.15</v>
      </c>
      <c r="I6617" s="412">
        <f>IF(AND(E6617&lt;&gt;"",G6617&lt;&gt;""),IF(D6617="",IF(G6617="OH",VLOOKUP(F6617,UPAH!$B$4:$H$101,7,0),VLOOKUP(F6617,#REF!,4,0)),0),0)</f>
        <v>0</v>
      </c>
      <c r="J6617" s="16">
        <f>H6617*I6617</f>
        <v>0</v>
      </c>
    </row>
    <row r="6618" spans="1:10" ht="13">
      <c r="A6618" s="27"/>
      <c r="B6618" s="110"/>
      <c r="D6618" s="409"/>
      <c r="E6618" s="13" t="s">
        <v>49</v>
      </c>
      <c r="F6618" s="13" t="s">
        <v>1922</v>
      </c>
      <c r="G6618" s="543" t="s">
        <v>48</v>
      </c>
      <c r="H6618" s="544">
        <v>0.45</v>
      </c>
      <c r="I6618" s="412">
        <f>IF(AND(E6618&lt;&gt;"",G6618&lt;&gt;""),IF(D6618="",IF(G6618="OH",VLOOKUP(F6618,UPAH!$B$4:$H$101,7,0),VLOOKUP(F6618,#REF!,4,0)),0),0)</f>
        <v>0</v>
      </c>
      <c r="J6618" s="16">
        <f>H6618*I6618</f>
        <v>0</v>
      </c>
    </row>
    <row r="6619" spans="1:10" ht="13">
      <c r="A6619" s="27"/>
      <c r="B6619" s="110"/>
      <c r="D6619" s="409"/>
      <c r="E6619" s="13" t="s">
        <v>50</v>
      </c>
      <c r="F6619" s="13" t="s">
        <v>1928</v>
      </c>
      <c r="G6619" s="543" t="s">
        <v>48</v>
      </c>
      <c r="H6619" s="544">
        <v>4.4999999999999998E-2</v>
      </c>
      <c r="I6619" s="412">
        <f>IF(AND(E6619&lt;&gt;"",G6619&lt;&gt;""),IF(D6619="",IF(G6619="OH",VLOOKUP(F6619,UPAH!$B$4:$H$101,7,0),VLOOKUP(F6619,#REF!,4,0)),0),0)</f>
        <v>0</v>
      </c>
      <c r="J6619" s="16">
        <f>H6619*I6619</f>
        <v>0</v>
      </c>
    </row>
    <row r="6620" spans="1:10" ht="13.5" thickBot="1">
      <c r="A6620" s="27"/>
      <c r="B6620" s="110"/>
      <c r="D6620" s="409"/>
      <c r="E6620" s="13" t="s">
        <v>51</v>
      </c>
      <c r="F6620" s="13" t="s">
        <v>1929</v>
      </c>
      <c r="G6620" s="543" t="s">
        <v>48</v>
      </c>
      <c r="H6620" s="544">
        <v>8.0000000000000002E-3</v>
      </c>
      <c r="I6620" s="412">
        <f>IF(AND(E6620&lt;&gt;"",G6620&lt;&gt;""),IF(D6620="",IF(G6620="OH",VLOOKUP(F6620,UPAH!$B$4:$H$101,7,0),VLOOKUP(F6620,#REF!,4,0)),0),0)</f>
        <v>0</v>
      </c>
      <c r="J6620" s="16">
        <f>H6620*I6620</f>
        <v>0</v>
      </c>
    </row>
    <row r="6621" spans="1:10" ht="13.5" thickBot="1">
      <c r="A6621" s="27"/>
      <c r="B6621" s="110"/>
      <c r="D6621" s="417"/>
      <c r="E6621" s="418"/>
      <c r="F6621" s="418"/>
      <c r="G6621" s="419"/>
      <c r="H6621" s="420" t="s">
        <v>52</v>
      </c>
      <c r="I6621" s="421"/>
      <c r="J6621" s="396">
        <f>SUM(J6617:J6620)</f>
        <v>0</v>
      </c>
    </row>
    <row r="6622" spans="1:10" ht="13">
      <c r="A6622" s="27"/>
      <c r="B6622" s="110"/>
      <c r="D6622" s="406" t="s">
        <v>53</v>
      </c>
      <c r="E6622" s="13" t="s">
        <v>54</v>
      </c>
      <c r="F6622" s="14"/>
      <c r="G6622" s="15"/>
      <c r="H6622" s="451"/>
      <c r="I6622" s="412"/>
      <c r="J6622" s="16"/>
    </row>
    <row r="6623" spans="1:10" ht="13">
      <c r="A6623" s="27"/>
      <c r="B6623" s="110"/>
      <c r="D6623" s="409"/>
      <c r="E6623" s="13" t="s">
        <v>202</v>
      </c>
      <c r="F6623" s="14"/>
      <c r="G6623" s="543" t="s">
        <v>375</v>
      </c>
      <c r="H6623" s="544">
        <v>2.8000000000000001E-2</v>
      </c>
      <c r="I6623" s="412">
        <f>'BAHAN '!G199</f>
        <v>0</v>
      </c>
      <c r="J6623" s="16">
        <f>H6623*I6623</f>
        <v>0</v>
      </c>
    </row>
    <row r="6624" spans="1:10" ht="13">
      <c r="A6624" s="27"/>
      <c r="B6624" s="110"/>
      <c r="D6624" s="409"/>
      <c r="E6624" s="13" t="s">
        <v>486</v>
      </c>
      <c r="F6624" s="14"/>
      <c r="G6624" s="543" t="s">
        <v>93</v>
      </c>
      <c r="H6624" s="544">
        <v>0.15</v>
      </c>
      <c r="I6624" s="412">
        <f>'BAHAN '!G127</f>
        <v>0</v>
      </c>
      <c r="J6624" s="16">
        <f>H6624*I6624</f>
        <v>0</v>
      </c>
    </row>
    <row r="6625" spans="1:10" ht="13">
      <c r="A6625" s="27"/>
      <c r="B6625" s="110"/>
      <c r="D6625" s="409"/>
      <c r="E6625" s="13" t="s">
        <v>449</v>
      </c>
      <c r="F6625" s="14"/>
      <c r="G6625" s="543" t="s">
        <v>175</v>
      </c>
      <c r="H6625" s="544">
        <v>0.86</v>
      </c>
      <c r="I6625" s="412">
        <f>'BAHAN '!G812</f>
        <v>0</v>
      </c>
      <c r="J6625" s="16">
        <f>H6625*I6625</f>
        <v>0</v>
      </c>
    </row>
    <row r="6626" spans="1:10" ht="13.5" thickBot="1">
      <c r="A6626" s="27"/>
      <c r="B6626" s="110"/>
      <c r="D6626" s="409"/>
      <c r="E6626" s="13" t="s">
        <v>502</v>
      </c>
      <c r="F6626" s="14"/>
      <c r="G6626" s="543" t="s">
        <v>93</v>
      </c>
      <c r="H6626" s="544">
        <v>0.56000000000000005</v>
      </c>
      <c r="I6626" s="412">
        <f>'BAHAN '!G816</f>
        <v>0</v>
      </c>
      <c r="J6626" s="16">
        <f>H6626*I6626</f>
        <v>0</v>
      </c>
    </row>
    <row r="6627" spans="1:10" ht="13.5" thickBot="1">
      <c r="A6627" s="27"/>
      <c r="B6627" s="110"/>
      <c r="D6627" s="417"/>
      <c r="E6627" s="418"/>
      <c r="F6627" s="418"/>
      <c r="G6627" s="419"/>
      <c r="H6627" s="420" t="s">
        <v>64</v>
      </c>
      <c r="I6627" s="421"/>
      <c r="J6627" s="396">
        <f>SUM(J6623:J6626)</f>
        <v>0</v>
      </c>
    </row>
    <row r="6628" spans="1:10" ht="13.5" thickBot="1">
      <c r="A6628" s="27"/>
      <c r="B6628" s="110"/>
      <c r="D6628" s="406" t="s">
        <v>65</v>
      </c>
      <c r="E6628" s="13" t="s">
        <v>66</v>
      </c>
      <c r="F6628" s="14"/>
      <c r="G6628" s="15"/>
      <c r="H6628" s="451"/>
      <c r="I6628" s="412">
        <f>IF(AND(E6628&lt;&gt;"",G6628&lt;&gt;""),IF(D6628="",IF(G6628="OH",VLOOKUP(E6628,UPAH!$C$4:$H$31,7,0),VLOOKUP(E6628,#REF!,4,0)),0),0)</f>
        <v>0</v>
      </c>
      <c r="J6628" s="16">
        <f>H6628*I6628</f>
        <v>0</v>
      </c>
    </row>
    <row r="6629" spans="1:10" ht="13.5" thickBot="1">
      <c r="A6629" s="27"/>
      <c r="B6629" s="110"/>
      <c r="D6629" s="417"/>
      <c r="E6629" s="418"/>
      <c r="F6629" s="418"/>
      <c r="G6629" s="419"/>
      <c r="H6629" s="420" t="s">
        <v>67</v>
      </c>
      <c r="I6629" s="421"/>
      <c r="J6629" s="396">
        <f>J6628</f>
        <v>0</v>
      </c>
    </row>
    <row r="6630" spans="1:10" ht="13">
      <c r="A6630" s="27"/>
      <c r="B6630" s="110"/>
      <c r="D6630" s="444" t="s">
        <v>68</v>
      </c>
      <c r="E6630" s="445" t="s">
        <v>69</v>
      </c>
      <c r="F6630" s="446"/>
      <c r="G6630" s="447"/>
      <c r="H6630" s="448"/>
      <c r="I6630" s="449">
        <f>IF(AND(E6630&lt;&gt;"",G6630&lt;&gt;""),IF(D6630="",IF(G6630="OH",VLOOKUP(E6630,UPAH!$C$4:$H$31,7,0),VLOOKUP(E6630,#REF!,4,0)),0),0)</f>
        <v>0</v>
      </c>
      <c r="J6630" s="16">
        <f>SUM(J6617:J6629)/2</f>
        <v>0</v>
      </c>
    </row>
    <row r="6631" spans="1:10" ht="13.5" thickBot="1">
      <c r="A6631" s="27"/>
      <c r="B6631" s="110"/>
      <c r="D6631" s="431" t="s">
        <v>70</v>
      </c>
      <c r="E6631" s="432" t="s">
        <v>477</v>
      </c>
      <c r="F6631" s="433"/>
      <c r="G6631" s="434"/>
      <c r="H6631" s="22">
        <v>0.1</v>
      </c>
      <c r="I6631" s="436"/>
      <c r="J6631" s="430">
        <f>H6631*J6630</f>
        <v>0</v>
      </c>
    </row>
    <row r="6632" spans="1:10" ht="13.5" thickBot="1">
      <c r="A6632" s="27"/>
      <c r="B6632" s="110"/>
      <c r="D6632" s="401" t="s">
        <v>71</v>
      </c>
      <c r="E6632" s="402" t="s">
        <v>72</v>
      </c>
      <c r="F6632" s="418"/>
      <c r="G6632" s="419"/>
      <c r="H6632" s="442"/>
      <c r="I6632" s="421">
        <f>IF(AND(E6632&lt;&gt;"",G6632&lt;&gt;""),IF(D6632="",IF(G6632="OH",VLOOKUP(E6632,UPAH!$C$4:$H$31,7,0),VLOOKUP(E6632,#REF!,4,0)),0),0)</f>
        <v>0</v>
      </c>
      <c r="J6632" s="396">
        <f>ROUNDDOWN(J6630+J6631,0)</f>
        <v>0</v>
      </c>
    </row>
    <row r="6633" spans="1:10" ht="13">
      <c r="A6633" s="27"/>
      <c r="B6633" s="110"/>
      <c r="D6633" s="11"/>
      <c r="E6633" s="11"/>
      <c r="H6633" s="443"/>
    </row>
    <row r="6634" spans="1:10" ht="13.5" thickBot="1">
      <c r="A6634" s="27"/>
      <c r="B6634" s="110"/>
      <c r="C6634" s="11" t="s">
        <v>1208</v>
      </c>
      <c r="D6634" s="10" t="s">
        <v>1209</v>
      </c>
      <c r="H6634" s="443"/>
    </row>
    <row r="6635" spans="1:10" ht="13.5" thickBot="1">
      <c r="A6635" s="27"/>
      <c r="B6635" s="110"/>
      <c r="D6635" s="401" t="s">
        <v>40</v>
      </c>
      <c r="E6635" s="402" t="s">
        <v>41</v>
      </c>
      <c r="F6635" s="402" t="s">
        <v>42</v>
      </c>
      <c r="G6635" s="403" t="s">
        <v>43</v>
      </c>
      <c r="H6635" s="404" t="s">
        <v>44</v>
      </c>
      <c r="I6635" s="402" t="s">
        <v>474</v>
      </c>
      <c r="J6635" s="405" t="s">
        <v>475</v>
      </c>
    </row>
    <row r="6636" spans="1:10" ht="13">
      <c r="A6636" s="27"/>
      <c r="B6636" s="110"/>
      <c r="D6636" s="406" t="s">
        <v>45</v>
      </c>
      <c r="E6636" s="13" t="s">
        <v>46</v>
      </c>
      <c r="F6636" s="14"/>
      <c r="G6636" s="15"/>
      <c r="H6636" s="451"/>
      <c r="I6636" s="412"/>
      <c r="J6636" s="16"/>
    </row>
    <row r="6637" spans="1:10" ht="13">
      <c r="A6637" s="27"/>
      <c r="B6637" s="110"/>
      <c r="D6637" s="409"/>
      <c r="E6637" s="13" t="s">
        <v>47</v>
      </c>
      <c r="F6637" s="13" t="s">
        <v>1918</v>
      </c>
      <c r="G6637" s="543" t="s">
        <v>48</v>
      </c>
      <c r="H6637" s="544">
        <v>0.2</v>
      </c>
      <c r="I6637" s="412">
        <f>IF(AND(E6637&lt;&gt;"",G6637&lt;&gt;""),IF(D6637="",IF(G6637="OH",VLOOKUP(F6637,UPAH!$B$4:$H$101,7,0),VLOOKUP(F6637,#REF!,4,0)),0),0)</f>
        <v>0</v>
      </c>
      <c r="J6637" s="16">
        <f>H6637*I6637</f>
        <v>0</v>
      </c>
    </row>
    <row r="6638" spans="1:10" ht="13">
      <c r="A6638" s="27"/>
      <c r="B6638" s="110"/>
      <c r="D6638" s="409"/>
      <c r="E6638" s="13" t="s">
        <v>49</v>
      </c>
      <c r="F6638" s="13" t="s">
        <v>1922</v>
      </c>
      <c r="G6638" s="543" t="s">
        <v>48</v>
      </c>
      <c r="H6638" s="544">
        <v>0.6</v>
      </c>
      <c r="I6638" s="412">
        <f>IF(AND(E6638&lt;&gt;"",G6638&lt;&gt;""),IF(D6638="",IF(G6638="OH",VLOOKUP(F6638,UPAH!$B$4:$H$101,7,0),VLOOKUP(F6638,#REF!,4,0)),0),0)</f>
        <v>0</v>
      </c>
      <c r="J6638" s="16">
        <f>H6638*I6638</f>
        <v>0</v>
      </c>
    </row>
    <row r="6639" spans="1:10" ht="13">
      <c r="A6639" s="27"/>
      <c r="B6639" s="110"/>
      <c r="D6639" s="409"/>
      <c r="E6639" s="13" t="s">
        <v>50</v>
      </c>
      <c r="F6639" s="13" t="s">
        <v>1928</v>
      </c>
      <c r="G6639" s="543" t="s">
        <v>48</v>
      </c>
      <c r="H6639" s="544">
        <v>0.06</v>
      </c>
      <c r="I6639" s="412">
        <f>IF(AND(E6639&lt;&gt;"",G6639&lt;&gt;""),IF(D6639="",IF(G6639="OH",VLOOKUP(F6639,UPAH!$B$4:$H$101,7,0),VLOOKUP(F6639,#REF!,4,0)),0),0)</f>
        <v>0</v>
      </c>
      <c r="J6639" s="16">
        <f>H6639*I6639</f>
        <v>0</v>
      </c>
    </row>
    <row r="6640" spans="1:10" ht="13.5" thickBot="1">
      <c r="A6640" s="27"/>
      <c r="B6640" s="110"/>
      <c r="D6640" s="409"/>
      <c r="E6640" s="13" t="s">
        <v>51</v>
      </c>
      <c r="F6640" s="13" t="s">
        <v>1929</v>
      </c>
      <c r="G6640" s="543" t="s">
        <v>48</v>
      </c>
      <c r="H6640" s="544">
        <v>0.01</v>
      </c>
      <c r="I6640" s="412">
        <f>IF(AND(E6640&lt;&gt;"",G6640&lt;&gt;""),IF(D6640="",IF(G6640="OH",VLOOKUP(F6640,UPAH!$B$4:$H$101,7,0),VLOOKUP(F6640,#REF!,4,0)),0),0)</f>
        <v>0</v>
      </c>
      <c r="J6640" s="16">
        <f>H6640*I6640</f>
        <v>0</v>
      </c>
    </row>
    <row r="6641" spans="1:10" ht="13.5" thickBot="1">
      <c r="A6641" s="27"/>
      <c r="B6641" s="110"/>
      <c r="D6641" s="417"/>
      <c r="E6641" s="418"/>
      <c r="F6641" s="418"/>
      <c r="G6641" s="419"/>
      <c r="H6641" s="420" t="s">
        <v>52</v>
      </c>
      <c r="I6641" s="421"/>
      <c r="J6641" s="396">
        <f>SUM(J6637:J6640)</f>
        <v>0</v>
      </c>
    </row>
    <row r="6642" spans="1:10" ht="13">
      <c r="A6642" s="27"/>
      <c r="B6642" s="110"/>
      <c r="D6642" s="406" t="s">
        <v>53</v>
      </c>
      <c r="E6642" s="13" t="s">
        <v>54</v>
      </c>
      <c r="F6642" s="14"/>
      <c r="G6642" s="15"/>
      <c r="H6642" s="451"/>
      <c r="I6642" s="412"/>
      <c r="J6642" s="16"/>
    </row>
    <row r="6643" spans="1:10" ht="13">
      <c r="A6643" s="27"/>
      <c r="B6643" s="110"/>
      <c r="D6643" s="409"/>
      <c r="E6643" s="13" t="s">
        <v>202</v>
      </c>
      <c r="F6643" s="14"/>
      <c r="G6643" s="543" t="s">
        <v>375</v>
      </c>
      <c r="H6643" s="544">
        <v>2.8000000000000001E-2</v>
      </c>
      <c r="I6643" s="412">
        <f>'BAHAN '!G199</f>
        <v>0</v>
      </c>
      <c r="J6643" s="16">
        <f>H6643*I6643</f>
        <v>0</v>
      </c>
    </row>
    <row r="6644" spans="1:10" ht="13">
      <c r="A6644" s="27"/>
      <c r="B6644" s="110"/>
      <c r="D6644" s="409"/>
      <c r="E6644" s="13" t="s">
        <v>486</v>
      </c>
      <c r="F6644" s="14"/>
      <c r="G6644" s="543" t="s">
        <v>93</v>
      </c>
      <c r="H6644" s="544">
        <v>0.15</v>
      </c>
      <c r="I6644" s="412">
        <f>'BAHAN '!G127</f>
        <v>0</v>
      </c>
      <c r="J6644" s="16">
        <f>H6644*I6644</f>
        <v>0</v>
      </c>
    </row>
    <row r="6645" spans="1:10" ht="13">
      <c r="A6645" s="27"/>
      <c r="B6645" s="110"/>
      <c r="D6645" s="409"/>
      <c r="E6645" s="13" t="s">
        <v>434</v>
      </c>
      <c r="F6645" s="14"/>
      <c r="G6645" s="410" t="s">
        <v>175</v>
      </c>
      <c r="H6645" s="544">
        <v>0.86</v>
      </c>
      <c r="I6645" s="412">
        <f>'BAHAN '!G807</f>
        <v>0</v>
      </c>
      <c r="J6645" s="16">
        <f>H6645*I6645</f>
        <v>0</v>
      </c>
    </row>
    <row r="6646" spans="1:10" ht="13.5" thickBot="1">
      <c r="A6646" s="27"/>
      <c r="B6646" s="110"/>
      <c r="D6646" s="409"/>
      <c r="E6646" s="13" t="s">
        <v>502</v>
      </c>
      <c r="F6646" s="14"/>
      <c r="G6646" s="543" t="s">
        <v>93</v>
      </c>
      <c r="H6646" s="544">
        <v>0.56000000000000005</v>
      </c>
      <c r="I6646" s="412">
        <f>'BAHAN '!G816</f>
        <v>0</v>
      </c>
      <c r="J6646" s="16">
        <f>H6646*I6646</f>
        <v>0</v>
      </c>
    </row>
    <row r="6647" spans="1:10" ht="13.5" thickBot="1">
      <c r="A6647" s="27"/>
      <c r="B6647" s="110"/>
      <c r="D6647" s="417"/>
      <c r="E6647" s="418"/>
      <c r="F6647" s="418"/>
      <c r="G6647" s="419"/>
      <c r="H6647" s="420" t="s">
        <v>64</v>
      </c>
      <c r="I6647" s="421"/>
      <c r="J6647" s="396">
        <f>SUM(J6643:J6646)</f>
        <v>0</v>
      </c>
    </row>
    <row r="6648" spans="1:10" ht="13.5" thickBot="1">
      <c r="A6648" s="27"/>
      <c r="B6648" s="110"/>
      <c r="D6648" s="406" t="s">
        <v>65</v>
      </c>
      <c r="E6648" s="13" t="s">
        <v>66</v>
      </c>
      <c r="F6648" s="418"/>
      <c r="G6648" s="15"/>
      <c r="H6648" s="451"/>
      <c r="I6648" s="412">
        <f>IF(AND(E6648&lt;&gt;"",G6648&lt;&gt;""),IF(D6648="",IF(G6648="OH",VLOOKUP(E6648,UPAH!$C$4:$H$31,7,0),VLOOKUP(E6648,#REF!,4,0)),0),0)</f>
        <v>0</v>
      </c>
      <c r="J6648" s="16">
        <f>H6648*I6648</f>
        <v>0</v>
      </c>
    </row>
    <row r="6649" spans="1:10" ht="13.5" thickBot="1">
      <c r="A6649" s="27"/>
      <c r="B6649" s="110"/>
      <c r="D6649" s="417"/>
      <c r="E6649" s="418"/>
      <c r="F6649" s="418"/>
      <c r="G6649" s="419"/>
      <c r="H6649" s="420" t="s">
        <v>67</v>
      </c>
      <c r="I6649" s="421"/>
      <c r="J6649" s="396">
        <f>J6648</f>
        <v>0</v>
      </c>
    </row>
    <row r="6650" spans="1:10" ht="13">
      <c r="A6650" s="27"/>
      <c r="B6650" s="110"/>
      <c r="D6650" s="444" t="s">
        <v>68</v>
      </c>
      <c r="E6650" s="445" t="s">
        <v>69</v>
      </c>
      <c r="F6650" s="446"/>
      <c r="G6650" s="447"/>
      <c r="H6650" s="448"/>
      <c r="I6650" s="449">
        <f>IF(AND(E6650&lt;&gt;"",G6650&lt;&gt;""),IF(D6650="",IF(G6650="OH",VLOOKUP(E6650,UPAH!$C$4:$H$31,7,0),VLOOKUP(E6650,#REF!,4,0)),0),0)</f>
        <v>0</v>
      </c>
      <c r="J6650" s="16">
        <f>SUM(J6637:J6649)/2</f>
        <v>0</v>
      </c>
    </row>
    <row r="6651" spans="1:10" ht="13.5" thickBot="1">
      <c r="A6651" s="27"/>
      <c r="B6651" s="110"/>
      <c r="D6651" s="431" t="s">
        <v>70</v>
      </c>
      <c r="E6651" s="432" t="s">
        <v>477</v>
      </c>
      <c r="F6651" s="433"/>
      <c r="G6651" s="434"/>
      <c r="H6651" s="22">
        <v>0.1</v>
      </c>
      <c r="I6651" s="436"/>
      <c r="J6651" s="430">
        <f>H6651*J6650</f>
        <v>0</v>
      </c>
    </row>
    <row r="6652" spans="1:10" ht="13.5" thickBot="1">
      <c r="A6652" s="27"/>
      <c r="B6652" s="110"/>
      <c r="D6652" s="401" t="s">
        <v>71</v>
      </c>
      <c r="E6652" s="402" t="s">
        <v>72</v>
      </c>
      <c r="F6652" s="418"/>
      <c r="G6652" s="419"/>
      <c r="H6652" s="442"/>
      <c r="I6652" s="421">
        <f>IF(AND(E6652&lt;&gt;"",G6652&lt;&gt;""),IF(D6652="",IF(G6652="OH",VLOOKUP(E6652,UPAH!$C$4:$H$31,7,0),VLOOKUP(E6652,#REF!,4,0)),0),0)</f>
        <v>0</v>
      </c>
      <c r="J6652" s="396">
        <f>ROUNDDOWN(J6650+J6651,0)</f>
        <v>0</v>
      </c>
    </row>
    <row r="6653" spans="1:10" ht="13">
      <c r="A6653" s="27"/>
      <c r="B6653" s="110"/>
      <c r="D6653" s="11"/>
      <c r="E6653" s="11"/>
      <c r="H6653" s="443"/>
    </row>
    <row r="6654" spans="1:10" ht="13.5" thickBot="1">
      <c r="A6654" s="27"/>
      <c r="B6654" s="110"/>
      <c r="C6654" s="11" t="s">
        <v>1210</v>
      </c>
      <c r="D6654" s="10" t="s">
        <v>1211</v>
      </c>
      <c r="H6654" s="443"/>
    </row>
    <row r="6655" spans="1:10" ht="13.5" thickBot="1">
      <c r="A6655" s="27"/>
      <c r="B6655" s="110"/>
      <c r="D6655" s="401" t="s">
        <v>40</v>
      </c>
      <c r="E6655" s="402" t="s">
        <v>41</v>
      </c>
      <c r="F6655" s="402" t="s">
        <v>42</v>
      </c>
      <c r="G6655" s="403" t="s">
        <v>43</v>
      </c>
      <c r="H6655" s="404" t="s">
        <v>44</v>
      </c>
      <c r="I6655" s="402" t="s">
        <v>474</v>
      </c>
      <c r="J6655" s="405" t="s">
        <v>475</v>
      </c>
    </row>
    <row r="6656" spans="1:10" ht="13">
      <c r="A6656" s="27"/>
      <c r="B6656" s="110"/>
      <c r="D6656" s="406" t="s">
        <v>45</v>
      </c>
      <c r="E6656" s="13" t="s">
        <v>46</v>
      </c>
      <c r="F6656" s="14"/>
      <c r="G6656" s="15"/>
      <c r="H6656" s="451"/>
      <c r="I6656" s="412"/>
      <c r="J6656" s="16"/>
    </row>
    <row r="6657" spans="1:10" ht="13">
      <c r="A6657" s="27"/>
      <c r="B6657" s="110"/>
      <c r="D6657" s="409"/>
      <c r="E6657" s="13" t="s">
        <v>47</v>
      </c>
      <c r="F6657" s="13" t="s">
        <v>1918</v>
      </c>
      <c r="G6657" s="543" t="s">
        <v>48</v>
      </c>
      <c r="H6657" s="548">
        <v>0.6</v>
      </c>
      <c r="I6657" s="412">
        <f>IF(AND(E6657&lt;&gt;"",G6657&lt;&gt;""),IF(D6657="",IF(G6657="OH",VLOOKUP(F6657,UPAH!$B$4:$H$101,7,0),VLOOKUP(F6657,#REF!,4,0)),0),0)</f>
        <v>0</v>
      </c>
      <c r="J6657" s="16">
        <f>H6657*I6657</f>
        <v>0</v>
      </c>
    </row>
    <row r="6658" spans="1:10" ht="13">
      <c r="A6658" s="27"/>
      <c r="B6658" s="110"/>
      <c r="D6658" s="409"/>
      <c r="E6658" s="13" t="s">
        <v>49</v>
      </c>
      <c r="F6658" s="13" t="s">
        <v>1922</v>
      </c>
      <c r="G6658" s="543" t="s">
        <v>48</v>
      </c>
      <c r="H6658" s="548">
        <v>1.8</v>
      </c>
      <c r="I6658" s="412">
        <f>IF(AND(E6658&lt;&gt;"",G6658&lt;&gt;""),IF(D6658="",IF(G6658="OH",VLOOKUP(F6658,UPAH!$B$4:$H$101,7,0),VLOOKUP(F6658,#REF!,4,0)),0),0)</f>
        <v>0</v>
      </c>
      <c r="J6658" s="16">
        <f>H6658*I6658</f>
        <v>0</v>
      </c>
    </row>
    <row r="6659" spans="1:10" ht="13">
      <c r="A6659" s="27"/>
      <c r="B6659" s="110"/>
      <c r="D6659" s="409"/>
      <c r="E6659" s="13" t="s">
        <v>50</v>
      </c>
      <c r="F6659" s="13" t="s">
        <v>1928</v>
      </c>
      <c r="G6659" s="543" t="s">
        <v>48</v>
      </c>
      <c r="H6659" s="548">
        <v>0.18</v>
      </c>
      <c r="I6659" s="412">
        <f>IF(AND(E6659&lt;&gt;"",G6659&lt;&gt;""),IF(D6659="",IF(G6659="OH",VLOOKUP(F6659,UPAH!$B$4:$H$101,7,0),VLOOKUP(F6659,#REF!,4,0)),0),0)</f>
        <v>0</v>
      </c>
      <c r="J6659" s="16">
        <f>H6659*I6659</f>
        <v>0</v>
      </c>
    </row>
    <row r="6660" spans="1:10" ht="13.5" thickBot="1">
      <c r="A6660" s="27"/>
      <c r="B6660" s="110"/>
      <c r="D6660" s="409"/>
      <c r="E6660" s="13" t="s">
        <v>51</v>
      </c>
      <c r="F6660" s="13" t="s">
        <v>1929</v>
      </c>
      <c r="G6660" s="543" t="s">
        <v>48</v>
      </c>
      <c r="H6660" s="548">
        <v>0.03</v>
      </c>
      <c r="I6660" s="412">
        <f>IF(AND(E6660&lt;&gt;"",G6660&lt;&gt;""),IF(D6660="",IF(G6660="OH",VLOOKUP(F6660,UPAH!$B$4:$H$101,7,0),VLOOKUP(F6660,#REF!,4,0)),0),0)</f>
        <v>0</v>
      </c>
      <c r="J6660" s="16">
        <f>H6660*I6660</f>
        <v>0</v>
      </c>
    </row>
    <row r="6661" spans="1:10" ht="13.5" thickBot="1">
      <c r="A6661" s="27"/>
      <c r="B6661" s="110"/>
      <c r="D6661" s="417"/>
      <c r="E6661" s="418"/>
      <c r="F6661" s="418"/>
      <c r="G6661" s="419"/>
      <c r="H6661" s="420" t="s">
        <v>52</v>
      </c>
      <c r="I6661" s="421"/>
      <c r="J6661" s="396">
        <f>SUM(J6657:J6660)</f>
        <v>0</v>
      </c>
    </row>
    <row r="6662" spans="1:10" ht="13">
      <c r="A6662" s="27"/>
      <c r="B6662" s="110"/>
      <c r="D6662" s="406" t="s">
        <v>53</v>
      </c>
      <c r="E6662" s="13" t="s">
        <v>54</v>
      </c>
      <c r="F6662" s="14"/>
      <c r="G6662" s="15"/>
      <c r="H6662" s="451"/>
      <c r="I6662" s="412"/>
      <c r="J6662" s="16"/>
    </row>
    <row r="6663" spans="1:10" ht="13">
      <c r="A6663" s="27"/>
      <c r="B6663" s="110"/>
      <c r="D6663" s="409"/>
      <c r="E6663" s="13" t="s">
        <v>513</v>
      </c>
      <c r="F6663" s="14"/>
      <c r="G6663" s="543" t="s">
        <v>375</v>
      </c>
      <c r="H6663" s="548">
        <v>7.0000000000000001E-3</v>
      </c>
      <c r="I6663" s="412">
        <f>'BAHAN '!G197</f>
        <v>0</v>
      </c>
      <c r="J6663" s="16">
        <f>H6663*I6663</f>
        <v>0</v>
      </c>
    </row>
    <row r="6664" spans="1:10" ht="13">
      <c r="A6664" s="27"/>
      <c r="B6664" s="110"/>
      <c r="D6664" s="409"/>
      <c r="E6664" s="13" t="s">
        <v>486</v>
      </c>
      <c r="F6664" s="14"/>
      <c r="G6664" s="543" t="s">
        <v>93</v>
      </c>
      <c r="H6664" s="548">
        <v>0.1</v>
      </c>
      <c r="I6664" s="412">
        <f>'BAHAN '!G127</f>
        <v>0</v>
      </c>
      <c r="J6664" s="16">
        <f>H6664*I6664</f>
        <v>0</v>
      </c>
    </row>
    <row r="6665" spans="1:10" ht="13.5" thickBot="1">
      <c r="A6665" s="27"/>
      <c r="B6665" s="110"/>
      <c r="D6665" s="409"/>
      <c r="E6665" s="13" t="s">
        <v>178</v>
      </c>
      <c r="F6665" s="14"/>
      <c r="G6665" s="543" t="s">
        <v>93</v>
      </c>
      <c r="H6665" s="548">
        <v>0.15</v>
      </c>
      <c r="I6665" s="412">
        <f>'BAHAN '!G130</f>
        <v>0</v>
      </c>
      <c r="J6665" s="16">
        <f>H6665*I6665</f>
        <v>0</v>
      </c>
    </row>
    <row r="6666" spans="1:10" ht="13.5" thickBot="1">
      <c r="A6666" s="27"/>
      <c r="B6666" s="110"/>
      <c r="D6666" s="417"/>
      <c r="E6666" s="418"/>
      <c r="F6666" s="418"/>
      <c r="G6666" s="419"/>
      <c r="H6666" s="420" t="s">
        <v>64</v>
      </c>
      <c r="I6666" s="421"/>
      <c r="J6666" s="396">
        <f>SUM(J6663:J6665)</f>
        <v>0</v>
      </c>
    </row>
    <row r="6667" spans="1:10" ht="13.5" thickBot="1">
      <c r="A6667" s="27"/>
      <c r="B6667" s="110"/>
      <c r="D6667" s="406" t="s">
        <v>65</v>
      </c>
      <c r="E6667" s="13" t="s">
        <v>66</v>
      </c>
      <c r="F6667" s="14"/>
      <c r="G6667" s="15"/>
      <c r="H6667" s="451"/>
      <c r="I6667" s="412">
        <f>IF(AND(E6667&lt;&gt;"",G6667&lt;&gt;""),IF(D6667="",IF(G6667="OH",VLOOKUP(E6667,UPAH!$C$4:$H$31,7,0),VLOOKUP(E6667,#REF!,4,0)),0),0)</f>
        <v>0</v>
      </c>
      <c r="J6667" s="16">
        <f>H6667*I6667</f>
        <v>0</v>
      </c>
    </row>
    <row r="6668" spans="1:10" ht="13.5" thickBot="1">
      <c r="A6668" s="27"/>
      <c r="B6668" s="110"/>
      <c r="D6668" s="417"/>
      <c r="E6668" s="418"/>
      <c r="F6668" s="418"/>
      <c r="G6668" s="419"/>
      <c r="H6668" s="420" t="s">
        <v>67</v>
      </c>
      <c r="I6668" s="421"/>
      <c r="J6668" s="396">
        <f>J6667</f>
        <v>0</v>
      </c>
    </row>
    <row r="6669" spans="1:10" ht="13">
      <c r="A6669" s="27"/>
      <c r="B6669" s="110"/>
      <c r="D6669" s="444" t="s">
        <v>68</v>
      </c>
      <c r="E6669" s="445" t="s">
        <v>69</v>
      </c>
      <c r="F6669" s="446"/>
      <c r="G6669" s="447"/>
      <c r="H6669" s="448"/>
      <c r="I6669" s="449">
        <f>IF(AND(E6669&lt;&gt;"",G6669&lt;&gt;""),IF(D6669="",IF(G6669="OH",VLOOKUP(E6669,UPAH!$C$4:$H$31,7,0),VLOOKUP(E6669,#REF!,4,0)),0),0)</f>
        <v>0</v>
      </c>
      <c r="J6669" s="16">
        <f>SUM(J6657:J6668)/2</f>
        <v>0</v>
      </c>
    </row>
    <row r="6670" spans="1:10" ht="13.5" thickBot="1">
      <c r="A6670" s="27"/>
      <c r="B6670" s="110"/>
      <c r="D6670" s="431" t="s">
        <v>70</v>
      </c>
      <c r="E6670" s="432" t="s">
        <v>477</v>
      </c>
      <c r="F6670" s="433"/>
      <c r="G6670" s="434"/>
      <c r="H6670" s="22">
        <v>0.1</v>
      </c>
      <c r="I6670" s="436"/>
      <c r="J6670" s="430">
        <f>H6670*J6669</f>
        <v>0</v>
      </c>
    </row>
    <row r="6671" spans="1:10" ht="13.5" thickBot="1">
      <c r="A6671" s="27"/>
      <c r="B6671" s="110"/>
      <c r="D6671" s="401" t="s">
        <v>71</v>
      </c>
      <c r="E6671" s="402" t="s">
        <v>72</v>
      </c>
      <c r="F6671" s="418"/>
      <c r="G6671" s="419"/>
      <c r="H6671" s="442"/>
      <c r="I6671" s="421">
        <f>IF(AND(E6671&lt;&gt;"",G6671&lt;&gt;""),IF(D6671="",IF(G6671="OH",VLOOKUP(E6671,UPAH!$C$4:$H$31,7,0),VLOOKUP(E6671,#REF!,4,0)),0),0)</f>
        <v>0</v>
      </c>
      <c r="J6671" s="396">
        <f>ROUNDDOWN(J6669+J6670,0)</f>
        <v>0</v>
      </c>
    </row>
    <row r="6672" spans="1:10" ht="13">
      <c r="A6672" s="27"/>
      <c r="B6672" s="110"/>
      <c r="D6672" s="11"/>
      <c r="E6672" s="11"/>
      <c r="H6672" s="443"/>
    </row>
    <row r="6673" spans="1:10" ht="13.5" thickBot="1">
      <c r="A6673" s="27"/>
      <c r="B6673" s="110"/>
      <c r="C6673" s="11" t="s">
        <v>1212</v>
      </c>
      <c r="D6673" s="10" t="s">
        <v>1213</v>
      </c>
      <c r="H6673" s="443"/>
    </row>
    <row r="6674" spans="1:10" ht="13.5" thickBot="1">
      <c r="A6674" s="27"/>
      <c r="B6674" s="110"/>
      <c r="D6674" s="401" t="s">
        <v>40</v>
      </c>
      <c r="E6674" s="402" t="s">
        <v>41</v>
      </c>
      <c r="F6674" s="402" t="s">
        <v>42</v>
      </c>
      <c r="G6674" s="403" t="s">
        <v>43</v>
      </c>
      <c r="H6674" s="404" t="s">
        <v>44</v>
      </c>
      <c r="I6674" s="402" t="s">
        <v>474</v>
      </c>
      <c r="J6674" s="405" t="s">
        <v>475</v>
      </c>
    </row>
    <row r="6675" spans="1:10" ht="13">
      <c r="A6675" s="27"/>
      <c r="B6675" s="110"/>
      <c r="D6675" s="406" t="s">
        <v>45</v>
      </c>
      <c r="E6675" s="13" t="s">
        <v>46</v>
      </c>
      <c r="F6675" s="14"/>
      <c r="G6675" s="15"/>
      <c r="H6675" s="451"/>
      <c r="I6675" s="412"/>
      <c r="J6675" s="16"/>
    </row>
    <row r="6676" spans="1:10" ht="13">
      <c r="A6676" s="27"/>
      <c r="B6676" s="110"/>
      <c r="D6676" s="409"/>
      <c r="E6676" s="13" t="s">
        <v>47</v>
      </c>
      <c r="F6676" s="13" t="s">
        <v>1918</v>
      </c>
      <c r="G6676" s="543" t="s">
        <v>48</v>
      </c>
      <c r="H6676" s="548">
        <v>2.5000000000000001E-2</v>
      </c>
      <c r="I6676" s="412">
        <f>IF(AND(E6676&lt;&gt;"",G6676&lt;&gt;""),IF(D6676="",IF(G6676="OH",VLOOKUP(F6676,UPAH!$B$4:$H$101,7,0),VLOOKUP(F6676,#REF!,4,0)),0),0)</f>
        <v>0</v>
      </c>
      <c r="J6676" s="16">
        <f>H6676*I6676</f>
        <v>0</v>
      </c>
    </row>
    <row r="6677" spans="1:10" ht="13">
      <c r="A6677" s="27"/>
      <c r="B6677" s="110"/>
      <c r="D6677" s="409"/>
      <c r="E6677" s="13" t="s">
        <v>49</v>
      </c>
      <c r="F6677" s="13" t="s">
        <v>1922</v>
      </c>
      <c r="G6677" s="543" t="s">
        <v>48</v>
      </c>
      <c r="H6677" s="548">
        <v>7.4999999999999997E-2</v>
      </c>
      <c r="I6677" s="412">
        <f>IF(AND(E6677&lt;&gt;"",G6677&lt;&gt;""),IF(D6677="",IF(G6677="OH",VLOOKUP(F6677,UPAH!$B$4:$H$101,7,0),VLOOKUP(F6677,#REF!,4,0)),0),0)</f>
        <v>0</v>
      </c>
      <c r="J6677" s="16">
        <f>H6677*I6677</f>
        <v>0</v>
      </c>
    </row>
    <row r="6678" spans="1:10" ht="13">
      <c r="A6678" s="27"/>
      <c r="B6678" s="110"/>
      <c r="D6678" s="409"/>
      <c r="E6678" s="13" t="s">
        <v>50</v>
      </c>
      <c r="F6678" s="13" t="s">
        <v>1928</v>
      </c>
      <c r="G6678" s="543" t="s">
        <v>48</v>
      </c>
      <c r="H6678" s="548">
        <v>8.0000000000000002E-3</v>
      </c>
      <c r="I6678" s="412">
        <f>IF(AND(E6678&lt;&gt;"",G6678&lt;&gt;""),IF(D6678="",IF(G6678="OH",VLOOKUP(F6678,UPAH!$B$4:$H$101,7,0),VLOOKUP(F6678,#REF!,4,0)),0),0)</f>
        <v>0</v>
      </c>
      <c r="J6678" s="16">
        <f>H6678*I6678</f>
        <v>0</v>
      </c>
    </row>
    <row r="6679" spans="1:10" ht="13.5" thickBot="1">
      <c r="A6679" s="27"/>
      <c r="B6679" s="110"/>
      <c r="D6679" s="409"/>
      <c r="E6679" s="13" t="s">
        <v>51</v>
      </c>
      <c r="F6679" s="13" t="s">
        <v>1929</v>
      </c>
      <c r="G6679" s="543" t="s">
        <v>48</v>
      </c>
      <c r="H6679" s="548">
        <v>1E-3</v>
      </c>
      <c r="I6679" s="412">
        <f>IF(AND(E6679&lt;&gt;"",G6679&lt;&gt;""),IF(D6679="",IF(G6679="OH",VLOOKUP(F6679,UPAH!$B$4:$H$101,7,0),VLOOKUP(F6679,#REF!,4,0)),0),0)</f>
        <v>0</v>
      </c>
      <c r="J6679" s="16">
        <f>H6679*I6679</f>
        <v>0</v>
      </c>
    </row>
    <row r="6680" spans="1:10" ht="13.5" thickBot="1">
      <c r="A6680" s="27"/>
      <c r="B6680" s="110"/>
      <c r="D6680" s="417"/>
      <c r="E6680" s="418"/>
      <c r="F6680" s="418"/>
      <c r="G6680" s="419"/>
      <c r="H6680" s="420" t="s">
        <v>52</v>
      </c>
      <c r="I6680" s="421"/>
      <c r="J6680" s="396">
        <f>SUM(J6676:J6679)</f>
        <v>0</v>
      </c>
    </row>
    <row r="6681" spans="1:10" ht="13">
      <c r="A6681" s="27"/>
      <c r="B6681" s="110"/>
      <c r="D6681" s="406" t="s">
        <v>53</v>
      </c>
      <c r="E6681" s="13" t="s">
        <v>54</v>
      </c>
      <c r="F6681" s="14"/>
      <c r="G6681" s="15"/>
      <c r="H6681" s="451"/>
      <c r="I6681" s="412"/>
      <c r="J6681" s="16"/>
    </row>
    <row r="6682" spans="1:10" ht="13">
      <c r="A6682" s="27"/>
      <c r="B6682" s="110"/>
      <c r="D6682" s="409"/>
      <c r="E6682" s="13" t="s">
        <v>434</v>
      </c>
      <c r="F6682" s="14"/>
      <c r="G6682" s="543" t="s">
        <v>375</v>
      </c>
      <c r="H6682" s="548">
        <v>0.4</v>
      </c>
      <c r="I6682" s="412">
        <f>'BAHAN '!G808</f>
        <v>0</v>
      </c>
      <c r="J6682" s="16">
        <f>H6682*I6682</f>
        <v>0</v>
      </c>
    </row>
    <row r="6683" spans="1:10" ht="13.5" thickBot="1">
      <c r="A6683" s="27"/>
      <c r="B6683" s="110"/>
      <c r="D6683" s="409"/>
      <c r="E6683" s="13" t="s">
        <v>486</v>
      </c>
      <c r="F6683" s="14"/>
      <c r="G6683" s="543" t="s">
        <v>93</v>
      </c>
      <c r="H6683" s="548">
        <v>0.05</v>
      </c>
      <c r="I6683" s="412">
        <f>'BAHAN '!G127</f>
        <v>0</v>
      </c>
      <c r="J6683" s="16">
        <f>H6683*I6683</f>
        <v>0</v>
      </c>
    </row>
    <row r="6684" spans="1:10" ht="13.5" thickBot="1">
      <c r="A6684" s="27"/>
      <c r="B6684" s="110"/>
      <c r="D6684" s="417"/>
      <c r="E6684" s="418"/>
      <c r="F6684" s="418"/>
      <c r="G6684" s="419"/>
      <c r="H6684" s="420" t="s">
        <v>64</v>
      </c>
      <c r="I6684" s="421"/>
      <c r="J6684" s="396">
        <f>SUM(J6682:J6683)</f>
        <v>0</v>
      </c>
    </row>
    <row r="6685" spans="1:10" ht="13.5" thickBot="1">
      <c r="A6685" s="27"/>
      <c r="B6685" s="110"/>
      <c r="D6685" s="406" t="s">
        <v>65</v>
      </c>
      <c r="E6685" s="13" t="s">
        <v>66</v>
      </c>
      <c r="F6685" s="14"/>
      <c r="G6685" s="15"/>
      <c r="H6685" s="451"/>
      <c r="I6685" s="412">
        <f>IF(AND(E6685&lt;&gt;"",G6685&lt;&gt;""),IF(D6685="",IF(G6685="OH",VLOOKUP(E6685,UPAH!$C$4:$H$31,7,0),VLOOKUP(E6685,#REF!,4,0)),0),0)</f>
        <v>0</v>
      </c>
      <c r="J6685" s="16">
        <f>H6685*I6685</f>
        <v>0</v>
      </c>
    </row>
    <row r="6686" spans="1:10" ht="13.5" thickBot="1">
      <c r="A6686" s="27"/>
      <c r="B6686" s="110"/>
      <c r="D6686" s="417"/>
      <c r="E6686" s="418"/>
      <c r="F6686" s="418"/>
      <c r="G6686" s="419"/>
      <c r="H6686" s="420" t="s">
        <v>67</v>
      </c>
      <c r="I6686" s="421"/>
      <c r="J6686" s="396">
        <f>J6685</f>
        <v>0</v>
      </c>
    </row>
    <row r="6687" spans="1:10" ht="13">
      <c r="A6687" s="27"/>
      <c r="B6687" s="110"/>
      <c r="D6687" s="444" t="s">
        <v>68</v>
      </c>
      <c r="E6687" s="445" t="s">
        <v>69</v>
      </c>
      <c r="F6687" s="446"/>
      <c r="G6687" s="447"/>
      <c r="H6687" s="448"/>
      <c r="I6687" s="449">
        <f>IF(AND(E6687&lt;&gt;"",G6687&lt;&gt;""),IF(D6687="",IF(G6687="OH",VLOOKUP(E6687,UPAH!$C$4:$H$31,7,0),VLOOKUP(E6687,#REF!,4,0)),0),0)</f>
        <v>0</v>
      </c>
      <c r="J6687" s="16">
        <f>SUM(J6676:J6686)/2</f>
        <v>0</v>
      </c>
    </row>
    <row r="6688" spans="1:10" ht="13.5" thickBot="1">
      <c r="A6688" s="27"/>
      <c r="B6688" s="110"/>
      <c r="D6688" s="431" t="s">
        <v>70</v>
      </c>
      <c r="E6688" s="432" t="s">
        <v>477</v>
      </c>
      <c r="F6688" s="433"/>
      <c r="G6688" s="434"/>
      <c r="H6688" s="22">
        <v>0.1</v>
      </c>
      <c r="I6688" s="436"/>
      <c r="J6688" s="430">
        <f>H6688*J6687</f>
        <v>0</v>
      </c>
    </row>
    <row r="6689" spans="1:10" ht="13.5" thickBot="1">
      <c r="A6689" s="27"/>
      <c r="B6689" s="110"/>
      <c r="D6689" s="401" t="s">
        <v>71</v>
      </c>
      <c r="E6689" s="402" t="s">
        <v>72</v>
      </c>
      <c r="F6689" s="418"/>
      <c r="G6689" s="419"/>
      <c r="H6689" s="442"/>
      <c r="I6689" s="421">
        <f>IF(AND(E6689&lt;&gt;"",G6689&lt;&gt;""),IF(D6689="",IF(G6689="OH",VLOOKUP(E6689,UPAH!$C$4:$H$31,7,0),VLOOKUP(E6689,#REF!,4,0)),0),0)</f>
        <v>0</v>
      </c>
      <c r="J6689" s="396">
        <f>ROUNDDOWN(J6687+J6688,0)</f>
        <v>0</v>
      </c>
    </row>
    <row r="6690" spans="1:10" ht="13">
      <c r="A6690" s="27"/>
      <c r="B6690" s="110"/>
      <c r="D6690" s="11"/>
      <c r="E6690" s="11"/>
      <c r="H6690" s="443"/>
    </row>
    <row r="6691" spans="1:10" ht="13.5" thickBot="1">
      <c r="A6691" s="27"/>
      <c r="B6691" s="110"/>
      <c r="C6691" s="11" t="s">
        <v>1214</v>
      </c>
      <c r="D6691" s="10" t="s">
        <v>1215</v>
      </c>
      <c r="H6691" s="443"/>
    </row>
    <row r="6692" spans="1:10" ht="13.5" thickBot="1">
      <c r="A6692" s="27"/>
      <c r="B6692" s="110"/>
      <c r="D6692" s="401" t="s">
        <v>40</v>
      </c>
      <c r="E6692" s="402" t="s">
        <v>41</v>
      </c>
      <c r="F6692" s="402" t="s">
        <v>42</v>
      </c>
      <c r="G6692" s="403" t="s">
        <v>43</v>
      </c>
      <c r="H6692" s="404" t="s">
        <v>44</v>
      </c>
      <c r="I6692" s="402" t="s">
        <v>474</v>
      </c>
      <c r="J6692" s="405" t="s">
        <v>475</v>
      </c>
    </row>
    <row r="6693" spans="1:10" ht="13">
      <c r="A6693" s="27"/>
      <c r="B6693" s="110"/>
      <c r="D6693" s="406" t="s">
        <v>45</v>
      </c>
      <c r="E6693" s="13" t="s">
        <v>46</v>
      </c>
      <c r="F6693" s="14"/>
      <c r="G6693" s="15"/>
      <c r="H6693" s="451"/>
      <c r="I6693" s="412"/>
      <c r="J6693" s="16"/>
    </row>
    <row r="6694" spans="1:10" ht="13">
      <c r="A6694" s="27"/>
      <c r="B6694" s="110"/>
      <c r="D6694" s="409"/>
      <c r="E6694" s="13" t="s">
        <v>47</v>
      </c>
      <c r="F6694" s="13" t="s">
        <v>1918</v>
      </c>
      <c r="G6694" s="543" t="s">
        <v>48</v>
      </c>
      <c r="H6694" s="548">
        <v>0.1</v>
      </c>
      <c r="I6694" s="412">
        <f>IF(AND(E6694&lt;&gt;"",G6694&lt;&gt;""),IF(D6694="",IF(G6694="OH",VLOOKUP(F6694,UPAH!$B$4:$H$101,7,0),VLOOKUP(F6694,#REF!,4,0)),0),0)</f>
        <v>0</v>
      </c>
      <c r="J6694" s="16">
        <f>H6694*I6694</f>
        <v>0</v>
      </c>
    </row>
    <row r="6695" spans="1:10" ht="13">
      <c r="A6695" s="27"/>
      <c r="B6695" s="110"/>
      <c r="D6695" s="409"/>
      <c r="E6695" s="13" t="s">
        <v>49</v>
      </c>
      <c r="F6695" s="13" t="s">
        <v>1922</v>
      </c>
      <c r="G6695" s="543" t="s">
        <v>48</v>
      </c>
      <c r="H6695" s="548">
        <v>0.05</v>
      </c>
      <c r="I6695" s="412">
        <f>IF(AND(E6695&lt;&gt;"",G6695&lt;&gt;""),IF(D6695="",IF(G6695="OH",VLOOKUP(F6695,UPAH!$B$4:$H$101,7,0),VLOOKUP(F6695,#REF!,4,0)),0),0)</f>
        <v>0</v>
      </c>
      <c r="J6695" s="16">
        <f>H6695*I6695</f>
        <v>0</v>
      </c>
    </row>
    <row r="6696" spans="1:10" ht="13">
      <c r="A6696" s="27"/>
      <c r="B6696" s="110"/>
      <c r="D6696" s="409"/>
      <c r="E6696" s="13" t="s">
        <v>50</v>
      </c>
      <c r="F6696" s="13" t="s">
        <v>1928</v>
      </c>
      <c r="G6696" s="543" t="s">
        <v>48</v>
      </c>
      <c r="H6696" s="548">
        <v>5.0000000000000001E-3</v>
      </c>
      <c r="I6696" s="412">
        <f>IF(AND(E6696&lt;&gt;"",G6696&lt;&gt;""),IF(D6696="",IF(G6696="OH",VLOOKUP(F6696,UPAH!$B$4:$H$101,7,0),VLOOKUP(F6696,#REF!,4,0)),0),0)</f>
        <v>0</v>
      </c>
      <c r="J6696" s="16">
        <f>H6696*I6696</f>
        <v>0</v>
      </c>
    </row>
    <row r="6697" spans="1:10" ht="13.5" thickBot="1">
      <c r="A6697" s="27"/>
      <c r="B6697" s="110"/>
      <c r="D6697" s="409"/>
      <c r="E6697" s="13" t="s">
        <v>51</v>
      </c>
      <c r="F6697" s="13" t="s">
        <v>1929</v>
      </c>
      <c r="G6697" s="543" t="s">
        <v>48</v>
      </c>
      <c r="H6697" s="548">
        <v>5.0000000000000001E-3</v>
      </c>
      <c r="I6697" s="412">
        <f>IF(AND(E6697&lt;&gt;"",G6697&lt;&gt;""),IF(D6697="",IF(G6697="OH",VLOOKUP(F6697,UPAH!$B$4:$H$101,7,0),VLOOKUP(F6697,#REF!,4,0)),0),0)</f>
        <v>0</v>
      </c>
      <c r="J6697" s="16">
        <f>H6697*I6697</f>
        <v>0</v>
      </c>
    </row>
    <row r="6698" spans="1:10" ht="13.5" thickBot="1">
      <c r="A6698" s="27"/>
      <c r="B6698" s="110"/>
      <c r="D6698" s="417"/>
      <c r="E6698" s="418"/>
      <c r="F6698" s="418"/>
      <c r="G6698" s="419"/>
      <c r="H6698" s="420" t="s">
        <v>52</v>
      </c>
      <c r="I6698" s="421"/>
      <c r="J6698" s="396">
        <f>SUM(J6694:J6697)</f>
        <v>0</v>
      </c>
    </row>
    <row r="6699" spans="1:10" ht="13">
      <c r="A6699" s="27"/>
      <c r="B6699" s="110"/>
      <c r="D6699" s="406" t="s">
        <v>53</v>
      </c>
      <c r="E6699" s="13" t="s">
        <v>54</v>
      </c>
      <c r="F6699" s="14"/>
      <c r="G6699" s="15"/>
      <c r="H6699" s="451"/>
      <c r="I6699" s="412"/>
      <c r="J6699" s="16"/>
    </row>
    <row r="6700" spans="1:10" ht="13">
      <c r="A6700" s="27"/>
      <c r="B6700" s="110"/>
      <c r="D6700" s="409"/>
      <c r="E6700" s="13" t="s">
        <v>203</v>
      </c>
      <c r="F6700" s="14"/>
      <c r="G6700" s="543" t="s">
        <v>376</v>
      </c>
      <c r="H6700" s="548">
        <v>1.5</v>
      </c>
      <c r="I6700" s="412">
        <f>'BAHAN '!G813</f>
        <v>0</v>
      </c>
      <c r="J6700" s="16">
        <f>H6700*I6700</f>
        <v>0</v>
      </c>
    </row>
    <row r="6701" spans="1:10" ht="13">
      <c r="A6701" s="27"/>
      <c r="B6701" s="110"/>
      <c r="D6701" s="409"/>
      <c r="E6701" s="10" t="s">
        <v>60</v>
      </c>
      <c r="F6701" s="14"/>
      <c r="G6701" s="543" t="s">
        <v>375</v>
      </c>
      <c r="H6701" s="548">
        <v>1.4E-2</v>
      </c>
      <c r="I6701" s="412">
        <f>'BAHAN '!G200</f>
        <v>0</v>
      </c>
      <c r="J6701" s="16">
        <f>H6701*I6701</f>
        <v>0</v>
      </c>
    </row>
    <row r="6702" spans="1:10" ht="13">
      <c r="A6702" s="27"/>
      <c r="B6702" s="110"/>
      <c r="D6702" s="409"/>
      <c r="E6702" s="13" t="s">
        <v>486</v>
      </c>
      <c r="F6702" s="14"/>
      <c r="G6702" s="543" t="s">
        <v>93</v>
      </c>
      <c r="H6702" s="548">
        <v>1.2E-2</v>
      </c>
      <c r="I6702" s="412">
        <f>'BAHAN '!G127</f>
        <v>0</v>
      </c>
      <c r="J6702" s="16">
        <f>H6702*I6702</f>
        <v>0</v>
      </c>
    </row>
    <row r="6703" spans="1:10" ht="13.5" thickBot="1">
      <c r="A6703" s="27"/>
      <c r="B6703" s="110"/>
      <c r="D6703" s="409"/>
      <c r="E6703" s="13" t="s">
        <v>204</v>
      </c>
      <c r="F6703" s="14"/>
      <c r="G6703" s="543" t="s">
        <v>375</v>
      </c>
      <c r="H6703" s="548">
        <v>3.0000000000000001E-3</v>
      </c>
      <c r="I6703" s="412">
        <f>'BAHAN '!G200</f>
        <v>0</v>
      </c>
      <c r="J6703" s="16">
        <f>H6703*I6703</f>
        <v>0</v>
      </c>
    </row>
    <row r="6704" spans="1:10" ht="13.5" thickBot="1">
      <c r="A6704" s="27"/>
      <c r="B6704" s="110"/>
      <c r="D6704" s="417"/>
      <c r="E6704" s="418"/>
      <c r="F6704" s="418"/>
      <c r="G6704" s="419"/>
      <c r="H6704" s="420" t="s">
        <v>64</v>
      </c>
      <c r="I6704" s="421"/>
      <c r="J6704" s="396">
        <f>SUM(J6700:J6703)</f>
        <v>0</v>
      </c>
    </row>
    <row r="6705" spans="1:10" ht="13.5" thickBot="1">
      <c r="A6705" s="27"/>
      <c r="B6705" s="110"/>
      <c r="D6705" s="406" t="s">
        <v>65</v>
      </c>
      <c r="E6705" s="13" t="s">
        <v>66</v>
      </c>
      <c r="F6705" s="14"/>
      <c r="G6705" s="15"/>
      <c r="H6705" s="451"/>
      <c r="I6705" s="412">
        <f>IF(AND(E6705&lt;&gt;"",G6705&lt;&gt;""),IF(D6705="",IF(G6705="OH",VLOOKUP(E6705,UPAH!$C$4:$H$31,7,0),VLOOKUP(E6705,#REF!,4,0)),0),0)</f>
        <v>0</v>
      </c>
      <c r="J6705" s="16">
        <f>H6705*I6705</f>
        <v>0</v>
      </c>
    </row>
    <row r="6706" spans="1:10" ht="13.5" thickBot="1">
      <c r="A6706" s="27"/>
      <c r="B6706" s="110"/>
      <c r="D6706" s="417"/>
      <c r="E6706" s="418"/>
      <c r="F6706" s="418"/>
      <c r="G6706" s="419"/>
      <c r="H6706" s="420" t="s">
        <v>67</v>
      </c>
      <c r="I6706" s="421"/>
      <c r="J6706" s="396">
        <f>J6705</f>
        <v>0</v>
      </c>
    </row>
    <row r="6707" spans="1:10" ht="13">
      <c r="A6707" s="27"/>
      <c r="B6707" s="110"/>
      <c r="D6707" s="444" t="s">
        <v>68</v>
      </c>
      <c r="E6707" s="445" t="s">
        <v>69</v>
      </c>
      <c r="F6707" s="446"/>
      <c r="G6707" s="447"/>
      <c r="H6707" s="448"/>
      <c r="I6707" s="449">
        <f>IF(AND(E6707&lt;&gt;"",G6707&lt;&gt;""),IF(D6707="",IF(G6707="OH",VLOOKUP(E6707,UPAH!$C$4:$H$31,7,0),VLOOKUP(E6707,#REF!,4,0)),0),0)</f>
        <v>0</v>
      </c>
      <c r="J6707" s="16">
        <f>SUM(J6694:J6706)/2</f>
        <v>0</v>
      </c>
    </row>
    <row r="6708" spans="1:10" ht="13.5" thickBot="1">
      <c r="A6708" s="27"/>
      <c r="B6708" s="110"/>
      <c r="D6708" s="431" t="s">
        <v>70</v>
      </c>
      <c r="E6708" s="432" t="s">
        <v>477</v>
      </c>
      <c r="F6708" s="433"/>
      <c r="G6708" s="434"/>
      <c r="H6708" s="22">
        <v>0.1</v>
      </c>
      <c r="I6708" s="436"/>
      <c r="J6708" s="430">
        <f>H6708*J6707</f>
        <v>0</v>
      </c>
    </row>
    <row r="6709" spans="1:10" ht="13.5" thickBot="1">
      <c r="A6709" s="27"/>
      <c r="B6709" s="110"/>
      <c r="D6709" s="401" t="s">
        <v>71</v>
      </c>
      <c r="E6709" s="402" t="s">
        <v>72</v>
      </c>
      <c r="F6709" s="418"/>
      <c r="G6709" s="419"/>
      <c r="H6709" s="442"/>
      <c r="I6709" s="421">
        <f>IF(AND(E6709&lt;&gt;"",G6709&lt;&gt;""),IF(D6709="",IF(G6709="OH",VLOOKUP(E6709,UPAH!$C$4:$H$31,7,0),VLOOKUP(E6709,#REF!,4,0)),0),0)</f>
        <v>0</v>
      </c>
      <c r="J6709" s="396">
        <f>ROUNDDOWN(J6707+J6708,0)</f>
        <v>0</v>
      </c>
    </row>
    <row r="6710" spans="1:10" ht="13">
      <c r="A6710" s="27"/>
      <c r="B6710" s="110"/>
      <c r="D6710" s="11"/>
      <c r="E6710" s="11"/>
      <c r="H6710" s="443"/>
    </row>
    <row r="6711" spans="1:10" s="27" customFormat="1" ht="13">
      <c r="B6711" s="110"/>
      <c r="C6711" s="452" t="s">
        <v>515</v>
      </c>
      <c r="G6711" s="399"/>
      <c r="H6711" s="453"/>
    </row>
    <row r="6712" spans="1:10" ht="13.5" thickBot="1">
      <c r="A6712" s="27"/>
      <c r="B6712" s="110"/>
      <c r="C6712" s="11" t="s">
        <v>1216</v>
      </c>
      <c r="D6712" s="10" t="s">
        <v>1</v>
      </c>
      <c r="H6712" s="443"/>
    </row>
    <row r="6713" spans="1:10" ht="13.5" thickBot="1">
      <c r="A6713" s="27"/>
      <c r="B6713" s="110"/>
      <c r="D6713" s="401" t="s">
        <v>40</v>
      </c>
      <c r="E6713" s="402" t="s">
        <v>41</v>
      </c>
      <c r="F6713" s="402" t="s">
        <v>42</v>
      </c>
      <c r="G6713" s="403" t="s">
        <v>43</v>
      </c>
      <c r="H6713" s="404" t="s">
        <v>44</v>
      </c>
      <c r="I6713" s="402" t="s">
        <v>474</v>
      </c>
      <c r="J6713" s="405" t="s">
        <v>475</v>
      </c>
    </row>
    <row r="6714" spans="1:10" ht="13">
      <c r="A6714" s="27"/>
      <c r="B6714" s="110"/>
      <c r="D6714" s="406" t="s">
        <v>45</v>
      </c>
      <c r="E6714" s="13" t="s">
        <v>46</v>
      </c>
      <c r="F6714" s="14"/>
      <c r="G6714" s="15"/>
      <c r="H6714" s="451"/>
      <c r="I6714" s="412"/>
      <c r="J6714" s="16"/>
    </row>
    <row r="6715" spans="1:10" ht="13">
      <c r="A6715" s="27"/>
      <c r="B6715" s="110"/>
      <c r="D6715" s="409"/>
      <c r="E6715" s="13" t="s">
        <v>47</v>
      </c>
      <c r="F6715" s="13" t="s">
        <v>1918</v>
      </c>
      <c r="G6715" s="410" t="s">
        <v>48</v>
      </c>
      <c r="H6715" s="548">
        <v>0.06</v>
      </c>
      <c r="I6715" s="412">
        <f>IF(AND(E6715&lt;&gt;"",G6715&lt;&gt;""),IF(D6715="",IF(G6715="OH",VLOOKUP(F6715,UPAH!$B$4:$H$101,7,0),VLOOKUP(F6715,#REF!,4,0)),0),0)</f>
        <v>0</v>
      </c>
      <c r="J6715" s="16">
        <f>H6715*I6715</f>
        <v>0</v>
      </c>
    </row>
    <row r="6716" spans="1:10" ht="13">
      <c r="A6716" s="27"/>
      <c r="B6716" s="110"/>
      <c r="D6716" s="409"/>
      <c r="E6716" s="13" t="s">
        <v>49</v>
      </c>
      <c r="F6716" s="13" t="s">
        <v>1922</v>
      </c>
      <c r="G6716" s="410" t="s">
        <v>48</v>
      </c>
      <c r="H6716" s="548">
        <v>0.6</v>
      </c>
      <c r="I6716" s="412">
        <f>IF(AND(E6716&lt;&gt;"",G6716&lt;&gt;""),IF(D6716="",IF(G6716="OH",VLOOKUP(F6716,UPAH!$B$4:$H$101,7,0),VLOOKUP(F6716,#REF!,4,0)),0),0)</f>
        <v>0</v>
      </c>
      <c r="J6716" s="16">
        <f>H6716*I6716</f>
        <v>0</v>
      </c>
    </row>
    <row r="6717" spans="1:10" ht="13">
      <c r="A6717" s="27"/>
      <c r="B6717" s="110"/>
      <c r="D6717" s="409"/>
      <c r="E6717" s="13" t="s">
        <v>50</v>
      </c>
      <c r="F6717" s="13" t="s">
        <v>1928</v>
      </c>
      <c r="G6717" s="410" t="s">
        <v>48</v>
      </c>
      <c r="H6717" s="548">
        <v>0.06</v>
      </c>
      <c r="I6717" s="412">
        <f>IF(AND(E6717&lt;&gt;"",G6717&lt;&gt;""),IF(D6717="",IF(G6717="OH",VLOOKUP(F6717,UPAH!$B$4:$H$101,7,0),VLOOKUP(F6717,#REF!,4,0)),0),0)</f>
        <v>0</v>
      </c>
      <c r="J6717" s="16">
        <f>H6717*I6717</f>
        <v>0</v>
      </c>
    </row>
    <row r="6718" spans="1:10" ht="13.5" thickBot="1">
      <c r="A6718" s="27"/>
      <c r="B6718" s="110"/>
      <c r="D6718" s="409"/>
      <c r="E6718" s="13" t="s">
        <v>51</v>
      </c>
      <c r="F6718" s="13" t="s">
        <v>1929</v>
      </c>
      <c r="G6718" s="410" t="s">
        <v>48</v>
      </c>
      <c r="H6718" s="548">
        <v>3.0000000000000001E-3</v>
      </c>
      <c r="I6718" s="412">
        <f>IF(AND(E6718&lt;&gt;"",G6718&lt;&gt;""),IF(D6718="",IF(G6718="OH",VLOOKUP(F6718,UPAH!$B$4:$H$101,7,0),VLOOKUP(F6718,#REF!,4,0)),0),0)</f>
        <v>0</v>
      </c>
      <c r="J6718" s="16">
        <f>H6718*I6718</f>
        <v>0</v>
      </c>
    </row>
    <row r="6719" spans="1:10" ht="13.5" thickBot="1">
      <c r="A6719" s="27"/>
      <c r="B6719" s="110"/>
      <c r="D6719" s="417"/>
      <c r="E6719" s="418"/>
      <c r="F6719" s="418"/>
      <c r="G6719" s="419"/>
      <c r="H6719" s="420" t="s">
        <v>52</v>
      </c>
      <c r="I6719" s="421"/>
      <c r="J6719" s="396">
        <f>SUM(J6715:J6718)</f>
        <v>0</v>
      </c>
    </row>
    <row r="6720" spans="1:10" ht="13">
      <c r="A6720" s="27"/>
      <c r="B6720" s="110"/>
      <c r="D6720" s="406" t="s">
        <v>53</v>
      </c>
      <c r="E6720" s="13" t="s">
        <v>54</v>
      </c>
      <c r="F6720" s="14"/>
      <c r="G6720" s="15"/>
      <c r="H6720" s="451"/>
      <c r="I6720" s="412"/>
      <c r="J6720" s="16"/>
    </row>
    <row r="6721" spans="1:10" ht="13.5" thickBot="1">
      <c r="A6721" s="27"/>
      <c r="B6721" s="110"/>
      <c r="D6721" s="409"/>
      <c r="E6721" s="13" t="s">
        <v>205</v>
      </c>
      <c r="F6721" s="14"/>
      <c r="G6721" s="410" t="s">
        <v>87</v>
      </c>
      <c r="H6721" s="548">
        <v>1</v>
      </c>
      <c r="I6721" s="412">
        <f>'BAHAN '!G784</f>
        <v>0</v>
      </c>
      <c r="J6721" s="16">
        <f>H6721*I6721</f>
        <v>0</v>
      </c>
    </row>
    <row r="6722" spans="1:10" ht="13.5" thickBot="1">
      <c r="A6722" s="27"/>
      <c r="B6722" s="110"/>
      <c r="D6722" s="417"/>
      <c r="E6722" s="418"/>
      <c r="F6722" s="418"/>
      <c r="G6722" s="419"/>
      <c r="H6722" s="420" t="s">
        <v>64</v>
      </c>
      <c r="I6722" s="421"/>
      <c r="J6722" s="396">
        <f>SUM(J6720:J6721)</f>
        <v>0</v>
      </c>
    </row>
    <row r="6723" spans="1:10" ht="13.5" thickBot="1">
      <c r="A6723" s="27"/>
      <c r="B6723" s="110"/>
      <c r="D6723" s="406" t="s">
        <v>65</v>
      </c>
      <c r="E6723" s="13" t="s">
        <v>66</v>
      </c>
      <c r="F6723" s="14"/>
      <c r="G6723" s="15"/>
      <c r="H6723" s="451"/>
      <c r="I6723" s="412">
        <f>IF(AND(E6723&lt;&gt;"",G6723&lt;&gt;""),IF(D6723="",IF(G6723="OH",VLOOKUP(E6723,UPAH!$C$4:$H$31,7,0),VLOOKUP(E6723,#REF!,4,0)),0),0)</f>
        <v>0</v>
      </c>
      <c r="J6723" s="16">
        <f>H6723*I6723</f>
        <v>0</v>
      </c>
    </row>
    <row r="6724" spans="1:10" ht="13.5" thickBot="1">
      <c r="A6724" s="27"/>
      <c r="B6724" s="110"/>
      <c r="D6724" s="417"/>
      <c r="E6724" s="418"/>
      <c r="F6724" s="418"/>
      <c r="G6724" s="419"/>
      <c r="H6724" s="420" t="s">
        <v>67</v>
      </c>
      <c r="I6724" s="421"/>
      <c r="J6724" s="396">
        <f>J6723</f>
        <v>0</v>
      </c>
    </row>
    <row r="6725" spans="1:10" ht="13">
      <c r="A6725" s="27"/>
      <c r="B6725" s="110"/>
      <c r="D6725" s="444" t="s">
        <v>68</v>
      </c>
      <c r="E6725" s="445" t="s">
        <v>69</v>
      </c>
      <c r="F6725" s="446"/>
      <c r="G6725" s="447"/>
      <c r="H6725" s="448"/>
      <c r="I6725" s="449">
        <f>IF(AND(E6725&lt;&gt;"",G6725&lt;&gt;""),IF(D6725="",IF(G6725="OH",VLOOKUP(E6725,UPAH!$C$4:$H$31,7,0),VLOOKUP(E6725,#REF!,4,0)),0),0)</f>
        <v>0</v>
      </c>
      <c r="J6725" s="16">
        <f>SUM(J6714:J6724)/2</f>
        <v>0</v>
      </c>
    </row>
    <row r="6726" spans="1:10" ht="13.5" thickBot="1">
      <c r="A6726" s="27"/>
      <c r="B6726" s="110"/>
      <c r="D6726" s="431" t="s">
        <v>70</v>
      </c>
      <c r="E6726" s="432" t="s">
        <v>477</v>
      </c>
      <c r="F6726" s="433"/>
      <c r="G6726" s="434"/>
      <c r="H6726" s="22">
        <v>0.1</v>
      </c>
      <c r="I6726" s="436"/>
      <c r="J6726" s="430">
        <f>H6726*J6725</f>
        <v>0</v>
      </c>
    </row>
    <row r="6727" spans="1:10" ht="13.5" thickBot="1">
      <c r="A6727" s="27"/>
      <c r="B6727" s="110"/>
      <c r="D6727" s="401" t="s">
        <v>71</v>
      </c>
      <c r="E6727" s="402" t="s">
        <v>72</v>
      </c>
      <c r="F6727" s="418"/>
      <c r="G6727" s="419"/>
      <c r="H6727" s="442"/>
      <c r="I6727" s="421">
        <f>IF(AND(E6727&lt;&gt;"",G6727&lt;&gt;""),IF(D6727="",IF(G6727="OH",VLOOKUP(E6727,UPAH!$C$4:$H$31,7,0),VLOOKUP(E6727,#REF!,4,0)),0),0)</f>
        <v>0</v>
      </c>
      <c r="J6727" s="396">
        <f>ROUNDDOWN(J6725+J6726,0)</f>
        <v>0</v>
      </c>
    </row>
    <row r="6728" spans="1:10" ht="13">
      <c r="A6728" s="27"/>
      <c r="B6728" s="110"/>
      <c r="D6728" s="11"/>
      <c r="E6728" s="11"/>
      <c r="H6728" s="443"/>
    </row>
    <row r="6729" spans="1:10" ht="13.5" thickBot="1">
      <c r="A6729" s="27"/>
      <c r="B6729" s="110"/>
      <c r="C6729" s="11" t="s">
        <v>1217</v>
      </c>
      <c r="D6729" s="10" t="s">
        <v>1218</v>
      </c>
      <c r="H6729" s="443"/>
    </row>
    <row r="6730" spans="1:10" ht="13.5" thickBot="1">
      <c r="A6730" s="27"/>
      <c r="B6730" s="110"/>
      <c r="D6730" s="401" t="s">
        <v>40</v>
      </c>
      <c r="E6730" s="402" t="s">
        <v>41</v>
      </c>
      <c r="F6730" s="402" t="s">
        <v>42</v>
      </c>
      <c r="G6730" s="403" t="s">
        <v>43</v>
      </c>
      <c r="H6730" s="404" t="s">
        <v>44</v>
      </c>
      <c r="I6730" s="402" t="s">
        <v>474</v>
      </c>
      <c r="J6730" s="405" t="s">
        <v>475</v>
      </c>
    </row>
    <row r="6731" spans="1:10" ht="13">
      <c r="A6731" s="27"/>
      <c r="B6731" s="110"/>
      <c r="D6731" s="406" t="s">
        <v>45</v>
      </c>
      <c r="E6731" s="13" t="s">
        <v>46</v>
      </c>
      <c r="F6731" s="14"/>
      <c r="G6731" s="15"/>
      <c r="H6731" s="451"/>
      <c r="I6731" s="412"/>
      <c r="J6731" s="16"/>
    </row>
    <row r="6732" spans="1:10" ht="13">
      <c r="A6732" s="27"/>
      <c r="B6732" s="110"/>
      <c r="D6732" s="409"/>
      <c r="E6732" s="13" t="s">
        <v>47</v>
      </c>
      <c r="F6732" s="13" t="s">
        <v>1918</v>
      </c>
      <c r="G6732" s="410" t="s">
        <v>48</v>
      </c>
      <c r="H6732" s="548">
        <v>0.01</v>
      </c>
      <c r="I6732" s="412">
        <f>IF(AND(E6732&lt;&gt;"",G6732&lt;&gt;""),IF(D6732="",IF(G6732="OH",VLOOKUP(F6732,UPAH!$B$4:$H$101,7,0),VLOOKUP(F6732,#REF!,4,0)),0),0)</f>
        <v>0</v>
      </c>
      <c r="J6732" s="16">
        <f>H6732*I6732</f>
        <v>0</v>
      </c>
    </row>
    <row r="6733" spans="1:10" ht="13">
      <c r="A6733" s="27"/>
      <c r="B6733" s="110"/>
      <c r="D6733" s="409"/>
      <c r="E6733" s="13" t="s">
        <v>49</v>
      </c>
      <c r="F6733" s="13" t="s">
        <v>1922</v>
      </c>
      <c r="G6733" s="410" t="s">
        <v>48</v>
      </c>
      <c r="H6733" s="548">
        <v>0.5</v>
      </c>
      <c r="I6733" s="412">
        <f>IF(AND(E6733&lt;&gt;"",G6733&lt;&gt;""),IF(D6733="",IF(G6733="OH",VLOOKUP(F6733,UPAH!$B$4:$H$101,7,0),VLOOKUP(F6733,#REF!,4,0)),0),0)</f>
        <v>0</v>
      </c>
      <c r="J6733" s="16">
        <f>H6733*I6733</f>
        <v>0</v>
      </c>
    </row>
    <row r="6734" spans="1:10" ht="13">
      <c r="A6734" s="27"/>
      <c r="B6734" s="110"/>
      <c r="D6734" s="409"/>
      <c r="E6734" s="13" t="s">
        <v>50</v>
      </c>
      <c r="F6734" s="13" t="s">
        <v>1928</v>
      </c>
      <c r="G6734" s="410" t="s">
        <v>48</v>
      </c>
      <c r="H6734" s="548">
        <v>0.05</v>
      </c>
      <c r="I6734" s="412">
        <f>IF(AND(E6734&lt;&gt;"",G6734&lt;&gt;""),IF(D6734="",IF(G6734="OH",VLOOKUP(F6734,UPAH!$B$4:$H$101,7,0),VLOOKUP(F6734,#REF!,4,0)),0),0)</f>
        <v>0</v>
      </c>
      <c r="J6734" s="16">
        <f>H6734*I6734</f>
        <v>0</v>
      </c>
    </row>
    <row r="6735" spans="1:10" ht="13.5" thickBot="1">
      <c r="A6735" s="27"/>
      <c r="B6735" s="110"/>
      <c r="D6735" s="409"/>
      <c r="E6735" s="13" t="s">
        <v>51</v>
      </c>
      <c r="F6735" s="13" t="s">
        <v>1929</v>
      </c>
      <c r="G6735" s="410" t="s">
        <v>48</v>
      </c>
      <c r="H6735" s="548">
        <v>5.0000000000000001E-3</v>
      </c>
      <c r="I6735" s="412">
        <f>IF(AND(E6735&lt;&gt;"",G6735&lt;&gt;""),IF(D6735="",IF(G6735="OH",VLOOKUP(F6735,UPAH!$B$4:$H$101,7,0),VLOOKUP(F6735,#REF!,4,0)),0),0)</f>
        <v>0</v>
      </c>
      <c r="J6735" s="16">
        <f>H6735*I6735</f>
        <v>0</v>
      </c>
    </row>
    <row r="6736" spans="1:10" ht="13.5" thickBot="1">
      <c r="A6736" s="27"/>
      <c r="B6736" s="110"/>
      <c r="D6736" s="417"/>
      <c r="E6736" s="418"/>
      <c r="F6736" s="418"/>
      <c r="G6736" s="419"/>
      <c r="H6736" s="420" t="s">
        <v>52</v>
      </c>
      <c r="I6736" s="421"/>
      <c r="J6736" s="396">
        <f>SUM(J6732:J6735)</f>
        <v>0</v>
      </c>
    </row>
    <row r="6737" spans="1:10" ht="13">
      <c r="A6737" s="27"/>
      <c r="B6737" s="110"/>
      <c r="D6737" s="406" t="s">
        <v>53</v>
      </c>
      <c r="E6737" s="13" t="s">
        <v>54</v>
      </c>
      <c r="F6737" s="14"/>
      <c r="G6737" s="15"/>
      <c r="H6737" s="451"/>
      <c r="I6737" s="412"/>
      <c r="J6737" s="16"/>
    </row>
    <row r="6738" spans="1:10" ht="13.5" thickBot="1">
      <c r="A6738" s="27"/>
      <c r="B6738" s="110"/>
      <c r="D6738" s="409"/>
      <c r="E6738" s="13" t="s">
        <v>206</v>
      </c>
      <c r="F6738" s="14"/>
      <c r="G6738" s="410" t="s">
        <v>87</v>
      </c>
      <c r="H6738" s="548">
        <v>1</v>
      </c>
      <c r="I6738" s="412">
        <f>'BAHAN '!G785</f>
        <v>0</v>
      </c>
      <c r="J6738" s="16">
        <f>H6738*I6738</f>
        <v>0</v>
      </c>
    </row>
    <row r="6739" spans="1:10" ht="13.5" thickBot="1">
      <c r="A6739" s="27"/>
      <c r="B6739" s="110"/>
      <c r="D6739" s="417"/>
      <c r="E6739" s="418"/>
      <c r="F6739" s="418"/>
      <c r="G6739" s="419"/>
      <c r="H6739" s="420" t="s">
        <v>64</v>
      </c>
      <c r="I6739" s="421"/>
      <c r="J6739" s="396">
        <f>SUM(J6737:J6738)</f>
        <v>0</v>
      </c>
    </row>
    <row r="6740" spans="1:10" ht="13.5" thickBot="1">
      <c r="A6740" s="27"/>
      <c r="B6740" s="110"/>
      <c r="D6740" s="406" t="s">
        <v>65</v>
      </c>
      <c r="E6740" s="13" t="s">
        <v>66</v>
      </c>
      <c r="F6740" s="14"/>
      <c r="G6740" s="15"/>
      <c r="H6740" s="451"/>
      <c r="I6740" s="412">
        <f>IF(AND(E6740&lt;&gt;"",G6740&lt;&gt;""),IF(D6740="",IF(G6740="OH",VLOOKUP(E6740,UPAH!$C$4:$H$31,7,0),VLOOKUP(E6740,#REF!,4,0)),0),0)</f>
        <v>0</v>
      </c>
      <c r="J6740" s="16">
        <f>H6740*I6740</f>
        <v>0</v>
      </c>
    </row>
    <row r="6741" spans="1:10" ht="13.5" thickBot="1">
      <c r="A6741" s="27"/>
      <c r="B6741" s="110"/>
      <c r="D6741" s="417"/>
      <c r="E6741" s="418"/>
      <c r="F6741" s="418"/>
      <c r="G6741" s="419"/>
      <c r="H6741" s="420" t="s">
        <v>67</v>
      </c>
      <c r="I6741" s="421"/>
      <c r="J6741" s="396">
        <f>J6740</f>
        <v>0</v>
      </c>
    </row>
    <row r="6742" spans="1:10" ht="13">
      <c r="A6742" s="27"/>
      <c r="B6742" s="110"/>
      <c r="D6742" s="444" t="s">
        <v>68</v>
      </c>
      <c r="E6742" s="445" t="s">
        <v>69</v>
      </c>
      <c r="F6742" s="446"/>
      <c r="G6742" s="447"/>
      <c r="H6742" s="448"/>
      <c r="I6742" s="449">
        <f>IF(AND(E6742&lt;&gt;"",G6742&lt;&gt;""),IF(D6742="",IF(G6742="OH",VLOOKUP(E6742,UPAH!$C$4:$H$31,7,0),VLOOKUP(E6742,#REF!,4,0)),0),0)</f>
        <v>0</v>
      </c>
      <c r="J6742" s="16">
        <f>SUM(J6731:J6741)/2</f>
        <v>0</v>
      </c>
    </row>
    <row r="6743" spans="1:10" ht="13.5" thickBot="1">
      <c r="A6743" s="27"/>
      <c r="B6743" s="110"/>
      <c r="D6743" s="431" t="s">
        <v>70</v>
      </c>
      <c r="E6743" s="432" t="s">
        <v>477</v>
      </c>
      <c r="F6743" s="433"/>
      <c r="G6743" s="434"/>
      <c r="H6743" s="22">
        <v>0.1</v>
      </c>
      <c r="I6743" s="436"/>
      <c r="J6743" s="430">
        <f>H6743*J6742</f>
        <v>0</v>
      </c>
    </row>
    <row r="6744" spans="1:10" ht="13.5" thickBot="1">
      <c r="A6744" s="27"/>
      <c r="B6744" s="110"/>
      <c r="D6744" s="401" t="s">
        <v>71</v>
      </c>
      <c r="E6744" s="402" t="s">
        <v>72</v>
      </c>
      <c r="F6744" s="418"/>
      <c r="G6744" s="419"/>
      <c r="H6744" s="442"/>
      <c r="I6744" s="421">
        <f>IF(AND(E6744&lt;&gt;"",G6744&lt;&gt;""),IF(D6744="",IF(G6744="OH",VLOOKUP(E6744,UPAH!$C$4:$H$31,7,0),VLOOKUP(E6744,#REF!,4,0)),0),0)</f>
        <v>0</v>
      </c>
      <c r="J6744" s="396">
        <f>ROUNDDOWN(J6742+J6743,0)</f>
        <v>0</v>
      </c>
    </row>
    <row r="6745" spans="1:10" ht="13">
      <c r="A6745" s="27"/>
      <c r="B6745" s="110"/>
      <c r="D6745" s="11"/>
      <c r="E6745" s="11"/>
      <c r="H6745" s="443"/>
    </row>
    <row r="6746" spans="1:10" ht="13.5" thickBot="1">
      <c r="A6746" s="27"/>
      <c r="B6746" s="110"/>
      <c r="C6746" s="11" t="s">
        <v>1219</v>
      </c>
      <c r="D6746" s="10" t="s">
        <v>1220</v>
      </c>
      <c r="H6746" s="443"/>
    </row>
    <row r="6747" spans="1:10" ht="13.5" thickBot="1">
      <c r="A6747" s="27"/>
      <c r="B6747" s="110"/>
      <c r="D6747" s="401" t="s">
        <v>40</v>
      </c>
      <c r="E6747" s="402" t="s">
        <v>41</v>
      </c>
      <c r="F6747" s="402" t="s">
        <v>42</v>
      </c>
      <c r="G6747" s="403" t="s">
        <v>43</v>
      </c>
      <c r="H6747" s="404" t="s">
        <v>44</v>
      </c>
      <c r="I6747" s="402" t="s">
        <v>474</v>
      </c>
      <c r="J6747" s="405" t="s">
        <v>475</v>
      </c>
    </row>
    <row r="6748" spans="1:10" ht="13">
      <c r="A6748" s="27"/>
      <c r="B6748" s="110"/>
      <c r="D6748" s="406" t="s">
        <v>45</v>
      </c>
      <c r="E6748" s="13" t="s">
        <v>46</v>
      </c>
      <c r="F6748" s="14"/>
      <c r="G6748" s="15"/>
      <c r="H6748" s="451"/>
      <c r="I6748" s="412"/>
      <c r="J6748" s="16"/>
    </row>
    <row r="6749" spans="1:10" ht="13">
      <c r="A6749" s="27"/>
      <c r="B6749" s="110"/>
      <c r="D6749" s="409"/>
      <c r="E6749" s="13" t="s">
        <v>47</v>
      </c>
      <c r="F6749" s="13" t="s">
        <v>1918</v>
      </c>
      <c r="G6749" s="410" t="s">
        <v>48</v>
      </c>
      <c r="H6749" s="548">
        <v>5.0000000000000001E-3</v>
      </c>
      <c r="I6749" s="412">
        <f>IF(AND(E6749&lt;&gt;"",G6749&lt;&gt;""),IF(D6749="",IF(G6749="OH",VLOOKUP(F6749,UPAH!$B$4:$H$101,7,0),VLOOKUP(F6749,#REF!,4,0)),0),0)</f>
        <v>0</v>
      </c>
      <c r="J6749" s="16">
        <f>H6749*I6749</f>
        <v>0</v>
      </c>
    </row>
    <row r="6750" spans="1:10" ht="13">
      <c r="A6750" s="27"/>
      <c r="B6750" s="110"/>
      <c r="D6750" s="409"/>
      <c r="E6750" s="13" t="s">
        <v>49</v>
      </c>
      <c r="F6750" s="13" t="s">
        <v>1922</v>
      </c>
      <c r="G6750" s="410" t="s">
        <v>48</v>
      </c>
      <c r="H6750" s="548">
        <v>0.5</v>
      </c>
      <c r="I6750" s="412">
        <f>IF(AND(E6750&lt;&gt;"",G6750&lt;&gt;""),IF(D6750="",IF(G6750="OH",VLOOKUP(F6750,UPAH!$B$4:$H$101,7,0),VLOOKUP(F6750,#REF!,4,0)),0),0)</f>
        <v>0</v>
      </c>
      <c r="J6750" s="16">
        <f>H6750*I6750</f>
        <v>0</v>
      </c>
    </row>
    <row r="6751" spans="1:10" ht="13">
      <c r="A6751" s="27"/>
      <c r="B6751" s="110"/>
      <c r="D6751" s="409"/>
      <c r="E6751" s="13" t="s">
        <v>50</v>
      </c>
      <c r="F6751" s="13" t="s">
        <v>1928</v>
      </c>
      <c r="G6751" s="410" t="s">
        <v>48</v>
      </c>
      <c r="H6751" s="548">
        <v>0.05</v>
      </c>
      <c r="I6751" s="412">
        <f>IF(AND(E6751&lt;&gt;"",G6751&lt;&gt;""),IF(D6751="",IF(G6751="OH",VLOOKUP(F6751,UPAH!$B$4:$H$101,7,0),VLOOKUP(F6751,#REF!,4,0)),0),0)</f>
        <v>0</v>
      </c>
      <c r="J6751" s="16">
        <f>H6751*I6751</f>
        <v>0</v>
      </c>
    </row>
    <row r="6752" spans="1:10" ht="13.5" thickBot="1">
      <c r="A6752" s="27"/>
      <c r="B6752" s="110"/>
      <c r="D6752" s="409"/>
      <c r="E6752" s="13" t="s">
        <v>51</v>
      </c>
      <c r="F6752" s="13" t="s">
        <v>1929</v>
      </c>
      <c r="G6752" s="410" t="s">
        <v>48</v>
      </c>
      <c r="H6752" s="548">
        <v>3.0000000000000001E-3</v>
      </c>
      <c r="I6752" s="412">
        <f>IF(AND(E6752&lt;&gt;"",G6752&lt;&gt;""),IF(D6752="",IF(G6752="OH",VLOOKUP(F6752,UPAH!$B$4:$H$101,7,0),VLOOKUP(F6752,#REF!,4,0)),0),0)</f>
        <v>0</v>
      </c>
      <c r="J6752" s="16">
        <f>H6752*I6752</f>
        <v>0</v>
      </c>
    </row>
    <row r="6753" spans="1:10" ht="13.5" thickBot="1">
      <c r="A6753" s="27"/>
      <c r="B6753" s="110"/>
      <c r="D6753" s="417"/>
      <c r="E6753" s="418"/>
      <c r="F6753" s="418"/>
      <c r="G6753" s="419"/>
      <c r="H6753" s="420" t="s">
        <v>52</v>
      </c>
      <c r="I6753" s="421"/>
      <c r="J6753" s="396">
        <f>SUM(J6749:J6752)</f>
        <v>0</v>
      </c>
    </row>
    <row r="6754" spans="1:10" ht="13">
      <c r="A6754" s="27"/>
      <c r="B6754" s="110"/>
      <c r="D6754" s="406" t="s">
        <v>53</v>
      </c>
      <c r="E6754" s="13" t="s">
        <v>54</v>
      </c>
      <c r="F6754" s="14"/>
      <c r="G6754" s="15"/>
      <c r="H6754" s="451"/>
      <c r="I6754" s="412"/>
      <c r="J6754" s="16"/>
    </row>
    <row r="6755" spans="1:10" ht="13.5" thickBot="1">
      <c r="A6755" s="27"/>
      <c r="B6755" s="110"/>
      <c r="D6755" s="409"/>
      <c r="E6755" s="13" t="s">
        <v>207</v>
      </c>
      <c r="F6755" s="14"/>
      <c r="G6755" s="410" t="s">
        <v>87</v>
      </c>
      <c r="H6755" s="548">
        <v>1</v>
      </c>
      <c r="I6755" s="412">
        <f>'BAHAN '!G785</f>
        <v>0</v>
      </c>
      <c r="J6755" s="16">
        <f>H6755*I6755</f>
        <v>0</v>
      </c>
    </row>
    <row r="6756" spans="1:10" ht="13.5" thickBot="1">
      <c r="A6756" s="27"/>
      <c r="B6756" s="110"/>
      <c r="D6756" s="417"/>
      <c r="E6756" s="418"/>
      <c r="F6756" s="418"/>
      <c r="G6756" s="419"/>
      <c r="H6756" s="420" t="s">
        <v>64</v>
      </c>
      <c r="I6756" s="421"/>
      <c r="J6756" s="396">
        <f>SUM(J6754:J6755)</f>
        <v>0</v>
      </c>
    </row>
    <row r="6757" spans="1:10" ht="13.5" thickBot="1">
      <c r="A6757" s="27"/>
      <c r="B6757" s="110"/>
      <c r="D6757" s="406" t="s">
        <v>65</v>
      </c>
      <c r="E6757" s="13" t="s">
        <v>66</v>
      </c>
      <c r="F6757" s="14"/>
      <c r="G6757" s="15"/>
      <c r="H6757" s="451"/>
      <c r="I6757" s="412">
        <f>IF(AND(E6757&lt;&gt;"",G6757&lt;&gt;""),IF(D6757="",IF(G6757="OH",VLOOKUP(E6757,UPAH!$C$4:$H$31,7,0),VLOOKUP(E6757,#REF!,4,0)),0),0)</f>
        <v>0</v>
      </c>
      <c r="J6757" s="16">
        <f>H6757*I6757</f>
        <v>0</v>
      </c>
    </row>
    <row r="6758" spans="1:10" ht="13.5" thickBot="1">
      <c r="A6758" s="27"/>
      <c r="B6758" s="110"/>
      <c r="D6758" s="417"/>
      <c r="E6758" s="418"/>
      <c r="F6758" s="418"/>
      <c r="G6758" s="419"/>
      <c r="H6758" s="420" t="s">
        <v>67</v>
      </c>
      <c r="I6758" s="421"/>
      <c r="J6758" s="396">
        <f>J6757</f>
        <v>0</v>
      </c>
    </row>
    <row r="6759" spans="1:10" ht="13">
      <c r="A6759" s="27"/>
      <c r="B6759" s="110"/>
      <c r="D6759" s="444" t="s">
        <v>68</v>
      </c>
      <c r="E6759" s="445" t="s">
        <v>69</v>
      </c>
      <c r="F6759" s="446"/>
      <c r="G6759" s="447"/>
      <c r="H6759" s="448"/>
      <c r="I6759" s="449">
        <f>IF(AND(E6759&lt;&gt;"",G6759&lt;&gt;""),IF(D6759="",IF(G6759="OH",VLOOKUP(E6759,UPAH!$C$4:$H$31,7,0),VLOOKUP(E6759,#REF!,4,0)),0),0)</f>
        <v>0</v>
      </c>
      <c r="J6759" s="16">
        <f>SUM(J6748:J6758)/2</f>
        <v>0</v>
      </c>
    </row>
    <row r="6760" spans="1:10" ht="13.5" thickBot="1">
      <c r="A6760" s="27"/>
      <c r="B6760" s="110"/>
      <c r="D6760" s="431" t="s">
        <v>70</v>
      </c>
      <c r="E6760" s="432" t="s">
        <v>477</v>
      </c>
      <c r="F6760" s="433"/>
      <c r="G6760" s="434"/>
      <c r="H6760" s="22">
        <v>0.1</v>
      </c>
      <c r="I6760" s="436"/>
      <c r="J6760" s="430">
        <f>H6760*J6759</f>
        <v>0</v>
      </c>
    </row>
    <row r="6761" spans="1:10" ht="13.5" thickBot="1">
      <c r="A6761" s="27"/>
      <c r="B6761" s="110"/>
      <c r="D6761" s="401" t="s">
        <v>71</v>
      </c>
      <c r="E6761" s="402" t="s">
        <v>72</v>
      </c>
      <c r="F6761" s="418"/>
      <c r="G6761" s="419"/>
      <c r="H6761" s="442"/>
      <c r="I6761" s="421">
        <f>IF(AND(E6761&lt;&gt;"",G6761&lt;&gt;""),IF(D6761="",IF(G6761="OH",VLOOKUP(E6761,UPAH!$C$4:$H$31,7,0),VLOOKUP(E6761,#REF!,4,0)),0),0)</f>
        <v>0</v>
      </c>
      <c r="J6761" s="396">
        <f>ROUNDDOWN(J6759+J6760,0)</f>
        <v>0</v>
      </c>
    </row>
    <row r="6762" spans="1:10" ht="13">
      <c r="A6762" s="27"/>
      <c r="B6762" s="110"/>
      <c r="D6762" s="11"/>
      <c r="E6762" s="11"/>
      <c r="H6762" s="443"/>
    </row>
    <row r="6763" spans="1:10" ht="13.5" thickBot="1">
      <c r="A6763" s="27"/>
      <c r="B6763" s="110"/>
      <c r="C6763" s="11" t="s">
        <v>1221</v>
      </c>
      <c r="D6763" s="10" t="s">
        <v>1222</v>
      </c>
      <c r="H6763" s="443"/>
    </row>
    <row r="6764" spans="1:10" ht="13.5" thickBot="1">
      <c r="A6764" s="27"/>
      <c r="B6764" s="110"/>
      <c r="D6764" s="401" t="s">
        <v>40</v>
      </c>
      <c r="E6764" s="402" t="s">
        <v>41</v>
      </c>
      <c r="F6764" s="402" t="s">
        <v>42</v>
      </c>
      <c r="G6764" s="403" t="s">
        <v>43</v>
      </c>
      <c r="H6764" s="404" t="s">
        <v>44</v>
      </c>
      <c r="I6764" s="402" t="s">
        <v>474</v>
      </c>
      <c r="J6764" s="405" t="s">
        <v>475</v>
      </c>
    </row>
    <row r="6765" spans="1:10" ht="13">
      <c r="A6765" s="27"/>
      <c r="B6765" s="110"/>
      <c r="D6765" s="406" t="s">
        <v>45</v>
      </c>
      <c r="E6765" s="13" t="s">
        <v>46</v>
      </c>
      <c r="F6765" s="14"/>
      <c r="G6765" s="15"/>
      <c r="H6765" s="451"/>
      <c r="I6765" s="412"/>
      <c r="J6765" s="16"/>
    </row>
    <row r="6766" spans="1:10" ht="13">
      <c r="A6766" s="27"/>
      <c r="B6766" s="110"/>
      <c r="D6766" s="409"/>
      <c r="E6766" s="13" t="s">
        <v>47</v>
      </c>
      <c r="F6766" s="13" t="s">
        <v>1918</v>
      </c>
      <c r="G6766" s="410" t="s">
        <v>48</v>
      </c>
      <c r="H6766" s="548">
        <v>5.0000000000000001E-3</v>
      </c>
      <c r="I6766" s="412">
        <f>IF(AND(E6766&lt;&gt;"",G6766&lt;&gt;""),IF(D6766="",IF(G6766="OH",VLOOKUP(F6766,UPAH!$B$4:$H$101,7,0),VLOOKUP(F6766,#REF!,4,0)),0),0)</f>
        <v>0</v>
      </c>
      <c r="J6766" s="16">
        <f>H6766*I6766</f>
        <v>0</v>
      </c>
    </row>
    <row r="6767" spans="1:10" ht="13">
      <c r="A6767" s="27"/>
      <c r="B6767" s="110"/>
      <c r="D6767" s="409"/>
      <c r="E6767" s="13" t="s">
        <v>49</v>
      </c>
      <c r="F6767" s="13" t="s">
        <v>1922</v>
      </c>
      <c r="G6767" s="410" t="s">
        <v>48</v>
      </c>
      <c r="H6767" s="548">
        <v>0.5</v>
      </c>
      <c r="I6767" s="412">
        <f>IF(AND(E6767&lt;&gt;"",G6767&lt;&gt;""),IF(D6767="",IF(G6767="OH",VLOOKUP(F6767,UPAH!$B$4:$H$101,7,0),VLOOKUP(F6767,#REF!,4,0)),0),0)</f>
        <v>0</v>
      </c>
      <c r="J6767" s="16">
        <f>H6767*I6767</f>
        <v>0</v>
      </c>
    </row>
    <row r="6768" spans="1:10" ht="13">
      <c r="A6768" s="27"/>
      <c r="B6768" s="110"/>
      <c r="D6768" s="409"/>
      <c r="E6768" s="13" t="s">
        <v>50</v>
      </c>
      <c r="F6768" s="13" t="s">
        <v>1928</v>
      </c>
      <c r="G6768" s="410" t="s">
        <v>48</v>
      </c>
      <c r="H6768" s="548">
        <v>0.05</v>
      </c>
      <c r="I6768" s="412">
        <f>IF(AND(E6768&lt;&gt;"",G6768&lt;&gt;""),IF(D6768="",IF(G6768="OH",VLOOKUP(F6768,UPAH!$B$4:$H$101,7,0),VLOOKUP(F6768,#REF!,4,0)),0),0)</f>
        <v>0</v>
      </c>
      <c r="J6768" s="16">
        <f>H6768*I6768</f>
        <v>0</v>
      </c>
    </row>
    <row r="6769" spans="1:10" ht="13.5" thickBot="1">
      <c r="A6769" s="27"/>
      <c r="B6769" s="110"/>
      <c r="D6769" s="409"/>
      <c r="E6769" s="13" t="s">
        <v>51</v>
      </c>
      <c r="F6769" s="13" t="s">
        <v>1929</v>
      </c>
      <c r="G6769" s="410" t="s">
        <v>48</v>
      </c>
      <c r="H6769" s="548">
        <v>3.0000000000000001E-3</v>
      </c>
      <c r="I6769" s="412">
        <f>IF(AND(E6769&lt;&gt;"",G6769&lt;&gt;""),IF(D6769="",IF(G6769="OH",VLOOKUP(F6769,UPAH!$B$4:$H$101,7,0),VLOOKUP(F6769,#REF!,4,0)),0),0)</f>
        <v>0</v>
      </c>
      <c r="J6769" s="16">
        <f>H6769*I6769</f>
        <v>0</v>
      </c>
    </row>
    <row r="6770" spans="1:10" ht="13.5" thickBot="1">
      <c r="A6770" s="27"/>
      <c r="B6770" s="110"/>
      <c r="D6770" s="417"/>
      <c r="E6770" s="418"/>
      <c r="F6770" s="418"/>
      <c r="G6770" s="419"/>
      <c r="H6770" s="420" t="s">
        <v>52</v>
      </c>
      <c r="I6770" s="421"/>
      <c r="J6770" s="396">
        <f>SUM(J6766:J6769)</f>
        <v>0</v>
      </c>
    </row>
    <row r="6771" spans="1:10" ht="13">
      <c r="A6771" s="27"/>
      <c r="B6771" s="110"/>
      <c r="D6771" s="406" t="s">
        <v>53</v>
      </c>
      <c r="E6771" s="13" t="s">
        <v>54</v>
      </c>
      <c r="F6771" s="14"/>
      <c r="G6771" s="15"/>
      <c r="H6771" s="451"/>
      <c r="I6771" s="412"/>
      <c r="J6771" s="16"/>
    </row>
    <row r="6772" spans="1:10" ht="13.5" thickBot="1">
      <c r="A6772" s="27"/>
      <c r="B6772" s="110"/>
      <c r="D6772" s="409"/>
      <c r="E6772" s="13" t="s">
        <v>208</v>
      </c>
      <c r="F6772" s="14"/>
      <c r="G6772" s="410" t="s">
        <v>87</v>
      </c>
      <c r="H6772" s="548">
        <v>1</v>
      </c>
      <c r="I6772" s="412">
        <f>'BAHAN '!G782</f>
        <v>0</v>
      </c>
      <c r="J6772" s="16">
        <f>H6772*I6772</f>
        <v>0</v>
      </c>
    </row>
    <row r="6773" spans="1:10" ht="13.5" thickBot="1">
      <c r="A6773" s="27"/>
      <c r="B6773" s="110"/>
      <c r="D6773" s="417"/>
      <c r="E6773" s="418"/>
      <c r="F6773" s="418"/>
      <c r="G6773" s="419"/>
      <c r="H6773" s="420" t="s">
        <v>64</v>
      </c>
      <c r="I6773" s="421"/>
      <c r="J6773" s="396">
        <f>SUM(J6771:J6772)</f>
        <v>0</v>
      </c>
    </row>
    <row r="6774" spans="1:10" ht="13.5" thickBot="1">
      <c r="A6774" s="27"/>
      <c r="B6774" s="110"/>
      <c r="D6774" s="406" t="s">
        <v>65</v>
      </c>
      <c r="E6774" s="13" t="s">
        <v>66</v>
      </c>
      <c r="F6774" s="14"/>
      <c r="G6774" s="15"/>
      <c r="H6774" s="451"/>
      <c r="I6774" s="412">
        <f>IF(AND(E6774&lt;&gt;"",G6774&lt;&gt;""),IF(D6774="",IF(G6774="OH",VLOOKUP(E6774,UPAH!$C$4:$H$31,7,0),VLOOKUP(E6774,#REF!,4,0)),0),0)</f>
        <v>0</v>
      </c>
      <c r="J6774" s="16">
        <f>H6774*I6774</f>
        <v>0</v>
      </c>
    </row>
    <row r="6775" spans="1:10" ht="13.5" thickBot="1">
      <c r="A6775" s="27"/>
      <c r="B6775" s="110"/>
      <c r="D6775" s="417"/>
      <c r="E6775" s="418"/>
      <c r="F6775" s="418"/>
      <c r="G6775" s="419"/>
      <c r="H6775" s="420" t="s">
        <v>67</v>
      </c>
      <c r="I6775" s="421"/>
      <c r="J6775" s="396">
        <f>J6774</f>
        <v>0</v>
      </c>
    </row>
    <row r="6776" spans="1:10" ht="13">
      <c r="A6776" s="27"/>
      <c r="B6776" s="110"/>
      <c r="D6776" s="444" t="s">
        <v>68</v>
      </c>
      <c r="E6776" s="445" t="s">
        <v>69</v>
      </c>
      <c r="F6776" s="446"/>
      <c r="G6776" s="447"/>
      <c r="H6776" s="448"/>
      <c r="I6776" s="449">
        <f>IF(AND(E6776&lt;&gt;"",G6776&lt;&gt;""),IF(D6776="",IF(G6776="OH",VLOOKUP(E6776,UPAH!$C$4:$H$31,7,0),VLOOKUP(E6776,#REF!,4,0)),0),0)</f>
        <v>0</v>
      </c>
      <c r="J6776" s="16">
        <f>SUM(J6765:J6775)/2</f>
        <v>0</v>
      </c>
    </row>
    <row r="6777" spans="1:10" ht="13.5" thickBot="1">
      <c r="A6777" s="27"/>
      <c r="B6777" s="110"/>
      <c r="D6777" s="431" t="s">
        <v>70</v>
      </c>
      <c r="E6777" s="432" t="s">
        <v>477</v>
      </c>
      <c r="F6777" s="433"/>
      <c r="G6777" s="434"/>
      <c r="H6777" s="22">
        <v>0.1</v>
      </c>
      <c r="I6777" s="436"/>
      <c r="J6777" s="430">
        <f>H6777*J6776</f>
        <v>0</v>
      </c>
    </row>
    <row r="6778" spans="1:10" ht="13.5" thickBot="1">
      <c r="A6778" s="27"/>
      <c r="B6778" s="110"/>
      <c r="D6778" s="401" t="s">
        <v>71</v>
      </c>
      <c r="E6778" s="402" t="s">
        <v>72</v>
      </c>
      <c r="F6778" s="418"/>
      <c r="G6778" s="419"/>
      <c r="H6778" s="442"/>
      <c r="I6778" s="421">
        <f>IF(AND(E6778&lt;&gt;"",G6778&lt;&gt;""),IF(D6778="",IF(G6778="OH",VLOOKUP(E6778,UPAH!$C$4:$H$31,7,0),VLOOKUP(E6778,#REF!,4,0)),0),0)</f>
        <v>0</v>
      </c>
      <c r="J6778" s="396">
        <f>ROUNDDOWN(J6776+J6777,0)</f>
        <v>0</v>
      </c>
    </row>
    <row r="6779" spans="1:10" ht="13">
      <c r="A6779" s="27"/>
      <c r="B6779" s="110"/>
      <c r="D6779" s="11"/>
      <c r="E6779" s="11"/>
      <c r="H6779" s="443"/>
    </row>
    <row r="6780" spans="1:10" ht="13.5" thickBot="1">
      <c r="A6780" s="27"/>
      <c r="B6780" s="110"/>
      <c r="C6780" s="11" t="s">
        <v>1223</v>
      </c>
      <c r="D6780" s="10" t="s">
        <v>1224</v>
      </c>
      <c r="H6780" s="443"/>
    </row>
    <row r="6781" spans="1:10" ht="13.5" thickBot="1">
      <c r="A6781" s="27"/>
      <c r="B6781" s="110"/>
      <c r="D6781" s="401" t="s">
        <v>40</v>
      </c>
      <c r="E6781" s="402" t="s">
        <v>41</v>
      </c>
      <c r="F6781" s="402" t="s">
        <v>42</v>
      </c>
      <c r="G6781" s="403" t="s">
        <v>43</v>
      </c>
      <c r="H6781" s="404" t="s">
        <v>44</v>
      </c>
      <c r="I6781" s="402" t="s">
        <v>474</v>
      </c>
      <c r="J6781" s="405" t="s">
        <v>475</v>
      </c>
    </row>
    <row r="6782" spans="1:10" ht="13">
      <c r="A6782" s="27"/>
      <c r="B6782" s="110"/>
      <c r="D6782" s="406" t="s">
        <v>45</v>
      </c>
      <c r="E6782" s="13" t="s">
        <v>46</v>
      </c>
      <c r="F6782" s="14"/>
      <c r="G6782" s="15"/>
      <c r="H6782" s="451"/>
      <c r="I6782" s="412"/>
      <c r="J6782" s="16"/>
    </row>
    <row r="6783" spans="1:10" ht="13">
      <c r="A6783" s="27"/>
      <c r="B6783" s="110"/>
      <c r="D6783" s="409"/>
      <c r="E6783" s="13" t="s">
        <v>47</v>
      </c>
      <c r="F6783" s="13" t="s">
        <v>1918</v>
      </c>
      <c r="G6783" s="410" t="s">
        <v>48</v>
      </c>
      <c r="H6783" s="548">
        <v>1.4999999999999999E-2</v>
      </c>
      <c r="I6783" s="412">
        <f>IF(AND(E6783&lt;&gt;"",G6783&lt;&gt;""),IF(D6783="",IF(G6783="OH",VLOOKUP(F6783,UPAH!$B$4:$H$101,7,0),VLOOKUP(F6783,#REF!,4,0)),0),0)</f>
        <v>0</v>
      </c>
      <c r="J6783" s="16">
        <f>H6783*I6783</f>
        <v>0</v>
      </c>
    </row>
    <row r="6784" spans="1:10" ht="13">
      <c r="A6784" s="27"/>
      <c r="B6784" s="110"/>
      <c r="D6784" s="409"/>
      <c r="E6784" s="13" t="s">
        <v>49</v>
      </c>
      <c r="F6784" s="13" t="s">
        <v>1922</v>
      </c>
      <c r="G6784" s="410" t="s">
        <v>48</v>
      </c>
      <c r="H6784" s="548">
        <v>0.15</v>
      </c>
      <c r="I6784" s="412">
        <f>IF(AND(E6784&lt;&gt;"",G6784&lt;&gt;""),IF(D6784="",IF(G6784="OH",VLOOKUP(F6784,UPAH!$B$4:$H$101,7,0),VLOOKUP(F6784,#REF!,4,0)),0),0)</f>
        <v>0</v>
      </c>
      <c r="J6784" s="16">
        <f>H6784*I6784</f>
        <v>0</v>
      </c>
    </row>
    <row r="6785" spans="1:10" ht="13">
      <c r="A6785" s="27"/>
      <c r="B6785" s="110"/>
      <c r="D6785" s="409"/>
      <c r="E6785" s="13" t="s">
        <v>50</v>
      </c>
      <c r="F6785" s="13" t="s">
        <v>1928</v>
      </c>
      <c r="G6785" s="410" t="s">
        <v>48</v>
      </c>
      <c r="H6785" s="548">
        <v>1.4999999999999999E-2</v>
      </c>
      <c r="I6785" s="412">
        <f>IF(AND(E6785&lt;&gt;"",G6785&lt;&gt;""),IF(D6785="",IF(G6785="OH",VLOOKUP(F6785,UPAH!$B$4:$H$101,7,0),VLOOKUP(F6785,#REF!,4,0)),0),0)</f>
        <v>0</v>
      </c>
      <c r="J6785" s="16">
        <f>H6785*I6785</f>
        <v>0</v>
      </c>
    </row>
    <row r="6786" spans="1:10" ht="13.5" thickBot="1">
      <c r="A6786" s="27"/>
      <c r="B6786" s="110"/>
      <c r="D6786" s="409"/>
      <c r="E6786" s="13" t="s">
        <v>51</v>
      </c>
      <c r="F6786" s="13" t="s">
        <v>1929</v>
      </c>
      <c r="G6786" s="410" t="s">
        <v>48</v>
      </c>
      <c r="H6786" s="548">
        <v>8.0000000000000004E-4</v>
      </c>
      <c r="I6786" s="412">
        <f>IF(AND(E6786&lt;&gt;"",G6786&lt;&gt;""),IF(D6786="",IF(G6786="OH",VLOOKUP(F6786,UPAH!$B$4:$H$101,7,0),VLOOKUP(F6786,#REF!,4,0)),0),0)</f>
        <v>0</v>
      </c>
      <c r="J6786" s="16">
        <f>H6786*I6786</f>
        <v>0</v>
      </c>
    </row>
    <row r="6787" spans="1:10" ht="13.5" thickBot="1">
      <c r="A6787" s="27"/>
      <c r="B6787" s="110"/>
      <c r="D6787" s="417"/>
      <c r="E6787" s="418"/>
      <c r="F6787" s="418"/>
      <c r="G6787" s="419"/>
      <c r="H6787" s="420" t="s">
        <v>52</v>
      </c>
      <c r="I6787" s="421"/>
      <c r="J6787" s="396">
        <f>SUM(J6783:J6786)</f>
        <v>0</v>
      </c>
    </row>
    <row r="6788" spans="1:10" ht="13">
      <c r="A6788" s="27"/>
      <c r="B6788" s="110"/>
      <c r="D6788" s="406" t="s">
        <v>53</v>
      </c>
      <c r="E6788" s="13" t="s">
        <v>54</v>
      </c>
      <c r="F6788" s="14"/>
      <c r="G6788" s="15"/>
      <c r="H6788" s="451"/>
      <c r="I6788" s="412"/>
      <c r="J6788" s="16"/>
    </row>
    <row r="6789" spans="1:10" ht="13.5" thickBot="1">
      <c r="A6789" s="27"/>
      <c r="B6789" s="110"/>
      <c r="D6789" s="409"/>
      <c r="E6789" s="13" t="s">
        <v>209</v>
      </c>
      <c r="F6789" s="14"/>
      <c r="G6789" s="410" t="s">
        <v>87</v>
      </c>
      <c r="H6789" s="548">
        <v>1</v>
      </c>
      <c r="I6789" s="412">
        <f>'BAHAN '!G765</f>
        <v>0</v>
      </c>
      <c r="J6789" s="16">
        <f>H6789*I6789</f>
        <v>0</v>
      </c>
    </row>
    <row r="6790" spans="1:10" ht="13.5" thickBot="1">
      <c r="A6790" s="27"/>
      <c r="B6790" s="110"/>
      <c r="D6790" s="417"/>
      <c r="E6790" s="418"/>
      <c r="F6790" s="418"/>
      <c r="G6790" s="419"/>
      <c r="H6790" s="420" t="s">
        <v>64</v>
      </c>
      <c r="I6790" s="421"/>
      <c r="J6790" s="396">
        <f>SUM(J6788:J6789)</f>
        <v>0</v>
      </c>
    </row>
    <row r="6791" spans="1:10" ht="13.5" thickBot="1">
      <c r="A6791" s="27"/>
      <c r="B6791" s="110"/>
      <c r="D6791" s="406" t="s">
        <v>65</v>
      </c>
      <c r="E6791" s="13" t="s">
        <v>66</v>
      </c>
      <c r="F6791" s="14"/>
      <c r="G6791" s="15"/>
      <c r="H6791" s="451"/>
      <c r="I6791" s="412">
        <f>IF(AND(E6791&lt;&gt;"",G6791&lt;&gt;""),IF(D6791="",IF(G6791="OH",VLOOKUP(E6791,UPAH!$C$4:$H$31,7,0),VLOOKUP(E6791,#REF!,4,0)),0),0)</f>
        <v>0</v>
      </c>
      <c r="J6791" s="16">
        <f>H6791*I6791</f>
        <v>0</v>
      </c>
    </row>
    <row r="6792" spans="1:10" ht="13.5" thickBot="1">
      <c r="A6792" s="27"/>
      <c r="B6792" s="110"/>
      <c r="D6792" s="417"/>
      <c r="E6792" s="418"/>
      <c r="F6792" s="418"/>
      <c r="G6792" s="419"/>
      <c r="H6792" s="420" t="s">
        <v>67</v>
      </c>
      <c r="I6792" s="421"/>
      <c r="J6792" s="396">
        <f>J6791</f>
        <v>0</v>
      </c>
    </row>
    <row r="6793" spans="1:10" ht="13">
      <c r="A6793" s="27"/>
      <c r="B6793" s="110"/>
      <c r="D6793" s="444" t="s">
        <v>68</v>
      </c>
      <c r="E6793" s="445" t="s">
        <v>69</v>
      </c>
      <c r="F6793" s="446"/>
      <c r="G6793" s="447"/>
      <c r="H6793" s="448"/>
      <c r="I6793" s="449">
        <f>IF(AND(E6793&lt;&gt;"",G6793&lt;&gt;""),IF(D6793="",IF(G6793="OH",VLOOKUP(E6793,UPAH!$C$4:$H$31,7,0),VLOOKUP(E6793,#REF!,4,0)),0),0)</f>
        <v>0</v>
      </c>
      <c r="J6793" s="16">
        <f>SUM(J6782:J6792)/2</f>
        <v>0</v>
      </c>
    </row>
    <row r="6794" spans="1:10" ht="13.5" thickBot="1">
      <c r="A6794" s="27"/>
      <c r="B6794" s="110"/>
      <c r="D6794" s="431" t="s">
        <v>70</v>
      </c>
      <c r="E6794" s="432" t="s">
        <v>477</v>
      </c>
      <c r="F6794" s="433"/>
      <c r="G6794" s="434"/>
      <c r="H6794" s="22">
        <v>0.1</v>
      </c>
      <c r="I6794" s="436"/>
      <c r="J6794" s="430">
        <f>H6794*J6793</f>
        <v>0</v>
      </c>
    </row>
    <row r="6795" spans="1:10" ht="13.5" thickBot="1">
      <c r="A6795" s="27"/>
      <c r="B6795" s="110"/>
      <c r="D6795" s="401" t="s">
        <v>71</v>
      </c>
      <c r="E6795" s="402" t="s">
        <v>72</v>
      </c>
      <c r="F6795" s="418"/>
      <c r="G6795" s="419"/>
      <c r="H6795" s="442"/>
      <c r="I6795" s="421">
        <f>IF(AND(E6795&lt;&gt;"",G6795&lt;&gt;""),IF(D6795="",IF(G6795="OH",VLOOKUP(E6795,UPAH!$C$4:$H$31,7,0),VLOOKUP(E6795,#REF!,4,0)),0),0)</f>
        <v>0</v>
      </c>
      <c r="J6795" s="396">
        <f>ROUNDDOWN(J6793+J6794,0)</f>
        <v>0</v>
      </c>
    </row>
    <row r="6796" spans="1:10" ht="13">
      <c r="A6796" s="27"/>
      <c r="B6796" s="110"/>
      <c r="D6796" s="11"/>
      <c r="E6796" s="11"/>
      <c r="H6796" s="443"/>
    </row>
    <row r="6797" spans="1:10" ht="13.5" thickBot="1">
      <c r="A6797" s="27"/>
      <c r="B6797" s="110"/>
      <c r="C6797" s="11" t="s">
        <v>1225</v>
      </c>
      <c r="D6797" s="10" t="s">
        <v>1226</v>
      </c>
      <c r="H6797" s="443"/>
    </row>
    <row r="6798" spans="1:10" ht="13.5" thickBot="1">
      <c r="A6798" s="27"/>
      <c r="B6798" s="110"/>
      <c r="D6798" s="401" t="s">
        <v>40</v>
      </c>
      <c r="E6798" s="402" t="s">
        <v>41</v>
      </c>
      <c r="F6798" s="402" t="s">
        <v>42</v>
      </c>
      <c r="G6798" s="403" t="s">
        <v>43</v>
      </c>
      <c r="H6798" s="404" t="s">
        <v>44</v>
      </c>
      <c r="I6798" s="402" t="s">
        <v>474</v>
      </c>
      <c r="J6798" s="405" t="s">
        <v>475</v>
      </c>
    </row>
    <row r="6799" spans="1:10" ht="13">
      <c r="A6799" s="27"/>
      <c r="B6799" s="110"/>
      <c r="D6799" s="406" t="s">
        <v>45</v>
      </c>
      <c r="E6799" s="13" t="s">
        <v>46</v>
      </c>
      <c r="F6799" s="14"/>
      <c r="G6799" s="15"/>
      <c r="H6799" s="451"/>
      <c r="I6799" s="412"/>
      <c r="J6799" s="16"/>
    </row>
    <row r="6800" spans="1:10" ht="13">
      <c r="A6800" s="27"/>
      <c r="B6800" s="110"/>
      <c r="D6800" s="409"/>
      <c r="E6800" s="13" t="s">
        <v>47</v>
      </c>
      <c r="F6800" s="13" t="s">
        <v>1918</v>
      </c>
      <c r="G6800" s="410" t="s">
        <v>48</v>
      </c>
      <c r="H6800" s="548">
        <v>0.01</v>
      </c>
      <c r="I6800" s="412">
        <f>IF(AND(E6800&lt;&gt;"",G6800&lt;&gt;""),IF(D6800="",IF(G6800="OH",VLOOKUP(F6800,UPAH!$B$4:$H$101,7,0),VLOOKUP(F6800,#REF!,4,0)),0),0)</f>
        <v>0</v>
      </c>
      <c r="J6800" s="16">
        <f>H6800*I6800</f>
        <v>0</v>
      </c>
    </row>
    <row r="6801" spans="1:10" ht="13">
      <c r="A6801" s="27"/>
      <c r="B6801" s="110"/>
      <c r="D6801" s="409"/>
      <c r="E6801" s="13" t="s">
        <v>49</v>
      </c>
      <c r="F6801" s="13" t="s">
        <v>1922</v>
      </c>
      <c r="G6801" s="410" t="s">
        <v>48</v>
      </c>
      <c r="H6801" s="548">
        <v>0.1</v>
      </c>
      <c r="I6801" s="412">
        <f>IF(AND(E6801&lt;&gt;"",G6801&lt;&gt;""),IF(D6801="",IF(G6801="OH",VLOOKUP(F6801,UPAH!$B$4:$H$101,7,0),VLOOKUP(F6801,#REF!,4,0)),0),0)</f>
        <v>0</v>
      </c>
      <c r="J6801" s="16">
        <f>H6801*I6801</f>
        <v>0</v>
      </c>
    </row>
    <row r="6802" spans="1:10" ht="13">
      <c r="A6802" s="27"/>
      <c r="B6802" s="110"/>
      <c r="D6802" s="409"/>
      <c r="E6802" s="13" t="s">
        <v>50</v>
      </c>
      <c r="F6802" s="13" t="s">
        <v>1928</v>
      </c>
      <c r="G6802" s="410" t="s">
        <v>48</v>
      </c>
      <c r="H6802" s="548">
        <v>0.01</v>
      </c>
      <c r="I6802" s="412">
        <f>IF(AND(E6802&lt;&gt;"",G6802&lt;&gt;""),IF(D6802="",IF(G6802="OH",VLOOKUP(F6802,UPAH!$B$4:$H$101,7,0),VLOOKUP(F6802,#REF!,4,0)),0),0)</f>
        <v>0</v>
      </c>
      <c r="J6802" s="16">
        <f>H6802*I6802</f>
        <v>0</v>
      </c>
    </row>
    <row r="6803" spans="1:10" ht="13.5" thickBot="1">
      <c r="A6803" s="27"/>
      <c r="B6803" s="110"/>
      <c r="D6803" s="409"/>
      <c r="E6803" s="13" t="s">
        <v>51</v>
      </c>
      <c r="F6803" s="13" t="s">
        <v>1929</v>
      </c>
      <c r="G6803" s="410" t="s">
        <v>48</v>
      </c>
      <c r="H6803" s="548">
        <v>5.0000000000000001E-4</v>
      </c>
      <c r="I6803" s="412">
        <f>IF(AND(E6803&lt;&gt;"",G6803&lt;&gt;""),IF(D6803="",IF(G6803="OH",VLOOKUP(F6803,UPAH!$B$4:$H$101,7,0),VLOOKUP(F6803,#REF!,4,0)),0),0)</f>
        <v>0</v>
      </c>
      <c r="J6803" s="16">
        <f>H6803*I6803</f>
        <v>0</v>
      </c>
    </row>
    <row r="6804" spans="1:10" ht="13.5" thickBot="1">
      <c r="A6804" s="27"/>
      <c r="B6804" s="110"/>
      <c r="D6804" s="417"/>
      <c r="E6804" s="418"/>
      <c r="F6804" s="418"/>
      <c r="G6804" s="419"/>
      <c r="H6804" s="420" t="s">
        <v>52</v>
      </c>
      <c r="I6804" s="421"/>
      <c r="J6804" s="396">
        <f>SUM(J6800:J6803)</f>
        <v>0</v>
      </c>
    </row>
    <row r="6805" spans="1:10" ht="13">
      <c r="A6805" s="27"/>
      <c r="B6805" s="110"/>
      <c r="D6805" s="406" t="s">
        <v>53</v>
      </c>
      <c r="E6805" s="13" t="s">
        <v>54</v>
      </c>
      <c r="F6805" s="14"/>
      <c r="G6805" s="15"/>
      <c r="H6805" s="451"/>
      <c r="I6805" s="412"/>
      <c r="J6805" s="16"/>
    </row>
    <row r="6806" spans="1:10" ht="13.5" thickBot="1">
      <c r="A6806" s="27"/>
      <c r="B6806" s="110"/>
      <c r="D6806" s="409"/>
      <c r="E6806" s="13" t="s">
        <v>210</v>
      </c>
      <c r="F6806" s="14"/>
      <c r="G6806" s="410" t="s">
        <v>87</v>
      </c>
      <c r="H6806" s="548">
        <v>1</v>
      </c>
      <c r="I6806" s="412">
        <f>'BAHAN '!G767</f>
        <v>0</v>
      </c>
      <c r="J6806" s="16">
        <f>H6806*I6806</f>
        <v>0</v>
      </c>
    </row>
    <row r="6807" spans="1:10" ht="13.5" thickBot="1">
      <c r="A6807" s="27"/>
      <c r="B6807" s="110"/>
      <c r="D6807" s="417"/>
      <c r="E6807" s="418"/>
      <c r="F6807" s="418"/>
      <c r="G6807" s="419"/>
      <c r="H6807" s="420" t="s">
        <v>64</v>
      </c>
      <c r="I6807" s="421"/>
      <c r="J6807" s="396">
        <f>SUM(J6805:J6806)</f>
        <v>0</v>
      </c>
    </row>
    <row r="6808" spans="1:10" ht="13.5" thickBot="1">
      <c r="A6808" s="27"/>
      <c r="B6808" s="110"/>
      <c r="D6808" s="406" t="s">
        <v>65</v>
      </c>
      <c r="E6808" s="13" t="s">
        <v>66</v>
      </c>
      <c r="F6808" s="14"/>
      <c r="G6808" s="15"/>
      <c r="H6808" s="451"/>
      <c r="I6808" s="412">
        <f>IF(AND(E6808&lt;&gt;"",G6808&lt;&gt;""),IF(D6808="",IF(G6808="OH",VLOOKUP(E6808,UPAH!$C$4:$H$31,7,0),VLOOKUP(E6808,#REF!,4,0)),0),0)</f>
        <v>0</v>
      </c>
      <c r="J6808" s="16">
        <f>H6808*I6808</f>
        <v>0</v>
      </c>
    </row>
    <row r="6809" spans="1:10" ht="13.5" thickBot="1">
      <c r="A6809" s="27"/>
      <c r="B6809" s="110"/>
      <c r="D6809" s="417"/>
      <c r="E6809" s="418"/>
      <c r="F6809" s="418"/>
      <c r="G6809" s="419"/>
      <c r="H6809" s="420" t="s">
        <v>67</v>
      </c>
      <c r="I6809" s="421"/>
      <c r="J6809" s="396">
        <f>J6808</f>
        <v>0</v>
      </c>
    </row>
    <row r="6810" spans="1:10" ht="13">
      <c r="A6810" s="27"/>
      <c r="B6810" s="110"/>
      <c r="D6810" s="444" t="s">
        <v>68</v>
      </c>
      <c r="E6810" s="445" t="s">
        <v>69</v>
      </c>
      <c r="F6810" s="446"/>
      <c r="G6810" s="447"/>
      <c r="H6810" s="448"/>
      <c r="I6810" s="449">
        <f>IF(AND(E6810&lt;&gt;"",G6810&lt;&gt;""),IF(D6810="",IF(G6810="OH",VLOOKUP(E6810,UPAH!$C$4:$H$31,7,0),VLOOKUP(E6810,#REF!,4,0)),0),0)</f>
        <v>0</v>
      </c>
      <c r="J6810" s="16">
        <f>SUM(J6799:J6809)/2</f>
        <v>0</v>
      </c>
    </row>
    <row r="6811" spans="1:10" ht="13.5" thickBot="1">
      <c r="A6811" s="27"/>
      <c r="B6811" s="110"/>
      <c r="D6811" s="431" t="s">
        <v>70</v>
      </c>
      <c r="E6811" s="432" t="s">
        <v>477</v>
      </c>
      <c r="F6811" s="433"/>
      <c r="G6811" s="434"/>
      <c r="H6811" s="22">
        <v>0.1</v>
      </c>
      <c r="I6811" s="436"/>
      <c r="J6811" s="430">
        <f>H6811*J6810</f>
        <v>0</v>
      </c>
    </row>
    <row r="6812" spans="1:10" ht="13.5" thickBot="1">
      <c r="A6812" s="27"/>
      <c r="B6812" s="110"/>
      <c r="D6812" s="401" t="s">
        <v>71</v>
      </c>
      <c r="E6812" s="402" t="s">
        <v>72</v>
      </c>
      <c r="F6812" s="418"/>
      <c r="G6812" s="419"/>
      <c r="H6812" s="442"/>
      <c r="I6812" s="421">
        <f>IF(AND(E6812&lt;&gt;"",G6812&lt;&gt;""),IF(D6812="",IF(G6812="OH",VLOOKUP(E6812,UPAH!$C$4:$H$31,7,0),VLOOKUP(E6812,#REF!,4,0)),0),0)</f>
        <v>0</v>
      </c>
      <c r="J6812" s="396">
        <f>ROUNDDOWN(J6810+J6811,0)</f>
        <v>0</v>
      </c>
    </row>
    <row r="6813" spans="1:10" ht="13">
      <c r="A6813" s="27"/>
      <c r="B6813" s="110"/>
      <c r="D6813" s="11"/>
      <c r="E6813" s="11"/>
      <c r="H6813" s="443"/>
    </row>
    <row r="6814" spans="1:10" ht="13.5" thickBot="1">
      <c r="A6814" s="27"/>
      <c r="B6814" s="110"/>
      <c r="C6814" s="11" t="s">
        <v>1227</v>
      </c>
      <c r="D6814" s="10" t="s">
        <v>1228</v>
      </c>
      <c r="H6814" s="443"/>
    </row>
    <row r="6815" spans="1:10" ht="13.5" thickBot="1">
      <c r="A6815" s="27"/>
      <c r="B6815" s="110"/>
      <c r="D6815" s="401" t="s">
        <v>40</v>
      </c>
      <c r="E6815" s="402" t="s">
        <v>41</v>
      </c>
      <c r="F6815" s="402" t="s">
        <v>42</v>
      </c>
      <c r="G6815" s="403" t="s">
        <v>43</v>
      </c>
      <c r="H6815" s="404" t="s">
        <v>44</v>
      </c>
      <c r="I6815" s="402" t="s">
        <v>474</v>
      </c>
      <c r="J6815" s="405" t="s">
        <v>475</v>
      </c>
    </row>
    <row r="6816" spans="1:10" ht="13">
      <c r="A6816" s="27"/>
      <c r="B6816" s="110"/>
      <c r="D6816" s="406" t="s">
        <v>45</v>
      </c>
      <c r="E6816" s="13" t="s">
        <v>46</v>
      </c>
      <c r="F6816" s="14"/>
      <c r="G6816" s="15"/>
      <c r="H6816" s="451"/>
      <c r="I6816" s="412"/>
      <c r="J6816" s="16"/>
    </row>
    <row r="6817" spans="1:10" ht="13">
      <c r="A6817" s="27"/>
      <c r="B6817" s="110"/>
      <c r="D6817" s="406" t="s">
        <v>45</v>
      </c>
      <c r="E6817" s="13" t="s">
        <v>46</v>
      </c>
      <c r="F6817" s="14"/>
      <c r="G6817" s="15"/>
      <c r="H6817" s="451"/>
      <c r="I6817" s="412">
        <f>IF(AND(E6817&lt;&gt;"",G6817&lt;&gt;""),IF(D6817="",IF(G6817="OH",VLOOKUP(E6817,UPAH!$C$4:$H$31,7,0),VLOOKUP(E6817,#REF!,4,0)),0),0)</f>
        <v>0</v>
      </c>
      <c r="J6817" s="16">
        <f>H6817*I6817</f>
        <v>0</v>
      </c>
    </row>
    <row r="6818" spans="1:10" ht="13">
      <c r="A6818" s="27"/>
      <c r="B6818" s="110"/>
      <c r="D6818" s="409"/>
      <c r="E6818" s="13" t="s">
        <v>47</v>
      </c>
      <c r="F6818" s="13" t="s">
        <v>1918</v>
      </c>
      <c r="G6818" s="410" t="s">
        <v>48</v>
      </c>
      <c r="H6818" s="548">
        <v>0.1</v>
      </c>
      <c r="I6818" s="412">
        <f>IF(AND(E6818&lt;&gt;"",G6818&lt;&gt;""),IF(D6818="",IF(G6818="OH",VLOOKUP(F6818,UPAH!$B$4:$H$101,7,0),VLOOKUP(F6818,#REF!,4,0)),0),0)</f>
        <v>0</v>
      </c>
      <c r="J6818" s="16">
        <f>H6818*I6818</f>
        <v>0</v>
      </c>
    </row>
    <row r="6819" spans="1:10" ht="13">
      <c r="A6819" s="27"/>
      <c r="B6819" s="110"/>
      <c r="D6819" s="409"/>
      <c r="E6819" s="13" t="s">
        <v>49</v>
      </c>
      <c r="F6819" s="13" t="s">
        <v>1922</v>
      </c>
      <c r="G6819" s="410" t="s">
        <v>48</v>
      </c>
      <c r="H6819" s="548">
        <v>0.2</v>
      </c>
      <c r="I6819" s="412">
        <f>IF(AND(E6819&lt;&gt;"",G6819&lt;&gt;""),IF(D6819="",IF(G6819="OH",VLOOKUP(F6819,UPAH!$B$4:$H$101,7,0),VLOOKUP(F6819,#REF!,4,0)),0),0)</f>
        <v>0</v>
      </c>
      <c r="J6819" s="16">
        <f>H6819*I6819</f>
        <v>0</v>
      </c>
    </row>
    <row r="6820" spans="1:10" ht="13">
      <c r="A6820" s="27"/>
      <c r="B6820" s="110"/>
      <c r="D6820" s="409"/>
      <c r="E6820" s="13" t="s">
        <v>50</v>
      </c>
      <c r="F6820" s="13" t="s">
        <v>1928</v>
      </c>
      <c r="G6820" s="410" t="s">
        <v>48</v>
      </c>
      <c r="H6820" s="548">
        <v>0.02</v>
      </c>
      <c r="I6820" s="412">
        <f>IF(AND(E6820&lt;&gt;"",G6820&lt;&gt;""),IF(D6820="",IF(G6820="OH",VLOOKUP(F6820,UPAH!$B$4:$H$101,7,0),VLOOKUP(F6820,#REF!,4,0)),0),0)</f>
        <v>0</v>
      </c>
      <c r="J6820" s="16">
        <f>H6820*I6820</f>
        <v>0</v>
      </c>
    </row>
    <row r="6821" spans="1:10" ht="13.5" thickBot="1">
      <c r="A6821" s="27"/>
      <c r="B6821" s="110"/>
      <c r="D6821" s="409"/>
      <c r="E6821" s="13" t="s">
        <v>51</v>
      </c>
      <c r="F6821" s="13" t="s">
        <v>1929</v>
      </c>
      <c r="G6821" s="410" t="s">
        <v>48</v>
      </c>
      <c r="H6821" s="548">
        <v>5.0000000000000001E-4</v>
      </c>
      <c r="I6821" s="412">
        <f>IF(AND(E6821&lt;&gt;"",G6821&lt;&gt;""),IF(D6821="",IF(G6821="OH",VLOOKUP(F6821,UPAH!$B$4:$H$101,7,0),VLOOKUP(F6821,#REF!,4,0)),0),0)</f>
        <v>0</v>
      </c>
      <c r="J6821" s="16">
        <f>H6821*I6821</f>
        <v>0</v>
      </c>
    </row>
    <row r="6822" spans="1:10" ht="13.5" thickBot="1">
      <c r="A6822" s="27"/>
      <c r="B6822" s="110"/>
      <c r="D6822" s="417"/>
      <c r="E6822" s="418"/>
      <c r="F6822" s="418"/>
      <c r="G6822" s="419"/>
      <c r="H6822" s="420" t="s">
        <v>52</v>
      </c>
      <c r="I6822" s="421"/>
      <c r="J6822" s="396">
        <f>SUM(J6818:J6821)</f>
        <v>0</v>
      </c>
    </row>
    <row r="6823" spans="1:10" ht="13">
      <c r="A6823" s="27"/>
      <c r="B6823" s="110"/>
      <c r="D6823" s="406" t="s">
        <v>53</v>
      </c>
      <c r="E6823" s="13" t="s">
        <v>54</v>
      </c>
      <c r="F6823" s="14"/>
      <c r="G6823" s="15"/>
      <c r="H6823" s="451"/>
      <c r="I6823" s="412"/>
      <c r="J6823" s="16"/>
    </row>
    <row r="6824" spans="1:10" ht="13.5" thickBot="1">
      <c r="A6824" s="27"/>
      <c r="B6824" s="110"/>
      <c r="D6824" s="409"/>
      <c r="E6824" s="13" t="s">
        <v>211</v>
      </c>
      <c r="F6824" s="14"/>
      <c r="G6824" s="410" t="s">
        <v>87</v>
      </c>
      <c r="H6824" s="548">
        <v>1</v>
      </c>
      <c r="I6824" s="412">
        <f>'BAHAN '!G776</f>
        <v>0</v>
      </c>
      <c r="J6824" s="16">
        <f>H6824*I6824</f>
        <v>0</v>
      </c>
    </row>
    <row r="6825" spans="1:10" ht="13.5" thickBot="1">
      <c r="A6825" s="27"/>
      <c r="B6825" s="110"/>
      <c r="D6825" s="417"/>
      <c r="E6825" s="418"/>
      <c r="F6825" s="418"/>
      <c r="G6825" s="419"/>
      <c r="H6825" s="420" t="s">
        <v>64</v>
      </c>
      <c r="I6825" s="421"/>
      <c r="J6825" s="396">
        <f>SUM(J6823:J6824)</f>
        <v>0</v>
      </c>
    </row>
    <row r="6826" spans="1:10" ht="13.5" thickBot="1">
      <c r="A6826" s="27"/>
      <c r="B6826" s="110"/>
      <c r="D6826" s="406" t="s">
        <v>65</v>
      </c>
      <c r="E6826" s="13" t="s">
        <v>66</v>
      </c>
      <c r="F6826" s="14"/>
      <c r="G6826" s="15"/>
      <c r="H6826" s="451"/>
      <c r="I6826" s="412">
        <f>IF(AND(E6826&lt;&gt;"",G6826&lt;&gt;""),IF(D6826="",IF(G6826="OH",VLOOKUP(E6826,UPAH!$C$4:$H$31,7,0),VLOOKUP(E6826,#REF!,4,0)),0),0)</f>
        <v>0</v>
      </c>
      <c r="J6826" s="16">
        <f>H6826*I6826</f>
        <v>0</v>
      </c>
    </row>
    <row r="6827" spans="1:10" ht="13.5" thickBot="1">
      <c r="A6827" s="27"/>
      <c r="B6827" s="110"/>
      <c r="D6827" s="417"/>
      <c r="E6827" s="418"/>
      <c r="F6827" s="418"/>
      <c r="G6827" s="419"/>
      <c r="H6827" s="420" t="s">
        <v>67</v>
      </c>
      <c r="I6827" s="421"/>
      <c r="J6827" s="396">
        <f>J6826</f>
        <v>0</v>
      </c>
    </row>
    <row r="6828" spans="1:10" ht="13">
      <c r="A6828" s="27"/>
      <c r="B6828" s="110"/>
      <c r="D6828" s="444" t="s">
        <v>68</v>
      </c>
      <c r="E6828" s="445" t="s">
        <v>69</v>
      </c>
      <c r="F6828" s="446"/>
      <c r="G6828" s="447"/>
      <c r="H6828" s="448"/>
      <c r="I6828" s="449">
        <f>IF(AND(E6828&lt;&gt;"",G6828&lt;&gt;""),IF(D6828="",IF(G6828="OH",VLOOKUP(E6828,UPAH!$C$4:$H$31,7,0),VLOOKUP(E6828,#REF!,4,0)),0),0)</f>
        <v>0</v>
      </c>
      <c r="J6828" s="16">
        <f>SUM(J6817:J6827)/2</f>
        <v>0</v>
      </c>
    </row>
    <row r="6829" spans="1:10" ht="13.5" thickBot="1">
      <c r="A6829" s="27"/>
      <c r="B6829" s="110"/>
      <c r="D6829" s="431" t="s">
        <v>70</v>
      </c>
      <c r="E6829" s="432" t="s">
        <v>477</v>
      </c>
      <c r="F6829" s="433"/>
      <c r="G6829" s="434"/>
      <c r="H6829" s="22">
        <v>0.1</v>
      </c>
      <c r="I6829" s="436"/>
      <c r="J6829" s="430">
        <f>H6829*J6828</f>
        <v>0</v>
      </c>
    </row>
    <row r="6830" spans="1:10" ht="13.5" thickBot="1">
      <c r="A6830" s="27"/>
      <c r="B6830" s="110"/>
      <c r="D6830" s="401" t="s">
        <v>71</v>
      </c>
      <c r="E6830" s="402" t="s">
        <v>72</v>
      </c>
      <c r="F6830" s="418"/>
      <c r="G6830" s="419"/>
      <c r="H6830" s="442"/>
      <c r="I6830" s="421">
        <f>IF(AND(E6830&lt;&gt;"",G6830&lt;&gt;""),IF(D6830="",IF(G6830="OH",VLOOKUP(E6830,UPAH!$C$4:$H$31,7,0),VLOOKUP(E6830,#REF!,4,0)),0),0)</f>
        <v>0</v>
      </c>
      <c r="J6830" s="396">
        <f>ROUNDDOWN(J6828+J6829,0)</f>
        <v>0</v>
      </c>
    </row>
    <row r="6831" spans="1:10" ht="13">
      <c r="A6831" s="27"/>
      <c r="B6831" s="110"/>
      <c r="D6831" s="11"/>
      <c r="E6831" s="11"/>
      <c r="H6831" s="443"/>
    </row>
    <row r="6832" spans="1:10" ht="13.5" thickBot="1">
      <c r="A6832" s="27"/>
      <c r="B6832" s="110"/>
      <c r="C6832" s="11" t="s">
        <v>1229</v>
      </c>
      <c r="D6832" s="10" t="s">
        <v>1230</v>
      </c>
      <c r="H6832" s="443"/>
    </row>
    <row r="6833" spans="1:10" ht="13.5" thickBot="1">
      <c r="A6833" s="27"/>
      <c r="B6833" s="110"/>
      <c r="D6833" s="401" t="s">
        <v>40</v>
      </c>
      <c r="E6833" s="402" t="s">
        <v>41</v>
      </c>
      <c r="F6833" s="402" t="s">
        <v>42</v>
      </c>
      <c r="G6833" s="403" t="s">
        <v>43</v>
      </c>
      <c r="H6833" s="404" t="s">
        <v>44</v>
      </c>
      <c r="I6833" s="402" t="s">
        <v>474</v>
      </c>
      <c r="J6833" s="405" t="s">
        <v>475</v>
      </c>
    </row>
    <row r="6834" spans="1:10" ht="13">
      <c r="A6834" s="27"/>
      <c r="B6834" s="110"/>
      <c r="D6834" s="406" t="s">
        <v>45</v>
      </c>
      <c r="E6834" s="13" t="s">
        <v>46</v>
      </c>
      <c r="F6834" s="14"/>
      <c r="G6834" s="15"/>
      <c r="H6834" s="451"/>
      <c r="I6834" s="412"/>
      <c r="J6834" s="16"/>
    </row>
    <row r="6835" spans="1:10" ht="13">
      <c r="A6835" s="27"/>
      <c r="B6835" s="110"/>
      <c r="D6835" s="406" t="s">
        <v>45</v>
      </c>
      <c r="E6835" s="13" t="s">
        <v>46</v>
      </c>
      <c r="F6835" s="14"/>
      <c r="G6835" s="15"/>
      <c r="H6835" s="451"/>
      <c r="I6835" s="412">
        <f>IF(AND(E6835&lt;&gt;"",G6835&lt;&gt;""),IF(D6835="",IF(G6835="OH",VLOOKUP(E6835,UPAH!$C$4:$H$31,7,0),VLOOKUP(E6835,#REF!,4,0)),0),0)</f>
        <v>0</v>
      </c>
      <c r="J6835" s="16">
        <f>H6835*I6835</f>
        <v>0</v>
      </c>
    </row>
    <row r="6836" spans="1:10" ht="13">
      <c r="A6836" s="27"/>
      <c r="B6836" s="110"/>
      <c r="D6836" s="409"/>
      <c r="E6836" s="13" t="s">
        <v>47</v>
      </c>
      <c r="F6836" s="13" t="s">
        <v>1918</v>
      </c>
      <c r="G6836" s="410" t="s">
        <v>48</v>
      </c>
      <c r="H6836" s="548">
        <v>1.4999999999999999E-2</v>
      </c>
      <c r="I6836" s="412">
        <f>IF(AND(E6836&lt;&gt;"",G6836&lt;&gt;""),IF(D6836="",IF(G6836="OH",VLOOKUP(F6836,UPAH!$B$4:$H$101,7,0),VLOOKUP(F6836,#REF!,4,0)),0),0)</f>
        <v>0</v>
      </c>
      <c r="J6836" s="16">
        <f>H6836*I6836</f>
        <v>0</v>
      </c>
    </row>
    <row r="6837" spans="1:10" ht="13">
      <c r="A6837" s="27"/>
      <c r="B6837" s="110"/>
      <c r="D6837" s="409"/>
      <c r="E6837" s="13" t="s">
        <v>49</v>
      </c>
      <c r="F6837" s="13" t="s">
        <v>1922</v>
      </c>
      <c r="G6837" s="410" t="s">
        <v>48</v>
      </c>
      <c r="H6837" s="548">
        <v>0.15</v>
      </c>
      <c r="I6837" s="412">
        <f>IF(AND(E6837&lt;&gt;"",G6837&lt;&gt;""),IF(D6837="",IF(G6837="OH",VLOOKUP(F6837,UPAH!$B$4:$H$101,7,0),VLOOKUP(F6837,#REF!,4,0)),0),0)</f>
        <v>0</v>
      </c>
      <c r="J6837" s="16">
        <f>H6837*I6837</f>
        <v>0</v>
      </c>
    </row>
    <row r="6838" spans="1:10" ht="13">
      <c r="A6838" s="27"/>
      <c r="B6838" s="110"/>
      <c r="D6838" s="409"/>
      <c r="E6838" s="13" t="s">
        <v>50</v>
      </c>
      <c r="F6838" s="13" t="s">
        <v>1928</v>
      </c>
      <c r="G6838" s="410" t="s">
        <v>48</v>
      </c>
      <c r="H6838" s="548">
        <v>1.4999999999999999E-2</v>
      </c>
      <c r="I6838" s="412">
        <f>IF(AND(E6838&lt;&gt;"",G6838&lt;&gt;""),IF(D6838="",IF(G6838="OH",VLOOKUP(F6838,UPAH!$B$4:$H$101,7,0),VLOOKUP(F6838,#REF!,4,0)),0),0)</f>
        <v>0</v>
      </c>
      <c r="J6838" s="16">
        <f>H6838*I6838</f>
        <v>0</v>
      </c>
    </row>
    <row r="6839" spans="1:10" ht="13.5" thickBot="1">
      <c r="A6839" s="27"/>
      <c r="B6839" s="110"/>
      <c r="D6839" s="409"/>
      <c r="E6839" s="13" t="s">
        <v>51</v>
      </c>
      <c r="F6839" s="13" t="s">
        <v>1929</v>
      </c>
      <c r="G6839" s="410" t="s">
        <v>48</v>
      </c>
      <c r="H6839" s="548">
        <v>8.0000000000000002E-3</v>
      </c>
      <c r="I6839" s="412">
        <f>IF(AND(E6839&lt;&gt;"",G6839&lt;&gt;""),IF(D6839="",IF(G6839="OH",VLOOKUP(F6839,UPAH!$B$4:$H$101,7,0),VLOOKUP(F6839,#REF!,4,0)),0),0)</f>
        <v>0</v>
      </c>
      <c r="J6839" s="16">
        <f>H6839*I6839</f>
        <v>0</v>
      </c>
    </row>
    <row r="6840" spans="1:10" ht="13.5" thickBot="1">
      <c r="A6840" s="27"/>
      <c r="B6840" s="110"/>
      <c r="D6840" s="417"/>
      <c r="E6840" s="418"/>
      <c r="F6840" s="418"/>
      <c r="G6840" s="419"/>
      <c r="H6840" s="420" t="s">
        <v>52</v>
      </c>
      <c r="I6840" s="421"/>
      <c r="J6840" s="396">
        <f>SUM(J6836:J6839)</f>
        <v>0</v>
      </c>
    </row>
    <row r="6841" spans="1:10" ht="13">
      <c r="A6841" s="27"/>
      <c r="B6841" s="110"/>
      <c r="D6841" s="406" t="s">
        <v>53</v>
      </c>
      <c r="E6841" s="13" t="s">
        <v>54</v>
      </c>
      <c r="F6841" s="14"/>
      <c r="G6841" s="15"/>
      <c r="H6841" s="451"/>
      <c r="I6841" s="412"/>
      <c r="J6841" s="16"/>
    </row>
    <row r="6842" spans="1:10" ht="13.5" thickBot="1">
      <c r="A6842" s="27"/>
      <c r="B6842" s="110"/>
      <c r="D6842" s="409"/>
      <c r="E6842" s="13" t="s">
        <v>212</v>
      </c>
      <c r="F6842" s="14"/>
      <c r="G6842" s="410" t="s">
        <v>87</v>
      </c>
      <c r="H6842" s="548">
        <v>1</v>
      </c>
      <c r="I6842" s="412">
        <f>'BAHAN '!G778</f>
        <v>0</v>
      </c>
      <c r="J6842" s="16">
        <f>H6842*I6842</f>
        <v>0</v>
      </c>
    </row>
    <row r="6843" spans="1:10" ht="13.5" thickBot="1">
      <c r="A6843" s="27"/>
      <c r="B6843" s="110"/>
      <c r="D6843" s="417"/>
      <c r="E6843" s="418"/>
      <c r="F6843" s="418"/>
      <c r="G6843" s="419"/>
      <c r="H6843" s="420" t="s">
        <v>64</v>
      </c>
      <c r="I6843" s="421"/>
      <c r="J6843" s="396">
        <f>SUM(J6841:J6842)</f>
        <v>0</v>
      </c>
    </row>
    <row r="6844" spans="1:10" ht="13.5" thickBot="1">
      <c r="A6844" s="27"/>
      <c r="B6844" s="110"/>
      <c r="D6844" s="406" t="s">
        <v>65</v>
      </c>
      <c r="E6844" s="13" t="s">
        <v>66</v>
      </c>
      <c r="F6844" s="14"/>
      <c r="G6844" s="15"/>
      <c r="H6844" s="451"/>
      <c r="I6844" s="412">
        <f>IF(AND(E6844&lt;&gt;"",G6844&lt;&gt;""),IF(D6844="",IF(G6844="OH",VLOOKUP(E6844,UPAH!$C$4:$H$31,7,0),VLOOKUP(E6844,#REF!,4,0)),0),0)</f>
        <v>0</v>
      </c>
      <c r="J6844" s="16">
        <f>H6844*I6844</f>
        <v>0</v>
      </c>
    </row>
    <row r="6845" spans="1:10" ht="13.5" thickBot="1">
      <c r="A6845" s="27"/>
      <c r="B6845" s="110"/>
      <c r="D6845" s="417"/>
      <c r="E6845" s="418"/>
      <c r="F6845" s="418"/>
      <c r="G6845" s="419"/>
      <c r="H6845" s="420" t="s">
        <v>67</v>
      </c>
      <c r="I6845" s="421"/>
      <c r="J6845" s="396">
        <f>J6844</f>
        <v>0</v>
      </c>
    </row>
    <row r="6846" spans="1:10" ht="13">
      <c r="A6846" s="27"/>
      <c r="B6846" s="110"/>
      <c r="D6846" s="444" t="s">
        <v>68</v>
      </c>
      <c r="E6846" s="445" t="s">
        <v>69</v>
      </c>
      <c r="F6846" s="446"/>
      <c r="G6846" s="447"/>
      <c r="H6846" s="448"/>
      <c r="I6846" s="449">
        <f>IF(AND(E6846&lt;&gt;"",G6846&lt;&gt;""),IF(D6846="",IF(G6846="OH",VLOOKUP(E6846,UPAH!$C$4:$H$31,7,0),VLOOKUP(E6846,#REF!,4,0)),0),0)</f>
        <v>0</v>
      </c>
      <c r="J6846" s="16">
        <f>SUM(J6835:J6845)/2</f>
        <v>0</v>
      </c>
    </row>
    <row r="6847" spans="1:10" ht="13.5" thickBot="1">
      <c r="A6847" s="27"/>
      <c r="B6847" s="110"/>
      <c r="D6847" s="431" t="s">
        <v>70</v>
      </c>
      <c r="E6847" s="432" t="s">
        <v>477</v>
      </c>
      <c r="F6847" s="433"/>
      <c r="G6847" s="434"/>
      <c r="H6847" s="22">
        <v>0.1</v>
      </c>
      <c r="I6847" s="436"/>
      <c r="J6847" s="430">
        <f>H6847*J6846</f>
        <v>0</v>
      </c>
    </row>
    <row r="6848" spans="1:10" ht="13.5" thickBot="1">
      <c r="A6848" s="27"/>
      <c r="B6848" s="110"/>
      <c r="D6848" s="401" t="s">
        <v>71</v>
      </c>
      <c r="E6848" s="402" t="s">
        <v>72</v>
      </c>
      <c r="F6848" s="418"/>
      <c r="G6848" s="419"/>
      <c r="H6848" s="442"/>
      <c r="I6848" s="421">
        <f>IF(AND(E6848&lt;&gt;"",G6848&lt;&gt;""),IF(D6848="",IF(G6848="OH",VLOOKUP(E6848,UPAH!$C$4:$H$31,7,0),VLOOKUP(E6848,#REF!,4,0)),0),0)</f>
        <v>0</v>
      </c>
      <c r="J6848" s="396">
        <f>ROUNDDOWN(J6846+J6847,0)</f>
        <v>0</v>
      </c>
    </row>
    <row r="6849" spans="1:10" ht="13">
      <c r="A6849" s="27"/>
      <c r="B6849" s="110"/>
      <c r="D6849" s="11"/>
      <c r="E6849" s="11"/>
      <c r="H6849" s="443"/>
    </row>
    <row r="6850" spans="1:10" ht="13.5" thickBot="1">
      <c r="A6850" s="27"/>
      <c r="B6850" s="110"/>
      <c r="C6850" s="11" t="s">
        <v>1231</v>
      </c>
      <c r="D6850" s="10" t="s">
        <v>1232</v>
      </c>
      <c r="H6850" s="443"/>
    </row>
    <row r="6851" spans="1:10" ht="13.5" thickBot="1">
      <c r="A6851" s="27"/>
      <c r="B6851" s="110"/>
      <c r="D6851" s="401" t="s">
        <v>40</v>
      </c>
      <c r="E6851" s="402" t="s">
        <v>41</v>
      </c>
      <c r="F6851" s="402" t="s">
        <v>42</v>
      </c>
      <c r="G6851" s="403" t="s">
        <v>43</v>
      </c>
      <c r="H6851" s="404" t="s">
        <v>44</v>
      </c>
      <c r="I6851" s="402" t="s">
        <v>474</v>
      </c>
      <c r="J6851" s="405" t="s">
        <v>475</v>
      </c>
    </row>
    <row r="6852" spans="1:10" ht="13">
      <c r="A6852" s="27"/>
      <c r="B6852" s="110"/>
      <c r="D6852" s="406" t="s">
        <v>45</v>
      </c>
      <c r="E6852" s="13" t="s">
        <v>46</v>
      </c>
      <c r="F6852" s="14"/>
      <c r="G6852" s="15"/>
      <c r="H6852" s="451"/>
      <c r="I6852" s="412"/>
      <c r="J6852" s="16"/>
    </row>
    <row r="6853" spans="1:10" ht="13">
      <c r="A6853" s="27"/>
      <c r="B6853" s="110"/>
      <c r="D6853" s="409"/>
      <c r="E6853" s="13" t="s">
        <v>47</v>
      </c>
      <c r="F6853" s="13" t="s">
        <v>1918</v>
      </c>
      <c r="G6853" s="410" t="s">
        <v>48</v>
      </c>
      <c r="H6853" s="548">
        <v>1.4999999999999999E-2</v>
      </c>
      <c r="I6853" s="412">
        <f>IF(AND(E6853&lt;&gt;"",G6853&lt;&gt;""),IF(D6853="",IF(G6853="OH",VLOOKUP(F6853,UPAH!$B$4:$H$101,7,0),VLOOKUP(F6853,#REF!,4,0)),0),0)</f>
        <v>0</v>
      </c>
      <c r="J6853" s="16">
        <f>H6853*I6853</f>
        <v>0</v>
      </c>
    </row>
    <row r="6854" spans="1:10" ht="13">
      <c r="A6854" s="27"/>
      <c r="B6854" s="110"/>
      <c r="D6854" s="409"/>
      <c r="E6854" s="13" t="s">
        <v>49</v>
      </c>
      <c r="F6854" s="13" t="s">
        <v>1922</v>
      </c>
      <c r="G6854" s="410" t="s">
        <v>48</v>
      </c>
      <c r="H6854" s="548">
        <v>0.15</v>
      </c>
      <c r="I6854" s="412">
        <f>IF(AND(E6854&lt;&gt;"",G6854&lt;&gt;""),IF(D6854="",IF(G6854="OH",VLOOKUP(F6854,UPAH!$B$4:$H$101,7,0),VLOOKUP(F6854,#REF!,4,0)),0),0)</f>
        <v>0</v>
      </c>
      <c r="J6854" s="16">
        <f>H6854*I6854</f>
        <v>0</v>
      </c>
    </row>
    <row r="6855" spans="1:10" ht="13">
      <c r="A6855" s="27"/>
      <c r="B6855" s="110"/>
      <c r="D6855" s="409"/>
      <c r="E6855" s="13" t="s">
        <v>50</v>
      </c>
      <c r="F6855" s="13" t="s">
        <v>1928</v>
      </c>
      <c r="G6855" s="410" t="s">
        <v>48</v>
      </c>
      <c r="H6855" s="548">
        <v>1.4999999999999999E-2</v>
      </c>
      <c r="I6855" s="412">
        <f>IF(AND(E6855&lt;&gt;"",G6855&lt;&gt;""),IF(D6855="",IF(G6855="OH",VLOOKUP(F6855,UPAH!$B$4:$H$101,7,0),VLOOKUP(F6855,#REF!,4,0)),0),0)</f>
        <v>0</v>
      </c>
      <c r="J6855" s="16">
        <f>H6855*I6855</f>
        <v>0</v>
      </c>
    </row>
    <row r="6856" spans="1:10" ht="13.5" thickBot="1">
      <c r="A6856" s="27"/>
      <c r="B6856" s="110"/>
      <c r="D6856" s="409"/>
      <c r="E6856" s="13" t="s">
        <v>51</v>
      </c>
      <c r="F6856" s="13" t="s">
        <v>1929</v>
      </c>
      <c r="G6856" s="410" t="s">
        <v>48</v>
      </c>
      <c r="H6856" s="548">
        <v>8.0000000000000002E-3</v>
      </c>
      <c r="I6856" s="412">
        <f>IF(AND(E6856&lt;&gt;"",G6856&lt;&gt;""),IF(D6856="",IF(G6856="OH",VLOOKUP(F6856,UPAH!$B$4:$H$101,7,0),VLOOKUP(F6856,#REF!,4,0)),0),0)</f>
        <v>0</v>
      </c>
      <c r="J6856" s="16">
        <f>H6856*I6856</f>
        <v>0</v>
      </c>
    </row>
    <row r="6857" spans="1:10" ht="13.5" thickBot="1">
      <c r="A6857" s="27"/>
      <c r="B6857" s="110"/>
      <c r="D6857" s="417"/>
      <c r="E6857" s="418"/>
      <c r="F6857" s="418"/>
      <c r="G6857" s="419"/>
      <c r="H6857" s="420" t="s">
        <v>52</v>
      </c>
      <c r="I6857" s="421"/>
      <c r="J6857" s="396">
        <f>SUM(J6853:J6856)</f>
        <v>0</v>
      </c>
    </row>
    <row r="6858" spans="1:10" ht="13">
      <c r="A6858" s="27"/>
      <c r="B6858" s="110"/>
      <c r="D6858" s="406" t="s">
        <v>53</v>
      </c>
      <c r="E6858" s="13" t="s">
        <v>54</v>
      </c>
      <c r="F6858" s="14"/>
      <c r="G6858" s="15"/>
      <c r="H6858" s="451"/>
      <c r="I6858" s="412"/>
      <c r="J6858" s="16"/>
    </row>
    <row r="6859" spans="1:10" ht="13.5" thickBot="1">
      <c r="A6859" s="27"/>
      <c r="B6859" s="110"/>
      <c r="D6859" s="409"/>
      <c r="E6859" s="13" t="s">
        <v>213</v>
      </c>
      <c r="F6859" s="14"/>
      <c r="G6859" s="410" t="s">
        <v>87</v>
      </c>
      <c r="H6859" s="548">
        <v>1</v>
      </c>
      <c r="I6859" s="412">
        <f>'BAHAN '!G776</f>
        <v>0</v>
      </c>
      <c r="J6859" s="16">
        <f>H6859*I6859</f>
        <v>0</v>
      </c>
    </row>
    <row r="6860" spans="1:10" ht="13.5" thickBot="1">
      <c r="A6860" s="27"/>
      <c r="B6860" s="110"/>
      <c r="D6860" s="417"/>
      <c r="E6860" s="418"/>
      <c r="F6860" s="418"/>
      <c r="G6860" s="419"/>
      <c r="H6860" s="420" t="s">
        <v>64</v>
      </c>
      <c r="I6860" s="421"/>
      <c r="J6860" s="396">
        <f>SUM(J6858:J6859)</f>
        <v>0</v>
      </c>
    </row>
    <row r="6861" spans="1:10" ht="13.5" thickBot="1">
      <c r="A6861" s="27"/>
      <c r="B6861" s="110"/>
      <c r="D6861" s="406" t="s">
        <v>65</v>
      </c>
      <c r="E6861" s="13" t="s">
        <v>66</v>
      </c>
      <c r="F6861" s="14"/>
      <c r="G6861" s="15"/>
      <c r="H6861" s="451"/>
      <c r="I6861" s="412">
        <f>IF(AND(E6861&lt;&gt;"",G6861&lt;&gt;""),IF(D6861="",IF(G6861="OH",VLOOKUP(E6861,UPAH!$C$4:$H$31,7,0),VLOOKUP(E6861,#REF!,4,0)),0),0)</f>
        <v>0</v>
      </c>
      <c r="J6861" s="16">
        <f>H6861*I6861</f>
        <v>0</v>
      </c>
    </row>
    <row r="6862" spans="1:10" ht="13.5" thickBot="1">
      <c r="A6862" s="27"/>
      <c r="B6862" s="110"/>
      <c r="D6862" s="417"/>
      <c r="E6862" s="418"/>
      <c r="F6862" s="418"/>
      <c r="G6862" s="419"/>
      <c r="H6862" s="420" t="s">
        <v>67</v>
      </c>
      <c r="I6862" s="421"/>
      <c r="J6862" s="396">
        <f>J6861</f>
        <v>0</v>
      </c>
    </row>
    <row r="6863" spans="1:10" ht="13">
      <c r="A6863" s="27"/>
      <c r="B6863" s="110"/>
      <c r="D6863" s="444" t="s">
        <v>68</v>
      </c>
      <c r="E6863" s="445" t="s">
        <v>69</v>
      </c>
      <c r="F6863" s="446"/>
      <c r="G6863" s="447"/>
      <c r="H6863" s="448"/>
      <c r="I6863" s="449">
        <f>IF(AND(E6863&lt;&gt;"",G6863&lt;&gt;""),IF(D6863="",IF(G6863="OH",VLOOKUP(E6863,UPAH!$C$4:$H$31,7,0),VLOOKUP(E6863,#REF!,4,0)),0),0)</f>
        <v>0</v>
      </c>
      <c r="J6863" s="16">
        <f>SUM(J6852:J6862)/2</f>
        <v>0</v>
      </c>
    </row>
    <row r="6864" spans="1:10" ht="13.5" thickBot="1">
      <c r="A6864" s="27"/>
      <c r="B6864" s="110"/>
      <c r="D6864" s="431" t="s">
        <v>70</v>
      </c>
      <c r="E6864" s="432" t="s">
        <v>477</v>
      </c>
      <c r="F6864" s="433"/>
      <c r="G6864" s="434"/>
      <c r="H6864" s="22">
        <v>0.1</v>
      </c>
      <c r="I6864" s="436"/>
      <c r="J6864" s="430">
        <f>H6864*J6863</f>
        <v>0</v>
      </c>
    </row>
    <row r="6865" spans="1:10" ht="13.5" thickBot="1">
      <c r="A6865" s="27"/>
      <c r="B6865" s="110"/>
      <c r="D6865" s="401" t="s">
        <v>71</v>
      </c>
      <c r="E6865" s="402" t="s">
        <v>72</v>
      </c>
      <c r="F6865" s="418"/>
      <c r="G6865" s="419"/>
      <c r="H6865" s="442"/>
      <c r="I6865" s="421">
        <f>IF(AND(E6865&lt;&gt;"",G6865&lt;&gt;""),IF(D6865="",IF(G6865="OH",VLOOKUP(E6865,UPAH!$C$4:$H$31,7,0),VLOOKUP(E6865,#REF!,4,0)),0),0)</f>
        <v>0</v>
      </c>
      <c r="J6865" s="396">
        <f>ROUNDDOWN(J6863+J6864,0)</f>
        <v>0</v>
      </c>
    </row>
    <row r="6866" spans="1:10" ht="13">
      <c r="A6866" s="27"/>
      <c r="B6866" s="110"/>
      <c r="D6866" s="11"/>
      <c r="E6866" s="11"/>
      <c r="H6866" s="443"/>
    </row>
    <row r="6867" spans="1:10" ht="13.5" thickBot="1">
      <c r="A6867" s="27"/>
      <c r="B6867" s="110"/>
      <c r="C6867" s="11" t="s">
        <v>1233</v>
      </c>
      <c r="D6867" s="10" t="s">
        <v>1234</v>
      </c>
      <c r="H6867" s="443"/>
    </row>
    <row r="6868" spans="1:10" ht="13.5" thickBot="1">
      <c r="A6868" s="27"/>
      <c r="B6868" s="110"/>
      <c r="D6868" s="401" t="s">
        <v>40</v>
      </c>
      <c r="E6868" s="402" t="s">
        <v>41</v>
      </c>
      <c r="F6868" s="402" t="s">
        <v>42</v>
      </c>
      <c r="G6868" s="403" t="s">
        <v>43</v>
      </c>
      <c r="H6868" s="404" t="s">
        <v>44</v>
      </c>
      <c r="I6868" s="402" t="s">
        <v>474</v>
      </c>
      <c r="J6868" s="405" t="s">
        <v>475</v>
      </c>
    </row>
    <row r="6869" spans="1:10" ht="13">
      <c r="A6869" s="27"/>
      <c r="B6869" s="110"/>
      <c r="D6869" s="406" t="s">
        <v>45</v>
      </c>
      <c r="E6869" s="13" t="s">
        <v>46</v>
      </c>
      <c r="F6869" s="14"/>
      <c r="G6869" s="15"/>
      <c r="H6869" s="451"/>
      <c r="I6869" s="412"/>
      <c r="J6869" s="16"/>
    </row>
    <row r="6870" spans="1:10" ht="13">
      <c r="A6870" s="27"/>
      <c r="B6870" s="110"/>
      <c r="D6870" s="409"/>
      <c r="E6870" s="13" t="s">
        <v>47</v>
      </c>
      <c r="F6870" s="13" t="s">
        <v>1918</v>
      </c>
      <c r="G6870" s="410" t="s">
        <v>48</v>
      </c>
      <c r="H6870" s="548">
        <v>0.05</v>
      </c>
      <c r="I6870" s="412">
        <f>IF(AND(E6870&lt;&gt;"",G6870&lt;&gt;""),IF(D6870="",IF(G6870="OH",VLOOKUP(F6870,UPAH!$B$4:$H$101,7,0),VLOOKUP(F6870,#REF!,4,0)),0),0)</f>
        <v>0</v>
      </c>
      <c r="J6870" s="16">
        <f>H6870*I6870</f>
        <v>0</v>
      </c>
    </row>
    <row r="6871" spans="1:10" ht="13">
      <c r="A6871" s="27"/>
      <c r="B6871" s="110"/>
      <c r="D6871" s="409"/>
      <c r="E6871" s="13" t="s">
        <v>49</v>
      </c>
      <c r="F6871" s="13" t="s">
        <v>1922</v>
      </c>
      <c r="G6871" s="410" t="s">
        <v>48</v>
      </c>
      <c r="H6871" s="548">
        <v>0.5</v>
      </c>
      <c r="I6871" s="412">
        <f>IF(AND(E6871&lt;&gt;"",G6871&lt;&gt;""),IF(D6871="",IF(G6871="OH",VLOOKUP(F6871,UPAH!$B$4:$H$101,7,0),VLOOKUP(F6871,#REF!,4,0)),0),0)</f>
        <v>0</v>
      </c>
      <c r="J6871" s="16">
        <f>H6871*I6871</f>
        <v>0</v>
      </c>
    </row>
    <row r="6872" spans="1:10" ht="13">
      <c r="A6872" s="27"/>
      <c r="B6872" s="110"/>
      <c r="D6872" s="409"/>
      <c r="E6872" s="13" t="s">
        <v>50</v>
      </c>
      <c r="F6872" s="13" t="s">
        <v>1928</v>
      </c>
      <c r="G6872" s="410" t="s">
        <v>48</v>
      </c>
      <c r="H6872" s="548">
        <v>0.05</v>
      </c>
      <c r="I6872" s="412">
        <f>IF(AND(E6872&lt;&gt;"",G6872&lt;&gt;""),IF(D6872="",IF(G6872="OH",VLOOKUP(F6872,UPAH!$B$4:$H$101,7,0),VLOOKUP(F6872,#REF!,4,0)),0),0)</f>
        <v>0</v>
      </c>
      <c r="J6872" s="16">
        <f>H6872*I6872</f>
        <v>0</v>
      </c>
    </row>
    <row r="6873" spans="1:10" ht="13.5" thickBot="1">
      <c r="A6873" s="27"/>
      <c r="B6873" s="110"/>
      <c r="D6873" s="409"/>
      <c r="E6873" s="13" t="s">
        <v>51</v>
      </c>
      <c r="F6873" s="13" t="s">
        <v>1929</v>
      </c>
      <c r="G6873" s="410" t="s">
        <v>48</v>
      </c>
      <c r="H6873" s="548">
        <v>3.0000000000000001E-3</v>
      </c>
      <c r="I6873" s="412">
        <f>IF(AND(E6873&lt;&gt;"",G6873&lt;&gt;""),IF(D6873="",IF(G6873="OH",VLOOKUP(F6873,UPAH!$B$4:$H$101,7,0),VLOOKUP(F6873,#REF!,4,0)),0),0)</f>
        <v>0</v>
      </c>
      <c r="J6873" s="16">
        <f>H6873*I6873</f>
        <v>0</v>
      </c>
    </row>
    <row r="6874" spans="1:10" ht="13.5" thickBot="1">
      <c r="A6874" s="27"/>
      <c r="B6874" s="110"/>
      <c r="D6874" s="417"/>
      <c r="E6874" s="418"/>
      <c r="F6874" s="418"/>
      <c r="G6874" s="419"/>
      <c r="H6874" s="420" t="s">
        <v>52</v>
      </c>
      <c r="I6874" s="421"/>
      <c r="J6874" s="396">
        <f>SUM(J6870:J6873)</f>
        <v>0</v>
      </c>
    </row>
    <row r="6875" spans="1:10" ht="13">
      <c r="A6875" s="27"/>
      <c r="B6875" s="110"/>
      <c r="D6875" s="406" t="s">
        <v>53</v>
      </c>
      <c r="E6875" s="13" t="s">
        <v>54</v>
      </c>
      <c r="F6875" s="14"/>
      <c r="G6875" s="15"/>
      <c r="H6875" s="451"/>
      <c r="I6875" s="412"/>
      <c r="J6875" s="16"/>
    </row>
    <row r="6876" spans="1:10" ht="13.5" thickBot="1">
      <c r="A6876" s="27"/>
      <c r="B6876" s="110"/>
      <c r="D6876" s="409"/>
      <c r="E6876" s="13" t="s">
        <v>214</v>
      </c>
      <c r="F6876" s="14"/>
      <c r="G6876" s="410" t="s">
        <v>215</v>
      </c>
      <c r="H6876" s="548">
        <v>1</v>
      </c>
      <c r="I6876" s="412">
        <f>'BAHAN '!G762</f>
        <v>0</v>
      </c>
      <c r="J6876" s="16">
        <f>H6876*I6876</f>
        <v>0</v>
      </c>
    </row>
    <row r="6877" spans="1:10" ht="13.5" thickBot="1">
      <c r="A6877" s="27"/>
      <c r="B6877" s="110"/>
      <c r="D6877" s="417"/>
      <c r="E6877" s="418"/>
      <c r="F6877" s="418"/>
      <c r="G6877" s="419"/>
      <c r="H6877" s="420" t="s">
        <v>64</v>
      </c>
      <c r="I6877" s="421"/>
      <c r="J6877" s="396">
        <f>SUM(J6875:J6876)</f>
        <v>0</v>
      </c>
    </row>
    <row r="6878" spans="1:10" ht="13.5" thickBot="1">
      <c r="A6878" s="27"/>
      <c r="B6878" s="110"/>
      <c r="D6878" s="406" t="s">
        <v>65</v>
      </c>
      <c r="E6878" s="13" t="s">
        <v>66</v>
      </c>
      <c r="F6878" s="14"/>
      <c r="G6878" s="15"/>
      <c r="H6878" s="451"/>
      <c r="I6878" s="412">
        <f>IF(AND(E6878&lt;&gt;"",G6878&lt;&gt;""),IF(D6878="",IF(G6878="OH",VLOOKUP(E6878,UPAH!$C$4:$H$31,7,0),VLOOKUP(E6878,#REF!,4,0)),0),0)</f>
        <v>0</v>
      </c>
      <c r="J6878" s="16">
        <f>H6878*I6878</f>
        <v>0</v>
      </c>
    </row>
    <row r="6879" spans="1:10" ht="13.5" thickBot="1">
      <c r="A6879" s="27"/>
      <c r="B6879" s="110"/>
      <c r="D6879" s="417"/>
      <c r="E6879" s="418"/>
      <c r="F6879" s="418"/>
      <c r="G6879" s="419"/>
      <c r="H6879" s="420" t="s">
        <v>67</v>
      </c>
      <c r="I6879" s="421"/>
      <c r="J6879" s="396">
        <f>J6878</f>
        <v>0</v>
      </c>
    </row>
    <row r="6880" spans="1:10" ht="13">
      <c r="A6880" s="27"/>
      <c r="B6880" s="110"/>
      <c r="D6880" s="444" t="s">
        <v>68</v>
      </c>
      <c r="E6880" s="445" t="s">
        <v>69</v>
      </c>
      <c r="F6880" s="446"/>
      <c r="G6880" s="447"/>
      <c r="H6880" s="448"/>
      <c r="I6880" s="449">
        <f>IF(AND(E6880&lt;&gt;"",G6880&lt;&gt;""),IF(D6880="",IF(G6880="OH",VLOOKUP(E6880,UPAH!$C$4:$H$31,7,0),VLOOKUP(E6880,#REF!,4,0)),0),0)</f>
        <v>0</v>
      </c>
      <c r="J6880" s="16">
        <f>SUM(J6869:J6879)/2</f>
        <v>0</v>
      </c>
    </row>
    <row r="6881" spans="1:10" ht="13.5" thickBot="1">
      <c r="A6881" s="27"/>
      <c r="B6881" s="110"/>
      <c r="D6881" s="431" t="s">
        <v>70</v>
      </c>
      <c r="E6881" s="432" t="s">
        <v>477</v>
      </c>
      <c r="F6881" s="433"/>
      <c r="G6881" s="434"/>
      <c r="H6881" s="22">
        <v>0.1</v>
      </c>
      <c r="I6881" s="436"/>
      <c r="J6881" s="430">
        <f>H6881*J6880</f>
        <v>0</v>
      </c>
    </row>
    <row r="6882" spans="1:10" ht="13.5" thickBot="1">
      <c r="A6882" s="27"/>
      <c r="B6882" s="110"/>
      <c r="D6882" s="401" t="s">
        <v>71</v>
      </c>
      <c r="E6882" s="402" t="s">
        <v>72</v>
      </c>
      <c r="F6882" s="418"/>
      <c r="G6882" s="419"/>
      <c r="H6882" s="442"/>
      <c r="I6882" s="421">
        <f>IF(AND(E6882&lt;&gt;"",G6882&lt;&gt;""),IF(D6882="",IF(G6882="OH",VLOOKUP(E6882,UPAH!$C$4:$H$31,7,0),VLOOKUP(E6882,#REF!,4,0)),0),0)</f>
        <v>0</v>
      </c>
      <c r="J6882" s="396">
        <f>ROUNDDOWN(J6880+J6881,0)</f>
        <v>0</v>
      </c>
    </row>
    <row r="6883" spans="1:10" ht="13">
      <c r="A6883" s="27"/>
      <c r="B6883" s="110"/>
      <c r="D6883" s="11"/>
      <c r="E6883" s="11"/>
      <c r="H6883" s="443"/>
    </row>
    <row r="6884" spans="1:10" ht="13.5" thickBot="1">
      <c r="A6884" s="27"/>
      <c r="B6884" s="110"/>
      <c r="C6884" s="11" t="s">
        <v>1235</v>
      </c>
      <c r="D6884" s="10" t="s">
        <v>1236</v>
      </c>
      <c r="H6884" s="443"/>
    </row>
    <row r="6885" spans="1:10" ht="13.5" thickBot="1">
      <c r="A6885" s="27"/>
      <c r="B6885" s="110"/>
      <c r="D6885" s="401" t="s">
        <v>40</v>
      </c>
      <c r="E6885" s="402" t="s">
        <v>41</v>
      </c>
      <c r="F6885" s="402" t="s">
        <v>42</v>
      </c>
      <c r="G6885" s="403" t="s">
        <v>43</v>
      </c>
      <c r="H6885" s="404" t="s">
        <v>44</v>
      </c>
      <c r="I6885" s="402" t="s">
        <v>474</v>
      </c>
      <c r="J6885" s="405" t="s">
        <v>475</v>
      </c>
    </row>
    <row r="6886" spans="1:10" ht="13">
      <c r="A6886" s="27"/>
      <c r="B6886" s="110"/>
      <c r="D6886" s="406" t="s">
        <v>45</v>
      </c>
      <c r="E6886" s="13" t="s">
        <v>46</v>
      </c>
      <c r="F6886" s="14"/>
      <c r="G6886" s="15"/>
      <c r="H6886" s="451"/>
      <c r="I6886" s="412"/>
      <c r="J6886" s="16"/>
    </row>
    <row r="6887" spans="1:10" ht="13">
      <c r="A6887" s="27"/>
      <c r="B6887" s="110"/>
      <c r="D6887" s="409"/>
      <c r="E6887" s="13" t="s">
        <v>47</v>
      </c>
      <c r="F6887" s="13" t="s">
        <v>1918</v>
      </c>
      <c r="G6887" s="410" t="s">
        <v>48</v>
      </c>
      <c r="H6887" s="548">
        <v>0.02</v>
      </c>
      <c r="I6887" s="412">
        <f>IF(AND(E6887&lt;&gt;"",G6887&lt;&gt;""),IF(D6887="",IF(G6887="OH",VLOOKUP(F6887,UPAH!$B$4:$H$101,7,0),VLOOKUP(F6887,#REF!,4,0)),0),0)</f>
        <v>0</v>
      </c>
      <c r="J6887" s="16">
        <f>H6887*I6887</f>
        <v>0</v>
      </c>
    </row>
    <row r="6888" spans="1:10" ht="13">
      <c r="A6888" s="27"/>
      <c r="B6888" s="110"/>
      <c r="D6888" s="409"/>
      <c r="E6888" s="13" t="s">
        <v>49</v>
      </c>
      <c r="F6888" s="13" t="s">
        <v>1922</v>
      </c>
      <c r="G6888" s="410" t="s">
        <v>48</v>
      </c>
      <c r="H6888" s="548">
        <v>0.2</v>
      </c>
      <c r="I6888" s="412">
        <f>IF(AND(E6888&lt;&gt;"",G6888&lt;&gt;""),IF(D6888="",IF(G6888="OH",VLOOKUP(F6888,UPAH!$B$4:$H$101,7,0),VLOOKUP(F6888,#REF!,4,0)),0),0)</f>
        <v>0</v>
      </c>
      <c r="J6888" s="16">
        <f>H6888*I6888</f>
        <v>0</v>
      </c>
    </row>
    <row r="6889" spans="1:10" ht="13">
      <c r="A6889" s="27"/>
      <c r="B6889" s="110"/>
      <c r="D6889" s="409"/>
      <c r="E6889" s="13" t="s">
        <v>50</v>
      </c>
      <c r="F6889" s="13" t="s">
        <v>1928</v>
      </c>
      <c r="G6889" s="410" t="s">
        <v>48</v>
      </c>
      <c r="H6889" s="548">
        <v>0.02</v>
      </c>
      <c r="I6889" s="412">
        <f>IF(AND(E6889&lt;&gt;"",G6889&lt;&gt;""),IF(D6889="",IF(G6889="OH",VLOOKUP(F6889,UPAH!$B$4:$H$101,7,0),VLOOKUP(F6889,#REF!,4,0)),0),0)</f>
        <v>0</v>
      </c>
      <c r="J6889" s="16">
        <f>H6889*I6889</f>
        <v>0</v>
      </c>
    </row>
    <row r="6890" spans="1:10" ht="13.5" thickBot="1">
      <c r="A6890" s="27"/>
      <c r="B6890" s="110"/>
      <c r="D6890" s="409"/>
      <c r="E6890" s="13" t="s">
        <v>51</v>
      </c>
      <c r="F6890" s="13" t="s">
        <v>1929</v>
      </c>
      <c r="G6890" s="410" t="s">
        <v>48</v>
      </c>
      <c r="H6890" s="548">
        <v>1E-3</v>
      </c>
      <c r="I6890" s="412">
        <f>IF(AND(E6890&lt;&gt;"",G6890&lt;&gt;""),IF(D6890="",IF(G6890="OH",VLOOKUP(F6890,UPAH!$B$4:$H$101,7,0),VLOOKUP(F6890,#REF!,4,0)),0),0)</f>
        <v>0</v>
      </c>
      <c r="J6890" s="16">
        <f>H6890*I6890</f>
        <v>0</v>
      </c>
    </row>
    <row r="6891" spans="1:10" ht="13.5" thickBot="1">
      <c r="A6891" s="27"/>
      <c r="B6891" s="110"/>
      <c r="D6891" s="417"/>
      <c r="E6891" s="418"/>
      <c r="F6891" s="418"/>
      <c r="G6891" s="419"/>
      <c r="H6891" s="420" t="s">
        <v>52</v>
      </c>
      <c r="I6891" s="421"/>
      <c r="J6891" s="396">
        <f>SUM(J6887:J6890)</f>
        <v>0</v>
      </c>
    </row>
    <row r="6892" spans="1:10" ht="13">
      <c r="A6892" s="27"/>
      <c r="B6892" s="110"/>
      <c r="D6892" s="406" t="s">
        <v>53</v>
      </c>
      <c r="E6892" s="13" t="s">
        <v>54</v>
      </c>
      <c r="F6892" s="14"/>
      <c r="G6892" s="15"/>
      <c r="H6892" s="451"/>
      <c r="I6892" s="412"/>
      <c r="J6892" s="16"/>
    </row>
    <row r="6893" spans="1:10" ht="13.5" thickBot="1">
      <c r="A6893" s="27"/>
      <c r="B6893" s="110"/>
      <c r="D6893" s="409"/>
      <c r="E6893" s="13" t="s">
        <v>216</v>
      </c>
      <c r="F6893" s="14"/>
      <c r="G6893" s="410" t="s">
        <v>87</v>
      </c>
      <c r="H6893" s="548">
        <v>1</v>
      </c>
      <c r="I6893" s="412">
        <f>'BAHAN '!G781</f>
        <v>0</v>
      </c>
      <c r="J6893" s="16">
        <f>H6893*I6893</f>
        <v>0</v>
      </c>
    </row>
    <row r="6894" spans="1:10" ht="13.5" thickBot="1">
      <c r="A6894" s="27"/>
      <c r="B6894" s="110"/>
      <c r="D6894" s="417"/>
      <c r="E6894" s="418"/>
      <c r="F6894" s="418"/>
      <c r="G6894" s="419"/>
      <c r="H6894" s="420" t="s">
        <v>64</v>
      </c>
      <c r="I6894" s="421"/>
      <c r="J6894" s="396">
        <f>SUM(J6892:J6893)</f>
        <v>0</v>
      </c>
    </row>
    <row r="6895" spans="1:10" ht="13.5" thickBot="1">
      <c r="A6895" s="27"/>
      <c r="B6895" s="110"/>
      <c r="D6895" s="406" t="s">
        <v>65</v>
      </c>
      <c r="E6895" s="13" t="s">
        <v>66</v>
      </c>
      <c r="F6895" s="14"/>
      <c r="G6895" s="15"/>
      <c r="H6895" s="451"/>
      <c r="I6895" s="412">
        <f>IF(AND(E6895&lt;&gt;"",G6895&lt;&gt;""),IF(D6895="",IF(G6895="OH",VLOOKUP(E6895,UPAH!$C$4:$H$31,7,0),VLOOKUP(E6895,#REF!,4,0)),0),0)</f>
        <v>0</v>
      </c>
      <c r="J6895" s="16">
        <f>H6895*I6895</f>
        <v>0</v>
      </c>
    </row>
    <row r="6896" spans="1:10" ht="13.5" thickBot="1">
      <c r="A6896" s="27"/>
      <c r="B6896" s="110"/>
      <c r="D6896" s="417"/>
      <c r="E6896" s="418"/>
      <c r="F6896" s="418"/>
      <c r="G6896" s="419"/>
      <c r="H6896" s="420" t="s">
        <v>67</v>
      </c>
      <c r="I6896" s="421"/>
      <c r="J6896" s="396">
        <f>J6895</f>
        <v>0</v>
      </c>
    </row>
    <row r="6897" spans="1:10" ht="13">
      <c r="A6897" s="27"/>
      <c r="B6897" s="110"/>
      <c r="D6897" s="444" t="s">
        <v>68</v>
      </c>
      <c r="E6897" s="445" t="s">
        <v>69</v>
      </c>
      <c r="F6897" s="446"/>
      <c r="G6897" s="447"/>
      <c r="H6897" s="448"/>
      <c r="I6897" s="449">
        <f>IF(AND(E6897&lt;&gt;"",G6897&lt;&gt;""),IF(D6897="",IF(G6897="OH",VLOOKUP(E6897,UPAH!$C$4:$H$31,7,0),VLOOKUP(E6897,#REF!,4,0)),0),0)</f>
        <v>0</v>
      </c>
      <c r="J6897" s="16">
        <f>SUM(J6886:J6896)/2</f>
        <v>0</v>
      </c>
    </row>
    <row r="6898" spans="1:10" ht="13.5" thickBot="1">
      <c r="A6898" s="27"/>
      <c r="B6898" s="110"/>
      <c r="D6898" s="431" t="s">
        <v>70</v>
      </c>
      <c r="E6898" s="432" t="s">
        <v>477</v>
      </c>
      <c r="F6898" s="433"/>
      <c r="G6898" s="434"/>
      <c r="H6898" s="22">
        <v>0.1</v>
      </c>
      <c r="I6898" s="436"/>
      <c r="J6898" s="430">
        <f>H6898*J6897</f>
        <v>0</v>
      </c>
    </row>
    <row r="6899" spans="1:10" ht="13.5" thickBot="1">
      <c r="A6899" s="27"/>
      <c r="B6899" s="110"/>
      <c r="D6899" s="401" t="s">
        <v>71</v>
      </c>
      <c r="E6899" s="402" t="s">
        <v>72</v>
      </c>
      <c r="F6899" s="418"/>
      <c r="G6899" s="419"/>
      <c r="H6899" s="442"/>
      <c r="I6899" s="421">
        <f>IF(AND(E6899&lt;&gt;"",G6899&lt;&gt;""),IF(D6899="",IF(G6899="OH",VLOOKUP(E6899,UPAH!$C$4:$H$31,7,0),VLOOKUP(E6899,#REF!,4,0)),0),0)</f>
        <v>0</v>
      </c>
      <c r="J6899" s="396">
        <f>ROUNDDOWN(J6897+J6898,0)</f>
        <v>0</v>
      </c>
    </row>
    <row r="6900" spans="1:10" ht="13">
      <c r="A6900" s="27"/>
      <c r="B6900" s="110"/>
      <c r="D6900" s="11"/>
      <c r="E6900" s="11"/>
      <c r="H6900" s="443"/>
    </row>
    <row r="6901" spans="1:10" ht="13.5" thickBot="1">
      <c r="A6901" s="27"/>
      <c r="B6901" s="110"/>
      <c r="C6901" s="11" t="s">
        <v>1237</v>
      </c>
      <c r="D6901" s="10" t="s">
        <v>1238</v>
      </c>
      <c r="H6901" s="443"/>
    </row>
    <row r="6902" spans="1:10" ht="13.5" thickBot="1">
      <c r="A6902" s="27"/>
      <c r="B6902" s="110"/>
      <c r="D6902" s="401" t="s">
        <v>40</v>
      </c>
      <c r="E6902" s="402" t="s">
        <v>41</v>
      </c>
      <c r="F6902" s="402" t="s">
        <v>42</v>
      </c>
      <c r="G6902" s="403" t="s">
        <v>43</v>
      </c>
      <c r="H6902" s="404" t="s">
        <v>44</v>
      </c>
      <c r="I6902" s="402" t="s">
        <v>474</v>
      </c>
      <c r="J6902" s="405" t="s">
        <v>475</v>
      </c>
    </row>
    <row r="6903" spans="1:10" ht="13">
      <c r="A6903" s="27"/>
      <c r="B6903" s="110"/>
      <c r="D6903" s="406" t="s">
        <v>45</v>
      </c>
      <c r="E6903" s="13" t="s">
        <v>46</v>
      </c>
      <c r="F6903" s="14"/>
      <c r="G6903" s="15"/>
      <c r="H6903" s="451"/>
      <c r="I6903" s="412"/>
      <c r="J6903" s="16"/>
    </row>
    <row r="6904" spans="1:10" ht="13">
      <c r="A6904" s="27"/>
      <c r="B6904" s="110"/>
      <c r="D6904" s="409"/>
      <c r="E6904" s="13" t="s">
        <v>47</v>
      </c>
      <c r="F6904" s="13" t="s">
        <v>1918</v>
      </c>
      <c r="G6904" s="410" t="s">
        <v>48</v>
      </c>
      <c r="H6904" s="548">
        <v>0.05</v>
      </c>
      <c r="I6904" s="412">
        <f>IF(AND(E6904&lt;&gt;"",G6904&lt;&gt;""),IF(D6904="",IF(G6904="OH",VLOOKUP(F6904,UPAH!$B$4:$H$101,7,0),VLOOKUP(F6904,#REF!,4,0)),0),0)</f>
        <v>0</v>
      </c>
      <c r="J6904" s="16">
        <f>H6904*I6904</f>
        <v>0</v>
      </c>
    </row>
    <row r="6905" spans="1:10" ht="13">
      <c r="A6905" s="27"/>
      <c r="B6905" s="110"/>
      <c r="D6905" s="409"/>
      <c r="E6905" s="13" t="s">
        <v>49</v>
      </c>
      <c r="F6905" s="13" t="s">
        <v>1922</v>
      </c>
      <c r="G6905" s="410" t="s">
        <v>48</v>
      </c>
      <c r="H6905" s="548">
        <v>0.5</v>
      </c>
      <c r="I6905" s="412">
        <f>IF(AND(E6905&lt;&gt;"",G6905&lt;&gt;""),IF(D6905="",IF(G6905="OH",VLOOKUP(F6905,UPAH!$B$4:$H$101,7,0),VLOOKUP(F6905,#REF!,4,0)),0),0)</f>
        <v>0</v>
      </c>
      <c r="J6905" s="16">
        <f>H6905*I6905</f>
        <v>0</v>
      </c>
    </row>
    <row r="6906" spans="1:10" ht="13">
      <c r="A6906" s="27"/>
      <c r="B6906" s="110"/>
      <c r="D6906" s="409"/>
      <c r="E6906" s="13" t="s">
        <v>50</v>
      </c>
      <c r="F6906" s="13" t="s">
        <v>1928</v>
      </c>
      <c r="G6906" s="410" t="s">
        <v>48</v>
      </c>
      <c r="H6906" s="548">
        <v>0.05</v>
      </c>
      <c r="I6906" s="412">
        <f>IF(AND(E6906&lt;&gt;"",G6906&lt;&gt;""),IF(D6906="",IF(G6906="OH",VLOOKUP(F6906,UPAH!$B$4:$H$101,7,0),VLOOKUP(F6906,#REF!,4,0)),0),0)</f>
        <v>0</v>
      </c>
      <c r="J6906" s="16">
        <f>H6906*I6906</f>
        <v>0</v>
      </c>
    </row>
    <row r="6907" spans="1:10" ht="13.5" thickBot="1">
      <c r="A6907" s="27"/>
      <c r="B6907" s="110"/>
      <c r="D6907" s="409"/>
      <c r="E6907" s="13" t="s">
        <v>51</v>
      </c>
      <c r="F6907" s="13" t="s">
        <v>1929</v>
      </c>
      <c r="G6907" s="410" t="s">
        <v>48</v>
      </c>
      <c r="H6907" s="548">
        <v>3.0000000000000001E-3</v>
      </c>
      <c r="I6907" s="412">
        <f>IF(AND(E6907&lt;&gt;"",G6907&lt;&gt;""),IF(D6907="",IF(G6907="OH",VLOOKUP(F6907,UPAH!$B$4:$H$101,7,0),VLOOKUP(F6907,#REF!,4,0)),0),0)</f>
        <v>0</v>
      </c>
      <c r="J6907" s="16">
        <f>H6907*I6907</f>
        <v>0</v>
      </c>
    </row>
    <row r="6908" spans="1:10" ht="13.5" thickBot="1">
      <c r="A6908" s="27"/>
      <c r="B6908" s="110"/>
      <c r="D6908" s="417"/>
      <c r="E6908" s="418"/>
      <c r="F6908" s="418"/>
      <c r="G6908" s="419"/>
      <c r="H6908" s="420" t="s">
        <v>52</v>
      </c>
      <c r="I6908" s="421"/>
      <c r="J6908" s="396">
        <f>SUM(J6904:J6907)</f>
        <v>0</v>
      </c>
    </row>
    <row r="6909" spans="1:10" ht="13">
      <c r="A6909" s="27"/>
      <c r="B6909" s="110"/>
      <c r="D6909" s="406" t="s">
        <v>53</v>
      </c>
      <c r="E6909" s="13" t="s">
        <v>54</v>
      </c>
      <c r="F6909" s="14"/>
      <c r="G6909" s="15"/>
      <c r="H6909" s="451"/>
      <c r="I6909" s="412"/>
      <c r="J6909" s="16"/>
    </row>
    <row r="6910" spans="1:10" ht="13.5" thickBot="1">
      <c r="A6910" s="27"/>
      <c r="B6910" s="110"/>
      <c r="D6910" s="409"/>
      <c r="E6910" s="13" t="s">
        <v>217</v>
      </c>
      <c r="F6910" s="14"/>
      <c r="G6910" s="410" t="s">
        <v>87</v>
      </c>
      <c r="H6910" s="548">
        <v>1</v>
      </c>
      <c r="I6910" s="412">
        <f>'BAHAN '!G763</f>
        <v>0</v>
      </c>
      <c r="J6910" s="16">
        <f>H6910*I6910</f>
        <v>0</v>
      </c>
    </row>
    <row r="6911" spans="1:10" ht="13.5" thickBot="1">
      <c r="A6911" s="27"/>
      <c r="B6911" s="110"/>
      <c r="D6911" s="417"/>
      <c r="E6911" s="418"/>
      <c r="F6911" s="418"/>
      <c r="G6911" s="419"/>
      <c r="H6911" s="420" t="s">
        <v>64</v>
      </c>
      <c r="I6911" s="421"/>
      <c r="J6911" s="396">
        <f>SUM(J6909:J6910)</f>
        <v>0</v>
      </c>
    </row>
    <row r="6912" spans="1:10" ht="13.5" thickBot="1">
      <c r="A6912" s="27"/>
      <c r="B6912" s="110"/>
      <c r="D6912" s="406" t="s">
        <v>65</v>
      </c>
      <c r="E6912" s="13" t="s">
        <v>66</v>
      </c>
      <c r="F6912" s="14"/>
      <c r="G6912" s="15"/>
      <c r="H6912" s="451"/>
      <c r="I6912" s="412">
        <f>IF(AND(E6912&lt;&gt;"",G6912&lt;&gt;""),IF(D6912="",IF(G6912="OH",VLOOKUP(E6912,UPAH!$C$4:$H$31,7,0),VLOOKUP(E6912,#REF!,4,0)),0),0)</f>
        <v>0</v>
      </c>
      <c r="J6912" s="16">
        <f>H6912*I6912</f>
        <v>0</v>
      </c>
    </row>
    <row r="6913" spans="1:10" ht="13.5" thickBot="1">
      <c r="A6913" s="27"/>
      <c r="B6913" s="110"/>
      <c r="D6913" s="417"/>
      <c r="E6913" s="418"/>
      <c r="F6913" s="418"/>
      <c r="G6913" s="419"/>
      <c r="H6913" s="420" t="s">
        <v>67</v>
      </c>
      <c r="I6913" s="421"/>
      <c r="J6913" s="396">
        <f>J6912</f>
        <v>0</v>
      </c>
    </row>
    <row r="6914" spans="1:10" ht="13">
      <c r="A6914" s="27"/>
      <c r="B6914" s="110"/>
      <c r="D6914" s="444" t="s">
        <v>68</v>
      </c>
      <c r="E6914" s="445" t="s">
        <v>69</v>
      </c>
      <c r="F6914" s="446"/>
      <c r="G6914" s="447"/>
      <c r="H6914" s="448"/>
      <c r="I6914" s="449">
        <f>IF(AND(E6914&lt;&gt;"",G6914&lt;&gt;""),IF(D6914="",IF(G6914="OH",VLOOKUP(E6914,UPAH!$C$4:$H$31,7,0),VLOOKUP(E6914,#REF!,4,0)),0),0)</f>
        <v>0</v>
      </c>
      <c r="J6914" s="16">
        <f>SUM(J6903:J6913)/2</f>
        <v>0</v>
      </c>
    </row>
    <row r="6915" spans="1:10" ht="13.5" thickBot="1">
      <c r="A6915" s="27"/>
      <c r="B6915" s="110"/>
      <c r="D6915" s="431" t="s">
        <v>70</v>
      </c>
      <c r="E6915" s="432" t="s">
        <v>477</v>
      </c>
      <c r="F6915" s="433"/>
      <c r="G6915" s="434"/>
      <c r="H6915" s="22">
        <v>0.1</v>
      </c>
      <c r="I6915" s="436"/>
      <c r="J6915" s="430">
        <f>H6915*J6914</f>
        <v>0</v>
      </c>
    </row>
    <row r="6916" spans="1:10" ht="13.5" thickBot="1">
      <c r="A6916" s="27"/>
      <c r="B6916" s="110"/>
      <c r="D6916" s="401" t="s">
        <v>71</v>
      </c>
      <c r="E6916" s="402" t="s">
        <v>72</v>
      </c>
      <c r="F6916" s="418"/>
      <c r="G6916" s="419"/>
      <c r="H6916" s="442"/>
      <c r="I6916" s="421">
        <f>IF(AND(E6916&lt;&gt;"",G6916&lt;&gt;""),IF(D6916="",IF(G6916="OH",VLOOKUP(E6916,UPAH!$C$4:$H$31,7,0),VLOOKUP(E6916,#REF!,4,0)),0),0)</f>
        <v>0</v>
      </c>
      <c r="J6916" s="396">
        <f>ROUNDDOWN(J6914+J6915,0)</f>
        <v>0</v>
      </c>
    </row>
    <row r="6917" spans="1:10" ht="13">
      <c r="A6917" s="27"/>
      <c r="B6917" s="110"/>
      <c r="D6917" s="11"/>
      <c r="E6917" s="11"/>
      <c r="H6917" s="443"/>
    </row>
    <row r="6918" spans="1:10" ht="13.5" thickBot="1">
      <c r="A6918" s="27"/>
      <c r="B6918" s="110"/>
      <c r="C6918" s="11" t="s">
        <v>1239</v>
      </c>
      <c r="D6918" s="10" t="s">
        <v>1240</v>
      </c>
      <c r="H6918" s="443"/>
    </row>
    <row r="6919" spans="1:10" ht="13.5" thickBot="1">
      <c r="A6919" s="27"/>
      <c r="B6919" s="110"/>
      <c r="D6919" s="401" t="s">
        <v>40</v>
      </c>
      <c r="E6919" s="402" t="s">
        <v>41</v>
      </c>
      <c r="F6919" s="402" t="s">
        <v>42</v>
      </c>
      <c r="G6919" s="403" t="s">
        <v>43</v>
      </c>
      <c r="H6919" s="404" t="s">
        <v>44</v>
      </c>
      <c r="I6919" s="402" t="s">
        <v>474</v>
      </c>
      <c r="J6919" s="405" t="s">
        <v>475</v>
      </c>
    </row>
    <row r="6920" spans="1:10" ht="13">
      <c r="A6920" s="27"/>
      <c r="B6920" s="110"/>
      <c r="D6920" s="406" t="s">
        <v>45</v>
      </c>
      <c r="E6920" s="13" t="s">
        <v>46</v>
      </c>
      <c r="F6920" s="14"/>
      <c r="G6920" s="15"/>
      <c r="H6920" s="451"/>
      <c r="I6920" s="412"/>
      <c r="J6920" s="16"/>
    </row>
    <row r="6921" spans="1:10" ht="13">
      <c r="A6921" s="27"/>
      <c r="B6921" s="110"/>
      <c r="D6921" s="409"/>
      <c r="E6921" s="13" t="s">
        <v>47</v>
      </c>
      <c r="F6921" s="13" t="s">
        <v>1918</v>
      </c>
      <c r="G6921" s="410" t="s">
        <v>48</v>
      </c>
      <c r="H6921" s="548">
        <v>0.01</v>
      </c>
      <c r="I6921" s="412">
        <f>IF(AND(E6921&lt;&gt;"",G6921&lt;&gt;""),IF(D6921="",IF(G6921="OH",VLOOKUP(F6921,UPAH!$B$4:$H$101,7,0),VLOOKUP(F6921,#REF!,4,0)),0),0)</f>
        <v>0</v>
      </c>
      <c r="J6921" s="16">
        <f>H6921*I6921</f>
        <v>0</v>
      </c>
    </row>
    <row r="6922" spans="1:10" ht="13">
      <c r="A6922" s="27"/>
      <c r="B6922" s="110"/>
      <c r="D6922" s="409"/>
      <c r="E6922" s="13" t="s">
        <v>49</v>
      </c>
      <c r="F6922" s="13" t="s">
        <v>1922</v>
      </c>
      <c r="G6922" s="410" t="s">
        <v>48</v>
      </c>
      <c r="H6922" s="548">
        <v>0.1</v>
      </c>
      <c r="I6922" s="412">
        <f>IF(AND(E6922&lt;&gt;"",G6922&lt;&gt;""),IF(D6922="",IF(G6922="OH",VLOOKUP(F6922,UPAH!$B$4:$H$101,7,0),VLOOKUP(F6922,#REF!,4,0)),0),0)</f>
        <v>0</v>
      </c>
      <c r="J6922" s="16">
        <f>H6922*I6922</f>
        <v>0</v>
      </c>
    </row>
    <row r="6923" spans="1:10" ht="13">
      <c r="A6923" s="27"/>
      <c r="B6923" s="110"/>
      <c r="D6923" s="409"/>
      <c r="E6923" s="13" t="s">
        <v>50</v>
      </c>
      <c r="F6923" s="13" t="s">
        <v>1928</v>
      </c>
      <c r="G6923" s="410" t="s">
        <v>48</v>
      </c>
      <c r="H6923" s="548">
        <v>0.01</v>
      </c>
      <c r="I6923" s="412">
        <f>IF(AND(E6923&lt;&gt;"",G6923&lt;&gt;""),IF(D6923="",IF(G6923="OH",VLOOKUP(F6923,UPAH!$B$4:$H$101,7,0),VLOOKUP(F6923,#REF!,4,0)),0),0)</f>
        <v>0</v>
      </c>
      <c r="J6923" s="16">
        <f>H6923*I6923</f>
        <v>0</v>
      </c>
    </row>
    <row r="6924" spans="1:10" ht="13.5" thickBot="1">
      <c r="A6924" s="27"/>
      <c r="B6924" s="110"/>
      <c r="D6924" s="409"/>
      <c r="E6924" s="13" t="s">
        <v>51</v>
      </c>
      <c r="F6924" s="13" t="s">
        <v>1929</v>
      </c>
      <c r="G6924" s="410" t="s">
        <v>48</v>
      </c>
      <c r="H6924" s="548">
        <v>5.0000000000000001E-3</v>
      </c>
      <c r="I6924" s="412">
        <f>IF(AND(E6924&lt;&gt;"",G6924&lt;&gt;""),IF(D6924="",IF(G6924="OH",VLOOKUP(F6924,UPAH!$B$4:$H$101,7,0),VLOOKUP(F6924,#REF!,4,0)),0),0)</f>
        <v>0</v>
      </c>
      <c r="J6924" s="16">
        <f>H6924*I6924</f>
        <v>0</v>
      </c>
    </row>
    <row r="6925" spans="1:10" ht="13.5" thickBot="1">
      <c r="A6925" s="27"/>
      <c r="B6925" s="110"/>
      <c r="D6925" s="417"/>
      <c r="E6925" s="418"/>
      <c r="F6925" s="418"/>
      <c r="G6925" s="419"/>
      <c r="H6925" s="420" t="s">
        <v>52</v>
      </c>
      <c r="I6925" s="421"/>
      <c r="J6925" s="396">
        <f>SUM(J6921:J6924)</f>
        <v>0</v>
      </c>
    </row>
    <row r="6926" spans="1:10" ht="13">
      <c r="A6926" s="27"/>
      <c r="B6926" s="110"/>
      <c r="D6926" s="406" t="s">
        <v>53</v>
      </c>
      <c r="E6926" s="13" t="s">
        <v>54</v>
      </c>
      <c r="F6926" s="14"/>
      <c r="G6926" s="15"/>
      <c r="H6926" s="451"/>
      <c r="I6926" s="412"/>
      <c r="J6926" s="16"/>
    </row>
    <row r="6927" spans="1:10" ht="13.5" thickBot="1">
      <c r="A6927" s="27"/>
      <c r="B6927" s="110"/>
      <c r="D6927" s="409"/>
      <c r="E6927" s="13" t="s">
        <v>218</v>
      </c>
      <c r="F6927" s="14"/>
      <c r="G6927" s="410" t="s">
        <v>87</v>
      </c>
      <c r="H6927" s="548">
        <v>1</v>
      </c>
      <c r="I6927" s="412">
        <f>'BAHAN '!G764</f>
        <v>0</v>
      </c>
      <c r="J6927" s="16">
        <f>H6927*I6927</f>
        <v>0</v>
      </c>
    </row>
    <row r="6928" spans="1:10" ht="13.5" thickBot="1">
      <c r="A6928" s="27"/>
      <c r="B6928" s="110"/>
      <c r="D6928" s="417"/>
      <c r="E6928" s="418"/>
      <c r="F6928" s="418"/>
      <c r="G6928" s="419"/>
      <c r="H6928" s="420" t="s">
        <v>64</v>
      </c>
      <c r="I6928" s="421"/>
      <c r="J6928" s="396">
        <f>SUM(J6926:J6927)</f>
        <v>0</v>
      </c>
    </row>
    <row r="6929" spans="1:10" ht="13.5" thickBot="1">
      <c r="A6929" s="27"/>
      <c r="B6929" s="110"/>
      <c r="D6929" s="406" t="s">
        <v>65</v>
      </c>
      <c r="E6929" s="13" t="s">
        <v>66</v>
      </c>
      <c r="F6929" s="14"/>
      <c r="G6929" s="15"/>
      <c r="H6929" s="451"/>
      <c r="I6929" s="412">
        <f>IF(AND(E6929&lt;&gt;"",G6929&lt;&gt;""),IF(D6929="",IF(G6929="OH",VLOOKUP(E6929,UPAH!$C$4:$H$31,7,0),VLOOKUP(E6929,#REF!,4,0)),0),0)</f>
        <v>0</v>
      </c>
      <c r="J6929" s="16">
        <f>H6929*I6929</f>
        <v>0</v>
      </c>
    </row>
    <row r="6930" spans="1:10" ht="13.5" thickBot="1">
      <c r="A6930" s="27"/>
      <c r="B6930" s="110"/>
      <c r="D6930" s="417"/>
      <c r="E6930" s="418"/>
      <c r="F6930" s="418"/>
      <c r="G6930" s="419"/>
      <c r="H6930" s="420" t="s">
        <v>67</v>
      </c>
      <c r="I6930" s="421"/>
      <c r="J6930" s="396">
        <f>J6929</f>
        <v>0</v>
      </c>
    </row>
    <row r="6931" spans="1:10" ht="13">
      <c r="A6931" s="27"/>
      <c r="B6931" s="110"/>
      <c r="D6931" s="444" t="s">
        <v>68</v>
      </c>
      <c r="E6931" s="445" t="s">
        <v>69</v>
      </c>
      <c r="F6931" s="446"/>
      <c r="G6931" s="447"/>
      <c r="H6931" s="448"/>
      <c r="I6931" s="449">
        <f>IF(AND(E6931&lt;&gt;"",G6931&lt;&gt;""),IF(D6931="",IF(G6931="OH",VLOOKUP(E6931,UPAH!$C$4:$H$31,7,0),VLOOKUP(E6931,#REF!,4,0)),0),0)</f>
        <v>0</v>
      </c>
      <c r="J6931" s="16">
        <f>SUM(J6920:J6930)/2</f>
        <v>0</v>
      </c>
    </row>
    <row r="6932" spans="1:10" ht="13.5" thickBot="1">
      <c r="A6932" s="27"/>
      <c r="B6932" s="110"/>
      <c r="D6932" s="431" t="s">
        <v>70</v>
      </c>
      <c r="E6932" s="432" t="s">
        <v>477</v>
      </c>
      <c r="F6932" s="433"/>
      <c r="G6932" s="434"/>
      <c r="H6932" s="22">
        <v>0.1</v>
      </c>
      <c r="I6932" s="436"/>
      <c r="J6932" s="430">
        <f>H6932*J6931</f>
        <v>0</v>
      </c>
    </row>
    <row r="6933" spans="1:10" ht="13.5" thickBot="1">
      <c r="A6933" s="27"/>
      <c r="B6933" s="110"/>
      <c r="D6933" s="401" t="s">
        <v>71</v>
      </c>
      <c r="E6933" s="402" t="s">
        <v>72</v>
      </c>
      <c r="F6933" s="418"/>
      <c r="G6933" s="419"/>
      <c r="H6933" s="442"/>
      <c r="I6933" s="421">
        <f>IF(AND(E6933&lt;&gt;"",G6933&lt;&gt;""),IF(D6933="",IF(G6933="OH",VLOOKUP(E6933,UPAH!$C$4:$H$31,7,0),VLOOKUP(E6933,#REF!,4,0)),0),0)</f>
        <v>0</v>
      </c>
      <c r="J6933" s="396">
        <f>ROUNDDOWN(J6931+J6932,0)</f>
        <v>0</v>
      </c>
    </row>
    <row r="6934" spans="1:10" ht="13">
      <c r="A6934" s="27"/>
      <c r="B6934" s="110"/>
      <c r="D6934" s="11"/>
      <c r="E6934" s="11"/>
      <c r="H6934" s="443"/>
    </row>
    <row r="6935" spans="1:10" ht="13.5" thickBot="1">
      <c r="A6935" s="27"/>
      <c r="B6935" s="110"/>
      <c r="C6935" s="11" t="s">
        <v>1243</v>
      </c>
      <c r="D6935" s="10" t="s">
        <v>3221</v>
      </c>
      <c r="H6935" s="443"/>
    </row>
    <row r="6936" spans="1:10" ht="13.5" thickBot="1">
      <c r="A6936" s="27"/>
      <c r="B6936" s="110"/>
      <c r="D6936" s="401" t="s">
        <v>40</v>
      </c>
      <c r="E6936" s="402" t="s">
        <v>41</v>
      </c>
      <c r="F6936" s="402" t="s">
        <v>42</v>
      </c>
      <c r="G6936" s="403" t="s">
        <v>43</v>
      </c>
      <c r="H6936" s="404" t="s">
        <v>44</v>
      </c>
      <c r="I6936" s="402" t="s">
        <v>474</v>
      </c>
      <c r="J6936" s="405" t="s">
        <v>475</v>
      </c>
    </row>
    <row r="6937" spans="1:10" ht="13">
      <c r="A6937" s="27"/>
      <c r="B6937" s="110"/>
      <c r="D6937" s="406" t="s">
        <v>45</v>
      </c>
      <c r="E6937" s="13" t="s">
        <v>46</v>
      </c>
      <c r="F6937" s="14"/>
      <c r="G6937" s="15"/>
      <c r="H6937" s="451"/>
      <c r="I6937" s="412"/>
      <c r="J6937" s="16"/>
    </row>
    <row r="6938" spans="1:10" ht="13">
      <c r="A6938" s="27"/>
      <c r="B6938" s="110"/>
      <c r="D6938" s="409"/>
      <c r="E6938" s="13" t="s">
        <v>47</v>
      </c>
      <c r="F6938" s="13" t="s">
        <v>1918</v>
      </c>
      <c r="G6938" s="410" t="s">
        <v>48</v>
      </c>
      <c r="H6938" s="548">
        <v>0.06</v>
      </c>
      <c r="I6938" s="412">
        <f>IF(AND(E6938&lt;&gt;"",G6938&lt;&gt;""),IF(D6938="",IF(G6938="OH",VLOOKUP(F6938,UPAH!$B$4:$H$101,7,0),VLOOKUP(F6938,#REF!,4,0)),0),0)</f>
        <v>0</v>
      </c>
      <c r="J6938" s="16">
        <f>H6938*I6938</f>
        <v>0</v>
      </c>
    </row>
    <row r="6939" spans="1:10" ht="13">
      <c r="A6939" s="27"/>
      <c r="B6939" s="110"/>
      <c r="D6939" s="409"/>
      <c r="E6939" s="13" t="s">
        <v>49</v>
      </c>
      <c r="F6939" s="13" t="s">
        <v>1922</v>
      </c>
      <c r="G6939" s="410" t="s">
        <v>48</v>
      </c>
      <c r="H6939" s="548">
        <v>0.6</v>
      </c>
      <c r="I6939" s="412">
        <f>IF(AND(E6939&lt;&gt;"",G6939&lt;&gt;""),IF(D6939="",IF(G6939="OH",VLOOKUP(F6939,UPAH!$B$4:$H$101,7,0),VLOOKUP(F6939,#REF!,4,0)),0),0)</f>
        <v>0</v>
      </c>
      <c r="J6939" s="16">
        <f>H6939*I6939</f>
        <v>0</v>
      </c>
    </row>
    <row r="6940" spans="1:10" ht="13">
      <c r="A6940" s="27"/>
      <c r="B6940" s="110"/>
      <c r="D6940" s="409"/>
      <c r="E6940" s="13" t="s">
        <v>50</v>
      </c>
      <c r="F6940" s="13" t="s">
        <v>1928</v>
      </c>
      <c r="G6940" s="410" t="s">
        <v>48</v>
      </c>
      <c r="H6940" s="548">
        <v>0.06</v>
      </c>
      <c r="I6940" s="412">
        <f>IF(AND(E6940&lt;&gt;"",G6940&lt;&gt;""),IF(D6940="",IF(G6940="OH",VLOOKUP(F6940,UPAH!$B$4:$H$101,7,0),VLOOKUP(F6940,#REF!,4,0)),0),0)</f>
        <v>0</v>
      </c>
      <c r="J6940" s="16">
        <f>H6940*I6940</f>
        <v>0</v>
      </c>
    </row>
    <row r="6941" spans="1:10" ht="13.5" thickBot="1">
      <c r="A6941" s="27"/>
      <c r="B6941" s="110"/>
      <c r="D6941" s="409"/>
      <c r="E6941" s="13" t="s">
        <v>51</v>
      </c>
      <c r="F6941" s="13" t="s">
        <v>1929</v>
      </c>
      <c r="G6941" s="410" t="s">
        <v>48</v>
      </c>
      <c r="H6941" s="548">
        <v>3.0000000000000001E-3</v>
      </c>
      <c r="I6941" s="412">
        <f>IF(AND(E6941&lt;&gt;"",G6941&lt;&gt;""),IF(D6941="",IF(G6941="OH",VLOOKUP(F6941,UPAH!$B$4:$H$101,7,0),VLOOKUP(F6941,#REF!,4,0)),0),0)</f>
        <v>0</v>
      </c>
      <c r="J6941" s="16">
        <f>H6941*I6941</f>
        <v>0</v>
      </c>
    </row>
    <row r="6942" spans="1:10" ht="13.5" thickBot="1">
      <c r="A6942" s="27"/>
      <c r="B6942" s="110"/>
      <c r="D6942" s="417"/>
      <c r="E6942" s="418"/>
      <c r="F6942" s="418"/>
      <c r="G6942" s="419"/>
      <c r="H6942" s="420" t="s">
        <v>52</v>
      </c>
      <c r="I6942" s="421"/>
      <c r="J6942" s="396">
        <f>SUM(J6938:J6941)</f>
        <v>0</v>
      </c>
    </row>
    <row r="6943" spans="1:10" ht="13">
      <c r="A6943" s="27"/>
      <c r="B6943" s="110"/>
      <c r="D6943" s="406" t="s">
        <v>53</v>
      </c>
      <c r="E6943" s="13" t="s">
        <v>54</v>
      </c>
      <c r="F6943" s="14"/>
      <c r="G6943" s="15"/>
      <c r="H6943" s="451"/>
      <c r="I6943" s="412"/>
      <c r="J6943" s="16"/>
    </row>
    <row r="6944" spans="1:10" ht="13.5" thickBot="1">
      <c r="A6944" s="27"/>
      <c r="B6944" s="110"/>
      <c r="D6944" s="409"/>
      <c r="E6944" s="13" t="s">
        <v>219</v>
      </c>
      <c r="F6944" s="14"/>
      <c r="G6944" s="410" t="s">
        <v>220</v>
      </c>
      <c r="H6944" s="548">
        <v>1</v>
      </c>
      <c r="I6944" s="412">
        <f>'BAHAN '!G788</f>
        <v>0</v>
      </c>
      <c r="J6944" s="16">
        <f>H6944*I6944</f>
        <v>0</v>
      </c>
    </row>
    <row r="6945" spans="1:10" ht="13.5" thickBot="1">
      <c r="A6945" s="27"/>
      <c r="B6945" s="110"/>
      <c r="D6945" s="417"/>
      <c r="E6945" s="418"/>
      <c r="F6945" s="418"/>
      <c r="G6945" s="419"/>
      <c r="H6945" s="420" t="s">
        <v>64</v>
      </c>
      <c r="I6945" s="421"/>
      <c r="J6945" s="396">
        <f>SUM(J6943:J6944)</f>
        <v>0</v>
      </c>
    </row>
    <row r="6946" spans="1:10" ht="13.5" thickBot="1">
      <c r="A6946" s="27"/>
      <c r="B6946" s="110"/>
      <c r="D6946" s="406" t="s">
        <v>65</v>
      </c>
      <c r="E6946" s="13" t="s">
        <v>66</v>
      </c>
      <c r="F6946" s="14"/>
      <c r="G6946" s="15"/>
      <c r="H6946" s="451"/>
      <c r="I6946" s="412">
        <f>IF(AND(E6946&lt;&gt;"",G6946&lt;&gt;""),IF(D6946="",IF(G6946="OH",VLOOKUP(E6946,UPAH!$C$4:$H$31,7,0),VLOOKUP(E6946,#REF!,4,0)),0),0)</f>
        <v>0</v>
      </c>
      <c r="J6946" s="16">
        <f>H6946*I6946</f>
        <v>0</v>
      </c>
    </row>
    <row r="6947" spans="1:10" ht="13.5" thickBot="1">
      <c r="A6947" s="27"/>
      <c r="B6947" s="110"/>
      <c r="D6947" s="417"/>
      <c r="E6947" s="418"/>
      <c r="F6947" s="418"/>
      <c r="G6947" s="419"/>
      <c r="H6947" s="420" t="s">
        <v>67</v>
      </c>
      <c r="I6947" s="421"/>
      <c r="J6947" s="396">
        <f>J6946</f>
        <v>0</v>
      </c>
    </row>
    <row r="6948" spans="1:10" ht="13">
      <c r="A6948" s="27"/>
      <c r="B6948" s="110"/>
      <c r="D6948" s="444" t="s">
        <v>68</v>
      </c>
      <c r="E6948" s="445" t="s">
        <v>69</v>
      </c>
      <c r="F6948" s="446"/>
      <c r="G6948" s="447"/>
      <c r="H6948" s="448"/>
      <c r="I6948" s="449">
        <f>IF(AND(E6948&lt;&gt;"",G6948&lt;&gt;""),IF(D6948="",IF(G6948="OH",VLOOKUP(E6948,UPAH!$C$4:$H$31,7,0),VLOOKUP(E6948,#REF!,4,0)),0),0)</f>
        <v>0</v>
      </c>
      <c r="J6948" s="16">
        <f>SUM(J6937:J6947)/2</f>
        <v>0</v>
      </c>
    </row>
    <row r="6949" spans="1:10" ht="13.5" thickBot="1">
      <c r="A6949" s="27"/>
      <c r="B6949" s="110"/>
      <c r="D6949" s="431" t="s">
        <v>70</v>
      </c>
      <c r="E6949" s="432" t="s">
        <v>477</v>
      </c>
      <c r="F6949" s="433"/>
      <c r="G6949" s="434"/>
      <c r="H6949" s="22">
        <v>0.1</v>
      </c>
      <c r="I6949" s="436"/>
      <c r="J6949" s="430">
        <f>H6949*J6948</f>
        <v>0</v>
      </c>
    </row>
    <row r="6950" spans="1:10" ht="13.5" thickBot="1">
      <c r="A6950" s="27"/>
      <c r="B6950" s="110"/>
      <c r="D6950" s="401" t="s">
        <v>71</v>
      </c>
      <c r="E6950" s="402" t="s">
        <v>72</v>
      </c>
      <c r="F6950" s="418"/>
      <c r="G6950" s="419"/>
      <c r="H6950" s="442"/>
      <c r="I6950" s="421">
        <f>IF(AND(E6950&lt;&gt;"",G6950&lt;&gt;""),IF(D6950="",IF(G6950="OH",VLOOKUP(E6950,UPAH!$C$4:$H$31,7,0),VLOOKUP(E6950,#REF!,4,0)),0),0)</f>
        <v>0</v>
      </c>
      <c r="J6950" s="396">
        <f>ROUNDDOWN(J6948+J6949,0)</f>
        <v>0</v>
      </c>
    </row>
    <row r="6951" spans="1:10" ht="13">
      <c r="A6951" s="27"/>
      <c r="B6951" s="110"/>
      <c r="D6951" s="11"/>
      <c r="E6951" s="11"/>
      <c r="H6951" s="443"/>
    </row>
    <row r="6952" spans="1:10" ht="13.5" thickBot="1">
      <c r="A6952" s="27"/>
      <c r="B6952" s="110"/>
      <c r="C6952" s="11" t="s">
        <v>1245</v>
      </c>
      <c r="D6952" s="10" t="s">
        <v>1246</v>
      </c>
      <c r="H6952" s="443"/>
    </row>
    <row r="6953" spans="1:10" ht="13.5" thickBot="1">
      <c r="A6953" s="27"/>
      <c r="B6953" s="110"/>
      <c r="D6953" s="401" t="s">
        <v>40</v>
      </c>
      <c r="E6953" s="402" t="s">
        <v>41</v>
      </c>
      <c r="F6953" s="402" t="s">
        <v>42</v>
      </c>
      <c r="G6953" s="403" t="s">
        <v>43</v>
      </c>
      <c r="H6953" s="404" t="s">
        <v>44</v>
      </c>
      <c r="I6953" s="402" t="s">
        <v>474</v>
      </c>
      <c r="J6953" s="405" t="s">
        <v>475</v>
      </c>
    </row>
    <row r="6954" spans="1:10" ht="13">
      <c r="A6954" s="27"/>
      <c r="B6954" s="110"/>
      <c r="D6954" s="406" t="s">
        <v>45</v>
      </c>
      <c r="E6954" s="13" t="s">
        <v>46</v>
      </c>
      <c r="F6954" s="14"/>
      <c r="G6954" s="15"/>
      <c r="H6954" s="451"/>
      <c r="I6954" s="412"/>
      <c r="J6954" s="16"/>
    </row>
    <row r="6955" spans="1:10" ht="13">
      <c r="A6955" s="27"/>
      <c r="B6955" s="110"/>
      <c r="D6955" s="409"/>
      <c r="E6955" s="13" t="s">
        <v>47</v>
      </c>
      <c r="F6955" s="13" t="s">
        <v>1918</v>
      </c>
      <c r="G6955" s="410" t="s">
        <v>48</v>
      </c>
      <c r="H6955" s="548">
        <v>2.5000000000000001E-2</v>
      </c>
      <c r="I6955" s="412">
        <f>IF(AND(E6955&lt;&gt;"",G6955&lt;&gt;""),IF(D6955="",IF(G6955="OH",VLOOKUP(F6955,UPAH!$B$4:$H$101,7,0),VLOOKUP(F6955,#REF!,4,0)),0),0)</f>
        <v>0</v>
      </c>
      <c r="J6955" s="16">
        <f>H6955*I6955</f>
        <v>0</v>
      </c>
    </row>
    <row r="6956" spans="1:10" ht="13">
      <c r="A6956" s="27"/>
      <c r="B6956" s="110"/>
      <c r="D6956" s="409"/>
      <c r="E6956" s="13" t="s">
        <v>49</v>
      </c>
      <c r="F6956" s="13" t="s">
        <v>1922</v>
      </c>
      <c r="G6956" s="410" t="s">
        <v>48</v>
      </c>
      <c r="H6956" s="548">
        <v>0.25</v>
      </c>
      <c r="I6956" s="412">
        <f>IF(AND(E6956&lt;&gt;"",G6956&lt;&gt;""),IF(D6956="",IF(G6956="OH",VLOOKUP(F6956,UPAH!$B$4:$H$101,7,0),VLOOKUP(F6956,#REF!,4,0)),0),0)</f>
        <v>0</v>
      </c>
      <c r="J6956" s="16">
        <f>H6956*I6956</f>
        <v>0</v>
      </c>
    </row>
    <row r="6957" spans="1:10" ht="13">
      <c r="A6957" s="27"/>
      <c r="B6957" s="110"/>
      <c r="D6957" s="409"/>
      <c r="E6957" s="13" t="s">
        <v>50</v>
      </c>
      <c r="F6957" s="13" t="s">
        <v>1928</v>
      </c>
      <c r="G6957" s="410" t="s">
        <v>48</v>
      </c>
      <c r="H6957" s="548">
        <v>2.5000000000000001E-2</v>
      </c>
      <c r="I6957" s="412">
        <f>IF(AND(E6957&lt;&gt;"",G6957&lt;&gt;""),IF(D6957="",IF(G6957="OH",VLOOKUP(F6957,UPAH!$B$4:$H$101,7,0),VLOOKUP(F6957,#REF!,4,0)),0),0)</f>
        <v>0</v>
      </c>
      <c r="J6957" s="16">
        <f>H6957*I6957</f>
        <v>0</v>
      </c>
    </row>
    <row r="6958" spans="1:10" ht="13.5" thickBot="1">
      <c r="A6958" s="27"/>
      <c r="B6958" s="110"/>
      <c r="D6958" s="409"/>
      <c r="E6958" s="13" t="s">
        <v>51</v>
      </c>
      <c r="F6958" s="13" t="s">
        <v>1929</v>
      </c>
      <c r="G6958" s="410" t="s">
        <v>48</v>
      </c>
      <c r="H6958" s="548">
        <v>1.2999999999999999E-3</v>
      </c>
      <c r="I6958" s="412">
        <f>IF(AND(E6958&lt;&gt;"",G6958&lt;&gt;""),IF(D6958="",IF(G6958="OH",VLOOKUP(F6958,UPAH!$B$4:$H$101,7,0),VLOOKUP(F6958,#REF!,4,0)),0),0)</f>
        <v>0</v>
      </c>
      <c r="J6958" s="16">
        <f>H6958*I6958</f>
        <v>0</v>
      </c>
    </row>
    <row r="6959" spans="1:10" ht="13.5" thickBot="1">
      <c r="A6959" s="27"/>
      <c r="B6959" s="110"/>
      <c r="D6959" s="417"/>
      <c r="E6959" s="418"/>
      <c r="F6959" s="418"/>
      <c r="G6959" s="419"/>
      <c r="H6959" s="420" t="s">
        <v>52</v>
      </c>
      <c r="I6959" s="421"/>
      <c r="J6959" s="396">
        <f>SUM(J6955:J6958)</f>
        <v>0</v>
      </c>
    </row>
    <row r="6960" spans="1:10" ht="13">
      <c r="A6960" s="27"/>
      <c r="B6960" s="110"/>
      <c r="D6960" s="406" t="s">
        <v>53</v>
      </c>
      <c r="E6960" s="13" t="s">
        <v>54</v>
      </c>
      <c r="F6960" s="14"/>
      <c r="G6960" s="15"/>
      <c r="H6960" s="451"/>
      <c r="I6960" s="412"/>
      <c r="J6960" s="16"/>
    </row>
    <row r="6961" spans="1:10" ht="13.5" thickBot="1">
      <c r="A6961" s="27"/>
      <c r="B6961" s="110"/>
      <c r="D6961" s="409"/>
      <c r="E6961" s="13" t="s">
        <v>221</v>
      </c>
      <c r="F6961" s="14"/>
      <c r="G6961" s="410" t="s">
        <v>220</v>
      </c>
      <c r="H6961" s="548">
        <v>1</v>
      </c>
      <c r="I6961" s="412">
        <f>'BAHAN '!G779</f>
        <v>0</v>
      </c>
      <c r="J6961" s="16">
        <f>H6961*I6961</f>
        <v>0</v>
      </c>
    </row>
    <row r="6962" spans="1:10" ht="13.5" thickBot="1">
      <c r="A6962" s="27"/>
      <c r="B6962" s="110"/>
      <c r="D6962" s="417"/>
      <c r="E6962" s="418"/>
      <c r="F6962" s="418"/>
      <c r="G6962" s="419"/>
      <c r="H6962" s="420" t="s">
        <v>64</v>
      </c>
      <c r="I6962" s="421"/>
      <c r="J6962" s="396">
        <f>SUM(J6960:J6961)</f>
        <v>0</v>
      </c>
    </row>
    <row r="6963" spans="1:10" ht="13.5" thickBot="1">
      <c r="A6963" s="27"/>
      <c r="B6963" s="110"/>
      <c r="D6963" s="406" t="s">
        <v>65</v>
      </c>
      <c r="E6963" s="13" t="s">
        <v>66</v>
      </c>
      <c r="F6963" s="14"/>
      <c r="G6963" s="15"/>
      <c r="H6963" s="451"/>
      <c r="I6963" s="412">
        <f>IF(AND(E6963&lt;&gt;"",G6963&lt;&gt;""),IF(D6963="",IF(G6963="OH",VLOOKUP(E6963,UPAH!$C$4:$H$31,7,0),VLOOKUP(E6963,#REF!,4,0)),0),0)</f>
        <v>0</v>
      </c>
      <c r="J6963" s="16">
        <f>H6963*I6963</f>
        <v>0</v>
      </c>
    </row>
    <row r="6964" spans="1:10" ht="13.5" thickBot="1">
      <c r="A6964" s="27"/>
      <c r="B6964" s="110"/>
      <c r="D6964" s="417"/>
      <c r="E6964" s="418"/>
      <c r="F6964" s="418"/>
      <c r="G6964" s="419"/>
      <c r="H6964" s="420" t="s">
        <v>67</v>
      </c>
      <c r="I6964" s="421"/>
      <c r="J6964" s="396">
        <f>J6963</f>
        <v>0</v>
      </c>
    </row>
    <row r="6965" spans="1:10" ht="13">
      <c r="A6965" s="27"/>
      <c r="B6965" s="110"/>
      <c r="D6965" s="444" t="s">
        <v>68</v>
      </c>
      <c r="E6965" s="445" t="s">
        <v>69</v>
      </c>
      <c r="F6965" s="446"/>
      <c r="G6965" s="447"/>
      <c r="H6965" s="448"/>
      <c r="I6965" s="449">
        <f>IF(AND(E6965&lt;&gt;"",G6965&lt;&gt;""),IF(D6965="",IF(G6965="OH",VLOOKUP(E6965,UPAH!$C$4:$H$31,7,0),VLOOKUP(E6965,#REF!,4,0)),0),0)</f>
        <v>0</v>
      </c>
      <c r="J6965" s="16">
        <f>SUM(J6954:J6964)/2</f>
        <v>0</v>
      </c>
    </row>
    <row r="6966" spans="1:10" ht="13.5" thickBot="1">
      <c r="A6966" s="27"/>
      <c r="B6966" s="110"/>
      <c r="D6966" s="431" t="s">
        <v>70</v>
      </c>
      <c r="E6966" s="432" t="s">
        <v>477</v>
      </c>
      <c r="F6966" s="433"/>
      <c r="G6966" s="434"/>
      <c r="H6966" s="22">
        <v>0.1</v>
      </c>
      <c r="I6966" s="436"/>
      <c r="J6966" s="430">
        <f>H6966*J6965</f>
        <v>0</v>
      </c>
    </row>
    <row r="6967" spans="1:10" ht="13.5" thickBot="1">
      <c r="A6967" s="27"/>
      <c r="B6967" s="110"/>
      <c r="D6967" s="401" t="s">
        <v>71</v>
      </c>
      <c r="E6967" s="402" t="s">
        <v>72</v>
      </c>
      <c r="F6967" s="418"/>
      <c r="G6967" s="419"/>
      <c r="H6967" s="442"/>
      <c r="I6967" s="421">
        <f>IF(AND(E6967&lt;&gt;"",G6967&lt;&gt;""),IF(D6967="",IF(G6967="OH",VLOOKUP(E6967,UPAH!$C$4:$H$31,7,0),VLOOKUP(E6967,#REF!,4,0)),0),0)</f>
        <v>0</v>
      </c>
      <c r="J6967" s="396">
        <f>ROUNDDOWN(J6965+J6966,0)</f>
        <v>0</v>
      </c>
    </row>
    <row r="6968" spans="1:10" ht="13">
      <c r="A6968" s="27"/>
      <c r="B6968" s="110"/>
      <c r="D6968" s="11"/>
      <c r="E6968" s="11"/>
      <c r="H6968" s="443"/>
    </row>
    <row r="6969" spans="1:10" ht="13.5" thickBot="1">
      <c r="A6969" s="27"/>
      <c r="B6969" s="110"/>
      <c r="C6969" s="11" t="s">
        <v>1241</v>
      </c>
      <c r="D6969" s="10" t="s">
        <v>1242</v>
      </c>
      <c r="H6969" s="443"/>
    </row>
    <row r="6970" spans="1:10" ht="13.5" thickBot="1">
      <c r="A6970" s="27"/>
      <c r="B6970" s="110"/>
      <c r="D6970" s="401" t="s">
        <v>40</v>
      </c>
      <c r="E6970" s="402" t="s">
        <v>41</v>
      </c>
      <c r="F6970" s="402" t="s">
        <v>42</v>
      </c>
      <c r="G6970" s="403" t="s">
        <v>43</v>
      </c>
      <c r="H6970" s="404" t="s">
        <v>44</v>
      </c>
      <c r="I6970" s="402" t="s">
        <v>474</v>
      </c>
      <c r="J6970" s="405" t="s">
        <v>475</v>
      </c>
    </row>
    <row r="6971" spans="1:10" ht="13">
      <c r="A6971" s="27"/>
      <c r="B6971" s="110"/>
      <c r="D6971" s="406" t="s">
        <v>45</v>
      </c>
      <c r="E6971" s="13" t="s">
        <v>46</v>
      </c>
      <c r="F6971" s="14"/>
      <c r="G6971" s="15"/>
      <c r="H6971" s="451"/>
      <c r="I6971" s="412"/>
      <c r="J6971" s="16"/>
    </row>
    <row r="6972" spans="1:10" ht="13">
      <c r="A6972" s="27"/>
      <c r="B6972" s="110"/>
      <c r="D6972" s="409"/>
      <c r="E6972" s="13" t="s">
        <v>47</v>
      </c>
      <c r="F6972" s="13" t="s">
        <v>1918</v>
      </c>
      <c r="G6972" s="410" t="s">
        <v>48</v>
      </c>
      <c r="H6972" s="548">
        <v>1.4999999999999999E-2</v>
      </c>
      <c r="I6972" s="412">
        <f>IF(AND(E6972&lt;&gt;"",G6972&lt;&gt;""),IF(D6972="",IF(G6972="OH",VLOOKUP(F6972,UPAH!$B$4:$H$101,7,0),VLOOKUP(F6972,#REF!,4,0)),0),0)</f>
        <v>0</v>
      </c>
      <c r="J6972" s="16">
        <f>H6972*I6972</f>
        <v>0</v>
      </c>
    </row>
    <row r="6973" spans="1:10" ht="13">
      <c r="A6973" s="27"/>
      <c r="B6973" s="110"/>
      <c r="D6973" s="409"/>
      <c r="E6973" s="13" t="s">
        <v>49</v>
      </c>
      <c r="F6973" s="13" t="s">
        <v>1922</v>
      </c>
      <c r="G6973" s="410" t="s">
        <v>48</v>
      </c>
      <c r="H6973" s="548">
        <v>0.15</v>
      </c>
      <c r="I6973" s="412">
        <f>IF(AND(E6973&lt;&gt;"",G6973&lt;&gt;""),IF(D6973="",IF(G6973="OH",VLOOKUP(F6973,UPAH!$B$4:$H$101,7,0),VLOOKUP(F6973,#REF!,4,0)),0),0)</f>
        <v>0</v>
      </c>
      <c r="J6973" s="16">
        <f>H6973*I6973</f>
        <v>0</v>
      </c>
    </row>
    <row r="6974" spans="1:10" ht="13">
      <c r="A6974" s="27"/>
      <c r="B6974" s="110"/>
      <c r="D6974" s="409"/>
      <c r="E6974" s="13" t="s">
        <v>50</v>
      </c>
      <c r="F6974" s="13" t="s">
        <v>1928</v>
      </c>
      <c r="G6974" s="410" t="s">
        <v>48</v>
      </c>
      <c r="H6974" s="548">
        <v>1.4999999999999999E-2</v>
      </c>
      <c r="I6974" s="412">
        <f>IF(AND(E6974&lt;&gt;"",G6974&lt;&gt;""),IF(D6974="",IF(G6974="OH",VLOOKUP(F6974,UPAH!$B$4:$H$101,7,0),VLOOKUP(F6974,#REF!,4,0)),0),0)</f>
        <v>0</v>
      </c>
      <c r="J6974" s="16">
        <f>H6974*I6974</f>
        <v>0</v>
      </c>
    </row>
    <row r="6975" spans="1:10" ht="13.5" thickBot="1">
      <c r="A6975" s="27"/>
      <c r="B6975" s="110"/>
      <c r="D6975" s="409"/>
      <c r="E6975" s="13" t="s">
        <v>51</v>
      </c>
      <c r="F6975" s="13" t="s">
        <v>1929</v>
      </c>
      <c r="G6975" s="410" t="s">
        <v>48</v>
      </c>
      <c r="H6975" s="548">
        <v>8.0000000000000004E-4</v>
      </c>
      <c r="I6975" s="412">
        <f>IF(AND(E6975&lt;&gt;"",G6975&lt;&gt;""),IF(D6975="",IF(G6975="OH",VLOOKUP(F6975,UPAH!$B$4:$H$101,7,0),VLOOKUP(F6975,#REF!,4,0)),0),0)</f>
        <v>0</v>
      </c>
      <c r="J6975" s="16">
        <f>H6975*I6975</f>
        <v>0</v>
      </c>
    </row>
    <row r="6976" spans="1:10" ht="13.5" thickBot="1">
      <c r="A6976" s="27"/>
      <c r="B6976" s="110"/>
      <c r="D6976" s="417"/>
      <c r="E6976" s="418"/>
      <c r="F6976" s="418"/>
      <c r="G6976" s="419"/>
      <c r="H6976" s="420" t="s">
        <v>52</v>
      </c>
      <c r="I6976" s="421"/>
      <c r="J6976" s="396">
        <f>SUM(J6972:J6975)</f>
        <v>0</v>
      </c>
    </row>
    <row r="6977" spans="1:10" ht="13">
      <c r="A6977" s="27"/>
      <c r="B6977" s="110"/>
      <c r="D6977" s="406" t="s">
        <v>53</v>
      </c>
      <c r="E6977" s="13" t="s">
        <v>54</v>
      </c>
      <c r="F6977" s="14"/>
      <c r="G6977" s="15"/>
      <c r="H6977" s="451"/>
      <c r="I6977" s="412"/>
      <c r="J6977" s="16"/>
    </row>
    <row r="6978" spans="1:10" ht="13">
      <c r="A6978" s="27"/>
      <c r="B6978" s="110"/>
      <c r="D6978" s="409"/>
      <c r="E6978" s="13" t="s">
        <v>394</v>
      </c>
      <c r="F6978" s="14"/>
      <c r="G6978" s="410" t="s">
        <v>376</v>
      </c>
      <c r="H6978" s="548">
        <v>1.1000000000000001</v>
      </c>
      <c r="I6978" s="412">
        <f>'BAHAN '!G748</f>
        <v>0</v>
      </c>
      <c r="J6978" s="16">
        <f>H6978*I6978</f>
        <v>0</v>
      </c>
    </row>
    <row r="6979" spans="1:10" ht="13.5" thickBot="1">
      <c r="A6979" s="27"/>
      <c r="B6979" s="110"/>
      <c r="D6979" s="409"/>
      <c r="E6979" s="13" t="s">
        <v>148</v>
      </c>
      <c r="F6979" s="14"/>
      <c r="G6979" s="410" t="s">
        <v>57</v>
      </c>
      <c r="H6979" s="548">
        <v>0.05</v>
      </c>
      <c r="I6979" s="412">
        <f>'BAHAN '!G789</f>
        <v>0</v>
      </c>
      <c r="J6979" s="16">
        <f>H6979*I6979</f>
        <v>0</v>
      </c>
    </row>
    <row r="6980" spans="1:10" ht="13.5" thickBot="1">
      <c r="A6980" s="27"/>
      <c r="B6980" s="110"/>
      <c r="D6980" s="417"/>
      <c r="E6980" s="418"/>
      <c r="F6980" s="418"/>
      <c r="G6980" s="419"/>
      <c r="H6980" s="420" t="s">
        <v>64</v>
      </c>
      <c r="I6980" s="421"/>
      <c r="J6980" s="396">
        <f>SUM(J6978:J6979)</f>
        <v>0</v>
      </c>
    </row>
    <row r="6981" spans="1:10" ht="13.5" thickBot="1">
      <c r="A6981" s="27"/>
      <c r="B6981" s="110"/>
      <c r="D6981" s="406" t="s">
        <v>65</v>
      </c>
      <c r="E6981" s="13" t="s">
        <v>66</v>
      </c>
      <c r="F6981" s="14"/>
      <c r="G6981" s="15"/>
      <c r="H6981" s="451"/>
      <c r="I6981" s="412">
        <f>IF(AND(E6981&lt;&gt;"",G6981&lt;&gt;""),IF(D6981="",IF(G6981="OH",VLOOKUP(E6981,UPAH!$C$4:$H$31,7,0),VLOOKUP(E6981,#REF!,4,0)),0),0)</f>
        <v>0</v>
      </c>
      <c r="J6981" s="16">
        <f>H6981*I6981</f>
        <v>0</v>
      </c>
    </row>
    <row r="6982" spans="1:10" ht="13.5" thickBot="1">
      <c r="A6982" s="27"/>
      <c r="B6982" s="110"/>
      <c r="D6982" s="417"/>
      <c r="E6982" s="418"/>
      <c r="F6982" s="418"/>
      <c r="G6982" s="419"/>
      <c r="H6982" s="420" t="s">
        <v>67</v>
      </c>
      <c r="I6982" s="421"/>
      <c r="J6982" s="396">
        <f>J6981</f>
        <v>0</v>
      </c>
    </row>
    <row r="6983" spans="1:10" ht="13">
      <c r="A6983" s="27"/>
      <c r="B6983" s="110"/>
      <c r="D6983" s="444" t="s">
        <v>68</v>
      </c>
      <c r="E6983" s="445" t="s">
        <v>69</v>
      </c>
      <c r="F6983" s="446"/>
      <c r="G6983" s="447"/>
      <c r="H6983" s="448"/>
      <c r="I6983" s="449">
        <f>IF(AND(E6983&lt;&gt;"",G6983&lt;&gt;""),IF(D6983="",IF(G6983="OH",VLOOKUP(E6983,UPAH!$C$4:$H$31,7,0),VLOOKUP(E6983,#REF!,4,0)),0),0)</f>
        <v>0</v>
      </c>
      <c r="J6983" s="16">
        <f>SUM(J6972:J6982)/2</f>
        <v>0</v>
      </c>
    </row>
    <row r="6984" spans="1:10" ht="13.5" thickBot="1">
      <c r="A6984" s="27"/>
      <c r="B6984" s="110"/>
      <c r="D6984" s="431" t="s">
        <v>70</v>
      </c>
      <c r="E6984" s="432" t="s">
        <v>477</v>
      </c>
      <c r="F6984" s="433"/>
      <c r="G6984" s="434"/>
      <c r="H6984" s="22">
        <v>0.1</v>
      </c>
      <c r="I6984" s="436"/>
      <c r="J6984" s="430">
        <f>H6984*J6983</f>
        <v>0</v>
      </c>
    </row>
    <row r="6985" spans="1:10" ht="13.5" thickBot="1">
      <c r="A6985" s="27"/>
      <c r="B6985" s="110"/>
      <c r="D6985" s="401" t="s">
        <v>71</v>
      </c>
      <c r="E6985" s="402" t="s">
        <v>72</v>
      </c>
      <c r="F6985" s="418"/>
      <c r="G6985" s="419"/>
      <c r="H6985" s="442"/>
      <c r="I6985" s="421">
        <f>IF(AND(E6985&lt;&gt;"",G6985&lt;&gt;""),IF(D6985="",IF(G6985="OH",VLOOKUP(E6985,UPAH!$C$4:$H$31,7,0),VLOOKUP(E6985,#REF!,4,0)),0),0)</f>
        <v>0</v>
      </c>
      <c r="J6985" s="396">
        <f>ROUNDDOWN(J6983+J6984,0)</f>
        <v>0</v>
      </c>
    </row>
    <row r="6986" spans="1:10" ht="13">
      <c r="A6986" s="27"/>
      <c r="B6986" s="110"/>
      <c r="D6986" s="11"/>
      <c r="E6986" s="11"/>
      <c r="H6986" s="443"/>
    </row>
    <row r="6987" spans="1:10" ht="13.5" thickBot="1">
      <c r="A6987" s="27"/>
      <c r="B6987" s="110"/>
      <c r="C6987" s="11" t="s">
        <v>1247</v>
      </c>
      <c r="D6987" s="10" t="s">
        <v>1248</v>
      </c>
      <c r="H6987" s="443"/>
    </row>
    <row r="6988" spans="1:10" ht="13.5" thickBot="1">
      <c r="A6988" s="27"/>
      <c r="B6988" s="110"/>
      <c r="D6988" s="401" t="s">
        <v>40</v>
      </c>
      <c r="E6988" s="402" t="s">
        <v>41</v>
      </c>
      <c r="F6988" s="402" t="s">
        <v>42</v>
      </c>
      <c r="G6988" s="403" t="s">
        <v>43</v>
      </c>
      <c r="H6988" s="404" t="s">
        <v>44</v>
      </c>
      <c r="I6988" s="402" t="s">
        <v>474</v>
      </c>
      <c r="J6988" s="405" t="s">
        <v>475</v>
      </c>
    </row>
    <row r="6989" spans="1:10" ht="13">
      <c r="A6989" s="27"/>
      <c r="B6989" s="110"/>
      <c r="D6989" s="406" t="s">
        <v>45</v>
      </c>
      <c r="E6989" s="13" t="s">
        <v>46</v>
      </c>
      <c r="F6989" s="14"/>
      <c r="G6989" s="15"/>
      <c r="H6989" s="451"/>
      <c r="I6989" s="412"/>
      <c r="J6989" s="16"/>
    </row>
    <row r="6990" spans="1:10" ht="13">
      <c r="A6990" s="27"/>
      <c r="B6990" s="110"/>
      <c r="D6990" s="409"/>
      <c r="E6990" s="13" t="s">
        <v>47</v>
      </c>
      <c r="F6990" s="13" t="s">
        <v>1918</v>
      </c>
      <c r="G6990" s="410" t="s">
        <v>48</v>
      </c>
      <c r="H6990" s="548">
        <v>1.4999999999999999E-2</v>
      </c>
      <c r="I6990" s="412">
        <f>IF(AND(E6990&lt;&gt;"",G6990&lt;&gt;""),IF(D6990="",IF(G6990="OH",VLOOKUP(F6990,UPAH!$B$4:$H$101,7,0),VLOOKUP(F6990,#REF!,4,0)),0),0)</f>
        <v>0</v>
      </c>
      <c r="J6990" s="16">
        <f>H6990*I6990</f>
        <v>0</v>
      </c>
    </row>
    <row r="6991" spans="1:10" ht="13">
      <c r="A6991" s="27"/>
      <c r="B6991" s="110"/>
      <c r="D6991" s="409"/>
      <c r="E6991" s="13" t="s">
        <v>49</v>
      </c>
      <c r="F6991" s="13" t="s">
        <v>1922</v>
      </c>
      <c r="G6991" s="410" t="s">
        <v>48</v>
      </c>
      <c r="H6991" s="548">
        <v>0.15</v>
      </c>
      <c r="I6991" s="412">
        <f>IF(AND(E6991&lt;&gt;"",G6991&lt;&gt;""),IF(D6991="",IF(G6991="OH",VLOOKUP(F6991,UPAH!$B$4:$H$101,7,0),VLOOKUP(F6991,#REF!,4,0)),0),0)</f>
        <v>0</v>
      </c>
      <c r="J6991" s="16">
        <f>H6991*I6991</f>
        <v>0</v>
      </c>
    </row>
    <row r="6992" spans="1:10" ht="13">
      <c r="A6992" s="27"/>
      <c r="B6992" s="110"/>
      <c r="D6992" s="409"/>
      <c r="E6992" s="13" t="s">
        <v>50</v>
      </c>
      <c r="F6992" s="13" t="s">
        <v>1928</v>
      </c>
      <c r="G6992" s="410" t="s">
        <v>48</v>
      </c>
      <c r="H6992" s="548">
        <v>1.4999999999999999E-2</v>
      </c>
      <c r="I6992" s="412">
        <f>IF(AND(E6992&lt;&gt;"",G6992&lt;&gt;""),IF(D6992="",IF(G6992="OH",VLOOKUP(F6992,UPAH!$B$4:$H$101,7,0),VLOOKUP(F6992,#REF!,4,0)),0),0)</f>
        <v>0</v>
      </c>
      <c r="J6992" s="16">
        <f>H6992*I6992</f>
        <v>0</v>
      </c>
    </row>
    <row r="6993" spans="1:10" ht="13.5" thickBot="1">
      <c r="A6993" s="27"/>
      <c r="B6993" s="110"/>
      <c r="D6993" s="409"/>
      <c r="E6993" s="13" t="s">
        <v>51</v>
      </c>
      <c r="F6993" s="13" t="s">
        <v>1929</v>
      </c>
      <c r="G6993" s="410" t="s">
        <v>48</v>
      </c>
      <c r="H6993" s="548">
        <v>8.0000000000000004E-4</v>
      </c>
      <c r="I6993" s="412">
        <f>IF(AND(E6993&lt;&gt;"",G6993&lt;&gt;""),IF(D6993="",IF(G6993="OH",VLOOKUP(F6993,UPAH!$B$4:$H$101,7,0),VLOOKUP(F6993,#REF!,4,0)),0),0)</f>
        <v>0</v>
      </c>
      <c r="J6993" s="16">
        <f>H6993*I6993</f>
        <v>0</v>
      </c>
    </row>
    <row r="6994" spans="1:10" ht="13.5" thickBot="1">
      <c r="A6994" s="27"/>
      <c r="B6994" s="110"/>
      <c r="D6994" s="417"/>
      <c r="E6994" s="418"/>
      <c r="F6994" s="418"/>
      <c r="G6994" s="419"/>
      <c r="H6994" s="420" t="s">
        <v>52</v>
      </c>
      <c r="I6994" s="421"/>
      <c r="J6994" s="396">
        <f>SUM(J6990:J6993)</f>
        <v>0</v>
      </c>
    </row>
    <row r="6995" spans="1:10" ht="13">
      <c r="A6995" s="27"/>
      <c r="B6995" s="110"/>
      <c r="D6995" s="406" t="s">
        <v>53</v>
      </c>
      <c r="E6995" s="13" t="s">
        <v>54</v>
      </c>
      <c r="F6995" s="14"/>
      <c r="G6995" s="15"/>
      <c r="H6995" s="451"/>
      <c r="I6995" s="412"/>
      <c r="J6995" s="16"/>
    </row>
    <row r="6996" spans="1:10" ht="13">
      <c r="A6996" s="27"/>
      <c r="B6996" s="110"/>
      <c r="D6996" s="409"/>
      <c r="E6996" s="13" t="s">
        <v>222</v>
      </c>
      <c r="F6996" s="14"/>
      <c r="G6996" s="410" t="s">
        <v>376</v>
      </c>
      <c r="H6996" s="548">
        <v>1.1000000000000001</v>
      </c>
      <c r="I6996" s="412">
        <v>0</v>
      </c>
      <c r="J6996" s="16">
        <f>H6996*I6996</f>
        <v>0</v>
      </c>
    </row>
    <row r="6997" spans="1:10" ht="13.5" thickBot="1">
      <c r="A6997" s="27"/>
      <c r="B6997" s="110"/>
      <c r="D6997" s="409"/>
      <c r="E6997" s="13" t="s">
        <v>516</v>
      </c>
      <c r="F6997" s="14"/>
      <c r="G6997" s="410" t="s">
        <v>57</v>
      </c>
      <c r="H6997" s="548">
        <v>0.05</v>
      </c>
      <c r="I6997" s="412">
        <f>'BAHAN '!G789</f>
        <v>0</v>
      </c>
      <c r="J6997" s="16">
        <f>H6997*I6997</f>
        <v>0</v>
      </c>
    </row>
    <row r="6998" spans="1:10" ht="13.5" thickBot="1">
      <c r="A6998" s="27"/>
      <c r="B6998" s="110"/>
      <c r="D6998" s="417"/>
      <c r="E6998" s="418"/>
      <c r="F6998" s="418"/>
      <c r="G6998" s="419"/>
      <c r="H6998" s="420" t="s">
        <v>64</v>
      </c>
      <c r="I6998" s="421"/>
      <c r="J6998" s="396">
        <f>SUM(J6996:J6997)</f>
        <v>0</v>
      </c>
    </row>
    <row r="6999" spans="1:10" ht="13.5" thickBot="1">
      <c r="A6999" s="27"/>
      <c r="B6999" s="110"/>
      <c r="D6999" s="406" t="s">
        <v>65</v>
      </c>
      <c r="E6999" s="13" t="s">
        <v>66</v>
      </c>
      <c r="F6999" s="14"/>
      <c r="G6999" s="15"/>
      <c r="H6999" s="451"/>
      <c r="I6999" s="412">
        <f>IF(AND(E6999&lt;&gt;"",G6999&lt;&gt;""),IF(D6999="",IF(G6999="OH",VLOOKUP(E6999,UPAH!$C$4:$H$31,7,0),VLOOKUP(E6999,#REF!,4,0)),0),0)</f>
        <v>0</v>
      </c>
      <c r="J6999" s="16">
        <f>H6999*I6999</f>
        <v>0</v>
      </c>
    </row>
    <row r="7000" spans="1:10" ht="13.5" thickBot="1">
      <c r="A7000" s="27"/>
      <c r="B7000" s="110"/>
      <c r="D7000" s="417"/>
      <c r="E7000" s="418"/>
      <c r="F7000" s="418"/>
      <c r="G7000" s="419"/>
      <c r="H7000" s="420" t="s">
        <v>67</v>
      </c>
      <c r="I7000" s="421"/>
      <c r="J7000" s="396">
        <f>J6999</f>
        <v>0</v>
      </c>
    </row>
    <row r="7001" spans="1:10" ht="13">
      <c r="A7001" s="27"/>
      <c r="B7001" s="110"/>
      <c r="D7001" s="444" t="s">
        <v>68</v>
      </c>
      <c r="E7001" s="445" t="s">
        <v>69</v>
      </c>
      <c r="F7001" s="446"/>
      <c r="G7001" s="447"/>
      <c r="H7001" s="448"/>
      <c r="I7001" s="449">
        <f>IF(AND(E7001&lt;&gt;"",G7001&lt;&gt;""),IF(D7001="",IF(G7001="OH",VLOOKUP(E7001,UPAH!$C$4:$H$31,7,0),VLOOKUP(E7001,#REF!,4,0)),0),0)</f>
        <v>0</v>
      </c>
      <c r="J7001" s="16">
        <f>SUM(J6990:J7000)/2</f>
        <v>0</v>
      </c>
    </row>
    <row r="7002" spans="1:10" ht="13.5" thickBot="1">
      <c r="A7002" s="27"/>
      <c r="B7002" s="110"/>
      <c r="D7002" s="431" t="s">
        <v>70</v>
      </c>
      <c r="E7002" s="432" t="s">
        <v>477</v>
      </c>
      <c r="F7002" s="433"/>
      <c r="G7002" s="434"/>
      <c r="H7002" s="22">
        <v>0.1</v>
      </c>
      <c r="I7002" s="436"/>
      <c r="J7002" s="430">
        <f>H7002*J7001</f>
        <v>0</v>
      </c>
    </row>
    <row r="7003" spans="1:10" ht="13.5" thickBot="1">
      <c r="A7003" s="27"/>
      <c r="B7003" s="110"/>
      <c r="D7003" s="401" t="s">
        <v>71</v>
      </c>
      <c r="E7003" s="402" t="s">
        <v>72</v>
      </c>
      <c r="F7003" s="418"/>
      <c r="G7003" s="419"/>
      <c r="H7003" s="442"/>
      <c r="I7003" s="421">
        <f>IF(AND(E7003&lt;&gt;"",G7003&lt;&gt;""),IF(D7003="",IF(G7003="OH",VLOOKUP(E7003,UPAH!$C$4:$H$31,7,0),VLOOKUP(E7003,#REF!,4,0)),0),0)</f>
        <v>0</v>
      </c>
      <c r="J7003" s="396">
        <f>ROUNDDOWN(J7001+J7002,0)</f>
        <v>0</v>
      </c>
    </row>
    <row r="7004" spans="1:10" ht="13">
      <c r="A7004" s="27"/>
      <c r="B7004" s="110"/>
      <c r="D7004" s="11"/>
      <c r="E7004" s="11"/>
      <c r="H7004" s="443"/>
    </row>
    <row r="7005" spans="1:10" ht="13.5" thickBot="1">
      <c r="A7005" s="27"/>
      <c r="B7005" s="110"/>
      <c r="C7005" s="11" t="s">
        <v>1249</v>
      </c>
      <c r="D7005" s="10" t="s">
        <v>1250</v>
      </c>
      <c r="H7005" s="443"/>
    </row>
    <row r="7006" spans="1:10" ht="13.5" thickBot="1">
      <c r="A7006" s="27"/>
      <c r="B7006" s="110"/>
      <c r="D7006" s="401" t="s">
        <v>40</v>
      </c>
      <c r="E7006" s="402" t="s">
        <v>41</v>
      </c>
      <c r="F7006" s="402" t="s">
        <v>42</v>
      </c>
      <c r="G7006" s="403" t="s">
        <v>43</v>
      </c>
      <c r="H7006" s="404" t="s">
        <v>44</v>
      </c>
      <c r="I7006" s="402" t="s">
        <v>474</v>
      </c>
      <c r="J7006" s="405" t="s">
        <v>475</v>
      </c>
    </row>
    <row r="7007" spans="1:10" ht="13">
      <c r="A7007" s="27"/>
      <c r="B7007" s="110"/>
      <c r="D7007" s="406" t="s">
        <v>45</v>
      </c>
      <c r="E7007" s="13" t="s">
        <v>46</v>
      </c>
      <c r="F7007" s="14"/>
      <c r="G7007" s="15"/>
      <c r="H7007" s="451"/>
      <c r="I7007" s="412"/>
      <c r="J7007" s="16"/>
    </row>
    <row r="7008" spans="1:10" ht="13">
      <c r="A7008" s="27"/>
      <c r="B7008" s="110"/>
      <c r="D7008" s="409"/>
      <c r="E7008" s="13" t="s">
        <v>47</v>
      </c>
      <c r="F7008" s="13" t="s">
        <v>1918</v>
      </c>
      <c r="G7008" s="410" t="s">
        <v>48</v>
      </c>
      <c r="H7008" s="548">
        <v>1.7000000000000001E-2</v>
      </c>
      <c r="I7008" s="412">
        <f>IF(AND(E7008&lt;&gt;"",G7008&lt;&gt;""),IF(D7008="",IF(G7008="OH",VLOOKUP(F7008,UPAH!$B$4:$H$101,7,0),VLOOKUP(F7008,#REF!,4,0)),0),0)</f>
        <v>0</v>
      </c>
      <c r="J7008" s="16">
        <f>H7008*I7008</f>
        <v>0</v>
      </c>
    </row>
    <row r="7009" spans="1:10" ht="13">
      <c r="A7009" s="27"/>
      <c r="B7009" s="110"/>
      <c r="D7009" s="409"/>
      <c r="E7009" s="13" t="s">
        <v>49</v>
      </c>
      <c r="F7009" s="13" t="s">
        <v>1922</v>
      </c>
      <c r="G7009" s="410" t="s">
        <v>48</v>
      </c>
      <c r="H7009" s="548">
        <v>0.17</v>
      </c>
      <c r="I7009" s="412">
        <f>IF(AND(E7009&lt;&gt;"",G7009&lt;&gt;""),IF(D7009="",IF(G7009="OH",VLOOKUP(F7009,UPAH!$B$4:$H$101,7,0),VLOOKUP(F7009,#REF!,4,0)),0),0)</f>
        <v>0</v>
      </c>
      <c r="J7009" s="16">
        <f>H7009*I7009</f>
        <v>0</v>
      </c>
    </row>
    <row r="7010" spans="1:10" ht="13">
      <c r="A7010" s="27"/>
      <c r="B7010" s="110"/>
      <c r="D7010" s="409"/>
      <c r="E7010" s="13" t="s">
        <v>50</v>
      </c>
      <c r="F7010" s="13" t="s">
        <v>1928</v>
      </c>
      <c r="G7010" s="410" t="s">
        <v>48</v>
      </c>
      <c r="H7010" s="548">
        <v>1.7000000000000001E-2</v>
      </c>
      <c r="I7010" s="412">
        <f>IF(AND(E7010&lt;&gt;"",G7010&lt;&gt;""),IF(D7010="",IF(G7010="OH",VLOOKUP(F7010,UPAH!$B$4:$H$101,7,0),VLOOKUP(F7010,#REF!,4,0)),0),0)</f>
        <v>0</v>
      </c>
      <c r="J7010" s="16">
        <f>H7010*I7010</f>
        <v>0</v>
      </c>
    </row>
    <row r="7011" spans="1:10" ht="13.5" thickBot="1">
      <c r="A7011" s="27"/>
      <c r="B7011" s="110"/>
      <c r="D7011" s="409"/>
      <c r="E7011" s="13" t="s">
        <v>51</v>
      </c>
      <c r="F7011" s="13" t="s">
        <v>1929</v>
      </c>
      <c r="G7011" s="410" t="s">
        <v>48</v>
      </c>
      <c r="H7011" s="548">
        <v>8.9999999999999998E-4</v>
      </c>
      <c r="I7011" s="412">
        <f>IF(AND(E7011&lt;&gt;"",G7011&lt;&gt;""),IF(D7011="",IF(G7011="OH",VLOOKUP(F7011,UPAH!$B$4:$H$101,7,0),VLOOKUP(F7011,#REF!,4,0)),0),0)</f>
        <v>0</v>
      </c>
      <c r="J7011" s="16">
        <f>H7011*I7011</f>
        <v>0</v>
      </c>
    </row>
    <row r="7012" spans="1:10" ht="13.5" thickBot="1">
      <c r="A7012" s="27"/>
      <c r="B7012" s="110"/>
      <c r="D7012" s="417"/>
      <c r="E7012" s="418"/>
      <c r="F7012" s="418"/>
      <c r="G7012" s="419"/>
      <c r="H7012" s="420" t="s">
        <v>52</v>
      </c>
      <c r="I7012" s="421"/>
      <c r="J7012" s="396">
        <f>SUM(J7008:J7011)</f>
        <v>0</v>
      </c>
    </row>
    <row r="7013" spans="1:10" ht="13">
      <c r="A7013" s="27"/>
      <c r="B7013" s="110"/>
      <c r="D7013" s="406" t="s">
        <v>53</v>
      </c>
      <c r="E7013" s="13" t="s">
        <v>54</v>
      </c>
      <c r="F7013" s="14"/>
      <c r="G7013" s="15"/>
      <c r="H7013" s="451"/>
      <c r="I7013" s="412"/>
      <c r="J7013" s="16"/>
    </row>
    <row r="7014" spans="1:10" ht="13">
      <c r="A7014" s="27"/>
      <c r="B7014" s="110"/>
      <c r="D7014" s="409"/>
      <c r="E7014" s="13" t="s">
        <v>223</v>
      </c>
      <c r="F7014" s="14"/>
      <c r="G7014" s="410" t="s">
        <v>376</v>
      </c>
      <c r="H7014" s="548">
        <v>1.1000000000000001</v>
      </c>
      <c r="I7014" s="412">
        <f>'BAHAN '!G750</f>
        <v>0</v>
      </c>
      <c r="J7014" s="16">
        <f>H7014*I7014</f>
        <v>0</v>
      </c>
    </row>
    <row r="7015" spans="1:10" ht="13.5" thickBot="1">
      <c r="A7015" s="27"/>
      <c r="B7015" s="110"/>
      <c r="D7015" s="409"/>
      <c r="E7015" s="13" t="s">
        <v>516</v>
      </c>
      <c r="F7015" s="14"/>
      <c r="G7015" s="410" t="s">
        <v>57</v>
      </c>
      <c r="H7015" s="548">
        <v>7.0000000000000007E-2</v>
      </c>
      <c r="I7015" s="412">
        <f>'BAHAN '!G789</f>
        <v>0</v>
      </c>
      <c r="J7015" s="16">
        <f>H7015*I7015</f>
        <v>0</v>
      </c>
    </row>
    <row r="7016" spans="1:10" ht="13.5" thickBot="1">
      <c r="A7016" s="27"/>
      <c r="B7016" s="110"/>
      <c r="D7016" s="417"/>
      <c r="E7016" s="418"/>
      <c r="F7016" s="418"/>
      <c r="G7016" s="419"/>
      <c r="H7016" s="420" t="s">
        <v>64</v>
      </c>
      <c r="I7016" s="421"/>
      <c r="J7016" s="396">
        <f>SUM(J7014:J7015)</f>
        <v>0</v>
      </c>
    </row>
    <row r="7017" spans="1:10" ht="13.5" thickBot="1">
      <c r="A7017" s="27"/>
      <c r="B7017" s="110"/>
      <c r="D7017" s="406" t="s">
        <v>65</v>
      </c>
      <c r="E7017" s="13" t="s">
        <v>66</v>
      </c>
      <c r="F7017" s="14"/>
      <c r="G7017" s="15"/>
      <c r="H7017" s="451"/>
      <c r="I7017" s="412">
        <f>IF(AND(E7017&lt;&gt;"",G7017&lt;&gt;""),IF(D7017="",IF(G7017="OH",VLOOKUP(E7017,UPAH!$C$4:$H$31,7,0),VLOOKUP(E7017,#REF!,4,0)),0),0)</f>
        <v>0</v>
      </c>
      <c r="J7017" s="16">
        <f>H7017*I7017</f>
        <v>0</v>
      </c>
    </row>
    <row r="7018" spans="1:10" ht="13.5" thickBot="1">
      <c r="A7018" s="27"/>
      <c r="B7018" s="110"/>
      <c r="D7018" s="417"/>
      <c r="E7018" s="418"/>
      <c r="F7018" s="418"/>
      <c r="G7018" s="419"/>
      <c r="H7018" s="420" t="s">
        <v>67</v>
      </c>
      <c r="I7018" s="421"/>
      <c r="J7018" s="396">
        <f>J7017</f>
        <v>0</v>
      </c>
    </row>
    <row r="7019" spans="1:10" ht="13">
      <c r="A7019" s="27"/>
      <c r="B7019" s="110"/>
      <c r="D7019" s="444" t="s">
        <v>68</v>
      </c>
      <c r="E7019" s="445" t="s">
        <v>69</v>
      </c>
      <c r="F7019" s="446"/>
      <c r="G7019" s="447"/>
      <c r="H7019" s="448"/>
      <c r="I7019" s="449">
        <f>IF(AND(E7019&lt;&gt;"",G7019&lt;&gt;""),IF(D7019="",IF(G7019="OH",VLOOKUP(E7019,UPAH!$C$4:$H$31,7,0),VLOOKUP(E7019,#REF!,4,0)),0),0)</f>
        <v>0</v>
      </c>
      <c r="J7019" s="16">
        <f>SUM(J7008:J7018)/2</f>
        <v>0</v>
      </c>
    </row>
    <row r="7020" spans="1:10" ht="13.5" thickBot="1">
      <c r="A7020" s="27"/>
      <c r="B7020" s="110"/>
      <c r="D7020" s="431" t="s">
        <v>70</v>
      </c>
      <c r="E7020" s="432" t="s">
        <v>477</v>
      </c>
      <c r="F7020" s="433"/>
      <c r="G7020" s="434"/>
      <c r="H7020" s="22">
        <v>0.1</v>
      </c>
      <c r="I7020" s="436"/>
      <c r="J7020" s="430">
        <f>H7020*J7019</f>
        <v>0</v>
      </c>
    </row>
    <row r="7021" spans="1:10" ht="13.5" thickBot="1">
      <c r="A7021" s="27"/>
      <c r="B7021" s="110"/>
      <c r="D7021" s="401" t="s">
        <v>71</v>
      </c>
      <c r="E7021" s="402" t="s">
        <v>72</v>
      </c>
      <c r="F7021" s="418"/>
      <c r="G7021" s="419"/>
      <c r="H7021" s="442"/>
      <c r="I7021" s="421">
        <f>IF(AND(E7021&lt;&gt;"",G7021&lt;&gt;""),IF(D7021="",IF(G7021="OH",VLOOKUP(E7021,UPAH!$C$4:$H$31,7,0),VLOOKUP(E7021,#REF!,4,0)),0),0)</f>
        <v>0</v>
      </c>
      <c r="J7021" s="396">
        <f>ROUNDDOWN(J7019+J7020,0)</f>
        <v>0</v>
      </c>
    </row>
    <row r="7022" spans="1:10" ht="13">
      <c r="A7022" s="27"/>
      <c r="B7022" s="110"/>
      <c r="D7022" s="11"/>
      <c r="E7022" s="11"/>
      <c r="H7022" s="443"/>
    </row>
    <row r="7023" spans="1:10" ht="13.5" thickBot="1">
      <c r="A7023" s="27"/>
      <c r="B7023" s="110"/>
      <c r="C7023" s="11" t="s">
        <v>1251</v>
      </c>
      <c r="D7023" s="10" t="s">
        <v>1252</v>
      </c>
      <c r="H7023" s="443"/>
    </row>
    <row r="7024" spans="1:10" ht="13.5" thickBot="1">
      <c r="A7024" s="27"/>
      <c r="B7024" s="110"/>
      <c r="D7024" s="401" t="s">
        <v>40</v>
      </c>
      <c r="E7024" s="402" t="s">
        <v>41</v>
      </c>
      <c r="F7024" s="402" t="s">
        <v>42</v>
      </c>
      <c r="G7024" s="403" t="s">
        <v>43</v>
      </c>
      <c r="H7024" s="404" t="s">
        <v>44</v>
      </c>
      <c r="I7024" s="402" t="s">
        <v>474</v>
      </c>
      <c r="J7024" s="405" t="s">
        <v>475</v>
      </c>
    </row>
    <row r="7025" spans="1:10" ht="13">
      <c r="A7025" s="27"/>
      <c r="B7025" s="110"/>
      <c r="D7025" s="406" t="s">
        <v>45</v>
      </c>
      <c r="E7025" s="13" t="s">
        <v>46</v>
      </c>
      <c r="F7025" s="14"/>
      <c r="G7025" s="15"/>
      <c r="H7025" s="451"/>
      <c r="I7025" s="412"/>
      <c r="J7025" s="16"/>
    </row>
    <row r="7026" spans="1:10" ht="13">
      <c r="A7026" s="27"/>
      <c r="B7026" s="110"/>
      <c r="D7026" s="409"/>
      <c r="E7026" s="13" t="s">
        <v>47</v>
      </c>
      <c r="F7026" s="13" t="s">
        <v>1918</v>
      </c>
      <c r="G7026" s="410" t="s">
        <v>48</v>
      </c>
      <c r="H7026" s="548">
        <v>2.5000000000000001E-2</v>
      </c>
      <c r="I7026" s="412">
        <f>IF(AND(E7026&lt;&gt;"",G7026&lt;&gt;""),IF(D7026="",IF(G7026="OH",VLOOKUP(F7026,UPAH!$B$4:$H$101,7,0),VLOOKUP(F7026,#REF!,4,0)),0),0)</f>
        <v>0</v>
      </c>
      <c r="J7026" s="16">
        <f>H7026*I7026</f>
        <v>0</v>
      </c>
    </row>
    <row r="7027" spans="1:10" ht="13">
      <c r="A7027" s="27"/>
      <c r="B7027" s="110"/>
      <c r="D7027" s="409"/>
      <c r="E7027" s="13" t="s">
        <v>49</v>
      </c>
      <c r="F7027" s="13" t="s">
        <v>1922</v>
      </c>
      <c r="G7027" s="410" t="s">
        <v>48</v>
      </c>
      <c r="H7027" s="548">
        <v>0.25</v>
      </c>
      <c r="I7027" s="412">
        <f>IF(AND(E7027&lt;&gt;"",G7027&lt;&gt;""),IF(D7027="",IF(G7027="OH",VLOOKUP(F7027,UPAH!$B$4:$H$101,7,0),VLOOKUP(F7027,#REF!,4,0)),0),0)</f>
        <v>0</v>
      </c>
      <c r="J7027" s="16">
        <f>H7027*I7027</f>
        <v>0</v>
      </c>
    </row>
    <row r="7028" spans="1:10" ht="13">
      <c r="A7028" s="27"/>
      <c r="B7028" s="110"/>
      <c r="D7028" s="409"/>
      <c r="E7028" s="13" t="s">
        <v>50</v>
      </c>
      <c r="F7028" s="13" t="s">
        <v>1928</v>
      </c>
      <c r="G7028" s="410" t="s">
        <v>48</v>
      </c>
      <c r="H7028" s="548">
        <v>2.5000000000000001E-2</v>
      </c>
      <c r="I7028" s="412">
        <f>IF(AND(E7028&lt;&gt;"",G7028&lt;&gt;""),IF(D7028="",IF(G7028="OH",VLOOKUP(F7028,UPAH!$B$4:$H$101,7,0),VLOOKUP(F7028,#REF!,4,0)),0),0)</f>
        <v>0</v>
      </c>
      <c r="J7028" s="16">
        <f>H7028*I7028</f>
        <v>0</v>
      </c>
    </row>
    <row r="7029" spans="1:10" ht="13.5" thickBot="1">
      <c r="A7029" s="27"/>
      <c r="B7029" s="110"/>
      <c r="D7029" s="409"/>
      <c r="E7029" s="13" t="s">
        <v>51</v>
      </c>
      <c r="F7029" s="13" t="s">
        <v>1929</v>
      </c>
      <c r="G7029" s="410" t="s">
        <v>48</v>
      </c>
      <c r="H7029" s="548">
        <v>1.2999999999999999E-3</v>
      </c>
      <c r="I7029" s="412">
        <f>IF(AND(E7029&lt;&gt;"",G7029&lt;&gt;""),IF(D7029="",IF(G7029="OH",VLOOKUP(F7029,UPAH!$B$4:$H$101,7,0),VLOOKUP(F7029,#REF!,4,0)),0),0)</f>
        <v>0</v>
      </c>
      <c r="J7029" s="16">
        <f>H7029*I7029</f>
        <v>0</v>
      </c>
    </row>
    <row r="7030" spans="1:10" ht="13.5" thickBot="1">
      <c r="A7030" s="27"/>
      <c r="B7030" s="110"/>
      <c r="D7030" s="417"/>
      <c r="E7030" s="418"/>
      <c r="F7030" s="418"/>
      <c r="G7030" s="419"/>
      <c r="H7030" s="420" t="s">
        <v>52</v>
      </c>
      <c r="I7030" s="421"/>
      <c r="J7030" s="396">
        <f>SUM(J7026:J7029)</f>
        <v>0</v>
      </c>
    </row>
    <row r="7031" spans="1:10" ht="13">
      <c r="A7031" s="27"/>
      <c r="B7031" s="110"/>
      <c r="D7031" s="406" t="s">
        <v>53</v>
      </c>
      <c r="E7031" s="13" t="s">
        <v>54</v>
      </c>
      <c r="F7031" s="14"/>
      <c r="G7031" s="15"/>
      <c r="H7031" s="451"/>
      <c r="I7031" s="412"/>
      <c r="J7031" s="16"/>
    </row>
    <row r="7032" spans="1:10" ht="13">
      <c r="A7032" s="27"/>
      <c r="B7032" s="110"/>
      <c r="D7032" s="409"/>
      <c r="E7032" s="13" t="s">
        <v>224</v>
      </c>
      <c r="F7032" s="14"/>
      <c r="G7032" s="410" t="s">
        <v>376</v>
      </c>
      <c r="H7032" s="548">
        <v>1.1000000000000001</v>
      </c>
      <c r="I7032" s="412">
        <f>'BAHAN '!G743</f>
        <v>0</v>
      </c>
      <c r="J7032" s="16">
        <f>H7032*I7032</f>
        <v>0</v>
      </c>
    </row>
    <row r="7033" spans="1:10" ht="13.5" thickBot="1">
      <c r="A7033" s="27"/>
      <c r="B7033" s="110"/>
      <c r="D7033" s="409"/>
      <c r="E7033" s="13" t="s">
        <v>516</v>
      </c>
      <c r="F7033" s="14"/>
      <c r="G7033" s="410" t="s">
        <v>57</v>
      </c>
      <c r="H7033" s="548">
        <v>7.0000000000000007E-2</v>
      </c>
      <c r="I7033" s="412">
        <f>'BAHAN '!G789</f>
        <v>0</v>
      </c>
      <c r="J7033" s="16">
        <f>H7033*I7033</f>
        <v>0</v>
      </c>
    </row>
    <row r="7034" spans="1:10" ht="13.5" thickBot="1">
      <c r="A7034" s="27"/>
      <c r="B7034" s="110"/>
      <c r="D7034" s="417"/>
      <c r="E7034" s="418"/>
      <c r="F7034" s="418"/>
      <c r="G7034" s="419"/>
      <c r="H7034" s="420" t="s">
        <v>64</v>
      </c>
      <c r="I7034" s="421"/>
      <c r="J7034" s="396">
        <f>SUM(J7032:J7033)</f>
        <v>0</v>
      </c>
    </row>
    <row r="7035" spans="1:10" ht="13.5" thickBot="1">
      <c r="A7035" s="27"/>
      <c r="B7035" s="110"/>
      <c r="D7035" s="406" t="s">
        <v>65</v>
      </c>
      <c r="E7035" s="13" t="s">
        <v>66</v>
      </c>
      <c r="F7035" s="14"/>
      <c r="G7035" s="15"/>
      <c r="H7035" s="451"/>
      <c r="I7035" s="412">
        <f>IF(AND(E7035&lt;&gt;"",G7035&lt;&gt;""),IF(D7035="",IF(G7035="OH",VLOOKUP(E7035,UPAH!$C$4:$H$31,7,0),VLOOKUP(E7035,#REF!,4,0)),0),0)</f>
        <v>0</v>
      </c>
      <c r="J7035" s="16">
        <f>H7035*I7035</f>
        <v>0</v>
      </c>
    </row>
    <row r="7036" spans="1:10" ht="13.5" thickBot="1">
      <c r="A7036" s="27"/>
      <c r="B7036" s="110"/>
      <c r="D7036" s="417"/>
      <c r="E7036" s="418"/>
      <c r="F7036" s="418"/>
      <c r="G7036" s="419"/>
      <c r="H7036" s="420" t="s">
        <v>67</v>
      </c>
      <c r="I7036" s="421"/>
      <c r="J7036" s="396">
        <f>J7035</f>
        <v>0</v>
      </c>
    </row>
    <row r="7037" spans="1:10" ht="13">
      <c r="A7037" s="27"/>
      <c r="B7037" s="110"/>
      <c r="D7037" s="444" t="s">
        <v>68</v>
      </c>
      <c r="E7037" s="445" t="s">
        <v>69</v>
      </c>
      <c r="F7037" s="446"/>
      <c r="G7037" s="447"/>
      <c r="H7037" s="448"/>
      <c r="I7037" s="449">
        <f>IF(AND(E7037&lt;&gt;"",G7037&lt;&gt;""),IF(D7037="",IF(G7037="OH",VLOOKUP(E7037,UPAH!$C$4:$H$31,7,0),VLOOKUP(E7037,#REF!,4,0)),0),0)</f>
        <v>0</v>
      </c>
      <c r="J7037" s="16">
        <f>SUM(J7026:J7036)/2</f>
        <v>0</v>
      </c>
    </row>
    <row r="7038" spans="1:10" ht="13.5" thickBot="1">
      <c r="A7038" s="27"/>
      <c r="B7038" s="110"/>
      <c r="D7038" s="431" t="s">
        <v>70</v>
      </c>
      <c r="E7038" s="432" t="s">
        <v>477</v>
      </c>
      <c r="F7038" s="433"/>
      <c r="G7038" s="434"/>
      <c r="H7038" s="22">
        <v>0.1</v>
      </c>
      <c r="I7038" s="436"/>
      <c r="J7038" s="430">
        <f>H7038*J7037</f>
        <v>0</v>
      </c>
    </row>
    <row r="7039" spans="1:10" ht="13.5" thickBot="1">
      <c r="A7039" s="27"/>
      <c r="B7039" s="110"/>
      <c r="D7039" s="401" t="s">
        <v>71</v>
      </c>
      <c r="E7039" s="402" t="s">
        <v>72</v>
      </c>
      <c r="F7039" s="418"/>
      <c r="G7039" s="419"/>
      <c r="H7039" s="442"/>
      <c r="I7039" s="421">
        <f>IF(AND(E7039&lt;&gt;"",G7039&lt;&gt;""),IF(D7039="",IF(G7039="OH",VLOOKUP(E7039,UPAH!$C$4:$H$31,7,0),VLOOKUP(E7039,#REF!,4,0)),0),0)</f>
        <v>0</v>
      </c>
      <c r="J7039" s="396">
        <f>ROUNDDOWN(J7037+J7038,0)</f>
        <v>0</v>
      </c>
    </row>
    <row r="7040" spans="1:10" ht="13">
      <c r="A7040" s="27"/>
      <c r="B7040" s="110"/>
      <c r="D7040" s="11"/>
      <c r="E7040" s="11"/>
      <c r="H7040" s="443"/>
    </row>
    <row r="7041" spans="1:10" ht="13.5" thickBot="1">
      <c r="A7041" s="27"/>
      <c r="B7041" s="110"/>
      <c r="C7041" s="11" t="s">
        <v>1253</v>
      </c>
      <c r="D7041" s="10" t="s">
        <v>1254</v>
      </c>
      <c r="H7041" s="443"/>
    </row>
    <row r="7042" spans="1:10" ht="13.5" thickBot="1">
      <c r="A7042" s="27"/>
      <c r="B7042" s="110"/>
      <c r="D7042" s="401" t="s">
        <v>40</v>
      </c>
      <c r="E7042" s="402" t="s">
        <v>41</v>
      </c>
      <c r="F7042" s="402" t="s">
        <v>42</v>
      </c>
      <c r="G7042" s="403" t="s">
        <v>43</v>
      </c>
      <c r="H7042" s="404" t="s">
        <v>44</v>
      </c>
      <c r="I7042" s="402" t="s">
        <v>474</v>
      </c>
      <c r="J7042" s="405" t="s">
        <v>475</v>
      </c>
    </row>
    <row r="7043" spans="1:10" ht="13">
      <c r="A7043" s="27"/>
      <c r="B7043" s="110"/>
      <c r="D7043" s="406" t="s">
        <v>45</v>
      </c>
      <c r="E7043" s="13" t="s">
        <v>46</v>
      </c>
      <c r="F7043" s="14"/>
      <c r="G7043" s="15"/>
      <c r="H7043" s="451"/>
      <c r="I7043" s="412"/>
      <c r="J7043" s="16"/>
    </row>
    <row r="7044" spans="1:10" ht="13">
      <c r="A7044" s="27"/>
      <c r="B7044" s="110"/>
      <c r="D7044" s="409"/>
      <c r="E7044" s="13" t="s">
        <v>47</v>
      </c>
      <c r="F7044" s="13" t="s">
        <v>1918</v>
      </c>
      <c r="G7044" s="410" t="s">
        <v>48</v>
      </c>
      <c r="H7044" s="548">
        <v>1.4999999999999999E-2</v>
      </c>
      <c r="I7044" s="412">
        <f>IF(AND(E7044&lt;&gt;"",G7044&lt;&gt;""),IF(D7044="",IF(G7044="OH",VLOOKUP(F7044,UPAH!$B$4:$H$101,7,0),VLOOKUP(F7044,#REF!,4,0)),0),0)</f>
        <v>0</v>
      </c>
      <c r="J7044" s="16">
        <f>H7044*I7044</f>
        <v>0</v>
      </c>
    </row>
    <row r="7045" spans="1:10" ht="13">
      <c r="A7045" s="27"/>
      <c r="B7045" s="110"/>
      <c r="D7045" s="409"/>
      <c r="E7045" s="13" t="s">
        <v>49</v>
      </c>
      <c r="F7045" s="13" t="s">
        <v>1922</v>
      </c>
      <c r="G7045" s="410" t="s">
        <v>48</v>
      </c>
      <c r="H7045" s="548">
        <v>0.15</v>
      </c>
      <c r="I7045" s="412">
        <f>IF(AND(E7045&lt;&gt;"",G7045&lt;&gt;""),IF(D7045="",IF(G7045="OH",VLOOKUP(F7045,UPAH!$B$4:$H$101,7,0),VLOOKUP(F7045,#REF!,4,0)),0),0)</f>
        <v>0</v>
      </c>
      <c r="J7045" s="16">
        <f>H7045*I7045</f>
        <v>0</v>
      </c>
    </row>
    <row r="7046" spans="1:10" ht="13">
      <c r="A7046" s="27"/>
      <c r="B7046" s="110"/>
      <c r="D7046" s="409"/>
      <c r="E7046" s="13" t="s">
        <v>50</v>
      </c>
      <c r="F7046" s="13" t="s">
        <v>1928</v>
      </c>
      <c r="G7046" s="410" t="s">
        <v>48</v>
      </c>
      <c r="H7046" s="548">
        <v>1.4999999999999999E-2</v>
      </c>
      <c r="I7046" s="412">
        <f>IF(AND(E7046&lt;&gt;"",G7046&lt;&gt;""),IF(D7046="",IF(G7046="OH",VLOOKUP(F7046,UPAH!$B$4:$H$101,7,0),VLOOKUP(F7046,#REF!,4,0)),0),0)</f>
        <v>0</v>
      </c>
      <c r="J7046" s="16">
        <f>H7046*I7046</f>
        <v>0</v>
      </c>
    </row>
    <row r="7047" spans="1:10" ht="13.5" thickBot="1">
      <c r="A7047" s="27"/>
      <c r="B7047" s="110"/>
      <c r="D7047" s="409"/>
      <c r="E7047" s="13" t="s">
        <v>51</v>
      </c>
      <c r="F7047" s="13" t="s">
        <v>1929</v>
      </c>
      <c r="G7047" s="410" t="s">
        <v>48</v>
      </c>
      <c r="H7047" s="548">
        <v>8.0000000000000002E-3</v>
      </c>
      <c r="I7047" s="412">
        <f>IF(AND(E7047&lt;&gt;"",G7047&lt;&gt;""),IF(D7047="",IF(G7047="OH",VLOOKUP(F7047,UPAH!$B$4:$H$101,7,0),VLOOKUP(F7047,#REF!,4,0)),0),0)</f>
        <v>0</v>
      </c>
      <c r="J7047" s="16">
        <f>H7047*I7047</f>
        <v>0</v>
      </c>
    </row>
    <row r="7048" spans="1:10" ht="13.5" thickBot="1">
      <c r="A7048" s="27"/>
      <c r="B7048" s="110"/>
      <c r="D7048" s="417"/>
      <c r="E7048" s="418"/>
      <c r="F7048" s="418"/>
      <c r="G7048" s="419"/>
      <c r="H7048" s="420" t="s">
        <v>52</v>
      </c>
      <c r="I7048" s="421"/>
      <c r="J7048" s="396">
        <f>SUM(J7044:J7047)</f>
        <v>0</v>
      </c>
    </row>
    <row r="7049" spans="1:10" ht="13">
      <c r="A7049" s="27"/>
      <c r="B7049" s="110"/>
      <c r="D7049" s="406" t="s">
        <v>53</v>
      </c>
      <c r="E7049" s="13" t="s">
        <v>54</v>
      </c>
      <c r="F7049" s="14"/>
      <c r="G7049" s="15"/>
      <c r="H7049" s="451"/>
      <c r="I7049" s="412"/>
      <c r="J7049" s="16"/>
    </row>
    <row r="7050" spans="1:10" ht="13.5" thickBot="1">
      <c r="A7050" s="27"/>
      <c r="B7050" s="110"/>
      <c r="D7050" s="409"/>
      <c r="E7050" s="13" t="s">
        <v>225</v>
      </c>
      <c r="F7050" s="14"/>
      <c r="G7050" s="410" t="s">
        <v>376</v>
      </c>
      <c r="H7050" s="548">
        <v>1.1000000000000001</v>
      </c>
      <c r="I7050" s="412">
        <f>'BAHAN '!G745</f>
        <v>0</v>
      </c>
      <c r="J7050" s="16">
        <f>H7050*I7050</f>
        <v>0</v>
      </c>
    </row>
    <row r="7051" spans="1:10" ht="13.5" thickBot="1">
      <c r="A7051" s="27"/>
      <c r="B7051" s="110"/>
      <c r="D7051" s="417"/>
      <c r="E7051" s="418"/>
      <c r="F7051" s="418"/>
      <c r="G7051" s="419"/>
      <c r="H7051" s="420" t="s">
        <v>64</v>
      </c>
      <c r="I7051" s="421"/>
      <c r="J7051" s="396">
        <f>SUM(J7049:J7050)</f>
        <v>0</v>
      </c>
    </row>
    <row r="7052" spans="1:10" ht="13.5" thickBot="1">
      <c r="A7052" s="27"/>
      <c r="B7052" s="110"/>
      <c r="D7052" s="406" t="s">
        <v>65</v>
      </c>
      <c r="E7052" s="13" t="s">
        <v>66</v>
      </c>
      <c r="F7052" s="14"/>
      <c r="G7052" s="15"/>
      <c r="H7052" s="451"/>
      <c r="I7052" s="412">
        <f>IF(AND(E7052&lt;&gt;"",G7052&lt;&gt;""),IF(D7052="",IF(G7052="OH",VLOOKUP(E7052,UPAH!$C$4:$H$31,7,0),VLOOKUP(E7052,#REF!,4,0)),0),0)</f>
        <v>0</v>
      </c>
      <c r="J7052" s="16">
        <f>H7052*I7052</f>
        <v>0</v>
      </c>
    </row>
    <row r="7053" spans="1:10" ht="13.5" thickBot="1">
      <c r="A7053" s="27"/>
      <c r="B7053" s="110"/>
      <c r="D7053" s="417"/>
      <c r="E7053" s="418"/>
      <c r="F7053" s="418"/>
      <c r="G7053" s="419"/>
      <c r="H7053" s="420" t="s">
        <v>67</v>
      </c>
      <c r="I7053" s="421"/>
      <c r="J7053" s="396">
        <f>J7052</f>
        <v>0</v>
      </c>
    </row>
    <row r="7054" spans="1:10" ht="13">
      <c r="A7054" s="27"/>
      <c r="B7054" s="110"/>
      <c r="D7054" s="444" t="s">
        <v>68</v>
      </c>
      <c r="E7054" s="445" t="s">
        <v>69</v>
      </c>
      <c r="F7054" s="446"/>
      <c r="G7054" s="447"/>
      <c r="H7054" s="448"/>
      <c r="I7054" s="449">
        <f>IF(AND(E7054&lt;&gt;"",G7054&lt;&gt;""),IF(D7054="",IF(G7054="OH",VLOOKUP(E7054,UPAH!$C$4:$H$31,7,0),VLOOKUP(E7054,#REF!,4,0)),0),0)</f>
        <v>0</v>
      </c>
      <c r="J7054" s="16">
        <f>SUM(J7043:J7053)/2</f>
        <v>0</v>
      </c>
    </row>
    <row r="7055" spans="1:10" ht="13.5" thickBot="1">
      <c r="A7055" s="27"/>
      <c r="B7055" s="110"/>
      <c r="D7055" s="431" t="s">
        <v>70</v>
      </c>
      <c r="E7055" s="432" t="s">
        <v>477</v>
      </c>
      <c r="F7055" s="433"/>
      <c r="G7055" s="434"/>
      <c r="H7055" s="22">
        <v>0.1</v>
      </c>
      <c r="I7055" s="436"/>
      <c r="J7055" s="430">
        <f>H7055*J7054</f>
        <v>0</v>
      </c>
    </row>
    <row r="7056" spans="1:10" ht="13.5" thickBot="1">
      <c r="A7056" s="27"/>
      <c r="B7056" s="110"/>
      <c r="D7056" s="401" t="s">
        <v>71</v>
      </c>
      <c r="E7056" s="402" t="s">
        <v>72</v>
      </c>
      <c r="F7056" s="418"/>
      <c r="G7056" s="419"/>
      <c r="H7056" s="442"/>
      <c r="I7056" s="421">
        <f>IF(AND(E7056&lt;&gt;"",G7056&lt;&gt;""),IF(D7056="",IF(G7056="OH",VLOOKUP(E7056,UPAH!$C$4:$H$31,7,0),VLOOKUP(E7056,#REF!,4,0)),0),0)</f>
        <v>0</v>
      </c>
      <c r="J7056" s="396">
        <f>ROUNDDOWN(J7054+J7055,0)</f>
        <v>0</v>
      </c>
    </row>
    <row r="7057" spans="1:10" ht="13">
      <c r="A7057" s="27"/>
      <c r="B7057" s="110"/>
      <c r="D7057" s="11"/>
      <c r="E7057" s="11"/>
      <c r="H7057" s="443"/>
    </row>
    <row r="7058" spans="1:10" ht="13.5" thickBot="1">
      <c r="A7058" s="27"/>
      <c r="B7058" s="110"/>
      <c r="C7058" s="11" t="s">
        <v>1255</v>
      </c>
      <c r="D7058" s="10" t="s">
        <v>1256</v>
      </c>
      <c r="H7058" s="443"/>
    </row>
    <row r="7059" spans="1:10" ht="13.5" thickBot="1">
      <c r="A7059" s="27"/>
      <c r="B7059" s="110"/>
      <c r="D7059" s="401" t="s">
        <v>40</v>
      </c>
      <c r="E7059" s="402" t="s">
        <v>41</v>
      </c>
      <c r="F7059" s="402" t="s">
        <v>42</v>
      </c>
      <c r="G7059" s="403" t="s">
        <v>43</v>
      </c>
      <c r="H7059" s="404" t="s">
        <v>44</v>
      </c>
      <c r="I7059" s="402" t="s">
        <v>474</v>
      </c>
      <c r="J7059" s="405" t="s">
        <v>475</v>
      </c>
    </row>
    <row r="7060" spans="1:10" ht="13">
      <c r="A7060" s="27"/>
      <c r="B7060" s="110"/>
      <c r="D7060" s="406" t="s">
        <v>45</v>
      </c>
      <c r="E7060" s="13" t="s">
        <v>46</v>
      </c>
      <c r="F7060" s="14"/>
      <c r="G7060" s="15"/>
      <c r="H7060" s="451"/>
      <c r="I7060" s="412"/>
      <c r="J7060" s="16"/>
    </row>
    <row r="7061" spans="1:10" ht="13">
      <c r="A7061" s="27"/>
      <c r="B7061" s="110"/>
      <c r="D7061" s="409"/>
      <c r="E7061" s="13" t="s">
        <v>47</v>
      </c>
      <c r="F7061" s="13" t="s">
        <v>1918</v>
      </c>
      <c r="G7061" s="410" t="s">
        <v>48</v>
      </c>
      <c r="H7061" s="548">
        <v>1.7000000000000001E-2</v>
      </c>
      <c r="I7061" s="412">
        <f>IF(AND(E7061&lt;&gt;"",G7061&lt;&gt;""),IF(D7061="",IF(G7061="OH",VLOOKUP(F7061,UPAH!$B$4:$H$101,7,0),VLOOKUP(F7061,#REF!,4,0)),0),0)</f>
        <v>0</v>
      </c>
      <c r="J7061" s="16">
        <f>H7061*I7061</f>
        <v>0</v>
      </c>
    </row>
    <row r="7062" spans="1:10" ht="13">
      <c r="A7062" s="27"/>
      <c r="B7062" s="110"/>
      <c r="D7062" s="409"/>
      <c r="E7062" s="13" t="s">
        <v>49</v>
      </c>
      <c r="F7062" s="13" t="s">
        <v>1922</v>
      </c>
      <c r="G7062" s="410" t="s">
        <v>48</v>
      </c>
      <c r="H7062" s="548">
        <v>0.17</v>
      </c>
      <c r="I7062" s="412">
        <f>IF(AND(E7062&lt;&gt;"",G7062&lt;&gt;""),IF(D7062="",IF(G7062="OH",VLOOKUP(F7062,UPAH!$B$4:$H$101,7,0),VLOOKUP(F7062,#REF!,4,0)),0),0)</f>
        <v>0</v>
      </c>
      <c r="J7062" s="16">
        <f>H7062*I7062</f>
        <v>0</v>
      </c>
    </row>
    <row r="7063" spans="1:10" ht="13">
      <c r="A7063" s="27"/>
      <c r="B7063" s="110"/>
      <c r="D7063" s="409"/>
      <c r="E7063" s="13" t="s">
        <v>50</v>
      </c>
      <c r="F7063" s="13" t="s">
        <v>1928</v>
      </c>
      <c r="G7063" s="410" t="s">
        <v>48</v>
      </c>
      <c r="H7063" s="548">
        <v>1.7000000000000001E-2</v>
      </c>
      <c r="I7063" s="412">
        <f>IF(AND(E7063&lt;&gt;"",G7063&lt;&gt;""),IF(D7063="",IF(G7063="OH",VLOOKUP(F7063,UPAH!$B$4:$H$101,7,0),VLOOKUP(F7063,#REF!,4,0)),0),0)</f>
        <v>0</v>
      </c>
      <c r="J7063" s="16">
        <f>H7063*I7063</f>
        <v>0</v>
      </c>
    </row>
    <row r="7064" spans="1:10" ht="13.5" thickBot="1">
      <c r="A7064" s="27"/>
      <c r="B7064" s="110"/>
      <c r="D7064" s="409"/>
      <c r="E7064" s="13" t="s">
        <v>51</v>
      </c>
      <c r="F7064" s="13" t="s">
        <v>1929</v>
      </c>
      <c r="G7064" s="410" t="s">
        <v>48</v>
      </c>
      <c r="H7064" s="548">
        <v>8.9999999999999993E-3</v>
      </c>
      <c r="I7064" s="412">
        <f>IF(AND(E7064&lt;&gt;"",G7064&lt;&gt;""),IF(D7064="",IF(G7064="OH",VLOOKUP(F7064,UPAH!$B$4:$H$101,7,0),VLOOKUP(F7064,#REF!,4,0)),0),0)</f>
        <v>0</v>
      </c>
      <c r="J7064" s="16">
        <f>H7064*I7064</f>
        <v>0</v>
      </c>
    </row>
    <row r="7065" spans="1:10" ht="13.5" thickBot="1">
      <c r="A7065" s="27"/>
      <c r="B7065" s="110"/>
      <c r="D7065" s="417"/>
      <c r="E7065" s="418"/>
      <c r="F7065" s="418"/>
      <c r="G7065" s="419"/>
      <c r="H7065" s="420" t="s">
        <v>52</v>
      </c>
      <c r="I7065" s="421"/>
      <c r="J7065" s="396">
        <f>SUM(J7061:J7064)</f>
        <v>0</v>
      </c>
    </row>
    <row r="7066" spans="1:10" ht="13">
      <c r="A7066" s="27"/>
      <c r="B7066" s="110"/>
      <c r="D7066" s="406" t="s">
        <v>53</v>
      </c>
      <c r="E7066" s="13" t="s">
        <v>54</v>
      </c>
      <c r="F7066" s="14"/>
      <c r="G7066" s="15"/>
      <c r="H7066" s="451"/>
      <c r="I7066" s="412"/>
      <c r="J7066" s="16"/>
    </row>
    <row r="7067" spans="1:10" ht="13.5" thickBot="1">
      <c r="A7067" s="27"/>
      <c r="B7067" s="110"/>
      <c r="D7067" s="409"/>
      <c r="E7067" s="13" t="s">
        <v>226</v>
      </c>
      <c r="F7067" s="14"/>
      <c r="G7067" s="410" t="s">
        <v>376</v>
      </c>
      <c r="H7067" s="548">
        <v>1.1000000000000001</v>
      </c>
      <c r="I7067" s="412">
        <f>'BAHAN '!G746</f>
        <v>0</v>
      </c>
      <c r="J7067" s="16">
        <f>H7067*I7067</f>
        <v>0</v>
      </c>
    </row>
    <row r="7068" spans="1:10" ht="13.5" thickBot="1">
      <c r="A7068" s="27"/>
      <c r="B7068" s="110"/>
      <c r="D7068" s="417"/>
      <c r="E7068" s="418"/>
      <c r="F7068" s="418"/>
      <c r="G7068" s="419"/>
      <c r="H7068" s="420" t="s">
        <v>64</v>
      </c>
      <c r="I7068" s="421"/>
      <c r="J7068" s="396">
        <f>SUM(J7066:J7067)</f>
        <v>0</v>
      </c>
    </row>
    <row r="7069" spans="1:10" ht="13.5" thickBot="1">
      <c r="A7069" s="27"/>
      <c r="B7069" s="110"/>
      <c r="D7069" s="406" t="s">
        <v>65</v>
      </c>
      <c r="E7069" s="13" t="s">
        <v>66</v>
      </c>
      <c r="F7069" s="14"/>
      <c r="G7069" s="15"/>
      <c r="H7069" s="451"/>
      <c r="I7069" s="412">
        <f>IF(AND(E7069&lt;&gt;"",G7069&lt;&gt;""),IF(D7069="",IF(G7069="OH",VLOOKUP(E7069,UPAH!$C$4:$H$31,7,0),VLOOKUP(E7069,#REF!,4,0)),0),0)</f>
        <v>0</v>
      </c>
      <c r="J7069" s="16">
        <f>H7069*I7069</f>
        <v>0</v>
      </c>
    </row>
    <row r="7070" spans="1:10" ht="13.5" thickBot="1">
      <c r="A7070" s="27"/>
      <c r="B7070" s="110"/>
      <c r="D7070" s="417"/>
      <c r="E7070" s="418"/>
      <c r="F7070" s="418"/>
      <c r="G7070" s="419"/>
      <c r="H7070" s="420" t="s">
        <v>67</v>
      </c>
      <c r="I7070" s="421"/>
      <c r="J7070" s="396">
        <f>J7069</f>
        <v>0</v>
      </c>
    </row>
    <row r="7071" spans="1:10" ht="13">
      <c r="A7071" s="27"/>
      <c r="B7071" s="110"/>
      <c r="D7071" s="444" t="s">
        <v>68</v>
      </c>
      <c r="E7071" s="445" t="s">
        <v>69</v>
      </c>
      <c r="F7071" s="446"/>
      <c r="G7071" s="447"/>
      <c r="H7071" s="448"/>
      <c r="I7071" s="449">
        <f>IF(AND(E7071&lt;&gt;"",G7071&lt;&gt;""),IF(D7071="",IF(G7071="OH",VLOOKUP(E7071,UPAH!$C$4:$H$31,7,0),VLOOKUP(E7071,#REF!,4,0)),0),0)</f>
        <v>0</v>
      </c>
      <c r="J7071" s="16">
        <f>SUM(J7060:J7070)/2</f>
        <v>0</v>
      </c>
    </row>
    <row r="7072" spans="1:10" ht="13.5" thickBot="1">
      <c r="A7072" s="27"/>
      <c r="B7072" s="110"/>
      <c r="D7072" s="431" t="s">
        <v>70</v>
      </c>
      <c r="E7072" s="432" t="s">
        <v>477</v>
      </c>
      <c r="F7072" s="433"/>
      <c r="G7072" s="434"/>
      <c r="H7072" s="22">
        <v>0.1</v>
      </c>
      <c r="I7072" s="436"/>
      <c r="J7072" s="430">
        <f>H7072*J7071</f>
        <v>0</v>
      </c>
    </row>
    <row r="7073" spans="1:10" ht="13.5" thickBot="1">
      <c r="A7073" s="27"/>
      <c r="B7073" s="110"/>
      <c r="D7073" s="401" t="s">
        <v>71</v>
      </c>
      <c r="E7073" s="402" t="s">
        <v>72</v>
      </c>
      <c r="F7073" s="418"/>
      <c r="G7073" s="419"/>
      <c r="H7073" s="442"/>
      <c r="I7073" s="421">
        <f>IF(AND(E7073&lt;&gt;"",G7073&lt;&gt;""),IF(D7073="",IF(G7073="OH",VLOOKUP(E7073,UPAH!$C$4:$H$31,7,0),VLOOKUP(E7073,#REF!,4,0)),0),0)</f>
        <v>0</v>
      </c>
      <c r="J7073" s="396">
        <f>ROUNDDOWN(J7071+J7072,0)</f>
        <v>0</v>
      </c>
    </row>
    <row r="7074" spans="1:10" ht="13">
      <c r="A7074" s="27"/>
      <c r="B7074" s="110"/>
      <c r="D7074" s="11"/>
      <c r="E7074" s="11"/>
      <c r="H7074" s="443"/>
    </row>
    <row r="7075" spans="1:10" ht="13.5" thickBot="1">
      <c r="A7075" s="27"/>
      <c r="B7075" s="110"/>
      <c r="C7075" s="11" t="s">
        <v>1257</v>
      </c>
      <c r="D7075" s="10" t="s">
        <v>1258</v>
      </c>
      <c r="H7075" s="443"/>
    </row>
    <row r="7076" spans="1:10" ht="13.5" thickBot="1">
      <c r="A7076" s="27"/>
      <c r="B7076" s="110"/>
      <c r="D7076" s="401" t="s">
        <v>40</v>
      </c>
      <c r="E7076" s="402" t="s">
        <v>41</v>
      </c>
      <c r="F7076" s="402" t="s">
        <v>42</v>
      </c>
      <c r="G7076" s="403" t="s">
        <v>43</v>
      </c>
      <c r="H7076" s="404" t="s">
        <v>44</v>
      </c>
      <c r="I7076" s="402" t="s">
        <v>474</v>
      </c>
      <c r="J7076" s="405" t="s">
        <v>475</v>
      </c>
    </row>
    <row r="7077" spans="1:10" ht="13">
      <c r="A7077" s="27"/>
      <c r="B7077" s="110"/>
      <c r="D7077" s="406" t="s">
        <v>45</v>
      </c>
      <c r="E7077" s="13" t="s">
        <v>46</v>
      </c>
      <c r="F7077" s="14"/>
      <c r="G7077" s="15"/>
      <c r="H7077" s="451"/>
      <c r="I7077" s="412"/>
      <c r="J7077" s="16"/>
    </row>
    <row r="7078" spans="1:10" ht="13">
      <c r="A7078" s="27"/>
      <c r="B7078" s="110"/>
      <c r="D7078" s="409"/>
      <c r="E7078" s="13" t="s">
        <v>47</v>
      </c>
      <c r="F7078" s="13" t="s">
        <v>1918</v>
      </c>
      <c r="G7078" s="410" t="s">
        <v>48</v>
      </c>
      <c r="H7078" s="548">
        <v>1.4999999999999999E-2</v>
      </c>
      <c r="I7078" s="412">
        <f>IF(AND(E7078&lt;&gt;"",G7078&lt;&gt;""),IF(D7078="",IF(G7078="OH",VLOOKUP(F7078,UPAH!$B$4:$H$101,7,0),VLOOKUP(F7078,#REF!,4,0)),0),0)</f>
        <v>0</v>
      </c>
      <c r="J7078" s="16">
        <f>H7078*I7078</f>
        <v>0</v>
      </c>
    </row>
    <row r="7079" spans="1:10" ht="13">
      <c r="A7079" s="27"/>
      <c r="B7079" s="110"/>
      <c r="D7079" s="409"/>
      <c r="E7079" s="13" t="s">
        <v>49</v>
      </c>
      <c r="F7079" s="13" t="s">
        <v>1922</v>
      </c>
      <c r="G7079" s="410" t="s">
        <v>48</v>
      </c>
      <c r="H7079" s="548">
        <v>0.15</v>
      </c>
      <c r="I7079" s="412">
        <f>IF(AND(E7079&lt;&gt;"",G7079&lt;&gt;""),IF(D7079="",IF(G7079="OH",VLOOKUP(F7079,UPAH!$B$4:$H$101,7,0),VLOOKUP(F7079,#REF!,4,0)),0),0)</f>
        <v>0</v>
      </c>
      <c r="J7079" s="16">
        <f>H7079*I7079</f>
        <v>0</v>
      </c>
    </row>
    <row r="7080" spans="1:10" ht="13">
      <c r="A7080" s="27"/>
      <c r="B7080" s="110"/>
      <c r="D7080" s="409"/>
      <c r="E7080" s="13" t="s">
        <v>50</v>
      </c>
      <c r="F7080" s="13" t="s">
        <v>1928</v>
      </c>
      <c r="G7080" s="410" t="s">
        <v>48</v>
      </c>
      <c r="H7080" s="548">
        <v>1.4999999999999999E-2</v>
      </c>
      <c r="I7080" s="412">
        <f>IF(AND(E7080&lt;&gt;"",G7080&lt;&gt;""),IF(D7080="",IF(G7080="OH",VLOOKUP(F7080,UPAH!$B$4:$H$101,7,0),VLOOKUP(F7080,#REF!,4,0)),0),0)</f>
        <v>0</v>
      </c>
      <c r="J7080" s="16">
        <f>H7080*I7080</f>
        <v>0</v>
      </c>
    </row>
    <row r="7081" spans="1:10" ht="13.5" thickBot="1">
      <c r="A7081" s="27"/>
      <c r="B7081" s="110"/>
      <c r="D7081" s="409"/>
      <c r="E7081" s="13" t="s">
        <v>51</v>
      </c>
      <c r="F7081" s="13" t="s">
        <v>1929</v>
      </c>
      <c r="G7081" s="410" t="s">
        <v>48</v>
      </c>
      <c r="H7081" s="548">
        <v>8.0000000000000002E-3</v>
      </c>
      <c r="I7081" s="412">
        <f>IF(AND(E7081&lt;&gt;"",G7081&lt;&gt;""),IF(D7081="",IF(G7081="OH",VLOOKUP(F7081,UPAH!$B$4:$H$101,7,0),VLOOKUP(F7081,#REF!,4,0)),0),0)</f>
        <v>0</v>
      </c>
      <c r="J7081" s="16">
        <f>H7081*I7081</f>
        <v>0</v>
      </c>
    </row>
    <row r="7082" spans="1:10" ht="13.5" thickBot="1">
      <c r="A7082" s="27"/>
      <c r="B7082" s="110"/>
      <c r="D7082" s="417"/>
      <c r="E7082" s="418"/>
      <c r="F7082" s="418"/>
      <c r="G7082" s="419"/>
      <c r="H7082" s="420" t="s">
        <v>52</v>
      </c>
      <c r="I7082" s="421"/>
      <c r="J7082" s="396">
        <f>SUM(J7078:J7081)</f>
        <v>0</v>
      </c>
    </row>
    <row r="7083" spans="1:10" ht="13">
      <c r="A7083" s="27"/>
      <c r="B7083" s="110"/>
      <c r="D7083" s="406" t="s">
        <v>53</v>
      </c>
      <c r="E7083" s="13" t="s">
        <v>54</v>
      </c>
      <c r="F7083" s="14"/>
      <c r="G7083" s="15"/>
      <c r="H7083" s="451"/>
      <c r="I7083" s="412"/>
      <c r="J7083" s="16"/>
    </row>
    <row r="7084" spans="1:10" ht="13.5" thickBot="1">
      <c r="A7084" s="27"/>
      <c r="B7084" s="110"/>
      <c r="D7084" s="409"/>
      <c r="E7084" s="13" t="s">
        <v>393</v>
      </c>
      <c r="F7084" s="14"/>
      <c r="G7084" s="410" t="s">
        <v>376</v>
      </c>
      <c r="H7084" s="548">
        <v>1.1000000000000001</v>
      </c>
      <c r="I7084" s="412">
        <f>'BAHAN '!G752</f>
        <v>0</v>
      </c>
      <c r="J7084" s="16">
        <f>H7084*I7084</f>
        <v>0</v>
      </c>
    </row>
    <row r="7085" spans="1:10" ht="13.5" thickBot="1">
      <c r="A7085" s="27"/>
      <c r="B7085" s="110"/>
      <c r="D7085" s="417"/>
      <c r="E7085" s="418"/>
      <c r="F7085" s="418"/>
      <c r="G7085" s="419"/>
      <c r="H7085" s="420" t="s">
        <v>64</v>
      </c>
      <c r="I7085" s="421"/>
      <c r="J7085" s="396">
        <f>SUM(J7084:J7084)</f>
        <v>0</v>
      </c>
    </row>
    <row r="7086" spans="1:10" ht="13.5" thickBot="1">
      <c r="A7086" s="27"/>
      <c r="B7086" s="110"/>
      <c r="D7086" s="406" t="s">
        <v>65</v>
      </c>
      <c r="E7086" s="13" t="s">
        <v>66</v>
      </c>
      <c r="F7086" s="14"/>
      <c r="G7086" s="15"/>
      <c r="H7086" s="451"/>
      <c r="I7086" s="412">
        <f>IF(AND(E7086&lt;&gt;"",G7086&lt;&gt;""),IF(D7086="",IF(G7086="OH",VLOOKUP(E7086,UPAH!$C$4:$H$31,7,0),VLOOKUP(E7086,#REF!,4,0)),0),0)</f>
        <v>0</v>
      </c>
      <c r="J7086" s="16">
        <f>H7086*I7086</f>
        <v>0</v>
      </c>
    </row>
    <row r="7087" spans="1:10" ht="13.5" thickBot="1">
      <c r="A7087" s="27"/>
      <c r="B7087" s="110"/>
      <c r="D7087" s="417"/>
      <c r="E7087" s="418"/>
      <c r="F7087" s="418"/>
      <c r="G7087" s="419"/>
      <c r="H7087" s="420" t="s">
        <v>67</v>
      </c>
      <c r="I7087" s="421"/>
      <c r="J7087" s="396">
        <f>J7086</f>
        <v>0</v>
      </c>
    </row>
    <row r="7088" spans="1:10" ht="13">
      <c r="A7088" s="27"/>
      <c r="B7088" s="110"/>
      <c r="D7088" s="444" t="s">
        <v>68</v>
      </c>
      <c r="E7088" s="445" t="s">
        <v>69</v>
      </c>
      <c r="F7088" s="446"/>
      <c r="G7088" s="447"/>
      <c r="H7088" s="448"/>
      <c r="I7088" s="449">
        <f>IF(AND(E7088&lt;&gt;"",G7088&lt;&gt;""),IF(D7088="",IF(G7088="OH",VLOOKUP(E7088,UPAH!$C$4:$H$31,7,0),VLOOKUP(E7088,#REF!,4,0)),0),0)</f>
        <v>0</v>
      </c>
      <c r="J7088" s="16">
        <f>SUM(J7078:J7087)/2</f>
        <v>0</v>
      </c>
    </row>
    <row r="7089" spans="1:10" ht="13.5" thickBot="1">
      <c r="A7089" s="27"/>
      <c r="B7089" s="110"/>
      <c r="D7089" s="431" t="s">
        <v>70</v>
      </c>
      <c r="E7089" s="432" t="s">
        <v>477</v>
      </c>
      <c r="F7089" s="433"/>
      <c r="G7089" s="434"/>
      <c r="H7089" s="22">
        <v>0.1</v>
      </c>
      <c r="I7089" s="436"/>
      <c r="J7089" s="430">
        <f>H7089*J7088</f>
        <v>0</v>
      </c>
    </row>
    <row r="7090" spans="1:10" ht="13.5" thickBot="1">
      <c r="A7090" s="27"/>
      <c r="B7090" s="110"/>
      <c r="D7090" s="401" t="s">
        <v>71</v>
      </c>
      <c r="E7090" s="402" t="s">
        <v>72</v>
      </c>
      <c r="F7090" s="418"/>
      <c r="G7090" s="419"/>
      <c r="H7090" s="442"/>
      <c r="I7090" s="421">
        <f>IF(AND(E7090&lt;&gt;"",G7090&lt;&gt;""),IF(D7090="",IF(G7090="OH",VLOOKUP(E7090,UPAH!$C$4:$H$31,7,0),VLOOKUP(E7090,#REF!,4,0)),0),0)</f>
        <v>0</v>
      </c>
      <c r="J7090" s="396">
        <f>ROUNDDOWN(J7088+J7089,0)</f>
        <v>0</v>
      </c>
    </row>
    <row r="7091" spans="1:10" ht="13">
      <c r="A7091" s="27"/>
      <c r="B7091" s="110"/>
      <c r="D7091" s="11"/>
      <c r="E7091" s="11"/>
      <c r="H7091" s="443"/>
    </row>
    <row r="7092" spans="1:10" ht="13.5" thickBot="1">
      <c r="A7092" s="27"/>
      <c r="B7092" s="110"/>
      <c r="C7092" s="11" t="s">
        <v>1259</v>
      </c>
      <c r="D7092" s="10" t="s">
        <v>1260</v>
      </c>
      <c r="H7092" s="443"/>
    </row>
    <row r="7093" spans="1:10" ht="13.5" thickBot="1">
      <c r="A7093" s="27"/>
      <c r="B7093" s="110"/>
      <c r="D7093" s="401" t="s">
        <v>40</v>
      </c>
      <c r="E7093" s="402" t="s">
        <v>41</v>
      </c>
      <c r="F7093" s="402" t="s">
        <v>42</v>
      </c>
      <c r="G7093" s="403" t="s">
        <v>43</v>
      </c>
      <c r="H7093" s="404" t="s">
        <v>44</v>
      </c>
      <c r="I7093" s="402" t="s">
        <v>474</v>
      </c>
      <c r="J7093" s="405" t="s">
        <v>475</v>
      </c>
    </row>
    <row r="7094" spans="1:10" ht="13">
      <c r="A7094" s="27"/>
      <c r="B7094" s="110"/>
      <c r="D7094" s="406" t="s">
        <v>45</v>
      </c>
      <c r="E7094" s="13" t="s">
        <v>46</v>
      </c>
      <c r="F7094" s="14"/>
      <c r="G7094" s="15"/>
      <c r="H7094" s="451"/>
      <c r="I7094" s="412"/>
      <c r="J7094" s="16"/>
    </row>
    <row r="7095" spans="1:10" ht="13">
      <c r="A7095" s="27"/>
      <c r="B7095" s="110"/>
      <c r="D7095" s="409"/>
      <c r="E7095" s="13" t="s">
        <v>47</v>
      </c>
      <c r="F7095" s="13" t="s">
        <v>1918</v>
      </c>
      <c r="G7095" s="410" t="s">
        <v>48</v>
      </c>
      <c r="H7095" s="548">
        <v>7.4999999999999997E-2</v>
      </c>
      <c r="I7095" s="412">
        <f>IF(AND(E7095&lt;&gt;"",G7095&lt;&gt;""),IF(D7095="",IF(G7095="OH",VLOOKUP(F7095,UPAH!$B$4:$H$101,7,0),VLOOKUP(F7095,#REF!,4,0)),0),0)</f>
        <v>0</v>
      </c>
      <c r="J7095" s="16">
        <f>H7095*I7095</f>
        <v>0</v>
      </c>
    </row>
    <row r="7096" spans="1:10" ht="13">
      <c r="A7096" s="27"/>
      <c r="B7096" s="110"/>
      <c r="D7096" s="409"/>
      <c r="E7096" s="13" t="s">
        <v>49</v>
      </c>
      <c r="F7096" s="13" t="s">
        <v>1922</v>
      </c>
      <c r="G7096" s="410" t="s">
        <v>48</v>
      </c>
      <c r="H7096" s="548">
        <v>0.15</v>
      </c>
      <c r="I7096" s="412">
        <f>IF(AND(E7096&lt;&gt;"",G7096&lt;&gt;""),IF(D7096="",IF(G7096="OH",VLOOKUP(F7096,UPAH!$B$4:$H$101,7,0),VLOOKUP(F7096,#REF!,4,0)),0),0)</f>
        <v>0</v>
      </c>
      <c r="J7096" s="16">
        <f>H7096*I7096</f>
        <v>0</v>
      </c>
    </row>
    <row r="7097" spans="1:10" ht="13">
      <c r="A7097" s="27"/>
      <c r="B7097" s="110"/>
      <c r="D7097" s="409"/>
      <c r="E7097" s="13" t="s">
        <v>50</v>
      </c>
      <c r="F7097" s="13" t="s">
        <v>1928</v>
      </c>
      <c r="G7097" s="410" t="s">
        <v>48</v>
      </c>
      <c r="H7097" s="548">
        <v>1.4999999999999999E-2</v>
      </c>
      <c r="I7097" s="412">
        <f>IF(AND(E7097&lt;&gt;"",G7097&lt;&gt;""),IF(D7097="",IF(G7097="OH",VLOOKUP(F7097,UPAH!$B$4:$H$101,7,0),VLOOKUP(F7097,#REF!,4,0)),0),0)</f>
        <v>0</v>
      </c>
      <c r="J7097" s="16">
        <f>H7097*I7097</f>
        <v>0</v>
      </c>
    </row>
    <row r="7098" spans="1:10" ht="13.5" thickBot="1">
      <c r="A7098" s="27"/>
      <c r="B7098" s="110"/>
      <c r="D7098" s="409"/>
      <c r="E7098" s="13" t="s">
        <v>51</v>
      </c>
      <c r="F7098" s="13" t="s">
        <v>1929</v>
      </c>
      <c r="G7098" s="410" t="s">
        <v>48</v>
      </c>
      <c r="H7098" s="548">
        <v>4.0000000000000001E-3</v>
      </c>
      <c r="I7098" s="412">
        <f>IF(AND(E7098&lt;&gt;"",G7098&lt;&gt;""),IF(D7098="",IF(G7098="OH",VLOOKUP(F7098,UPAH!$B$4:$H$101,7,0),VLOOKUP(F7098,#REF!,4,0)),0),0)</f>
        <v>0</v>
      </c>
      <c r="J7098" s="16">
        <f>H7098*I7098</f>
        <v>0</v>
      </c>
    </row>
    <row r="7099" spans="1:10" ht="13.5" thickBot="1">
      <c r="A7099" s="27"/>
      <c r="B7099" s="110"/>
      <c r="D7099" s="417"/>
      <c r="E7099" s="418"/>
      <c r="F7099" s="418"/>
      <c r="G7099" s="419"/>
      <c r="H7099" s="420" t="s">
        <v>52</v>
      </c>
      <c r="I7099" s="421"/>
      <c r="J7099" s="396">
        <f>SUM(J7095:J7098)</f>
        <v>0</v>
      </c>
    </row>
    <row r="7100" spans="1:10" ht="13">
      <c r="A7100" s="27"/>
      <c r="B7100" s="110"/>
      <c r="D7100" s="406" t="s">
        <v>53</v>
      </c>
      <c r="E7100" s="13" t="s">
        <v>54</v>
      </c>
      <c r="F7100" s="14"/>
      <c r="G7100" s="15"/>
      <c r="H7100" s="451"/>
      <c r="I7100" s="412"/>
      <c r="J7100" s="16"/>
    </row>
    <row r="7101" spans="1:10" ht="13">
      <c r="A7101" s="27"/>
      <c r="B7101" s="110"/>
      <c r="D7101" s="409"/>
      <c r="E7101" s="13" t="s">
        <v>227</v>
      </c>
      <c r="F7101" s="14"/>
      <c r="G7101" s="410" t="s">
        <v>376</v>
      </c>
      <c r="H7101" s="548">
        <v>1.1000000000000001</v>
      </c>
      <c r="I7101" s="412">
        <f>'BAHAN '!G747</f>
        <v>0</v>
      </c>
      <c r="J7101" s="16">
        <f>H7101*I7101</f>
        <v>0</v>
      </c>
    </row>
    <row r="7102" spans="1:10" ht="13.5" thickBot="1">
      <c r="A7102" s="27"/>
      <c r="B7102" s="110"/>
      <c r="D7102" s="409"/>
      <c r="E7102" s="13" t="s">
        <v>148</v>
      </c>
      <c r="F7102" s="14"/>
      <c r="G7102" s="410" t="s">
        <v>57</v>
      </c>
      <c r="H7102" s="548">
        <v>0.05</v>
      </c>
      <c r="I7102" s="412">
        <f>'BAHAN '!G789</f>
        <v>0</v>
      </c>
      <c r="J7102" s="16">
        <f>H7102*I7102</f>
        <v>0</v>
      </c>
    </row>
    <row r="7103" spans="1:10" ht="13.5" thickBot="1">
      <c r="A7103" s="27"/>
      <c r="B7103" s="110"/>
      <c r="D7103" s="417"/>
      <c r="E7103" s="418"/>
      <c r="F7103" s="418"/>
      <c r="G7103" s="419"/>
      <c r="H7103" s="420" t="s">
        <v>64</v>
      </c>
      <c r="I7103" s="421"/>
      <c r="J7103" s="396">
        <f>SUM(J7101:J7102)</f>
        <v>0</v>
      </c>
    </row>
    <row r="7104" spans="1:10" ht="13.5" thickBot="1">
      <c r="A7104" s="27"/>
      <c r="B7104" s="110"/>
      <c r="D7104" s="406" t="s">
        <v>65</v>
      </c>
      <c r="E7104" s="13" t="s">
        <v>66</v>
      </c>
      <c r="F7104" s="14"/>
      <c r="G7104" s="15"/>
      <c r="H7104" s="451"/>
      <c r="I7104" s="412">
        <f>IF(AND(E7104&lt;&gt;"",G7104&lt;&gt;""),IF(D7104="",IF(G7104="OH",VLOOKUP(E7104,UPAH!$C$4:$H$31,7,0),VLOOKUP(E7104,#REF!,4,0)),0),0)</f>
        <v>0</v>
      </c>
      <c r="J7104" s="16">
        <f>H7104*I7104</f>
        <v>0</v>
      </c>
    </row>
    <row r="7105" spans="1:10" ht="13.5" thickBot="1">
      <c r="A7105" s="27"/>
      <c r="B7105" s="110"/>
      <c r="D7105" s="417"/>
      <c r="E7105" s="418"/>
      <c r="F7105" s="418"/>
      <c r="G7105" s="419"/>
      <c r="H7105" s="420" t="s">
        <v>67</v>
      </c>
      <c r="I7105" s="421"/>
      <c r="J7105" s="396">
        <f>J7104</f>
        <v>0</v>
      </c>
    </row>
    <row r="7106" spans="1:10" ht="13">
      <c r="A7106" s="27"/>
      <c r="B7106" s="110"/>
      <c r="D7106" s="444" t="s">
        <v>68</v>
      </c>
      <c r="E7106" s="445" t="s">
        <v>69</v>
      </c>
      <c r="F7106" s="446"/>
      <c r="G7106" s="447"/>
      <c r="H7106" s="448"/>
      <c r="I7106" s="449">
        <f>IF(AND(E7106&lt;&gt;"",G7106&lt;&gt;""),IF(D7106="",IF(G7106="OH",VLOOKUP(E7106,UPAH!$C$4:$H$31,7,0),VLOOKUP(E7106,#REF!,4,0)),0),0)</f>
        <v>0</v>
      </c>
      <c r="J7106" s="16">
        <f>SUM(J7095:J7105)/2</f>
        <v>0</v>
      </c>
    </row>
    <row r="7107" spans="1:10" ht="13.5" thickBot="1">
      <c r="A7107" s="27"/>
      <c r="B7107" s="110"/>
      <c r="D7107" s="431" t="s">
        <v>70</v>
      </c>
      <c r="E7107" s="432" t="s">
        <v>477</v>
      </c>
      <c r="F7107" s="433"/>
      <c r="G7107" s="434"/>
      <c r="H7107" s="22">
        <v>0.1</v>
      </c>
      <c r="I7107" s="436"/>
      <c r="J7107" s="430">
        <f>H7107*J7106</f>
        <v>0</v>
      </c>
    </row>
    <row r="7108" spans="1:10" ht="13.5" thickBot="1">
      <c r="A7108" s="27"/>
      <c r="B7108" s="110"/>
      <c r="D7108" s="401" t="s">
        <v>71</v>
      </c>
      <c r="E7108" s="402" t="s">
        <v>72</v>
      </c>
      <c r="F7108" s="418"/>
      <c r="G7108" s="419"/>
      <c r="H7108" s="442"/>
      <c r="I7108" s="421">
        <f>IF(AND(E7108&lt;&gt;"",G7108&lt;&gt;""),IF(D7108="",IF(G7108="OH",VLOOKUP(E7108,UPAH!$C$4:$H$31,7,0),VLOOKUP(E7108,#REF!,4,0)),0),0)</f>
        <v>0</v>
      </c>
      <c r="J7108" s="396">
        <f>ROUNDDOWN(J7106+J7107,0)</f>
        <v>0</v>
      </c>
    </row>
    <row r="7109" spans="1:10" ht="13">
      <c r="A7109" s="27"/>
      <c r="B7109" s="110"/>
      <c r="D7109" s="11"/>
      <c r="E7109" s="11"/>
      <c r="H7109" s="443"/>
    </row>
    <row r="7110" spans="1:10" s="27" customFormat="1" ht="13">
      <c r="B7110" s="110"/>
      <c r="C7110" s="452" t="s">
        <v>518</v>
      </c>
      <c r="G7110" s="399"/>
      <c r="H7110" s="453"/>
    </row>
    <row r="7111" spans="1:10" ht="13.5" thickBot="1">
      <c r="A7111" s="27"/>
      <c r="B7111" s="110"/>
      <c r="C7111" s="11" t="s">
        <v>1261</v>
      </c>
      <c r="D7111" s="10" t="s">
        <v>1262</v>
      </c>
      <c r="H7111" s="443"/>
    </row>
    <row r="7112" spans="1:10" ht="13.5" thickBot="1">
      <c r="A7112" s="27"/>
      <c r="B7112" s="110"/>
      <c r="D7112" s="401" t="s">
        <v>40</v>
      </c>
      <c r="E7112" s="402" t="s">
        <v>41</v>
      </c>
      <c r="F7112" s="402" t="s">
        <v>42</v>
      </c>
      <c r="G7112" s="403" t="s">
        <v>43</v>
      </c>
      <c r="H7112" s="404" t="s">
        <v>44</v>
      </c>
      <c r="I7112" s="402" t="s">
        <v>474</v>
      </c>
      <c r="J7112" s="405" t="s">
        <v>475</v>
      </c>
    </row>
    <row r="7113" spans="1:10" ht="13">
      <c r="A7113" s="27"/>
      <c r="B7113" s="110"/>
      <c r="D7113" s="406" t="s">
        <v>45</v>
      </c>
      <c r="E7113" s="13" t="s">
        <v>46</v>
      </c>
      <c r="F7113" s="14"/>
      <c r="G7113" s="15"/>
      <c r="H7113" s="451"/>
      <c r="I7113" s="412"/>
      <c r="J7113" s="16"/>
    </row>
    <row r="7114" spans="1:10" ht="13">
      <c r="A7114" s="27"/>
      <c r="B7114" s="110"/>
      <c r="D7114" s="409"/>
      <c r="E7114" s="13" t="s">
        <v>47</v>
      </c>
      <c r="F7114" s="13" t="s">
        <v>1918</v>
      </c>
      <c r="G7114" s="410" t="s">
        <v>48</v>
      </c>
      <c r="H7114" s="548">
        <v>0.15</v>
      </c>
      <c r="I7114" s="412">
        <f>IF(AND(E7114&lt;&gt;"",G7114&lt;&gt;""),IF(D7114="",IF(G7114="OH",VLOOKUP(F7114,UPAH!$B$4:$H$101,7,0),VLOOKUP(F7114,#REF!,4,0)),0),0)</f>
        <v>0</v>
      </c>
      <c r="J7114" s="16">
        <f>H7114*I7114</f>
        <v>0</v>
      </c>
    </row>
    <row r="7115" spans="1:10" ht="13.5" thickBot="1">
      <c r="A7115" s="27"/>
      <c r="B7115" s="110"/>
      <c r="D7115" s="409"/>
      <c r="E7115" s="13" t="s">
        <v>51</v>
      </c>
      <c r="F7115" s="13" t="s">
        <v>1929</v>
      </c>
      <c r="G7115" s="410" t="s">
        <v>48</v>
      </c>
      <c r="H7115" s="548">
        <v>3.0000000000000001E-3</v>
      </c>
      <c r="I7115" s="412">
        <f>IF(AND(E7115&lt;&gt;"",G7115&lt;&gt;""),IF(D7115="",IF(G7115="OH",VLOOKUP(F7115,UPAH!$B$4:$H$101,7,0),VLOOKUP(F7115,#REF!,4,0)),0),0)</f>
        <v>0</v>
      </c>
      <c r="J7115" s="16">
        <f>H7115*I7115</f>
        <v>0</v>
      </c>
    </row>
    <row r="7116" spans="1:10" ht="13.5" thickBot="1">
      <c r="A7116" s="27"/>
      <c r="B7116" s="110"/>
      <c r="D7116" s="417"/>
      <c r="E7116" s="418"/>
      <c r="F7116" s="418"/>
      <c r="G7116" s="419"/>
      <c r="H7116" s="420" t="s">
        <v>52</v>
      </c>
      <c r="I7116" s="421"/>
      <c r="J7116" s="396">
        <f>SUM(J7112:J7115)</f>
        <v>0</v>
      </c>
    </row>
    <row r="7117" spans="1:10" ht="13">
      <c r="A7117" s="27"/>
      <c r="B7117" s="110"/>
      <c r="D7117" s="406" t="s">
        <v>53</v>
      </c>
      <c r="E7117" s="13" t="s">
        <v>54</v>
      </c>
      <c r="F7117" s="14"/>
      <c r="G7117" s="15"/>
      <c r="H7117" s="451"/>
      <c r="I7117" s="412"/>
      <c r="J7117" s="16"/>
    </row>
    <row r="7118" spans="1:10" ht="13.5" thickBot="1">
      <c r="A7118" s="27"/>
      <c r="B7118" s="110"/>
      <c r="D7118" s="409"/>
      <c r="E7118" s="13" t="s">
        <v>228</v>
      </c>
      <c r="F7118" s="14"/>
      <c r="G7118" s="410" t="s">
        <v>57</v>
      </c>
      <c r="H7118" s="548">
        <v>0.05</v>
      </c>
      <c r="I7118" s="412">
        <f>'BAHAN '!G187</f>
        <v>0</v>
      </c>
      <c r="J7118" s="16">
        <f>H7118*I7118</f>
        <v>0</v>
      </c>
    </row>
    <row r="7119" spans="1:10" ht="13.5" thickBot="1">
      <c r="A7119" s="27"/>
      <c r="B7119" s="110"/>
      <c r="D7119" s="417"/>
      <c r="E7119" s="418"/>
      <c r="F7119" s="418"/>
      <c r="G7119" s="419"/>
      <c r="H7119" s="420" t="s">
        <v>64</v>
      </c>
      <c r="I7119" s="421"/>
      <c r="J7119" s="396">
        <f>SUM(J7117:J7118)</f>
        <v>0</v>
      </c>
    </row>
    <row r="7120" spans="1:10" ht="13.5" thickBot="1">
      <c r="A7120" s="27"/>
      <c r="B7120" s="110"/>
      <c r="D7120" s="406" t="s">
        <v>65</v>
      </c>
      <c r="E7120" s="13" t="s">
        <v>66</v>
      </c>
      <c r="F7120" s="14"/>
      <c r="G7120" s="15"/>
      <c r="H7120" s="451"/>
      <c r="I7120" s="412">
        <f>IF(AND(E7120&lt;&gt;"",G7120&lt;&gt;""),IF(D7120="",IF(G7120="OH",VLOOKUP(E7120,UPAH!$C$4:$H$31,7,0),VLOOKUP(E7120,#REF!,4,0)),0),0)</f>
        <v>0</v>
      </c>
      <c r="J7120" s="16">
        <f>H7120*I7120</f>
        <v>0</v>
      </c>
    </row>
    <row r="7121" spans="1:10" ht="13.5" thickBot="1">
      <c r="A7121" s="27"/>
      <c r="B7121" s="110"/>
      <c r="D7121" s="417"/>
      <c r="E7121" s="418"/>
      <c r="F7121" s="418"/>
      <c r="G7121" s="419"/>
      <c r="H7121" s="420" t="s">
        <v>67</v>
      </c>
      <c r="I7121" s="421"/>
      <c r="J7121" s="396">
        <f>J7120</f>
        <v>0</v>
      </c>
    </row>
    <row r="7122" spans="1:10" ht="13">
      <c r="A7122" s="27"/>
      <c r="B7122" s="110"/>
      <c r="D7122" s="444" t="s">
        <v>68</v>
      </c>
      <c r="E7122" s="445" t="s">
        <v>69</v>
      </c>
      <c r="F7122" s="446"/>
      <c r="G7122" s="447"/>
      <c r="H7122" s="448"/>
      <c r="I7122" s="449">
        <f>IF(AND(E7122&lt;&gt;"",G7122&lt;&gt;""),IF(D7122="",IF(G7122="OH",VLOOKUP(E7122,UPAH!$C$4:$H$31,7,0),VLOOKUP(E7122,#REF!,4,0)),0),0)</f>
        <v>0</v>
      </c>
      <c r="J7122" s="16">
        <f>SUM(J7111:J7121)/2</f>
        <v>0</v>
      </c>
    </row>
    <row r="7123" spans="1:10" ht="13.5" thickBot="1">
      <c r="A7123" s="27"/>
      <c r="B7123" s="110"/>
      <c r="D7123" s="431" t="s">
        <v>70</v>
      </c>
      <c r="E7123" s="432" t="s">
        <v>477</v>
      </c>
      <c r="F7123" s="433"/>
      <c r="G7123" s="434"/>
      <c r="H7123" s="22">
        <v>0.1</v>
      </c>
      <c r="I7123" s="436"/>
      <c r="J7123" s="430">
        <f>H7123*J7122</f>
        <v>0</v>
      </c>
    </row>
    <row r="7124" spans="1:10" ht="13.5" thickBot="1">
      <c r="A7124" s="27"/>
      <c r="B7124" s="110"/>
      <c r="D7124" s="401" t="s">
        <v>71</v>
      </c>
      <c r="E7124" s="402" t="s">
        <v>72</v>
      </c>
      <c r="F7124" s="418"/>
      <c r="G7124" s="419"/>
      <c r="H7124" s="442"/>
      <c r="I7124" s="421">
        <f>IF(AND(E7124&lt;&gt;"",G7124&lt;&gt;""),IF(D7124="",IF(G7124="OH",VLOOKUP(E7124,UPAH!$C$4:$H$31,7,0),VLOOKUP(E7124,#REF!,4,0)),0),0)</f>
        <v>0</v>
      </c>
      <c r="J7124" s="396">
        <f>ROUNDDOWN(J7122+J7123,0)</f>
        <v>0</v>
      </c>
    </row>
    <row r="7125" spans="1:10" ht="13">
      <c r="A7125" s="27"/>
      <c r="B7125" s="110"/>
      <c r="D7125" s="11"/>
      <c r="E7125" s="11"/>
      <c r="H7125" s="443"/>
    </row>
    <row r="7126" spans="1:10" ht="13.5" thickBot="1">
      <c r="A7126" s="27"/>
      <c r="B7126" s="110"/>
      <c r="C7126" s="11" t="s">
        <v>1263</v>
      </c>
      <c r="D7126" s="10" t="s">
        <v>1264</v>
      </c>
      <c r="H7126" s="443"/>
    </row>
    <row r="7127" spans="1:10" ht="13.5" thickBot="1">
      <c r="A7127" s="27"/>
      <c r="B7127" s="110"/>
      <c r="D7127" s="401" t="s">
        <v>40</v>
      </c>
      <c r="E7127" s="402" t="s">
        <v>41</v>
      </c>
      <c r="F7127" s="402" t="s">
        <v>42</v>
      </c>
      <c r="G7127" s="403" t="s">
        <v>43</v>
      </c>
      <c r="H7127" s="404" t="s">
        <v>44</v>
      </c>
      <c r="I7127" s="402" t="s">
        <v>474</v>
      </c>
      <c r="J7127" s="405" t="s">
        <v>475</v>
      </c>
    </row>
    <row r="7128" spans="1:10" ht="13">
      <c r="A7128" s="27"/>
      <c r="B7128" s="110"/>
      <c r="D7128" s="406" t="s">
        <v>45</v>
      </c>
      <c r="E7128" s="13" t="s">
        <v>46</v>
      </c>
      <c r="F7128" s="14"/>
      <c r="G7128" s="15"/>
      <c r="H7128" s="451"/>
      <c r="I7128" s="412"/>
      <c r="J7128" s="16"/>
    </row>
    <row r="7129" spans="1:10" ht="13">
      <c r="A7129" s="27"/>
      <c r="B7129" s="110"/>
      <c r="D7129" s="409"/>
      <c r="E7129" s="13" t="s">
        <v>47</v>
      </c>
      <c r="F7129" s="13" t="s">
        <v>1918</v>
      </c>
      <c r="G7129" s="410" t="s">
        <v>48</v>
      </c>
      <c r="H7129" s="548">
        <v>0.15</v>
      </c>
      <c r="I7129" s="412">
        <f>IF(AND(E7129&lt;&gt;"",G7129&lt;&gt;""),IF(D7129="",IF(G7129="OH",VLOOKUP(F7129,UPAH!$B$4:$H$101,7,0),VLOOKUP(F7129,#REF!,4,0)),0),0)</f>
        <v>0</v>
      </c>
      <c r="J7129" s="16">
        <f>H7129*I7129</f>
        <v>0</v>
      </c>
    </row>
    <row r="7130" spans="1:10" ht="13.5" thickBot="1">
      <c r="A7130" s="27"/>
      <c r="B7130" s="110"/>
      <c r="D7130" s="409"/>
      <c r="E7130" s="13" t="s">
        <v>51</v>
      </c>
      <c r="F7130" s="13" t="s">
        <v>1929</v>
      </c>
      <c r="G7130" s="410" t="s">
        <v>48</v>
      </c>
      <c r="H7130" s="548">
        <v>3.0000000000000001E-3</v>
      </c>
      <c r="I7130" s="412">
        <f>IF(AND(E7130&lt;&gt;"",G7130&lt;&gt;""),IF(D7130="",IF(G7130="OH",VLOOKUP(F7130,UPAH!$B$4:$H$101,7,0),VLOOKUP(F7130,#REF!,4,0)),0),0)</f>
        <v>0</v>
      </c>
      <c r="J7130" s="16">
        <f>H7130*I7130</f>
        <v>0</v>
      </c>
    </row>
    <row r="7131" spans="1:10" ht="13.5" thickBot="1">
      <c r="A7131" s="27"/>
      <c r="B7131" s="110"/>
      <c r="D7131" s="417"/>
      <c r="E7131" s="418"/>
      <c r="F7131" s="418"/>
      <c r="G7131" s="419"/>
      <c r="H7131" s="420" t="s">
        <v>52</v>
      </c>
      <c r="I7131" s="421"/>
      <c r="J7131" s="396">
        <f>SUM(J7127:J7130)</f>
        <v>0</v>
      </c>
    </row>
    <row r="7132" spans="1:10" ht="13">
      <c r="A7132" s="27"/>
      <c r="B7132" s="110"/>
      <c r="D7132" s="406" t="s">
        <v>53</v>
      </c>
      <c r="E7132" s="13" t="s">
        <v>54</v>
      </c>
      <c r="F7132" s="14"/>
      <c r="G7132" s="15"/>
      <c r="H7132" s="451"/>
      <c r="I7132" s="412"/>
      <c r="J7132" s="16"/>
    </row>
    <row r="7133" spans="1:10" ht="13.5" thickBot="1">
      <c r="A7133" s="27"/>
      <c r="B7133" s="110"/>
      <c r="D7133" s="409"/>
      <c r="E7133" s="13" t="s">
        <v>229</v>
      </c>
      <c r="F7133" s="14"/>
      <c r="G7133" s="410" t="s">
        <v>57</v>
      </c>
      <c r="H7133" s="548">
        <v>0.05</v>
      </c>
      <c r="I7133" s="412">
        <f>'BAHAN '!G818</f>
        <v>0</v>
      </c>
      <c r="J7133" s="16">
        <f>H7133*I7133</f>
        <v>0</v>
      </c>
    </row>
    <row r="7134" spans="1:10" ht="13.5" thickBot="1">
      <c r="A7134" s="27"/>
      <c r="B7134" s="110"/>
      <c r="D7134" s="417"/>
      <c r="E7134" s="418"/>
      <c r="F7134" s="418"/>
      <c r="G7134" s="419"/>
      <c r="H7134" s="420" t="s">
        <v>64</v>
      </c>
      <c r="I7134" s="421"/>
      <c r="J7134" s="396">
        <f>SUM(J7132:J7133)</f>
        <v>0</v>
      </c>
    </row>
    <row r="7135" spans="1:10" ht="13.5" thickBot="1">
      <c r="A7135" s="27"/>
      <c r="B7135" s="110"/>
      <c r="D7135" s="406" t="s">
        <v>65</v>
      </c>
      <c r="E7135" s="13" t="s">
        <v>66</v>
      </c>
      <c r="F7135" s="14"/>
      <c r="G7135" s="15"/>
      <c r="H7135" s="451"/>
      <c r="I7135" s="412">
        <f>IF(AND(E7135&lt;&gt;"",G7135&lt;&gt;""),IF(D7135="",IF(G7135="OH",VLOOKUP(E7135,UPAH!$C$4:$H$31,7,0),VLOOKUP(E7135,#REF!,4,0)),0),0)</f>
        <v>0</v>
      </c>
      <c r="J7135" s="16">
        <f>H7135*I7135</f>
        <v>0</v>
      </c>
    </row>
    <row r="7136" spans="1:10" ht="13.5" thickBot="1">
      <c r="A7136" s="27"/>
      <c r="B7136" s="110"/>
      <c r="D7136" s="417"/>
      <c r="E7136" s="418"/>
      <c r="F7136" s="418"/>
      <c r="G7136" s="419"/>
      <c r="H7136" s="420" t="s">
        <v>67</v>
      </c>
      <c r="I7136" s="421"/>
      <c r="J7136" s="396">
        <f>J7135</f>
        <v>0</v>
      </c>
    </row>
    <row r="7137" spans="1:10" ht="13">
      <c r="A7137" s="27"/>
      <c r="B7137" s="110"/>
      <c r="D7137" s="444" t="s">
        <v>68</v>
      </c>
      <c r="E7137" s="445" t="s">
        <v>69</v>
      </c>
      <c r="F7137" s="446"/>
      <c r="G7137" s="447"/>
      <c r="H7137" s="448"/>
      <c r="I7137" s="449">
        <f>IF(AND(E7137&lt;&gt;"",G7137&lt;&gt;""),IF(D7137="",IF(G7137="OH",VLOOKUP(E7137,UPAH!$C$4:$H$31,7,0),VLOOKUP(E7137,#REF!,4,0)),0),0)</f>
        <v>0</v>
      </c>
      <c r="J7137" s="16">
        <f>SUM(J7126:J7136)/2</f>
        <v>0</v>
      </c>
    </row>
    <row r="7138" spans="1:10" ht="13.5" thickBot="1">
      <c r="A7138" s="27"/>
      <c r="B7138" s="110"/>
      <c r="D7138" s="431" t="s">
        <v>70</v>
      </c>
      <c r="E7138" s="432" t="s">
        <v>477</v>
      </c>
      <c r="F7138" s="433"/>
      <c r="G7138" s="434"/>
      <c r="H7138" s="22">
        <v>0.1</v>
      </c>
      <c r="I7138" s="436"/>
      <c r="J7138" s="430">
        <f>H7138*J7137</f>
        <v>0</v>
      </c>
    </row>
    <row r="7139" spans="1:10" ht="13.5" thickBot="1">
      <c r="A7139" s="27"/>
      <c r="B7139" s="110"/>
      <c r="D7139" s="401" t="s">
        <v>71</v>
      </c>
      <c r="E7139" s="402" t="s">
        <v>72</v>
      </c>
      <c r="F7139" s="418"/>
      <c r="G7139" s="419"/>
      <c r="H7139" s="442"/>
      <c r="I7139" s="421">
        <f>IF(AND(E7139&lt;&gt;"",G7139&lt;&gt;""),IF(D7139="",IF(G7139="OH",VLOOKUP(E7139,UPAH!$C$4:$H$31,7,0),VLOOKUP(E7139,#REF!,4,0)),0),0)</f>
        <v>0</v>
      </c>
      <c r="J7139" s="396">
        <f>ROUNDDOWN(J7137+J7138,0)</f>
        <v>0</v>
      </c>
    </row>
    <row r="7140" spans="1:10" ht="13">
      <c r="A7140" s="27"/>
      <c r="B7140" s="110"/>
      <c r="D7140" s="11"/>
      <c r="E7140" s="11"/>
      <c r="H7140" s="443"/>
    </row>
    <row r="7141" spans="1:10" ht="13.5" thickBot="1">
      <c r="A7141" s="27"/>
      <c r="B7141" s="110"/>
      <c r="C7141" s="11" t="s">
        <v>1265</v>
      </c>
      <c r="D7141" s="10" t="s">
        <v>1266</v>
      </c>
      <c r="H7141" s="443"/>
    </row>
    <row r="7142" spans="1:10" ht="13.5" thickBot="1">
      <c r="A7142" s="27"/>
      <c r="B7142" s="110"/>
      <c r="D7142" s="401" t="s">
        <v>40</v>
      </c>
      <c r="E7142" s="402" t="s">
        <v>41</v>
      </c>
      <c r="F7142" s="402" t="s">
        <v>42</v>
      </c>
      <c r="G7142" s="403" t="s">
        <v>43</v>
      </c>
      <c r="H7142" s="404" t="s">
        <v>44</v>
      </c>
      <c r="I7142" s="402" t="s">
        <v>474</v>
      </c>
      <c r="J7142" s="405" t="s">
        <v>475</v>
      </c>
    </row>
    <row r="7143" spans="1:10" ht="13">
      <c r="A7143" s="27"/>
      <c r="B7143" s="110"/>
      <c r="D7143" s="406" t="s">
        <v>45</v>
      </c>
      <c r="E7143" s="13" t="s">
        <v>46</v>
      </c>
      <c r="F7143" s="14"/>
      <c r="G7143" s="15"/>
      <c r="H7143" s="451"/>
      <c r="I7143" s="412"/>
      <c r="J7143" s="16"/>
    </row>
    <row r="7144" spans="1:10" ht="13">
      <c r="A7144" s="27"/>
      <c r="B7144" s="110"/>
      <c r="D7144" s="409"/>
      <c r="E7144" s="13" t="s">
        <v>47</v>
      </c>
      <c r="F7144" s="13" t="s">
        <v>1918</v>
      </c>
      <c r="G7144" s="410" t="s">
        <v>48</v>
      </c>
      <c r="H7144" s="548">
        <v>0.15</v>
      </c>
      <c r="I7144" s="412">
        <f>IF(AND(E7144&lt;&gt;"",G7144&lt;&gt;""),IF(D7144="",IF(G7144="OH",VLOOKUP(F7144,UPAH!$B$4:$H$101,7,0),VLOOKUP(F7144,#REF!,4,0)),0),0)</f>
        <v>0</v>
      </c>
      <c r="J7144" s="16">
        <f>H7144*I7144</f>
        <v>0</v>
      </c>
    </row>
    <row r="7145" spans="1:10" ht="13.5" thickBot="1">
      <c r="A7145" s="27"/>
      <c r="B7145" s="110"/>
      <c r="D7145" s="409"/>
      <c r="E7145" s="13" t="s">
        <v>51</v>
      </c>
      <c r="F7145" s="13" t="s">
        <v>1929</v>
      </c>
      <c r="G7145" s="410" t="s">
        <v>48</v>
      </c>
      <c r="H7145" s="548">
        <v>8.0000000000000002E-3</v>
      </c>
      <c r="I7145" s="412">
        <f>IF(AND(E7145&lt;&gt;"",G7145&lt;&gt;""),IF(D7145="",IF(G7145="OH",VLOOKUP(F7145,UPAH!$B$4:$H$101,7,0),VLOOKUP(F7145,#REF!,4,0)),0),0)</f>
        <v>0</v>
      </c>
      <c r="J7145" s="16">
        <f>H7145*I7145</f>
        <v>0</v>
      </c>
    </row>
    <row r="7146" spans="1:10" ht="13.5" thickBot="1">
      <c r="A7146" s="27"/>
      <c r="B7146" s="110"/>
      <c r="D7146" s="417"/>
      <c r="E7146" s="418"/>
      <c r="F7146" s="418"/>
      <c r="G7146" s="419"/>
      <c r="H7146" s="420" t="s">
        <v>52</v>
      </c>
      <c r="I7146" s="421"/>
      <c r="J7146" s="396">
        <f>SUM(J7142:J7145)</f>
        <v>0</v>
      </c>
    </row>
    <row r="7147" spans="1:10" ht="13">
      <c r="A7147" s="27"/>
      <c r="B7147" s="110"/>
      <c r="D7147" s="406" t="s">
        <v>53</v>
      </c>
      <c r="E7147" s="13" t="s">
        <v>54</v>
      </c>
      <c r="F7147" s="14"/>
      <c r="G7147" s="15"/>
      <c r="H7147" s="451"/>
      <c r="I7147" s="412"/>
      <c r="J7147" s="16"/>
    </row>
    <row r="7148" spans="1:10" ht="13.5" thickBot="1">
      <c r="A7148" s="27"/>
      <c r="B7148" s="110"/>
      <c r="D7148" s="409"/>
      <c r="E7148" s="13" t="s">
        <v>229</v>
      </c>
      <c r="F7148" s="14"/>
      <c r="G7148" s="410" t="s">
        <v>57</v>
      </c>
      <c r="H7148" s="548">
        <v>0.05</v>
      </c>
      <c r="I7148" s="412">
        <f>'BAHAN '!G818</f>
        <v>0</v>
      </c>
      <c r="J7148" s="16">
        <f>H7148*I7148</f>
        <v>0</v>
      </c>
    </row>
    <row r="7149" spans="1:10" ht="13.5" thickBot="1">
      <c r="A7149" s="27"/>
      <c r="B7149" s="110"/>
      <c r="D7149" s="417"/>
      <c r="E7149" s="418"/>
      <c r="F7149" s="418"/>
      <c r="G7149" s="419"/>
      <c r="H7149" s="420" t="s">
        <v>64</v>
      </c>
      <c r="I7149" s="421"/>
      <c r="J7149" s="396">
        <f>SUM(J7147:J7148)</f>
        <v>0</v>
      </c>
    </row>
    <row r="7150" spans="1:10" ht="13.5" thickBot="1">
      <c r="A7150" s="27"/>
      <c r="B7150" s="110"/>
      <c r="D7150" s="406" t="s">
        <v>65</v>
      </c>
      <c r="E7150" s="13" t="s">
        <v>66</v>
      </c>
      <c r="F7150" s="14"/>
      <c r="G7150" s="15"/>
      <c r="H7150" s="451"/>
      <c r="I7150" s="412">
        <f>IF(AND(E7150&lt;&gt;"",G7150&lt;&gt;""),IF(D7150="",IF(G7150="OH",VLOOKUP(E7150,UPAH!$C$4:$H$31,7,0),VLOOKUP(E7150,#REF!,4,0)),0),0)</f>
        <v>0</v>
      </c>
      <c r="J7150" s="16">
        <f>H7150*I7150</f>
        <v>0</v>
      </c>
    </row>
    <row r="7151" spans="1:10" ht="13.5" thickBot="1">
      <c r="A7151" s="27"/>
      <c r="B7151" s="110"/>
      <c r="D7151" s="417"/>
      <c r="E7151" s="418"/>
      <c r="F7151" s="418"/>
      <c r="G7151" s="419"/>
      <c r="H7151" s="420" t="s">
        <v>67</v>
      </c>
      <c r="I7151" s="421"/>
      <c r="J7151" s="396">
        <f>J7150</f>
        <v>0</v>
      </c>
    </row>
    <row r="7152" spans="1:10" ht="13">
      <c r="A7152" s="27"/>
      <c r="B7152" s="110"/>
      <c r="D7152" s="444" t="s">
        <v>68</v>
      </c>
      <c r="E7152" s="445" t="s">
        <v>69</v>
      </c>
      <c r="F7152" s="446"/>
      <c r="G7152" s="447"/>
      <c r="H7152" s="448"/>
      <c r="I7152" s="449">
        <f>IF(AND(E7152&lt;&gt;"",G7152&lt;&gt;""),IF(D7152="",IF(G7152="OH",VLOOKUP(E7152,UPAH!$C$4:$H$31,7,0),VLOOKUP(E7152,#REF!,4,0)),0),0)</f>
        <v>0</v>
      </c>
      <c r="J7152" s="16">
        <f>SUM(J7141:J7151)/2</f>
        <v>0</v>
      </c>
    </row>
    <row r="7153" spans="1:10" ht="13.5" thickBot="1">
      <c r="A7153" s="27"/>
      <c r="B7153" s="110"/>
      <c r="D7153" s="431" t="s">
        <v>70</v>
      </c>
      <c r="E7153" s="432" t="s">
        <v>477</v>
      </c>
      <c r="F7153" s="433"/>
      <c r="G7153" s="434"/>
      <c r="H7153" s="22">
        <v>0.1</v>
      </c>
      <c r="I7153" s="436"/>
      <c r="J7153" s="430">
        <f>H7153*J7152</f>
        <v>0</v>
      </c>
    </row>
    <row r="7154" spans="1:10" ht="13.5" thickBot="1">
      <c r="A7154" s="27"/>
      <c r="B7154" s="110"/>
      <c r="D7154" s="401" t="s">
        <v>71</v>
      </c>
      <c r="E7154" s="402" t="s">
        <v>72</v>
      </c>
      <c r="F7154" s="418"/>
      <c r="G7154" s="419"/>
      <c r="H7154" s="442"/>
      <c r="I7154" s="421">
        <f>IF(AND(E7154&lt;&gt;"",G7154&lt;&gt;""),IF(D7154="",IF(G7154="OH",VLOOKUP(E7154,UPAH!$C$4:$H$31,7,0),VLOOKUP(E7154,#REF!,4,0)),0),0)</f>
        <v>0</v>
      </c>
      <c r="J7154" s="396">
        <f>ROUNDDOWN(J7152+J7153,0)</f>
        <v>0</v>
      </c>
    </row>
    <row r="7155" spans="1:10" ht="13">
      <c r="A7155" s="27"/>
      <c r="B7155" s="110"/>
      <c r="D7155" s="11"/>
      <c r="E7155" s="11"/>
      <c r="H7155" s="443"/>
    </row>
    <row r="7156" spans="1:10" ht="13.5" thickBot="1">
      <c r="A7156" s="27"/>
      <c r="B7156" s="110"/>
      <c r="C7156" s="11" t="s">
        <v>1267</v>
      </c>
      <c r="D7156" s="10" t="s">
        <v>1268</v>
      </c>
      <c r="H7156" s="443"/>
    </row>
    <row r="7157" spans="1:10" ht="13.5" thickBot="1">
      <c r="A7157" s="27"/>
      <c r="B7157" s="110"/>
      <c r="D7157" s="401" t="s">
        <v>40</v>
      </c>
      <c r="E7157" s="402" t="s">
        <v>41</v>
      </c>
      <c r="F7157" s="402" t="s">
        <v>42</v>
      </c>
      <c r="G7157" s="403" t="s">
        <v>43</v>
      </c>
      <c r="H7157" s="404" t="s">
        <v>44</v>
      </c>
      <c r="I7157" s="402" t="s">
        <v>474</v>
      </c>
      <c r="J7157" s="405" t="s">
        <v>475</v>
      </c>
    </row>
    <row r="7158" spans="1:10" ht="13">
      <c r="A7158" s="27"/>
      <c r="B7158" s="110"/>
      <c r="D7158" s="406" t="s">
        <v>45</v>
      </c>
      <c r="E7158" s="13" t="s">
        <v>46</v>
      </c>
      <c r="F7158" s="14"/>
      <c r="G7158" s="15"/>
      <c r="H7158" s="451"/>
      <c r="I7158" s="412"/>
      <c r="J7158" s="16"/>
    </row>
    <row r="7159" spans="1:10" ht="13">
      <c r="A7159" s="27"/>
      <c r="B7159" s="110"/>
      <c r="D7159" s="409"/>
      <c r="E7159" s="13" t="s">
        <v>47</v>
      </c>
      <c r="F7159" s="13" t="s">
        <v>1918</v>
      </c>
      <c r="G7159" s="410" t="s">
        <v>48</v>
      </c>
      <c r="H7159" s="548">
        <v>7.0000000000000007E-2</v>
      </c>
      <c r="I7159" s="412">
        <f>IF(AND(E7159&lt;&gt;"",G7159&lt;&gt;""),IF(D7159="",IF(G7159="OH",VLOOKUP(F7159,UPAH!$B$4:$H$101,7,0),VLOOKUP(F7159,#REF!,4,0)),0),0)</f>
        <v>0</v>
      </c>
      <c r="J7159" s="16">
        <f>H7159*I7159</f>
        <v>0</v>
      </c>
    </row>
    <row r="7160" spans="1:10" ht="13">
      <c r="A7160" s="27"/>
      <c r="B7160" s="110"/>
      <c r="D7160" s="409"/>
      <c r="E7160" s="13" t="s">
        <v>230</v>
      </c>
      <c r="F7160" s="13" t="s">
        <v>1926</v>
      </c>
      <c r="G7160" s="410" t="s">
        <v>48</v>
      </c>
      <c r="H7160" s="548">
        <v>8.9999999999999993E-3</v>
      </c>
      <c r="I7160" s="412">
        <f>IF(AND(E7160&lt;&gt;"",G7160&lt;&gt;""),IF(D7160="",IF(G7160="OH",VLOOKUP(F7160,UPAH!$B$4:$H$101,7,0),VLOOKUP(F7160,#REF!,4,0)),0),0)</f>
        <v>0</v>
      </c>
      <c r="J7160" s="16">
        <f>H7160*I7160</f>
        <v>0</v>
      </c>
    </row>
    <row r="7161" spans="1:10" ht="13">
      <c r="A7161" s="27"/>
      <c r="B7161" s="110"/>
      <c r="D7161" s="409"/>
      <c r="E7161" s="13" t="s">
        <v>50</v>
      </c>
      <c r="F7161" s="13" t="s">
        <v>1928</v>
      </c>
      <c r="G7161" s="410" t="s">
        <v>48</v>
      </c>
      <c r="H7161" s="548">
        <v>6.0000000000000001E-3</v>
      </c>
      <c r="I7161" s="412">
        <f>IF(AND(E7161&lt;&gt;"",G7161&lt;&gt;""),IF(D7161="",IF(G7161="OH",VLOOKUP(F7161,UPAH!$B$4:$H$101,7,0),VLOOKUP(F7161,#REF!,4,0)),0),0)</f>
        <v>0</v>
      </c>
      <c r="J7161" s="16">
        <f>H7161*I7161</f>
        <v>0</v>
      </c>
    </row>
    <row r="7162" spans="1:10" ht="13.5" thickBot="1">
      <c r="A7162" s="27"/>
      <c r="B7162" s="110"/>
      <c r="D7162" s="409"/>
      <c r="E7162" s="13" t="s">
        <v>51</v>
      </c>
      <c r="F7162" s="13" t="s">
        <v>1929</v>
      </c>
      <c r="G7162" s="410" t="s">
        <v>48</v>
      </c>
      <c r="H7162" s="548">
        <v>3.0000000000000001E-3</v>
      </c>
      <c r="I7162" s="412">
        <f>IF(AND(E7162&lt;&gt;"",G7162&lt;&gt;""),IF(D7162="",IF(G7162="OH",VLOOKUP(F7162,UPAH!$B$4:$H$101,7,0),VLOOKUP(F7162,#REF!,4,0)),0),0)</f>
        <v>0</v>
      </c>
      <c r="J7162" s="16">
        <f>H7162*I7162</f>
        <v>0</v>
      </c>
    </row>
    <row r="7163" spans="1:10" ht="13.5" thickBot="1">
      <c r="A7163" s="27"/>
      <c r="B7163" s="110"/>
      <c r="D7163" s="417"/>
      <c r="E7163" s="418"/>
      <c r="F7163" s="418"/>
      <c r="G7163" s="419"/>
      <c r="H7163" s="420" t="s">
        <v>52</v>
      </c>
      <c r="I7163" s="421"/>
      <c r="J7163" s="396">
        <f>SUM(J7159:J7162)</f>
        <v>0</v>
      </c>
    </row>
    <row r="7164" spans="1:10" ht="13">
      <c r="A7164" s="27"/>
      <c r="B7164" s="110"/>
      <c r="D7164" s="406" t="s">
        <v>53</v>
      </c>
      <c r="E7164" s="13" t="s">
        <v>54</v>
      </c>
      <c r="F7164" s="14"/>
      <c r="G7164" s="15"/>
      <c r="H7164" s="451"/>
      <c r="I7164" s="412"/>
      <c r="J7164" s="16"/>
    </row>
    <row r="7165" spans="1:10" ht="13">
      <c r="A7165" s="27"/>
      <c r="B7165" s="110"/>
      <c r="D7165" s="409"/>
      <c r="E7165" s="13" t="s">
        <v>231</v>
      </c>
      <c r="F7165" s="14"/>
      <c r="G7165" s="410" t="s">
        <v>57</v>
      </c>
      <c r="H7165" s="548">
        <v>0.2</v>
      </c>
      <c r="I7165" s="412">
        <f>'BAHAN '!G167</f>
        <v>0</v>
      </c>
      <c r="J7165" s="16">
        <f t="shared" ref="J7165:J7171" si="36">H7165*I7165</f>
        <v>0</v>
      </c>
    </row>
    <row r="7166" spans="1:10" ht="13">
      <c r="A7166" s="27"/>
      <c r="B7166" s="110"/>
      <c r="D7166" s="409"/>
      <c r="E7166" s="13" t="s">
        <v>232</v>
      </c>
      <c r="F7166" s="14"/>
      <c r="G7166" s="410" t="s">
        <v>57</v>
      </c>
      <c r="H7166" s="548">
        <v>0.15</v>
      </c>
      <c r="I7166" s="412">
        <f>'BAHAN '!G184</f>
        <v>0</v>
      </c>
      <c r="J7166" s="16">
        <f t="shared" si="36"/>
        <v>0</v>
      </c>
    </row>
    <row r="7167" spans="1:10" ht="13">
      <c r="A7167" s="27"/>
      <c r="B7167" s="110"/>
      <c r="D7167" s="409"/>
      <c r="E7167" s="13" t="s">
        <v>1907</v>
      </c>
      <c r="F7167" s="14"/>
      <c r="G7167" s="410" t="s">
        <v>57</v>
      </c>
      <c r="H7167" s="548">
        <v>0.17</v>
      </c>
      <c r="I7167" s="412">
        <f>'BAHAN '!G164</f>
        <v>0</v>
      </c>
      <c r="J7167" s="16">
        <f t="shared" si="36"/>
        <v>0</v>
      </c>
    </row>
    <row r="7168" spans="1:10" ht="13">
      <c r="A7168" s="27"/>
      <c r="B7168" s="110"/>
      <c r="D7168" s="409"/>
      <c r="E7168" s="13" t="s">
        <v>1909</v>
      </c>
      <c r="F7168" s="14"/>
      <c r="G7168" s="410" t="s">
        <v>57</v>
      </c>
      <c r="H7168" s="548">
        <v>0.26</v>
      </c>
      <c r="I7168" s="412">
        <f>'BAHAN '!G165</f>
        <v>0</v>
      </c>
      <c r="J7168" s="16">
        <f t="shared" si="36"/>
        <v>0</v>
      </c>
    </row>
    <row r="7169" spans="1:10" ht="13">
      <c r="A7169" s="27"/>
      <c r="B7169" s="110"/>
      <c r="D7169" s="409"/>
      <c r="E7169" s="13" t="s">
        <v>233</v>
      </c>
      <c r="F7169" s="14"/>
      <c r="G7169" s="410" t="s">
        <v>87</v>
      </c>
      <c r="H7169" s="548">
        <v>0.01</v>
      </c>
      <c r="I7169" s="412">
        <f>'BAHAN '!G179</f>
        <v>0</v>
      </c>
      <c r="J7169" s="16">
        <f t="shared" si="36"/>
        <v>0</v>
      </c>
    </row>
    <row r="7170" spans="1:10" ht="13">
      <c r="A7170" s="27"/>
      <c r="B7170" s="110"/>
      <c r="D7170" s="409"/>
      <c r="E7170" s="13" t="s">
        <v>234</v>
      </c>
      <c r="F7170" s="14"/>
      <c r="G7170" s="410" t="s">
        <v>57</v>
      </c>
      <c r="H7170" s="548">
        <v>0.03</v>
      </c>
      <c r="I7170" s="412">
        <f>'BAHAN '!G181</f>
        <v>0</v>
      </c>
      <c r="J7170" s="16">
        <f t="shared" si="36"/>
        <v>0</v>
      </c>
    </row>
    <row r="7171" spans="1:10" ht="13.5" thickBot="1">
      <c r="A7171" s="27"/>
      <c r="B7171" s="110"/>
      <c r="D7171" s="409"/>
      <c r="E7171" s="13" t="s">
        <v>235</v>
      </c>
      <c r="F7171" s="14"/>
      <c r="G7171" s="410" t="s">
        <v>74</v>
      </c>
      <c r="H7171" s="548">
        <v>0.2</v>
      </c>
      <c r="I7171" s="412">
        <f>'BAHAN '!G163</f>
        <v>0</v>
      </c>
      <c r="J7171" s="16">
        <f t="shared" si="36"/>
        <v>0</v>
      </c>
    </row>
    <row r="7172" spans="1:10" ht="13.5" thickBot="1">
      <c r="A7172" s="27"/>
      <c r="B7172" s="110"/>
      <c r="D7172" s="417"/>
      <c r="E7172" s="418"/>
      <c r="F7172" s="418"/>
      <c r="G7172" s="419"/>
      <c r="H7172" s="420" t="s">
        <v>64</v>
      </c>
      <c r="I7172" s="421"/>
      <c r="J7172" s="396">
        <f>SUM(J7165:J7171)</f>
        <v>0</v>
      </c>
    </row>
    <row r="7173" spans="1:10" ht="13.5" thickBot="1">
      <c r="A7173" s="27"/>
      <c r="B7173" s="110"/>
      <c r="D7173" s="406" t="s">
        <v>65</v>
      </c>
      <c r="E7173" s="13" t="s">
        <v>66</v>
      </c>
      <c r="F7173" s="14"/>
      <c r="G7173" s="15"/>
      <c r="H7173" s="451"/>
      <c r="I7173" s="412">
        <f>IF(AND(E7173&lt;&gt;"",G7173&lt;&gt;""),IF(D7173="",IF(G7173="OH",VLOOKUP(E7173,UPAH!$C$4:$H$31,7,0),VLOOKUP(E7173,#REF!,4,0)),0),0)</f>
        <v>0</v>
      </c>
      <c r="J7173" s="16">
        <f>H7173*I7173</f>
        <v>0</v>
      </c>
    </row>
    <row r="7174" spans="1:10" ht="13.5" thickBot="1">
      <c r="A7174" s="27"/>
      <c r="B7174" s="110"/>
      <c r="D7174" s="417"/>
      <c r="E7174" s="418"/>
      <c r="F7174" s="418"/>
      <c r="G7174" s="419"/>
      <c r="H7174" s="420" t="s">
        <v>67</v>
      </c>
      <c r="I7174" s="421"/>
      <c r="J7174" s="396">
        <f>J7173</f>
        <v>0</v>
      </c>
    </row>
    <row r="7175" spans="1:10" ht="13">
      <c r="A7175" s="27"/>
      <c r="B7175" s="110"/>
      <c r="D7175" s="444" t="s">
        <v>68</v>
      </c>
      <c r="E7175" s="445" t="s">
        <v>69</v>
      </c>
      <c r="F7175" s="446"/>
      <c r="G7175" s="447"/>
      <c r="H7175" s="448"/>
      <c r="I7175" s="449">
        <f>IF(AND(E7175&lt;&gt;"",G7175&lt;&gt;""),IF(D7175="",IF(G7175="OH",VLOOKUP(E7175,UPAH!$C$4:$H$31,7,0),VLOOKUP(E7175,#REF!,4,0)),0),0)</f>
        <v>0</v>
      </c>
      <c r="J7175" s="16">
        <f>SUM(J7159:J7174)/2</f>
        <v>0</v>
      </c>
    </row>
    <row r="7176" spans="1:10" ht="13.5" thickBot="1">
      <c r="A7176" s="27"/>
      <c r="B7176" s="110"/>
      <c r="D7176" s="431" t="s">
        <v>70</v>
      </c>
      <c r="E7176" s="432" t="s">
        <v>477</v>
      </c>
      <c r="F7176" s="433"/>
      <c r="G7176" s="434"/>
      <c r="H7176" s="22">
        <v>0.1</v>
      </c>
      <c r="I7176" s="436"/>
      <c r="J7176" s="430">
        <f>H7176*J7175</f>
        <v>0</v>
      </c>
    </row>
    <row r="7177" spans="1:10" ht="13.5" thickBot="1">
      <c r="A7177" s="27"/>
      <c r="B7177" s="110"/>
      <c r="D7177" s="401" t="s">
        <v>71</v>
      </c>
      <c r="E7177" s="402" t="s">
        <v>72</v>
      </c>
      <c r="F7177" s="418"/>
      <c r="G7177" s="419"/>
      <c r="H7177" s="442"/>
      <c r="I7177" s="421">
        <f>IF(AND(E7177&lt;&gt;"",G7177&lt;&gt;""),IF(D7177="",IF(G7177="OH",VLOOKUP(E7177,UPAH!$C$4:$H$31,7,0),VLOOKUP(E7177,#REF!,4,0)),0),0)</f>
        <v>0</v>
      </c>
      <c r="J7177" s="396">
        <f>ROUNDDOWN(J7175+J7176,0)</f>
        <v>0</v>
      </c>
    </row>
    <row r="7178" spans="1:10" ht="13">
      <c r="A7178" s="27"/>
      <c r="B7178" s="110"/>
      <c r="D7178" s="11"/>
      <c r="E7178" s="11"/>
      <c r="H7178" s="443"/>
    </row>
    <row r="7179" spans="1:10" ht="13.5" thickBot="1">
      <c r="A7179" s="27"/>
      <c r="B7179" s="110"/>
      <c r="C7179" s="11" t="s">
        <v>1269</v>
      </c>
      <c r="D7179" s="10" t="s">
        <v>1270</v>
      </c>
      <c r="H7179" s="443"/>
    </row>
    <row r="7180" spans="1:10" ht="13.5" thickBot="1">
      <c r="A7180" s="27"/>
      <c r="B7180" s="110"/>
      <c r="D7180" s="401" t="s">
        <v>40</v>
      </c>
      <c r="E7180" s="402" t="s">
        <v>41</v>
      </c>
      <c r="F7180" s="402" t="s">
        <v>42</v>
      </c>
      <c r="G7180" s="403" t="s">
        <v>43</v>
      </c>
      <c r="H7180" s="404" t="s">
        <v>44</v>
      </c>
      <c r="I7180" s="402" t="s">
        <v>474</v>
      </c>
      <c r="J7180" s="405" t="s">
        <v>475</v>
      </c>
    </row>
    <row r="7181" spans="1:10" ht="13">
      <c r="A7181" s="27"/>
      <c r="B7181" s="110"/>
      <c r="D7181" s="406" t="s">
        <v>45</v>
      </c>
      <c r="E7181" s="13" t="s">
        <v>46</v>
      </c>
      <c r="F7181" s="14"/>
      <c r="G7181" s="15"/>
      <c r="H7181" s="451"/>
      <c r="I7181" s="412"/>
      <c r="J7181" s="16"/>
    </row>
    <row r="7182" spans="1:10" ht="13">
      <c r="A7182" s="27"/>
      <c r="B7182" s="110"/>
      <c r="D7182" s="409"/>
      <c r="E7182" s="13" t="s">
        <v>47</v>
      </c>
      <c r="F7182" s="13" t="s">
        <v>1918</v>
      </c>
      <c r="G7182" s="410" t="s">
        <v>48</v>
      </c>
      <c r="H7182" s="548">
        <v>7.0000000000000007E-2</v>
      </c>
      <c r="I7182" s="412">
        <f>IF(AND(E7182&lt;&gt;"",G7182&lt;&gt;""),IF(D7182="",IF(G7182="OH",VLOOKUP(F7182,UPAH!$B$4:$H$101,7,0),VLOOKUP(F7182,#REF!,4,0)),0),0)</f>
        <v>0</v>
      </c>
      <c r="J7182" s="16">
        <f>H7182*I7182</f>
        <v>0</v>
      </c>
    </row>
    <row r="7183" spans="1:10" ht="13">
      <c r="A7183" s="27"/>
      <c r="B7183" s="110"/>
      <c r="D7183" s="409"/>
      <c r="E7183" s="13" t="s">
        <v>230</v>
      </c>
      <c r="F7183" s="13" t="s">
        <v>1926</v>
      </c>
      <c r="G7183" s="410" t="s">
        <v>48</v>
      </c>
      <c r="H7183" s="548">
        <v>0.105</v>
      </c>
      <c r="I7183" s="412">
        <f>IF(AND(E7183&lt;&gt;"",G7183&lt;&gt;""),IF(D7183="",IF(G7183="OH",VLOOKUP(F7183,UPAH!$B$4:$H$101,7,0),VLOOKUP(F7183,#REF!,4,0)),0),0)</f>
        <v>0</v>
      </c>
      <c r="J7183" s="16">
        <f>H7183*I7183</f>
        <v>0</v>
      </c>
    </row>
    <row r="7184" spans="1:10" ht="13">
      <c r="A7184" s="27"/>
      <c r="B7184" s="110"/>
      <c r="D7184" s="409"/>
      <c r="E7184" s="13" t="s">
        <v>50</v>
      </c>
      <c r="F7184" s="13" t="s">
        <v>1928</v>
      </c>
      <c r="G7184" s="410" t="s">
        <v>48</v>
      </c>
      <c r="H7184" s="548">
        <v>4.0000000000000001E-3</v>
      </c>
      <c r="I7184" s="412">
        <f>IF(AND(E7184&lt;&gt;"",G7184&lt;&gt;""),IF(D7184="",IF(G7184="OH",VLOOKUP(F7184,UPAH!$B$4:$H$101,7,0),VLOOKUP(F7184,#REF!,4,0)),0),0)</f>
        <v>0</v>
      </c>
      <c r="J7184" s="16">
        <f>H7184*I7184</f>
        <v>0</v>
      </c>
    </row>
    <row r="7185" spans="1:10" ht="13.5" thickBot="1">
      <c r="A7185" s="27"/>
      <c r="B7185" s="110"/>
      <c r="D7185" s="409"/>
      <c r="E7185" s="13" t="s">
        <v>51</v>
      </c>
      <c r="F7185" s="13" t="s">
        <v>1929</v>
      </c>
      <c r="G7185" s="410" t="s">
        <v>48</v>
      </c>
      <c r="H7185" s="548">
        <v>3.0000000000000001E-3</v>
      </c>
      <c r="I7185" s="412">
        <f>IF(AND(E7185&lt;&gt;"",G7185&lt;&gt;""),IF(D7185="",IF(G7185="OH",VLOOKUP(F7185,UPAH!$B$4:$H$101,7,0),VLOOKUP(F7185,#REF!,4,0)),0),0)</f>
        <v>0</v>
      </c>
      <c r="J7185" s="16">
        <f>H7185*I7185</f>
        <v>0</v>
      </c>
    </row>
    <row r="7186" spans="1:10" ht="13.5" thickBot="1">
      <c r="A7186" s="27"/>
      <c r="B7186" s="110"/>
      <c r="D7186" s="417"/>
      <c r="E7186" s="418"/>
      <c r="F7186" s="418"/>
      <c r="G7186" s="419"/>
      <c r="H7186" s="420" t="s">
        <v>52</v>
      </c>
      <c r="I7186" s="421"/>
      <c r="J7186" s="396">
        <f>SUM(J7182:J7185)</f>
        <v>0</v>
      </c>
    </row>
    <row r="7187" spans="1:10" ht="13">
      <c r="A7187" s="27"/>
      <c r="B7187" s="110"/>
      <c r="D7187" s="406" t="s">
        <v>53</v>
      </c>
      <c r="E7187" s="13" t="s">
        <v>54</v>
      </c>
      <c r="F7187" s="14"/>
      <c r="G7187" s="15"/>
      <c r="H7187" s="451"/>
      <c r="I7187" s="412"/>
      <c r="J7187" s="16"/>
    </row>
    <row r="7188" spans="1:10" ht="13">
      <c r="A7188" s="27"/>
      <c r="B7188" s="110"/>
      <c r="D7188" s="409"/>
      <c r="E7188" s="13" t="s">
        <v>231</v>
      </c>
      <c r="F7188" s="14"/>
      <c r="G7188" s="410" t="s">
        <v>57</v>
      </c>
      <c r="H7188" s="548">
        <v>0.2</v>
      </c>
      <c r="I7188" s="412">
        <f>'BAHAN '!G167</f>
        <v>0</v>
      </c>
      <c r="J7188" s="16">
        <f t="shared" ref="J7188:J7194" si="37">H7188*I7188</f>
        <v>0</v>
      </c>
    </row>
    <row r="7189" spans="1:10" ht="13">
      <c r="A7189" s="27"/>
      <c r="B7189" s="110"/>
      <c r="D7189" s="409"/>
      <c r="E7189" s="13" t="s">
        <v>232</v>
      </c>
      <c r="F7189" s="14"/>
      <c r="G7189" s="410" t="s">
        <v>57</v>
      </c>
      <c r="H7189" s="548">
        <v>0.15</v>
      </c>
      <c r="I7189" s="412">
        <f>'BAHAN '!G184</f>
        <v>0</v>
      </c>
      <c r="J7189" s="16">
        <f t="shared" si="37"/>
        <v>0</v>
      </c>
    </row>
    <row r="7190" spans="1:10" ht="13">
      <c r="A7190" s="27"/>
      <c r="B7190" s="110"/>
      <c r="D7190" s="409"/>
      <c r="E7190" s="13" t="s">
        <v>1907</v>
      </c>
      <c r="F7190" s="14"/>
      <c r="G7190" s="410" t="s">
        <v>57</v>
      </c>
      <c r="H7190" s="548">
        <v>0.17</v>
      </c>
      <c r="I7190" s="412">
        <f>'BAHAN '!G164</f>
        <v>0</v>
      </c>
      <c r="J7190" s="16">
        <f t="shared" si="37"/>
        <v>0</v>
      </c>
    </row>
    <row r="7191" spans="1:10" ht="13">
      <c r="A7191" s="27"/>
      <c r="B7191" s="110"/>
      <c r="D7191" s="409"/>
      <c r="E7191" s="13" t="s">
        <v>1909</v>
      </c>
      <c r="F7191" s="14"/>
      <c r="G7191" s="410" t="s">
        <v>57</v>
      </c>
      <c r="H7191" s="548">
        <v>0.35</v>
      </c>
      <c r="I7191" s="412">
        <f t="shared" ref="I7191:I7193" si="38">I7168</f>
        <v>0</v>
      </c>
      <c r="J7191" s="16">
        <f t="shared" si="37"/>
        <v>0</v>
      </c>
    </row>
    <row r="7192" spans="1:10" ht="13">
      <c r="A7192" s="27"/>
      <c r="B7192" s="110"/>
      <c r="D7192" s="409"/>
      <c r="E7192" s="13" t="s">
        <v>233</v>
      </c>
      <c r="F7192" s="14"/>
      <c r="G7192" s="410" t="s">
        <v>87</v>
      </c>
      <c r="H7192" s="548">
        <v>0.01</v>
      </c>
      <c r="I7192" s="412">
        <f t="shared" si="38"/>
        <v>0</v>
      </c>
      <c r="J7192" s="16">
        <f t="shared" si="37"/>
        <v>0</v>
      </c>
    </row>
    <row r="7193" spans="1:10" ht="13">
      <c r="A7193" s="27"/>
      <c r="B7193" s="110"/>
      <c r="D7193" s="409"/>
      <c r="E7193" s="13" t="s">
        <v>234</v>
      </c>
      <c r="F7193" s="14"/>
      <c r="G7193" s="410" t="s">
        <v>57</v>
      </c>
      <c r="H7193" s="548">
        <v>0.03</v>
      </c>
      <c r="I7193" s="412">
        <f t="shared" si="38"/>
        <v>0</v>
      </c>
      <c r="J7193" s="16">
        <f t="shared" si="37"/>
        <v>0</v>
      </c>
    </row>
    <row r="7194" spans="1:10" ht="13.5" thickBot="1">
      <c r="A7194" s="27"/>
      <c r="B7194" s="110"/>
      <c r="D7194" s="409"/>
      <c r="E7194" s="13" t="s">
        <v>235</v>
      </c>
      <c r="F7194" s="14"/>
      <c r="G7194" s="410" t="s">
        <v>74</v>
      </c>
      <c r="H7194" s="548">
        <v>0.2</v>
      </c>
      <c r="I7194" s="412">
        <f>'BAHAN '!G163</f>
        <v>0</v>
      </c>
      <c r="J7194" s="16">
        <f t="shared" si="37"/>
        <v>0</v>
      </c>
    </row>
    <row r="7195" spans="1:10" ht="13.5" thickBot="1">
      <c r="A7195" s="27"/>
      <c r="B7195" s="110"/>
      <c r="D7195" s="417"/>
      <c r="E7195" s="418"/>
      <c r="F7195" s="418"/>
      <c r="G7195" s="419"/>
      <c r="H7195" s="420" t="s">
        <v>64</v>
      </c>
      <c r="I7195" s="421"/>
      <c r="J7195" s="396">
        <f>SUM(J7188:J7194)</f>
        <v>0</v>
      </c>
    </row>
    <row r="7196" spans="1:10" ht="13.5" thickBot="1">
      <c r="A7196" s="27"/>
      <c r="B7196" s="110"/>
      <c r="D7196" s="406" t="s">
        <v>65</v>
      </c>
      <c r="E7196" s="13" t="s">
        <v>66</v>
      </c>
      <c r="F7196" s="14"/>
      <c r="G7196" s="15"/>
      <c r="H7196" s="451"/>
      <c r="I7196" s="412">
        <f>IF(AND(E7196&lt;&gt;"",G7196&lt;&gt;""),IF(D7196="",IF(G7196="OH",VLOOKUP(E7196,UPAH!$C$4:$H$31,7,0),VLOOKUP(E7196,#REF!,4,0)),0),0)</f>
        <v>0</v>
      </c>
      <c r="J7196" s="16">
        <f>H7196*I7196</f>
        <v>0</v>
      </c>
    </row>
    <row r="7197" spans="1:10" ht="13.5" thickBot="1">
      <c r="A7197" s="27"/>
      <c r="B7197" s="110"/>
      <c r="D7197" s="417"/>
      <c r="E7197" s="418"/>
      <c r="F7197" s="418"/>
      <c r="G7197" s="419"/>
      <c r="H7197" s="420" t="s">
        <v>67</v>
      </c>
      <c r="I7197" s="421"/>
      <c r="J7197" s="396">
        <f>J7196</f>
        <v>0</v>
      </c>
    </row>
    <row r="7198" spans="1:10" ht="13">
      <c r="A7198" s="27"/>
      <c r="B7198" s="110"/>
      <c r="D7198" s="444" t="s">
        <v>68</v>
      </c>
      <c r="E7198" s="445" t="s">
        <v>69</v>
      </c>
      <c r="F7198" s="446"/>
      <c r="G7198" s="447"/>
      <c r="H7198" s="448"/>
      <c r="I7198" s="449">
        <f>IF(AND(E7198&lt;&gt;"",G7198&lt;&gt;""),IF(D7198="",IF(G7198="OH",VLOOKUP(E7198,UPAH!$C$4:$H$31,7,0),VLOOKUP(E7198,#REF!,4,0)),0),0)</f>
        <v>0</v>
      </c>
      <c r="J7198" s="16">
        <f>SUM(J7181:J7197)/2</f>
        <v>0</v>
      </c>
    </row>
    <row r="7199" spans="1:10" ht="13.5" thickBot="1">
      <c r="A7199" s="27"/>
      <c r="B7199" s="110"/>
      <c r="D7199" s="431" t="s">
        <v>70</v>
      </c>
      <c r="E7199" s="432" t="s">
        <v>477</v>
      </c>
      <c r="F7199" s="433"/>
      <c r="G7199" s="434"/>
      <c r="H7199" s="22">
        <v>0.1</v>
      </c>
      <c r="I7199" s="436"/>
      <c r="J7199" s="430">
        <f>H7199*J7198</f>
        <v>0</v>
      </c>
    </row>
    <row r="7200" spans="1:10" ht="13.5" thickBot="1">
      <c r="A7200" s="27"/>
      <c r="B7200" s="110"/>
      <c r="D7200" s="401" t="s">
        <v>71</v>
      </c>
      <c r="E7200" s="402" t="s">
        <v>72</v>
      </c>
      <c r="F7200" s="418"/>
      <c r="G7200" s="419"/>
      <c r="H7200" s="442"/>
      <c r="I7200" s="421">
        <f>IF(AND(E7200&lt;&gt;"",G7200&lt;&gt;""),IF(D7200="",IF(G7200="OH",VLOOKUP(E7200,UPAH!$C$4:$H$31,7,0),VLOOKUP(E7200,#REF!,4,0)),0),0)</f>
        <v>0</v>
      </c>
      <c r="J7200" s="396">
        <f>ROUNDDOWN(J7198+J7199,0)</f>
        <v>0</v>
      </c>
    </row>
    <row r="7201" spans="1:10" ht="13">
      <c r="A7201" s="27"/>
      <c r="B7201" s="110"/>
      <c r="D7201" s="11"/>
      <c r="E7201" s="11"/>
      <c r="H7201" s="443"/>
    </row>
    <row r="7202" spans="1:10" ht="13.5" thickBot="1">
      <c r="A7202" s="27"/>
      <c r="B7202" s="110"/>
      <c r="C7202" s="11" t="s">
        <v>1271</v>
      </c>
      <c r="D7202" s="10" t="s">
        <v>1272</v>
      </c>
      <c r="H7202" s="443"/>
    </row>
    <row r="7203" spans="1:10" ht="13.5" thickBot="1">
      <c r="A7203" s="27"/>
      <c r="B7203" s="110"/>
      <c r="D7203" s="401" t="s">
        <v>40</v>
      </c>
      <c r="E7203" s="402" t="s">
        <v>41</v>
      </c>
      <c r="F7203" s="402" t="s">
        <v>42</v>
      </c>
      <c r="G7203" s="403" t="s">
        <v>43</v>
      </c>
      <c r="H7203" s="404" t="s">
        <v>44</v>
      </c>
      <c r="I7203" s="402" t="s">
        <v>474</v>
      </c>
      <c r="J7203" s="405" t="s">
        <v>475</v>
      </c>
    </row>
    <row r="7204" spans="1:10" ht="13">
      <c r="A7204" s="27"/>
      <c r="B7204" s="110"/>
      <c r="D7204" s="406" t="s">
        <v>45</v>
      </c>
      <c r="E7204" s="13" t="s">
        <v>46</v>
      </c>
      <c r="F7204" s="14"/>
      <c r="G7204" s="15"/>
      <c r="H7204" s="451"/>
      <c r="I7204" s="412"/>
      <c r="J7204" s="16"/>
    </row>
    <row r="7205" spans="1:10" ht="13">
      <c r="A7205" s="27"/>
      <c r="B7205" s="110"/>
      <c r="D7205" s="409"/>
      <c r="E7205" s="13" t="s">
        <v>47</v>
      </c>
      <c r="F7205" s="13" t="s">
        <v>1918</v>
      </c>
      <c r="G7205" s="410" t="s">
        <v>48</v>
      </c>
      <c r="H7205" s="548">
        <v>0.04</v>
      </c>
      <c r="I7205" s="412">
        <f>IF(AND(E7205&lt;&gt;"",G7205&lt;&gt;""),IF(D7205="",IF(G7205="OH",VLOOKUP(F7205,UPAH!$B$4:$H$101,7,0),VLOOKUP(F7205,#REF!,4,0)),0),0)</f>
        <v>0</v>
      </c>
      <c r="J7205" s="16">
        <f>H7205*I7205</f>
        <v>0</v>
      </c>
    </row>
    <row r="7206" spans="1:10" ht="13">
      <c r="A7206" s="27"/>
      <c r="B7206" s="110"/>
      <c r="D7206" s="409"/>
      <c r="E7206" s="13" t="s">
        <v>230</v>
      </c>
      <c r="F7206" s="13" t="s">
        <v>1926</v>
      </c>
      <c r="G7206" s="410" t="s">
        <v>48</v>
      </c>
      <c r="H7206" s="548">
        <v>6.3E-2</v>
      </c>
      <c r="I7206" s="412">
        <f>IF(AND(E7206&lt;&gt;"",G7206&lt;&gt;""),IF(D7206="",IF(G7206="OH",VLOOKUP(F7206,UPAH!$B$4:$H$101,7,0),VLOOKUP(F7206,#REF!,4,0)),0),0)</f>
        <v>0</v>
      </c>
      <c r="J7206" s="16">
        <f>H7206*I7206</f>
        <v>0</v>
      </c>
    </row>
    <row r="7207" spans="1:10" ht="13">
      <c r="A7207" s="27"/>
      <c r="B7207" s="110"/>
      <c r="D7207" s="409"/>
      <c r="E7207" s="13" t="s">
        <v>50</v>
      </c>
      <c r="F7207" s="13" t="s">
        <v>1928</v>
      </c>
      <c r="G7207" s="410" t="s">
        <v>48</v>
      </c>
      <c r="H7207" s="548">
        <v>6.3E-2</v>
      </c>
      <c r="I7207" s="412">
        <f>IF(AND(E7207&lt;&gt;"",G7207&lt;&gt;""),IF(D7207="",IF(G7207="OH",VLOOKUP(F7207,UPAH!$B$4:$H$101,7,0),VLOOKUP(F7207,#REF!,4,0)),0),0)</f>
        <v>0</v>
      </c>
      <c r="J7207" s="16">
        <f>H7207*I7207</f>
        <v>0</v>
      </c>
    </row>
    <row r="7208" spans="1:10" ht="13.5" thickBot="1">
      <c r="A7208" s="27"/>
      <c r="B7208" s="110"/>
      <c r="D7208" s="409"/>
      <c r="E7208" s="13" t="s">
        <v>51</v>
      </c>
      <c r="F7208" s="13" t="s">
        <v>1929</v>
      </c>
      <c r="G7208" s="410" t="s">
        <v>48</v>
      </c>
      <c r="H7208" s="548">
        <v>3.0000000000000001E-3</v>
      </c>
      <c r="I7208" s="412">
        <f>IF(AND(E7208&lt;&gt;"",G7208&lt;&gt;""),IF(D7208="",IF(G7208="OH",VLOOKUP(F7208,UPAH!$B$4:$H$101,7,0),VLOOKUP(F7208,#REF!,4,0)),0),0)</f>
        <v>0</v>
      </c>
      <c r="J7208" s="16">
        <f>H7208*I7208</f>
        <v>0</v>
      </c>
    </row>
    <row r="7209" spans="1:10" ht="13.5" thickBot="1">
      <c r="A7209" s="27"/>
      <c r="B7209" s="110"/>
      <c r="D7209" s="417"/>
      <c r="E7209" s="418"/>
      <c r="F7209" s="418"/>
      <c r="G7209" s="419"/>
      <c r="H7209" s="420" t="s">
        <v>52</v>
      </c>
      <c r="I7209" s="421"/>
      <c r="J7209" s="396">
        <f>SUM(J7205:J7208)</f>
        <v>0</v>
      </c>
    </row>
    <row r="7210" spans="1:10" ht="13">
      <c r="A7210" s="27"/>
      <c r="B7210" s="110"/>
      <c r="D7210" s="406" t="s">
        <v>53</v>
      </c>
      <c r="E7210" s="13" t="s">
        <v>54</v>
      </c>
      <c r="F7210" s="14"/>
      <c r="G7210" s="15"/>
      <c r="H7210" s="451"/>
      <c r="I7210" s="412"/>
      <c r="J7210" s="16"/>
    </row>
    <row r="7211" spans="1:10" ht="13.5" thickBot="1">
      <c r="A7211" s="27"/>
      <c r="B7211" s="110"/>
      <c r="D7211" s="409"/>
      <c r="E7211" s="13" t="s">
        <v>236</v>
      </c>
      <c r="F7211" s="14"/>
      <c r="G7211" s="410" t="s">
        <v>127</v>
      </c>
      <c r="H7211" s="548">
        <v>0.36</v>
      </c>
      <c r="I7211" s="412">
        <f>'BAHAN '!G189</f>
        <v>0</v>
      </c>
      <c r="J7211" s="16">
        <f>H7211*I7211</f>
        <v>0</v>
      </c>
    </row>
    <row r="7212" spans="1:10" ht="13.5" thickBot="1">
      <c r="A7212" s="27"/>
      <c r="B7212" s="110"/>
      <c r="D7212" s="417"/>
      <c r="E7212" s="418"/>
      <c r="F7212" s="418"/>
      <c r="G7212" s="419"/>
      <c r="H7212" s="420" t="s">
        <v>64</v>
      </c>
      <c r="I7212" s="421"/>
      <c r="J7212" s="396">
        <f>SUM(J7210:J7211)</f>
        <v>0</v>
      </c>
    </row>
    <row r="7213" spans="1:10" ht="13.5" thickBot="1">
      <c r="A7213" s="27"/>
      <c r="B7213" s="110"/>
      <c r="D7213" s="406" t="s">
        <v>65</v>
      </c>
      <c r="E7213" s="13" t="s">
        <v>66</v>
      </c>
      <c r="F7213" s="14"/>
      <c r="G7213" s="15"/>
      <c r="H7213" s="451"/>
      <c r="I7213" s="412">
        <f>IF(AND(E7213&lt;&gt;"",G7213&lt;&gt;""),IF(D7213="",IF(G7213="OH",VLOOKUP(E7213,UPAH!$C$4:$H$31,7,0),VLOOKUP(E7213,#REF!,4,0)),0),0)</f>
        <v>0</v>
      </c>
      <c r="J7213" s="16">
        <f>H7213*I7213</f>
        <v>0</v>
      </c>
    </row>
    <row r="7214" spans="1:10" ht="13.5" thickBot="1">
      <c r="A7214" s="27"/>
      <c r="B7214" s="110"/>
      <c r="D7214" s="417"/>
      <c r="E7214" s="418"/>
      <c r="F7214" s="418"/>
      <c r="G7214" s="419"/>
      <c r="H7214" s="420" t="s">
        <v>67</v>
      </c>
      <c r="I7214" s="421"/>
      <c r="J7214" s="396">
        <f>J7213</f>
        <v>0</v>
      </c>
    </row>
    <row r="7215" spans="1:10" ht="13">
      <c r="A7215" s="27"/>
      <c r="B7215" s="110"/>
      <c r="D7215" s="444" t="s">
        <v>68</v>
      </c>
      <c r="E7215" s="445" t="s">
        <v>69</v>
      </c>
      <c r="F7215" s="446"/>
      <c r="G7215" s="447"/>
      <c r="H7215" s="448"/>
      <c r="I7215" s="449">
        <f>IF(AND(E7215&lt;&gt;"",G7215&lt;&gt;""),IF(D7215="",IF(G7215="OH",VLOOKUP(E7215,UPAH!$C$4:$H$31,7,0),VLOOKUP(E7215,#REF!,4,0)),0),0)</f>
        <v>0</v>
      </c>
      <c r="J7215" s="16">
        <f>SUM(J7204:J7214)/2</f>
        <v>0</v>
      </c>
    </row>
    <row r="7216" spans="1:10" ht="13.5" thickBot="1">
      <c r="A7216" s="27"/>
      <c r="B7216" s="110"/>
      <c r="D7216" s="431" t="s">
        <v>70</v>
      </c>
      <c r="E7216" s="432" t="s">
        <v>477</v>
      </c>
      <c r="F7216" s="433"/>
      <c r="G7216" s="434"/>
      <c r="H7216" s="22">
        <v>0.1</v>
      </c>
      <c r="I7216" s="436"/>
      <c r="J7216" s="430">
        <f>H7216*J7215</f>
        <v>0</v>
      </c>
    </row>
    <row r="7217" spans="1:10" ht="13.5" thickBot="1">
      <c r="A7217" s="27"/>
      <c r="B7217" s="110"/>
      <c r="D7217" s="401" t="s">
        <v>71</v>
      </c>
      <c r="E7217" s="402" t="s">
        <v>72</v>
      </c>
      <c r="F7217" s="418"/>
      <c r="G7217" s="419"/>
      <c r="H7217" s="442"/>
      <c r="I7217" s="421">
        <f>IF(AND(E7217&lt;&gt;"",G7217&lt;&gt;""),IF(D7217="",IF(G7217="OH",VLOOKUP(E7217,UPAH!$C$4:$H$31,7,0),VLOOKUP(E7217,#REF!,4,0)),0),0)</f>
        <v>0</v>
      </c>
      <c r="J7217" s="396">
        <f>ROUNDDOWN(J7215+J7216,0)</f>
        <v>0</v>
      </c>
    </row>
    <row r="7218" spans="1:10" ht="13">
      <c r="A7218" s="27"/>
      <c r="B7218" s="110"/>
      <c r="D7218" s="11"/>
      <c r="E7218" s="11"/>
      <c r="H7218" s="443"/>
    </row>
    <row r="7219" spans="1:10" ht="13.5" thickBot="1">
      <c r="A7219" s="27"/>
      <c r="B7219" s="110"/>
      <c r="C7219" s="11" t="s">
        <v>1273</v>
      </c>
      <c r="D7219" s="10" t="s">
        <v>1274</v>
      </c>
      <c r="H7219" s="443"/>
    </row>
    <row r="7220" spans="1:10" ht="13.5" thickBot="1">
      <c r="A7220" s="27"/>
      <c r="B7220" s="110"/>
      <c r="D7220" s="401" t="s">
        <v>40</v>
      </c>
      <c r="E7220" s="402" t="s">
        <v>41</v>
      </c>
      <c r="F7220" s="402" t="s">
        <v>42</v>
      </c>
      <c r="G7220" s="403" t="s">
        <v>43</v>
      </c>
      <c r="H7220" s="404" t="s">
        <v>44</v>
      </c>
      <c r="I7220" s="402" t="s">
        <v>474</v>
      </c>
      <c r="J7220" s="405" t="s">
        <v>475</v>
      </c>
    </row>
    <row r="7221" spans="1:10" ht="13">
      <c r="A7221" s="27"/>
      <c r="B7221" s="110"/>
      <c r="D7221" s="406" t="s">
        <v>45</v>
      </c>
      <c r="E7221" s="13" t="s">
        <v>46</v>
      </c>
      <c r="F7221" s="14"/>
      <c r="G7221" s="15"/>
      <c r="H7221" s="451"/>
      <c r="I7221" s="412"/>
      <c r="J7221" s="16"/>
    </row>
    <row r="7222" spans="1:10" ht="13">
      <c r="A7222" s="27"/>
      <c r="B7222" s="110"/>
      <c r="D7222" s="409"/>
      <c r="E7222" s="13" t="s">
        <v>47</v>
      </c>
      <c r="F7222" s="13" t="s">
        <v>1918</v>
      </c>
      <c r="G7222" s="410" t="s">
        <v>48</v>
      </c>
      <c r="H7222" s="548">
        <v>0.04</v>
      </c>
      <c r="I7222" s="412">
        <f>IF(AND(E7222&lt;&gt;"",G7222&lt;&gt;""),IF(D7222="",IF(G7222="OH",VLOOKUP(F7222,UPAH!$B$4:$H$101,7,0),VLOOKUP(F7222,#REF!,4,0)),0),0)</f>
        <v>0</v>
      </c>
      <c r="J7222" s="16">
        <f>H7222*I7222</f>
        <v>0</v>
      </c>
    </row>
    <row r="7223" spans="1:10" ht="13">
      <c r="A7223" s="27"/>
      <c r="B7223" s="110"/>
      <c r="D7223" s="409"/>
      <c r="E7223" s="13" t="s">
        <v>230</v>
      </c>
      <c r="F7223" s="13" t="s">
        <v>1926</v>
      </c>
      <c r="G7223" s="410" t="s">
        <v>48</v>
      </c>
      <c r="H7223" s="548">
        <v>0.06</v>
      </c>
      <c r="I7223" s="412">
        <f>IF(AND(E7223&lt;&gt;"",G7223&lt;&gt;""),IF(D7223="",IF(G7223="OH",VLOOKUP(F7223,UPAH!$B$4:$H$101,7,0),VLOOKUP(F7223,#REF!,4,0)),0),0)</f>
        <v>0</v>
      </c>
      <c r="J7223" s="16">
        <f>H7223*I7223</f>
        <v>0</v>
      </c>
    </row>
    <row r="7224" spans="1:10" ht="13">
      <c r="A7224" s="27"/>
      <c r="B7224" s="110"/>
      <c r="D7224" s="409"/>
      <c r="E7224" s="13" t="s">
        <v>50</v>
      </c>
      <c r="F7224" s="13" t="s">
        <v>1928</v>
      </c>
      <c r="G7224" s="410" t="s">
        <v>48</v>
      </c>
      <c r="H7224" s="548">
        <v>1.6E-2</v>
      </c>
      <c r="I7224" s="412">
        <f>IF(AND(E7224&lt;&gt;"",G7224&lt;&gt;""),IF(D7224="",IF(G7224="OH",VLOOKUP(F7224,UPAH!$B$4:$H$101,7,0),VLOOKUP(F7224,#REF!,4,0)),0),0)</f>
        <v>0</v>
      </c>
      <c r="J7224" s="16">
        <f>H7224*I7224</f>
        <v>0</v>
      </c>
    </row>
    <row r="7225" spans="1:10" ht="13.5" thickBot="1">
      <c r="A7225" s="27"/>
      <c r="B7225" s="110"/>
      <c r="D7225" s="409"/>
      <c r="E7225" s="13" t="s">
        <v>51</v>
      </c>
      <c r="F7225" s="13" t="s">
        <v>1929</v>
      </c>
      <c r="G7225" s="410" t="s">
        <v>48</v>
      </c>
      <c r="H7225" s="548">
        <v>3.0000000000000001E-3</v>
      </c>
      <c r="I7225" s="412">
        <f>IF(AND(E7225&lt;&gt;"",G7225&lt;&gt;""),IF(D7225="",IF(G7225="OH",VLOOKUP(F7225,UPAH!$B$4:$H$101,7,0),VLOOKUP(F7225,#REF!,4,0)),0),0)</f>
        <v>0</v>
      </c>
      <c r="J7225" s="16">
        <f>H7225*I7225</f>
        <v>0</v>
      </c>
    </row>
    <row r="7226" spans="1:10" ht="13.5" thickBot="1">
      <c r="A7226" s="27"/>
      <c r="B7226" s="110"/>
      <c r="D7226" s="417"/>
      <c r="E7226" s="418"/>
      <c r="F7226" s="418"/>
      <c r="G7226" s="419"/>
      <c r="H7226" s="420" t="s">
        <v>52</v>
      </c>
      <c r="I7226" s="421"/>
      <c r="J7226" s="396">
        <f>SUM(J7222:J7225)</f>
        <v>0</v>
      </c>
    </row>
    <row r="7227" spans="1:10" ht="13">
      <c r="A7227" s="27"/>
      <c r="B7227" s="110"/>
      <c r="D7227" s="406" t="s">
        <v>53</v>
      </c>
      <c r="E7227" s="13" t="s">
        <v>54</v>
      </c>
      <c r="F7227" s="14"/>
      <c r="G7227" s="15"/>
      <c r="H7227" s="451"/>
      <c r="I7227" s="412"/>
      <c r="J7227" s="16"/>
    </row>
    <row r="7228" spans="1:10" ht="13">
      <c r="A7228" s="27"/>
      <c r="B7228" s="110"/>
      <c r="D7228" s="409"/>
      <c r="E7228" s="13" t="s">
        <v>237</v>
      </c>
      <c r="F7228" s="14"/>
      <c r="G7228" s="410" t="s">
        <v>127</v>
      </c>
      <c r="H7228" s="548">
        <v>0.15</v>
      </c>
      <c r="I7228" s="412">
        <f>'BAHAN '!G185</f>
        <v>0</v>
      </c>
      <c r="J7228" s="16">
        <f>H7228*I7228</f>
        <v>0</v>
      </c>
    </row>
    <row r="7229" spans="1:10" ht="13">
      <c r="A7229" s="27"/>
      <c r="B7229" s="110"/>
      <c r="D7229" s="409"/>
      <c r="E7229" s="13" t="s">
        <v>238</v>
      </c>
      <c r="F7229" s="14"/>
      <c r="G7229" s="410" t="s">
        <v>127</v>
      </c>
      <c r="H7229" s="548">
        <v>0.372</v>
      </c>
      <c r="I7229" s="412">
        <f>'BAHAN '!G185</f>
        <v>0</v>
      </c>
      <c r="J7229" s="16">
        <f>H7229*I7229</f>
        <v>0</v>
      </c>
    </row>
    <row r="7230" spans="1:10" ht="13.5" thickBot="1">
      <c r="A7230" s="27"/>
      <c r="B7230" s="110"/>
      <c r="D7230" s="409"/>
      <c r="E7230" s="13" t="s">
        <v>235</v>
      </c>
      <c r="F7230" s="14"/>
      <c r="G7230" s="410" t="s">
        <v>74</v>
      </c>
      <c r="H7230" s="548">
        <v>2</v>
      </c>
      <c r="I7230" s="412">
        <f>'BAHAN '!G163</f>
        <v>0</v>
      </c>
      <c r="J7230" s="16">
        <f>H7230*I7230</f>
        <v>0</v>
      </c>
    </row>
    <row r="7231" spans="1:10" ht="13.5" thickBot="1">
      <c r="A7231" s="27"/>
      <c r="B7231" s="110"/>
      <c r="D7231" s="417"/>
      <c r="E7231" s="418"/>
      <c r="F7231" s="418"/>
      <c r="G7231" s="419"/>
      <c r="H7231" s="420" t="s">
        <v>64</v>
      </c>
      <c r="I7231" s="421"/>
      <c r="J7231" s="396">
        <f>SUM(J7228:J7230)</f>
        <v>0</v>
      </c>
    </row>
    <row r="7232" spans="1:10" ht="13.5" thickBot="1">
      <c r="A7232" s="27"/>
      <c r="B7232" s="110"/>
      <c r="D7232" s="406" t="s">
        <v>65</v>
      </c>
      <c r="E7232" s="13" t="s">
        <v>66</v>
      </c>
      <c r="F7232" s="14"/>
      <c r="G7232" s="15"/>
      <c r="H7232" s="451"/>
      <c r="I7232" s="412">
        <f>IF(AND(E7232&lt;&gt;"",G7232&lt;&gt;""),IF(D7232="",IF(G7232="OH",VLOOKUP(E7232,UPAH!$C$4:$H$31,7,0),VLOOKUP(E7232,#REF!,4,0)),0),0)</f>
        <v>0</v>
      </c>
      <c r="J7232" s="16">
        <f>H7232*I7232</f>
        <v>0</v>
      </c>
    </row>
    <row r="7233" spans="1:10" ht="13.5" thickBot="1">
      <c r="A7233" s="27"/>
      <c r="B7233" s="110"/>
      <c r="D7233" s="417"/>
      <c r="E7233" s="418"/>
      <c r="F7233" s="418"/>
      <c r="G7233" s="419"/>
      <c r="H7233" s="420" t="s">
        <v>67</v>
      </c>
      <c r="I7233" s="421"/>
      <c r="J7233" s="396">
        <f>J7232</f>
        <v>0</v>
      </c>
    </row>
    <row r="7234" spans="1:10" ht="13">
      <c r="A7234" s="27"/>
      <c r="B7234" s="110"/>
      <c r="D7234" s="444" t="s">
        <v>68</v>
      </c>
      <c r="E7234" s="445" t="s">
        <v>69</v>
      </c>
      <c r="F7234" s="446"/>
      <c r="G7234" s="447"/>
      <c r="H7234" s="448"/>
      <c r="I7234" s="449">
        <f>IF(AND(E7234&lt;&gt;"",G7234&lt;&gt;""),IF(D7234="",IF(G7234="OH",VLOOKUP(E7234,UPAH!$C$4:$H$31,7,0),VLOOKUP(E7234,#REF!,4,0)),0),0)</f>
        <v>0</v>
      </c>
      <c r="J7234" s="16">
        <f>SUM(J7221:J7233)/2</f>
        <v>0</v>
      </c>
    </row>
    <row r="7235" spans="1:10" ht="13.5" thickBot="1">
      <c r="A7235" s="27"/>
      <c r="B7235" s="110"/>
      <c r="D7235" s="431" t="s">
        <v>70</v>
      </c>
      <c r="E7235" s="432" t="s">
        <v>477</v>
      </c>
      <c r="F7235" s="433"/>
      <c r="G7235" s="434"/>
      <c r="H7235" s="22">
        <v>0.1</v>
      </c>
      <c r="I7235" s="436"/>
      <c r="J7235" s="430">
        <f>H7235*J7234</f>
        <v>0</v>
      </c>
    </row>
    <row r="7236" spans="1:10" ht="13.5" thickBot="1">
      <c r="A7236" s="27"/>
      <c r="B7236" s="110"/>
      <c r="D7236" s="401" t="s">
        <v>71</v>
      </c>
      <c r="E7236" s="402" t="s">
        <v>72</v>
      </c>
      <c r="F7236" s="418"/>
      <c r="G7236" s="419"/>
      <c r="H7236" s="442"/>
      <c r="I7236" s="421">
        <f>IF(AND(E7236&lt;&gt;"",G7236&lt;&gt;""),IF(D7236="",IF(G7236="OH",VLOOKUP(E7236,UPAH!$C$4:$H$31,7,0),VLOOKUP(E7236,#REF!,4,0)),0),0)</f>
        <v>0</v>
      </c>
      <c r="J7236" s="396">
        <f>ROUNDDOWN(J7234+J7235,0)</f>
        <v>0</v>
      </c>
    </row>
    <row r="7237" spans="1:10" ht="13">
      <c r="A7237" s="27"/>
      <c r="B7237" s="110"/>
      <c r="D7237" s="11"/>
      <c r="E7237" s="11"/>
      <c r="H7237" s="443"/>
    </row>
    <row r="7238" spans="1:10" ht="13.5" thickBot="1">
      <c r="A7238" s="27"/>
      <c r="B7238" s="110"/>
      <c r="C7238" s="11" t="s">
        <v>1275</v>
      </c>
      <c r="D7238" s="10" t="s">
        <v>1276</v>
      </c>
      <c r="H7238" s="443"/>
    </row>
    <row r="7239" spans="1:10" ht="13.5" thickBot="1">
      <c r="A7239" s="27"/>
      <c r="B7239" s="110"/>
      <c r="D7239" s="401" t="s">
        <v>40</v>
      </c>
      <c r="E7239" s="402" t="s">
        <v>41</v>
      </c>
      <c r="F7239" s="402" t="s">
        <v>42</v>
      </c>
      <c r="G7239" s="403" t="s">
        <v>43</v>
      </c>
      <c r="H7239" s="404" t="s">
        <v>44</v>
      </c>
      <c r="I7239" s="402" t="s">
        <v>474</v>
      </c>
      <c r="J7239" s="405" t="s">
        <v>475</v>
      </c>
    </row>
    <row r="7240" spans="1:10" ht="13">
      <c r="A7240" s="27"/>
      <c r="B7240" s="110"/>
      <c r="D7240" s="406" t="s">
        <v>45</v>
      </c>
      <c r="E7240" s="13" t="s">
        <v>46</v>
      </c>
      <c r="F7240" s="14"/>
      <c r="G7240" s="15"/>
      <c r="H7240" s="451"/>
      <c r="I7240" s="412"/>
      <c r="J7240" s="16"/>
    </row>
    <row r="7241" spans="1:10" ht="13">
      <c r="A7241" s="27"/>
      <c r="B7241" s="110"/>
      <c r="D7241" s="409"/>
      <c r="E7241" s="13" t="s">
        <v>47</v>
      </c>
      <c r="F7241" s="13" t="s">
        <v>1918</v>
      </c>
      <c r="G7241" s="410" t="s">
        <v>48</v>
      </c>
      <c r="H7241" s="548">
        <v>0.1</v>
      </c>
      <c r="I7241" s="412">
        <f>IF(AND(E7241&lt;&gt;"",G7241&lt;&gt;""),IF(D7241="",IF(G7241="OH",VLOOKUP(F7241,UPAH!$B$4:$H$101,7,0),VLOOKUP(F7241,#REF!,4,0)),0),0)</f>
        <v>0</v>
      </c>
      <c r="J7241" s="16">
        <f>H7241*I7241</f>
        <v>0</v>
      </c>
    </row>
    <row r="7242" spans="1:10" ht="13.5" thickBot="1">
      <c r="A7242" s="27"/>
      <c r="B7242" s="110"/>
      <c r="D7242" s="409"/>
      <c r="E7242" s="13" t="s">
        <v>51</v>
      </c>
      <c r="F7242" s="13" t="s">
        <v>1929</v>
      </c>
      <c r="G7242" s="410" t="s">
        <v>48</v>
      </c>
      <c r="H7242" s="548">
        <v>6.0000000000000001E-3</v>
      </c>
      <c r="I7242" s="412">
        <f>IF(AND(E7242&lt;&gt;"",G7242&lt;&gt;""),IF(D7242="",IF(G7242="OH",VLOOKUP(F7242,UPAH!$B$4:$H$101,7,0),VLOOKUP(F7242,#REF!,4,0)),0),0)</f>
        <v>0</v>
      </c>
      <c r="J7242" s="16">
        <f>H7242*I7242</f>
        <v>0</v>
      </c>
    </row>
    <row r="7243" spans="1:10" ht="13.5" thickBot="1">
      <c r="A7243" s="27"/>
      <c r="B7243" s="110"/>
      <c r="D7243" s="417"/>
      <c r="E7243" s="418"/>
      <c r="F7243" s="418"/>
      <c r="G7243" s="419"/>
      <c r="H7243" s="420" t="s">
        <v>52</v>
      </c>
      <c r="I7243" s="421"/>
      <c r="J7243" s="396">
        <f>SUM(J7239:J7242)</f>
        <v>0</v>
      </c>
    </row>
    <row r="7244" spans="1:10" ht="13">
      <c r="A7244" s="27"/>
      <c r="B7244" s="110"/>
      <c r="D7244" s="406" t="s">
        <v>53</v>
      </c>
      <c r="E7244" s="13" t="s">
        <v>54</v>
      </c>
      <c r="F7244" s="14"/>
      <c r="G7244" s="15"/>
      <c r="H7244" s="451"/>
      <c r="I7244" s="412"/>
      <c r="J7244" s="16"/>
    </row>
    <row r="7245" spans="1:10" ht="13.5" thickBot="1">
      <c r="A7245" s="27"/>
      <c r="B7245" s="110"/>
      <c r="D7245" s="409"/>
      <c r="E7245" s="13" t="s">
        <v>239</v>
      </c>
      <c r="F7245" s="14"/>
      <c r="G7245" s="410" t="s">
        <v>127</v>
      </c>
      <c r="H7245" s="548">
        <v>0.35</v>
      </c>
      <c r="I7245" s="412">
        <f>'BAHAN '!G158</f>
        <v>0</v>
      </c>
      <c r="J7245" s="16">
        <f>H7245*I7245</f>
        <v>0</v>
      </c>
    </row>
    <row r="7246" spans="1:10" ht="13.5" thickBot="1">
      <c r="A7246" s="27"/>
      <c r="B7246" s="110"/>
      <c r="D7246" s="417"/>
      <c r="E7246" s="418"/>
      <c r="F7246" s="418"/>
      <c r="G7246" s="419"/>
      <c r="H7246" s="420" t="s">
        <v>64</v>
      </c>
      <c r="I7246" s="421"/>
      <c r="J7246" s="396">
        <f>SUM(J7245)</f>
        <v>0</v>
      </c>
    </row>
    <row r="7247" spans="1:10" ht="13.5" thickBot="1">
      <c r="A7247" s="27"/>
      <c r="B7247" s="110"/>
      <c r="D7247" s="406" t="s">
        <v>65</v>
      </c>
      <c r="E7247" s="13" t="s">
        <v>66</v>
      </c>
      <c r="F7247" s="14"/>
      <c r="G7247" s="15"/>
      <c r="H7247" s="451"/>
      <c r="I7247" s="412">
        <f>IF(AND(E7247&lt;&gt;"",G7247&lt;&gt;""),IF(D7247="",IF(G7247="OH",VLOOKUP(E7247,UPAH!$C$4:$H$31,7,0),VLOOKUP(E7247,#REF!,4,0)),0),0)</f>
        <v>0</v>
      </c>
      <c r="J7247" s="16">
        <f>H7247*I7247</f>
        <v>0</v>
      </c>
    </row>
    <row r="7248" spans="1:10" ht="13.5" thickBot="1">
      <c r="A7248" s="27"/>
      <c r="B7248" s="110"/>
      <c r="D7248" s="417"/>
      <c r="E7248" s="418"/>
      <c r="F7248" s="418"/>
      <c r="G7248" s="419"/>
      <c r="H7248" s="420" t="s">
        <v>67</v>
      </c>
      <c r="I7248" s="421"/>
      <c r="J7248" s="396">
        <f>J7247</f>
        <v>0</v>
      </c>
    </row>
    <row r="7249" spans="1:10" ht="13">
      <c r="A7249" s="27"/>
      <c r="B7249" s="110"/>
      <c r="D7249" s="444" t="s">
        <v>68</v>
      </c>
      <c r="E7249" s="445" t="s">
        <v>69</v>
      </c>
      <c r="F7249" s="446"/>
      <c r="G7249" s="447"/>
      <c r="H7249" s="448"/>
      <c r="I7249" s="449">
        <f>IF(AND(E7249&lt;&gt;"",G7249&lt;&gt;""),IF(D7249="",IF(G7249="OH",VLOOKUP(E7249,UPAH!$C$4:$H$31,7,0),VLOOKUP(E7249,#REF!,4,0)),0),0)</f>
        <v>0</v>
      </c>
      <c r="J7249" s="16">
        <f>SUM(J7238:J7248)/2</f>
        <v>0</v>
      </c>
    </row>
    <row r="7250" spans="1:10" ht="13.5" thickBot="1">
      <c r="A7250" s="27"/>
      <c r="B7250" s="110"/>
      <c r="D7250" s="431" t="s">
        <v>70</v>
      </c>
      <c r="E7250" s="432" t="s">
        <v>477</v>
      </c>
      <c r="F7250" s="433"/>
      <c r="G7250" s="434"/>
      <c r="H7250" s="22">
        <v>0.1</v>
      </c>
      <c r="I7250" s="436"/>
      <c r="J7250" s="430">
        <f>H7250*J7249</f>
        <v>0</v>
      </c>
    </row>
    <row r="7251" spans="1:10" ht="13.5" thickBot="1">
      <c r="A7251" s="27"/>
      <c r="B7251" s="110"/>
      <c r="D7251" s="401" t="s">
        <v>71</v>
      </c>
      <c r="E7251" s="402" t="s">
        <v>72</v>
      </c>
      <c r="F7251" s="418"/>
      <c r="G7251" s="419"/>
      <c r="H7251" s="442"/>
      <c r="I7251" s="421">
        <f>IF(AND(E7251&lt;&gt;"",G7251&lt;&gt;""),IF(D7251="",IF(G7251="OH",VLOOKUP(E7251,UPAH!$C$4:$H$31,7,0),VLOOKUP(E7251,#REF!,4,0)),0),0)</f>
        <v>0</v>
      </c>
      <c r="J7251" s="396">
        <f>ROUNDDOWN(J7249+J7250,0)</f>
        <v>0</v>
      </c>
    </row>
    <row r="7252" spans="1:10" ht="13">
      <c r="A7252" s="27"/>
      <c r="B7252" s="110"/>
      <c r="D7252" s="11"/>
      <c r="E7252" s="11"/>
      <c r="H7252" s="443"/>
    </row>
    <row r="7253" spans="1:10" ht="13.5" thickBot="1">
      <c r="A7253" s="27"/>
      <c r="B7253" s="110"/>
      <c r="C7253" s="11" t="s">
        <v>1277</v>
      </c>
      <c r="D7253" s="10" t="s">
        <v>1278</v>
      </c>
      <c r="H7253" s="443"/>
    </row>
    <row r="7254" spans="1:10" ht="13.5" thickBot="1">
      <c r="A7254" s="27"/>
      <c r="B7254" s="110"/>
      <c r="D7254" s="401" t="s">
        <v>40</v>
      </c>
      <c r="E7254" s="402" t="s">
        <v>41</v>
      </c>
      <c r="F7254" s="402" t="s">
        <v>42</v>
      </c>
      <c r="G7254" s="403" t="s">
        <v>43</v>
      </c>
      <c r="H7254" s="404" t="s">
        <v>44</v>
      </c>
      <c r="I7254" s="402" t="s">
        <v>474</v>
      </c>
      <c r="J7254" s="405" t="s">
        <v>475</v>
      </c>
    </row>
    <row r="7255" spans="1:10" ht="13">
      <c r="A7255" s="27"/>
      <c r="B7255" s="110"/>
      <c r="D7255" s="406" t="s">
        <v>45</v>
      </c>
      <c r="E7255" s="13" t="s">
        <v>46</v>
      </c>
      <c r="F7255" s="14"/>
      <c r="G7255" s="15"/>
      <c r="H7255" s="451"/>
      <c r="I7255" s="412"/>
      <c r="J7255" s="16"/>
    </row>
    <row r="7256" spans="1:10" ht="13">
      <c r="A7256" s="27"/>
      <c r="B7256" s="110"/>
      <c r="D7256" s="409"/>
      <c r="E7256" s="13" t="s">
        <v>47</v>
      </c>
      <c r="F7256" s="13" t="s">
        <v>1918</v>
      </c>
      <c r="G7256" s="410" t="s">
        <v>48</v>
      </c>
      <c r="H7256" s="548">
        <v>0.16</v>
      </c>
      <c r="I7256" s="412">
        <f>IF(AND(E7256&lt;&gt;"",G7256&lt;&gt;""),IF(D7256="",IF(G7256="OH",VLOOKUP(F7256,UPAH!$B$4:$H$101,7,0),VLOOKUP(F7256,#REF!,4,0)),0),0)</f>
        <v>0</v>
      </c>
      <c r="J7256" s="16">
        <f>H7256*I7256</f>
        <v>0</v>
      </c>
    </row>
    <row r="7257" spans="1:10" ht="13">
      <c r="A7257" s="27"/>
      <c r="B7257" s="110"/>
      <c r="D7257" s="409"/>
      <c r="E7257" s="13" t="s">
        <v>230</v>
      </c>
      <c r="F7257" s="13" t="s">
        <v>1926</v>
      </c>
      <c r="G7257" s="410" t="s">
        <v>48</v>
      </c>
      <c r="H7257" s="548">
        <v>0.16</v>
      </c>
      <c r="I7257" s="412">
        <f>IF(AND(E7257&lt;&gt;"",G7257&lt;&gt;""),IF(D7257="",IF(G7257="OH",VLOOKUP(F7257,UPAH!$B$4:$H$101,7,0),VLOOKUP(F7257,#REF!,4,0)),0),0)</f>
        <v>0</v>
      </c>
      <c r="J7257" s="16">
        <f>H7257*I7257</f>
        <v>0</v>
      </c>
    </row>
    <row r="7258" spans="1:10" ht="13">
      <c r="A7258" s="27"/>
      <c r="B7258" s="110"/>
      <c r="D7258" s="409"/>
      <c r="E7258" s="13" t="s">
        <v>50</v>
      </c>
      <c r="F7258" s="13" t="s">
        <v>1928</v>
      </c>
      <c r="G7258" s="410" t="s">
        <v>48</v>
      </c>
      <c r="H7258" s="548">
        <v>1.6E-2</v>
      </c>
      <c r="I7258" s="412">
        <f>IF(AND(E7258&lt;&gt;"",G7258&lt;&gt;""),IF(D7258="",IF(G7258="OH",VLOOKUP(F7258,UPAH!$B$4:$H$101,7,0),VLOOKUP(F7258,#REF!,4,0)),0),0)</f>
        <v>0</v>
      </c>
      <c r="J7258" s="16">
        <f>H7258*I7258</f>
        <v>0</v>
      </c>
    </row>
    <row r="7259" spans="1:10" ht="13.5" thickBot="1">
      <c r="A7259" s="27"/>
      <c r="B7259" s="110"/>
      <c r="D7259" s="409"/>
      <c r="E7259" s="13" t="s">
        <v>51</v>
      </c>
      <c r="F7259" s="13" t="s">
        <v>1929</v>
      </c>
      <c r="G7259" s="410" t="s">
        <v>48</v>
      </c>
      <c r="H7259" s="548">
        <v>3.0000000000000001E-3</v>
      </c>
      <c r="I7259" s="412">
        <f>IF(AND(E7259&lt;&gt;"",G7259&lt;&gt;""),IF(D7259="",IF(G7259="OH",VLOOKUP(F7259,UPAH!$B$4:$H$101,7,0),VLOOKUP(F7259,#REF!,4,0)),0),0)</f>
        <v>0</v>
      </c>
      <c r="J7259" s="16">
        <f>H7259*I7259</f>
        <v>0</v>
      </c>
    </row>
    <row r="7260" spans="1:10" ht="13.5" thickBot="1">
      <c r="A7260" s="27"/>
      <c r="B7260" s="110"/>
      <c r="D7260" s="417"/>
      <c r="E7260" s="418"/>
      <c r="F7260" s="418"/>
      <c r="G7260" s="419"/>
      <c r="H7260" s="420" t="s">
        <v>52</v>
      </c>
      <c r="I7260" s="421"/>
      <c r="J7260" s="396">
        <f>SUM(J7256:J7259)</f>
        <v>0</v>
      </c>
    </row>
    <row r="7261" spans="1:10" ht="13">
      <c r="A7261" s="27"/>
      <c r="B7261" s="110"/>
      <c r="D7261" s="406" t="s">
        <v>53</v>
      </c>
      <c r="E7261" s="13" t="s">
        <v>54</v>
      </c>
      <c r="F7261" s="14"/>
      <c r="G7261" s="15"/>
      <c r="H7261" s="451"/>
      <c r="I7261" s="412"/>
      <c r="J7261" s="16"/>
    </row>
    <row r="7262" spans="1:10" ht="13">
      <c r="A7262" s="27"/>
      <c r="B7262" s="110"/>
      <c r="D7262" s="409"/>
      <c r="E7262" s="13" t="s">
        <v>240</v>
      </c>
      <c r="F7262" s="14"/>
      <c r="G7262" s="410" t="s">
        <v>127</v>
      </c>
      <c r="H7262" s="548">
        <v>0.15</v>
      </c>
      <c r="I7262" s="412">
        <f>'BAHAN '!G165</f>
        <v>0</v>
      </c>
      <c r="J7262" s="16">
        <f>H7262*I7262</f>
        <v>0</v>
      </c>
    </row>
    <row r="7263" spans="1:10" ht="13">
      <c r="A7263" s="27"/>
      <c r="B7263" s="110"/>
      <c r="D7263" s="409"/>
      <c r="E7263" s="13" t="s">
        <v>241</v>
      </c>
      <c r="F7263" s="14"/>
      <c r="G7263" s="410" t="s">
        <v>57</v>
      </c>
      <c r="H7263" s="548">
        <v>0.05</v>
      </c>
      <c r="I7263" s="412">
        <f>'BAHAN '!G178</f>
        <v>0</v>
      </c>
      <c r="J7263" s="16">
        <f>H7263*I7263</f>
        <v>0</v>
      </c>
    </row>
    <row r="7264" spans="1:10" ht="13.5" thickBot="1">
      <c r="A7264" s="27"/>
      <c r="B7264" s="110"/>
      <c r="D7264" s="409"/>
      <c r="E7264" s="13" t="s">
        <v>235</v>
      </c>
      <c r="F7264" s="14"/>
      <c r="G7264" s="410" t="s">
        <v>74</v>
      </c>
      <c r="H7264" s="548">
        <v>0.1</v>
      </c>
      <c r="I7264" s="412">
        <f>'BAHAN '!G163</f>
        <v>0</v>
      </c>
      <c r="J7264" s="16">
        <f>H7264*I7264</f>
        <v>0</v>
      </c>
    </row>
    <row r="7265" spans="1:10" ht="13.5" thickBot="1">
      <c r="A7265" s="27"/>
      <c r="B7265" s="110"/>
      <c r="D7265" s="417"/>
      <c r="E7265" s="418"/>
      <c r="F7265" s="418"/>
      <c r="G7265" s="419"/>
      <c r="H7265" s="420" t="s">
        <v>64</v>
      </c>
      <c r="I7265" s="421"/>
      <c r="J7265" s="396">
        <f>SUM(J7262:J7264)</f>
        <v>0</v>
      </c>
    </row>
    <row r="7266" spans="1:10" ht="13.5" thickBot="1">
      <c r="A7266" s="27"/>
      <c r="B7266" s="110"/>
      <c r="D7266" s="406" t="s">
        <v>65</v>
      </c>
      <c r="E7266" s="13" t="s">
        <v>66</v>
      </c>
      <c r="F7266" s="14"/>
      <c r="G7266" s="15"/>
      <c r="H7266" s="451"/>
      <c r="I7266" s="412">
        <f>IF(AND(E7266&lt;&gt;"",G7266&lt;&gt;""),IF(D7266="",IF(G7266="OH",VLOOKUP(E7266,UPAH!$C$4:$H$31,7,0),VLOOKUP(E7266,#REF!,4,0)),0),0)</f>
        <v>0</v>
      </c>
      <c r="J7266" s="16">
        <f>H7266*I7266</f>
        <v>0</v>
      </c>
    </row>
    <row r="7267" spans="1:10" ht="13.5" thickBot="1">
      <c r="A7267" s="27"/>
      <c r="B7267" s="110"/>
      <c r="D7267" s="417"/>
      <c r="E7267" s="418"/>
      <c r="F7267" s="418"/>
      <c r="G7267" s="419"/>
      <c r="H7267" s="420" t="s">
        <v>67</v>
      </c>
      <c r="I7267" s="421"/>
      <c r="J7267" s="396">
        <f>J7266</f>
        <v>0</v>
      </c>
    </row>
    <row r="7268" spans="1:10" ht="13">
      <c r="A7268" s="27"/>
      <c r="B7268" s="110"/>
      <c r="D7268" s="444" t="s">
        <v>68</v>
      </c>
      <c r="E7268" s="445" t="s">
        <v>69</v>
      </c>
      <c r="F7268" s="446"/>
      <c r="G7268" s="447"/>
      <c r="H7268" s="448"/>
      <c r="I7268" s="449">
        <f>IF(AND(E7268&lt;&gt;"",G7268&lt;&gt;""),IF(D7268="",IF(G7268="OH",VLOOKUP(E7268,UPAH!$C$4:$H$31,7,0),VLOOKUP(E7268,#REF!,4,0)),0),0)</f>
        <v>0</v>
      </c>
      <c r="J7268" s="16">
        <f>SUM(J7256:J7267)/2</f>
        <v>0</v>
      </c>
    </row>
    <row r="7269" spans="1:10" ht="13.5" thickBot="1">
      <c r="A7269" s="27"/>
      <c r="B7269" s="110"/>
      <c r="D7269" s="431" t="s">
        <v>70</v>
      </c>
      <c r="E7269" s="432" t="s">
        <v>477</v>
      </c>
      <c r="F7269" s="433"/>
      <c r="G7269" s="434"/>
      <c r="H7269" s="22">
        <v>0.1</v>
      </c>
      <c r="I7269" s="436"/>
      <c r="J7269" s="430">
        <f>H7269*J7268</f>
        <v>0</v>
      </c>
    </row>
    <row r="7270" spans="1:10" ht="13.5" thickBot="1">
      <c r="A7270" s="27"/>
      <c r="B7270" s="110"/>
      <c r="D7270" s="401" t="s">
        <v>71</v>
      </c>
      <c r="E7270" s="402" t="s">
        <v>72</v>
      </c>
      <c r="F7270" s="418"/>
      <c r="G7270" s="419"/>
      <c r="H7270" s="442"/>
      <c r="I7270" s="421">
        <f>IF(AND(E7270&lt;&gt;"",G7270&lt;&gt;""),IF(D7270="",IF(G7270="OH",VLOOKUP(E7270,UPAH!$C$4:$H$31,7,0),VLOOKUP(E7270,#REF!,4,0)),0),0)</f>
        <v>0</v>
      </c>
      <c r="J7270" s="396">
        <f>ROUNDDOWN(J7268+J7269,0)</f>
        <v>0</v>
      </c>
    </row>
    <row r="7271" spans="1:10" ht="13">
      <c r="A7271" s="27"/>
      <c r="B7271" s="110"/>
      <c r="D7271" s="11"/>
      <c r="E7271" s="11"/>
      <c r="H7271" s="443"/>
    </row>
    <row r="7272" spans="1:10" ht="13.5" thickBot="1">
      <c r="A7272" s="27"/>
      <c r="B7272" s="110"/>
      <c r="C7272" s="11" t="s">
        <v>1279</v>
      </c>
      <c r="D7272" s="10" t="s">
        <v>1280</v>
      </c>
      <c r="H7272" s="443"/>
    </row>
    <row r="7273" spans="1:10" ht="13.5" thickBot="1">
      <c r="A7273" s="27"/>
      <c r="B7273" s="110"/>
      <c r="D7273" s="401" t="s">
        <v>40</v>
      </c>
      <c r="E7273" s="402" t="s">
        <v>41</v>
      </c>
      <c r="F7273" s="402" t="s">
        <v>42</v>
      </c>
      <c r="G7273" s="403" t="s">
        <v>43</v>
      </c>
      <c r="H7273" s="404" t="s">
        <v>44</v>
      </c>
      <c r="I7273" s="402" t="s">
        <v>474</v>
      </c>
      <c r="J7273" s="405" t="s">
        <v>475</v>
      </c>
    </row>
    <row r="7274" spans="1:10" ht="13">
      <c r="A7274" s="27"/>
      <c r="B7274" s="110"/>
      <c r="D7274" s="406" t="s">
        <v>45</v>
      </c>
      <c r="E7274" s="13" t="s">
        <v>46</v>
      </c>
      <c r="F7274" s="14"/>
      <c r="G7274" s="15"/>
      <c r="H7274" s="451"/>
      <c r="I7274" s="412"/>
      <c r="J7274" s="16"/>
    </row>
    <row r="7275" spans="1:10" ht="13">
      <c r="A7275" s="27"/>
      <c r="B7275" s="110"/>
      <c r="D7275" s="409"/>
      <c r="E7275" s="13" t="s">
        <v>47</v>
      </c>
      <c r="F7275" s="13" t="s">
        <v>1918</v>
      </c>
      <c r="G7275" s="410" t="s">
        <v>48</v>
      </c>
      <c r="H7275" s="548">
        <v>0.02</v>
      </c>
      <c r="I7275" s="412">
        <f>IF(AND(E7275&lt;&gt;"",G7275&lt;&gt;""),IF(D7275="",IF(G7275="OH",VLOOKUP(F7275,UPAH!$B$4:$H$101,7,0),VLOOKUP(F7275,#REF!,4,0)),0),0)</f>
        <v>0</v>
      </c>
      <c r="J7275" s="16">
        <f>H7275*I7275</f>
        <v>0</v>
      </c>
    </row>
    <row r="7276" spans="1:10" ht="13">
      <c r="A7276" s="27"/>
      <c r="B7276" s="110"/>
      <c r="D7276" s="409"/>
      <c r="E7276" s="13" t="s">
        <v>230</v>
      </c>
      <c r="F7276" s="13" t="s">
        <v>1926</v>
      </c>
      <c r="G7276" s="410" t="s">
        <v>48</v>
      </c>
      <c r="H7276" s="548">
        <v>6.3E-2</v>
      </c>
      <c r="I7276" s="412">
        <f>IF(AND(E7276&lt;&gt;"",G7276&lt;&gt;""),IF(D7276="",IF(G7276="OH",VLOOKUP(F7276,UPAH!$B$4:$H$101,7,0),VLOOKUP(F7276,#REF!,4,0)),0),0)</f>
        <v>0</v>
      </c>
      <c r="J7276" s="16">
        <f>H7276*I7276</f>
        <v>0</v>
      </c>
    </row>
    <row r="7277" spans="1:10" ht="13">
      <c r="A7277" s="27"/>
      <c r="B7277" s="110"/>
      <c r="D7277" s="409"/>
      <c r="E7277" s="13" t="s">
        <v>50</v>
      </c>
      <c r="F7277" s="13" t="s">
        <v>1928</v>
      </c>
      <c r="G7277" s="410" t="s">
        <v>48</v>
      </c>
      <c r="H7277" s="548">
        <v>6.3E-3</v>
      </c>
      <c r="I7277" s="412">
        <f>IF(AND(E7277&lt;&gt;"",G7277&lt;&gt;""),IF(D7277="",IF(G7277="OH",VLOOKUP(F7277,UPAH!$B$4:$H$101,7,0),VLOOKUP(F7277,#REF!,4,0)),0),0)</f>
        <v>0</v>
      </c>
      <c r="J7277" s="16">
        <f>H7277*I7277</f>
        <v>0</v>
      </c>
    </row>
    <row r="7278" spans="1:10" ht="13.5" thickBot="1">
      <c r="A7278" s="27"/>
      <c r="B7278" s="110"/>
      <c r="D7278" s="409"/>
      <c r="E7278" s="13" t="s">
        <v>51</v>
      </c>
      <c r="F7278" s="13" t="s">
        <v>1929</v>
      </c>
      <c r="G7278" s="410" t="s">
        <v>48</v>
      </c>
      <c r="H7278" s="548">
        <v>3.0000000000000001E-3</v>
      </c>
      <c r="I7278" s="412">
        <f>IF(AND(E7278&lt;&gt;"",G7278&lt;&gt;""),IF(D7278="",IF(G7278="OH",VLOOKUP(F7278,UPAH!$B$4:$H$101,7,0),VLOOKUP(F7278,#REF!,4,0)),0),0)</f>
        <v>0</v>
      </c>
      <c r="J7278" s="16">
        <f>H7278*I7278</f>
        <v>0</v>
      </c>
    </row>
    <row r="7279" spans="1:10" ht="13.5" thickBot="1">
      <c r="A7279" s="27"/>
      <c r="B7279" s="110"/>
      <c r="D7279" s="417"/>
      <c r="E7279" s="418"/>
      <c r="F7279" s="418"/>
      <c r="G7279" s="419"/>
      <c r="H7279" s="420" t="s">
        <v>52</v>
      </c>
      <c r="I7279" s="421"/>
      <c r="J7279" s="396">
        <f>SUM(J7275:J7278)</f>
        <v>0</v>
      </c>
    </row>
    <row r="7280" spans="1:10" ht="13">
      <c r="A7280" s="27"/>
      <c r="B7280" s="110"/>
      <c r="D7280" s="406" t="s">
        <v>53</v>
      </c>
      <c r="E7280" s="13" t="s">
        <v>54</v>
      </c>
      <c r="F7280" s="14"/>
      <c r="G7280" s="15"/>
      <c r="H7280" s="451"/>
      <c r="I7280" s="412"/>
      <c r="J7280" s="16"/>
    </row>
    <row r="7281" spans="1:10" ht="13">
      <c r="A7281" s="27"/>
      <c r="B7281" s="110"/>
      <c r="D7281" s="409"/>
      <c r="E7281" s="13" t="s">
        <v>232</v>
      </c>
      <c r="F7281" s="14"/>
      <c r="G7281" s="410" t="s">
        <v>57</v>
      </c>
      <c r="H7281" s="548">
        <v>0.1</v>
      </c>
      <c r="I7281" s="412">
        <v>0</v>
      </c>
      <c r="J7281" s="16">
        <f>H7281*I7281</f>
        <v>0</v>
      </c>
    </row>
    <row r="7282" spans="1:10" ht="13">
      <c r="A7282" s="27"/>
      <c r="B7282" s="110"/>
      <c r="D7282" s="409"/>
      <c r="E7282" s="13" t="s">
        <v>1908</v>
      </c>
      <c r="F7282" s="14"/>
      <c r="G7282" s="410" t="s">
        <v>57</v>
      </c>
      <c r="H7282" s="548">
        <v>0.1</v>
      </c>
      <c r="I7282" s="412">
        <v>0</v>
      </c>
      <c r="J7282" s="16">
        <f>H7282*I7282</f>
        <v>0</v>
      </c>
    </row>
    <row r="7283" spans="1:10" ht="13.5" thickBot="1">
      <c r="A7283" s="27"/>
      <c r="B7283" s="110"/>
      <c r="D7283" s="409"/>
      <c r="E7283" s="13" t="s">
        <v>1906</v>
      </c>
      <c r="F7283" s="14"/>
      <c r="G7283" s="410" t="s">
        <v>57</v>
      </c>
      <c r="H7283" s="548">
        <v>0.26</v>
      </c>
      <c r="I7283" s="412">
        <v>0</v>
      </c>
      <c r="J7283" s="16">
        <f>H7283*I7283</f>
        <v>0</v>
      </c>
    </row>
    <row r="7284" spans="1:10" ht="13.5" thickBot="1">
      <c r="A7284" s="27"/>
      <c r="B7284" s="110"/>
      <c r="D7284" s="417"/>
      <c r="E7284" s="418"/>
      <c r="F7284" s="418"/>
      <c r="G7284" s="419"/>
      <c r="H7284" s="420" t="s">
        <v>64</v>
      </c>
      <c r="I7284" s="421"/>
      <c r="J7284" s="396">
        <f>SUM(J7281:J7283)</f>
        <v>0</v>
      </c>
    </row>
    <row r="7285" spans="1:10" ht="13.5" thickBot="1">
      <c r="A7285" s="27"/>
      <c r="B7285" s="110"/>
      <c r="D7285" s="406" t="s">
        <v>65</v>
      </c>
      <c r="E7285" s="13" t="s">
        <v>66</v>
      </c>
      <c r="F7285" s="14"/>
      <c r="G7285" s="15"/>
      <c r="H7285" s="451"/>
      <c r="I7285" s="412">
        <f>IF(AND(E7285&lt;&gt;"",G7285&lt;&gt;""),IF(D7285="",IF(G7285="OH",VLOOKUP(E7285,UPAH!$C$4:$H$31,7,0),VLOOKUP(E7285,#REF!,4,0)),0),0)</f>
        <v>0</v>
      </c>
      <c r="J7285" s="16">
        <f>H7285*I7285</f>
        <v>0</v>
      </c>
    </row>
    <row r="7286" spans="1:10" ht="13.5" thickBot="1">
      <c r="A7286" s="27"/>
      <c r="B7286" s="110"/>
      <c r="D7286" s="417"/>
      <c r="E7286" s="418"/>
      <c r="F7286" s="418"/>
      <c r="G7286" s="419"/>
      <c r="H7286" s="420" t="s">
        <v>67</v>
      </c>
      <c r="I7286" s="421"/>
      <c r="J7286" s="396">
        <f>J7285</f>
        <v>0</v>
      </c>
    </row>
    <row r="7287" spans="1:10" ht="13">
      <c r="A7287" s="27"/>
      <c r="B7287" s="110"/>
      <c r="D7287" s="444" t="s">
        <v>68</v>
      </c>
      <c r="E7287" s="445" t="s">
        <v>69</v>
      </c>
      <c r="F7287" s="446"/>
      <c r="G7287" s="447"/>
      <c r="H7287" s="448"/>
      <c r="I7287" s="449">
        <f>IF(AND(E7287&lt;&gt;"",G7287&lt;&gt;""),IF(D7287="",IF(G7287="OH",VLOOKUP(E7287,UPAH!$C$4:$H$31,7,0),VLOOKUP(E7287,#REF!,4,0)),0),0)</f>
        <v>0</v>
      </c>
      <c r="J7287" s="16">
        <f>SUM(J7275:J7286)/2</f>
        <v>0</v>
      </c>
    </row>
    <row r="7288" spans="1:10" ht="13.5" thickBot="1">
      <c r="A7288" s="27"/>
      <c r="B7288" s="110"/>
      <c r="D7288" s="431" t="s">
        <v>70</v>
      </c>
      <c r="E7288" s="432" t="s">
        <v>477</v>
      </c>
      <c r="F7288" s="433"/>
      <c r="G7288" s="434"/>
      <c r="H7288" s="22">
        <v>0.1</v>
      </c>
      <c r="I7288" s="436"/>
      <c r="J7288" s="430">
        <f>H7288*J7287</f>
        <v>0</v>
      </c>
    </row>
    <row r="7289" spans="1:10" ht="13.5" thickBot="1">
      <c r="A7289" s="27"/>
      <c r="B7289" s="110"/>
      <c r="D7289" s="401" t="s">
        <v>71</v>
      </c>
      <c r="E7289" s="402" t="s">
        <v>72</v>
      </c>
      <c r="F7289" s="418"/>
      <c r="G7289" s="419"/>
      <c r="H7289" s="442"/>
      <c r="I7289" s="421">
        <f>IF(AND(E7289&lt;&gt;"",G7289&lt;&gt;""),IF(D7289="",IF(G7289="OH",VLOOKUP(E7289,UPAH!$C$4:$H$31,7,0),VLOOKUP(E7289,#REF!,4,0)),0),0)</f>
        <v>0</v>
      </c>
      <c r="J7289" s="396">
        <f>ROUNDDOWN(J7287+J7288,0)</f>
        <v>0</v>
      </c>
    </row>
    <row r="7290" spans="1:10" ht="13">
      <c r="A7290" s="27"/>
      <c r="B7290" s="110"/>
      <c r="D7290" s="11"/>
      <c r="E7290" s="11"/>
      <c r="H7290" s="443"/>
    </row>
    <row r="7291" spans="1:10" ht="13.5" thickBot="1">
      <c r="A7291" s="27"/>
      <c r="B7291" s="110"/>
      <c r="C7291" s="11" t="s">
        <v>3571</v>
      </c>
      <c r="D7291" s="10" t="s">
        <v>3539</v>
      </c>
      <c r="H7291" s="443"/>
    </row>
    <row r="7292" spans="1:10" ht="13.5" thickBot="1">
      <c r="A7292" s="27"/>
      <c r="B7292" s="110"/>
      <c r="D7292" s="401" t="s">
        <v>40</v>
      </c>
      <c r="E7292" s="402" t="s">
        <v>41</v>
      </c>
      <c r="F7292" s="402" t="s">
        <v>42</v>
      </c>
      <c r="G7292" s="403" t="s">
        <v>43</v>
      </c>
      <c r="H7292" s="404" t="s">
        <v>44</v>
      </c>
      <c r="I7292" s="402" t="s">
        <v>474</v>
      </c>
      <c r="J7292" s="405" t="s">
        <v>475</v>
      </c>
    </row>
    <row r="7293" spans="1:10" ht="13">
      <c r="A7293" s="27"/>
      <c r="B7293" s="110"/>
      <c r="D7293" s="406" t="s">
        <v>45</v>
      </c>
      <c r="E7293" s="13" t="s">
        <v>46</v>
      </c>
      <c r="F7293" s="14"/>
      <c r="G7293" s="15"/>
      <c r="H7293" s="451"/>
      <c r="I7293" s="412"/>
      <c r="J7293" s="16"/>
    </row>
    <row r="7294" spans="1:10" ht="13">
      <c r="A7294" s="27"/>
      <c r="B7294" s="110"/>
      <c r="D7294" s="409"/>
      <c r="E7294" s="13" t="s">
        <v>47</v>
      </c>
      <c r="F7294" s="13" t="s">
        <v>1918</v>
      </c>
      <c r="G7294" s="410" t="s">
        <v>48</v>
      </c>
      <c r="H7294" s="564">
        <v>0.05</v>
      </c>
      <c r="I7294" s="412">
        <f>IF(AND(E7294&lt;&gt;"",G7294&lt;&gt;""),IF(D7294="",IF(G7294="OH",VLOOKUP(F7294,UPAH!$B$4:$H$101,7,0),VLOOKUP(F7294,#REF!,4,0)),0),0)</f>
        <v>0</v>
      </c>
      <c r="J7294" s="16">
        <f>H7294*I7294</f>
        <v>0</v>
      </c>
    </row>
    <row r="7295" spans="1:10" ht="13">
      <c r="A7295" s="27"/>
      <c r="B7295" s="110"/>
      <c r="D7295" s="409"/>
      <c r="E7295" s="13" t="s">
        <v>230</v>
      </c>
      <c r="F7295" s="13" t="s">
        <v>1926</v>
      </c>
      <c r="G7295" s="410" t="s">
        <v>48</v>
      </c>
      <c r="H7295" s="564">
        <v>0.05</v>
      </c>
      <c r="I7295" s="412">
        <f>IF(AND(E7295&lt;&gt;"",G7295&lt;&gt;""),IF(D7295="",IF(G7295="OH",VLOOKUP(F7295,UPAH!$B$4:$H$101,7,0),VLOOKUP(F7295,#REF!,4,0)),0),0)</f>
        <v>0</v>
      </c>
      <c r="J7295" s="16">
        <f>H7295*I7295</f>
        <v>0</v>
      </c>
    </row>
    <row r="7296" spans="1:10" ht="13">
      <c r="A7296" s="27"/>
      <c r="B7296" s="110"/>
      <c r="D7296" s="409"/>
      <c r="E7296" s="13" t="s">
        <v>50</v>
      </c>
      <c r="F7296" s="13" t="s">
        <v>1928</v>
      </c>
      <c r="G7296" s="410" t="s">
        <v>48</v>
      </c>
      <c r="H7296" s="564">
        <v>5.0000000000000001E-3</v>
      </c>
      <c r="I7296" s="412">
        <f>IF(AND(E7296&lt;&gt;"",G7296&lt;&gt;""),IF(D7296="",IF(G7296="OH",VLOOKUP(F7296,UPAH!$B$4:$H$101,7,0),VLOOKUP(F7296,#REF!,4,0)),0),0)</f>
        <v>0</v>
      </c>
      <c r="J7296" s="16">
        <f>H7296*I7296</f>
        <v>0</v>
      </c>
    </row>
    <row r="7297" spans="1:10" ht="13.5" thickBot="1">
      <c r="A7297" s="27"/>
      <c r="B7297" s="110"/>
      <c r="D7297" s="409"/>
      <c r="E7297" s="13" t="s">
        <v>51</v>
      </c>
      <c r="F7297" s="13" t="s">
        <v>1929</v>
      </c>
      <c r="G7297" s="410" t="s">
        <v>48</v>
      </c>
      <c r="H7297" s="564">
        <v>1.6999999999999999E-3</v>
      </c>
      <c r="I7297" s="412">
        <f>IF(AND(E7297&lt;&gt;"",G7297&lt;&gt;""),IF(D7297="",IF(G7297="OH",VLOOKUP(F7297,UPAH!$B$4:$H$101,7,0),VLOOKUP(F7297,#REF!,4,0)),0),0)</f>
        <v>0</v>
      </c>
      <c r="J7297" s="16">
        <f>H7297*I7297</f>
        <v>0</v>
      </c>
    </row>
    <row r="7298" spans="1:10" ht="13.5" thickBot="1">
      <c r="A7298" s="27"/>
      <c r="B7298" s="110"/>
      <c r="D7298" s="417"/>
      <c r="E7298" s="418"/>
      <c r="F7298" s="418"/>
      <c r="G7298" s="419"/>
      <c r="H7298" s="420" t="s">
        <v>52</v>
      </c>
      <c r="I7298" s="421"/>
      <c r="J7298" s="396">
        <f>SUM(J7294:J7297)</f>
        <v>0</v>
      </c>
    </row>
    <row r="7299" spans="1:10" ht="13">
      <c r="A7299" s="27"/>
      <c r="B7299" s="110"/>
      <c r="D7299" s="406" t="s">
        <v>53</v>
      </c>
      <c r="E7299" s="13" t="s">
        <v>54</v>
      </c>
      <c r="F7299" s="14"/>
      <c r="G7299" s="15"/>
      <c r="H7299" s="451"/>
      <c r="I7299" s="412"/>
      <c r="J7299" s="16"/>
    </row>
    <row r="7300" spans="1:10" ht="13">
      <c r="A7300" s="27"/>
      <c r="B7300" s="110"/>
      <c r="D7300" s="409"/>
      <c r="E7300" s="13" t="s">
        <v>1908</v>
      </c>
      <c r="F7300" s="14"/>
      <c r="G7300" s="410" t="s">
        <v>57</v>
      </c>
      <c r="H7300" s="564">
        <v>0.12</v>
      </c>
      <c r="I7300" s="412">
        <v>0</v>
      </c>
      <c r="J7300" s="16">
        <f>H7300*I7300</f>
        <v>0</v>
      </c>
    </row>
    <row r="7301" spans="1:10" ht="13.5" thickBot="1">
      <c r="A7301" s="27"/>
      <c r="B7301" s="110"/>
      <c r="D7301" s="409"/>
      <c r="E7301" s="13" t="s">
        <v>1906</v>
      </c>
      <c r="F7301" s="14"/>
      <c r="G7301" s="410" t="s">
        <v>57</v>
      </c>
      <c r="H7301" s="564">
        <v>0.18</v>
      </c>
      <c r="I7301" s="412">
        <v>0</v>
      </c>
      <c r="J7301" s="16">
        <f>H7301*I7301</f>
        <v>0</v>
      </c>
    </row>
    <row r="7302" spans="1:10" ht="13.5" thickBot="1">
      <c r="A7302" s="27"/>
      <c r="B7302" s="110"/>
      <c r="D7302" s="417"/>
      <c r="E7302" s="418"/>
      <c r="F7302" s="418"/>
      <c r="G7302" s="419"/>
      <c r="H7302" s="420" t="s">
        <v>64</v>
      </c>
      <c r="I7302" s="421"/>
      <c r="J7302" s="396">
        <f>SUM(J7300:J7301)</f>
        <v>0</v>
      </c>
    </row>
    <row r="7303" spans="1:10" ht="13.5" thickBot="1">
      <c r="A7303" s="27"/>
      <c r="B7303" s="110"/>
      <c r="D7303" s="406" t="s">
        <v>65</v>
      </c>
      <c r="E7303" s="13" t="s">
        <v>66</v>
      </c>
      <c r="F7303" s="14"/>
      <c r="G7303" s="15"/>
      <c r="H7303" s="451"/>
      <c r="I7303" s="412">
        <f>IF(AND(E7303&lt;&gt;"",G7303&lt;&gt;""),IF(D7303="",IF(G7303="OH",VLOOKUP(E7303,UPAH!$C$4:$H$31,7,0),VLOOKUP(E7303,#REF!,4,0)),0),0)</f>
        <v>0</v>
      </c>
      <c r="J7303" s="16">
        <f>H7303*I7303</f>
        <v>0</v>
      </c>
    </row>
    <row r="7304" spans="1:10" ht="13.5" thickBot="1">
      <c r="A7304" s="27"/>
      <c r="B7304" s="110"/>
      <c r="D7304" s="417"/>
      <c r="E7304" s="418"/>
      <c r="F7304" s="418"/>
      <c r="G7304" s="419"/>
      <c r="H7304" s="420" t="s">
        <v>67</v>
      </c>
      <c r="I7304" s="421"/>
      <c r="J7304" s="396">
        <f>J7303</f>
        <v>0</v>
      </c>
    </row>
    <row r="7305" spans="1:10" ht="13">
      <c r="A7305" s="27"/>
      <c r="B7305" s="110"/>
      <c r="D7305" s="444" t="s">
        <v>68</v>
      </c>
      <c r="E7305" s="445" t="s">
        <v>69</v>
      </c>
      <c r="F7305" s="446"/>
      <c r="G7305" s="447"/>
      <c r="H7305" s="448"/>
      <c r="I7305" s="449">
        <f>IF(AND(E7305&lt;&gt;"",G7305&lt;&gt;""),IF(D7305="",IF(G7305="OH",VLOOKUP(E7305,UPAH!$C$4:$H$31,7,0),VLOOKUP(E7305,#REF!,4,0)),0),0)</f>
        <v>0</v>
      </c>
      <c r="J7305" s="16">
        <f>SUM(J7294:J7304)/2</f>
        <v>0</v>
      </c>
    </row>
    <row r="7306" spans="1:10" ht="13.5" thickBot="1">
      <c r="A7306" s="27"/>
      <c r="B7306" s="110"/>
      <c r="D7306" s="431" t="s">
        <v>70</v>
      </c>
      <c r="E7306" s="432" t="s">
        <v>477</v>
      </c>
      <c r="F7306" s="433"/>
      <c r="G7306" s="434"/>
      <c r="H7306" s="22">
        <v>0.1</v>
      </c>
      <c r="I7306" s="436"/>
      <c r="J7306" s="430">
        <f>H7306*J7305</f>
        <v>0</v>
      </c>
    </row>
    <row r="7307" spans="1:10" ht="13.5" thickBot="1">
      <c r="A7307" s="27"/>
      <c r="B7307" s="110"/>
      <c r="D7307" s="401" t="s">
        <v>71</v>
      </c>
      <c r="E7307" s="402" t="s">
        <v>72</v>
      </c>
      <c r="F7307" s="418"/>
      <c r="G7307" s="419"/>
      <c r="H7307" s="442"/>
      <c r="I7307" s="421">
        <f>IF(AND(E7307&lt;&gt;"",G7307&lt;&gt;""),IF(D7307="",IF(G7307="OH",VLOOKUP(E7307,UPAH!$C$4:$H$31,7,0),VLOOKUP(E7307,#REF!,4,0)),0),0)</f>
        <v>0</v>
      </c>
      <c r="J7307" s="396">
        <f>ROUNDDOWN(J7305+J7306,0)</f>
        <v>0</v>
      </c>
    </row>
    <row r="7308" spans="1:10" ht="13">
      <c r="A7308" s="27"/>
      <c r="B7308" s="110"/>
      <c r="D7308" s="11"/>
      <c r="E7308" s="11"/>
      <c r="H7308" s="443"/>
    </row>
    <row r="7309" spans="1:10" ht="13.5" thickBot="1">
      <c r="A7309" s="27"/>
      <c r="B7309" s="110"/>
      <c r="C7309" s="11" t="s">
        <v>3572</v>
      </c>
      <c r="D7309" s="10" t="s">
        <v>3573</v>
      </c>
      <c r="H7309" s="443"/>
    </row>
    <row r="7310" spans="1:10" ht="13.5" thickBot="1">
      <c r="A7310" s="27"/>
      <c r="B7310" s="110"/>
      <c r="D7310" s="401" t="s">
        <v>40</v>
      </c>
      <c r="E7310" s="402" t="s">
        <v>41</v>
      </c>
      <c r="F7310" s="402" t="s">
        <v>42</v>
      </c>
      <c r="G7310" s="403" t="s">
        <v>43</v>
      </c>
      <c r="H7310" s="404" t="s">
        <v>44</v>
      </c>
      <c r="I7310" s="402" t="s">
        <v>474</v>
      </c>
      <c r="J7310" s="405" t="s">
        <v>475</v>
      </c>
    </row>
    <row r="7311" spans="1:10" ht="13">
      <c r="A7311" s="27"/>
      <c r="B7311" s="110"/>
      <c r="D7311" s="406" t="s">
        <v>45</v>
      </c>
      <c r="E7311" s="13" t="s">
        <v>46</v>
      </c>
      <c r="F7311" s="14"/>
      <c r="G7311" s="15"/>
      <c r="H7311" s="451"/>
      <c r="I7311" s="412"/>
      <c r="J7311" s="16"/>
    </row>
    <row r="7312" spans="1:10" ht="13">
      <c r="A7312" s="27"/>
      <c r="B7312" s="110"/>
      <c r="D7312" s="409"/>
      <c r="E7312" s="13" t="s">
        <v>47</v>
      </c>
      <c r="F7312" s="13" t="s">
        <v>1918</v>
      </c>
      <c r="G7312" s="410" t="s">
        <v>48</v>
      </c>
      <c r="H7312" s="564">
        <v>0.05</v>
      </c>
      <c r="I7312" s="412">
        <f>IF(AND(E7312&lt;&gt;"",G7312&lt;&gt;""),IF(D7312="",IF(G7312="OH",VLOOKUP(F7312,UPAH!$B$4:$H$101,7,0),VLOOKUP(F7312,#REF!,4,0)),0),0)</f>
        <v>0</v>
      </c>
      <c r="J7312" s="16">
        <f>H7312*I7312</f>
        <v>0</v>
      </c>
    </row>
    <row r="7313" spans="1:10" ht="13">
      <c r="A7313" s="27"/>
      <c r="B7313" s="110"/>
      <c r="D7313" s="409"/>
      <c r="E7313" s="13" t="s">
        <v>230</v>
      </c>
      <c r="F7313" s="13" t="s">
        <v>1926</v>
      </c>
      <c r="G7313" s="410" t="s">
        <v>48</v>
      </c>
      <c r="H7313" s="564">
        <v>0.05</v>
      </c>
      <c r="I7313" s="412">
        <f>IF(AND(E7313&lt;&gt;"",G7313&lt;&gt;""),IF(D7313="",IF(G7313="OH",VLOOKUP(F7313,UPAH!$B$4:$H$101,7,0),VLOOKUP(F7313,#REF!,4,0)),0),0)</f>
        <v>0</v>
      </c>
      <c r="J7313" s="16">
        <f>H7313*I7313</f>
        <v>0</v>
      </c>
    </row>
    <row r="7314" spans="1:10" ht="13">
      <c r="A7314" s="27"/>
      <c r="B7314" s="110"/>
      <c r="D7314" s="409"/>
      <c r="E7314" s="13" t="s">
        <v>50</v>
      </c>
      <c r="F7314" s="13" t="s">
        <v>1928</v>
      </c>
      <c r="G7314" s="410" t="s">
        <v>48</v>
      </c>
      <c r="H7314" s="564">
        <v>5.0000000000000001E-3</v>
      </c>
      <c r="I7314" s="412">
        <f>IF(AND(E7314&lt;&gt;"",G7314&lt;&gt;""),IF(D7314="",IF(G7314="OH",VLOOKUP(F7314,UPAH!$B$4:$H$101,7,0),VLOOKUP(F7314,#REF!,4,0)),0),0)</f>
        <v>0</v>
      </c>
      <c r="J7314" s="16">
        <f>H7314*I7314</f>
        <v>0</v>
      </c>
    </row>
    <row r="7315" spans="1:10" ht="13.5" thickBot="1">
      <c r="A7315" s="27"/>
      <c r="B7315" s="110"/>
      <c r="D7315" s="409"/>
      <c r="E7315" s="13" t="s">
        <v>51</v>
      </c>
      <c r="F7315" s="13" t="s">
        <v>1929</v>
      </c>
      <c r="G7315" s="410" t="s">
        <v>48</v>
      </c>
      <c r="H7315" s="564">
        <v>1.6999999999999999E-3</v>
      </c>
      <c r="I7315" s="412">
        <f>IF(AND(E7315&lt;&gt;"",G7315&lt;&gt;""),IF(D7315="",IF(G7315="OH",VLOOKUP(F7315,UPAH!$B$4:$H$101,7,0),VLOOKUP(F7315,#REF!,4,0)),0),0)</f>
        <v>0</v>
      </c>
      <c r="J7315" s="16">
        <f>H7315*I7315</f>
        <v>0</v>
      </c>
    </row>
    <row r="7316" spans="1:10" ht="13.5" thickBot="1">
      <c r="A7316" s="27"/>
      <c r="B7316" s="110"/>
      <c r="D7316" s="417"/>
      <c r="E7316" s="418"/>
      <c r="F7316" s="418"/>
      <c r="G7316" s="419"/>
      <c r="H7316" s="420" t="s">
        <v>52</v>
      </c>
      <c r="I7316" s="421"/>
      <c r="J7316" s="396">
        <f>SUM(J7312:J7315)</f>
        <v>0</v>
      </c>
    </row>
    <row r="7317" spans="1:10" ht="13">
      <c r="A7317" s="27"/>
      <c r="B7317" s="110"/>
      <c r="D7317" s="406" t="s">
        <v>53</v>
      </c>
      <c r="E7317" s="13" t="s">
        <v>54</v>
      </c>
      <c r="F7317" s="14"/>
      <c r="G7317" s="15"/>
      <c r="H7317" s="451"/>
      <c r="I7317" s="412"/>
      <c r="J7317" s="16"/>
    </row>
    <row r="7318" spans="1:10" ht="13">
      <c r="A7318" s="27"/>
      <c r="B7318" s="110"/>
      <c r="D7318" s="409"/>
      <c r="E7318" s="13" t="s">
        <v>1908</v>
      </c>
      <c r="F7318" s="14"/>
      <c r="G7318" s="410" t="s">
        <v>57</v>
      </c>
      <c r="H7318" s="564">
        <v>0.12</v>
      </c>
      <c r="I7318" s="412">
        <f>+I7300</f>
        <v>0</v>
      </c>
      <c r="J7318" s="16">
        <f>H7318*I7318</f>
        <v>0</v>
      </c>
    </row>
    <row r="7319" spans="1:10" ht="13.5" thickBot="1">
      <c r="A7319" s="27"/>
      <c r="B7319" s="110"/>
      <c r="D7319" s="409"/>
      <c r="E7319" s="13" t="s">
        <v>1906</v>
      </c>
      <c r="F7319" s="14"/>
      <c r="G7319" s="410" t="s">
        <v>57</v>
      </c>
      <c r="H7319" s="564">
        <v>0.18</v>
      </c>
      <c r="I7319" s="412">
        <v>0</v>
      </c>
      <c r="J7319" s="16">
        <f>H7319*I7319</f>
        <v>0</v>
      </c>
    </row>
    <row r="7320" spans="1:10" ht="13.5" thickBot="1">
      <c r="A7320" s="27"/>
      <c r="B7320" s="110"/>
      <c r="D7320" s="417"/>
      <c r="E7320" s="418"/>
      <c r="F7320" s="418"/>
      <c r="G7320" s="419"/>
      <c r="H7320" s="420" t="s">
        <v>64</v>
      </c>
      <c r="I7320" s="421"/>
      <c r="J7320" s="396">
        <f>SUM(J7318:J7319)</f>
        <v>0</v>
      </c>
    </row>
    <row r="7321" spans="1:10" ht="13.5" thickBot="1">
      <c r="A7321" s="27"/>
      <c r="B7321" s="110"/>
      <c r="D7321" s="406" t="s">
        <v>65</v>
      </c>
      <c r="E7321" s="13" t="s">
        <v>66</v>
      </c>
      <c r="F7321" s="14"/>
      <c r="G7321" s="15"/>
      <c r="H7321" s="451"/>
      <c r="I7321" s="412">
        <f>IF(AND(E7321&lt;&gt;"",G7321&lt;&gt;""),IF(D7321="",IF(G7321="OH",VLOOKUP(E7321,UPAH!$C$4:$H$31,7,0),VLOOKUP(E7321,#REF!,4,0)),0),0)</f>
        <v>0</v>
      </c>
      <c r="J7321" s="16">
        <f>H7321*I7321</f>
        <v>0</v>
      </c>
    </row>
    <row r="7322" spans="1:10" ht="13.5" thickBot="1">
      <c r="A7322" s="27"/>
      <c r="B7322" s="110"/>
      <c r="D7322" s="417"/>
      <c r="E7322" s="418"/>
      <c r="F7322" s="418"/>
      <c r="G7322" s="419"/>
      <c r="H7322" s="420" t="s">
        <v>67</v>
      </c>
      <c r="I7322" s="421"/>
      <c r="J7322" s="396">
        <f>J7321</f>
        <v>0</v>
      </c>
    </row>
    <row r="7323" spans="1:10" ht="13">
      <c r="A7323" s="27"/>
      <c r="B7323" s="110"/>
      <c r="D7323" s="444" t="s">
        <v>68</v>
      </c>
      <c r="E7323" s="445" t="s">
        <v>69</v>
      </c>
      <c r="F7323" s="446"/>
      <c r="G7323" s="447"/>
      <c r="H7323" s="448"/>
      <c r="I7323" s="449">
        <f>IF(AND(E7323&lt;&gt;"",G7323&lt;&gt;""),IF(D7323="",IF(G7323="OH",VLOOKUP(E7323,UPAH!$C$4:$H$31,7,0),VLOOKUP(E7323,#REF!,4,0)),0),0)</f>
        <v>0</v>
      </c>
      <c r="J7323" s="16">
        <f>SUM(J7312:J7322)/2</f>
        <v>0</v>
      </c>
    </row>
    <row r="7324" spans="1:10" ht="13.5" thickBot="1">
      <c r="A7324" s="27"/>
      <c r="B7324" s="110"/>
      <c r="D7324" s="431" t="s">
        <v>70</v>
      </c>
      <c r="E7324" s="432" t="s">
        <v>477</v>
      </c>
      <c r="F7324" s="433"/>
      <c r="G7324" s="434"/>
      <c r="H7324" s="22">
        <v>0.1</v>
      </c>
      <c r="I7324" s="436"/>
      <c r="J7324" s="430">
        <f>H7324*J7323</f>
        <v>0</v>
      </c>
    </row>
    <row r="7325" spans="1:10" ht="13.5" thickBot="1">
      <c r="A7325" s="27"/>
      <c r="B7325" s="110"/>
      <c r="D7325" s="401" t="s">
        <v>71</v>
      </c>
      <c r="E7325" s="402" t="s">
        <v>72</v>
      </c>
      <c r="F7325" s="418"/>
      <c r="G7325" s="419"/>
      <c r="H7325" s="442"/>
      <c r="I7325" s="421">
        <f>IF(AND(E7325&lt;&gt;"",G7325&lt;&gt;""),IF(D7325="",IF(G7325="OH",VLOOKUP(E7325,UPAH!$C$4:$H$31,7,0),VLOOKUP(E7325,#REF!,4,0)),0),0)</f>
        <v>0</v>
      </c>
      <c r="J7325" s="396">
        <f>ROUNDDOWN(J7323+J7324,0)</f>
        <v>0</v>
      </c>
    </row>
    <row r="7326" spans="1:10" ht="13">
      <c r="A7326" s="27"/>
      <c r="B7326" s="110"/>
      <c r="D7326" s="11"/>
      <c r="E7326" s="11"/>
      <c r="H7326" s="443"/>
    </row>
    <row r="7327" spans="1:10" ht="13.5" thickBot="1">
      <c r="A7327" s="27"/>
      <c r="B7327" s="110"/>
      <c r="C7327" s="11" t="s">
        <v>3579</v>
      </c>
      <c r="D7327" s="10" t="s">
        <v>3578</v>
      </c>
      <c r="H7327" s="443"/>
    </row>
    <row r="7328" spans="1:10" ht="13.5" thickBot="1">
      <c r="A7328" s="27"/>
      <c r="B7328" s="110"/>
      <c r="D7328" s="401" t="s">
        <v>40</v>
      </c>
      <c r="E7328" s="402" t="s">
        <v>41</v>
      </c>
      <c r="F7328" s="402" t="s">
        <v>42</v>
      </c>
      <c r="G7328" s="403" t="s">
        <v>43</v>
      </c>
      <c r="H7328" s="404" t="s">
        <v>44</v>
      </c>
      <c r="I7328" s="402" t="s">
        <v>474</v>
      </c>
      <c r="J7328" s="405" t="s">
        <v>475</v>
      </c>
    </row>
    <row r="7329" spans="1:10" ht="13">
      <c r="A7329" s="27"/>
      <c r="B7329" s="110"/>
      <c r="D7329" s="406" t="s">
        <v>45</v>
      </c>
      <c r="E7329" s="13" t="s">
        <v>46</v>
      </c>
      <c r="F7329" s="14"/>
      <c r="G7329" s="15"/>
      <c r="H7329" s="451"/>
      <c r="I7329" s="412"/>
      <c r="J7329" s="16"/>
    </row>
    <row r="7330" spans="1:10" ht="13">
      <c r="A7330" s="27"/>
      <c r="B7330" s="110"/>
      <c r="D7330" s="409"/>
      <c r="E7330" s="13" t="s">
        <v>47</v>
      </c>
      <c r="F7330" s="13" t="s">
        <v>1918</v>
      </c>
      <c r="G7330" s="410" t="s">
        <v>48</v>
      </c>
      <c r="H7330" s="564">
        <v>0.05</v>
      </c>
      <c r="I7330" s="412">
        <f>IF(AND(E7330&lt;&gt;"",G7330&lt;&gt;""),IF(D7330="",IF(G7330="OH",VLOOKUP(F7330,UPAH!$B$4:$H$101,7,0),VLOOKUP(F7330,#REF!,4,0)),0),0)</f>
        <v>0</v>
      </c>
      <c r="J7330" s="16">
        <f>H7330*I7330</f>
        <v>0</v>
      </c>
    </row>
    <row r="7331" spans="1:10" ht="13">
      <c r="A7331" s="27"/>
      <c r="B7331" s="110"/>
      <c r="D7331" s="409"/>
      <c r="E7331" s="13" t="s">
        <v>230</v>
      </c>
      <c r="F7331" s="13" t="s">
        <v>1926</v>
      </c>
      <c r="G7331" s="410" t="s">
        <v>48</v>
      </c>
      <c r="H7331" s="564">
        <v>0.05</v>
      </c>
      <c r="I7331" s="412">
        <f>IF(AND(E7331&lt;&gt;"",G7331&lt;&gt;""),IF(D7331="",IF(G7331="OH",VLOOKUP(F7331,UPAH!$B$4:$H$101,7,0),VLOOKUP(F7331,#REF!,4,0)),0),0)</f>
        <v>0</v>
      </c>
      <c r="J7331" s="16">
        <f>H7331*I7331</f>
        <v>0</v>
      </c>
    </row>
    <row r="7332" spans="1:10" ht="13">
      <c r="A7332" s="27"/>
      <c r="B7332" s="110"/>
      <c r="D7332" s="409"/>
      <c r="E7332" s="13" t="s">
        <v>50</v>
      </c>
      <c r="F7332" s="13" t="s">
        <v>1928</v>
      </c>
      <c r="G7332" s="410" t="s">
        <v>48</v>
      </c>
      <c r="H7332" s="564">
        <v>5.0000000000000001E-3</v>
      </c>
      <c r="I7332" s="412">
        <f>IF(AND(E7332&lt;&gt;"",G7332&lt;&gt;""),IF(D7332="",IF(G7332="OH",VLOOKUP(F7332,UPAH!$B$4:$H$101,7,0),VLOOKUP(F7332,#REF!,4,0)),0),0)</f>
        <v>0</v>
      </c>
      <c r="J7332" s="16">
        <f>H7332*I7332</f>
        <v>0</v>
      </c>
    </row>
    <row r="7333" spans="1:10" ht="13.5" thickBot="1">
      <c r="A7333" s="27"/>
      <c r="B7333" s="110"/>
      <c r="D7333" s="409"/>
      <c r="E7333" s="13" t="s">
        <v>51</v>
      </c>
      <c r="F7333" s="13" t="s">
        <v>1929</v>
      </c>
      <c r="G7333" s="410" t="s">
        <v>48</v>
      </c>
      <c r="H7333" s="564">
        <v>1.6999999999999999E-3</v>
      </c>
      <c r="I7333" s="412">
        <f>IF(AND(E7333&lt;&gt;"",G7333&lt;&gt;""),IF(D7333="",IF(G7333="OH",VLOOKUP(F7333,UPAH!$B$4:$H$101,7,0),VLOOKUP(F7333,#REF!,4,0)),0),0)</f>
        <v>0</v>
      </c>
      <c r="J7333" s="16">
        <f>H7333*I7333</f>
        <v>0</v>
      </c>
    </row>
    <row r="7334" spans="1:10" ht="13.5" thickBot="1">
      <c r="A7334" s="27"/>
      <c r="B7334" s="110"/>
      <c r="D7334" s="417"/>
      <c r="E7334" s="418"/>
      <c r="F7334" s="418"/>
      <c r="G7334" s="419"/>
      <c r="H7334" s="420" t="s">
        <v>52</v>
      </c>
      <c r="I7334" s="421"/>
      <c r="J7334" s="396">
        <f>SUM(J7330:J7333)</f>
        <v>0</v>
      </c>
    </row>
    <row r="7335" spans="1:10" ht="13">
      <c r="A7335" s="27"/>
      <c r="B7335" s="110"/>
      <c r="D7335" s="406" t="s">
        <v>53</v>
      </c>
      <c r="E7335" s="13" t="s">
        <v>54</v>
      </c>
      <c r="F7335" s="14"/>
      <c r="G7335" s="15"/>
      <c r="H7335" s="451"/>
      <c r="I7335" s="412"/>
      <c r="J7335" s="16"/>
    </row>
    <row r="7336" spans="1:10" ht="13">
      <c r="A7336" s="27"/>
      <c r="B7336" s="110"/>
      <c r="D7336" s="409"/>
      <c r="E7336" s="13" t="s">
        <v>3580</v>
      </c>
      <c r="F7336" s="14"/>
      <c r="G7336" s="410" t="s">
        <v>57</v>
      </c>
      <c r="H7336" s="564">
        <v>0.12</v>
      </c>
      <c r="I7336" s="412">
        <v>0</v>
      </c>
      <c r="J7336" s="16">
        <f>H7336*I7336</f>
        <v>0</v>
      </c>
    </row>
    <row r="7337" spans="1:10" ht="13.5" thickBot="1">
      <c r="A7337" s="27"/>
      <c r="B7337" s="110"/>
      <c r="D7337" s="409"/>
      <c r="E7337" s="13" t="s">
        <v>3581</v>
      </c>
      <c r="F7337" s="14"/>
      <c r="G7337" s="410" t="s">
        <v>57</v>
      </c>
      <c r="H7337" s="564">
        <v>0.18</v>
      </c>
      <c r="I7337" s="412">
        <v>0</v>
      </c>
      <c r="J7337" s="16">
        <f>H7337*I7337</f>
        <v>0</v>
      </c>
    </row>
    <row r="7338" spans="1:10" ht="13.5" thickBot="1">
      <c r="A7338" s="27"/>
      <c r="B7338" s="110"/>
      <c r="D7338" s="417"/>
      <c r="E7338" s="418"/>
      <c r="F7338" s="418"/>
      <c r="G7338" s="419"/>
      <c r="H7338" s="420" t="s">
        <v>64</v>
      </c>
      <c r="I7338" s="421"/>
      <c r="J7338" s="396">
        <f>SUM(J7336:J7337)</f>
        <v>0</v>
      </c>
    </row>
    <row r="7339" spans="1:10" ht="13.5" thickBot="1">
      <c r="A7339" s="27"/>
      <c r="B7339" s="110"/>
      <c r="D7339" s="406" t="s">
        <v>65</v>
      </c>
      <c r="E7339" s="13" t="s">
        <v>66</v>
      </c>
      <c r="F7339" s="14"/>
      <c r="G7339" s="15"/>
      <c r="H7339" s="451"/>
      <c r="I7339" s="412">
        <f>IF(AND(E7339&lt;&gt;"",G7339&lt;&gt;""),IF(D7339="",IF(G7339="OH",VLOOKUP(E7339,UPAH!$C$4:$H$31,7,0),VLOOKUP(E7339,#REF!,4,0)),0),0)</f>
        <v>0</v>
      </c>
      <c r="J7339" s="16">
        <f>H7339*I7339</f>
        <v>0</v>
      </c>
    </row>
    <row r="7340" spans="1:10" ht="13.5" thickBot="1">
      <c r="A7340" s="27"/>
      <c r="B7340" s="110"/>
      <c r="D7340" s="417"/>
      <c r="E7340" s="418"/>
      <c r="F7340" s="418"/>
      <c r="G7340" s="419"/>
      <c r="H7340" s="420" t="s">
        <v>67</v>
      </c>
      <c r="I7340" s="421"/>
      <c r="J7340" s="396">
        <f>J7339</f>
        <v>0</v>
      </c>
    </row>
    <row r="7341" spans="1:10" ht="13">
      <c r="A7341" s="27"/>
      <c r="B7341" s="110"/>
      <c r="D7341" s="444" t="s">
        <v>68</v>
      </c>
      <c r="E7341" s="445" t="s">
        <v>69</v>
      </c>
      <c r="F7341" s="446"/>
      <c r="G7341" s="447"/>
      <c r="H7341" s="448"/>
      <c r="I7341" s="449">
        <f>IF(AND(E7341&lt;&gt;"",G7341&lt;&gt;""),IF(D7341="",IF(G7341="OH",VLOOKUP(E7341,UPAH!$C$4:$H$31,7,0),VLOOKUP(E7341,#REF!,4,0)),0),0)</f>
        <v>0</v>
      </c>
      <c r="J7341" s="16">
        <f>SUM(J7330:J7340)/2</f>
        <v>0</v>
      </c>
    </row>
    <row r="7342" spans="1:10" ht="13.5" thickBot="1">
      <c r="A7342" s="27"/>
      <c r="B7342" s="110"/>
      <c r="D7342" s="431" t="s">
        <v>70</v>
      </c>
      <c r="E7342" s="432" t="s">
        <v>477</v>
      </c>
      <c r="F7342" s="433"/>
      <c r="G7342" s="434"/>
      <c r="H7342" s="22">
        <v>0.1</v>
      </c>
      <c r="I7342" s="436"/>
      <c r="J7342" s="430">
        <f>H7342*J7341</f>
        <v>0</v>
      </c>
    </row>
    <row r="7343" spans="1:10" ht="13.5" thickBot="1">
      <c r="A7343" s="27"/>
      <c r="B7343" s="110"/>
      <c r="D7343" s="401" t="s">
        <v>71</v>
      </c>
      <c r="E7343" s="402" t="s">
        <v>72</v>
      </c>
      <c r="F7343" s="418"/>
      <c r="G7343" s="419"/>
      <c r="H7343" s="442"/>
      <c r="I7343" s="421">
        <f>IF(AND(E7343&lt;&gt;"",G7343&lt;&gt;""),IF(D7343="",IF(G7343="OH",VLOOKUP(E7343,UPAH!$C$4:$H$31,7,0),VLOOKUP(E7343,#REF!,4,0)),0),0)</f>
        <v>0</v>
      </c>
      <c r="J7343" s="396">
        <f>ROUNDDOWN(J7341+J7342,0)</f>
        <v>0</v>
      </c>
    </row>
    <row r="7344" spans="1:10" ht="13">
      <c r="A7344" s="27"/>
      <c r="B7344" s="110"/>
      <c r="D7344" s="11"/>
      <c r="E7344" s="11"/>
      <c r="H7344" s="443"/>
    </row>
    <row r="7345" spans="1:10" ht="13.5" thickBot="1">
      <c r="A7345" s="27"/>
      <c r="B7345" s="110"/>
      <c r="C7345" s="11" t="s">
        <v>1281</v>
      </c>
      <c r="D7345" s="10" t="s">
        <v>1282</v>
      </c>
      <c r="H7345" s="443"/>
    </row>
    <row r="7346" spans="1:10" ht="13.5" thickBot="1">
      <c r="A7346" s="27"/>
      <c r="B7346" s="110"/>
      <c r="D7346" s="401" t="s">
        <v>40</v>
      </c>
      <c r="E7346" s="402" t="s">
        <v>41</v>
      </c>
      <c r="F7346" s="402" t="s">
        <v>42</v>
      </c>
      <c r="G7346" s="403" t="s">
        <v>43</v>
      </c>
      <c r="H7346" s="404" t="s">
        <v>44</v>
      </c>
      <c r="I7346" s="402" t="s">
        <v>474</v>
      </c>
      <c r="J7346" s="405" t="s">
        <v>475</v>
      </c>
    </row>
    <row r="7347" spans="1:10" ht="13">
      <c r="A7347" s="27"/>
      <c r="B7347" s="110"/>
      <c r="D7347" s="406" t="s">
        <v>45</v>
      </c>
      <c r="E7347" s="13" t="s">
        <v>46</v>
      </c>
      <c r="F7347" s="14"/>
      <c r="G7347" s="15"/>
      <c r="H7347" s="451"/>
      <c r="I7347" s="412"/>
      <c r="J7347" s="16"/>
    </row>
    <row r="7348" spans="1:10" ht="13">
      <c r="A7348" s="27"/>
      <c r="B7348" s="110"/>
      <c r="D7348" s="409"/>
      <c r="E7348" s="13" t="s">
        <v>47</v>
      </c>
      <c r="F7348" s="13" t="s">
        <v>1918</v>
      </c>
      <c r="G7348" s="410" t="s">
        <v>48</v>
      </c>
      <c r="H7348" s="548">
        <v>2.8000000000000001E-2</v>
      </c>
      <c r="I7348" s="412">
        <f>IF(AND(E7348&lt;&gt;"",G7348&lt;&gt;""),IF(D7348="",IF(G7348="OH",VLOOKUP(F7348,UPAH!$B$4:$H$101,7,0),VLOOKUP(F7348,#REF!,4,0)),0),0)</f>
        <v>0</v>
      </c>
      <c r="J7348" s="16">
        <f>H7348*I7348</f>
        <v>0</v>
      </c>
    </row>
    <row r="7349" spans="1:10" ht="13">
      <c r="A7349" s="27"/>
      <c r="B7349" s="110"/>
      <c r="D7349" s="409"/>
      <c r="E7349" s="13" t="s">
        <v>230</v>
      </c>
      <c r="F7349" s="13" t="s">
        <v>1926</v>
      </c>
      <c r="G7349" s="410" t="s">
        <v>48</v>
      </c>
      <c r="H7349" s="548">
        <v>4.2000000000000003E-2</v>
      </c>
      <c r="I7349" s="412">
        <f>IF(AND(E7349&lt;&gt;"",G7349&lt;&gt;""),IF(D7349="",IF(G7349="OH",VLOOKUP(F7349,UPAH!$B$4:$H$101,7,0),VLOOKUP(F7349,#REF!,4,0)),0),0)</f>
        <v>0</v>
      </c>
      <c r="J7349" s="16">
        <f>H7349*I7349</f>
        <v>0</v>
      </c>
    </row>
    <row r="7350" spans="1:10" ht="13">
      <c r="A7350" s="27"/>
      <c r="B7350" s="110"/>
      <c r="D7350" s="409"/>
      <c r="E7350" s="13" t="s">
        <v>50</v>
      </c>
      <c r="F7350" s="13" t="s">
        <v>1928</v>
      </c>
      <c r="G7350" s="410" t="s">
        <v>48</v>
      </c>
      <c r="H7350" s="548">
        <v>4.1999999999999997E-3</v>
      </c>
      <c r="I7350" s="412">
        <f>IF(AND(E7350&lt;&gt;"",G7350&lt;&gt;""),IF(D7350="",IF(G7350="OH",VLOOKUP(F7350,UPAH!$B$4:$H$101,7,0),VLOOKUP(F7350,#REF!,4,0)),0),0)</f>
        <v>0</v>
      </c>
      <c r="J7350" s="16">
        <f>H7350*I7350</f>
        <v>0</v>
      </c>
    </row>
    <row r="7351" spans="1:10" ht="13.5" thickBot="1">
      <c r="A7351" s="27"/>
      <c r="B7351" s="110"/>
      <c r="D7351" s="409"/>
      <c r="E7351" s="13" t="s">
        <v>51</v>
      </c>
      <c r="F7351" s="13" t="s">
        <v>1929</v>
      </c>
      <c r="G7351" s="410" t="s">
        <v>48</v>
      </c>
      <c r="H7351" s="548">
        <v>3.0000000000000001E-3</v>
      </c>
      <c r="I7351" s="412">
        <f>IF(AND(E7351&lt;&gt;"",G7351&lt;&gt;""),IF(D7351="",IF(G7351="OH",VLOOKUP(F7351,UPAH!$B$4:$H$101,7,0),VLOOKUP(F7351,#REF!,4,0)),0),0)</f>
        <v>0</v>
      </c>
      <c r="J7351" s="16">
        <f>H7351*I7351</f>
        <v>0</v>
      </c>
    </row>
    <row r="7352" spans="1:10" ht="13.5" thickBot="1">
      <c r="A7352" s="27"/>
      <c r="B7352" s="110"/>
      <c r="D7352" s="417"/>
      <c r="E7352" s="418"/>
      <c r="F7352" s="418"/>
      <c r="G7352" s="419"/>
      <c r="H7352" s="420" t="s">
        <v>52</v>
      </c>
      <c r="I7352" s="421"/>
      <c r="J7352" s="396">
        <f>SUM(J7348:J7351)</f>
        <v>0</v>
      </c>
    </row>
    <row r="7353" spans="1:10" ht="13">
      <c r="A7353" s="27"/>
      <c r="B7353" s="110"/>
      <c r="D7353" s="406" t="s">
        <v>53</v>
      </c>
      <c r="E7353" s="13" t="s">
        <v>54</v>
      </c>
      <c r="F7353" s="14"/>
      <c r="G7353" s="15"/>
      <c r="H7353" s="451"/>
      <c r="I7353" s="412"/>
      <c r="J7353" s="16"/>
    </row>
    <row r="7354" spans="1:10" ht="13">
      <c r="A7354" s="27"/>
      <c r="B7354" s="110"/>
      <c r="D7354" s="409"/>
      <c r="E7354" s="13" t="s">
        <v>1908</v>
      </c>
      <c r="F7354" s="14"/>
      <c r="G7354" s="410" t="s">
        <v>57</v>
      </c>
      <c r="H7354" s="548">
        <v>0.12</v>
      </c>
      <c r="I7354" s="412">
        <f>'BAHAN '!G164</f>
        <v>0</v>
      </c>
      <c r="J7354" s="16">
        <f>H7354*I7354</f>
        <v>0</v>
      </c>
    </row>
    <row r="7355" spans="1:10" ht="13.5" thickBot="1">
      <c r="A7355" s="27"/>
      <c r="B7355" s="110"/>
      <c r="D7355" s="409"/>
      <c r="E7355" s="13" t="s">
        <v>1906</v>
      </c>
      <c r="F7355" s="14"/>
      <c r="G7355" s="410" t="s">
        <v>57</v>
      </c>
      <c r="H7355" s="548">
        <v>0.18</v>
      </c>
      <c r="I7355" s="412">
        <f>'BAHAN '!G169</f>
        <v>0</v>
      </c>
      <c r="J7355" s="16">
        <f>H7355*I7355</f>
        <v>0</v>
      </c>
    </row>
    <row r="7356" spans="1:10" ht="13.5" thickBot="1">
      <c r="A7356" s="27"/>
      <c r="B7356" s="110"/>
      <c r="D7356" s="417"/>
      <c r="E7356" s="418"/>
      <c r="F7356" s="418"/>
      <c r="G7356" s="419"/>
      <c r="H7356" s="420" t="s">
        <v>64</v>
      </c>
      <c r="I7356" s="421"/>
      <c r="J7356" s="396">
        <f>SUM(J7354:J7355)</f>
        <v>0</v>
      </c>
    </row>
    <row r="7357" spans="1:10" ht="13.5" thickBot="1">
      <c r="A7357" s="27"/>
      <c r="B7357" s="110"/>
      <c r="D7357" s="406" t="s">
        <v>65</v>
      </c>
      <c r="E7357" s="13" t="s">
        <v>66</v>
      </c>
      <c r="F7357" s="14"/>
      <c r="G7357" s="15"/>
      <c r="H7357" s="451"/>
      <c r="I7357" s="412">
        <f>IF(AND(E7357&lt;&gt;"",G7357&lt;&gt;""),IF(D7357="",IF(G7357="OH",VLOOKUP(E7357,UPAH!$C$4:$H$31,7,0),VLOOKUP(E7357,#REF!,4,0)),0),0)</f>
        <v>0</v>
      </c>
      <c r="J7357" s="16">
        <f>H7357*I7357</f>
        <v>0</v>
      </c>
    </row>
    <row r="7358" spans="1:10" ht="13.5" thickBot="1">
      <c r="A7358" s="27"/>
      <c r="B7358" s="110"/>
      <c r="D7358" s="417"/>
      <c r="E7358" s="418"/>
      <c r="F7358" s="418"/>
      <c r="G7358" s="419"/>
      <c r="H7358" s="420" t="s">
        <v>67</v>
      </c>
      <c r="I7358" s="421"/>
      <c r="J7358" s="396">
        <f>J7357</f>
        <v>0</v>
      </c>
    </row>
    <row r="7359" spans="1:10" ht="13">
      <c r="A7359" s="27"/>
      <c r="B7359" s="110"/>
      <c r="D7359" s="444" t="s">
        <v>68</v>
      </c>
      <c r="E7359" s="445" t="s">
        <v>69</v>
      </c>
      <c r="F7359" s="446"/>
      <c r="G7359" s="447"/>
      <c r="H7359" s="448"/>
      <c r="I7359" s="449">
        <f>IF(AND(E7359&lt;&gt;"",G7359&lt;&gt;""),IF(D7359="",IF(G7359="OH",VLOOKUP(E7359,UPAH!$C$4:$H$31,7,0),VLOOKUP(E7359,#REF!,4,0)),0),0)</f>
        <v>0</v>
      </c>
      <c r="J7359" s="16">
        <f>SUM(J7348:J7358)/2</f>
        <v>0</v>
      </c>
    </row>
    <row r="7360" spans="1:10" ht="13.5" thickBot="1">
      <c r="A7360" s="27"/>
      <c r="B7360" s="110"/>
      <c r="D7360" s="431" t="s">
        <v>70</v>
      </c>
      <c r="E7360" s="432" t="s">
        <v>477</v>
      </c>
      <c r="F7360" s="433"/>
      <c r="G7360" s="434"/>
      <c r="H7360" s="22">
        <v>0.1</v>
      </c>
      <c r="I7360" s="436"/>
      <c r="J7360" s="430">
        <f>H7360*J7359</f>
        <v>0</v>
      </c>
    </row>
    <row r="7361" spans="1:10" ht="13.5" thickBot="1">
      <c r="A7361" s="27"/>
      <c r="B7361" s="110"/>
      <c r="D7361" s="401" t="s">
        <v>71</v>
      </c>
      <c r="E7361" s="402" t="s">
        <v>72</v>
      </c>
      <c r="F7361" s="418"/>
      <c r="G7361" s="419"/>
      <c r="H7361" s="442"/>
      <c r="I7361" s="421">
        <f>IF(AND(E7361&lt;&gt;"",G7361&lt;&gt;""),IF(D7361="",IF(G7361="OH",VLOOKUP(E7361,UPAH!$C$4:$H$31,7,0),VLOOKUP(E7361,#REF!,4,0)),0),0)</f>
        <v>0</v>
      </c>
      <c r="J7361" s="396">
        <f>ROUNDDOWN(J7359+J7360,0)</f>
        <v>0</v>
      </c>
    </row>
    <row r="7362" spans="1:10" ht="13">
      <c r="A7362" s="27"/>
      <c r="B7362" s="110"/>
      <c r="D7362" s="11"/>
      <c r="E7362" s="11"/>
      <c r="H7362" s="443"/>
    </row>
    <row r="7363" spans="1:10" ht="13.5" thickBot="1">
      <c r="A7363" s="27"/>
      <c r="B7363" s="110"/>
      <c r="C7363" s="11" t="s">
        <v>1283</v>
      </c>
      <c r="D7363" s="10" t="s">
        <v>1284</v>
      </c>
      <c r="H7363" s="443"/>
    </row>
    <row r="7364" spans="1:10" ht="13.5" thickBot="1">
      <c r="A7364" s="27"/>
      <c r="B7364" s="110"/>
      <c r="D7364" s="401" t="s">
        <v>40</v>
      </c>
      <c r="E7364" s="402" t="s">
        <v>41</v>
      </c>
      <c r="F7364" s="402" t="s">
        <v>42</v>
      </c>
      <c r="G7364" s="403" t="s">
        <v>43</v>
      </c>
      <c r="H7364" s="404" t="s">
        <v>44</v>
      </c>
      <c r="I7364" s="402" t="s">
        <v>474</v>
      </c>
      <c r="J7364" s="405" t="s">
        <v>475</v>
      </c>
    </row>
    <row r="7365" spans="1:10" ht="13">
      <c r="A7365" s="27"/>
      <c r="B7365" s="110"/>
      <c r="D7365" s="406" t="s">
        <v>45</v>
      </c>
      <c r="E7365" s="13" t="s">
        <v>46</v>
      </c>
      <c r="F7365" s="14"/>
      <c r="G7365" s="15"/>
      <c r="H7365" s="451"/>
      <c r="I7365" s="412"/>
      <c r="J7365" s="16"/>
    </row>
    <row r="7366" spans="1:10" ht="13">
      <c r="A7366" s="27"/>
      <c r="B7366" s="110"/>
      <c r="D7366" s="409"/>
      <c r="E7366" s="13" t="s">
        <v>47</v>
      </c>
      <c r="F7366" s="13" t="s">
        <v>1918</v>
      </c>
      <c r="G7366" s="410" t="s">
        <v>48</v>
      </c>
      <c r="H7366" s="548">
        <v>2.8000000000000001E-2</v>
      </c>
      <c r="I7366" s="412">
        <f>IF(AND(E7366&lt;&gt;"",G7366&lt;&gt;""),IF(D7366="",IF(G7366="OH",VLOOKUP(F7366,UPAH!$B$4:$H$101,7,0),VLOOKUP(F7366,#REF!,4,0)),0),0)</f>
        <v>0</v>
      </c>
      <c r="J7366" s="16">
        <f>H7366*I7366</f>
        <v>0</v>
      </c>
    </row>
    <row r="7367" spans="1:10" ht="13">
      <c r="A7367" s="27"/>
      <c r="B7367" s="110"/>
      <c r="D7367" s="409"/>
      <c r="E7367" s="13" t="s">
        <v>230</v>
      </c>
      <c r="F7367" s="13" t="s">
        <v>1926</v>
      </c>
      <c r="G7367" s="410" t="s">
        <v>48</v>
      </c>
      <c r="H7367" s="548">
        <v>4.2000000000000003E-2</v>
      </c>
      <c r="I7367" s="412">
        <f>IF(AND(E7367&lt;&gt;"",G7367&lt;&gt;""),IF(D7367="",IF(G7367="OH",VLOOKUP(F7367,UPAH!$B$4:$H$101,7,0),VLOOKUP(F7367,#REF!,4,0)),0),0)</f>
        <v>0</v>
      </c>
      <c r="J7367" s="16">
        <f>H7367*I7367</f>
        <v>0</v>
      </c>
    </row>
    <row r="7368" spans="1:10" ht="13">
      <c r="A7368" s="27"/>
      <c r="B7368" s="110"/>
      <c r="D7368" s="409"/>
      <c r="E7368" s="13" t="s">
        <v>50</v>
      </c>
      <c r="F7368" s="13" t="s">
        <v>1928</v>
      </c>
      <c r="G7368" s="410" t="s">
        <v>48</v>
      </c>
      <c r="H7368" s="548">
        <v>4.1999999999999997E-3</v>
      </c>
      <c r="I7368" s="412">
        <f>IF(AND(E7368&lt;&gt;"",G7368&lt;&gt;""),IF(D7368="",IF(G7368="OH",VLOOKUP(F7368,UPAH!$B$4:$H$101,7,0),VLOOKUP(F7368,#REF!,4,0)),0),0)</f>
        <v>0</v>
      </c>
      <c r="J7368" s="16">
        <f>H7368*I7368</f>
        <v>0</v>
      </c>
    </row>
    <row r="7369" spans="1:10" ht="13.5" thickBot="1">
      <c r="A7369" s="27"/>
      <c r="B7369" s="110"/>
      <c r="D7369" s="409"/>
      <c r="E7369" s="13" t="s">
        <v>51</v>
      </c>
      <c r="F7369" s="13" t="s">
        <v>1929</v>
      </c>
      <c r="G7369" s="410" t="s">
        <v>48</v>
      </c>
      <c r="H7369" s="548">
        <v>3.0000000000000001E-3</v>
      </c>
      <c r="I7369" s="412">
        <f>IF(AND(E7369&lt;&gt;"",G7369&lt;&gt;""),IF(D7369="",IF(G7369="OH",VLOOKUP(F7369,UPAH!$B$4:$H$101,7,0),VLOOKUP(F7369,#REF!,4,0)),0),0)</f>
        <v>0</v>
      </c>
      <c r="J7369" s="16">
        <f>H7369*I7369</f>
        <v>0</v>
      </c>
    </row>
    <row r="7370" spans="1:10" ht="13.5" thickBot="1">
      <c r="A7370" s="27"/>
      <c r="B7370" s="110"/>
      <c r="D7370" s="417"/>
      <c r="E7370" s="418"/>
      <c r="F7370" s="418"/>
      <c r="G7370" s="419"/>
      <c r="H7370" s="420" t="s">
        <v>52</v>
      </c>
      <c r="I7370" s="421"/>
      <c r="J7370" s="396">
        <f>SUM(J7366:J7369)</f>
        <v>0</v>
      </c>
    </row>
    <row r="7371" spans="1:10" ht="13">
      <c r="A7371" s="27"/>
      <c r="B7371" s="110"/>
      <c r="D7371" s="406" t="s">
        <v>53</v>
      </c>
      <c r="E7371" s="13" t="s">
        <v>54</v>
      </c>
      <c r="F7371" s="14"/>
      <c r="G7371" s="15"/>
      <c r="H7371" s="451"/>
      <c r="I7371" s="412"/>
      <c r="J7371" s="16"/>
    </row>
    <row r="7372" spans="1:10" ht="13.5" thickBot="1">
      <c r="A7372" s="27"/>
      <c r="B7372" s="110"/>
      <c r="D7372" s="409"/>
      <c r="E7372" s="13" t="s">
        <v>242</v>
      </c>
      <c r="F7372" s="14"/>
      <c r="G7372" s="410" t="s">
        <v>57</v>
      </c>
      <c r="H7372" s="548">
        <v>0.1</v>
      </c>
      <c r="I7372" s="412">
        <f>'BAHAN '!G171</f>
        <v>0</v>
      </c>
      <c r="J7372" s="16">
        <f>H7372*I7372</f>
        <v>0</v>
      </c>
    </row>
    <row r="7373" spans="1:10" ht="13.5" thickBot="1">
      <c r="A7373" s="27"/>
      <c r="B7373" s="110"/>
      <c r="D7373" s="417"/>
      <c r="E7373" s="418"/>
      <c r="F7373" s="418"/>
      <c r="G7373" s="419"/>
      <c r="H7373" s="420" t="s">
        <v>64</v>
      </c>
      <c r="I7373" s="421"/>
      <c r="J7373" s="396">
        <f>SUM(J7372)</f>
        <v>0</v>
      </c>
    </row>
    <row r="7374" spans="1:10" ht="13.5" thickBot="1">
      <c r="A7374" s="27"/>
      <c r="B7374" s="110"/>
      <c r="D7374" s="406" t="s">
        <v>65</v>
      </c>
      <c r="E7374" s="13" t="s">
        <v>66</v>
      </c>
      <c r="F7374" s="14"/>
      <c r="G7374" s="15"/>
      <c r="H7374" s="451"/>
      <c r="I7374" s="412">
        <f>IF(AND(E7374&lt;&gt;"",G7374&lt;&gt;""),IF(D7374="",IF(G7374="OH",VLOOKUP(E7374,UPAH!$C$4:$H$31,7,0),VLOOKUP(E7374,#REF!,4,0)),0),0)</f>
        <v>0</v>
      </c>
      <c r="J7374" s="16">
        <f>H7374*I7374</f>
        <v>0</v>
      </c>
    </row>
    <row r="7375" spans="1:10" ht="13.5" thickBot="1">
      <c r="A7375" s="27"/>
      <c r="B7375" s="110"/>
      <c r="D7375" s="417"/>
      <c r="E7375" s="418"/>
      <c r="F7375" s="418"/>
      <c r="G7375" s="419"/>
      <c r="H7375" s="420" t="s">
        <v>67</v>
      </c>
      <c r="I7375" s="421"/>
      <c r="J7375" s="396">
        <f>J7374</f>
        <v>0</v>
      </c>
    </row>
    <row r="7376" spans="1:10" ht="13">
      <c r="A7376" s="27"/>
      <c r="B7376" s="110"/>
      <c r="D7376" s="444" t="s">
        <v>68</v>
      </c>
      <c r="E7376" s="445" t="s">
        <v>69</v>
      </c>
      <c r="F7376" s="446"/>
      <c r="G7376" s="447"/>
      <c r="H7376" s="448"/>
      <c r="I7376" s="449">
        <f>IF(AND(E7376&lt;&gt;"",G7376&lt;&gt;""),IF(D7376="",IF(G7376="OH",VLOOKUP(E7376,UPAH!$C$4:$H$31,7,0),VLOOKUP(E7376,#REF!,4,0)),0),0)</f>
        <v>0</v>
      </c>
      <c r="J7376" s="16">
        <f>SUM(J7365:J7375)/2</f>
        <v>0</v>
      </c>
    </row>
    <row r="7377" spans="1:10" ht="13.5" thickBot="1">
      <c r="A7377" s="27"/>
      <c r="B7377" s="110"/>
      <c r="D7377" s="431" t="s">
        <v>70</v>
      </c>
      <c r="E7377" s="432" t="s">
        <v>477</v>
      </c>
      <c r="F7377" s="433"/>
      <c r="G7377" s="434"/>
      <c r="H7377" s="22">
        <v>0.1</v>
      </c>
      <c r="I7377" s="436"/>
      <c r="J7377" s="430">
        <f>H7377*J7376</f>
        <v>0</v>
      </c>
    </row>
    <row r="7378" spans="1:10" ht="13.5" thickBot="1">
      <c r="A7378" s="27"/>
      <c r="B7378" s="110"/>
      <c r="D7378" s="401" t="s">
        <v>71</v>
      </c>
      <c r="E7378" s="402" t="s">
        <v>72</v>
      </c>
      <c r="F7378" s="418"/>
      <c r="G7378" s="419"/>
      <c r="H7378" s="442"/>
      <c r="I7378" s="421">
        <f>IF(AND(E7378&lt;&gt;"",G7378&lt;&gt;""),IF(D7378="",IF(G7378="OH",VLOOKUP(E7378,UPAH!$C$4:$H$31,7,0),VLOOKUP(E7378,#REF!,4,0)),0),0)</f>
        <v>0</v>
      </c>
      <c r="J7378" s="396">
        <f>ROUNDDOWN(J7376+J7377,0)</f>
        <v>0</v>
      </c>
    </row>
    <row r="7379" spans="1:10" ht="13">
      <c r="A7379" s="27"/>
      <c r="B7379" s="110"/>
      <c r="D7379" s="11"/>
      <c r="E7379" s="11"/>
      <c r="H7379" s="443"/>
    </row>
    <row r="7380" spans="1:10" ht="13.5" thickBot="1">
      <c r="A7380" s="27"/>
      <c r="B7380" s="110"/>
      <c r="C7380" s="11" t="s">
        <v>1285</v>
      </c>
      <c r="D7380" s="10" t="s">
        <v>1286</v>
      </c>
      <c r="H7380" s="443"/>
    </row>
    <row r="7381" spans="1:10" ht="13.5" thickBot="1">
      <c r="A7381" s="27"/>
      <c r="B7381" s="110"/>
      <c r="D7381" s="401" t="s">
        <v>40</v>
      </c>
      <c r="E7381" s="402" t="s">
        <v>41</v>
      </c>
      <c r="F7381" s="402" t="s">
        <v>42</v>
      </c>
      <c r="G7381" s="403" t="s">
        <v>43</v>
      </c>
      <c r="H7381" s="404" t="s">
        <v>44</v>
      </c>
      <c r="I7381" s="402" t="s">
        <v>474</v>
      </c>
      <c r="J7381" s="405" t="s">
        <v>475</v>
      </c>
    </row>
    <row r="7382" spans="1:10" ht="13">
      <c r="A7382" s="27"/>
      <c r="B7382" s="110"/>
      <c r="D7382" s="406" t="s">
        <v>45</v>
      </c>
      <c r="E7382" s="13" t="s">
        <v>46</v>
      </c>
      <c r="F7382" s="14"/>
      <c r="G7382" s="15"/>
      <c r="H7382" s="451"/>
      <c r="I7382" s="412"/>
      <c r="J7382" s="16"/>
    </row>
    <row r="7383" spans="1:10" ht="13">
      <c r="A7383" s="27"/>
      <c r="B7383" s="110"/>
      <c r="D7383" s="409"/>
      <c r="E7383" s="13" t="s">
        <v>47</v>
      </c>
      <c r="F7383" s="13" t="s">
        <v>1918</v>
      </c>
      <c r="G7383" s="410" t="s">
        <v>48</v>
      </c>
      <c r="H7383" s="548">
        <v>0.15</v>
      </c>
      <c r="I7383" s="412">
        <f>IF(AND(E7383&lt;&gt;"",G7383&lt;&gt;""),IF(D7383="",IF(G7383="OH",VLOOKUP(F7383,UPAH!$B$4:$H$101,7,0),VLOOKUP(F7383,#REF!,4,0)),0),0)</f>
        <v>0</v>
      </c>
      <c r="J7383" s="16">
        <f>H7383*I7383</f>
        <v>0</v>
      </c>
    </row>
    <row r="7384" spans="1:10" ht="13">
      <c r="A7384" s="27"/>
      <c r="B7384" s="110"/>
      <c r="D7384" s="409"/>
      <c r="E7384" s="13" t="s">
        <v>230</v>
      </c>
      <c r="F7384" s="13" t="s">
        <v>1926</v>
      </c>
      <c r="G7384" s="410" t="s">
        <v>48</v>
      </c>
      <c r="H7384" s="548">
        <v>1E-3</v>
      </c>
      <c r="I7384" s="412">
        <f>IF(AND(E7384&lt;&gt;"",G7384&lt;&gt;""),IF(D7384="",IF(G7384="OH",VLOOKUP(F7384,UPAH!$B$4:$H$101,7,0),VLOOKUP(F7384,#REF!,4,0)),0),0)</f>
        <v>0</v>
      </c>
      <c r="J7384" s="16">
        <f>H7384*I7384</f>
        <v>0</v>
      </c>
    </row>
    <row r="7385" spans="1:10" ht="13">
      <c r="A7385" s="27"/>
      <c r="B7385" s="110"/>
      <c r="D7385" s="409"/>
      <c r="E7385" s="13" t="s">
        <v>50</v>
      </c>
      <c r="F7385" s="13" t="s">
        <v>1928</v>
      </c>
      <c r="G7385" s="410" t="s">
        <v>48</v>
      </c>
      <c r="H7385" s="548">
        <v>1E-4</v>
      </c>
      <c r="I7385" s="412">
        <f>IF(AND(E7385&lt;&gt;"",G7385&lt;&gt;""),IF(D7385="",IF(G7385="OH",VLOOKUP(F7385,UPAH!$B$4:$H$101,7,0),VLOOKUP(F7385,#REF!,4,0)),0),0)</f>
        <v>0</v>
      </c>
      <c r="J7385" s="16">
        <f>H7385*I7385</f>
        <v>0</v>
      </c>
    </row>
    <row r="7386" spans="1:10" ht="13.5" thickBot="1">
      <c r="A7386" s="27"/>
      <c r="B7386" s="110"/>
      <c r="D7386" s="409"/>
      <c r="E7386" s="13" t="s">
        <v>51</v>
      </c>
      <c r="F7386" s="13" t="s">
        <v>1929</v>
      </c>
      <c r="G7386" s="410" t="s">
        <v>48</v>
      </c>
      <c r="H7386" s="548">
        <v>2.5000000000000001E-3</v>
      </c>
      <c r="I7386" s="412">
        <f>IF(AND(E7386&lt;&gt;"",G7386&lt;&gt;""),IF(D7386="",IF(G7386="OH",VLOOKUP(F7386,UPAH!$B$4:$H$101,7,0),VLOOKUP(F7386,#REF!,4,0)),0),0)</f>
        <v>0</v>
      </c>
      <c r="J7386" s="16">
        <f>H7386*I7386</f>
        <v>0</v>
      </c>
    </row>
    <row r="7387" spans="1:10" ht="13.5" thickBot="1">
      <c r="A7387" s="27"/>
      <c r="B7387" s="110"/>
      <c r="D7387" s="417"/>
      <c r="E7387" s="418"/>
      <c r="F7387" s="418"/>
      <c r="G7387" s="419"/>
      <c r="H7387" s="420" t="s">
        <v>52</v>
      </c>
      <c r="I7387" s="421"/>
      <c r="J7387" s="396">
        <f>SUM(J7383:J7386)</f>
        <v>0</v>
      </c>
    </row>
    <row r="7388" spans="1:10" ht="13">
      <c r="A7388" s="27"/>
      <c r="B7388" s="110"/>
      <c r="D7388" s="406" t="s">
        <v>53</v>
      </c>
      <c r="E7388" s="13" t="s">
        <v>54</v>
      </c>
      <c r="F7388" s="14"/>
      <c r="G7388" s="15"/>
      <c r="H7388" s="451"/>
      <c r="I7388" s="412"/>
      <c r="J7388" s="16"/>
    </row>
    <row r="7389" spans="1:10" ht="13">
      <c r="A7389" s="27"/>
      <c r="B7389" s="110"/>
      <c r="D7389" s="409"/>
      <c r="E7389" s="13" t="s">
        <v>243</v>
      </c>
      <c r="F7389" s="14"/>
      <c r="G7389" s="410" t="s">
        <v>57</v>
      </c>
      <c r="H7389" s="548">
        <v>0.15</v>
      </c>
      <c r="I7389" s="412">
        <f>'BAHAN '!G47</f>
        <v>0</v>
      </c>
      <c r="J7389" s="16">
        <f>H7389*I7389</f>
        <v>0</v>
      </c>
    </row>
    <row r="7390" spans="1:10" ht="13">
      <c r="A7390" s="27"/>
      <c r="B7390" s="110"/>
      <c r="D7390" s="409"/>
      <c r="E7390" s="13" t="s">
        <v>235</v>
      </c>
      <c r="F7390" s="14"/>
      <c r="G7390" s="410" t="s">
        <v>74</v>
      </c>
      <c r="H7390" s="548">
        <v>0.1</v>
      </c>
      <c r="I7390" s="412">
        <f>'BAHAN '!G163</f>
        <v>0</v>
      </c>
      <c r="J7390" s="16">
        <f>H7390*I7390</f>
        <v>0</v>
      </c>
    </row>
    <row r="7391" spans="1:10" ht="13.5" thickBot="1">
      <c r="A7391" s="27"/>
      <c r="B7391" s="110"/>
      <c r="D7391" s="409"/>
      <c r="E7391" s="13" t="s">
        <v>244</v>
      </c>
      <c r="F7391" s="14"/>
      <c r="G7391" s="410" t="s">
        <v>245</v>
      </c>
      <c r="H7391" s="548">
        <v>0.25</v>
      </c>
      <c r="I7391" s="412">
        <f>'BAHAN '!G12</f>
        <v>0</v>
      </c>
      <c r="J7391" s="16">
        <f>H7391*I7391</f>
        <v>0</v>
      </c>
    </row>
    <row r="7392" spans="1:10" ht="13.5" thickBot="1">
      <c r="A7392" s="27"/>
      <c r="B7392" s="110"/>
      <c r="D7392" s="417"/>
      <c r="E7392" s="418"/>
      <c r="F7392" s="418"/>
      <c r="G7392" s="419"/>
      <c r="H7392" s="420" t="s">
        <v>64</v>
      </c>
      <c r="I7392" s="421"/>
      <c r="J7392" s="396">
        <f>SUM(J7389:J7391)</f>
        <v>0</v>
      </c>
    </row>
    <row r="7393" spans="1:10" ht="13.5" thickBot="1">
      <c r="A7393" s="27"/>
      <c r="B7393" s="110"/>
      <c r="D7393" s="406" t="s">
        <v>65</v>
      </c>
      <c r="E7393" s="13" t="s">
        <v>66</v>
      </c>
      <c r="F7393" s="14"/>
      <c r="G7393" s="15"/>
      <c r="H7393" s="451"/>
      <c r="I7393" s="412">
        <f>IF(AND(E7393&lt;&gt;"",G7393&lt;&gt;""),IF(D7393="",IF(G7393="OH",VLOOKUP(E7393,UPAH!$C$4:$H$31,7,0),VLOOKUP(E7393,#REF!,4,0)),0),0)</f>
        <v>0</v>
      </c>
      <c r="J7393" s="16">
        <f>H7393*I7393</f>
        <v>0</v>
      </c>
    </row>
    <row r="7394" spans="1:10" ht="13.5" thickBot="1">
      <c r="A7394" s="27"/>
      <c r="B7394" s="110"/>
      <c r="D7394" s="417"/>
      <c r="E7394" s="418"/>
      <c r="F7394" s="418"/>
      <c r="G7394" s="419"/>
      <c r="H7394" s="420" t="s">
        <v>67</v>
      </c>
      <c r="I7394" s="421"/>
      <c r="J7394" s="396">
        <f>J7393</f>
        <v>0</v>
      </c>
    </row>
    <row r="7395" spans="1:10" ht="13">
      <c r="A7395" s="27"/>
      <c r="B7395" s="110"/>
      <c r="D7395" s="444" t="s">
        <v>68</v>
      </c>
      <c r="E7395" s="445" t="s">
        <v>69</v>
      </c>
      <c r="F7395" s="446"/>
      <c r="G7395" s="447"/>
      <c r="H7395" s="448"/>
      <c r="I7395" s="449">
        <f>IF(AND(E7395&lt;&gt;"",G7395&lt;&gt;""),IF(D7395="",IF(G7395="OH",VLOOKUP(E7395,UPAH!$C$4:$H$31,7,0),VLOOKUP(E7395,#REF!,4,0)),0),0)</f>
        <v>0</v>
      </c>
      <c r="J7395" s="16">
        <f>SUM(J7383:J7394)/2</f>
        <v>0</v>
      </c>
    </row>
    <row r="7396" spans="1:10" ht="13.5" thickBot="1">
      <c r="A7396" s="27"/>
      <c r="B7396" s="110"/>
      <c r="D7396" s="431" t="s">
        <v>70</v>
      </c>
      <c r="E7396" s="432" t="s">
        <v>477</v>
      </c>
      <c r="F7396" s="433"/>
      <c r="G7396" s="434"/>
      <c r="H7396" s="22">
        <v>0.1</v>
      </c>
      <c r="I7396" s="436"/>
      <c r="J7396" s="430">
        <f>H7396*J7395</f>
        <v>0</v>
      </c>
    </row>
    <row r="7397" spans="1:10" ht="13.5" thickBot="1">
      <c r="A7397" s="27"/>
      <c r="B7397" s="110"/>
      <c r="D7397" s="401" t="s">
        <v>71</v>
      </c>
      <c r="E7397" s="402" t="s">
        <v>72</v>
      </c>
      <c r="F7397" s="418"/>
      <c r="G7397" s="419"/>
      <c r="H7397" s="442"/>
      <c r="I7397" s="421">
        <f>IF(AND(E7397&lt;&gt;"",G7397&lt;&gt;""),IF(D7397="",IF(G7397="OH",VLOOKUP(E7397,UPAH!$C$4:$H$31,7,0),VLOOKUP(E7397,#REF!,4,0)),0),0)</f>
        <v>0</v>
      </c>
      <c r="J7397" s="396">
        <f>ROUNDDOWN(J7395+J7396,0)</f>
        <v>0</v>
      </c>
    </row>
    <row r="7398" spans="1:10" ht="13">
      <c r="A7398" s="27"/>
      <c r="B7398" s="110"/>
      <c r="D7398" s="11"/>
      <c r="E7398" s="11"/>
      <c r="H7398" s="443"/>
    </row>
    <row r="7399" spans="1:10" ht="13.5" thickBot="1">
      <c r="A7399" s="27"/>
      <c r="B7399" s="110"/>
      <c r="C7399" s="11" t="s">
        <v>1287</v>
      </c>
      <c r="D7399" s="10" t="s">
        <v>1288</v>
      </c>
      <c r="H7399" s="443"/>
    </row>
    <row r="7400" spans="1:10" ht="13.5" thickBot="1">
      <c r="A7400" s="27"/>
      <c r="B7400" s="110"/>
      <c r="D7400" s="401" t="s">
        <v>40</v>
      </c>
      <c r="E7400" s="402" t="s">
        <v>41</v>
      </c>
      <c r="F7400" s="402" t="s">
        <v>42</v>
      </c>
      <c r="G7400" s="403" t="s">
        <v>43</v>
      </c>
      <c r="H7400" s="404" t="s">
        <v>44</v>
      </c>
      <c r="I7400" s="402" t="s">
        <v>474</v>
      </c>
      <c r="J7400" s="405" t="s">
        <v>475</v>
      </c>
    </row>
    <row r="7401" spans="1:10" ht="13">
      <c r="A7401" s="27"/>
      <c r="B7401" s="110"/>
      <c r="D7401" s="406" t="s">
        <v>45</v>
      </c>
      <c r="E7401" s="13" t="s">
        <v>46</v>
      </c>
      <c r="F7401" s="14"/>
      <c r="G7401" s="15"/>
      <c r="H7401" s="451"/>
      <c r="I7401" s="412"/>
      <c r="J7401" s="16"/>
    </row>
    <row r="7402" spans="1:10" ht="13">
      <c r="A7402" s="27"/>
      <c r="B7402" s="110"/>
      <c r="D7402" s="409"/>
      <c r="E7402" s="13" t="s">
        <v>47</v>
      </c>
      <c r="F7402" s="13" t="s">
        <v>1918</v>
      </c>
      <c r="G7402" s="410" t="s">
        <v>48</v>
      </c>
      <c r="H7402" s="548">
        <v>0.04</v>
      </c>
      <c r="I7402" s="412">
        <f>IF(AND(E7402&lt;&gt;"",G7402&lt;&gt;""),IF(D7402="",IF(G7402="OH",VLOOKUP(F7402,UPAH!$B$4:$H$101,7,0),VLOOKUP(F7402,#REF!,4,0)),0),0)</f>
        <v>0</v>
      </c>
      <c r="J7402" s="16">
        <f>H7402*I7402</f>
        <v>0</v>
      </c>
    </row>
    <row r="7403" spans="1:10" ht="13">
      <c r="A7403" s="27"/>
      <c r="B7403" s="110"/>
      <c r="D7403" s="409"/>
      <c r="E7403" s="13" t="s">
        <v>230</v>
      </c>
      <c r="F7403" s="13" t="s">
        <v>1926</v>
      </c>
      <c r="G7403" s="410" t="s">
        <v>48</v>
      </c>
      <c r="H7403" s="548">
        <v>5.0000000000000001E-3</v>
      </c>
      <c r="I7403" s="412">
        <f>IF(AND(E7403&lt;&gt;"",G7403&lt;&gt;""),IF(D7403="",IF(G7403="OH",VLOOKUP(F7403,UPAH!$B$4:$H$101,7,0),VLOOKUP(F7403,#REF!,4,0)),0),0)</f>
        <v>0</v>
      </c>
      <c r="J7403" s="16">
        <f>H7403*I7403</f>
        <v>0</v>
      </c>
    </row>
    <row r="7404" spans="1:10" ht="13">
      <c r="A7404" s="27"/>
      <c r="B7404" s="110"/>
      <c r="D7404" s="409"/>
      <c r="E7404" s="13" t="s">
        <v>50</v>
      </c>
      <c r="F7404" s="13" t="s">
        <v>1928</v>
      </c>
      <c r="G7404" s="410" t="s">
        <v>48</v>
      </c>
      <c r="H7404" s="548">
        <v>5.0000000000000001E-4</v>
      </c>
      <c r="I7404" s="412">
        <f>IF(AND(E7404&lt;&gt;"",G7404&lt;&gt;""),IF(D7404="",IF(G7404="OH",VLOOKUP(F7404,UPAH!$B$4:$H$101,7,0),VLOOKUP(F7404,#REF!,4,0)),0),0)</f>
        <v>0</v>
      </c>
      <c r="J7404" s="16">
        <f>H7404*I7404</f>
        <v>0</v>
      </c>
    </row>
    <row r="7405" spans="1:10" ht="13.5" thickBot="1">
      <c r="A7405" s="27"/>
      <c r="B7405" s="110"/>
      <c r="D7405" s="409"/>
      <c r="E7405" s="13" t="s">
        <v>51</v>
      </c>
      <c r="F7405" s="13" t="s">
        <v>1929</v>
      </c>
      <c r="G7405" s="410" t="s">
        <v>48</v>
      </c>
      <c r="H7405" s="548">
        <v>2.5000000000000001E-3</v>
      </c>
      <c r="I7405" s="412">
        <f>IF(AND(E7405&lt;&gt;"",G7405&lt;&gt;""),IF(D7405="",IF(G7405="OH",VLOOKUP(F7405,UPAH!$B$4:$H$101,7,0),VLOOKUP(F7405,#REF!,4,0)),0),0)</f>
        <v>0</v>
      </c>
      <c r="J7405" s="16">
        <f>H7405*I7405</f>
        <v>0</v>
      </c>
    </row>
    <row r="7406" spans="1:10" ht="13.5" thickBot="1">
      <c r="A7406" s="27"/>
      <c r="B7406" s="110"/>
      <c r="D7406" s="417"/>
      <c r="E7406" s="418"/>
      <c r="F7406" s="418"/>
      <c r="G7406" s="419"/>
      <c r="H7406" s="420" t="s">
        <v>52</v>
      </c>
      <c r="I7406" s="421"/>
      <c r="J7406" s="396">
        <f>SUM(J7402:J7405)</f>
        <v>0</v>
      </c>
    </row>
    <row r="7407" spans="1:10" ht="13">
      <c r="A7407" s="27"/>
      <c r="B7407" s="110"/>
      <c r="D7407" s="406" t="s">
        <v>53</v>
      </c>
      <c r="E7407" s="13" t="s">
        <v>54</v>
      </c>
      <c r="F7407" s="14"/>
      <c r="G7407" s="15"/>
      <c r="H7407" s="451"/>
      <c r="I7407" s="412"/>
      <c r="J7407" s="16"/>
    </row>
    <row r="7408" spans="1:10" ht="13">
      <c r="A7408" s="27"/>
      <c r="B7408" s="110"/>
      <c r="D7408" s="409"/>
      <c r="E7408" s="13" t="s">
        <v>243</v>
      </c>
      <c r="F7408" s="14"/>
      <c r="G7408" s="410" t="s">
        <v>57</v>
      </c>
      <c r="H7408" s="548">
        <v>0.3</v>
      </c>
      <c r="I7408" s="412">
        <f>'BAHAN '!G47</f>
        <v>0</v>
      </c>
      <c r="J7408" s="16">
        <f>H7408*I7408</f>
        <v>0</v>
      </c>
    </row>
    <row r="7409" spans="1:10" ht="13">
      <c r="A7409" s="27"/>
      <c r="B7409" s="110"/>
      <c r="D7409" s="409"/>
      <c r="E7409" s="13" t="s">
        <v>235</v>
      </c>
      <c r="F7409" s="14"/>
      <c r="G7409" s="410" t="s">
        <v>74</v>
      </c>
      <c r="H7409" s="548">
        <v>0.2</v>
      </c>
      <c r="I7409" s="412">
        <f>'BAHAN '!G163</f>
        <v>0</v>
      </c>
      <c r="J7409" s="16">
        <f>H7409*I7409</f>
        <v>0</v>
      </c>
    </row>
    <row r="7410" spans="1:10" ht="13.5" thickBot="1">
      <c r="A7410" s="27"/>
      <c r="B7410" s="110"/>
      <c r="D7410" s="409"/>
      <c r="E7410" s="13" t="s">
        <v>244</v>
      </c>
      <c r="F7410" s="14"/>
      <c r="G7410" s="410" t="s">
        <v>245</v>
      </c>
      <c r="H7410" s="548">
        <v>0.25</v>
      </c>
      <c r="I7410" s="412">
        <f>'BAHAN '!G12</f>
        <v>0</v>
      </c>
      <c r="J7410" s="16">
        <f>H7410*I7410</f>
        <v>0</v>
      </c>
    </row>
    <row r="7411" spans="1:10" ht="13.5" thickBot="1">
      <c r="A7411" s="27"/>
      <c r="B7411" s="110"/>
      <c r="D7411" s="417"/>
      <c r="E7411" s="418"/>
      <c r="F7411" s="418"/>
      <c r="G7411" s="419"/>
      <c r="H7411" s="420" t="s">
        <v>64</v>
      </c>
      <c r="I7411" s="421"/>
      <c r="J7411" s="396">
        <f>SUM(J7408:J7410)</f>
        <v>0</v>
      </c>
    </row>
    <row r="7412" spans="1:10" ht="13.5" thickBot="1">
      <c r="A7412" s="27"/>
      <c r="B7412" s="110"/>
      <c r="D7412" s="406" t="s">
        <v>65</v>
      </c>
      <c r="E7412" s="13" t="s">
        <v>66</v>
      </c>
      <c r="F7412" s="14"/>
      <c r="G7412" s="15"/>
      <c r="H7412" s="451"/>
      <c r="I7412" s="412">
        <f>IF(AND(E7412&lt;&gt;"",G7412&lt;&gt;""),IF(D7412="",IF(G7412="OH",VLOOKUP(E7412,UPAH!$C$4:$H$31,7,0),VLOOKUP(E7412,#REF!,4,0)),0),0)</f>
        <v>0</v>
      </c>
      <c r="J7412" s="16">
        <f>H7412*I7412</f>
        <v>0</v>
      </c>
    </row>
    <row r="7413" spans="1:10" ht="13.5" thickBot="1">
      <c r="A7413" s="27"/>
      <c r="B7413" s="110"/>
      <c r="D7413" s="417"/>
      <c r="E7413" s="418"/>
      <c r="F7413" s="418"/>
      <c r="G7413" s="419"/>
      <c r="H7413" s="420" t="s">
        <v>67</v>
      </c>
      <c r="I7413" s="421"/>
      <c r="J7413" s="396">
        <f>J7412</f>
        <v>0</v>
      </c>
    </row>
    <row r="7414" spans="1:10" ht="13">
      <c r="A7414" s="27"/>
      <c r="B7414" s="110"/>
      <c r="D7414" s="444" t="s">
        <v>68</v>
      </c>
      <c r="E7414" s="445" t="s">
        <v>69</v>
      </c>
      <c r="F7414" s="446"/>
      <c r="G7414" s="447"/>
      <c r="H7414" s="448"/>
      <c r="I7414" s="449">
        <f>IF(AND(E7414&lt;&gt;"",G7414&lt;&gt;""),IF(D7414="",IF(G7414="OH",VLOOKUP(E7414,UPAH!$C$4:$H$31,7,0),VLOOKUP(E7414,#REF!,4,0)),0),0)</f>
        <v>0</v>
      </c>
      <c r="J7414" s="16">
        <f>SUM(J7402:J7413)/2</f>
        <v>0</v>
      </c>
    </row>
    <row r="7415" spans="1:10" ht="13.5" thickBot="1">
      <c r="A7415" s="27"/>
      <c r="B7415" s="110"/>
      <c r="D7415" s="431" t="s">
        <v>70</v>
      </c>
      <c r="E7415" s="432" t="s">
        <v>477</v>
      </c>
      <c r="F7415" s="433"/>
      <c r="G7415" s="434"/>
      <c r="H7415" s="22">
        <v>0.1</v>
      </c>
      <c r="I7415" s="436"/>
      <c r="J7415" s="430">
        <f>H7415*J7414</f>
        <v>0</v>
      </c>
    </row>
    <row r="7416" spans="1:10" ht="13.5" thickBot="1">
      <c r="A7416" s="27"/>
      <c r="B7416" s="110"/>
      <c r="D7416" s="401" t="s">
        <v>71</v>
      </c>
      <c r="E7416" s="402" t="s">
        <v>72</v>
      </c>
      <c r="F7416" s="418"/>
      <c r="G7416" s="419"/>
      <c r="H7416" s="442"/>
      <c r="I7416" s="421">
        <f>IF(AND(E7416&lt;&gt;"",G7416&lt;&gt;""),IF(D7416="",IF(G7416="OH",VLOOKUP(E7416,UPAH!$C$4:$H$31,7,0),VLOOKUP(E7416,#REF!,4,0)),0),0)</f>
        <v>0</v>
      </c>
      <c r="J7416" s="396">
        <f>ROUNDDOWN(J7414+J7415,0)</f>
        <v>0</v>
      </c>
    </row>
    <row r="7417" spans="1:10" ht="13">
      <c r="A7417" s="27"/>
      <c r="B7417" s="110"/>
      <c r="D7417" s="11"/>
      <c r="E7417" s="11"/>
      <c r="H7417" s="443"/>
    </row>
    <row r="7418" spans="1:10" ht="13.5" thickBot="1">
      <c r="A7418" s="27"/>
      <c r="B7418" s="110"/>
      <c r="C7418" s="11" t="s">
        <v>1289</v>
      </c>
      <c r="D7418" s="10" t="s">
        <v>1290</v>
      </c>
      <c r="H7418" s="443"/>
    </row>
    <row r="7419" spans="1:10" ht="13.5" thickBot="1">
      <c r="A7419" s="27"/>
      <c r="B7419" s="110"/>
      <c r="D7419" s="401" t="s">
        <v>40</v>
      </c>
      <c r="E7419" s="402" t="s">
        <v>41</v>
      </c>
      <c r="F7419" s="402" t="s">
        <v>42</v>
      </c>
      <c r="G7419" s="403" t="s">
        <v>43</v>
      </c>
      <c r="H7419" s="404" t="s">
        <v>44</v>
      </c>
      <c r="I7419" s="402" t="s">
        <v>474</v>
      </c>
      <c r="J7419" s="405" t="s">
        <v>475</v>
      </c>
    </row>
    <row r="7420" spans="1:10" ht="13">
      <c r="A7420" s="27"/>
      <c r="B7420" s="110"/>
      <c r="D7420" s="406" t="s">
        <v>45</v>
      </c>
      <c r="E7420" s="13" t="s">
        <v>46</v>
      </c>
      <c r="F7420" s="14"/>
      <c r="G7420" s="15"/>
      <c r="H7420" s="451"/>
      <c r="I7420" s="412"/>
      <c r="J7420" s="16"/>
    </row>
    <row r="7421" spans="1:10" ht="13">
      <c r="A7421" s="27"/>
      <c r="B7421" s="110"/>
      <c r="D7421" s="409"/>
      <c r="E7421" s="13" t="s">
        <v>47</v>
      </c>
      <c r="F7421" s="13" t="s">
        <v>1918</v>
      </c>
      <c r="G7421" s="410" t="s">
        <v>48</v>
      </c>
      <c r="H7421" s="548">
        <v>0.02</v>
      </c>
      <c r="I7421" s="412">
        <f>IF(AND(E7421&lt;&gt;"",G7421&lt;&gt;""),IF(D7421="",IF(G7421="OH",VLOOKUP(F7421,UPAH!$B$4:$H$101,7,0),VLOOKUP(F7421,#REF!,4,0)),0),0)</f>
        <v>0</v>
      </c>
      <c r="J7421" s="16">
        <f>H7421*I7421</f>
        <v>0</v>
      </c>
    </row>
    <row r="7422" spans="1:10" ht="13">
      <c r="A7422" s="27"/>
      <c r="B7422" s="110"/>
      <c r="D7422" s="409"/>
      <c r="E7422" s="13" t="s">
        <v>230</v>
      </c>
      <c r="F7422" s="13" t="s">
        <v>1926</v>
      </c>
      <c r="G7422" s="410" t="s">
        <v>48</v>
      </c>
      <c r="H7422" s="548">
        <v>0.2</v>
      </c>
      <c r="I7422" s="412">
        <f>IF(AND(E7422&lt;&gt;"",G7422&lt;&gt;""),IF(D7422="",IF(G7422="OH",VLOOKUP(F7422,UPAH!$B$4:$H$101,7,0),VLOOKUP(F7422,#REF!,4,0)),0),0)</f>
        <v>0</v>
      </c>
      <c r="J7422" s="16">
        <f>H7422*I7422</f>
        <v>0</v>
      </c>
    </row>
    <row r="7423" spans="1:10" ht="13">
      <c r="A7423" s="27"/>
      <c r="B7423" s="110"/>
      <c r="D7423" s="409"/>
      <c r="E7423" s="13" t="s">
        <v>50</v>
      </c>
      <c r="F7423" s="13" t="s">
        <v>1928</v>
      </c>
      <c r="G7423" s="410" t="s">
        <v>48</v>
      </c>
      <c r="H7423" s="548">
        <v>0.02</v>
      </c>
      <c r="I7423" s="412">
        <f>IF(AND(E7423&lt;&gt;"",G7423&lt;&gt;""),IF(D7423="",IF(G7423="OH",VLOOKUP(F7423,UPAH!$B$4:$H$101,7,0),VLOOKUP(F7423,#REF!,4,0)),0),0)</f>
        <v>0</v>
      </c>
      <c r="J7423" s="16">
        <f>H7423*I7423</f>
        <v>0</v>
      </c>
    </row>
    <row r="7424" spans="1:10" ht="13.5" thickBot="1">
      <c r="A7424" s="27"/>
      <c r="B7424" s="110"/>
      <c r="D7424" s="409"/>
      <c r="E7424" s="13" t="s">
        <v>51</v>
      </c>
      <c r="F7424" s="13" t="s">
        <v>1929</v>
      </c>
      <c r="G7424" s="410" t="s">
        <v>48</v>
      </c>
      <c r="H7424" s="548">
        <v>2.5000000000000001E-3</v>
      </c>
      <c r="I7424" s="412">
        <f>IF(AND(E7424&lt;&gt;"",G7424&lt;&gt;""),IF(D7424="",IF(G7424="OH",VLOOKUP(F7424,UPAH!$B$4:$H$101,7,0),VLOOKUP(F7424,#REF!,4,0)),0),0)</f>
        <v>0</v>
      </c>
      <c r="J7424" s="16">
        <f>H7424*I7424</f>
        <v>0</v>
      </c>
    </row>
    <row r="7425" spans="1:10" ht="13.5" thickBot="1">
      <c r="A7425" s="27"/>
      <c r="B7425" s="110"/>
      <c r="D7425" s="417"/>
      <c r="E7425" s="418"/>
      <c r="F7425" s="418"/>
      <c r="G7425" s="419"/>
      <c r="H7425" s="420" t="s">
        <v>52</v>
      </c>
      <c r="I7425" s="421"/>
      <c r="J7425" s="396">
        <f>SUM(J7421:J7424)</f>
        <v>0</v>
      </c>
    </row>
    <row r="7426" spans="1:10" ht="13">
      <c r="A7426" s="27"/>
      <c r="B7426" s="110"/>
      <c r="D7426" s="406" t="s">
        <v>53</v>
      </c>
      <c r="E7426" s="13" t="s">
        <v>54</v>
      </c>
      <c r="F7426" s="14"/>
      <c r="G7426" s="15"/>
      <c r="H7426" s="451"/>
      <c r="I7426" s="412"/>
      <c r="J7426" s="16"/>
    </row>
    <row r="7427" spans="1:10" ht="13">
      <c r="A7427" s="27"/>
      <c r="B7427" s="110"/>
      <c r="D7427" s="409"/>
      <c r="E7427" s="13" t="s">
        <v>172</v>
      </c>
      <c r="F7427" s="14"/>
      <c r="G7427" s="410" t="s">
        <v>376</v>
      </c>
      <c r="H7427" s="548">
        <v>1.2</v>
      </c>
      <c r="I7427" s="412">
        <f>'BAHAN '!G740</f>
        <v>0</v>
      </c>
      <c r="J7427" s="16">
        <f>H7427*I7427</f>
        <v>0</v>
      </c>
    </row>
    <row r="7428" spans="1:10" ht="13.5" thickBot="1">
      <c r="A7428" s="27"/>
      <c r="B7428" s="110"/>
      <c r="D7428" s="409"/>
      <c r="E7428" s="13" t="s">
        <v>502</v>
      </c>
      <c r="F7428" s="14"/>
      <c r="G7428" s="410" t="s">
        <v>57</v>
      </c>
      <c r="H7428" s="548">
        <v>0.2</v>
      </c>
      <c r="I7428" s="412">
        <f>'BAHAN '!G816</f>
        <v>0</v>
      </c>
      <c r="J7428" s="16">
        <f>H7428*I7428</f>
        <v>0</v>
      </c>
    </row>
    <row r="7429" spans="1:10" ht="13.5" thickBot="1">
      <c r="A7429" s="27"/>
      <c r="B7429" s="110"/>
      <c r="D7429" s="417"/>
      <c r="E7429" s="418"/>
      <c r="F7429" s="418"/>
      <c r="G7429" s="419"/>
      <c r="H7429" s="420" t="s">
        <v>64</v>
      </c>
      <c r="I7429" s="421"/>
      <c r="J7429" s="396">
        <f>SUM(J7427:J7428)</f>
        <v>0</v>
      </c>
    </row>
    <row r="7430" spans="1:10" ht="13.5" thickBot="1">
      <c r="A7430" s="27"/>
      <c r="B7430" s="110"/>
      <c r="D7430" s="406" t="s">
        <v>65</v>
      </c>
      <c r="E7430" s="13" t="s">
        <v>66</v>
      </c>
      <c r="F7430" s="14"/>
      <c r="G7430" s="15"/>
      <c r="H7430" s="451"/>
      <c r="I7430" s="412">
        <f>IF(AND(E7430&lt;&gt;"",G7430&lt;&gt;""),IF(D7430="",IF(G7430="OH",VLOOKUP(E7430,UPAH!$C$4:$H$31,7,0),VLOOKUP(E7430,#REF!,4,0)),0),0)</f>
        <v>0</v>
      </c>
      <c r="J7430" s="16">
        <f>H7430*I7430</f>
        <v>0</v>
      </c>
    </row>
    <row r="7431" spans="1:10" ht="13.5" thickBot="1">
      <c r="A7431" s="27"/>
      <c r="B7431" s="110"/>
      <c r="D7431" s="417"/>
      <c r="E7431" s="418"/>
      <c r="F7431" s="418"/>
      <c r="G7431" s="419"/>
      <c r="H7431" s="420" t="s">
        <v>67</v>
      </c>
      <c r="I7431" s="421"/>
      <c r="J7431" s="396">
        <f>J7430</f>
        <v>0</v>
      </c>
    </row>
    <row r="7432" spans="1:10" ht="13">
      <c r="A7432" s="27"/>
      <c r="B7432" s="110"/>
      <c r="D7432" s="444" t="s">
        <v>68</v>
      </c>
      <c r="E7432" s="445" t="s">
        <v>69</v>
      </c>
      <c r="F7432" s="446"/>
      <c r="G7432" s="447"/>
      <c r="H7432" s="448"/>
      <c r="I7432" s="449">
        <f>IF(AND(E7432&lt;&gt;"",G7432&lt;&gt;""),IF(D7432="",IF(G7432="OH",VLOOKUP(E7432,UPAH!$C$4:$H$31,7,0),VLOOKUP(E7432,#REF!,4,0)),0),0)</f>
        <v>0</v>
      </c>
      <c r="J7432" s="16">
        <f>SUM(J7421:J7431)/2</f>
        <v>0</v>
      </c>
    </row>
    <row r="7433" spans="1:10" ht="13.5" thickBot="1">
      <c r="A7433" s="27"/>
      <c r="B7433" s="110"/>
      <c r="D7433" s="431" t="s">
        <v>70</v>
      </c>
      <c r="E7433" s="432" t="s">
        <v>477</v>
      </c>
      <c r="F7433" s="433"/>
      <c r="G7433" s="434"/>
      <c r="H7433" s="22">
        <v>0.1</v>
      </c>
      <c r="I7433" s="436"/>
      <c r="J7433" s="430">
        <f>H7433*J7432</f>
        <v>0</v>
      </c>
    </row>
    <row r="7434" spans="1:10" ht="13.5" thickBot="1">
      <c r="A7434" s="27"/>
      <c r="B7434" s="110"/>
      <c r="D7434" s="401" t="s">
        <v>71</v>
      </c>
      <c r="E7434" s="402" t="s">
        <v>72</v>
      </c>
      <c r="F7434" s="418"/>
      <c r="G7434" s="419"/>
      <c r="H7434" s="442"/>
      <c r="I7434" s="421">
        <f>IF(AND(E7434&lt;&gt;"",G7434&lt;&gt;""),IF(D7434="",IF(G7434="OH",VLOOKUP(E7434,UPAH!$C$4:$H$31,7,0),VLOOKUP(E7434,#REF!,4,0)),0),0)</f>
        <v>0</v>
      </c>
      <c r="J7434" s="396">
        <f>ROUNDDOWN(J7432+J7433,0)</f>
        <v>0</v>
      </c>
    </row>
    <row r="7435" spans="1:10" ht="13">
      <c r="A7435" s="27"/>
      <c r="B7435" s="110"/>
      <c r="D7435" s="11"/>
      <c r="E7435" s="11"/>
      <c r="H7435" s="443"/>
    </row>
    <row r="7436" spans="1:10" ht="13.5" thickBot="1">
      <c r="A7436" s="27"/>
      <c r="B7436" s="110"/>
      <c r="C7436" s="11" t="s">
        <v>1291</v>
      </c>
      <c r="D7436" s="10" t="s">
        <v>1292</v>
      </c>
      <c r="H7436" s="443"/>
    </row>
    <row r="7437" spans="1:10" ht="13.5" thickBot="1">
      <c r="A7437" s="27"/>
      <c r="B7437" s="110"/>
      <c r="D7437" s="401" t="s">
        <v>40</v>
      </c>
      <c r="E7437" s="402" t="s">
        <v>41</v>
      </c>
      <c r="F7437" s="402" t="s">
        <v>42</v>
      </c>
      <c r="G7437" s="403" t="s">
        <v>43</v>
      </c>
      <c r="H7437" s="404" t="s">
        <v>44</v>
      </c>
      <c r="I7437" s="402" t="s">
        <v>474</v>
      </c>
      <c r="J7437" s="405" t="s">
        <v>475</v>
      </c>
    </row>
    <row r="7438" spans="1:10" ht="13">
      <c r="A7438" s="27"/>
      <c r="B7438" s="110"/>
      <c r="D7438" s="406" t="s">
        <v>45</v>
      </c>
      <c r="E7438" s="13" t="s">
        <v>46</v>
      </c>
      <c r="F7438" s="14"/>
      <c r="G7438" s="15"/>
      <c r="H7438" s="451"/>
      <c r="I7438" s="412"/>
      <c r="J7438" s="16"/>
    </row>
    <row r="7439" spans="1:10" ht="13">
      <c r="A7439" s="27"/>
      <c r="B7439" s="110"/>
      <c r="D7439" s="409"/>
      <c r="E7439" s="13" t="s">
        <v>47</v>
      </c>
      <c r="F7439" s="13" t="s">
        <v>1918</v>
      </c>
      <c r="G7439" s="410" t="s">
        <v>48</v>
      </c>
      <c r="H7439" s="548">
        <v>0.02</v>
      </c>
      <c r="I7439" s="412">
        <f>IF(AND(E7439&lt;&gt;"",G7439&lt;&gt;""),IF(D7439="",IF(G7439="OH",VLOOKUP(F7439,UPAH!$B$4:$H$101,7,0),VLOOKUP(F7439,#REF!,4,0)),0),0)</f>
        <v>0</v>
      </c>
      <c r="J7439" s="16">
        <f>H7439*I7439</f>
        <v>0</v>
      </c>
    </row>
    <row r="7440" spans="1:10" ht="13">
      <c r="A7440" s="27"/>
      <c r="B7440" s="110"/>
      <c r="D7440" s="409"/>
      <c r="E7440" s="13" t="s">
        <v>230</v>
      </c>
      <c r="F7440" s="13" t="s">
        <v>1926</v>
      </c>
      <c r="G7440" s="410" t="s">
        <v>48</v>
      </c>
      <c r="H7440" s="548">
        <v>0.2</v>
      </c>
      <c r="I7440" s="412">
        <f>IF(AND(E7440&lt;&gt;"",G7440&lt;&gt;""),IF(D7440="",IF(G7440="OH",VLOOKUP(F7440,UPAH!$B$4:$H$101,7,0),VLOOKUP(F7440,#REF!,4,0)),0),0)</f>
        <v>0</v>
      </c>
      <c r="J7440" s="16">
        <f>H7440*I7440</f>
        <v>0</v>
      </c>
    </row>
    <row r="7441" spans="1:10" ht="13">
      <c r="A7441" s="27"/>
      <c r="B7441" s="110"/>
      <c r="D7441" s="409"/>
      <c r="E7441" s="13" t="s">
        <v>50</v>
      </c>
      <c r="F7441" s="13" t="s">
        <v>1928</v>
      </c>
      <c r="G7441" s="410" t="s">
        <v>48</v>
      </c>
      <c r="H7441" s="548">
        <v>0.02</v>
      </c>
      <c r="I7441" s="412">
        <f>IF(AND(E7441&lt;&gt;"",G7441&lt;&gt;""),IF(D7441="",IF(G7441="OH",VLOOKUP(F7441,UPAH!$B$4:$H$101,7,0),VLOOKUP(F7441,#REF!,4,0)),0),0)</f>
        <v>0</v>
      </c>
      <c r="J7441" s="16">
        <f>H7441*I7441</f>
        <v>0</v>
      </c>
    </row>
    <row r="7442" spans="1:10" ht="13.5" thickBot="1">
      <c r="A7442" s="27"/>
      <c r="B7442" s="110"/>
      <c r="D7442" s="409"/>
      <c r="E7442" s="13" t="s">
        <v>51</v>
      </c>
      <c r="F7442" s="13" t="s">
        <v>1929</v>
      </c>
      <c r="G7442" s="410" t="s">
        <v>48</v>
      </c>
      <c r="H7442" s="548">
        <v>2.5000000000000001E-3</v>
      </c>
      <c r="I7442" s="412">
        <f>IF(AND(E7442&lt;&gt;"",G7442&lt;&gt;""),IF(D7442="",IF(G7442="OH",VLOOKUP(F7442,UPAH!$B$4:$H$101,7,0),VLOOKUP(F7442,#REF!,4,0)),0),0)</f>
        <v>0</v>
      </c>
      <c r="J7442" s="16">
        <f>H7442*I7442</f>
        <v>0</v>
      </c>
    </row>
    <row r="7443" spans="1:10" ht="13.5" thickBot="1">
      <c r="A7443" s="27"/>
      <c r="B7443" s="110"/>
      <c r="D7443" s="417"/>
      <c r="E7443" s="418"/>
      <c r="F7443" s="418"/>
      <c r="G7443" s="419"/>
      <c r="H7443" s="420" t="s">
        <v>52</v>
      </c>
      <c r="I7443" s="421"/>
      <c r="J7443" s="396">
        <f>SUM(J7439:J7442)</f>
        <v>0</v>
      </c>
    </row>
    <row r="7444" spans="1:10" ht="13">
      <c r="A7444" s="27"/>
      <c r="B7444" s="110"/>
      <c r="D7444" s="406" t="s">
        <v>53</v>
      </c>
      <c r="E7444" s="13" t="s">
        <v>54</v>
      </c>
      <c r="F7444" s="14"/>
      <c r="G7444" s="15"/>
      <c r="H7444" s="451"/>
      <c r="I7444" s="412"/>
      <c r="J7444" s="16"/>
    </row>
    <row r="7445" spans="1:10" ht="13">
      <c r="A7445" s="27"/>
      <c r="B7445" s="110"/>
      <c r="D7445" s="409"/>
      <c r="E7445" s="13" t="s">
        <v>246</v>
      </c>
      <c r="F7445" s="14"/>
      <c r="G7445" s="410" t="s">
        <v>57</v>
      </c>
      <c r="H7445" s="548">
        <v>0.1</v>
      </c>
      <c r="I7445" s="412">
        <f>'BAHAN '!G167</f>
        <v>0</v>
      </c>
      <c r="J7445" s="16">
        <f>H7445*I7445</f>
        <v>0</v>
      </c>
    </row>
    <row r="7446" spans="1:10" ht="13.5" thickBot="1">
      <c r="A7446" s="27"/>
      <c r="B7446" s="110"/>
      <c r="D7446" s="409"/>
      <c r="E7446" s="13" t="s">
        <v>233</v>
      </c>
      <c r="F7446" s="14"/>
      <c r="G7446" s="410" t="s">
        <v>87</v>
      </c>
      <c r="H7446" s="548">
        <v>0.01</v>
      </c>
      <c r="I7446" s="412">
        <f>'BAHAN '!G179</f>
        <v>0</v>
      </c>
      <c r="J7446" s="16">
        <f>H7446*I7446</f>
        <v>0</v>
      </c>
    </row>
    <row r="7447" spans="1:10" ht="13.5" thickBot="1">
      <c r="A7447" s="27"/>
      <c r="B7447" s="110"/>
      <c r="D7447" s="417"/>
      <c r="E7447" s="418"/>
      <c r="F7447" s="418"/>
      <c r="G7447" s="419"/>
      <c r="H7447" s="420" t="s">
        <v>64</v>
      </c>
      <c r="I7447" s="421"/>
      <c r="J7447" s="396">
        <f>SUM(J7445:J7446)</f>
        <v>0</v>
      </c>
    </row>
    <row r="7448" spans="1:10" ht="13.5" thickBot="1">
      <c r="A7448" s="27"/>
      <c r="B7448" s="110"/>
      <c r="D7448" s="406" t="s">
        <v>65</v>
      </c>
      <c r="E7448" s="13" t="s">
        <v>66</v>
      </c>
      <c r="F7448" s="14"/>
      <c r="G7448" s="15"/>
      <c r="H7448" s="451"/>
      <c r="I7448" s="412">
        <f>IF(AND(E7448&lt;&gt;"",G7448&lt;&gt;""),IF(D7448="",IF(G7448="OH",VLOOKUP(E7448,UPAH!$C$4:$H$31,7,0),VLOOKUP(E7448,#REF!,4,0)),0),0)</f>
        <v>0</v>
      </c>
      <c r="J7448" s="16">
        <f>H7448*I7448</f>
        <v>0</v>
      </c>
    </row>
    <row r="7449" spans="1:10" ht="13.5" thickBot="1">
      <c r="A7449" s="27"/>
      <c r="B7449" s="110"/>
      <c r="D7449" s="417"/>
      <c r="E7449" s="418"/>
      <c r="F7449" s="418"/>
      <c r="G7449" s="419"/>
      <c r="H7449" s="420" t="s">
        <v>67</v>
      </c>
      <c r="I7449" s="421"/>
      <c r="J7449" s="396">
        <f>J7448</f>
        <v>0</v>
      </c>
    </row>
    <row r="7450" spans="1:10" ht="13">
      <c r="A7450" s="27"/>
      <c r="B7450" s="110"/>
      <c r="D7450" s="444" t="s">
        <v>68</v>
      </c>
      <c r="E7450" s="445" t="s">
        <v>69</v>
      </c>
      <c r="F7450" s="446"/>
      <c r="G7450" s="447"/>
      <c r="H7450" s="448"/>
      <c r="I7450" s="449">
        <f>IF(AND(E7450&lt;&gt;"",G7450&lt;&gt;""),IF(D7450="",IF(G7450="OH",VLOOKUP(E7450,UPAH!$C$4:$H$31,7,0),VLOOKUP(E7450,#REF!,4,0)),0),0)</f>
        <v>0</v>
      </c>
      <c r="J7450" s="16">
        <f>SUM(J7439:J7449)/2</f>
        <v>0</v>
      </c>
    </row>
    <row r="7451" spans="1:10" ht="13.5" thickBot="1">
      <c r="A7451" s="27"/>
      <c r="B7451" s="110"/>
      <c r="D7451" s="431" t="s">
        <v>70</v>
      </c>
      <c r="E7451" s="432" t="s">
        <v>477</v>
      </c>
      <c r="F7451" s="433"/>
      <c r="G7451" s="434"/>
      <c r="H7451" s="22">
        <v>0.1</v>
      </c>
      <c r="I7451" s="436"/>
      <c r="J7451" s="430">
        <f>H7451*J7450</f>
        <v>0</v>
      </c>
    </row>
    <row r="7452" spans="1:10" ht="13.5" thickBot="1">
      <c r="A7452" s="27"/>
      <c r="B7452" s="110"/>
      <c r="D7452" s="401" t="s">
        <v>71</v>
      </c>
      <c r="E7452" s="402" t="s">
        <v>72</v>
      </c>
      <c r="F7452" s="418"/>
      <c r="G7452" s="419"/>
      <c r="H7452" s="442"/>
      <c r="I7452" s="421">
        <f>IF(AND(E7452&lt;&gt;"",G7452&lt;&gt;""),IF(D7452="",IF(G7452="OH",VLOOKUP(E7452,UPAH!$C$4:$H$31,7,0),VLOOKUP(E7452,#REF!,4,0)),0),0)</f>
        <v>0</v>
      </c>
      <c r="J7452" s="396">
        <f>ROUNDDOWN(J7450+J7451,0)</f>
        <v>0</v>
      </c>
    </row>
    <row r="7453" spans="1:10" ht="13">
      <c r="A7453" s="27"/>
      <c r="B7453" s="110"/>
      <c r="D7453" s="11"/>
      <c r="E7453" s="11"/>
      <c r="H7453" s="443"/>
    </row>
    <row r="7454" spans="1:10" ht="13.5" thickBot="1">
      <c r="A7454" s="27"/>
      <c r="B7454" s="110"/>
      <c r="C7454" s="11" t="s">
        <v>1293</v>
      </c>
      <c r="D7454" s="10" t="s">
        <v>1294</v>
      </c>
      <c r="H7454" s="443"/>
    </row>
    <row r="7455" spans="1:10" ht="13.5" thickBot="1">
      <c r="A7455" s="27"/>
      <c r="B7455" s="110"/>
      <c r="D7455" s="401" t="s">
        <v>40</v>
      </c>
      <c r="E7455" s="402" t="s">
        <v>41</v>
      </c>
      <c r="F7455" s="402" t="s">
        <v>42</v>
      </c>
      <c r="G7455" s="403" t="s">
        <v>43</v>
      </c>
      <c r="H7455" s="404" t="s">
        <v>44</v>
      </c>
      <c r="I7455" s="402" t="s">
        <v>474</v>
      </c>
      <c r="J7455" s="405" t="s">
        <v>475</v>
      </c>
    </row>
    <row r="7456" spans="1:10" ht="13">
      <c r="A7456" s="27"/>
      <c r="B7456" s="110"/>
      <c r="D7456" s="406" t="s">
        <v>45</v>
      </c>
      <c r="E7456" s="13" t="s">
        <v>46</v>
      </c>
      <c r="F7456" s="14"/>
      <c r="G7456" s="15"/>
      <c r="H7456" s="451"/>
      <c r="I7456" s="412"/>
      <c r="J7456" s="16"/>
    </row>
    <row r="7457" spans="1:10" ht="13">
      <c r="A7457" s="27"/>
      <c r="B7457" s="110"/>
      <c r="D7457" s="409"/>
      <c r="E7457" s="13" t="s">
        <v>47</v>
      </c>
      <c r="F7457" s="13" t="s">
        <v>1918</v>
      </c>
      <c r="G7457" s="410" t="s">
        <v>48</v>
      </c>
      <c r="H7457" s="548">
        <v>0.25</v>
      </c>
      <c r="I7457" s="412">
        <f>IF(AND(E7457&lt;&gt;"",G7457&lt;&gt;""),IF(D7457="",IF(G7457="OH",VLOOKUP(F7457,UPAH!$B$4:$H$101,7,0),VLOOKUP(F7457,#REF!,4,0)),0),0)</f>
        <v>0</v>
      </c>
      <c r="J7457" s="16">
        <f>H7457*I7457</f>
        <v>0</v>
      </c>
    </row>
    <row r="7458" spans="1:10" ht="13">
      <c r="A7458" s="27"/>
      <c r="B7458" s="110"/>
      <c r="D7458" s="409"/>
      <c r="E7458" s="13" t="s">
        <v>230</v>
      </c>
      <c r="F7458" s="13" t="s">
        <v>1926</v>
      </c>
      <c r="G7458" s="410" t="s">
        <v>48</v>
      </c>
      <c r="H7458" s="548">
        <v>0.22500000000000001</v>
      </c>
      <c r="I7458" s="412">
        <f>IF(AND(E7458&lt;&gt;"",G7458&lt;&gt;""),IF(D7458="",IF(G7458="OH",VLOOKUP(F7458,UPAH!$B$4:$H$101,7,0),VLOOKUP(F7458,#REF!,4,0)),0),0)</f>
        <v>0</v>
      </c>
      <c r="J7458" s="16">
        <f>H7458*I7458</f>
        <v>0</v>
      </c>
    </row>
    <row r="7459" spans="1:10" ht="13">
      <c r="A7459" s="27"/>
      <c r="B7459" s="110"/>
      <c r="D7459" s="409"/>
      <c r="E7459" s="13" t="s">
        <v>50</v>
      </c>
      <c r="F7459" s="13" t="s">
        <v>1928</v>
      </c>
      <c r="G7459" s="410" t="s">
        <v>48</v>
      </c>
      <c r="H7459" s="548">
        <v>2.2499999999999999E-2</v>
      </c>
      <c r="I7459" s="412">
        <f>IF(AND(E7459&lt;&gt;"",G7459&lt;&gt;""),IF(D7459="",IF(G7459="OH",VLOOKUP(F7459,UPAH!$B$4:$H$101,7,0),VLOOKUP(F7459,#REF!,4,0)),0),0)</f>
        <v>0</v>
      </c>
      <c r="J7459" s="16">
        <f>H7459*I7459</f>
        <v>0</v>
      </c>
    </row>
    <row r="7460" spans="1:10" ht="13.5" thickBot="1">
      <c r="A7460" s="27"/>
      <c r="B7460" s="110"/>
      <c r="D7460" s="409"/>
      <c r="E7460" s="13" t="s">
        <v>51</v>
      </c>
      <c r="F7460" s="13" t="s">
        <v>1929</v>
      </c>
      <c r="G7460" s="410" t="s">
        <v>48</v>
      </c>
      <c r="H7460" s="548">
        <v>7.4999999999999997E-3</v>
      </c>
      <c r="I7460" s="412">
        <f>IF(AND(E7460&lt;&gt;"",G7460&lt;&gt;""),IF(D7460="",IF(G7460="OH",VLOOKUP(F7460,UPAH!$B$4:$H$101,7,0),VLOOKUP(F7460,#REF!,4,0)),0),0)</f>
        <v>0</v>
      </c>
      <c r="J7460" s="16">
        <f>H7460*I7460</f>
        <v>0</v>
      </c>
    </row>
    <row r="7461" spans="1:10" ht="13.5" thickBot="1">
      <c r="A7461" s="27"/>
      <c r="B7461" s="110"/>
      <c r="D7461" s="417"/>
      <c r="E7461" s="418"/>
      <c r="F7461" s="418"/>
      <c r="G7461" s="419"/>
      <c r="H7461" s="420" t="s">
        <v>52</v>
      </c>
      <c r="I7461" s="421"/>
      <c r="J7461" s="396">
        <f>SUM(J7457:J7460)</f>
        <v>0</v>
      </c>
    </row>
    <row r="7462" spans="1:10" ht="13">
      <c r="A7462" s="27"/>
      <c r="B7462" s="110"/>
      <c r="D7462" s="406" t="s">
        <v>53</v>
      </c>
      <c r="E7462" s="13" t="s">
        <v>54</v>
      </c>
      <c r="F7462" s="14"/>
      <c r="G7462" s="15"/>
      <c r="H7462" s="451"/>
      <c r="I7462" s="412"/>
      <c r="J7462" s="16"/>
    </row>
    <row r="7463" spans="1:10" ht="13">
      <c r="A7463" s="27"/>
      <c r="B7463" s="110"/>
      <c r="D7463" s="409"/>
      <c r="E7463" s="13" t="s">
        <v>246</v>
      </c>
      <c r="F7463" s="14"/>
      <c r="G7463" s="410" t="s">
        <v>57</v>
      </c>
      <c r="H7463" s="548">
        <v>0.1</v>
      </c>
      <c r="I7463" s="412">
        <f>'BAHAN '!G167</f>
        <v>0</v>
      </c>
      <c r="J7463" s="16">
        <f>H7463*I7463</f>
        <v>0</v>
      </c>
    </row>
    <row r="7464" spans="1:10" ht="13">
      <c r="A7464" s="27"/>
      <c r="B7464" s="110"/>
      <c r="D7464" s="409"/>
      <c r="E7464" s="13" t="s">
        <v>234</v>
      </c>
      <c r="F7464" s="14"/>
      <c r="G7464" s="410" t="s">
        <v>127</v>
      </c>
      <c r="H7464" s="548">
        <v>0.01</v>
      </c>
      <c r="I7464" s="412">
        <f>'BAHAN '!G181</f>
        <v>0</v>
      </c>
      <c r="J7464" s="16">
        <f>H7464*I7464</f>
        <v>0</v>
      </c>
    </row>
    <row r="7465" spans="1:10" ht="13">
      <c r="A7465" s="27"/>
      <c r="B7465" s="110"/>
      <c r="D7465" s="409"/>
      <c r="E7465" s="13" t="s">
        <v>233</v>
      </c>
      <c r="F7465" s="14"/>
      <c r="G7465" s="410" t="s">
        <v>87</v>
      </c>
      <c r="H7465" s="548">
        <v>0.01</v>
      </c>
      <c r="I7465" s="412">
        <f>'BAHAN '!G179</f>
        <v>0</v>
      </c>
      <c r="J7465" s="16">
        <f>H7465*I7465</f>
        <v>0</v>
      </c>
    </row>
    <row r="7466" spans="1:10" ht="13.5" thickBot="1">
      <c r="A7466" s="27"/>
      <c r="B7466" s="110"/>
      <c r="D7466" s="409"/>
      <c r="E7466" s="13" t="s">
        <v>247</v>
      </c>
      <c r="F7466" s="14"/>
      <c r="G7466" s="410" t="s">
        <v>375</v>
      </c>
      <c r="H7466" s="548">
        <v>2E-3</v>
      </c>
      <c r="I7466" s="412">
        <f>'BAHAN '!G202</f>
        <v>0</v>
      </c>
      <c r="J7466" s="16">
        <f>H7466*I7466</f>
        <v>0</v>
      </c>
    </row>
    <row r="7467" spans="1:10" ht="13.5" thickBot="1">
      <c r="A7467" s="27"/>
      <c r="B7467" s="110"/>
      <c r="D7467" s="417"/>
      <c r="E7467" s="418"/>
      <c r="F7467" s="418"/>
      <c r="G7467" s="419"/>
      <c r="H7467" s="420" t="s">
        <v>64</v>
      </c>
      <c r="I7467" s="421"/>
      <c r="J7467" s="396">
        <f>SUM(J7463:J7466)</f>
        <v>0</v>
      </c>
    </row>
    <row r="7468" spans="1:10" ht="13.5" thickBot="1">
      <c r="A7468" s="27"/>
      <c r="B7468" s="110"/>
      <c r="D7468" s="406" t="s">
        <v>65</v>
      </c>
      <c r="E7468" s="13" t="s">
        <v>66</v>
      </c>
      <c r="F7468" s="14"/>
      <c r="G7468" s="15"/>
      <c r="H7468" s="451"/>
      <c r="I7468" s="412">
        <f>IF(AND(E7468&lt;&gt;"",G7468&lt;&gt;""),IF(D7468="",IF(G7468="OH",VLOOKUP(E7468,UPAH!$C$4:$H$31,7,0),VLOOKUP(E7468,#REF!,4,0)),0),0)</f>
        <v>0</v>
      </c>
      <c r="J7468" s="16">
        <f>H7468*I7468</f>
        <v>0</v>
      </c>
    </row>
    <row r="7469" spans="1:10" ht="13.5" thickBot="1">
      <c r="A7469" s="27"/>
      <c r="B7469" s="110"/>
      <c r="D7469" s="417"/>
      <c r="E7469" s="418"/>
      <c r="F7469" s="418"/>
      <c r="G7469" s="419"/>
      <c r="H7469" s="420" t="s">
        <v>67</v>
      </c>
      <c r="I7469" s="421"/>
      <c r="J7469" s="396">
        <f>J7468</f>
        <v>0</v>
      </c>
    </row>
    <row r="7470" spans="1:10" ht="13">
      <c r="A7470" s="27"/>
      <c r="B7470" s="110"/>
      <c r="D7470" s="444" t="s">
        <v>68</v>
      </c>
      <c r="E7470" s="445" t="s">
        <v>69</v>
      </c>
      <c r="F7470" s="446"/>
      <c r="G7470" s="447"/>
      <c r="H7470" s="448"/>
      <c r="I7470" s="449">
        <f>IF(AND(E7470&lt;&gt;"",G7470&lt;&gt;""),IF(D7470="",IF(G7470="OH",VLOOKUP(E7470,UPAH!$C$4:$H$31,7,0),VLOOKUP(E7470,#REF!,4,0)),0),0)</f>
        <v>0</v>
      </c>
      <c r="J7470" s="16">
        <f>SUM(J7457:J7469)/2</f>
        <v>0</v>
      </c>
    </row>
    <row r="7471" spans="1:10" ht="13.5" thickBot="1">
      <c r="A7471" s="27"/>
      <c r="B7471" s="110"/>
      <c r="D7471" s="431" t="s">
        <v>70</v>
      </c>
      <c r="E7471" s="432" t="s">
        <v>477</v>
      </c>
      <c r="F7471" s="433"/>
      <c r="G7471" s="434"/>
      <c r="H7471" s="22">
        <v>0.1</v>
      </c>
      <c r="I7471" s="436"/>
      <c r="J7471" s="430">
        <f>H7471*J7470</f>
        <v>0</v>
      </c>
    </row>
    <row r="7472" spans="1:10" ht="13.5" thickBot="1">
      <c r="A7472" s="27"/>
      <c r="B7472" s="110"/>
      <c r="D7472" s="401" t="s">
        <v>71</v>
      </c>
      <c r="E7472" s="402" t="s">
        <v>72</v>
      </c>
      <c r="F7472" s="418"/>
      <c r="G7472" s="419"/>
      <c r="H7472" s="442"/>
      <c r="I7472" s="421">
        <f>IF(AND(E7472&lt;&gt;"",G7472&lt;&gt;""),IF(D7472="",IF(G7472="OH",VLOOKUP(E7472,UPAH!$C$4:$H$31,7,0),VLOOKUP(E7472,#REF!,4,0)),0),0)</f>
        <v>0</v>
      </c>
      <c r="J7472" s="396">
        <f>ROUNDDOWN(J7470+J7471,0)</f>
        <v>0</v>
      </c>
    </row>
    <row r="7473" spans="1:10" ht="13">
      <c r="A7473" s="27"/>
      <c r="B7473" s="110"/>
      <c r="D7473" s="11"/>
      <c r="E7473" s="11"/>
      <c r="H7473" s="443"/>
    </row>
    <row r="7474" spans="1:10" ht="13.5" thickBot="1">
      <c r="A7474" s="27"/>
      <c r="B7474" s="110"/>
      <c r="C7474" s="11" t="s">
        <v>1295</v>
      </c>
      <c r="D7474" s="10" t="s">
        <v>1296</v>
      </c>
      <c r="H7474" s="443"/>
    </row>
    <row r="7475" spans="1:10" ht="13.5" thickBot="1">
      <c r="A7475" s="27"/>
      <c r="B7475" s="110"/>
      <c r="D7475" s="401" t="s">
        <v>40</v>
      </c>
      <c r="E7475" s="402" t="s">
        <v>41</v>
      </c>
      <c r="F7475" s="402" t="s">
        <v>42</v>
      </c>
      <c r="G7475" s="403" t="s">
        <v>43</v>
      </c>
      <c r="H7475" s="404" t="s">
        <v>44</v>
      </c>
      <c r="I7475" s="402" t="s">
        <v>474</v>
      </c>
      <c r="J7475" s="405" t="s">
        <v>475</v>
      </c>
    </row>
    <row r="7476" spans="1:10" ht="13">
      <c r="A7476" s="27"/>
      <c r="B7476" s="110"/>
      <c r="D7476" s="406" t="s">
        <v>45</v>
      </c>
      <c r="E7476" s="13" t="s">
        <v>46</v>
      </c>
      <c r="F7476" s="14"/>
      <c r="G7476" s="15"/>
      <c r="H7476" s="451"/>
      <c r="I7476" s="412"/>
      <c r="J7476" s="16"/>
    </row>
    <row r="7477" spans="1:10" ht="13">
      <c r="A7477" s="27"/>
      <c r="B7477" s="110"/>
      <c r="D7477" s="409"/>
      <c r="E7477" s="13" t="s">
        <v>47</v>
      </c>
      <c r="F7477" s="13" t="s">
        <v>1918</v>
      </c>
      <c r="G7477" s="410" t="s">
        <v>48</v>
      </c>
      <c r="H7477" s="548">
        <v>0.25</v>
      </c>
      <c r="I7477" s="412">
        <f>IF(AND(E7477&lt;&gt;"",G7477&lt;&gt;""),IF(D7477="",IF(G7477="OH",VLOOKUP(F7477,UPAH!$B$4:$H$101,7,0),VLOOKUP(F7477,#REF!,4,0)),0),0)</f>
        <v>0</v>
      </c>
      <c r="J7477" s="16">
        <f>H7477*I7477</f>
        <v>0</v>
      </c>
    </row>
    <row r="7478" spans="1:10" ht="13">
      <c r="A7478" s="27"/>
      <c r="B7478" s="110"/>
      <c r="D7478" s="409"/>
      <c r="E7478" s="13" t="s">
        <v>230</v>
      </c>
      <c r="F7478" s="13" t="s">
        <v>1926</v>
      </c>
      <c r="G7478" s="410" t="s">
        <v>48</v>
      </c>
      <c r="H7478" s="548">
        <v>0.25</v>
      </c>
      <c r="I7478" s="412">
        <f>IF(AND(E7478&lt;&gt;"",G7478&lt;&gt;""),IF(D7478="",IF(G7478="OH",VLOOKUP(F7478,UPAH!$B$4:$H$101,7,0),VLOOKUP(F7478,#REF!,4,0)),0),0)</f>
        <v>0</v>
      </c>
      <c r="J7478" s="16">
        <f>H7478*I7478</f>
        <v>0</v>
      </c>
    </row>
    <row r="7479" spans="1:10" ht="13">
      <c r="A7479" s="27"/>
      <c r="B7479" s="110"/>
      <c r="D7479" s="409"/>
      <c r="E7479" s="13" t="s">
        <v>50</v>
      </c>
      <c r="F7479" s="13" t="s">
        <v>1928</v>
      </c>
      <c r="G7479" s="410" t="s">
        <v>48</v>
      </c>
      <c r="H7479" s="548">
        <v>2.5000000000000001E-2</v>
      </c>
      <c r="I7479" s="412">
        <f>IF(AND(E7479&lt;&gt;"",G7479&lt;&gt;""),IF(D7479="",IF(G7479="OH",VLOOKUP(F7479,UPAH!$B$4:$H$101,7,0),VLOOKUP(F7479,#REF!,4,0)),0),0)</f>
        <v>0</v>
      </c>
      <c r="J7479" s="16">
        <f>H7479*I7479</f>
        <v>0</v>
      </c>
    </row>
    <row r="7480" spans="1:10" ht="13.5" thickBot="1">
      <c r="A7480" s="27"/>
      <c r="B7480" s="110"/>
      <c r="D7480" s="409"/>
      <c r="E7480" s="13" t="s">
        <v>51</v>
      </c>
      <c r="F7480" s="13" t="s">
        <v>1929</v>
      </c>
      <c r="G7480" s="410" t="s">
        <v>48</v>
      </c>
      <c r="H7480" s="548">
        <v>1.2999999999999999E-3</v>
      </c>
      <c r="I7480" s="412">
        <f>IF(AND(E7480&lt;&gt;"",G7480&lt;&gt;""),IF(D7480="",IF(G7480="OH",VLOOKUP(F7480,UPAH!$B$4:$H$101,7,0),VLOOKUP(F7480,#REF!,4,0)),0),0)</f>
        <v>0</v>
      </c>
      <c r="J7480" s="16">
        <f>H7480*I7480</f>
        <v>0</v>
      </c>
    </row>
    <row r="7481" spans="1:10" ht="13.5" thickBot="1">
      <c r="A7481" s="27"/>
      <c r="B7481" s="110"/>
      <c r="D7481" s="417"/>
      <c r="E7481" s="418"/>
      <c r="F7481" s="418"/>
      <c r="G7481" s="419"/>
      <c r="H7481" s="420" t="s">
        <v>52</v>
      </c>
      <c r="I7481" s="421"/>
      <c r="J7481" s="396">
        <f>SUM(J7477:J7480)</f>
        <v>0</v>
      </c>
    </row>
    <row r="7482" spans="1:10" ht="13">
      <c r="A7482" s="27"/>
      <c r="B7482" s="110"/>
      <c r="D7482" s="406" t="s">
        <v>53</v>
      </c>
      <c r="E7482" s="13" t="s">
        <v>54</v>
      </c>
      <c r="F7482" s="14"/>
      <c r="G7482" s="15"/>
      <c r="H7482" s="451"/>
      <c r="I7482" s="412"/>
      <c r="J7482" s="16"/>
    </row>
    <row r="7483" spans="1:10" ht="13">
      <c r="A7483" s="27"/>
      <c r="B7483" s="110"/>
      <c r="D7483" s="409"/>
      <c r="E7483" s="13" t="s">
        <v>248</v>
      </c>
      <c r="F7483" s="14"/>
      <c r="G7483" s="410" t="s">
        <v>57</v>
      </c>
      <c r="H7483" s="548">
        <v>0.1</v>
      </c>
      <c r="I7483" s="412">
        <f>'BAHAN '!G167</f>
        <v>0</v>
      </c>
      <c r="J7483" s="16">
        <f>H7483*I7483</f>
        <v>0</v>
      </c>
    </row>
    <row r="7484" spans="1:10" ht="13">
      <c r="A7484" s="27"/>
      <c r="B7484" s="110"/>
      <c r="D7484" s="409"/>
      <c r="E7484" s="13" t="s">
        <v>249</v>
      </c>
      <c r="F7484" s="14"/>
      <c r="G7484" s="410" t="s">
        <v>57</v>
      </c>
      <c r="H7484" s="548">
        <v>0.1</v>
      </c>
      <c r="I7484" s="412">
        <f>$I$7483</f>
        <v>0</v>
      </c>
      <c r="J7484" s="16">
        <f>H7484*I7484</f>
        <v>0</v>
      </c>
    </row>
    <row r="7485" spans="1:10" ht="13">
      <c r="A7485" s="27"/>
      <c r="B7485" s="110"/>
      <c r="D7485" s="409"/>
      <c r="E7485" s="13" t="s">
        <v>387</v>
      </c>
      <c r="F7485" s="14"/>
      <c r="G7485" s="410" t="s">
        <v>57</v>
      </c>
      <c r="H7485" s="548">
        <v>0.08</v>
      </c>
      <c r="I7485" s="412">
        <f>'BAHAN '!G165</f>
        <v>0</v>
      </c>
      <c r="J7485" s="16">
        <f>H7485*I7485</f>
        <v>0</v>
      </c>
    </row>
    <row r="7486" spans="1:10" ht="13">
      <c r="A7486" s="27"/>
      <c r="B7486" s="110"/>
      <c r="D7486" s="409"/>
      <c r="E7486" s="13" t="s">
        <v>233</v>
      </c>
      <c r="F7486" s="14"/>
      <c r="G7486" s="410" t="s">
        <v>87</v>
      </c>
      <c r="H7486" s="548">
        <v>0.01</v>
      </c>
      <c r="I7486" s="412">
        <f>'BAHAN '!G179</f>
        <v>0</v>
      </c>
      <c r="J7486" s="16">
        <f>H7486*I7486</f>
        <v>0</v>
      </c>
    </row>
    <row r="7487" spans="1:10" ht="13.5" thickBot="1">
      <c r="A7487" s="27"/>
      <c r="B7487" s="110"/>
      <c r="D7487" s="409"/>
      <c r="E7487" s="13" t="s">
        <v>234</v>
      </c>
      <c r="F7487" s="14"/>
      <c r="G7487" s="410" t="s">
        <v>127</v>
      </c>
      <c r="H7487" s="548">
        <v>0.01</v>
      </c>
      <c r="I7487" s="412">
        <f>'BAHAN '!G181</f>
        <v>0</v>
      </c>
      <c r="J7487" s="16">
        <f>H7487*I7487</f>
        <v>0</v>
      </c>
    </row>
    <row r="7488" spans="1:10" ht="13.5" thickBot="1">
      <c r="A7488" s="27"/>
      <c r="B7488" s="110"/>
      <c r="D7488" s="417"/>
      <c r="E7488" s="418"/>
      <c r="F7488" s="418"/>
      <c r="G7488" s="419"/>
      <c r="H7488" s="420" t="s">
        <v>64</v>
      </c>
      <c r="I7488" s="421"/>
      <c r="J7488" s="396">
        <f>SUM(J7483:J7487)</f>
        <v>0</v>
      </c>
    </row>
    <row r="7489" spans="1:10" ht="13.5" thickBot="1">
      <c r="A7489" s="27"/>
      <c r="B7489" s="110"/>
      <c r="D7489" s="406" t="s">
        <v>65</v>
      </c>
      <c r="E7489" s="13" t="s">
        <v>66</v>
      </c>
      <c r="F7489" s="14"/>
      <c r="G7489" s="15"/>
      <c r="H7489" s="451"/>
      <c r="I7489" s="412">
        <f>IF(AND(E7489&lt;&gt;"",G7489&lt;&gt;""),IF(D7489="",IF(G7489="OH",VLOOKUP(E7489,UPAH!$C$4:$H$31,7,0),VLOOKUP(E7489,#REF!,4,0)),0),0)</f>
        <v>0</v>
      </c>
      <c r="J7489" s="16">
        <f>H7489*I7489</f>
        <v>0</v>
      </c>
    </row>
    <row r="7490" spans="1:10" ht="13.5" thickBot="1">
      <c r="A7490" s="27"/>
      <c r="B7490" s="110"/>
      <c r="D7490" s="417"/>
      <c r="E7490" s="418"/>
      <c r="F7490" s="418"/>
      <c r="G7490" s="419"/>
      <c r="H7490" s="420" t="s">
        <v>67</v>
      </c>
      <c r="I7490" s="421"/>
      <c r="J7490" s="396">
        <f>J7489</f>
        <v>0</v>
      </c>
    </row>
    <row r="7491" spans="1:10" ht="13">
      <c r="A7491" s="27"/>
      <c r="B7491" s="110"/>
      <c r="D7491" s="444" t="s">
        <v>68</v>
      </c>
      <c r="E7491" s="445" t="s">
        <v>69</v>
      </c>
      <c r="F7491" s="446"/>
      <c r="G7491" s="447"/>
      <c r="H7491" s="448"/>
      <c r="I7491" s="449">
        <f>IF(AND(E7491&lt;&gt;"",G7491&lt;&gt;""),IF(D7491="",IF(G7491="OH",VLOOKUP(E7491,UPAH!$C$4:$H$31,7,0),VLOOKUP(E7491,#REF!,4,0)),0),0)</f>
        <v>0</v>
      </c>
      <c r="J7491" s="16">
        <f>SUM(J7477:J7490)/2</f>
        <v>0</v>
      </c>
    </row>
    <row r="7492" spans="1:10" ht="13.5" thickBot="1">
      <c r="A7492" s="27"/>
      <c r="B7492" s="110"/>
      <c r="D7492" s="431" t="s">
        <v>70</v>
      </c>
      <c r="E7492" s="432" t="s">
        <v>477</v>
      </c>
      <c r="F7492" s="433"/>
      <c r="G7492" s="434"/>
      <c r="H7492" s="22">
        <v>0.1</v>
      </c>
      <c r="I7492" s="436"/>
      <c r="J7492" s="430">
        <f>H7492*J7491</f>
        <v>0</v>
      </c>
    </row>
    <row r="7493" spans="1:10" ht="13.5" thickBot="1">
      <c r="A7493" s="27"/>
      <c r="B7493" s="110"/>
      <c r="D7493" s="401" t="s">
        <v>71</v>
      </c>
      <c r="E7493" s="402" t="s">
        <v>72</v>
      </c>
      <c r="F7493" s="418"/>
      <c r="G7493" s="419"/>
      <c r="H7493" s="442"/>
      <c r="I7493" s="421">
        <f>IF(AND(E7493&lt;&gt;"",G7493&lt;&gt;""),IF(D7493="",IF(G7493="OH",VLOOKUP(E7493,UPAH!$C$4:$H$31,7,0),VLOOKUP(E7493,#REF!,4,0)),0),0)</f>
        <v>0</v>
      </c>
      <c r="J7493" s="396">
        <f>ROUNDDOWN(J7491+J7492,0)</f>
        <v>0</v>
      </c>
    </row>
    <row r="7494" spans="1:10" ht="13">
      <c r="A7494" s="27"/>
      <c r="B7494" s="110"/>
      <c r="D7494" s="11"/>
      <c r="E7494" s="11"/>
      <c r="H7494" s="443"/>
    </row>
    <row r="7495" spans="1:10" ht="13.5" thickBot="1">
      <c r="A7495" s="27"/>
      <c r="B7495" s="110"/>
      <c r="C7495" s="11" t="s">
        <v>1297</v>
      </c>
      <c r="D7495" s="10" t="s">
        <v>1298</v>
      </c>
      <c r="H7495" s="443"/>
    </row>
    <row r="7496" spans="1:10" ht="13.5" thickBot="1">
      <c r="A7496" s="27"/>
      <c r="B7496" s="110"/>
      <c r="D7496" s="401" t="s">
        <v>40</v>
      </c>
      <c r="E7496" s="402" t="s">
        <v>41</v>
      </c>
      <c r="F7496" s="402" t="s">
        <v>42</v>
      </c>
      <c r="G7496" s="403" t="s">
        <v>43</v>
      </c>
      <c r="H7496" s="404" t="s">
        <v>44</v>
      </c>
      <c r="I7496" s="402" t="s">
        <v>474</v>
      </c>
      <c r="J7496" s="405" t="s">
        <v>475</v>
      </c>
    </row>
    <row r="7497" spans="1:10" ht="13">
      <c r="A7497" s="27"/>
      <c r="B7497" s="110"/>
      <c r="D7497" s="406" t="s">
        <v>45</v>
      </c>
      <c r="E7497" s="13" t="s">
        <v>46</v>
      </c>
      <c r="F7497" s="14"/>
      <c r="G7497" s="15"/>
      <c r="H7497" s="451"/>
      <c r="I7497" s="412"/>
      <c r="J7497" s="16"/>
    </row>
    <row r="7498" spans="1:10" ht="13">
      <c r="A7498" s="27"/>
      <c r="B7498" s="110"/>
      <c r="D7498" s="409"/>
      <c r="E7498" s="13" t="s">
        <v>47</v>
      </c>
      <c r="F7498" s="13" t="s">
        <v>1918</v>
      </c>
      <c r="G7498" s="410" t="s">
        <v>48</v>
      </c>
      <c r="H7498" s="548">
        <v>0.06</v>
      </c>
      <c r="I7498" s="412">
        <f>IF(AND(E7498&lt;&gt;"",G7498&lt;&gt;""),IF(D7498="",IF(G7498="OH",VLOOKUP(F7498,UPAH!$B$4:$H$101,7,0),VLOOKUP(F7498,#REF!,4,0)),0),0)</f>
        <v>0</v>
      </c>
      <c r="J7498" s="16">
        <f>H7498*I7498</f>
        <v>0</v>
      </c>
    </row>
    <row r="7499" spans="1:10" ht="13">
      <c r="A7499" s="27"/>
      <c r="B7499" s="110"/>
      <c r="D7499" s="409"/>
      <c r="E7499" s="13" t="s">
        <v>230</v>
      </c>
      <c r="F7499" s="13" t="s">
        <v>1926</v>
      </c>
      <c r="G7499" s="410" t="s">
        <v>48</v>
      </c>
      <c r="H7499" s="548">
        <v>0.06</v>
      </c>
      <c r="I7499" s="412">
        <f>IF(AND(E7499&lt;&gt;"",G7499&lt;&gt;""),IF(D7499="",IF(G7499="OH",VLOOKUP(F7499,UPAH!$B$4:$H$101,7,0),VLOOKUP(F7499,#REF!,4,0)),0),0)</f>
        <v>0</v>
      </c>
      <c r="J7499" s="16">
        <f>H7499*I7499</f>
        <v>0</v>
      </c>
    </row>
    <row r="7500" spans="1:10" ht="13">
      <c r="A7500" s="27"/>
      <c r="B7500" s="110"/>
      <c r="D7500" s="409"/>
      <c r="E7500" s="13" t="s">
        <v>50</v>
      </c>
      <c r="F7500" s="13" t="s">
        <v>1928</v>
      </c>
      <c r="G7500" s="410" t="s">
        <v>48</v>
      </c>
      <c r="H7500" s="548">
        <v>1.2E-2</v>
      </c>
      <c r="I7500" s="412">
        <f>IF(AND(E7500&lt;&gt;"",G7500&lt;&gt;""),IF(D7500="",IF(G7500="OH",VLOOKUP(F7500,UPAH!$B$4:$H$101,7,0),VLOOKUP(F7500,#REF!,4,0)),0),0)</f>
        <v>0</v>
      </c>
      <c r="J7500" s="16">
        <f>H7500*I7500</f>
        <v>0</v>
      </c>
    </row>
    <row r="7501" spans="1:10" ht="13.5" thickBot="1">
      <c r="A7501" s="27"/>
      <c r="B7501" s="110"/>
      <c r="D7501" s="409"/>
      <c r="E7501" s="13" t="s">
        <v>51</v>
      </c>
      <c r="F7501" s="13" t="s">
        <v>1929</v>
      </c>
      <c r="G7501" s="410" t="s">
        <v>48</v>
      </c>
      <c r="H7501" s="548">
        <v>3.0000000000000001E-3</v>
      </c>
      <c r="I7501" s="412">
        <f>IF(AND(E7501&lt;&gt;"",G7501&lt;&gt;""),IF(D7501="",IF(G7501="OH",VLOOKUP(F7501,UPAH!$B$4:$H$101,7,0),VLOOKUP(F7501,#REF!,4,0)),0),0)</f>
        <v>0</v>
      </c>
      <c r="J7501" s="16">
        <f>H7501*I7501</f>
        <v>0</v>
      </c>
    </row>
    <row r="7502" spans="1:10" ht="13.5" thickBot="1">
      <c r="A7502" s="27"/>
      <c r="B7502" s="110"/>
      <c r="D7502" s="417"/>
      <c r="E7502" s="418"/>
      <c r="F7502" s="418"/>
      <c r="G7502" s="419"/>
      <c r="H7502" s="420" t="s">
        <v>52</v>
      </c>
      <c r="I7502" s="421"/>
      <c r="J7502" s="396">
        <f>SUM(J7498:J7501)</f>
        <v>0</v>
      </c>
    </row>
    <row r="7503" spans="1:10" ht="13">
      <c r="A7503" s="27"/>
      <c r="B7503" s="110"/>
      <c r="D7503" s="406" t="s">
        <v>53</v>
      </c>
      <c r="E7503" s="13" t="s">
        <v>54</v>
      </c>
      <c r="F7503" s="14"/>
      <c r="G7503" s="15"/>
      <c r="H7503" s="451"/>
      <c r="I7503" s="412"/>
      <c r="J7503" s="16"/>
    </row>
    <row r="7504" spans="1:10" ht="13">
      <c r="A7504" s="27"/>
      <c r="B7504" s="110"/>
      <c r="D7504" s="409"/>
      <c r="E7504" s="13" t="s">
        <v>387</v>
      </c>
      <c r="F7504" s="14"/>
      <c r="G7504" s="410" t="s">
        <v>57</v>
      </c>
      <c r="H7504" s="548">
        <v>0.3</v>
      </c>
      <c r="I7504" s="412">
        <v>0</v>
      </c>
      <c r="J7504" s="16">
        <f>H7504*I7504</f>
        <v>0</v>
      </c>
    </row>
    <row r="7505" spans="1:10" ht="13">
      <c r="A7505" s="27"/>
      <c r="B7505" s="110"/>
      <c r="D7505" s="409"/>
      <c r="E7505" s="13" t="s">
        <v>233</v>
      </c>
      <c r="F7505" s="14"/>
      <c r="G7505" s="410" t="s">
        <v>87</v>
      </c>
      <c r="H7505" s="548">
        <v>0.01</v>
      </c>
      <c r="I7505" s="412">
        <v>0</v>
      </c>
      <c r="J7505" s="16">
        <f>H7505*I7505</f>
        <v>0</v>
      </c>
    </row>
    <row r="7506" spans="1:10" ht="13.5" thickBot="1">
      <c r="A7506" s="27"/>
      <c r="B7506" s="110"/>
      <c r="D7506" s="409"/>
      <c r="E7506" s="13" t="s">
        <v>234</v>
      </c>
      <c r="F7506" s="14"/>
      <c r="G7506" s="410" t="s">
        <v>127</v>
      </c>
      <c r="H7506" s="548">
        <v>0.01</v>
      </c>
      <c r="I7506" s="412">
        <v>0</v>
      </c>
      <c r="J7506" s="16">
        <f>H7506*I7506</f>
        <v>0</v>
      </c>
    </row>
    <row r="7507" spans="1:10" ht="13.5" thickBot="1">
      <c r="A7507" s="27"/>
      <c r="B7507" s="110"/>
      <c r="D7507" s="417"/>
      <c r="E7507" s="418"/>
      <c r="F7507" s="418"/>
      <c r="G7507" s="419"/>
      <c r="H7507" s="420" t="s">
        <v>64</v>
      </c>
      <c r="I7507" s="421"/>
      <c r="J7507" s="396">
        <f>SUM(J7504:J7506)</f>
        <v>0</v>
      </c>
    </row>
    <row r="7508" spans="1:10" ht="13.5" thickBot="1">
      <c r="A7508" s="27"/>
      <c r="B7508" s="110"/>
      <c r="D7508" s="406" t="s">
        <v>65</v>
      </c>
      <c r="E7508" s="13" t="s">
        <v>66</v>
      </c>
      <c r="F7508" s="14"/>
      <c r="G7508" s="15"/>
      <c r="H7508" s="451"/>
      <c r="I7508" s="412">
        <f>IF(AND(E7508&lt;&gt;"",G7508&lt;&gt;""),IF(D7508="",IF(G7508="OH",VLOOKUP(E7508,UPAH!$C$4:$H$31,7,0),VLOOKUP(E7508,#REF!,4,0)),0),0)</f>
        <v>0</v>
      </c>
      <c r="J7508" s="16">
        <f>H7508*I7508</f>
        <v>0</v>
      </c>
    </row>
    <row r="7509" spans="1:10" ht="13.5" thickBot="1">
      <c r="A7509" s="27"/>
      <c r="B7509" s="110"/>
      <c r="D7509" s="417"/>
      <c r="E7509" s="418"/>
      <c r="F7509" s="418"/>
      <c r="G7509" s="419"/>
      <c r="H7509" s="420" t="s">
        <v>67</v>
      </c>
      <c r="I7509" s="421"/>
      <c r="J7509" s="396">
        <f>J7508</f>
        <v>0</v>
      </c>
    </row>
    <row r="7510" spans="1:10" ht="13">
      <c r="A7510" s="27"/>
      <c r="B7510" s="110"/>
      <c r="D7510" s="444" t="s">
        <v>68</v>
      </c>
      <c r="E7510" s="445" t="s">
        <v>69</v>
      </c>
      <c r="F7510" s="446"/>
      <c r="G7510" s="447"/>
      <c r="H7510" s="448"/>
      <c r="I7510" s="449">
        <f>IF(AND(E7510&lt;&gt;"",G7510&lt;&gt;""),IF(D7510="",IF(G7510="OH",VLOOKUP(E7510,UPAH!$C$4:$H$31,7,0),VLOOKUP(E7510,#REF!,4,0)),0),0)</f>
        <v>0</v>
      </c>
      <c r="J7510" s="16">
        <f>SUM(J7498:J7509)/2</f>
        <v>0</v>
      </c>
    </row>
    <row r="7511" spans="1:10" ht="13.5" thickBot="1">
      <c r="A7511" s="27"/>
      <c r="B7511" s="110"/>
      <c r="D7511" s="431" t="s">
        <v>70</v>
      </c>
      <c r="E7511" s="432" t="s">
        <v>477</v>
      </c>
      <c r="F7511" s="433"/>
      <c r="G7511" s="434"/>
      <c r="H7511" s="22">
        <v>0.1</v>
      </c>
      <c r="I7511" s="436"/>
      <c r="J7511" s="430">
        <f>H7511*J7510</f>
        <v>0</v>
      </c>
    </row>
    <row r="7512" spans="1:10" ht="13.5" thickBot="1">
      <c r="A7512" s="27"/>
      <c r="B7512" s="110"/>
      <c r="D7512" s="401" t="s">
        <v>71</v>
      </c>
      <c r="E7512" s="402" t="s">
        <v>72</v>
      </c>
      <c r="F7512" s="418"/>
      <c r="G7512" s="419"/>
      <c r="H7512" s="442"/>
      <c r="I7512" s="421">
        <f>IF(AND(E7512&lt;&gt;"",G7512&lt;&gt;""),IF(D7512="",IF(G7512="OH",VLOOKUP(E7512,UPAH!$C$4:$H$31,7,0),VLOOKUP(E7512,#REF!,4,0)),0),0)</f>
        <v>0</v>
      </c>
      <c r="J7512" s="396">
        <f>ROUNDDOWN(J7510+J7511,0)</f>
        <v>0</v>
      </c>
    </row>
    <row r="7513" spans="1:10" ht="13">
      <c r="A7513" s="27"/>
      <c r="B7513" s="110"/>
      <c r="D7513" s="11"/>
      <c r="E7513" s="11"/>
      <c r="H7513" s="443"/>
    </row>
    <row r="7514" spans="1:10" ht="13.5" thickBot="1">
      <c r="A7514" s="27"/>
      <c r="B7514" s="110"/>
      <c r="C7514" s="11" t="s">
        <v>1299</v>
      </c>
      <c r="D7514" s="10" t="s">
        <v>1300</v>
      </c>
      <c r="H7514" s="443"/>
    </row>
    <row r="7515" spans="1:10" ht="13.5" thickBot="1">
      <c r="A7515" s="27"/>
      <c r="B7515" s="110"/>
      <c r="D7515" s="401" t="s">
        <v>40</v>
      </c>
      <c r="E7515" s="402" t="s">
        <v>41</v>
      </c>
      <c r="F7515" s="402" t="s">
        <v>42</v>
      </c>
      <c r="G7515" s="403" t="s">
        <v>43</v>
      </c>
      <c r="H7515" s="404" t="s">
        <v>44</v>
      </c>
      <c r="I7515" s="402" t="s">
        <v>474</v>
      </c>
      <c r="J7515" s="405" t="s">
        <v>475</v>
      </c>
    </row>
    <row r="7516" spans="1:10" ht="13">
      <c r="A7516" s="27"/>
      <c r="B7516" s="110"/>
      <c r="D7516" s="406" t="s">
        <v>45</v>
      </c>
      <c r="E7516" s="13" t="s">
        <v>46</v>
      </c>
      <c r="F7516" s="14"/>
      <c r="G7516" s="15"/>
      <c r="H7516" s="451"/>
      <c r="I7516" s="412"/>
      <c r="J7516" s="16"/>
    </row>
    <row r="7517" spans="1:10" ht="13">
      <c r="A7517" s="27"/>
      <c r="B7517" s="110"/>
      <c r="D7517" s="409"/>
      <c r="E7517" s="13" t="s">
        <v>47</v>
      </c>
      <c r="F7517" s="13" t="s">
        <v>1918</v>
      </c>
      <c r="G7517" s="410" t="s">
        <v>48</v>
      </c>
      <c r="H7517" s="548">
        <v>0.4</v>
      </c>
      <c r="I7517" s="412">
        <f>IF(AND(E7517&lt;&gt;"",G7517&lt;&gt;""),IF(D7517="",IF(G7517="OH",VLOOKUP(F7517,UPAH!$B$4:$H$101,7,0),VLOOKUP(F7517,#REF!,4,0)),0),0)</f>
        <v>0</v>
      </c>
      <c r="J7517" s="16">
        <f>H7517*I7517</f>
        <v>0</v>
      </c>
    </row>
    <row r="7518" spans="1:10" ht="13">
      <c r="A7518" s="27"/>
      <c r="B7518" s="110"/>
      <c r="D7518" s="409"/>
      <c r="E7518" s="13" t="s">
        <v>230</v>
      </c>
      <c r="F7518" s="13" t="s">
        <v>1926</v>
      </c>
      <c r="G7518" s="410" t="s">
        <v>48</v>
      </c>
      <c r="H7518" s="548">
        <v>0.8</v>
      </c>
      <c r="I7518" s="412">
        <f>IF(AND(E7518&lt;&gt;"",G7518&lt;&gt;""),IF(D7518="",IF(G7518="OH",VLOOKUP(F7518,UPAH!$B$4:$H$101,7,0),VLOOKUP(F7518,#REF!,4,0)),0),0)</f>
        <v>0</v>
      </c>
      <c r="J7518" s="16">
        <f>H7518*I7518</f>
        <v>0</v>
      </c>
    </row>
    <row r="7519" spans="1:10" ht="13">
      <c r="A7519" s="27"/>
      <c r="B7519" s="110"/>
      <c r="D7519" s="409"/>
      <c r="E7519" s="13" t="s">
        <v>50</v>
      </c>
      <c r="F7519" s="13" t="s">
        <v>1928</v>
      </c>
      <c r="G7519" s="410" t="s">
        <v>48</v>
      </c>
      <c r="H7519" s="548">
        <v>0.08</v>
      </c>
      <c r="I7519" s="412">
        <f>IF(AND(E7519&lt;&gt;"",G7519&lt;&gt;""),IF(D7519="",IF(G7519="OH",VLOOKUP(F7519,UPAH!$B$4:$H$101,7,0),VLOOKUP(F7519,#REF!,4,0)),0),0)</f>
        <v>0</v>
      </c>
      <c r="J7519" s="16">
        <f>H7519*I7519</f>
        <v>0</v>
      </c>
    </row>
    <row r="7520" spans="1:10" ht="13.5" thickBot="1">
      <c r="A7520" s="27"/>
      <c r="B7520" s="110"/>
      <c r="D7520" s="409"/>
      <c r="E7520" s="13" t="s">
        <v>51</v>
      </c>
      <c r="F7520" s="13" t="s">
        <v>1929</v>
      </c>
      <c r="G7520" s="410" t="s">
        <v>48</v>
      </c>
      <c r="H7520" s="548">
        <v>0.02</v>
      </c>
      <c r="I7520" s="412">
        <f>IF(AND(E7520&lt;&gt;"",G7520&lt;&gt;""),IF(D7520="",IF(G7520="OH",VLOOKUP(F7520,UPAH!$B$4:$H$101,7,0),VLOOKUP(F7520,#REF!,4,0)),0),0)</f>
        <v>0</v>
      </c>
      <c r="J7520" s="16">
        <f>H7520*I7520</f>
        <v>0</v>
      </c>
    </row>
    <row r="7521" spans="1:10" ht="13.5" thickBot="1">
      <c r="A7521" s="27"/>
      <c r="B7521" s="110"/>
      <c r="D7521" s="417"/>
      <c r="E7521" s="418"/>
      <c r="F7521" s="418"/>
      <c r="G7521" s="419"/>
      <c r="H7521" s="420" t="s">
        <v>52</v>
      </c>
      <c r="I7521" s="421"/>
      <c r="J7521" s="396">
        <f>SUM(J7517:J7520)</f>
        <v>0</v>
      </c>
    </row>
    <row r="7522" spans="1:10" ht="13">
      <c r="A7522" s="27"/>
      <c r="B7522" s="110"/>
      <c r="D7522" s="406" t="s">
        <v>53</v>
      </c>
      <c r="E7522" s="13" t="s">
        <v>54</v>
      </c>
      <c r="F7522" s="14"/>
      <c r="G7522" s="15"/>
      <c r="H7522" s="451"/>
      <c r="I7522" s="412"/>
      <c r="J7522" s="16"/>
    </row>
    <row r="7523" spans="1:10" ht="13">
      <c r="A7523" s="27"/>
      <c r="B7523" s="110"/>
      <c r="D7523" s="409"/>
      <c r="E7523" s="13" t="s">
        <v>1917</v>
      </c>
      <c r="F7523" s="14"/>
      <c r="G7523" s="410" t="s">
        <v>57</v>
      </c>
      <c r="H7523" s="548">
        <v>0.11</v>
      </c>
      <c r="I7523" s="412">
        <f>'BAHAN '!G164</f>
        <v>0</v>
      </c>
      <c r="J7523" s="16">
        <f>H7523*I7523</f>
        <v>0</v>
      </c>
    </row>
    <row r="7524" spans="1:10" ht="13">
      <c r="A7524" s="27"/>
      <c r="B7524" s="110"/>
      <c r="D7524" s="409"/>
      <c r="E7524" s="13" t="s">
        <v>250</v>
      </c>
      <c r="F7524" s="14"/>
      <c r="G7524" s="410" t="s">
        <v>57</v>
      </c>
      <c r="H7524" s="548">
        <v>0.17</v>
      </c>
      <c r="I7524" s="412">
        <f>'BAHAN '!G167</f>
        <v>0</v>
      </c>
      <c r="J7524" s="16">
        <f>H7524*I7524</f>
        <v>0</v>
      </c>
    </row>
    <row r="7525" spans="1:10" ht="13">
      <c r="A7525" s="27"/>
      <c r="B7525" s="110"/>
      <c r="D7525" s="409"/>
      <c r="E7525" s="13" t="s">
        <v>387</v>
      </c>
      <c r="F7525" s="14"/>
      <c r="G7525" s="410" t="s">
        <v>57</v>
      </c>
      <c r="H7525" s="548">
        <v>0.08</v>
      </c>
      <c r="I7525" s="412">
        <f>'BAHAN '!G165</f>
        <v>0</v>
      </c>
      <c r="J7525" s="16">
        <f>H7525*I7525</f>
        <v>0</v>
      </c>
    </row>
    <row r="7526" spans="1:10" ht="13">
      <c r="A7526" s="27"/>
      <c r="B7526" s="110"/>
      <c r="D7526" s="409"/>
      <c r="E7526" s="13" t="s">
        <v>233</v>
      </c>
      <c r="F7526" s="14"/>
      <c r="G7526" s="410" t="s">
        <v>87</v>
      </c>
      <c r="H7526" s="548">
        <v>0.01</v>
      </c>
      <c r="I7526" s="412">
        <f>'BAHAN '!G179</f>
        <v>0</v>
      </c>
      <c r="J7526" s="16">
        <f>H7526*I7526</f>
        <v>0</v>
      </c>
    </row>
    <row r="7527" spans="1:10" ht="13.5" thickBot="1">
      <c r="A7527" s="27"/>
      <c r="B7527" s="110"/>
      <c r="D7527" s="409"/>
      <c r="E7527" s="13" t="s">
        <v>234</v>
      </c>
      <c r="F7527" s="14"/>
      <c r="G7527" s="410" t="s">
        <v>127</v>
      </c>
      <c r="H7527" s="548">
        <v>0.01</v>
      </c>
      <c r="I7527" s="412">
        <f>'BAHAN '!G181</f>
        <v>0</v>
      </c>
      <c r="J7527" s="16">
        <f>H7527*I7527</f>
        <v>0</v>
      </c>
    </row>
    <row r="7528" spans="1:10" ht="13.5" thickBot="1">
      <c r="A7528" s="27"/>
      <c r="B7528" s="110"/>
      <c r="D7528" s="417"/>
      <c r="E7528" s="418"/>
      <c r="F7528" s="418"/>
      <c r="G7528" s="419"/>
      <c r="H7528" s="420" t="s">
        <v>64</v>
      </c>
      <c r="I7528" s="421"/>
      <c r="J7528" s="396">
        <f>SUM(J7523:J7527)</f>
        <v>0</v>
      </c>
    </row>
    <row r="7529" spans="1:10" ht="13.5" thickBot="1">
      <c r="A7529" s="27"/>
      <c r="B7529" s="110"/>
      <c r="D7529" s="406" t="s">
        <v>65</v>
      </c>
      <c r="E7529" s="13" t="s">
        <v>66</v>
      </c>
      <c r="F7529" s="14"/>
      <c r="G7529" s="15"/>
      <c r="H7529" s="451"/>
      <c r="I7529" s="412">
        <f>IF(AND(E7529&lt;&gt;"",G7529&lt;&gt;""),IF(D7529="",IF(G7529="OH",VLOOKUP(E7529,UPAH!$C$4:$H$31,7,0),VLOOKUP(E7529,#REF!,4,0)),0),0)</f>
        <v>0</v>
      </c>
      <c r="J7529" s="16">
        <f>H7529*I7529</f>
        <v>0</v>
      </c>
    </row>
    <row r="7530" spans="1:10" ht="13.5" thickBot="1">
      <c r="A7530" s="27"/>
      <c r="B7530" s="110"/>
      <c r="D7530" s="417"/>
      <c r="E7530" s="418"/>
      <c r="F7530" s="418"/>
      <c r="G7530" s="419"/>
      <c r="H7530" s="420" t="s">
        <v>67</v>
      </c>
      <c r="I7530" s="421"/>
      <c r="J7530" s="396">
        <f>J7529</f>
        <v>0</v>
      </c>
    </row>
    <row r="7531" spans="1:10" ht="13">
      <c r="A7531" s="27"/>
      <c r="B7531" s="110"/>
      <c r="D7531" s="444" t="s">
        <v>68</v>
      </c>
      <c r="E7531" s="445" t="s">
        <v>69</v>
      </c>
      <c r="F7531" s="446"/>
      <c r="G7531" s="447"/>
      <c r="H7531" s="448"/>
      <c r="I7531" s="449">
        <f>IF(AND(E7531&lt;&gt;"",G7531&lt;&gt;""),IF(D7531="",IF(G7531="OH",VLOOKUP(E7531,UPAH!$C$4:$H$31,7,0),VLOOKUP(E7531,#REF!,4,0)),0),0)</f>
        <v>0</v>
      </c>
      <c r="J7531" s="16">
        <f>SUM(J7516:J7530)/2</f>
        <v>0</v>
      </c>
    </row>
    <row r="7532" spans="1:10" ht="13.5" thickBot="1">
      <c r="A7532" s="27"/>
      <c r="B7532" s="110"/>
      <c r="D7532" s="431" t="s">
        <v>70</v>
      </c>
      <c r="E7532" s="432" t="s">
        <v>477</v>
      </c>
      <c r="F7532" s="433"/>
      <c r="G7532" s="434"/>
      <c r="H7532" s="22">
        <v>0.1</v>
      </c>
      <c r="I7532" s="436"/>
      <c r="J7532" s="430">
        <f>H7532*J7531</f>
        <v>0</v>
      </c>
    </row>
    <row r="7533" spans="1:10" ht="13.5" thickBot="1">
      <c r="A7533" s="27"/>
      <c r="B7533" s="110"/>
      <c r="D7533" s="401" t="s">
        <v>71</v>
      </c>
      <c r="E7533" s="402" t="s">
        <v>72</v>
      </c>
      <c r="F7533" s="418"/>
      <c r="G7533" s="419"/>
      <c r="H7533" s="442"/>
      <c r="I7533" s="421">
        <f>IF(AND(E7533&lt;&gt;"",G7533&lt;&gt;""),IF(D7533="",IF(G7533="OH",VLOOKUP(E7533,UPAH!$C$4:$H$31,7,0),VLOOKUP(E7533,#REF!,4,0)),0),0)</f>
        <v>0</v>
      </c>
      <c r="J7533" s="396">
        <f>ROUNDDOWN(J7531+J7532,0)</f>
        <v>0</v>
      </c>
    </row>
    <row r="7534" spans="1:10" ht="13">
      <c r="A7534" s="27"/>
      <c r="B7534" s="110"/>
      <c r="D7534" s="11"/>
      <c r="E7534" s="11"/>
      <c r="H7534" s="443"/>
    </row>
    <row r="7535" spans="1:10" ht="13.5" thickBot="1">
      <c r="A7535" s="27"/>
      <c r="B7535" s="110"/>
      <c r="C7535" s="11" t="s">
        <v>1301</v>
      </c>
      <c r="D7535" s="10" t="s">
        <v>1302</v>
      </c>
      <c r="H7535" s="443"/>
    </row>
    <row r="7536" spans="1:10" ht="13.5" thickBot="1">
      <c r="A7536" s="27"/>
      <c r="B7536" s="110"/>
      <c r="D7536" s="401" t="s">
        <v>40</v>
      </c>
      <c r="E7536" s="402" t="s">
        <v>41</v>
      </c>
      <c r="F7536" s="402" t="s">
        <v>42</v>
      </c>
      <c r="G7536" s="403" t="s">
        <v>43</v>
      </c>
      <c r="H7536" s="404" t="s">
        <v>44</v>
      </c>
      <c r="I7536" s="402" t="s">
        <v>474</v>
      </c>
      <c r="J7536" s="405" t="s">
        <v>475</v>
      </c>
    </row>
    <row r="7537" spans="1:10" ht="13">
      <c r="A7537" s="27"/>
      <c r="B7537" s="110"/>
      <c r="D7537" s="406" t="s">
        <v>45</v>
      </c>
      <c r="E7537" s="13" t="s">
        <v>46</v>
      </c>
      <c r="F7537" s="14"/>
      <c r="G7537" s="15"/>
      <c r="H7537" s="451"/>
      <c r="I7537" s="412"/>
      <c r="J7537" s="16"/>
    </row>
    <row r="7538" spans="1:10" ht="13">
      <c r="A7538" s="27"/>
      <c r="B7538" s="110"/>
      <c r="D7538" s="409"/>
      <c r="E7538" s="13" t="s">
        <v>47</v>
      </c>
      <c r="F7538" s="13" t="s">
        <v>1918</v>
      </c>
      <c r="G7538" s="410" t="s">
        <v>48</v>
      </c>
      <c r="H7538" s="548">
        <v>0.4</v>
      </c>
      <c r="I7538" s="412">
        <f>IF(AND(E7538&lt;&gt;"",G7538&lt;&gt;""),IF(D7538="",IF(G7538="OH",VLOOKUP(F7538,UPAH!$B$4:$H$101,7,0),VLOOKUP(F7538,#REF!,4,0)),0),0)</f>
        <v>0</v>
      </c>
      <c r="J7538" s="16">
        <f>H7538*I7538</f>
        <v>0</v>
      </c>
    </row>
    <row r="7539" spans="1:10" ht="13">
      <c r="A7539" s="27"/>
      <c r="B7539" s="110"/>
      <c r="D7539" s="409"/>
      <c r="E7539" s="13" t="s">
        <v>230</v>
      </c>
      <c r="F7539" s="13" t="s">
        <v>1926</v>
      </c>
      <c r="G7539" s="410" t="s">
        <v>48</v>
      </c>
      <c r="H7539" s="548">
        <v>0.7</v>
      </c>
      <c r="I7539" s="412">
        <f>IF(AND(E7539&lt;&gt;"",G7539&lt;&gt;""),IF(D7539="",IF(G7539="OH",VLOOKUP(F7539,UPAH!$B$4:$H$101,7,0),VLOOKUP(F7539,#REF!,4,0)),0),0)</f>
        <v>0</v>
      </c>
      <c r="J7539" s="16">
        <f>H7539*I7539</f>
        <v>0</v>
      </c>
    </row>
    <row r="7540" spans="1:10" ht="13">
      <c r="A7540" s="27"/>
      <c r="B7540" s="110"/>
      <c r="D7540" s="409"/>
      <c r="E7540" s="13" t="s">
        <v>50</v>
      </c>
      <c r="F7540" s="13" t="s">
        <v>1928</v>
      </c>
      <c r="G7540" s="410" t="s">
        <v>48</v>
      </c>
      <c r="H7540" s="548">
        <v>7.0000000000000007E-2</v>
      </c>
      <c r="I7540" s="412">
        <f>IF(AND(E7540&lt;&gt;"",G7540&lt;&gt;""),IF(D7540="",IF(G7540="OH",VLOOKUP(F7540,UPAH!$B$4:$H$101,7,0),VLOOKUP(F7540,#REF!,4,0)),0),0)</f>
        <v>0</v>
      </c>
      <c r="J7540" s="16">
        <f>H7540*I7540</f>
        <v>0</v>
      </c>
    </row>
    <row r="7541" spans="1:10" ht="13.5" thickBot="1">
      <c r="A7541" s="27"/>
      <c r="B7541" s="110"/>
      <c r="D7541" s="409"/>
      <c r="E7541" s="13" t="s">
        <v>51</v>
      </c>
      <c r="F7541" s="13" t="s">
        <v>1929</v>
      </c>
      <c r="G7541" s="410" t="s">
        <v>48</v>
      </c>
      <c r="H7541" s="548">
        <v>0.02</v>
      </c>
      <c r="I7541" s="412">
        <f>IF(AND(E7541&lt;&gt;"",G7541&lt;&gt;""),IF(D7541="",IF(G7541="OH",VLOOKUP(F7541,UPAH!$B$4:$H$101,7,0),VLOOKUP(F7541,#REF!,4,0)),0),0)</f>
        <v>0</v>
      </c>
      <c r="J7541" s="16">
        <f>H7541*I7541</f>
        <v>0</v>
      </c>
    </row>
    <row r="7542" spans="1:10" ht="13.5" thickBot="1">
      <c r="A7542" s="27"/>
      <c r="B7542" s="110"/>
      <c r="D7542" s="417"/>
      <c r="E7542" s="418"/>
      <c r="F7542" s="418"/>
      <c r="G7542" s="419"/>
      <c r="H7542" s="420" t="s">
        <v>52</v>
      </c>
      <c r="I7542" s="421"/>
      <c r="J7542" s="396">
        <f>SUM(J7538:J7541)</f>
        <v>0</v>
      </c>
    </row>
    <row r="7543" spans="1:10" ht="13">
      <c r="A7543" s="27"/>
      <c r="B7543" s="110"/>
      <c r="D7543" s="406" t="s">
        <v>53</v>
      </c>
      <c r="E7543" s="13" t="s">
        <v>54</v>
      </c>
      <c r="F7543" s="14"/>
      <c r="G7543" s="15"/>
      <c r="H7543" s="451"/>
      <c r="I7543" s="412"/>
      <c r="J7543" s="16"/>
    </row>
    <row r="7544" spans="1:10" ht="13">
      <c r="A7544" s="27"/>
      <c r="B7544" s="110"/>
      <c r="D7544" s="409"/>
      <c r="E7544" s="13" t="s">
        <v>387</v>
      </c>
      <c r="F7544" s="14"/>
      <c r="G7544" s="410" t="s">
        <v>57</v>
      </c>
      <c r="H7544" s="548">
        <v>0.3</v>
      </c>
      <c r="I7544" s="412">
        <f>'BAHAN '!G165</f>
        <v>0</v>
      </c>
      <c r="J7544" s="16">
        <f>H7544*I7544</f>
        <v>0</v>
      </c>
    </row>
    <row r="7545" spans="1:10" ht="13.5" thickBot="1">
      <c r="A7545" s="27"/>
      <c r="B7545" s="110"/>
      <c r="D7545" s="409"/>
      <c r="E7545" s="13" t="s">
        <v>234</v>
      </c>
      <c r="F7545" s="14"/>
      <c r="G7545" s="410" t="s">
        <v>127</v>
      </c>
      <c r="H7545" s="548">
        <v>0.01</v>
      </c>
      <c r="I7545" s="412">
        <f>'BAHAN '!G181</f>
        <v>0</v>
      </c>
      <c r="J7545" s="16">
        <f>H7545*I7545</f>
        <v>0</v>
      </c>
    </row>
    <row r="7546" spans="1:10" ht="13.5" thickBot="1">
      <c r="A7546" s="27"/>
      <c r="B7546" s="110"/>
      <c r="D7546" s="417"/>
      <c r="E7546" s="418"/>
      <c r="F7546" s="418"/>
      <c r="G7546" s="419"/>
      <c r="H7546" s="420" t="s">
        <v>64</v>
      </c>
      <c r="I7546" s="421"/>
      <c r="J7546" s="396">
        <f>SUM(J7544:J7545)</f>
        <v>0</v>
      </c>
    </row>
    <row r="7547" spans="1:10" ht="13.5" thickBot="1">
      <c r="A7547" s="27"/>
      <c r="B7547" s="110"/>
      <c r="D7547" s="406" t="s">
        <v>65</v>
      </c>
      <c r="E7547" s="13" t="s">
        <v>66</v>
      </c>
      <c r="F7547" s="14"/>
      <c r="G7547" s="15"/>
      <c r="H7547" s="451"/>
      <c r="I7547" s="412">
        <f>IF(AND(E7547&lt;&gt;"",G7547&lt;&gt;""),IF(D7547="",IF(G7547="OH",VLOOKUP(E7547,UPAH!$C$4:$H$31,7,0),VLOOKUP(E7547,#REF!,4,0)),0),0)</f>
        <v>0</v>
      </c>
      <c r="J7547" s="16">
        <f>H7547*I7547</f>
        <v>0</v>
      </c>
    </row>
    <row r="7548" spans="1:10" ht="13.5" thickBot="1">
      <c r="A7548" s="27"/>
      <c r="B7548" s="110"/>
      <c r="D7548" s="417"/>
      <c r="E7548" s="418"/>
      <c r="F7548" s="418"/>
      <c r="G7548" s="419"/>
      <c r="H7548" s="420" t="s">
        <v>67</v>
      </c>
      <c r="I7548" s="421"/>
      <c r="J7548" s="396">
        <f>J7547</f>
        <v>0</v>
      </c>
    </row>
    <row r="7549" spans="1:10" ht="13">
      <c r="A7549" s="27"/>
      <c r="B7549" s="110"/>
      <c r="D7549" s="444" t="s">
        <v>68</v>
      </c>
      <c r="E7549" s="445" t="s">
        <v>69</v>
      </c>
      <c r="F7549" s="446"/>
      <c r="G7549" s="447"/>
      <c r="H7549" s="448"/>
      <c r="I7549" s="449">
        <f>IF(AND(E7549&lt;&gt;"",G7549&lt;&gt;""),IF(D7549="",IF(G7549="OH",VLOOKUP(E7549,UPAH!$C$4:$H$31,7,0),VLOOKUP(E7549,#REF!,4,0)),0),0)</f>
        <v>0</v>
      </c>
      <c r="J7549" s="16">
        <f>SUM(J7538:J7548)/2</f>
        <v>0</v>
      </c>
    </row>
    <row r="7550" spans="1:10" ht="13.5" thickBot="1">
      <c r="A7550" s="27"/>
      <c r="B7550" s="110"/>
      <c r="D7550" s="431" t="s">
        <v>70</v>
      </c>
      <c r="E7550" s="432" t="s">
        <v>477</v>
      </c>
      <c r="F7550" s="433"/>
      <c r="G7550" s="434"/>
      <c r="H7550" s="22">
        <v>0.1</v>
      </c>
      <c r="I7550" s="436"/>
      <c r="J7550" s="430">
        <f>H7550*J7549</f>
        <v>0</v>
      </c>
    </row>
    <row r="7551" spans="1:10" ht="13.5" thickBot="1">
      <c r="A7551" s="27"/>
      <c r="B7551" s="110"/>
      <c r="D7551" s="401" t="s">
        <v>71</v>
      </c>
      <c r="E7551" s="402" t="s">
        <v>72</v>
      </c>
      <c r="F7551" s="418"/>
      <c r="G7551" s="419"/>
      <c r="H7551" s="442"/>
      <c r="I7551" s="421">
        <f>IF(AND(E7551&lt;&gt;"",G7551&lt;&gt;""),IF(D7551="",IF(G7551="OH",VLOOKUP(E7551,UPAH!$C$4:$H$31,7,0),VLOOKUP(E7551,#REF!,4,0)),0),0)</f>
        <v>0</v>
      </c>
      <c r="J7551" s="396">
        <f>ROUNDDOWN(J7549+J7550,0)</f>
        <v>0</v>
      </c>
    </row>
    <row r="7552" spans="1:10" ht="13">
      <c r="A7552" s="27"/>
      <c r="B7552" s="110"/>
      <c r="D7552" s="11"/>
      <c r="E7552" s="11"/>
      <c r="H7552" s="443"/>
      <c r="I7552" s="17"/>
      <c r="J7552" s="18"/>
    </row>
    <row r="7553" spans="1:10" ht="14.5" thickBot="1">
      <c r="A7553" s="27"/>
      <c r="B7553" s="110"/>
      <c r="C7553" s="1" t="s">
        <v>1303</v>
      </c>
      <c r="D7553" s="11" t="s">
        <v>1304</v>
      </c>
      <c r="E7553" s="11"/>
      <c r="H7553" s="443"/>
      <c r="I7553" s="17"/>
      <c r="J7553" s="18"/>
    </row>
    <row r="7554" spans="1:10" ht="13.5" thickBot="1">
      <c r="A7554" s="27"/>
      <c r="B7554" s="110"/>
      <c r="D7554" s="401" t="s">
        <v>40</v>
      </c>
      <c r="E7554" s="402" t="s">
        <v>41</v>
      </c>
      <c r="F7554" s="402" t="s">
        <v>42</v>
      </c>
      <c r="G7554" s="403" t="s">
        <v>43</v>
      </c>
      <c r="H7554" s="404" t="s">
        <v>44</v>
      </c>
      <c r="I7554" s="402" t="s">
        <v>474</v>
      </c>
      <c r="J7554" s="405" t="s">
        <v>475</v>
      </c>
    </row>
    <row r="7555" spans="1:10" ht="13">
      <c r="A7555" s="27"/>
      <c r="B7555" s="110"/>
      <c r="D7555" s="406" t="s">
        <v>45</v>
      </c>
      <c r="E7555" s="13" t="s">
        <v>46</v>
      </c>
      <c r="F7555" s="14"/>
      <c r="G7555" s="15"/>
      <c r="H7555" s="451"/>
      <c r="I7555" s="412"/>
      <c r="J7555" s="16"/>
    </row>
    <row r="7556" spans="1:10" ht="13">
      <c r="A7556" s="27"/>
      <c r="B7556" s="110"/>
      <c r="D7556" s="409"/>
      <c r="E7556" s="13" t="s">
        <v>47</v>
      </c>
      <c r="F7556" s="13" t="s">
        <v>1918</v>
      </c>
      <c r="G7556" s="410" t="s">
        <v>48</v>
      </c>
      <c r="H7556" s="548">
        <v>0.4</v>
      </c>
      <c r="I7556" s="412">
        <f>IF(AND(E7556&lt;&gt;"",G7556&lt;&gt;""),IF(D7556="",IF(G7556="OH",VLOOKUP(F7556,UPAH!$B$4:$H$101,7,0),VLOOKUP(F7556,#REF!,4,0)),0),0)</f>
        <v>0</v>
      </c>
      <c r="J7556" s="16">
        <f>H7556*I7556</f>
        <v>0</v>
      </c>
    </row>
    <row r="7557" spans="1:10" ht="13">
      <c r="A7557" s="27"/>
      <c r="B7557" s="110"/>
      <c r="D7557" s="409"/>
      <c r="E7557" s="13" t="s">
        <v>230</v>
      </c>
      <c r="F7557" s="13" t="s">
        <v>1926</v>
      </c>
      <c r="G7557" s="410" t="s">
        <v>48</v>
      </c>
      <c r="H7557" s="548">
        <v>0.7</v>
      </c>
      <c r="I7557" s="412">
        <f>IF(AND(E7557&lt;&gt;"",G7557&lt;&gt;""),IF(D7557="",IF(G7557="OH",VLOOKUP(F7557,UPAH!$B$4:$H$101,7,0),VLOOKUP(F7557,#REF!,4,0)),0),0)</f>
        <v>0</v>
      </c>
      <c r="J7557" s="16">
        <f>H7557*I7557</f>
        <v>0</v>
      </c>
    </row>
    <row r="7558" spans="1:10" ht="13">
      <c r="A7558" s="27"/>
      <c r="B7558" s="110"/>
      <c r="D7558" s="409"/>
      <c r="E7558" s="13" t="s">
        <v>50</v>
      </c>
      <c r="F7558" s="13" t="s">
        <v>1928</v>
      </c>
      <c r="G7558" s="410" t="s">
        <v>48</v>
      </c>
      <c r="H7558" s="548">
        <v>7.0000000000000007E-2</v>
      </c>
      <c r="I7558" s="412">
        <f>IF(AND(E7558&lt;&gt;"",G7558&lt;&gt;""),IF(D7558="",IF(G7558="OH",VLOOKUP(F7558,UPAH!$B$4:$H$101,7,0),VLOOKUP(F7558,#REF!,4,0)),0),0)</f>
        <v>0</v>
      </c>
      <c r="J7558" s="16">
        <f>H7558*I7558</f>
        <v>0</v>
      </c>
    </row>
    <row r="7559" spans="1:10" ht="13.5" thickBot="1">
      <c r="A7559" s="27"/>
      <c r="B7559" s="110"/>
      <c r="D7559" s="409"/>
      <c r="E7559" s="13" t="s">
        <v>51</v>
      </c>
      <c r="F7559" s="13" t="s">
        <v>1929</v>
      </c>
      <c r="G7559" s="410" t="s">
        <v>48</v>
      </c>
      <c r="H7559" s="548">
        <v>0.02</v>
      </c>
      <c r="I7559" s="412">
        <f>IF(AND(E7559&lt;&gt;"",G7559&lt;&gt;""),IF(D7559="",IF(G7559="OH",VLOOKUP(F7559,UPAH!$B$4:$H$101,7,0),VLOOKUP(F7559,#REF!,4,0)),0),0)</f>
        <v>0</v>
      </c>
      <c r="J7559" s="16">
        <f>H7559*I7559</f>
        <v>0</v>
      </c>
    </row>
    <row r="7560" spans="1:10" ht="13.5" thickBot="1">
      <c r="A7560" s="27"/>
      <c r="B7560" s="110"/>
      <c r="D7560" s="417"/>
      <c r="E7560" s="418"/>
      <c r="F7560" s="418"/>
      <c r="G7560" s="419"/>
      <c r="H7560" s="420" t="s">
        <v>52</v>
      </c>
      <c r="I7560" s="421"/>
      <c r="J7560" s="396">
        <f>SUM(J7556:J7559)</f>
        <v>0</v>
      </c>
    </row>
    <row r="7561" spans="1:10" ht="13">
      <c r="A7561" s="27"/>
      <c r="B7561" s="110"/>
      <c r="D7561" s="406" t="s">
        <v>53</v>
      </c>
      <c r="E7561" s="13" t="s">
        <v>54</v>
      </c>
      <c r="F7561" s="14"/>
      <c r="G7561" s="15"/>
      <c r="H7561" s="451"/>
      <c r="I7561" s="412"/>
      <c r="J7561" s="16"/>
    </row>
    <row r="7562" spans="1:10" ht="13">
      <c r="A7562" s="27"/>
      <c r="B7562" s="110"/>
      <c r="D7562" s="409"/>
      <c r="E7562" s="13" t="s">
        <v>1916</v>
      </c>
      <c r="F7562" s="14"/>
      <c r="G7562" s="410" t="s">
        <v>57</v>
      </c>
      <c r="H7562" s="548">
        <v>0.3</v>
      </c>
      <c r="I7562" s="412">
        <f>'BAHAN '!G164</f>
        <v>0</v>
      </c>
      <c r="J7562" s="16">
        <f>H7562*I7562</f>
        <v>0</v>
      </c>
    </row>
    <row r="7563" spans="1:10" ht="13.5" thickBot="1">
      <c r="A7563" s="27"/>
      <c r="B7563" s="110"/>
      <c r="D7563" s="409"/>
      <c r="E7563" s="13" t="s">
        <v>234</v>
      </c>
      <c r="F7563" s="14"/>
      <c r="G7563" s="410" t="s">
        <v>127</v>
      </c>
      <c r="H7563" s="548">
        <v>0.01</v>
      </c>
      <c r="I7563" s="412">
        <f>'BAHAN '!G181</f>
        <v>0</v>
      </c>
      <c r="J7563" s="16">
        <f>H7563*I7563</f>
        <v>0</v>
      </c>
    </row>
    <row r="7564" spans="1:10" ht="13.5" thickBot="1">
      <c r="A7564" s="27"/>
      <c r="B7564" s="110"/>
      <c r="D7564" s="417"/>
      <c r="E7564" s="418"/>
      <c r="F7564" s="418"/>
      <c r="G7564" s="419"/>
      <c r="H7564" s="420" t="s">
        <v>64</v>
      </c>
      <c r="I7564" s="421"/>
      <c r="J7564" s="396">
        <f>SUM(J7562:J7563)</f>
        <v>0</v>
      </c>
    </row>
    <row r="7565" spans="1:10" ht="13.5" thickBot="1">
      <c r="A7565" s="27"/>
      <c r="B7565" s="110"/>
      <c r="D7565" s="406" t="s">
        <v>65</v>
      </c>
      <c r="E7565" s="13" t="s">
        <v>66</v>
      </c>
      <c r="F7565" s="14"/>
      <c r="G7565" s="15"/>
      <c r="H7565" s="451"/>
      <c r="I7565" s="412">
        <f>IF(AND(E7565&lt;&gt;"",G7565&lt;&gt;""),IF(D7565="",IF(G7565="OH",VLOOKUP(E7565,UPAH!$C$4:$H$31,7,0),VLOOKUP(E7565,#REF!,4,0)),0),0)</f>
        <v>0</v>
      </c>
      <c r="J7565" s="16">
        <f>H7565*I7565</f>
        <v>0</v>
      </c>
    </row>
    <row r="7566" spans="1:10" ht="13.5" thickBot="1">
      <c r="A7566" s="27"/>
      <c r="B7566" s="110"/>
      <c r="D7566" s="417"/>
      <c r="E7566" s="418"/>
      <c r="F7566" s="418"/>
      <c r="G7566" s="419"/>
      <c r="H7566" s="420" t="s">
        <v>67</v>
      </c>
      <c r="I7566" s="421"/>
      <c r="J7566" s="396">
        <f>J7565</f>
        <v>0</v>
      </c>
    </row>
    <row r="7567" spans="1:10" ht="13">
      <c r="A7567" s="27"/>
      <c r="B7567" s="110"/>
      <c r="D7567" s="444" t="s">
        <v>68</v>
      </c>
      <c r="E7567" s="445" t="s">
        <v>69</v>
      </c>
      <c r="F7567" s="446"/>
      <c r="G7567" s="447"/>
      <c r="H7567" s="448"/>
      <c r="I7567" s="449">
        <f>IF(AND(E7567&lt;&gt;"",G7567&lt;&gt;""),IF(D7567="",IF(G7567="OH",VLOOKUP(E7567,UPAH!$C$4:$H$31,7,0),VLOOKUP(E7567,#REF!,4,0)),0),0)</f>
        <v>0</v>
      </c>
      <c r="J7567" s="16">
        <f>SUM(J7556:J7566)/2</f>
        <v>0</v>
      </c>
    </row>
    <row r="7568" spans="1:10" ht="13.5" thickBot="1">
      <c r="A7568" s="27"/>
      <c r="B7568" s="110"/>
      <c r="D7568" s="431" t="s">
        <v>70</v>
      </c>
      <c r="E7568" s="432" t="s">
        <v>477</v>
      </c>
      <c r="F7568" s="433"/>
      <c r="G7568" s="434"/>
      <c r="H7568" s="22">
        <v>0.1</v>
      </c>
      <c r="I7568" s="436"/>
      <c r="J7568" s="430">
        <f>H7568*J7567</f>
        <v>0</v>
      </c>
    </row>
    <row r="7569" spans="1:10" ht="13.5" thickBot="1">
      <c r="A7569" s="27"/>
      <c r="B7569" s="110"/>
      <c r="D7569" s="401" t="s">
        <v>71</v>
      </c>
      <c r="E7569" s="402" t="s">
        <v>72</v>
      </c>
      <c r="F7569" s="418"/>
      <c r="G7569" s="419"/>
      <c r="H7569" s="442"/>
      <c r="I7569" s="421">
        <f>IF(AND(E7569&lt;&gt;"",G7569&lt;&gt;""),IF(D7569="",IF(G7569="OH",VLOOKUP(E7569,UPAH!$C$4:$H$31,7,0),VLOOKUP(E7569,#REF!,4,0)),0),0)</f>
        <v>0</v>
      </c>
      <c r="J7569" s="396">
        <f>ROUNDDOWN(J7567+J7568,0)</f>
        <v>0</v>
      </c>
    </row>
    <row r="7570" spans="1:10" ht="13">
      <c r="A7570" s="27"/>
      <c r="B7570" s="110"/>
      <c r="D7570" s="11"/>
      <c r="E7570" s="11"/>
      <c r="H7570" s="443"/>
      <c r="I7570" s="17"/>
      <c r="J7570" s="18"/>
    </row>
    <row r="7571" spans="1:10" ht="14.5" thickBot="1">
      <c r="A7571" s="27"/>
      <c r="B7571" s="110"/>
      <c r="C7571" s="1" t="s">
        <v>3602</v>
      </c>
      <c r="D7571" s="11" t="s">
        <v>3603</v>
      </c>
      <c r="E7571" s="11"/>
      <c r="H7571" s="443"/>
      <c r="I7571" s="17"/>
      <c r="J7571" s="18"/>
    </row>
    <row r="7572" spans="1:10" ht="13.5" thickBot="1">
      <c r="A7572" s="27"/>
      <c r="B7572" s="110"/>
      <c r="D7572" s="401" t="s">
        <v>40</v>
      </c>
      <c r="E7572" s="402" t="s">
        <v>41</v>
      </c>
      <c r="F7572" s="402" t="s">
        <v>42</v>
      </c>
      <c r="G7572" s="403" t="s">
        <v>43</v>
      </c>
      <c r="H7572" s="404" t="s">
        <v>44</v>
      </c>
      <c r="I7572" s="402" t="s">
        <v>474</v>
      </c>
      <c r="J7572" s="405" t="s">
        <v>475</v>
      </c>
    </row>
    <row r="7573" spans="1:10" ht="13">
      <c r="A7573" s="27"/>
      <c r="B7573" s="110"/>
      <c r="D7573" s="406" t="s">
        <v>45</v>
      </c>
      <c r="E7573" s="13" t="s">
        <v>46</v>
      </c>
      <c r="F7573" s="14"/>
      <c r="G7573" s="15"/>
      <c r="H7573" s="451"/>
      <c r="I7573" s="412"/>
      <c r="J7573" s="16"/>
    </row>
    <row r="7574" spans="1:10" ht="13">
      <c r="A7574" s="27"/>
      <c r="B7574" s="110"/>
      <c r="D7574" s="409"/>
      <c r="E7574" s="13" t="s">
        <v>47</v>
      </c>
      <c r="F7574" s="13" t="s">
        <v>1918</v>
      </c>
      <c r="G7574" s="410" t="s">
        <v>48</v>
      </c>
      <c r="H7574" s="548">
        <v>0.1</v>
      </c>
      <c r="I7574" s="412">
        <f>IF(AND(E7574&lt;&gt;"",G7574&lt;&gt;""),IF(D7574="",IF(G7574="OH",VLOOKUP(F7574,UPAH!$B$4:$H$101,7,0),VLOOKUP(F7574,#REF!,4,0)),0),0)</f>
        <v>0</v>
      </c>
      <c r="J7574" s="16">
        <f>H7574*I7574</f>
        <v>0</v>
      </c>
    </row>
    <row r="7575" spans="1:10" ht="13">
      <c r="A7575" s="27"/>
      <c r="B7575" s="110"/>
      <c r="D7575" s="409"/>
      <c r="E7575" s="13" t="s">
        <v>230</v>
      </c>
      <c r="F7575" s="13" t="s">
        <v>1926</v>
      </c>
      <c r="G7575" s="410" t="s">
        <v>48</v>
      </c>
      <c r="H7575" s="548">
        <v>0.1</v>
      </c>
      <c r="I7575" s="412">
        <f>IF(AND(E7575&lt;&gt;"",G7575&lt;&gt;""),IF(D7575="",IF(G7575="OH",VLOOKUP(F7575,UPAH!$B$4:$H$101,7,0),VLOOKUP(F7575,#REF!,4,0)),0),0)</f>
        <v>0</v>
      </c>
      <c r="J7575" s="16">
        <f>H7575*I7575</f>
        <v>0</v>
      </c>
    </row>
    <row r="7576" spans="1:10" ht="13">
      <c r="A7576" s="27"/>
      <c r="B7576" s="110"/>
      <c r="D7576" s="409"/>
      <c r="E7576" s="13" t="s">
        <v>50</v>
      </c>
      <c r="F7576" s="13" t="s">
        <v>1928</v>
      </c>
      <c r="G7576" s="410" t="s">
        <v>48</v>
      </c>
      <c r="H7576" s="548">
        <v>0.01</v>
      </c>
      <c r="I7576" s="412">
        <f>IF(AND(E7576&lt;&gt;"",G7576&lt;&gt;""),IF(D7576="",IF(G7576="OH",VLOOKUP(F7576,UPAH!$B$4:$H$101,7,0),VLOOKUP(F7576,#REF!,4,0)),0),0)</f>
        <v>0</v>
      </c>
      <c r="J7576" s="16">
        <f>H7576*I7576</f>
        <v>0</v>
      </c>
    </row>
    <row r="7577" spans="1:10" ht="13.5" thickBot="1">
      <c r="A7577" s="27"/>
      <c r="B7577" s="110"/>
      <c r="D7577" s="409"/>
      <c r="E7577" s="13" t="s">
        <v>51</v>
      </c>
      <c r="F7577" s="13" t="s">
        <v>1929</v>
      </c>
      <c r="G7577" s="410" t="s">
        <v>48</v>
      </c>
      <c r="H7577" s="548">
        <v>3.3E-3</v>
      </c>
      <c r="I7577" s="412">
        <f>IF(AND(E7577&lt;&gt;"",G7577&lt;&gt;""),IF(D7577="",IF(G7577="OH",VLOOKUP(F7577,UPAH!$B$4:$H$101,7,0),VLOOKUP(F7577,#REF!,4,0)),0),0)</f>
        <v>0</v>
      </c>
      <c r="J7577" s="16">
        <f>H7577*I7577</f>
        <v>0</v>
      </c>
    </row>
    <row r="7578" spans="1:10" ht="13.5" thickBot="1">
      <c r="A7578" s="27"/>
      <c r="B7578" s="110"/>
      <c r="D7578" s="417"/>
      <c r="E7578" s="418"/>
      <c r="F7578" s="418"/>
      <c r="G7578" s="419"/>
      <c r="H7578" s="420" t="s">
        <v>52</v>
      </c>
      <c r="I7578" s="421"/>
      <c r="J7578" s="396">
        <f>SUM(J7574:J7577)</f>
        <v>0</v>
      </c>
    </row>
    <row r="7579" spans="1:10" ht="13">
      <c r="A7579" s="27"/>
      <c r="B7579" s="110"/>
      <c r="D7579" s="406" t="s">
        <v>53</v>
      </c>
      <c r="E7579" s="13" t="s">
        <v>54</v>
      </c>
      <c r="F7579" s="14"/>
      <c r="G7579" s="15"/>
      <c r="H7579" s="451"/>
      <c r="I7579" s="412"/>
      <c r="J7579" s="16"/>
    </row>
    <row r="7580" spans="1:10" ht="13.5" thickBot="1">
      <c r="A7580" s="27"/>
      <c r="B7580" s="110"/>
      <c r="D7580" s="409"/>
      <c r="E7580" s="13" t="s">
        <v>3604</v>
      </c>
      <c r="F7580" s="14"/>
      <c r="G7580" s="410" t="s">
        <v>57</v>
      </c>
      <c r="H7580" s="548">
        <v>1.389</v>
      </c>
      <c r="I7580" s="412">
        <v>0</v>
      </c>
      <c r="J7580" s="16">
        <f>H7580*I7580</f>
        <v>0</v>
      </c>
    </row>
    <row r="7581" spans="1:10" ht="13.5" thickBot="1">
      <c r="A7581" s="27"/>
      <c r="B7581" s="110"/>
      <c r="D7581" s="417"/>
      <c r="E7581" s="418"/>
      <c r="F7581" s="418"/>
      <c r="G7581" s="419"/>
      <c r="H7581" s="420" t="s">
        <v>64</v>
      </c>
      <c r="I7581" s="421"/>
      <c r="J7581" s="396">
        <f>SUM(J7580:J7580)</f>
        <v>0</v>
      </c>
    </row>
    <row r="7582" spans="1:10" ht="13.5" thickBot="1">
      <c r="A7582" s="27"/>
      <c r="B7582" s="110"/>
      <c r="D7582" s="406" t="s">
        <v>65</v>
      </c>
      <c r="E7582" s="13" t="s">
        <v>66</v>
      </c>
      <c r="F7582" s="14"/>
      <c r="G7582" s="15"/>
      <c r="H7582" s="451"/>
      <c r="I7582" s="412">
        <f>IF(AND(E7582&lt;&gt;"",G7582&lt;&gt;""),IF(D7582="",IF(G7582="OH",VLOOKUP(E7582,UPAH!$C$4:$H$31,7,0),VLOOKUP(E7582,#REF!,4,0)),0),0)</f>
        <v>0</v>
      </c>
      <c r="J7582" s="16">
        <f>H7582*I7582</f>
        <v>0</v>
      </c>
    </row>
    <row r="7583" spans="1:10" ht="13.5" thickBot="1">
      <c r="A7583" s="27"/>
      <c r="B7583" s="110"/>
      <c r="D7583" s="417"/>
      <c r="E7583" s="418"/>
      <c r="F7583" s="418"/>
      <c r="G7583" s="419"/>
      <c r="H7583" s="420" t="s">
        <v>67</v>
      </c>
      <c r="I7583" s="421"/>
      <c r="J7583" s="396">
        <f>J7582</f>
        <v>0</v>
      </c>
    </row>
    <row r="7584" spans="1:10" ht="13">
      <c r="A7584" s="27"/>
      <c r="B7584" s="110"/>
      <c r="D7584" s="444" t="s">
        <v>68</v>
      </c>
      <c r="E7584" s="445" t="s">
        <v>69</v>
      </c>
      <c r="F7584" s="446"/>
      <c r="G7584" s="447"/>
      <c r="H7584" s="448"/>
      <c r="I7584" s="449">
        <f>IF(AND(E7584&lt;&gt;"",G7584&lt;&gt;""),IF(D7584="",IF(G7584="OH",VLOOKUP(E7584,UPAH!$C$4:$H$31,7,0),VLOOKUP(E7584,#REF!,4,0)),0),0)</f>
        <v>0</v>
      </c>
      <c r="J7584" s="16">
        <f>SUM(J7574:J7583)/2</f>
        <v>0</v>
      </c>
    </row>
    <row r="7585" spans="1:10" ht="13.5" thickBot="1">
      <c r="A7585" s="27"/>
      <c r="B7585" s="110"/>
      <c r="D7585" s="431" t="s">
        <v>70</v>
      </c>
      <c r="E7585" s="432" t="s">
        <v>477</v>
      </c>
      <c r="F7585" s="433"/>
      <c r="G7585" s="434"/>
      <c r="H7585" s="22">
        <v>0.1</v>
      </c>
      <c r="I7585" s="436"/>
      <c r="J7585" s="430">
        <f>H7585*J7584</f>
        <v>0</v>
      </c>
    </row>
    <row r="7586" spans="1:10" ht="13.5" thickBot="1">
      <c r="A7586" s="27"/>
      <c r="B7586" s="110"/>
      <c r="D7586" s="401" t="s">
        <v>71</v>
      </c>
      <c r="E7586" s="402" t="s">
        <v>72</v>
      </c>
      <c r="F7586" s="418"/>
      <c r="G7586" s="419"/>
      <c r="H7586" s="442"/>
      <c r="I7586" s="421">
        <f>IF(AND(E7586&lt;&gt;"",G7586&lt;&gt;""),IF(D7586="",IF(G7586="OH",VLOOKUP(E7586,UPAH!$C$4:$H$31,7,0),VLOOKUP(E7586,#REF!,4,0)),0),0)</f>
        <v>0</v>
      </c>
      <c r="J7586" s="396">
        <f>ROUNDDOWN(J7584+J7585,0)</f>
        <v>0</v>
      </c>
    </row>
    <row r="7587" spans="1:10" ht="13">
      <c r="A7587" s="27"/>
      <c r="B7587" s="110"/>
      <c r="D7587" s="11"/>
      <c r="E7587" s="11"/>
      <c r="H7587" s="443"/>
      <c r="I7587" s="17"/>
      <c r="J7587" s="18"/>
    </row>
    <row r="7588" spans="1:10" s="27" customFormat="1" ht="13">
      <c r="B7588" s="110"/>
      <c r="C7588" s="452" t="s">
        <v>520</v>
      </c>
      <c r="G7588" s="399"/>
      <c r="H7588" s="453"/>
    </row>
    <row r="7589" spans="1:10" ht="13.5" thickBot="1">
      <c r="A7589" s="27"/>
      <c r="B7589" s="110"/>
      <c r="C7589" s="11" t="s">
        <v>1305</v>
      </c>
      <c r="D7589" s="10" t="s">
        <v>1306</v>
      </c>
      <c r="H7589" s="443"/>
    </row>
    <row r="7590" spans="1:10" ht="13.5" thickBot="1">
      <c r="A7590" s="27"/>
      <c r="B7590" s="110"/>
      <c r="D7590" s="401" t="s">
        <v>40</v>
      </c>
      <c r="E7590" s="402" t="s">
        <v>41</v>
      </c>
      <c r="F7590" s="402" t="s">
        <v>42</v>
      </c>
      <c r="G7590" s="403" t="s">
        <v>43</v>
      </c>
      <c r="H7590" s="404" t="s">
        <v>44</v>
      </c>
      <c r="I7590" s="402" t="s">
        <v>474</v>
      </c>
      <c r="J7590" s="405" t="s">
        <v>475</v>
      </c>
    </row>
    <row r="7591" spans="1:10" ht="13">
      <c r="A7591" s="27"/>
      <c r="B7591" s="110"/>
      <c r="D7591" s="406" t="s">
        <v>45</v>
      </c>
      <c r="E7591" s="13" t="s">
        <v>46</v>
      </c>
      <c r="F7591" s="14"/>
      <c r="G7591" s="15"/>
      <c r="H7591" s="451"/>
      <c r="I7591" s="412"/>
      <c r="J7591" s="16"/>
    </row>
    <row r="7592" spans="1:10" ht="13">
      <c r="A7592" s="27"/>
      <c r="B7592" s="110"/>
      <c r="D7592" s="409"/>
      <c r="E7592" s="13" t="s">
        <v>47</v>
      </c>
      <c r="F7592" s="13" t="s">
        <v>1918</v>
      </c>
      <c r="G7592" s="543" t="s">
        <v>48</v>
      </c>
      <c r="H7592" s="548">
        <v>3.3</v>
      </c>
      <c r="I7592" s="412">
        <f>IF(AND(E7592&lt;&gt;"",G7592&lt;&gt;""),IF(D7592="",IF(G7592="OH",VLOOKUP(F7592,UPAH!$B$4:$H$101,7,0),VLOOKUP(F7592,#REF!,4,0)),0),0)</f>
        <v>0</v>
      </c>
      <c r="J7592" s="16">
        <f>H7592*I7592</f>
        <v>0</v>
      </c>
    </row>
    <row r="7593" spans="1:10" ht="13">
      <c r="A7593" s="27"/>
      <c r="B7593" s="110"/>
      <c r="D7593" s="409"/>
      <c r="E7593" s="13" t="s">
        <v>81</v>
      </c>
      <c r="F7593" s="13" t="s">
        <v>1921</v>
      </c>
      <c r="G7593" s="543" t="s">
        <v>48</v>
      </c>
      <c r="H7593" s="548">
        <v>1.1000000000000001</v>
      </c>
      <c r="I7593" s="412">
        <f>IF(AND(E7593&lt;&gt;"",G7593&lt;&gt;""),IF(D7593="",IF(G7593="OH",VLOOKUP(F7593,UPAH!$B$4:$H$101,7,0),VLOOKUP(F7593,#REF!,4,0)),0),0)</f>
        <v>0</v>
      </c>
      <c r="J7593" s="16">
        <f>H7593*I7593</f>
        <v>0</v>
      </c>
    </row>
    <row r="7594" spans="1:10" ht="13">
      <c r="A7594" s="27"/>
      <c r="B7594" s="110"/>
      <c r="D7594" s="409"/>
      <c r="E7594" s="13" t="s">
        <v>50</v>
      </c>
      <c r="F7594" s="13" t="s">
        <v>1928</v>
      </c>
      <c r="G7594" s="543" t="s">
        <v>48</v>
      </c>
      <c r="H7594" s="548">
        <v>0.01</v>
      </c>
      <c r="I7594" s="412">
        <f>IF(AND(E7594&lt;&gt;"",G7594&lt;&gt;""),IF(D7594="",IF(G7594="OH",VLOOKUP(F7594,UPAH!$B$4:$H$101,7,0),VLOOKUP(F7594,#REF!,4,0)),0),0)</f>
        <v>0</v>
      </c>
      <c r="J7594" s="16">
        <f>H7594*I7594</f>
        <v>0</v>
      </c>
    </row>
    <row r="7595" spans="1:10" ht="13.5" thickBot="1">
      <c r="A7595" s="27"/>
      <c r="B7595" s="110"/>
      <c r="D7595" s="409"/>
      <c r="E7595" s="13" t="s">
        <v>51</v>
      </c>
      <c r="F7595" s="13" t="s">
        <v>1929</v>
      </c>
      <c r="G7595" s="543" t="s">
        <v>48</v>
      </c>
      <c r="H7595" s="548">
        <v>0.16</v>
      </c>
      <c r="I7595" s="412">
        <f>IF(AND(E7595&lt;&gt;"",G7595&lt;&gt;""),IF(D7595="",IF(G7595="OH",VLOOKUP(F7595,UPAH!$B$4:$H$101,7,0),VLOOKUP(F7595,#REF!,4,0)),0),0)</f>
        <v>0</v>
      </c>
      <c r="J7595" s="16">
        <f>H7595*I7595</f>
        <v>0</v>
      </c>
    </row>
    <row r="7596" spans="1:10" ht="13.5" thickBot="1">
      <c r="A7596" s="27"/>
      <c r="B7596" s="110"/>
      <c r="D7596" s="417"/>
      <c r="E7596" s="418"/>
      <c r="F7596" s="418"/>
      <c r="G7596" s="419"/>
      <c r="H7596" s="420" t="s">
        <v>52</v>
      </c>
      <c r="I7596" s="421"/>
      <c r="J7596" s="396">
        <f>SUM(J7592:J7595)</f>
        <v>0</v>
      </c>
    </row>
    <row r="7597" spans="1:10" ht="13">
      <c r="A7597" s="27"/>
      <c r="B7597" s="110"/>
      <c r="D7597" s="406" t="s">
        <v>53</v>
      </c>
      <c r="E7597" s="13" t="s">
        <v>54</v>
      </c>
      <c r="F7597" s="14"/>
      <c r="G7597" s="15"/>
      <c r="H7597" s="451"/>
      <c r="I7597" s="412"/>
      <c r="J7597" s="16"/>
    </row>
    <row r="7598" spans="1:10" ht="13">
      <c r="A7598" s="27"/>
      <c r="B7598" s="110"/>
      <c r="D7598" s="409"/>
      <c r="E7598" s="13" t="s">
        <v>251</v>
      </c>
      <c r="F7598" s="14"/>
      <c r="G7598" s="543" t="s">
        <v>252</v>
      </c>
      <c r="H7598" s="548">
        <v>1</v>
      </c>
      <c r="I7598" s="412">
        <v>0</v>
      </c>
      <c r="J7598" s="16">
        <f>H7598*I7598</f>
        <v>0</v>
      </c>
    </row>
    <row r="7599" spans="1:10" ht="13.5" thickBot="1">
      <c r="A7599" s="27"/>
      <c r="B7599" s="110"/>
      <c r="D7599" s="409"/>
      <c r="E7599" s="13" t="s">
        <v>253</v>
      </c>
      <c r="F7599" s="14"/>
      <c r="G7599" s="543" t="s">
        <v>160</v>
      </c>
      <c r="H7599" s="548">
        <v>6</v>
      </c>
      <c r="I7599" s="412">
        <v>0</v>
      </c>
      <c r="J7599" s="16">
        <f>H7599*I7599</f>
        <v>0</v>
      </c>
    </row>
    <row r="7600" spans="1:10" ht="13.5" thickBot="1">
      <c r="A7600" s="27"/>
      <c r="B7600" s="110"/>
      <c r="D7600" s="417"/>
      <c r="E7600" s="418"/>
      <c r="F7600" s="418"/>
      <c r="G7600" s="419"/>
      <c r="H7600" s="420" t="s">
        <v>64</v>
      </c>
      <c r="I7600" s="421"/>
      <c r="J7600" s="396">
        <f>SUM(J7598:J7599)</f>
        <v>0</v>
      </c>
    </row>
    <row r="7601" spans="1:10" ht="13.5" thickBot="1">
      <c r="A7601" s="27"/>
      <c r="B7601" s="110"/>
      <c r="D7601" s="406" t="s">
        <v>65</v>
      </c>
      <c r="E7601" s="13" t="s">
        <v>66</v>
      </c>
      <c r="F7601" s="14"/>
      <c r="G7601" s="15"/>
      <c r="H7601" s="451"/>
      <c r="I7601" s="412">
        <f>IF(AND(E7601&lt;&gt;"",G7601&lt;&gt;""),IF(D7601="",IF(G7601="OH",VLOOKUP(E7601,UPAH!$C$4:$H$31,7,0),VLOOKUP(E7601,#REF!,4,0)),0),0)</f>
        <v>0</v>
      </c>
      <c r="J7601" s="16">
        <f>H7601*I7601</f>
        <v>0</v>
      </c>
    </row>
    <row r="7602" spans="1:10" ht="13.5" thickBot="1">
      <c r="A7602" s="27"/>
      <c r="B7602" s="110"/>
      <c r="D7602" s="417"/>
      <c r="E7602" s="418"/>
      <c r="F7602" s="418"/>
      <c r="G7602" s="419"/>
      <c r="H7602" s="420" t="s">
        <v>67</v>
      </c>
      <c r="I7602" s="421"/>
      <c r="J7602" s="396">
        <f>J7601</f>
        <v>0</v>
      </c>
    </row>
    <row r="7603" spans="1:10" ht="13">
      <c r="A7603" s="27"/>
      <c r="B7603" s="110"/>
      <c r="D7603" s="444" t="s">
        <v>68</v>
      </c>
      <c r="E7603" s="445" t="s">
        <v>69</v>
      </c>
      <c r="F7603" s="446"/>
      <c r="G7603" s="447"/>
      <c r="H7603" s="448"/>
      <c r="I7603" s="449">
        <f>IF(AND(E7603&lt;&gt;"",G7603&lt;&gt;""),IF(D7603="",IF(G7603="OH",VLOOKUP(E7603,UPAH!$C$4:$H$31,7,0),VLOOKUP(E7603,#REF!,4,0)),0),0)</f>
        <v>0</v>
      </c>
      <c r="J7603" s="16">
        <f>SUM(J7592:J7602)/2</f>
        <v>0</v>
      </c>
    </row>
    <row r="7604" spans="1:10" ht="13.5" thickBot="1">
      <c r="A7604" s="27"/>
      <c r="B7604" s="110"/>
      <c r="D7604" s="431" t="s">
        <v>70</v>
      </c>
      <c r="E7604" s="432" t="s">
        <v>477</v>
      </c>
      <c r="F7604" s="433"/>
      <c r="G7604" s="434"/>
      <c r="H7604" s="22">
        <v>0.1</v>
      </c>
      <c r="I7604" s="436"/>
      <c r="J7604" s="430">
        <f>H7604*J7603</f>
        <v>0</v>
      </c>
    </row>
    <row r="7605" spans="1:10" ht="13.5" thickBot="1">
      <c r="A7605" s="27"/>
      <c r="B7605" s="110"/>
      <c r="D7605" s="401" t="s">
        <v>71</v>
      </c>
      <c r="E7605" s="402" t="s">
        <v>72</v>
      </c>
      <c r="F7605" s="418"/>
      <c r="G7605" s="419"/>
      <c r="H7605" s="442"/>
      <c r="I7605" s="421">
        <f>IF(AND(E7605&lt;&gt;"",G7605&lt;&gt;""),IF(D7605="",IF(G7605="OH",VLOOKUP(E7605,UPAH!$C$4:$H$31,7,0),VLOOKUP(E7605,#REF!,4,0)),0),0)</f>
        <v>0</v>
      </c>
      <c r="J7605" s="396">
        <f>ROUNDDOWN(J7603+J7604,0)</f>
        <v>0</v>
      </c>
    </row>
    <row r="7606" spans="1:10" ht="13">
      <c r="A7606" s="27"/>
      <c r="B7606" s="110"/>
      <c r="D7606" s="11"/>
      <c r="E7606" s="11"/>
      <c r="H7606" s="443"/>
    </row>
    <row r="7607" spans="1:10" ht="13.5" thickBot="1">
      <c r="A7607" s="27"/>
      <c r="B7607" s="110"/>
      <c r="C7607" s="11" t="s">
        <v>3583</v>
      </c>
      <c r="D7607" s="10" t="s">
        <v>3584</v>
      </c>
      <c r="H7607" s="443"/>
    </row>
    <row r="7608" spans="1:10" ht="13.5" thickBot="1">
      <c r="A7608" s="27"/>
      <c r="B7608" s="110"/>
      <c r="D7608" s="401" t="s">
        <v>40</v>
      </c>
      <c r="E7608" s="402" t="s">
        <v>41</v>
      </c>
      <c r="F7608" s="402" t="s">
        <v>42</v>
      </c>
      <c r="G7608" s="403" t="s">
        <v>43</v>
      </c>
      <c r="H7608" s="404" t="s">
        <v>44</v>
      </c>
      <c r="I7608" s="402" t="s">
        <v>474</v>
      </c>
      <c r="J7608" s="405" t="s">
        <v>475</v>
      </c>
    </row>
    <row r="7609" spans="1:10" ht="13">
      <c r="A7609" s="27"/>
      <c r="B7609" s="110"/>
      <c r="D7609" s="406" t="s">
        <v>45</v>
      </c>
      <c r="E7609" s="13" t="s">
        <v>46</v>
      </c>
      <c r="F7609" s="14"/>
      <c r="G7609" s="15"/>
      <c r="H7609" s="451"/>
      <c r="I7609" s="412"/>
      <c r="J7609" s="16"/>
    </row>
    <row r="7610" spans="1:10" ht="13">
      <c r="A7610" s="27"/>
      <c r="B7610" s="110"/>
      <c r="D7610" s="409"/>
      <c r="E7610" s="13" t="s">
        <v>47</v>
      </c>
      <c r="F7610" s="13" t="s">
        <v>1918</v>
      </c>
      <c r="G7610" s="543" t="s">
        <v>48</v>
      </c>
      <c r="H7610" s="548">
        <v>0.01</v>
      </c>
      <c r="I7610" s="412">
        <f>IF(AND(E7610&lt;&gt;"",G7610&lt;&gt;""),IF(D7610="",IF(G7610="OH",VLOOKUP(F7610,UPAH!$B$4:$H$101,7,0),VLOOKUP(F7610,#REF!,4,0)),0),0)</f>
        <v>0</v>
      </c>
      <c r="J7610" s="16">
        <f>H7610*I7610</f>
        <v>0</v>
      </c>
    </row>
    <row r="7611" spans="1:10" ht="13">
      <c r="A7611" s="27"/>
      <c r="B7611" s="110"/>
      <c r="D7611" s="409"/>
      <c r="E7611" s="13" t="s">
        <v>81</v>
      </c>
      <c r="F7611" s="13" t="s">
        <v>1921</v>
      </c>
      <c r="G7611" s="543" t="s">
        <v>48</v>
      </c>
      <c r="H7611" s="548">
        <v>0.1</v>
      </c>
      <c r="I7611" s="412">
        <f>IF(AND(E7611&lt;&gt;"",G7611&lt;&gt;""),IF(D7611="",IF(G7611="OH",VLOOKUP(F7611,UPAH!$B$4:$H$101,7,0),VLOOKUP(F7611,#REF!,4,0)),0),0)</f>
        <v>0</v>
      </c>
      <c r="J7611" s="16">
        <f>H7611*I7611</f>
        <v>0</v>
      </c>
    </row>
    <row r="7612" spans="1:10" ht="13">
      <c r="A7612" s="27"/>
      <c r="B7612" s="110"/>
      <c r="D7612" s="409"/>
      <c r="E7612" s="13" t="s">
        <v>50</v>
      </c>
      <c r="F7612" s="13" t="s">
        <v>1928</v>
      </c>
      <c r="G7612" s="543" t="s">
        <v>48</v>
      </c>
      <c r="H7612" s="548">
        <v>0.01</v>
      </c>
      <c r="I7612" s="412">
        <f>IF(AND(E7612&lt;&gt;"",G7612&lt;&gt;""),IF(D7612="",IF(G7612="OH",VLOOKUP(F7612,UPAH!$B$4:$H$101,7,0),VLOOKUP(F7612,#REF!,4,0)),0),0)</f>
        <v>0</v>
      </c>
      <c r="J7612" s="16">
        <f>H7612*I7612</f>
        <v>0</v>
      </c>
    </row>
    <row r="7613" spans="1:10" ht="13.5" thickBot="1">
      <c r="A7613" s="27"/>
      <c r="B7613" s="110"/>
      <c r="D7613" s="409"/>
      <c r="E7613" s="13" t="s">
        <v>51</v>
      </c>
      <c r="F7613" s="13" t="s">
        <v>1929</v>
      </c>
      <c r="G7613" s="543" t="s">
        <v>48</v>
      </c>
      <c r="H7613" s="548">
        <v>5.0000000000000001E-3</v>
      </c>
      <c r="I7613" s="412">
        <f>IF(AND(E7613&lt;&gt;"",G7613&lt;&gt;""),IF(D7613="",IF(G7613="OH",VLOOKUP(F7613,UPAH!$B$4:$H$101,7,0),VLOOKUP(F7613,#REF!,4,0)),0),0)</f>
        <v>0</v>
      </c>
      <c r="J7613" s="16">
        <f>H7613*I7613</f>
        <v>0</v>
      </c>
    </row>
    <row r="7614" spans="1:10" ht="13.5" thickBot="1">
      <c r="A7614" s="27"/>
      <c r="B7614" s="110"/>
      <c r="D7614" s="417"/>
      <c r="E7614" s="418"/>
      <c r="F7614" s="418"/>
      <c r="G7614" s="419"/>
      <c r="H7614" s="420" t="s">
        <v>52</v>
      </c>
      <c r="I7614" s="421"/>
      <c r="J7614" s="396">
        <f>SUM(J7610:J7613)</f>
        <v>0</v>
      </c>
    </row>
    <row r="7615" spans="1:10" ht="13">
      <c r="A7615" s="27"/>
      <c r="B7615" s="110"/>
      <c r="D7615" s="406" t="s">
        <v>53</v>
      </c>
      <c r="E7615" s="13" t="s">
        <v>54</v>
      </c>
      <c r="F7615" s="14"/>
      <c r="G7615" s="15"/>
      <c r="H7615" s="451"/>
      <c r="I7615" s="412"/>
      <c r="J7615" s="16"/>
    </row>
    <row r="7616" spans="1:10" ht="13">
      <c r="A7616" s="27"/>
      <c r="B7616" s="110"/>
      <c r="D7616" s="409"/>
      <c r="E7616" s="13" t="s">
        <v>3585</v>
      </c>
      <c r="F7616" s="13"/>
      <c r="G7616" s="543" t="s">
        <v>259</v>
      </c>
      <c r="H7616" s="548">
        <v>1</v>
      </c>
      <c r="I7616" s="412">
        <v>0</v>
      </c>
      <c r="J7616" s="16">
        <f>H7616*I7616</f>
        <v>0</v>
      </c>
    </row>
    <row r="7617" spans="1:10" ht="13">
      <c r="A7617" s="27"/>
      <c r="B7617" s="110"/>
      <c r="D7617" s="409"/>
      <c r="E7617" s="13" t="s">
        <v>3586</v>
      </c>
      <c r="F7617" s="13"/>
      <c r="G7617" s="543" t="s">
        <v>259</v>
      </c>
      <c r="H7617" s="548">
        <v>1</v>
      </c>
      <c r="I7617" s="412">
        <v>0</v>
      </c>
      <c r="J7617" s="16">
        <f>H7617*I7617</f>
        <v>0</v>
      </c>
    </row>
    <row r="7618" spans="1:10" ht="13.5" thickBot="1">
      <c r="A7618" s="27"/>
      <c r="B7618" s="110"/>
      <c r="D7618" s="409"/>
      <c r="E7618" s="13" t="s">
        <v>3587</v>
      </c>
      <c r="F7618" s="13"/>
      <c r="G7618" s="543" t="s">
        <v>3257</v>
      </c>
      <c r="H7618" s="548">
        <v>1</v>
      </c>
      <c r="I7618" s="412">
        <v>0</v>
      </c>
      <c r="J7618" s="16">
        <f>H7618*I7618</f>
        <v>0</v>
      </c>
    </row>
    <row r="7619" spans="1:10" ht="13.5" thickBot="1">
      <c r="A7619" s="27"/>
      <c r="B7619" s="110"/>
      <c r="D7619" s="417"/>
      <c r="E7619" s="418"/>
      <c r="F7619" s="418"/>
      <c r="G7619" s="419"/>
      <c r="H7619" s="420" t="s">
        <v>64</v>
      </c>
      <c r="I7619" s="421"/>
      <c r="J7619" s="396">
        <f>SUM(J7616:J7618)</f>
        <v>0</v>
      </c>
    </row>
    <row r="7620" spans="1:10" ht="13.5" thickBot="1">
      <c r="A7620" s="27"/>
      <c r="B7620" s="110"/>
      <c r="D7620" s="406" t="s">
        <v>65</v>
      </c>
      <c r="E7620" s="13" t="s">
        <v>66</v>
      </c>
      <c r="F7620" s="14"/>
      <c r="G7620" s="15"/>
      <c r="H7620" s="451"/>
      <c r="I7620" s="412">
        <f>IF(AND(E7620&lt;&gt;"",G7620&lt;&gt;""),IF(D7620="",IF(G7620="OH",VLOOKUP(E7620,UPAH!$C$4:$H$31,7,0),VLOOKUP(E7620,#REF!,4,0)),0),0)</f>
        <v>0</v>
      </c>
      <c r="J7620" s="16">
        <f>H7620*I7620</f>
        <v>0</v>
      </c>
    </row>
    <row r="7621" spans="1:10" ht="13.5" thickBot="1">
      <c r="A7621" s="27"/>
      <c r="B7621" s="110"/>
      <c r="D7621" s="417"/>
      <c r="E7621" s="418"/>
      <c r="F7621" s="418"/>
      <c r="G7621" s="419"/>
      <c r="H7621" s="420" t="s">
        <v>67</v>
      </c>
      <c r="I7621" s="421"/>
      <c r="J7621" s="396">
        <f>J7620</f>
        <v>0</v>
      </c>
    </row>
    <row r="7622" spans="1:10" ht="13">
      <c r="A7622" s="27"/>
      <c r="B7622" s="110"/>
      <c r="D7622" s="444" t="s">
        <v>68</v>
      </c>
      <c r="E7622" s="445" t="s">
        <v>69</v>
      </c>
      <c r="F7622" s="446"/>
      <c r="G7622" s="447"/>
      <c r="H7622" s="448"/>
      <c r="I7622" s="449">
        <f>IF(AND(E7622&lt;&gt;"",G7622&lt;&gt;""),IF(D7622="",IF(G7622="OH",VLOOKUP(E7622,UPAH!$C$4:$H$31,7,0),VLOOKUP(E7622,#REF!,4,0)),0),0)</f>
        <v>0</v>
      </c>
      <c r="J7622" s="16">
        <f>SUM(J7610:J7621)/2</f>
        <v>0</v>
      </c>
    </row>
    <row r="7623" spans="1:10" ht="13.5" thickBot="1">
      <c r="A7623" s="27"/>
      <c r="B7623" s="110"/>
      <c r="D7623" s="431" t="s">
        <v>70</v>
      </c>
      <c r="E7623" s="432" t="s">
        <v>477</v>
      </c>
      <c r="F7623" s="433"/>
      <c r="G7623" s="434"/>
      <c r="H7623" s="22">
        <v>0.1</v>
      </c>
      <c r="I7623" s="436"/>
      <c r="J7623" s="430">
        <f>H7623*J7622</f>
        <v>0</v>
      </c>
    </row>
    <row r="7624" spans="1:10" ht="13.5" thickBot="1">
      <c r="A7624" s="27"/>
      <c r="B7624" s="110"/>
      <c r="D7624" s="401" t="s">
        <v>71</v>
      </c>
      <c r="E7624" s="402" t="s">
        <v>72</v>
      </c>
      <c r="F7624" s="418"/>
      <c r="G7624" s="419"/>
      <c r="H7624" s="442"/>
      <c r="I7624" s="421">
        <f>IF(AND(E7624&lt;&gt;"",G7624&lt;&gt;""),IF(D7624="",IF(G7624="OH",VLOOKUP(E7624,UPAH!$C$4:$H$31,7,0),VLOOKUP(E7624,#REF!,4,0)),0),0)</f>
        <v>0</v>
      </c>
      <c r="J7624" s="396">
        <f>ROUNDDOWN(J7622+J7623,0)</f>
        <v>0</v>
      </c>
    </row>
    <row r="7625" spans="1:10" ht="13">
      <c r="A7625" s="27"/>
      <c r="B7625" s="110"/>
      <c r="D7625" s="11"/>
      <c r="E7625" s="11"/>
      <c r="H7625" s="443"/>
    </row>
    <row r="7626" spans="1:10" ht="13.5" thickBot="1">
      <c r="A7626" s="27"/>
      <c r="B7626" s="110"/>
      <c r="C7626" s="11" t="s">
        <v>3589</v>
      </c>
      <c r="D7626" s="10" t="s">
        <v>3590</v>
      </c>
      <c r="H7626" s="443"/>
    </row>
    <row r="7627" spans="1:10" ht="13.5" thickBot="1">
      <c r="A7627" s="27"/>
      <c r="B7627" s="110"/>
      <c r="D7627" s="401" t="s">
        <v>40</v>
      </c>
      <c r="E7627" s="402" t="s">
        <v>41</v>
      </c>
      <c r="F7627" s="402" t="s">
        <v>42</v>
      </c>
      <c r="G7627" s="403" t="s">
        <v>43</v>
      </c>
      <c r="H7627" s="404" t="s">
        <v>44</v>
      </c>
      <c r="I7627" s="402" t="s">
        <v>474</v>
      </c>
      <c r="J7627" s="405" t="s">
        <v>475</v>
      </c>
    </row>
    <row r="7628" spans="1:10" ht="13">
      <c r="A7628" s="27"/>
      <c r="B7628" s="110"/>
      <c r="D7628" s="406" t="s">
        <v>45</v>
      </c>
      <c r="E7628" s="13" t="s">
        <v>46</v>
      </c>
      <c r="F7628" s="14"/>
      <c r="G7628" s="15"/>
      <c r="H7628" s="451"/>
      <c r="I7628" s="412"/>
      <c r="J7628" s="16"/>
    </row>
    <row r="7629" spans="1:10" ht="13">
      <c r="A7629" s="27"/>
      <c r="B7629" s="110"/>
      <c r="D7629" s="409"/>
      <c r="E7629" s="13" t="s">
        <v>47</v>
      </c>
      <c r="F7629" s="13" t="s">
        <v>1918</v>
      </c>
      <c r="G7629" s="543" t="s">
        <v>48</v>
      </c>
      <c r="H7629" s="548">
        <v>0.01</v>
      </c>
      <c r="I7629" s="412">
        <f>IF(AND(E7629&lt;&gt;"",G7629&lt;&gt;""),IF(D7629="",IF(G7629="OH",VLOOKUP(F7629,UPAH!$B$4:$H$101,7,0),VLOOKUP(F7629,#REF!,4,0)),0),0)</f>
        <v>0</v>
      </c>
      <c r="J7629" s="16">
        <f>H7629*I7629</f>
        <v>0</v>
      </c>
    </row>
    <row r="7630" spans="1:10" ht="13">
      <c r="A7630" s="27"/>
      <c r="B7630" s="110"/>
      <c r="D7630" s="409"/>
      <c r="E7630" s="13" t="s">
        <v>81</v>
      </c>
      <c r="F7630" s="13" t="s">
        <v>1921</v>
      </c>
      <c r="G7630" s="543" t="s">
        <v>48</v>
      </c>
      <c r="H7630" s="548">
        <v>0.1</v>
      </c>
      <c r="I7630" s="412">
        <f>IF(AND(E7630&lt;&gt;"",G7630&lt;&gt;""),IF(D7630="",IF(G7630="OH",VLOOKUP(F7630,UPAH!$B$4:$H$101,7,0),VLOOKUP(F7630,#REF!,4,0)),0),0)</f>
        <v>0</v>
      </c>
      <c r="J7630" s="16">
        <f>H7630*I7630</f>
        <v>0</v>
      </c>
    </row>
    <row r="7631" spans="1:10" ht="13">
      <c r="A7631" s="27"/>
      <c r="B7631" s="110"/>
      <c r="D7631" s="409"/>
      <c r="E7631" s="13" t="s">
        <v>50</v>
      </c>
      <c r="F7631" s="13" t="s">
        <v>1928</v>
      </c>
      <c r="G7631" s="543" t="s">
        <v>48</v>
      </c>
      <c r="H7631" s="548">
        <v>0.01</v>
      </c>
      <c r="I7631" s="412">
        <f>IF(AND(E7631&lt;&gt;"",G7631&lt;&gt;""),IF(D7631="",IF(G7631="OH",VLOOKUP(F7631,UPAH!$B$4:$H$101,7,0),VLOOKUP(F7631,#REF!,4,0)),0),0)</f>
        <v>0</v>
      </c>
      <c r="J7631" s="16">
        <f>H7631*I7631</f>
        <v>0</v>
      </c>
    </row>
    <row r="7632" spans="1:10" ht="13.5" thickBot="1">
      <c r="A7632" s="27"/>
      <c r="B7632" s="110"/>
      <c r="D7632" s="409"/>
      <c r="E7632" s="13" t="s">
        <v>51</v>
      </c>
      <c r="F7632" s="13" t="s">
        <v>1929</v>
      </c>
      <c r="G7632" s="543" t="s">
        <v>48</v>
      </c>
      <c r="H7632" s="548">
        <v>5.0000000000000001E-3</v>
      </c>
      <c r="I7632" s="412">
        <f>IF(AND(E7632&lt;&gt;"",G7632&lt;&gt;""),IF(D7632="",IF(G7632="OH",VLOOKUP(F7632,UPAH!$B$4:$H$101,7,0),VLOOKUP(F7632,#REF!,4,0)),0),0)</f>
        <v>0</v>
      </c>
      <c r="J7632" s="16">
        <f>H7632*I7632</f>
        <v>0</v>
      </c>
    </row>
    <row r="7633" spans="1:10" ht="13.5" thickBot="1">
      <c r="A7633" s="27"/>
      <c r="B7633" s="110"/>
      <c r="D7633" s="417"/>
      <c r="E7633" s="418"/>
      <c r="F7633" s="418"/>
      <c r="G7633" s="419"/>
      <c r="H7633" s="420" t="s">
        <v>52</v>
      </c>
      <c r="I7633" s="421"/>
      <c r="J7633" s="396">
        <f>SUM(J7629:J7632)</f>
        <v>0</v>
      </c>
    </row>
    <row r="7634" spans="1:10" ht="13">
      <c r="A7634" s="27"/>
      <c r="B7634" s="110"/>
      <c r="D7634" s="406" t="s">
        <v>53</v>
      </c>
      <c r="E7634" s="13" t="s">
        <v>54</v>
      </c>
      <c r="F7634" s="14"/>
      <c r="G7634" s="15"/>
      <c r="H7634" s="451"/>
      <c r="I7634" s="412"/>
      <c r="J7634" s="16"/>
    </row>
    <row r="7635" spans="1:10" ht="13.5" thickBot="1">
      <c r="A7635" s="27"/>
      <c r="B7635" s="110"/>
      <c r="D7635" s="409"/>
      <c r="E7635" s="13" t="s">
        <v>3591</v>
      </c>
      <c r="F7635" s="13"/>
      <c r="G7635" s="543" t="s">
        <v>259</v>
      </c>
      <c r="H7635" s="548">
        <v>1</v>
      </c>
      <c r="I7635" s="412">
        <v>0</v>
      </c>
      <c r="J7635" s="16">
        <f>H7635*I7635</f>
        <v>0</v>
      </c>
    </row>
    <row r="7636" spans="1:10" ht="13.5" thickBot="1">
      <c r="A7636" s="27"/>
      <c r="B7636" s="110"/>
      <c r="D7636" s="417"/>
      <c r="E7636" s="418"/>
      <c r="F7636" s="418"/>
      <c r="G7636" s="419"/>
      <c r="H7636" s="420" t="s">
        <v>64</v>
      </c>
      <c r="I7636" s="421"/>
      <c r="J7636" s="396">
        <f>SUM(J7635:J7635)</f>
        <v>0</v>
      </c>
    </row>
    <row r="7637" spans="1:10" ht="13.5" thickBot="1">
      <c r="A7637" s="27"/>
      <c r="B7637" s="110"/>
      <c r="D7637" s="406" t="s">
        <v>65</v>
      </c>
      <c r="E7637" s="13" t="s">
        <v>66</v>
      </c>
      <c r="F7637" s="14"/>
      <c r="G7637" s="15"/>
      <c r="H7637" s="451"/>
      <c r="I7637" s="412">
        <f>IF(AND(E7637&lt;&gt;"",G7637&lt;&gt;""),IF(D7637="",IF(G7637="OH",VLOOKUP(E7637,UPAH!$C$4:$H$31,7,0),VLOOKUP(E7637,#REF!,4,0)),0),0)</f>
        <v>0</v>
      </c>
      <c r="J7637" s="16">
        <f>H7637*I7637</f>
        <v>0</v>
      </c>
    </row>
    <row r="7638" spans="1:10" ht="13.5" thickBot="1">
      <c r="A7638" s="27"/>
      <c r="B7638" s="110"/>
      <c r="D7638" s="417"/>
      <c r="E7638" s="418"/>
      <c r="F7638" s="418"/>
      <c r="G7638" s="419"/>
      <c r="H7638" s="420" t="s">
        <v>67</v>
      </c>
      <c r="I7638" s="421"/>
      <c r="J7638" s="396">
        <f>J7637</f>
        <v>0</v>
      </c>
    </row>
    <row r="7639" spans="1:10" ht="13">
      <c r="A7639" s="27"/>
      <c r="B7639" s="110"/>
      <c r="D7639" s="444" t="s">
        <v>68</v>
      </c>
      <c r="E7639" s="445" t="s">
        <v>69</v>
      </c>
      <c r="F7639" s="446"/>
      <c r="G7639" s="447"/>
      <c r="H7639" s="448"/>
      <c r="I7639" s="449">
        <f>IF(AND(E7639&lt;&gt;"",G7639&lt;&gt;""),IF(D7639="",IF(G7639="OH",VLOOKUP(E7639,UPAH!$C$4:$H$31,7,0),VLOOKUP(E7639,#REF!,4,0)),0),0)</f>
        <v>0</v>
      </c>
      <c r="J7639" s="16">
        <f>SUM(J7629:J7638)/2</f>
        <v>0</v>
      </c>
    </row>
    <row r="7640" spans="1:10" ht="13.5" thickBot="1">
      <c r="A7640" s="27"/>
      <c r="B7640" s="110"/>
      <c r="D7640" s="431" t="s">
        <v>70</v>
      </c>
      <c r="E7640" s="432" t="s">
        <v>477</v>
      </c>
      <c r="F7640" s="433"/>
      <c r="G7640" s="434"/>
      <c r="H7640" s="22">
        <v>0.1</v>
      </c>
      <c r="I7640" s="436"/>
      <c r="J7640" s="430">
        <f>H7640*J7639</f>
        <v>0</v>
      </c>
    </row>
    <row r="7641" spans="1:10" ht="13.5" thickBot="1">
      <c r="A7641" s="27"/>
      <c r="B7641" s="110"/>
      <c r="D7641" s="401" t="s">
        <v>71</v>
      </c>
      <c r="E7641" s="402" t="s">
        <v>72</v>
      </c>
      <c r="F7641" s="418"/>
      <c r="G7641" s="419"/>
      <c r="H7641" s="442"/>
      <c r="I7641" s="421">
        <f>IF(AND(E7641&lt;&gt;"",G7641&lt;&gt;""),IF(D7641="",IF(G7641="OH",VLOOKUP(E7641,UPAH!$C$4:$H$31,7,0),VLOOKUP(E7641,#REF!,4,0)),0),0)</f>
        <v>0</v>
      </c>
      <c r="J7641" s="396">
        <f>ROUNDDOWN(J7639+J7640,0)</f>
        <v>0</v>
      </c>
    </row>
    <row r="7642" spans="1:10" ht="13">
      <c r="A7642" s="27"/>
      <c r="B7642" s="110"/>
      <c r="D7642" s="11"/>
      <c r="E7642" s="11"/>
      <c r="H7642" s="443"/>
    </row>
    <row r="7643" spans="1:10" ht="13.5" thickBot="1">
      <c r="A7643" s="27"/>
      <c r="B7643" s="110"/>
      <c r="C7643" s="11" t="s">
        <v>3593</v>
      </c>
      <c r="D7643" s="10" t="s">
        <v>3594</v>
      </c>
      <c r="H7643" s="443"/>
    </row>
    <row r="7644" spans="1:10" ht="13.5" thickBot="1">
      <c r="A7644" s="27"/>
      <c r="B7644" s="110"/>
      <c r="D7644" s="401" t="s">
        <v>40</v>
      </c>
      <c r="E7644" s="402" t="s">
        <v>41</v>
      </c>
      <c r="F7644" s="402" t="s">
        <v>42</v>
      </c>
      <c r="G7644" s="403" t="s">
        <v>43</v>
      </c>
      <c r="H7644" s="404" t="s">
        <v>44</v>
      </c>
      <c r="I7644" s="402" t="s">
        <v>474</v>
      </c>
      <c r="J7644" s="405" t="s">
        <v>475</v>
      </c>
    </row>
    <row r="7645" spans="1:10" ht="13">
      <c r="A7645" s="27"/>
      <c r="B7645" s="110"/>
      <c r="D7645" s="406" t="s">
        <v>45</v>
      </c>
      <c r="E7645" s="13" t="s">
        <v>46</v>
      </c>
      <c r="F7645" s="14"/>
      <c r="G7645" s="15"/>
      <c r="H7645" s="451"/>
      <c r="I7645" s="412"/>
      <c r="J7645" s="16"/>
    </row>
    <row r="7646" spans="1:10" ht="13">
      <c r="A7646" s="27"/>
      <c r="B7646" s="110"/>
      <c r="D7646" s="409"/>
      <c r="E7646" s="13" t="s">
        <v>47</v>
      </c>
      <c r="F7646" s="13" t="s">
        <v>1918</v>
      </c>
      <c r="G7646" s="543" t="s">
        <v>48</v>
      </c>
      <c r="H7646" s="548">
        <v>1.2</v>
      </c>
      <c r="I7646" s="412">
        <f>IF(AND(E7646&lt;&gt;"",G7646&lt;&gt;""),IF(D7646="",IF(G7646="OH",VLOOKUP(F7646,UPAH!$B$4:$H$101,7,0),VLOOKUP(F7646,#REF!,4,0)),0),0)</f>
        <v>0</v>
      </c>
      <c r="J7646" s="16">
        <f>H7646*I7646</f>
        <v>0</v>
      </c>
    </row>
    <row r="7647" spans="1:10" ht="13">
      <c r="A7647" s="27"/>
      <c r="B7647" s="110"/>
      <c r="D7647" s="409"/>
      <c r="E7647" s="13" t="s">
        <v>81</v>
      </c>
      <c r="F7647" s="13" t="s">
        <v>1921</v>
      </c>
      <c r="G7647" s="543" t="s">
        <v>48</v>
      </c>
      <c r="H7647" s="548">
        <v>1.45</v>
      </c>
      <c r="I7647" s="412">
        <f>IF(AND(E7647&lt;&gt;"",G7647&lt;&gt;""),IF(D7647="",IF(G7647="OH",VLOOKUP(F7647,UPAH!$B$4:$H$101,7,0),VLOOKUP(F7647,#REF!,4,0)),0),0)</f>
        <v>0</v>
      </c>
      <c r="J7647" s="16">
        <f>H7647*I7647</f>
        <v>0</v>
      </c>
    </row>
    <row r="7648" spans="1:10" ht="13">
      <c r="A7648" s="27"/>
      <c r="B7648" s="110"/>
      <c r="D7648" s="409"/>
      <c r="E7648" s="13" t="s">
        <v>50</v>
      </c>
      <c r="F7648" s="13" t="s">
        <v>1928</v>
      </c>
      <c r="G7648" s="543" t="s">
        <v>48</v>
      </c>
      <c r="H7648" s="548">
        <v>0.15</v>
      </c>
      <c r="I7648" s="412">
        <f>IF(AND(E7648&lt;&gt;"",G7648&lt;&gt;""),IF(D7648="",IF(G7648="OH",VLOOKUP(F7648,UPAH!$B$4:$H$101,7,0),VLOOKUP(F7648,#REF!,4,0)),0),0)</f>
        <v>0</v>
      </c>
      <c r="J7648" s="16">
        <f>H7648*I7648</f>
        <v>0</v>
      </c>
    </row>
    <row r="7649" spans="1:10" ht="13.5" thickBot="1">
      <c r="A7649" s="27"/>
      <c r="B7649" s="110"/>
      <c r="D7649" s="409"/>
      <c r="E7649" s="13" t="s">
        <v>51</v>
      </c>
      <c r="F7649" s="13" t="s">
        <v>1929</v>
      </c>
      <c r="G7649" s="543" t="s">
        <v>48</v>
      </c>
      <c r="H7649" s="548">
        <v>0.06</v>
      </c>
      <c r="I7649" s="412">
        <f>IF(AND(E7649&lt;&gt;"",G7649&lt;&gt;""),IF(D7649="",IF(G7649="OH",VLOOKUP(F7649,UPAH!$B$4:$H$101,7,0),VLOOKUP(F7649,#REF!,4,0)),0),0)</f>
        <v>0</v>
      </c>
      <c r="J7649" s="16">
        <f>H7649*I7649</f>
        <v>0</v>
      </c>
    </row>
    <row r="7650" spans="1:10" ht="13.5" thickBot="1">
      <c r="A7650" s="27"/>
      <c r="B7650" s="110"/>
      <c r="D7650" s="417"/>
      <c r="E7650" s="418"/>
      <c r="F7650" s="418"/>
      <c r="G7650" s="419"/>
      <c r="H7650" s="420" t="s">
        <v>52</v>
      </c>
      <c r="I7650" s="421"/>
      <c r="J7650" s="396">
        <f>SUM(J7646:J7649)</f>
        <v>0</v>
      </c>
    </row>
    <row r="7651" spans="1:10" ht="13">
      <c r="A7651" s="27"/>
      <c r="B7651" s="110"/>
      <c r="D7651" s="406" t="s">
        <v>53</v>
      </c>
      <c r="E7651" s="13" t="s">
        <v>54</v>
      </c>
      <c r="F7651" s="14"/>
      <c r="G7651" s="15"/>
      <c r="H7651" s="451"/>
      <c r="I7651" s="412"/>
      <c r="J7651" s="16"/>
    </row>
    <row r="7652" spans="1:10" ht="13">
      <c r="A7652" s="27"/>
      <c r="B7652" s="110"/>
      <c r="D7652" s="409"/>
      <c r="E7652" s="13" t="s">
        <v>3595</v>
      </c>
      <c r="F7652" s="13"/>
      <c r="G7652" s="543" t="s">
        <v>259</v>
      </c>
      <c r="H7652" s="548">
        <v>1</v>
      </c>
      <c r="I7652" s="412">
        <v>0</v>
      </c>
      <c r="J7652" s="16">
        <f>H7652*I7652</f>
        <v>0</v>
      </c>
    </row>
    <row r="7653" spans="1:10" ht="13">
      <c r="A7653" s="27"/>
      <c r="B7653" s="110"/>
      <c r="D7653" s="409"/>
      <c r="E7653" s="13" t="s">
        <v>3596</v>
      </c>
      <c r="F7653" s="13"/>
      <c r="G7653" s="543" t="s">
        <v>93</v>
      </c>
      <c r="H7653" s="548">
        <v>6</v>
      </c>
      <c r="I7653" s="412">
        <f>I7707</f>
        <v>0</v>
      </c>
      <c r="J7653" s="16">
        <f t="shared" ref="J7653:J7654" si="39">H7653*I7653</f>
        <v>0</v>
      </c>
    </row>
    <row r="7654" spans="1:10" ht="13">
      <c r="A7654" s="27"/>
      <c r="B7654" s="110"/>
      <c r="D7654" s="409"/>
      <c r="E7654" s="13" t="s">
        <v>85</v>
      </c>
      <c r="F7654" s="13"/>
      <c r="G7654" s="543" t="s">
        <v>375</v>
      </c>
      <c r="H7654" s="548">
        <v>0.01</v>
      </c>
      <c r="I7654" s="412">
        <f>I7708</f>
        <v>0</v>
      </c>
      <c r="J7654" s="16">
        <f t="shared" si="39"/>
        <v>0</v>
      </c>
    </row>
    <row r="7655" spans="1:10" ht="13.5" thickBot="1">
      <c r="A7655" s="27"/>
      <c r="B7655" s="110"/>
      <c r="D7655" s="409"/>
      <c r="E7655" s="13" t="s">
        <v>253</v>
      </c>
      <c r="F7655" s="13"/>
      <c r="G7655" s="543" t="s">
        <v>160</v>
      </c>
      <c r="H7655" s="548">
        <v>12</v>
      </c>
      <c r="I7655" s="412">
        <v>0</v>
      </c>
      <c r="J7655" s="16">
        <f>+I7655</f>
        <v>0</v>
      </c>
    </row>
    <row r="7656" spans="1:10" ht="13.5" thickBot="1">
      <c r="A7656" s="27"/>
      <c r="B7656" s="110"/>
      <c r="D7656" s="417"/>
      <c r="E7656" s="418"/>
      <c r="F7656" s="418"/>
      <c r="G7656" s="419"/>
      <c r="H7656" s="420" t="s">
        <v>64</v>
      </c>
      <c r="I7656" s="421"/>
      <c r="J7656" s="396">
        <f>SUM(J7652:J7652)</f>
        <v>0</v>
      </c>
    </row>
    <row r="7657" spans="1:10" ht="13.5" thickBot="1">
      <c r="A7657" s="27"/>
      <c r="B7657" s="110"/>
      <c r="D7657" s="406" t="s">
        <v>65</v>
      </c>
      <c r="E7657" s="13" t="s">
        <v>66</v>
      </c>
      <c r="F7657" s="14"/>
      <c r="G7657" s="15"/>
      <c r="H7657" s="451"/>
      <c r="I7657" s="412">
        <f>IF(AND(E7657&lt;&gt;"",G7657&lt;&gt;""),IF(D7657="",IF(G7657="OH",VLOOKUP(E7657,UPAH!$C$4:$H$31,7,0),VLOOKUP(E7657,#REF!,4,0)),0),0)</f>
        <v>0</v>
      </c>
      <c r="J7657" s="16">
        <f>H7657*I7657</f>
        <v>0</v>
      </c>
    </row>
    <row r="7658" spans="1:10" ht="13.5" thickBot="1">
      <c r="A7658" s="27"/>
      <c r="B7658" s="110"/>
      <c r="D7658" s="417"/>
      <c r="E7658" s="418"/>
      <c r="F7658" s="418"/>
      <c r="G7658" s="419"/>
      <c r="H7658" s="420" t="s">
        <v>67</v>
      </c>
      <c r="I7658" s="421"/>
      <c r="J7658" s="396">
        <f>J7657</f>
        <v>0</v>
      </c>
    </row>
    <row r="7659" spans="1:10" ht="13">
      <c r="A7659" s="27"/>
      <c r="B7659" s="110"/>
      <c r="D7659" s="444" t="s">
        <v>68</v>
      </c>
      <c r="E7659" s="445" t="s">
        <v>69</v>
      </c>
      <c r="F7659" s="446"/>
      <c r="G7659" s="447"/>
      <c r="H7659" s="448"/>
      <c r="I7659" s="449">
        <f>IF(AND(E7659&lt;&gt;"",G7659&lt;&gt;""),IF(D7659="",IF(G7659="OH",VLOOKUP(E7659,UPAH!$C$4:$H$31,7,0),VLOOKUP(E7659,#REF!,4,0)),0),0)</f>
        <v>0</v>
      </c>
      <c r="J7659" s="16">
        <f>SUM(J7646:J7658)/2</f>
        <v>0</v>
      </c>
    </row>
    <row r="7660" spans="1:10" ht="13.5" thickBot="1">
      <c r="A7660" s="27"/>
      <c r="B7660" s="110"/>
      <c r="D7660" s="431" t="s">
        <v>70</v>
      </c>
      <c r="E7660" s="432" t="s">
        <v>477</v>
      </c>
      <c r="F7660" s="433"/>
      <c r="G7660" s="434"/>
      <c r="H7660" s="22">
        <v>0.1</v>
      </c>
      <c r="I7660" s="436"/>
      <c r="J7660" s="430">
        <f>H7660*J7659</f>
        <v>0</v>
      </c>
    </row>
    <row r="7661" spans="1:10" ht="13.5" thickBot="1">
      <c r="A7661" s="27"/>
      <c r="B7661" s="110"/>
      <c r="D7661" s="401" t="s">
        <v>71</v>
      </c>
      <c r="E7661" s="402" t="s">
        <v>72</v>
      </c>
      <c r="F7661" s="418"/>
      <c r="G7661" s="419"/>
      <c r="H7661" s="442"/>
      <c r="I7661" s="421">
        <f>IF(AND(E7661&lt;&gt;"",G7661&lt;&gt;""),IF(D7661="",IF(G7661="OH",VLOOKUP(E7661,UPAH!$C$4:$H$31,7,0),VLOOKUP(E7661,#REF!,4,0)),0),0)</f>
        <v>0</v>
      </c>
      <c r="J7661" s="396">
        <f>ROUNDDOWN(J7659+J7660,0)</f>
        <v>0</v>
      </c>
    </row>
    <row r="7662" spans="1:10" ht="13">
      <c r="A7662" s="27"/>
      <c r="B7662" s="110"/>
      <c r="D7662" s="11"/>
      <c r="E7662" s="11"/>
      <c r="H7662" s="443"/>
    </row>
    <row r="7663" spans="1:10" ht="13.5" thickBot="1">
      <c r="A7663" s="27"/>
      <c r="B7663" s="110"/>
      <c r="C7663" s="11" t="s">
        <v>3597</v>
      </c>
      <c r="D7663" s="10" t="s">
        <v>3598</v>
      </c>
      <c r="H7663" s="443"/>
    </row>
    <row r="7664" spans="1:10" ht="13.5" thickBot="1">
      <c r="A7664" s="27"/>
      <c r="B7664" s="110"/>
      <c r="D7664" s="401" t="s">
        <v>40</v>
      </c>
      <c r="E7664" s="402" t="s">
        <v>41</v>
      </c>
      <c r="F7664" s="402" t="s">
        <v>42</v>
      </c>
      <c r="G7664" s="403" t="s">
        <v>43</v>
      </c>
      <c r="H7664" s="404" t="s">
        <v>44</v>
      </c>
      <c r="I7664" s="402" t="s">
        <v>474</v>
      </c>
      <c r="J7664" s="405" t="s">
        <v>475</v>
      </c>
    </row>
    <row r="7665" spans="1:10" ht="13">
      <c r="A7665" s="27"/>
      <c r="B7665" s="110"/>
      <c r="D7665" s="406" t="s">
        <v>45</v>
      </c>
      <c r="E7665" s="13" t="s">
        <v>46</v>
      </c>
      <c r="F7665" s="14"/>
      <c r="G7665" s="15"/>
      <c r="H7665" s="451"/>
      <c r="I7665" s="412"/>
      <c r="J7665" s="16"/>
    </row>
    <row r="7666" spans="1:10" ht="13">
      <c r="A7666" s="27"/>
      <c r="B7666" s="110"/>
      <c r="D7666" s="409"/>
      <c r="E7666" s="13" t="s">
        <v>47</v>
      </c>
      <c r="F7666" s="13" t="s">
        <v>1918</v>
      </c>
      <c r="G7666" s="543" t="s">
        <v>48</v>
      </c>
      <c r="H7666" s="548">
        <v>0.01</v>
      </c>
      <c r="I7666" s="412">
        <f>IF(AND(E7666&lt;&gt;"",G7666&lt;&gt;""),IF(D7666="",IF(G7666="OH",VLOOKUP(F7666,UPAH!$B$4:$H$101,7,0),VLOOKUP(F7666,#REF!,4,0)),0),0)</f>
        <v>0</v>
      </c>
      <c r="J7666" s="16">
        <f>H7666*I7666</f>
        <v>0</v>
      </c>
    </row>
    <row r="7667" spans="1:10" ht="13">
      <c r="A7667" s="27"/>
      <c r="B7667" s="110"/>
      <c r="D7667" s="409"/>
      <c r="E7667" s="13" t="s">
        <v>81</v>
      </c>
      <c r="F7667" s="13" t="s">
        <v>1921</v>
      </c>
      <c r="G7667" s="543" t="s">
        <v>48</v>
      </c>
      <c r="H7667" s="548">
        <v>0.1</v>
      </c>
      <c r="I7667" s="412">
        <f>IF(AND(E7667&lt;&gt;"",G7667&lt;&gt;""),IF(D7667="",IF(G7667="OH",VLOOKUP(F7667,UPAH!$B$4:$H$101,7,0),VLOOKUP(F7667,#REF!,4,0)),0),0)</f>
        <v>0</v>
      </c>
      <c r="J7667" s="16">
        <f>H7667*I7667</f>
        <v>0</v>
      </c>
    </row>
    <row r="7668" spans="1:10" ht="13">
      <c r="A7668" s="27"/>
      <c r="B7668" s="110"/>
      <c r="D7668" s="409"/>
      <c r="E7668" s="13" t="s">
        <v>50</v>
      </c>
      <c r="F7668" s="13" t="s">
        <v>1928</v>
      </c>
      <c r="G7668" s="543" t="s">
        <v>48</v>
      </c>
      <c r="H7668" s="548">
        <v>0.01</v>
      </c>
      <c r="I7668" s="412">
        <f>IF(AND(E7668&lt;&gt;"",G7668&lt;&gt;""),IF(D7668="",IF(G7668="OH",VLOOKUP(F7668,UPAH!$B$4:$H$101,7,0),VLOOKUP(F7668,#REF!,4,0)),0),0)</f>
        <v>0</v>
      </c>
      <c r="J7668" s="16">
        <f>H7668*I7668</f>
        <v>0</v>
      </c>
    </row>
    <row r="7669" spans="1:10" ht="13.5" thickBot="1">
      <c r="A7669" s="27"/>
      <c r="B7669" s="110"/>
      <c r="D7669" s="409"/>
      <c r="E7669" s="13" t="s">
        <v>51</v>
      </c>
      <c r="F7669" s="13" t="s">
        <v>1929</v>
      </c>
      <c r="G7669" s="543" t="s">
        <v>48</v>
      </c>
      <c r="H7669" s="548">
        <v>5.0000000000000001E-3</v>
      </c>
      <c r="I7669" s="412">
        <f>IF(AND(E7669&lt;&gt;"",G7669&lt;&gt;""),IF(D7669="",IF(G7669="OH",VLOOKUP(F7669,UPAH!$B$4:$H$101,7,0),VLOOKUP(F7669,#REF!,4,0)),0),0)</f>
        <v>0</v>
      </c>
      <c r="J7669" s="16">
        <f>H7669*I7669</f>
        <v>0</v>
      </c>
    </row>
    <row r="7670" spans="1:10" ht="13.5" thickBot="1">
      <c r="A7670" s="27"/>
      <c r="B7670" s="110"/>
      <c r="D7670" s="417"/>
      <c r="E7670" s="418"/>
      <c r="F7670" s="418"/>
      <c r="G7670" s="419"/>
      <c r="H7670" s="420" t="s">
        <v>52</v>
      </c>
      <c r="I7670" s="421"/>
      <c r="J7670" s="396">
        <f>SUM(J7666:J7669)</f>
        <v>0</v>
      </c>
    </row>
    <row r="7671" spans="1:10" ht="13">
      <c r="A7671" s="27"/>
      <c r="B7671" s="110"/>
      <c r="D7671" s="406" t="s">
        <v>53</v>
      </c>
      <c r="E7671" s="13" t="s">
        <v>54</v>
      </c>
      <c r="F7671" s="14"/>
      <c r="G7671" s="15"/>
      <c r="H7671" s="451"/>
      <c r="I7671" s="412"/>
      <c r="J7671" s="16"/>
    </row>
    <row r="7672" spans="1:10" ht="13.5" thickBot="1">
      <c r="A7672" s="27"/>
      <c r="B7672" s="110"/>
      <c r="D7672" s="409"/>
      <c r="E7672" s="13" t="s">
        <v>3544</v>
      </c>
      <c r="F7672" s="13"/>
      <c r="G7672" s="543" t="s">
        <v>259</v>
      </c>
      <c r="H7672" s="548">
        <v>1</v>
      </c>
      <c r="I7672" s="412">
        <v>0</v>
      </c>
      <c r="J7672" s="16">
        <f>H7672*I7672</f>
        <v>0</v>
      </c>
    </row>
    <row r="7673" spans="1:10" ht="13.5" thickBot="1">
      <c r="A7673" s="27"/>
      <c r="B7673" s="110"/>
      <c r="D7673" s="417"/>
      <c r="E7673" s="418"/>
      <c r="F7673" s="418"/>
      <c r="G7673" s="419"/>
      <c r="H7673" s="420" t="s">
        <v>64</v>
      </c>
      <c r="I7673" s="421"/>
      <c r="J7673" s="396">
        <f>SUM(J7672:J7672)</f>
        <v>0</v>
      </c>
    </row>
    <row r="7674" spans="1:10" ht="13.5" thickBot="1">
      <c r="A7674" s="27"/>
      <c r="B7674" s="110"/>
      <c r="D7674" s="406" t="s">
        <v>65</v>
      </c>
      <c r="E7674" s="13" t="s">
        <v>66</v>
      </c>
      <c r="F7674" s="14"/>
      <c r="G7674" s="15"/>
      <c r="H7674" s="451"/>
      <c r="I7674" s="412">
        <f>IF(AND(E7674&lt;&gt;"",G7674&lt;&gt;""),IF(D7674="",IF(G7674="OH",VLOOKUP(E7674,UPAH!$C$4:$H$31,7,0),VLOOKUP(E7674,#REF!,4,0)),0),0)</f>
        <v>0</v>
      </c>
      <c r="J7674" s="16">
        <f>H7674*I7674</f>
        <v>0</v>
      </c>
    </row>
    <row r="7675" spans="1:10" ht="13.5" thickBot="1">
      <c r="A7675" s="27"/>
      <c r="B7675" s="110"/>
      <c r="D7675" s="417"/>
      <c r="E7675" s="418"/>
      <c r="F7675" s="418"/>
      <c r="G7675" s="419"/>
      <c r="H7675" s="420" t="s">
        <v>67</v>
      </c>
      <c r="I7675" s="421"/>
      <c r="J7675" s="396">
        <f>J7674</f>
        <v>0</v>
      </c>
    </row>
    <row r="7676" spans="1:10" ht="13">
      <c r="A7676" s="27"/>
      <c r="B7676" s="110"/>
      <c r="D7676" s="444" t="s">
        <v>68</v>
      </c>
      <c r="E7676" s="445" t="s">
        <v>69</v>
      </c>
      <c r="F7676" s="446"/>
      <c r="G7676" s="447"/>
      <c r="H7676" s="448"/>
      <c r="I7676" s="449">
        <f>IF(AND(E7676&lt;&gt;"",G7676&lt;&gt;""),IF(D7676="",IF(G7676="OH",VLOOKUP(E7676,UPAH!$C$4:$H$31,7,0),VLOOKUP(E7676,#REF!,4,0)),0),0)</f>
        <v>0</v>
      </c>
      <c r="J7676" s="16">
        <f>SUM(J7666:J7675)/2</f>
        <v>0</v>
      </c>
    </row>
    <row r="7677" spans="1:10" ht="13.5" thickBot="1">
      <c r="A7677" s="27"/>
      <c r="B7677" s="110"/>
      <c r="D7677" s="431" t="s">
        <v>70</v>
      </c>
      <c r="E7677" s="432" t="s">
        <v>477</v>
      </c>
      <c r="F7677" s="433"/>
      <c r="G7677" s="434"/>
      <c r="H7677" s="22">
        <v>0.1</v>
      </c>
      <c r="I7677" s="436"/>
      <c r="J7677" s="430">
        <f>H7677*J7676</f>
        <v>0</v>
      </c>
    </row>
    <row r="7678" spans="1:10" ht="13.5" thickBot="1">
      <c r="A7678" s="27"/>
      <c r="B7678" s="110"/>
      <c r="D7678" s="401" t="s">
        <v>71</v>
      </c>
      <c r="E7678" s="402" t="s">
        <v>72</v>
      </c>
      <c r="F7678" s="418"/>
      <c r="G7678" s="419"/>
      <c r="H7678" s="442"/>
      <c r="I7678" s="421">
        <f>IF(AND(E7678&lt;&gt;"",G7678&lt;&gt;""),IF(D7678="",IF(G7678="OH",VLOOKUP(E7678,UPAH!$C$4:$H$31,7,0),VLOOKUP(E7678,#REF!,4,0)),0),0)</f>
        <v>0</v>
      </c>
      <c r="J7678" s="396">
        <f>ROUNDDOWN(J7676+J7677,0)</f>
        <v>0</v>
      </c>
    </row>
    <row r="7679" spans="1:10" ht="13">
      <c r="A7679" s="27"/>
      <c r="B7679" s="110"/>
      <c r="D7679" s="11"/>
      <c r="E7679" s="11"/>
      <c r="H7679" s="443"/>
    </row>
    <row r="7680" spans="1:10" ht="13.5" thickBot="1">
      <c r="A7680" s="27"/>
      <c r="B7680" s="110"/>
      <c r="C7680" s="11" t="s">
        <v>3599</v>
      </c>
      <c r="D7680" s="10" t="s">
        <v>3600</v>
      </c>
      <c r="H7680" s="443"/>
    </row>
    <row r="7681" spans="1:10" ht="13.5" thickBot="1">
      <c r="A7681" s="27"/>
      <c r="B7681" s="110"/>
      <c r="D7681" s="401" t="s">
        <v>40</v>
      </c>
      <c r="E7681" s="402" t="s">
        <v>41</v>
      </c>
      <c r="F7681" s="402" t="s">
        <v>42</v>
      </c>
      <c r="G7681" s="403" t="s">
        <v>43</v>
      </c>
      <c r="H7681" s="404" t="s">
        <v>44</v>
      </c>
      <c r="I7681" s="402" t="s">
        <v>474</v>
      </c>
      <c r="J7681" s="405" t="s">
        <v>475</v>
      </c>
    </row>
    <row r="7682" spans="1:10" ht="13">
      <c r="A7682" s="27"/>
      <c r="B7682" s="110"/>
      <c r="D7682" s="406" t="s">
        <v>45</v>
      </c>
      <c r="E7682" s="13" t="s">
        <v>46</v>
      </c>
      <c r="F7682" s="14"/>
      <c r="G7682" s="15"/>
      <c r="H7682" s="451"/>
      <c r="I7682" s="412"/>
      <c r="J7682" s="16"/>
    </row>
    <row r="7683" spans="1:10" ht="13">
      <c r="A7683" s="27"/>
      <c r="B7683" s="110"/>
      <c r="D7683" s="409"/>
      <c r="E7683" s="13" t="s">
        <v>47</v>
      </c>
      <c r="F7683" s="13" t="s">
        <v>1918</v>
      </c>
      <c r="G7683" s="543" t="s">
        <v>48</v>
      </c>
      <c r="H7683" s="548">
        <v>0</v>
      </c>
      <c r="I7683" s="412">
        <f>IF(AND(E7683&lt;&gt;"",G7683&lt;&gt;""),IF(D7683="",IF(G7683="OH",VLOOKUP(F7683,UPAH!$B$4:$H$101,7,0),VLOOKUP(F7683,#REF!,4,0)),0),0)</f>
        <v>0</v>
      </c>
      <c r="J7683" s="16">
        <f>H7683*I7683</f>
        <v>0</v>
      </c>
    </row>
    <row r="7684" spans="1:10" ht="13">
      <c r="A7684" s="27"/>
      <c r="B7684" s="110"/>
      <c r="D7684" s="409"/>
      <c r="E7684" s="13" t="s">
        <v>81</v>
      </c>
      <c r="F7684" s="13" t="s">
        <v>1921</v>
      </c>
      <c r="G7684" s="543" t="s">
        <v>48</v>
      </c>
      <c r="H7684" s="548">
        <v>0</v>
      </c>
      <c r="I7684" s="412">
        <f>IF(AND(E7684&lt;&gt;"",G7684&lt;&gt;""),IF(D7684="",IF(G7684="OH",VLOOKUP(F7684,UPAH!$B$4:$H$101,7,0),VLOOKUP(F7684,#REF!,4,0)),0),0)</f>
        <v>0</v>
      </c>
      <c r="J7684" s="16">
        <f>H7684*I7684</f>
        <v>0</v>
      </c>
    </row>
    <row r="7685" spans="1:10" ht="13">
      <c r="A7685" s="27"/>
      <c r="B7685" s="110"/>
      <c r="D7685" s="409"/>
      <c r="E7685" s="13" t="s">
        <v>50</v>
      </c>
      <c r="F7685" s="13" t="s">
        <v>1928</v>
      </c>
      <c r="G7685" s="543" t="s">
        <v>48</v>
      </c>
      <c r="H7685" s="548">
        <v>0</v>
      </c>
      <c r="I7685" s="412">
        <f>IF(AND(E7685&lt;&gt;"",G7685&lt;&gt;""),IF(D7685="",IF(G7685="OH",VLOOKUP(F7685,UPAH!$B$4:$H$101,7,0),VLOOKUP(F7685,#REF!,4,0)),0),0)</f>
        <v>0</v>
      </c>
      <c r="J7685" s="16">
        <f>H7685*I7685</f>
        <v>0</v>
      </c>
    </row>
    <row r="7686" spans="1:10" ht="13.5" thickBot="1">
      <c r="A7686" s="27"/>
      <c r="B7686" s="110"/>
      <c r="D7686" s="409"/>
      <c r="E7686" s="13" t="s">
        <v>51</v>
      </c>
      <c r="F7686" s="13" t="s">
        <v>1929</v>
      </c>
      <c r="G7686" s="543" t="s">
        <v>48</v>
      </c>
      <c r="H7686" s="548">
        <v>0</v>
      </c>
      <c r="I7686" s="412">
        <f>IF(AND(E7686&lt;&gt;"",G7686&lt;&gt;""),IF(D7686="",IF(G7686="OH",VLOOKUP(F7686,UPAH!$B$4:$H$101,7,0),VLOOKUP(F7686,#REF!,4,0)),0),0)</f>
        <v>0</v>
      </c>
      <c r="J7686" s="16">
        <f>H7686*I7686</f>
        <v>0</v>
      </c>
    </row>
    <row r="7687" spans="1:10" ht="13.5" thickBot="1">
      <c r="A7687" s="27"/>
      <c r="B7687" s="110"/>
      <c r="D7687" s="417"/>
      <c r="E7687" s="418"/>
      <c r="F7687" s="418"/>
      <c r="G7687" s="419"/>
      <c r="H7687" s="420" t="s">
        <v>52</v>
      </c>
      <c r="I7687" s="421"/>
      <c r="J7687" s="396">
        <f>SUM(J7683:J7686)</f>
        <v>0</v>
      </c>
    </row>
    <row r="7688" spans="1:10" ht="13">
      <c r="A7688" s="27"/>
      <c r="B7688" s="110"/>
      <c r="D7688" s="406" t="s">
        <v>53</v>
      </c>
      <c r="E7688" s="13" t="s">
        <v>54</v>
      </c>
      <c r="F7688" s="14"/>
      <c r="G7688" s="15"/>
      <c r="H7688" s="451"/>
      <c r="I7688" s="412"/>
      <c r="J7688" s="16"/>
    </row>
    <row r="7689" spans="1:10" ht="13.5" thickBot="1">
      <c r="A7689" s="27"/>
      <c r="B7689" s="110"/>
      <c r="D7689" s="409"/>
      <c r="E7689" s="13" t="s">
        <v>3600</v>
      </c>
      <c r="F7689" s="13"/>
      <c r="G7689" s="543" t="s">
        <v>259</v>
      </c>
      <c r="H7689" s="548">
        <v>1</v>
      </c>
      <c r="I7689" s="412">
        <v>0</v>
      </c>
      <c r="J7689" s="16">
        <f>H7689*I7689</f>
        <v>0</v>
      </c>
    </row>
    <row r="7690" spans="1:10" ht="13.5" thickBot="1">
      <c r="A7690" s="27"/>
      <c r="B7690" s="110"/>
      <c r="D7690" s="417"/>
      <c r="E7690" s="418"/>
      <c r="F7690" s="418"/>
      <c r="G7690" s="419"/>
      <c r="H7690" s="420" t="s">
        <v>64</v>
      </c>
      <c r="I7690" s="421"/>
      <c r="J7690" s="396">
        <f>SUM(J7689:J7689)</f>
        <v>0</v>
      </c>
    </row>
    <row r="7691" spans="1:10" ht="13.5" thickBot="1">
      <c r="A7691" s="27"/>
      <c r="B7691" s="110"/>
      <c r="D7691" s="406" t="s">
        <v>65</v>
      </c>
      <c r="E7691" s="13" t="s">
        <v>66</v>
      </c>
      <c r="F7691" s="14"/>
      <c r="G7691" s="15"/>
      <c r="H7691" s="451"/>
      <c r="I7691" s="412">
        <f>IF(AND(E7691&lt;&gt;"",G7691&lt;&gt;""),IF(D7691="",IF(G7691="OH",VLOOKUP(E7691,UPAH!$C$4:$H$31,7,0),VLOOKUP(E7691,#REF!,4,0)),0),0)</f>
        <v>0</v>
      </c>
      <c r="J7691" s="16">
        <f>H7691*I7691</f>
        <v>0</v>
      </c>
    </row>
    <row r="7692" spans="1:10" ht="13.5" thickBot="1">
      <c r="A7692" s="27"/>
      <c r="B7692" s="110"/>
      <c r="D7692" s="417"/>
      <c r="E7692" s="418"/>
      <c r="F7692" s="418"/>
      <c r="G7692" s="419"/>
      <c r="H7692" s="420" t="s">
        <v>67</v>
      </c>
      <c r="I7692" s="421"/>
      <c r="J7692" s="396">
        <f>J7691</f>
        <v>0</v>
      </c>
    </row>
    <row r="7693" spans="1:10" ht="13">
      <c r="A7693" s="27"/>
      <c r="B7693" s="110"/>
      <c r="D7693" s="444" t="s">
        <v>68</v>
      </c>
      <c r="E7693" s="445" t="s">
        <v>69</v>
      </c>
      <c r="F7693" s="446"/>
      <c r="G7693" s="447"/>
      <c r="H7693" s="448"/>
      <c r="I7693" s="449">
        <f>IF(AND(E7693&lt;&gt;"",G7693&lt;&gt;""),IF(D7693="",IF(G7693="OH",VLOOKUP(E7693,UPAH!$C$4:$H$31,7,0),VLOOKUP(E7693,#REF!,4,0)),0),0)</f>
        <v>0</v>
      </c>
      <c r="J7693" s="16">
        <f>SUM(J7683:J7692)/2</f>
        <v>0</v>
      </c>
    </row>
    <row r="7694" spans="1:10" ht="13.5" thickBot="1">
      <c r="A7694" s="27"/>
      <c r="B7694" s="110"/>
      <c r="D7694" s="431" t="s">
        <v>70</v>
      </c>
      <c r="E7694" s="432" t="s">
        <v>477</v>
      </c>
      <c r="F7694" s="433"/>
      <c r="G7694" s="434"/>
      <c r="H7694" s="22">
        <v>0.1</v>
      </c>
      <c r="I7694" s="436"/>
      <c r="J7694" s="430">
        <f>H7694*J7693</f>
        <v>0</v>
      </c>
    </row>
    <row r="7695" spans="1:10" ht="13.5" thickBot="1">
      <c r="A7695" s="27"/>
      <c r="B7695" s="110"/>
      <c r="D7695" s="401" t="s">
        <v>71</v>
      </c>
      <c r="E7695" s="402" t="s">
        <v>72</v>
      </c>
      <c r="F7695" s="418"/>
      <c r="G7695" s="419"/>
      <c r="H7695" s="442"/>
      <c r="I7695" s="421">
        <f>IF(AND(E7695&lt;&gt;"",G7695&lt;&gt;""),IF(D7695="",IF(G7695="OH",VLOOKUP(E7695,UPAH!$C$4:$H$31,7,0),VLOOKUP(E7695,#REF!,4,0)),0),0)</f>
        <v>0</v>
      </c>
      <c r="J7695" s="396">
        <f>ROUNDDOWN(J7693+J7694,0)</f>
        <v>0</v>
      </c>
    </row>
    <row r="7696" spans="1:10" ht="13">
      <c r="A7696" s="27"/>
      <c r="B7696" s="110"/>
      <c r="D7696" s="11"/>
      <c r="E7696" s="11"/>
      <c r="H7696" s="443"/>
    </row>
    <row r="7697" spans="1:10" ht="13.5" thickBot="1">
      <c r="A7697" s="27"/>
      <c r="B7697" s="110"/>
      <c r="C7697" s="11" t="s">
        <v>1307</v>
      </c>
      <c r="D7697" s="10" t="s">
        <v>1308</v>
      </c>
      <c r="H7697" s="443"/>
    </row>
    <row r="7698" spans="1:10" ht="13.5" thickBot="1">
      <c r="A7698" s="27"/>
      <c r="B7698" s="110"/>
      <c r="D7698" s="401" t="s">
        <v>40</v>
      </c>
      <c r="E7698" s="402" t="s">
        <v>41</v>
      </c>
      <c r="F7698" s="402" t="s">
        <v>42</v>
      </c>
      <c r="G7698" s="403" t="s">
        <v>43</v>
      </c>
      <c r="H7698" s="404" t="s">
        <v>44</v>
      </c>
      <c r="I7698" s="402" t="s">
        <v>474</v>
      </c>
      <c r="J7698" s="405" t="s">
        <v>475</v>
      </c>
    </row>
    <row r="7699" spans="1:10" ht="13">
      <c r="A7699" s="27"/>
      <c r="B7699" s="110"/>
      <c r="D7699" s="406" t="s">
        <v>45</v>
      </c>
      <c r="E7699" s="13" t="s">
        <v>46</v>
      </c>
      <c r="F7699" s="14"/>
      <c r="G7699" s="15"/>
      <c r="H7699" s="451"/>
      <c r="I7699" s="412"/>
      <c r="J7699" s="16"/>
    </row>
    <row r="7700" spans="1:10" ht="13">
      <c r="A7700" s="27"/>
      <c r="B7700" s="110"/>
      <c r="D7700" s="409"/>
      <c r="E7700" s="13" t="s">
        <v>47</v>
      </c>
      <c r="F7700" s="13" t="s">
        <v>1918</v>
      </c>
      <c r="G7700" s="543" t="s">
        <v>48</v>
      </c>
      <c r="H7700" s="548">
        <v>1</v>
      </c>
      <c r="I7700" s="412">
        <f>IF(AND(E7700&lt;&gt;"",G7700&lt;&gt;""),IF(D7700="",IF(G7700="OH",VLOOKUP(F7700,UPAH!$B$4:$H$101,7,0),VLOOKUP(F7700,#REF!,4,0)),0),0)</f>
        <v>0</v>
      </c>
      <c r="J7700" s="16">
        <f>H7700*I7700</f>
        <v>0</v>
      </c>
    </row>
    <row r="7701" spans="1:10" ht="13">
      <c r="A7701" s="27"/>
      <c r="B7701" s="110"/>
      <c r="D7701" s="409"/>
      <c r="E7701" s="13" t="s">
        <v>81</v>
      </c>
      <c r="F7701" s="13" t="s">
        <v>1921</v>
      </c>
      <c r="G7701" s="543" t="s">
        <v>48</v>
      </c>
      <c r="H7701" s="548">
        <v>1.5</v>
      </c>
      <c r="I7701" s="412">
        <f>IF(AND(E7701&lt;&gt;"",G7701&lt;&gt;""),IF(D7701="",IF(G7701="OH",VLOOKUP(F7701,UPAH!$B$4:$H$101,7,0),VLOOKUP(F7701,#REF!,4,0)),0),0)</f>
        <v>0</v>
      </c>
      <c r="J7701" s="16">
        <f>H7701*I7701</f>
        <v>0</v>
      </c>
    </row>
    <row r="7702" spans="1:10" ht="13">
      <c r="A7702" s="27"/>
      <c r="B7702" s="110"/>
      <c r="D7702" s="409"/>
      <c r="E7702" s="13" t="s">
        <v>50</v>
      </c>
      <c r="F7702" s="13" t="s">
        <v>1928</v>
      </c>
      <c r="G7702" s="543" t="s">
        <v>48</v>
      </c>
      <c r="H7702" s="548">
        <v>0.15</v>
      </c>
      <c r="I7702" s="412">
        <f>IF(AND(E7702&lt;&gt;"",G7702&lt;&gt;""),IF(D7702="",IF(G7702="OH",VLOOKUP(F7702,UPAH!$B$4:$H$101,7,0),VLOOKUP(F7702,#REF!,4,0)),0),0)</f>
        <v>0</v>
      </c>
      <c r="J7702" s="16">
        <f>H7702*I7702</f>
        <v>0</v>
      </c>
    </row>
    <row r="7703" spans="1:10" ht="13.5" thickBot="1">
      <c r="A7703" s="27"/>
      <c r="B7703" s="110"/>
      <c r="D7703" s="409"/>
      <c r="E7703" s="13" t="s">
        <v>51</v>
      </c>
      <c r="F7703" s="13" t="s">
        <v>1929</v>
      </c>
      <c r="G7703" s="543" t="s">
        <v>48</v>
      </c>
      <c r="H7703" s="548">
        <v>0.16</v>
      </c>
      <c r="I7703" s="412">
        <f>IF(AND(E7703&lt;&gt;"",G7703&lt;&gt;""),IF(D7703="",IF(G7703="OH",VLOOKUP(F7703,UPAH!$B$4:$H$101,7,0),VLOOKUP(F7703,#REF!,4,0)),0),0)</f>
        <v>0</v>
      </c>
      <c r="J7703" s="16">
        <f>H7703*I7703</f>
        <v>0</v>
      </c>
    </row>
    <row r="7704" spans="1:10" ht="13.5" thickBot="1">
      <c r="A7704" s="27"/>
      <c r="B7704" s="110"/>
      <c r="D7704" s="417"/>
      <c r="E7704" s="418"/>
      <c r="F7704" s="418"/>
      <c r="G7704" s="419"/>
      <c r="H7704" s="420" t="s">
        <v>52</v>
      </c>
      <c r="I7704" s="421"/>
      <c r="J7704" s="396">
        <f>SUM(J7700:J7703)</f>
        <v>0</v>
      </c>
    </row>
    <row r="7705" spans="1:10" ht="13">
      <c r="A7705" s="27"/>
      <c r="B7705" s="110"/>
      <c r="D7705" s="406" t="s">
        <v>53</v>
      </c>
      <c r="E7705" s="13" t="s">
        <v>54</v>
      </c>
      <c r="F7705" s="14"/>
      <c r="G7705" s="15"/>
      <c r="H7705" s="451"/>
      <c r="I7705" s="412"/>
      <c r="J7705" s="16"/>
    </row>
    <row r="7706" spans="1:10" ht="13">
      <c r="A7706" s="27"/>
      <c r="B7706" s="110"/>
      <c r="D7706" s="409"/>
      <c r="E7706" s="13" t="s">
        <v>254</v>
      </c>
      <c r="F7706" s="14"/>
      <c r="G7706" s="543" t="s">
        <v>252</v>
      </c>
      <c r="H7706" s="548">
        <v>1</v>
      </c>
      <c r="I7706" s="412">
        <v>0</v>
      </c>
      <c r="J7706" s="16">
        <f>H7706*I7706</f>
        <v>0</v>
      </c>
    </row>
    <row r="7707" spans="1:10" ht="13">
      <c r="A7707" s="27"/>
      <c r="B7707" s="110"/>
      <c r="D7707" s="409"/>
      <c r="E7707" s="13" t="s">
        <v>56</v>
      </c>
      <c r="F7707" s="14"/>
      <c r="G7707" s="543" t="s">
        <v>57</v>
      </c>
      <c r="H7707" s="548">
        <v>6</v>
      </c>
      <c r="I7707" s="412">
        <f>'BAHAN '!G72</f>
        <v>0</v>
      </c>
      <c r="J7707" s="16">
        <f>H7707*I7707</f>
        <v>0</v>
      </c>
    </row>
    <row r="7708" spans="1:10" ht="13.5" thickBot="1">
      <c r="A7708" s="27"/>
      <c r="B7708" s="110"/>
      <c r="D7708" s="409"/>
      <c r="E7708" s="13" t="s">
        <v>85</v>
      </c>
      <c r="F7708" s="14"/>
      <c r="G7708" s="543" t="s">
        <v>170</v>
      </c>
      <c r="H7708" s="548">
        <v>0.01</v>
      </c>
      <c r="I7708" s="412">
        <f>'BAHAN '!G59</f>
        <v>0</v>
      </c>
      <c r="J7708" s="16">
        <f>H7708*I7708</f>
        <v>0</v>
      </c>
    </row>
    <row r="7709" spans="1:10" ht="13.5" thickBot="1">
      <c r="A7709" s="27"/>
      <c r="B7709" s="110"/>
      <c r="D7709" s="417"/>
      <c r="E7709" s="418"/>
      <c r="F7709" s="418"/>
      <c r="G7709" s="419"/>
      <c r="H7709" s="420" t="s">
        <v>64</v>
      </c>
      <c r="I7709" s="421"/>
      <c r="J7709" s="396">
        <f>SUM(J7706:J7708)</f>
        <v>0</v>
      </c>
    </row>
    <row r="7710" spans="1:10" ht="13.5" thickBot="1">
      <c r="A7710" s="27"/>
      <c r="B7710" s="110"/>
      <c r="D7710" s="406" t="s">
        <v>65</v>
      </c>
      <c r="E7710" s="13" t="s">
        <v>66</v>
      </c>
      <c r="F7710" s="14"/>
      <c r="G7710" s="15"/>
      <c r="H7710" s="451"/>
      <c r="I7710" s="412">
        <f>IF(AND(E7710&lt;&gt;"",G7710&lt;&gt;""),IF(D7710="",IF(G7710="OH",VLOOKUP(E7710,UPAH!$C$4:$H$31,7,0),VLOOKUP(E7710,#REF!,4,0)),0),0)</f>
        <v>0</v>
      </c>
      <c r="J7710" s="16">
        <f>H7710*I7710</f>
        <v>0</v>
      </c>
    </row>
    <row r="7711" spans="1:10" ht="13.5" thickBot="1">
      <c r="A7711" s="27"/>
      <c r="B7711" s="110"/>
      <c r="D7711" s="417"/>
      <c r="E7711" s="418"/>
      <c r="F7711" s="418"/>
      <c r="G7711" s="419"/>
      <c r="H7711" s="420" t="s">
        <v>67</v>
      </c>
      <c r="I7711" s="421"/>
      <c r="J7711" s="396">
        <f>J7710</f>
        <v>0</v>
      </c>
    </row>
    <row r="7712" spans="1:10" ht="13">
      <c r="A7712" s="27"/>
      <c r="B7712" s="110"/>
      <c r="D7712" s="444" t="s">
        <v>68</v>
      </c>
      <c r="E7712" s="445" t="s">
        <v>69</v>
      </c>
      <c r="F7712" s="446"/>
      <c r="G7712" s="447"/>
      <c r="H7712" s="448"/>
      <c r="I7712" s="449">
        <f>IF(AND(E7712&lt;&gt;"",G7712&lt;&gt;""),IF(D7712="",IF(G7712="OH",VLOOKUP(E7712,UPAH!$C$4:$H$31,7,0),VLOOKUP(E7712,#REF!,4,0)),0),0)</f>
        <v>0</v>
      </c>
      <c r="J7712" s="16">
        <f>SUM(J7700:J7711)/2</f>
        <v>0</v>
      </c>
    </row>
    <row r="7713" spans="1:10" ht="13.5" thickBot="1">
      <c r="A7713" s="27"/>
      <c r="B7713" s="110"/>
      <c r="D7713" s="431" t="s">
        <v>70</v>
      </c>
      <c r="E7713" s="432" t="s">
        <v>477</v>
      </c>
      <c r="F7713" s="433"/>
      <c r="G7713" s="434"/>
      <c r="H7713" s="22">
        <v>0.1</v>
      </c>
      <c r="I7713" s="436"/>
      <c r="J7713" s="430">
        <f>H7713*J7712</f>
        <v>0</v>
      </c>
    </row>
    <row r="7714" spans="1:10" ht="13.5" thickBot="1">
      <c r="A7714" s="27"/>
      <c r="B7714" s="110"/>
      <c r="D7714" s="401" t="s">
        <v>71</v>
      </c>
      <c r="E7714" s="402" t="s">
        <v>72</v>
      </c>
      <c r="F7714" s="418"/>
      <c r="G7714" s="419"/>
      <c r="H7714" s="442"/>
      <c r="I7714" s="421">
        <f>IF(AND(E7714&lt;&gt;"",G7714&lt;&gt;""),IF(D7714="",IF(G7714="OH",VLOOKUP(E7714,UPAH!$C$4:$H$31,7,0),VLOOKUP(E7714,#REF!,4,0)),0),0)</f>
        <v>0</v>
      </c>
      <c r="J7714" s="396">
        <f>ROUNDDOWN(J7712+J7713,0)</f>
        <v>0</v>
      </c>
    </row>
    <row r="7715" spans="1:10" ht="13">
      <c r="A7715" s="27"/>
      <c r="B7715" s="110"/>
      <c r="D7715" s="11"/>
      <c r="E7715" s="11"/>
      <c r="H7715" s="443"/>
    </row>
    <row r="7716" spans="1:10" ht="13.5" thickBot="1">
      <c r="A7716" s="27"/>
      <c r="B7716" s="110"/>
      <c r="C7716" s="11" t="s">
        <v>1309</v>
      </c>
      <c r="D7716" s="10" t="s">
        <v>1310</v>
      </c>
      <c r="H7716" s="443"/>
    </row>
    <row r="7717" spans="1:10" ht="13.5" thickBot="1">
      <c r="A7717" s="27"/>
      <c r="B7717" s="110"/>
      <c r="D7717" s="401" t="s">
        <v>40</v>
      </c>
      <c r="E7717" s="402" t="s">
        <v>41</v>
      </c>
      <c r="F7717" s="402" t="s">
        <v>42</v>
      </c>
      <c r="G7717" s="403" t="s">
        <v>43</v>
      </c>
      <c r="H7717" s="404" t="s">
        <v>44</v>
      </c>
      <c r="I7717" s="402" t="s">
        <v>474</v>
      </c>
      <c r="J7717" s="405" t="s">
        <v>475</v>
      </c>
    </row>
    <row r="7718" spans="1:10" ht="13">
      <c r="A7718" s="27"/>
      <c r="B7718" s="110"/>
      <c r="D7718" s="444" t="s">
        <v>45</v>
      </c>
      <c r="E7718" s="445" t="s">
        <v>46</v>
      </c>
      <c r="F7718" s="446"/>
      <c r="G7718" s="447"/>
      <c r="H7718" s="448"/>
      <c r="I7718" s="449"/>
      <c r="J7718" s="450"/>
    </row>
    <row r="7719" spans="1:10" ht="13">
      <c r="A7719" s="27"/>
      <c r="B7719" s="110"/>
      <c r="D7719" s="409"/>
      <c r="E7719" s="13" t="s">
        <v>47</v>
      </c>
      <c r="F7719" s="13" t="s">
        <v>1918</v>
      </c>
      <c r="G7719" s="543" t="s">
        <v>48</v>
      </c>
      <c r="H7719" s="548">
        <v>1</v>
      </c>
      <c r="I7719" s="412">
        <f>IF(AND(E7719&lt;&gt;"",G7719&lt;&gt;""),IF(D7719="",IF(G7719="OH",VLOOKUP(F7719,UPAH!$B$4:$H$101,7,0),VLOOKUP(F7719,#REF!,4,0)),0),0)</f>
        <v>0</v>
      </c>
      <c r="J7719" s="16">
        <f>H7719*I7719</f>
        <v>0</v>
      </c>
    </row>
    <row r="7720" spans="1:10" ht="13">
      <c r="A7720" s="27"/>
      <c r="B7720" s="110"/>
      <c r="D7720" s="409"/>
      <c r="E7720" s="13" t="s">
        <v>81</v>
      </c>
      <c r="F7720" s="13" t="s">
        <v>1921</v>
      </c>
      <c r="G7720" s="543" t="s">
        <v>48</v>
      </c>
      <c r="H7720" s="548">
        <v>1.5</v>
      </c>
      <c r="I7720" s="412">
        <f>IF(AND(E7720&lt;&gt;"",G7720&lt;&gt;""),IF(D7720="",IF(G7720="OH",VLOOKUP(F7720,UPAH!$B$4:$H$101,7,0),VLOOKUP(F7720,#REF!,4,0)),0),0)</f>
        <v>0</v>
      </c>
      <c r="J7720" s="16">
        <f>H7720*I7720</f>
        <v>0</v>
      </c>
    </row>
    <row r="7721" spans="1:10" ht="13">
      <c r="A7721" s="27"/>
      <c r="B7721" s="110"/>
      <c r="D7721" s="409"/>
      <c r="E7721" s="13" t="s">
        <v>50</v>
      </c>
      <c r="F7721" s="13" t="s">
        <v>1928</v>
      </c>
      <c r="G7721" s="543" t="s">
        <v>48</v>
      </c>
      <c r="H7721" s="548">
        <v>0.15</v>
      </c>
      <c r="I7721" s="412">
        <f>IF(AND(E7721&lt;&gt;"",G7721&lt;&gt;""),IF(D7721="",IF(G7721="OH",VLOOKUP(F7721,UPAH!$B$4:$H$101,7,0),VLOOKUP(F7721,#REF!,4,0)),0),0)</f>
        <v>0</v>
      </c>
      <c r="J7721" s="16">
        <f>H7721*I7721</f>
        <v>0</v>
      </c>
    </row>
    <row r="7722" spans="1:10" ht="13.5" thickBot="1">
      <c r="A7722" s="27"/>
      <c r="B7722" s="110"/>
      <c r="D7722" s="409"/>
      <c r="E7722" s="13" t="s">
        <v>51</v>
      </c>
      <c r="F7722" s="13" t="s">
        <v>1929</v>
      </c>
      <c r="G7722" s="543" t="s">
        <v>48</v>
      </c>
      <c r="H7722" s="548">
        <v>0.05</v>
      </c>
      <c r="I7722" s="412">
        <f>IF(AND(E7722&lt;&gt;"",G7722&lt;&gt;""),IF(D7722="",IF(G7722="OH",VLOOKUP(F7722,UPAH!$B$4:$H$101,7,0),VLOOKUP(F7722,#REF!,4,0)),0),0)</f>
        <v>0</v>
      </c>
      <c r="J7722" s="16">
        <f>H7722*I7722</f>
        <v>0</v>
      </c>
    </row>
    <row r="7723" spans="1:10" ht="13.5" thickBot="1">
      <c r="A7723" s="27"/>
      <c r="B7723" s="110"/>
      <c r="D7723" s="417"/>
      <c r="E7723" s="418"/>
      <c r="F7723" s="418"/>
      <c r="G7723" s="419"/>
      <c r="H7723" s="420" t="s">
        <v>52</v>
      </c>
      <c r="I7723" s="421"/>
      <c r="J7723" s="396">
        <f>SUM(J7719:J7722)</f>
        <v>0</v>
      </c>
    </row>
    <row r="7724" spans="1:10" ht="13">
      <c r="A7724" s="27"/>
      <c r="B7724" s="110"/>
      <c r="D7724" s="406" t="s">
        <v>53</v>
      </c>
      <c r="E7724" s="13" t="s">
        <v>54</v>
      </c>
      <c r="F7724" s="14"/>
      <c r="G7724" s="15"/>
      <c r="H7724" s="451"/>
      <c r="I7724" s="412"/>
      <c r="J7724" s="16"/>
    </row>
    <row r="7725" spans="1:10" ht="13">
      <c r="A7725" s="27"/>
      <c r="B7725" s="110"/>
      <c r="D7725" s="409"/>
      <c r="E7725" s="13" t="s">
        <v>254</v>
      </c>
      <c r="F7725" s="14"/>
      <c r="G7725" s="543" t="s">
        <v>252</v>
      </c>
      <c r="H7725" s="548">
        <v>1</v>
      </c>
      <c r="I7725" s="412">
        <f>'BAHAN '!G325</f>
        <v>0</v>
      </c>
      <c r="J7725" s="16">
        <f>H7725*I7725</f>
        <v>0</v>
      </c>
    </row>
    <row r="7726" spans="1:10" ht="13">
      <c r="A7726" s="27"/>
      <c r="B7726" s="110"/>
      <c r="D7726" s="409"/>
      <c r="E7726" s="13" t="s">
        <v>56</v>
      </c>
      <c r="F7726" s="14"/>
      <c r="G7726" s="543" t="s">
        <v>57</v>
      </c>
      <c r="H7726" s="548">
        <v>6</v>
      </c>
      <c r="I7726" s="412">
        <f>'BAHAN '!G72</f>
        <v>0</v>
      </c>
      <c r="J7726" s="16">
        <f>H7726*I7726</f>
        <v>0</v>
      </c>
    </row>
    <row r="7727" spans="1:10" ht="13">
      <c r="A7727" s="27"/>
      <c r="B7727" s="110"/>
      <c r="D7727" s="409"/>
      <c r="E7727" s="13" t="s">
        <v>85</v>
      </c>
      <c r="F7727" s="14"/>
      <c r="G7727" s="543" t="s">
        <v>170</v>
      </c>
      <c r="H7727" s="548">
        <v>0.01</v>
      </c>
      <c r="I7727" s="412">
        <f>'BAHAN '!G59</f>
        <v>0</v>
      </c>
      <c r="J7727" s="16">
        <f>H7727*I7727</f>
        <v>0</v>
      </c>
    </row>
    <row r="7728" spans="1:10" ht="13.5" thickBot="1">
      <c r="A7728" s="27"/>
      <c r="B7728" s="110"/>
      <c r="D7728" s="409"/>
      <c r="E7728" s="13" t="s">
        <v>86</v>
      </c>
      <c r="F7728" s="14"/>
      <c r="G7728" s="543" t="s">
        <v>87</v>
      </c>
      <c r="H7728" s="548">
        <v>7</v>
      </c>
      <c r="I7728" s="412">
        <f>'BAHAN '!G15</f>
        <v>0</v>
      </c>
      <c r="J7728" s="16">
        <f>H7728*I7728</f>
        <v>0</v>
      </c>
    </row>
    <row r="7729" spans="1:10" ht="13.5" thickBot="1">
      <c r="A7729" s="27"/>
      <c r="B7729" s="110"/>
      <c r="D7729" s="417"/>
      <c r="E7729" s="418"/>
      <c r="F7729" s="418"/>
      <c r="G7729" s="419"/>
      <c r="H7729" s="420" t="s">
        <v>64</v>
      </c>
      <c r="I7729" s="421"/>
      <c r="J7729" s="396">
        <f>SUM(J7725:J7728)</f>
        <v>0</v>
      </c>
    </row>
    <row r="7730" spans="1:10" ht="13.5" thickBot="1">
      <c r="A7730" s="27"/>
      <c r="B7730" s="110"/>
      <c r="D7730" s="406" t="s">
        <v>65</v>
      </c>
      <c r="E7730" s="13" t="s">
        <v>66</v>
      </c>
      <c r="F7730" s="14"/>
      <c r="G7730" s="15"/>
      <c r="H7730" s="451"/>
      <c r="I7730" s="412">
        <f>IF(AND(E7730&lt;&gt;"",G7730&lt;&gt;""),IF(D7730="",IF(G7730="OH",VLOOKUP(E7730,UPAH!$C$4:$H$31,7,0),VLOOKUP(E7730,#REF!,4,0)),0),0)</f>
        <v>0</v>
      </c>
      <c r="J7730" s="16">
        <f>H7730*I7730</f>
        <v>0</v>
      </c>
    </row>
    <row r="7731" spans="1:10" ht="13.5" thickBot="1">
      <c r="A7731" s="27"/>
      <c r="B7731" s="110"/>
      <c r="D7731" s="417"/>
      <c r="E7731" s="418"/>
      <c r="F7731" s="418"/>
      <c r="G7731" s="419"/>
      <c r="H7731" s="420" t="s">
        <v>67</v>
      </c>
      <c r="I7731" s="421"/>
      <c r="J7731" s="396">
        <f>J7730</f>
        <v>0</v>
      </c>
    </row>
    <row r="7732" spans="1:10" ht="13">
      <c r="A7732" s="27"/>
      <c r="B7732" s="110"/>
      <c r="D7732" s="444" t="s">
        <v>68</v>
      </c>
      <c r="E7732" s="445" t="s">
        <v>69</v>
      </c>
      <c r="F7732" s="446"/>
      <c r="G7732" s="447"/>
      <c r="H7732" s="448"/>
      <c r="I7732" s="449">
        <f>IF(AND(E7732&lt;&gt;"",G7732&lt;&gt;""),IF(D7732="",IF(G7732="OH",VLOOKUP(E7732,UPAH!$C$4:$H$31,7,0),VLOOKUP(E7732,#REF!,4,0)),0),0)</f>
        <v>0</v>
      </c>
      <c r="J7732" s="16">
        <f>SUM(J7719:J7731)/2</f>
        <v>0</v>
      </c>
    </row>
    <row r="7733" spans="1:10" ht="13.5" thickBot="1">
      <c r="A7733" s="27"/>
      <c r="B7733" s="110"/>
      <c r="D7733" s="431" t="s">
        <v>70</v>
      </c>
      <c r="E7733" s="432" t="s">
        <v>477</v>
      </c>
      <c r="F7733" s="433"/>
      <c r="G7733" s="434"/>
      <c r="H7733" s="22">
        <v>0.1</v>
      </c>
      <c r="I7733" s="436"/>
      <c r="J7733" s="430">
        <f>H7733*J7732</f>
        <v>0</v>
      </c>
    </row>
    <row r="7734" spans="1:10" ht="13.5" thickBot="1">
      <c r="A7734" s="27"/>
      <c r="B7734" s="110"/>
      <c r="D7734" s="401" t="s">
        <v>71</v>
      </c>
      <c r="E7734" s="402" t="s">
        <v>72</v>
      </c>
      <c r="F7734" s="418"/>
      <c r="G7734" s="419"/>
      <c r="H7734" s="442"/>
      <c r="I7734" s="421">
        <f>IF(AND(E7734&lt;&gt;"",G7734&lt;&gt;""),IF(D7734="",IF(G7734="OH",VLOOKUP(E7734,UPAH!$C$4:$H$31,7,0),VLOOKUP(E7734,#REF!,4,0)),0),0)</f>
        <v>0</v>
      </c>
      <c r="J7734" s="396">
        <f>ROUNDDOWN(J7732+J7733,0)</f>
        <v>0</v>
      </c>
    </row>
    <row r="7735" spans="1:10" ht="13">
      <c r="A7735" s="27"/>
      <c r="B7735" s="110"/>
      <c r="D7735" s="11"/>
      <c r="E7735" s="11"/>
      <c r="H7735" s="443"/>
      <c r="I7735" s="17"/>
      <c r="J7735" s="18"/>
    </row>
    <row r="7736" spans="1:10" ht="13.5" thickBot="1">
      <c r="A7736" s="27"/>
      <c r="B7736" s="110"/>
      <c r="C7736" s="11" t="s">
        <v>1311</v>
      </c>
      <c r="D7736" s="10" t="s">
        <v>1312</v>
      </c>
      <c r="H7736" s="443"/>
    </row>
    <row r="7737" spans="1:10" ht="13.5" thickBot="1">
      <c r="A7737" s="27"/>
      <c r="B7737" s="110"/>
      <c r="D7737" s="401" t="s">
        <v>40</v>
      </c>
      <c r="E7737" s="402" t="s">
        <v>41</v>
      </c>
      <c r="F7737" s="402" t="s">
        <v>42</v>
      </c>
      <c r="G7737" s="403" t="s">
        <v>43</v>
      </c>
      <c r="H7737" s="404" t="s">
        <v>44</v>
      </c>
      <c r="I7737" s="402" t="s">
        <v>474</v>
      </c>
      <c r="J7737" s="405" t="s">
        <v>475</v>
      </c>
    </row>
    <row r="7738" spans="1:10" ht="13">
      <c r="A7738" s="27"/>
      <c r="B7738" s="110"/>
      <c r="D7738" s="406" t="s">
        <v>45</v>
      </c>
      <c r="E7738" s="13" t="s">
        <v>46</v>
      </c>
      <c r="F7738" s="14"/>
      <c r="G7738" s="15"/>
      <c r="H7738" s="451"/>
      <c r="I7738" s="412"/>
      <c r="J7738" s="16"/>
    </row>
    <row r="7739" spans="1:10" ht="13">
      <c r="A7739" s="27"/>
      <c r="B7739" s="110"/>
      <c r="D7739" s="409"/>
      <c r="E7739" s="13" t="s">
        <v>47</v>
      </c>
      <c r="F7739" s="13" t="s">
        <v>1918</v>
      </c>
      <c r="G7739" s="543" t="s">
        <v>48</v>
      </c>
      <c r="H7739" s="548">
        <v>1</v>
      </c>
      <c r="I7739" s="412">
        <f>IF(AND(E7739&lt;&gt;"",G7739&lt;&gt;""),IF(D7739="",IF(G7739="OH",VLOOKUP(F7739,UPAH!$B$4:$H$101,7,0),VLOOKUP(F7739,#REF!,4,0)),0),0)</f>
        <v>0</v>
      </c>
      <c r="J7739" s="16">
        <f>H7739*I7739</f>
        <v>0</v>
      </c>
    </row>
    <row r="7740" spans="1:10" ht="13">
      <c r="A7740" s="27"/>
      <c r="B7740" s="110"/>
      <c r="D7740" s="409"/>
      <c r="E7740" s="13" t="s">
        <v>81</v>
      </c>
      <c r="F7740" s="13" t="s">
        <v>1921</v>
      </c>
      <c r="G7740" s="543" t="s">
        <v>48</v>
      </c>
      <c r="H7740" s="548">
        <v>1</v>
      </c>
      <c r="I7740" s="412">
        <f>IF(AND(E7740&lt;&gt;"",G7740&lt;&gt;""),IF(D7740="",IF(G7740="OH",VLOOKUP(F7740,UPAH!$B$4:$H$101,7,0),VLOOKUP(F7740,#REF!,4,0)),0),0)</f>
        <v>0</v>
      </c>
      <c r="J7740" s="16">
        <f>H7740*I7740</f>
        <v>0</v>
      </c>
    </row>
    <row r="7741" spans="1:10" ht="13">
      <c r="A7741" s="27"/>
      <c r="B7741" s="110"/>
      <c r="D7741" s="409"/>
      <c r="E7741" s="13" t="s">
        <v>50</v>
      </c>
      <c r="F7741" s="13" t="s">
        <v>1928</v>
      </c>
      <c r="G7741" s="543" t="s">
        <v>48</v>
      </c>
      <c r="H7741" s="548">
        <v>0.1</v>
      </c>
      <c r="I7741" s="412">
        <f>IF(AND(E7741&lt;&gt;"",G7741&lt;&gt;""),IF(D7741="",IF(G7741="OH",VLOOKUP(F7741,UPAH!$B$4:$H$101,7,0),VLOOKUP(F7741,#REF!,4,0)),0),0)</f>
        <v>0</v>
      </c>
      <c r="J7741" s="16">
        <f>H7741*I7741</f>
        <v>0</v>
      </c>
    </row>
    <row r="7742" spans="1:10" ht="13.5" thickBot="1">
      <c r="A7742" s="27"/>
      <c r="B7742" s="110"/>
      <c r="D7742" s="409"/>
      <c r="E7742" s="13" t="s">
        <v>51</v>
      </c>
      <c r="F7742" s="13" t="s">
        <v>1929</v>
      </c>
      <c r="G7742" s="543" t="s">
        <v>48</v>
      </c>
      <c r="H7742" s="548">
        <v>0.05</v>
      </c>
      <c r="I7742" s="412">
        <f>IF(AND(E7742&lt;&gt;"",G7742&lt;&gt;""),IF(D7742="",IF(G7742="OH",VLOOKUP(F7742,UPAH!$B$4:$H$101,7,0),VLOOKUP(F7742,#REF!,4,0)),0),0)</f>
        <v>0</v>
      </c>
      <c r="J7742" s="16">
        <f>H7742*I7742</f>
        <v>0</v>
      </c>
    </row>
    <row r="7743" spans="1:10" ht="13.5" thickBot="1">
      <c r="A7743" s="27"/>
      <c r="B7743" s="110"/>
      <c r="D7743" s="417"/>
      <c r="E7743" s="418"/>
      <c r="F7743" s="418"/>
      <c r="G7743" s="419"/>
      <c r="H7743" s="420" t="s">
        <v>52</v>
      </c>
      <c r="I7743" s="421"/>
      <c r="J7743" s="396">
        <f>SUM(J7739:J7742)</f>
        <v>0</v>
      </c>
    </row>
    <row r="7744" spans="1:10" ht="13">
      <c r="A7744" s="27"/>
      <c r="B7744" s="110"/>
      <c r="D7744" s="406" t="s">
        <v>53</v>
      </c>
      <c r="E7744" s="13" t="s">
        <v>54</v>
      </c>
      <c r="F7744" s="14"/>
      <c r="G7744" s="15"/>
      <c r="H7744" s="451"/>
      <c r="I7744" s="412"/>
      <c r="J7744" s="16"/>
    </row>
    <row r="7745" spans="1:10" ht="13">
      <c r="A7745" s="27"/>
      <c r="B7745" s="110"/>
      <c r="D7745" s="409"/>
      <c r="E7745" s="13" t="s">
        <v>255</v>
      </c>
      <c r="F7745" s="14"/>
      <c r="G7745" s="543" t="s">
        <v>252</v>
      </c>
      <c r="H7745" s="548">
        <v>1</v>
      </c>
      <c r="I7745" s="412">
        <v>0</v>
      </c>
      <c r="J7745" s="16">
        <f>H7745*I7745</f>
        <v>0</v>
      </c>
    </row>
    <row r="7746" spans="1:10" ht="13">
      <c r="A7746" s="27"/>
      <c r="B7746" s="110"/>
      <c r="D7746" s="409"/>
      <c r="E7746" s="13" t="s">
        <v>56</v>
      </c>
      <c r="F7746" s="14"/>
      <c r="G7746" s="543" t="s">
        <v>57</v>
      </c>
      <c r="H7746" s="548">
        <v>6</v>
      </c>
      <c r="I7746" s="412">
        <f>'BAHAN '!G72</f>
        <v>0</v>
      </c>
      <c r="J7746" s="16">
        <f>H7746*I7746</f>
        <v>0</v>
      </c>
    </row>
    <row r="7747" spans="1:10" ht="13">
      <c r="A7747" s="27"/>
      <c r="B7747" s="110"/>
      <c r="D7747" s="409"/>
      <c r="E7747" s="13" t="s">
        <v>85</v>
      </c>
      <c r="F7747" s="14"/>
      <c r="G7747" s="543" t="s">
        <v>170</v>
      </c>
      <c r="H7747" s="548">
        <v>0.01</v>
      </c>
      <c r="I7747" s="412">
        <f>'BAHAN '!G59</f>
        <v>0</v>
      </c>
      <c r="J7747" s="16">
        <f>H7747*I7747</f>
        <v>0</v>
      </c>
    </row>
    <row r="7748" spans="1:10" ht="13.5" thickBot="1">
      <c r="A7748" s="27"/>
      <c r="B7748" s="110"/>
      <c r="D7748" s="409"/>
      <c r="E7748" s="13" t="s">
        <v>253</v>
      </c>
      <c r="F7748" s="14"/>
      <c r="G7748" s="543" t="s">
        <v>160</v>
      </c>
      <c r="H7748" s="548">
        <v>30</v>
      </c>
      <c r="I7748" s="412">
        <v>0</v>
      </c>
      <c r="J7748" s="16">
        <f>H7748*I7748</f>
        <v>0</v>
      </c>
    </row>
    <row r="7749" spans="1:10" ht="13.5" thickBot="1">
      <c r="A7749" s="27"/>
      <c r="B7749" s="110"/>
      <c r="D7749" s="417"/>
      <c r="E7749" s="418"/>
      <c r="F7749" s="418"/>
      <c r="G7749" s="419"/>
      <c r="H7749" s="420" t="s">
        <v>64</v>
      </c>
      <c r="I7749" s="421"/>
      <c r="J7749" s="396">
        <f>SUM(J7745:J7748)</f>
        <v>0</v>
      </c>
    </row>
    <row r="7750" spans="1:10" ht="13.5" thickBot="1">
      <c r="A7750" s="27"/>
      <c r="B7750" s="110"/>
      <c r="D7750" s="406" t="s">
        <v>65</v>
      </c>
      <c r="E7750" s="13" t="s">
        <v>66</v>
      </c>
      <c r="F7750" s="14"/>
      <c r="G7750" s="15"/>
      <c r="H7750" s="451"/>
      <c r="I7750" s="412">
        <f>IF(AND(E7750&lt;&gt;"",G7750&lt;&gt;""),IF(D7750="",IF(G7750="OH",VLOOKUP(E7750,UPAH!$C$4:$H$31,7,0),VLOOKUP(E7750,#REF!,4,0)),0),0)</f>
        <v>0</v>
      </c>
      <c r="J7750" s="16">
        <f>H7750*I7750</f>
        <v>0</v>
      </c>
    </row>
    <row r="7751" spans="1:10" ht="13.5" thickBot="1">
      <c r="A7751" s="27"/>
      <c r="B7751" s="110"/>
      <c r="D7751" s="417"/>
      <c r="E7751" s="418"/>
      <c r="F7751" s="418"/>
      <c r="G7751" s="419"/>
      <c r="H7751" s="420" t="s">
        <v>67</v>
      </c>
      <c r="I7751" s="421"/>
      <c r="J7751" s="396">
        <f>J7750</f>
        <v>0</v>
      </c>
    </row>
    <row r="7752" spans="1:10" ht="13">
      <c r="A7752" s="27"/>
      <c r="B7752" s="110"/>
      <c r="D7752" s="444" t="s">
        <v>68</v>
      </c>
      <c r="E7752" s="445" t="s">
        <v>69</v>
      </c>
      <c r="F7752" s="446"/>
      <c r="G7752" s="447"/>
      <c r="H7752" s="448"/>
      <c r="I7752" s="449">
        <f>IF(AND(E7752&lt;&gt;"",G7752&lt;&gt;""),IF(D7752="",IF(G7752="OH",VLOOKUP(E7752,UPAH!$C$4:$H$31,7,0),VLOOKUP(E7752,#REF!,4,0)),0),0)</f>
        <v>0</v>
      </c>
      <c r="J7752" s="16">
        <f>SUM(J7739:J7751)/2</f>
        <v>0</v>
      </c>
    </row>
    <row r="7753" spans="1:10" ht="13.5" thickBot="1">
      <c r="A7753" s="27"/>
      <c r="B7753" s="110"/>
      <c r="D7753" s="431" t="s">
        <v>70</v>
      </c>
      <c r="E7753" s="432" t="s">
        <v>477</v>
      </c>
      <c r="F7753" s="433"/>
      <c r="G7753" s="434"/>
      <c r="H7753" s="22">
        <v>0.1</v>
      </c>
      <c r="I7753" s="436"/>
      <c r="J7753" s="430">
        <f>H7753*J7752</f>
        <v>0</v>
      </c>
    </row>
    <row r="7754" spans="1:10" ht="13.5" thickBot="1">
      <c r="A7754" s="27"/>
      <c r="B7754" s="110"/>
      <c r="D7754" s="401" t="s">
        <v>71</v>
      </c>
      <c r="E7754" s="402" t="s">
        <v>72</v>
      </c>
      <c r="F7754" s="418"/>
      <c r="G7754" s="419"/>
      <c r="H7754" s="442"/>
      <c r="I7754" s="421">
        <f>IF(AND(E7754&lt;&gt;"",G7754&lt;&gt;""),IF(D7754="",IF(G7754="OH",VLOOKUP(E7754,UPAH!$C$4:$H$31,7,0),VLOOKUP(E7754,#REF!,4,0)),0),0)</f>
        <v>0</v>
      </c>
      <c r="J7754" s="396">
        <f>ROUNDDOWN(J7752+J7753,0)</f>
        <v>0</v>
      </c>
    </row>
    <row r="7755" spans="1:10" ht="13">
      <c r="A7755" s="27"/>
      <c r="B7755" s="110"/>
      <c r="D7755" s="11"/>
      <c r="E7755" s="11"/>
      <c r="H7755" s="443"/>
      <c r="I7755" s="17"/>
      <c r="J7755" s="18"/>
    </row>
    <row r="7756" spans="1:10" ht="13.5" thickBot="1">
      <c r="A7756" s="27"/>
      <c r="B7756" s="110"/>
      <c r="C7756" s="11" t="s">
        <v>1313</v>
      </c>
      <c r="D7756" s="10" t="s">
        <v>1314</v>
      </c>
      <c r="H7756" s="443"/>
    </row>
    <row r="7757" spans="1:10" ht="13.5" thickBot="1">
      <c r="A7757" s="27"/>
      <c r="B7757" s="110"/>
      <c r="D7757" s="401" t="s">
        <v>40</v>
      </c>
      <c r="E7757" s="402" t="s">
        <v>41</v>
      </c>
      <c r="F7757" s="402" t="s">
        <v>42</v>
      </c>
      <c r="G7757" s="403" t="s">
        <v>43</v>
      </c>
      <c r="H7757" s="404" t="s">
        <v>44</v>
      </c>
      <c r="I7757" s="402" t="s">
        <v>474</v>
      </c>
      <c r="J7757" s="405" t="s">
        <v>475</v>
      </c>
    </row>
    <row r="7758" spans="1:10" ht="13">
      <c r="A7758" s="27"/>
      <c r="B7758" s="110"/>
      <c r="D7758" s="406" t="s">
        <v>45</v>
      </c>
      <c r="E7758" s="13" t="s">
        <v>46</v>
      </c>
      <c r="F7758" s="14"/>
      <c r="G7758" s="15"/>
      <c r="H7758" s="451"/>
      <c r="I7758" s="412"/>
      <c r="J7758" s="16"/>
    </row>
    <row r="7759" spans="1:10" ht="13">
      <c r="A7759" s="27"/>
      <c r="B7759" s="110"/>
      <c r="D7759" s="409"/>
      <c r="E7759" s="13" t="s">
        <v>47</v>
      </c>
      <c r="F7759" s="13" t="s">
        <v>1918</v>
      </c>
      <c r="G7759" s="543" t="s">
        <v>48</v>
      </c>
      <c r="H7759" s="548">
        <v>1.2</v>
      </c>
      <c r="I7759" s="412">
        <f>IF(AND(E7759&lt;&gt;"",G7759&lt;&gt;""),IF(D7759="",IF(G7759="OH",VLOOKUP(F7759,UPAH!$B$4:$H$101,7,0),VLOOKUP(F7759,#REF!,4,0)),0),0)</f>
        <v>0</v>
      </c>
      <c r="J7759" s="16">
        <f>H7759*I7759</f>
        <v>0</v>
      </c>
    </row>
    <row r="7760" spans="1:10" ht="13">
      <c r="A7760" s="27"/>
      <c r="B7760" s="110"/>
      <c r="D7760" s="409"/>
      <c r="E7760" s="13" t="s">
        <v>81</v>
      </c>
      <c r="F7760" s="13" t="s">
        <v>1921</v>
      </c>
      <c r="G7760" s="543" t="s">
        <v>48</v>
      </c>
      <c r="H7760" s="548">
        <v>1.45</v>
      </c>
      <c r="I7760" s="412">
        <f>IF(AND(E7760&lt;&gt;"",G7760&lt;&gt;""),IF(D7760="",IF(G7760="OH",VLOOKUP(F7760,UPAH!$B$4:$H$101,7,0),VLOOKUP(F7760,#REF!,4,0)),0),0)</f>
        <v>0</v>
      </c>
      <c r="J7760" s="16">
        <f>H7760*I7760</f>
        <v>0</v>
      </c>
    </row>
    <row r="7761" spans="1:10" ht="13">
      <c r="A7761" s="27"/>
      <c r="B7761" s="110"/>
      <c r="D7761" s="409"/>
      <c r="E7761" s="13" t="s">
        <v>50</v>
      </c>
      <c r="F7761" s="13" t="s">
        <v>1928</v>
      </c>
      <c r="G7761" s="543" t="s">
        <v>48</v>
      </c>
      <c r="H7761" s="548">
        <v>0.15</v>
      </c>
      <c r="I7761" s="412">
        <f>IF(AND(E7761&lt;&gt;"",G7761&lt;&gt;""),IF(D7761="",IF(G7761="OH",VLOOKUP(F7761,UPAH!$B$4:$H$101,7,0),VLOOKUP(F7761,#REF!,4,0)),0),0)</f>
        <v>0</v>
      </c>
      <c r="J7761" s="16">
        <f>H7761*I7761</f>
        <v>0</v>
      </c>
    </row>
    <row r="7762" spans="1:10" ht="13.5" thickBot="1">
      <c r="A7762" s="27"/>
      <c r="B7762" s="110"/>
      <c r="D7762" s="409"/>
      <c r="E7762" s="13" t="s">
        <v>51</v>
      </c>
      <c r="F7762" s="13" t="s">
        <v>1929</v>
      </c>
      <c r="G7762" s="543" t="s">
        <v>48</v>
      </c>
      <c r="H7762" s="548">
        <v>0.06</v>
      </c>
      <c r="I7762" s="412">
        <f>IF(AND(E7762&lt;&gt;"",G7762&lt;&gt;""),IF(D7762="",IF(G7762="OH",VLOOKUP(F7762,UPAH!$B$4:$H$101,7,0),VLOOKUP(F7762,#REF!,4,0)),0),0)</f>
        <v>0</v>
      </c>
      <c r="J7762" s="16">
        <f>H7762*I7762</f>
        <v>0</v>
      </c>
    </row>
    <row r="7763" spans="1:10" ht="13.5" thickBot="1">
      <c r="A7763" s="27"/>
      <c r="B7763" s="110"/>
      <c r="D7763" s="417"/>
      <c r="E7763" s="418"/>
      <c r="F7763" s="418"/>
      <c r="G7763" s="419"/>
      <c r="H7763" s="420" t="s">
        <v>52</v>
      </c>
      <c r="I7763" s="421"/>
      <c r="J7763" s="396">
        <f>SUM(J7759:J7762)</f>
        <v>0</v>
      </c>
    </row>
    <row r="7764" spans="1:10" ht="13">
      <c r="A7764" s="27"/>
      <c r="B7764" s="110"/>
      <c r="D7764" s="406" t="s">
        <v>53</v>
      </c>
      <c r="E7764" s="13" t="s">
        <v>54</v>
      </c>
      <c r="F7764" s="14"/>
      <c r="G7764" s="15"/>
      <c r="H7764" s="451"/>
      <c r="I7764" s="412"/>
      <c r="J7764" s="16"/>
    </row>
    <row r="7765" spans="1:10" ht="13">
      <c r="A7765" s="27"/>
      <c r="B7765" s="110"/>
      <c r="D7765" s="409"/>
      <c r="E7765" s="13" t="s">
        <v>256</v>
      </c>
      <c r="F7765" s="14"/>
      <c r="G7765" s="543" t="s">
        <v>252</v>
      </c>
      <c r="H7765" s="548">
        <v>1.2</v>
      </c>
      <c r="I7765" s="412">
        <f>'BAHAN '!G693</f>
        <v>0</v>
      </c>
      <c r="J7765" s="16">
        <f>H7765*I7765</f>
        <v>0</v>
      </c>
    </row>
    <row r="7766" spans="1:10" ht="13">
      <c r="A7766" s="27"/>
      <c r="B7766" s="110"/>
      <c r="D7766" s="409"/>
      <c r="E7766" s="13" t="s">
        <v>56</v>
      </c>
      <c r="F7766" s="14"/>
      <c r="G7766" s="543" t="s">
        <v>57</v>
      </c>
      <c r="H7766" s="548">
        <v>6</v>
      </c>
      <c r="I7766" s="412">
        <f>'BAHAN '!G72</f>
        <v>0</v>
      </c>
      <c r="J7766" s="16">
        <f>H7766*I7766</f>
        <v>0</v>
      </c>
    </row>
    <row r="7767" spans="1:10" ht="13">
      <c r="A7767" s="27"/>
      <c r="B7767" s="110"/>
      <c r="D7767" s="409"/>
      <c r="E7767" s="13" t="s">
        <v>85</v>
      </c>
      <c r="F7767" s="14"/>
      <c r="G7767" s="543" t="s">
        <v>170</v>
      </c>
      <c r="H7767" s="548">
        <v>0.01</v>
      </c>
      <c r="I7767" s="412">
        <f>'BAHAN '!G59</f>
        <v>0</v>
      </c>
      <c r="J7767" s="16">
        <f>H7767*I7767</f>
        <v>0</v>
      </c>
    </row>
    <row r="7768" spans="1:10" ht="13.5" thickBot="1">
      <c r="A7768" s="27"/>
      <c r="B7768" s="110"/>
      <c r="D7768" s="409"/>
      <c r="E7768" s="13" t="s">
        <v>253</v>
      </c>
      <c r="F7768" s="14"/>
      <c r="G7768" s="543" t="s">
        <v>160</v>
      </c>
      <c r="H7768" s="548">
        <v>12</v>
      </c>
      <c r="I7768" s="412">
        <f>SUM(J7765:J7767)/100</f>
        <v>0</v>
      </c>
      <c r="J7768" s="16">
        <f>H7768*I7768</f>
        <v>0</v>
      </c>
    </row>
    <row r="7769" spans="1:10" ht="13.5" thickBot="1">
      <c r="A7769" s="27"/>
      <c r="B7769" s="110"/>
      <c r="D7769" s="417"/>
      <c r="E7769" s="418"/>
      <c r="F7769" s="418"/>
      <c r="G7769" s="419"/>
      <c r="H7769" s="420" t="s">
        <v>64</v>
      </c>
      <c r="I7769" s="421"/>
      <c r="J7769" s="396">
        <f>SUM(J7765:J7768)</f>
        <v>0</v>
      </c>
    </row>
    <row r="7770" spans="1:10" ht="13.5" thickBot="1">
      <c r="A7770" s="27"/>
      <c r="B7770" s="110"/>
      <c r="D7770" s="406" t="s">
        <v>65</v>
      </c>
      <c r="E7770" s="13" t="s">
        <v>66</v>
      </c>
      <c r="F7770" s="14"/>
      <c r="G7770" s="15"/>
      <c r="H7770" s="451"/>
      <c r="I7770" s="412">
        <f>IF(AND(E7770&lt;&gt;"",G7770&lt;&gt;""),IF(D7770="",IF(G7770="OH",VLOOKUP(E7770,UPAH!$C$4:$H$31,7,0),VLOOKUP(E7770,#REF!,4,0)),0),0)</f>
        <v>0</v>
      </c>
      <c r="J7770" s="16">
        <f>H7770*I7770</f>
        <v>0</v>
      </c>
    </row>
    <row r="7771" spans="1:10" ht="13.5" thickBot="1">
      <c r="A7771" s="27"/>
      <c r="B7771" s="110"/>
      <c r="D7771" s="417"/>
      <c r="E7771" s="418"/>
      <c r="F7771" s="418"/>
      <c r="G7771" s="419"/>
      <c r="H7771" s="420" t="s">
        <v>67</v>
      </c>
      <c r="I7771" s="421"/>
      <c r="J7771" s="396">
        <f>J7770</f>
        <v>0</v>
      </c>
    </row>
    <row r="7772" spans="1:10" ht="13">
      <c r="A7772" s="27"/>
      <c r="B7772" s="110"/>
      <c r="D7772" s="444" t="s">
        <v>68</v>
      </c>
      <c r="E7772" s="445" t="s">
        <v>69</v>
      </c>
      <c r="F7772" s="446"/>
      <c r="G7772" s="447"/>
      <c r="H7772" s="448"/>
      <c r="I7772" s="449">
        <f>IF(AND(E7772&lt;&gt;"",G7772&lt;&gt;""),IF(D7772="",IF(G7772="OH",VLOOKUP(E7772,UPAH!$C$4:$H$31,7,0),VLOOKUP(E7772,#REF!,4,0)),0),0)</f>
        <v>0</v>
      </c>
      <c r="J7772" s="16">
        <f>SUM(J7759:J7771)/2</f>
        <v>0</v>
      </c>
    </row>
    <row r="7773" spans="1:10" ht="13.5" thickBot="1">
      <c r="A7773" s="27"/>
      <c r="B7773" s="110"/>
      <c r="D7773" s="431" t="s">
        <v>70</v>
      </c>
      <c r="E7773" s="432" t="s">
        <v>477</v>
      </c>
      <c r="F7773" s="433"/>
      <c r="G7773" s="434"/>
      <c r="H7773" s="22">
        <v>0.1</v>
      </c>
      <c r="I7773" s="436"/>
      <c r="J7773" s="430">
        <f>H7773*J7772</f>
        <v>0</v>
      </c>
    </row>
    <row r="7774" spans="1:10" ht="13.5" thickBot="1">
      <c r="A7774" s="27"/>
      <c r="B7774" s="110"/>
      <c r="D7774" s="401" t="s">
        <v>71</v>
      </c>
      <c r="E7774" s="402" t="s">
        <v>72</v>
      </c>
      <c r="F7774" s="418"/>
      <c r="G7774" s="419"/>
      <c r="H7774" s="442"/>
      <c r="I7774" s="421">
        <f>IF(AND(E7774&lt;&gt;"",G7774&lt;&gt;""),IF(D7774="",IF(G7774="OH",VLOOKUP(E7774,UPAH!$C$4:$H$31,7,0),VLOOKUP(E7774,#REF!,4,0)),0),0)</f>
        <v>0</v>
      </c>
      <c r="J7774" s="396">
        <f>ROUNDDOWN(J7772+J7773,0)</f>
        <v>0</v>
      </c>
    </row>
    <row r="7775" spans="1:10" ht="13">
      <c r="A7775" s="27"/>
      <c r="B7775" s="110"/>
      <c r="D7775" s="11"/>
      <c r="E7775" s="11"/>
      <c r="H7775" s="443"/>
      <c r="I7775" s="17"/>
      <c r="J7775" s="18"/>
    </row>
    <row r="7776" spans="1:10" ht="13.5" thickBot="1">
      <c r="A7776" s="27"/>
      <c r="B7776" s="110"/>
      <c r="C7776" s="11" t="s">
        <v>1315</v>
      </c>
      <c r="D7776" s="10" t="s">
        <v>1316</v>
      </c>
      <c r="H7776" s="443"/>
    </row>
    <row r="7777" spans="1:10" ht="13.5" thickBot="1">
      <c r="A7777" s="27"/>
      <c r="B7777" s="110"/>
      <c r="D7777" s="401" t="s">
        <v>40</v>
      </c>
      <c r="E7777" s="402" t="s">
        <v>41</v>
      </c>
      <c r="F7777" s="402" t="s">
        <v>42</v>
      </c>
      <c r="G7777" s="403" t="s">
        <v>43</v>
      </c>
      <c r="H7777" s="404" t="s">
        <v>44</v>
      </c>
      <c r="I7777" s="402" t="s">
        <v>474</v>
      </c>
      <c r="J7777" s="405" t="s">
        <v>475</v>
      </c>
    </row>
    <row r="7778" spans="1:10" ht="13">
      <c r="A7778" s="27"/>
      <c r="B7778" s="110"/>
      <c r="D7778" s="406" t="s">
        <v>45</v>
      </c>
      <c r="E7778" s="13" t="s">
        <v>46</v>
      </c>
      <c r="F7778" s="14"/>
      <c r="G7778" s="15"/>
      <c r="H7778" s="451"/>
      <c r="I7778" s="412"/>
      <c r="J7778" s="16"/>
    </row>
    <row r="7779" spans="1:10" ht="13">
      <c r="A7779" s="27"/>
      <c r="B7779" s="110"/>
      <c r="D7779" s="409"/>
      <c r="E7779" s="13" t="s">
        <v>47</v>
      </c>
      <c r="F7779" s="13" t="s">
        <v>1918</v>
      </c>
      <c r="G7779" s="543" t="s">
        <v>48</v>
      </c>
      <c r="H7779" s="548">
        <v>7.4999999999999997E-2</v>
      </c>
      <c r="I7779" s="412">
        <f>IF(AND(E7779&lt;&gt;"",G7779&lt;&gt;""),IF(D7779="",IF(G7779="OH",VLOOKUP(F7779,UPAH!$B$4:$H$101,7,0),VLOOKUP(F7779,#REF!,4,0)),0),0)</f>
        <v>0</v>
      </c>
      <c r="J7779" s="16">
        <f>H7779*I7779</f>
        <v>0</v>
      </c>
    </row>
    <row r="7780" spans="1:10" ht="13">
      <c r="A7780" s="27"/>
      <c r="B7780" s="110"/>
      <c r="D7780" s="409"/>
      <c r="E7780" s="13" t="s">
        <v>81</v>
      </c>
      <c r="F7780" s="13" t="s">
        <v>1921</v>
      </c>
      <c r="G7780" s="543" t="s">
        <v>48</v>
      </c>
      <c r="H7780" s="548">
        <v>0.75</v>
      </c>
      <c r="I7780" s="412">
        <f>IF(AND(E7780&lt;&gt;"",G7780&lt;&gt;""),IF(D7780="",IF(G7780="OH",VLOOKUP(F7780,UPAH!$B$4:$H$101,7,0),VLOOKUP(F7780,#REF!,4,0)),0),0)</f>
        <v>0</v>
      </c>
      <c r="J7780" s="16">
        <f>H7780*I7780</f>
        <v>0</v>
      </c>
    </row>
    <row r="7781" spans="1:10" ht="13">
      <c r="A7781" s="27"/>
      <c r="B7781" s="110"/>
      <c r="D7781" s="409"/>
      <c r="E7781" s="13" t="s">
        <v>50</v>
      </c>
      <c r="F7781" s="13" t="s">
        <v>1928</v>
      </c>
      <c r="G7781" s="543" t="s">
        <v>48</v>
      </c>
      <c r="H7781" s="548">
        <v>7.4999999999999997E-2</v>
      </c>
      <c r="I7781" s="412">
        <f>IF(AND(E7781&lt;&gt;"",G7781&lt;&gt;""),IF(D7781="",IF(G7781="OH",VLOOKUP(F7781,UPAH!$B$4:$H$101,7,0),VLOOKUP(F7781,#REF!,4,0)),0),0)</f>
        <v>0</v>
      </c>
      <c r="J7781" s="16">
        <f>H7781*I7781</f>
        <v>0</v>
      </c>
    </row>
    <row r="7782" spans="1:10" ht="13.5" thickBot="1">
      <c r="A7782" s="27"/>
      <c r="B7782" s="110"/>
      <c r="D7782" s="409"/>
      <c r="E7782" s="13" t="s">
        <v>51</v>
      </c>
      <c r="F7782" s="13" t="s">
        <v>1929</v>
      </c>
      <c r="G7782" s="543" t="s">
        <v>48</v>
      </c>
      <c r="H7782" s="548">
        <v>3.0000000000000001E-3</v>
      </c>
      <c r="I7782" s="412">
        <f>IF(AND(E7782&lt;&gt;"",G7782&lt;&gt;""),IF(D7782="",IF(G7782="OH",VLOOKUP(F7782,UPAH!$B$4:$H$101,7,0),VLOOKUP(F7782,#REF!,4,0)),0),0)</f>
        <v>0</v>
      </c>
      <c r="J7782" s="16">
        <f>H7782*I7782</f>
        <v>0</v>
      </c>
    </row>
    <row r="7783" spans="1:10" ht="13.5" thickBot="1">
      <c r="A7783" s="27"/>
      <c r="B7783" s="110"/>
      <c r="D7783" s="417"/>
      <c r="E7783" s="418"/>
      <c r="F7783" s="418"/>
      <c r="G7783" s="419"/>
      <c r="H7783" s="420" t="s">
        <v>52</v>
      </c>
      <c r="I7783" s="421"/>
      <c r="J7783" s="396">
        <f>SUM(J7779:J7782)</f>
        <v>0</v>
      </c>
    </row>
    <row r="7784" spans="1:10" ht="13">
      <c r="A7784" s="27"/>
      <c r="B7784" s="110"/>
      <c r="D7784" s="406" t="s">
        <v>53</v>
      </c>
      <c r="E7784" s="13" t="s">
        <v>54</v>
      </c>
      <c r="F7784" s="14"/>
      <c r="G7784" s="15"/>
      <c r="H7784" s="451"/>
      <c r="I7784" s="412"/>
      <c r="J7784" s="16"/>
    </row>
    <row r="7785" spans="1:10" ht="13">
      <c r="A7785" s="27"/>
      <c r="B7785" s="110"/>
      <c r="D7785" s="409"/>
      <c r="E7785" s="13" t="s">
        <v>257</v>
      </c>
      <c r="F7785" s="14"/>
      <c r="G7785" s="543" t="s">
        <v>252</v>
      </c>
      <c r="H7785" s="548">
        <v>1</v>
      </c>
      <c r="I7785" s="412">
        <f>'BAHAN '!G318</f>
        <v>0</v>
      </c>
      <c r="J7785" s="16">
        <f>H7785*I7785</f>
        <v>0</v>
      </c>
    </row>
    <row r="7786" spans="1:10" ht="13.5" thickBot="1">
      <c r="A7786" s="27"/>
      <c r="B7786" s="110"/>
      <c r="D7786" s="409"/>
      <c r="E7786" s="13" t="s">
        <v>253</v>
      </c>
      <c r="F7786" s="14"/>
      <c r="G7786" s="543" t="s">
        <v>160</v>
      </c>
      <c r="H7786" s="548">
        <v>20</v>
      </c>
      <c r="I7786" s="412">
        <f>J7785/100</f>
        <v>0</v>
      </c>
      <c r="J7786" s="16">
        <f>H7786*I7786</f>
        <v>0</v>
      </c>
    </row>
    <row r="7787" spans="1:10" ht="13.5" thickBot="1">
      <c r="A7787" s="27"/>
      <c r="B7787" s="110"/>
      <c r="D7787" s="417"/>
      <c r="E7787" s="418"/>
      <c r="F7787" s="418"/>
      <c r="G7787" s="419"/>
      <c r="H7787" s="420" t="s">
        <v>64</v>
      </c>
      <c r="I7787" s="421"/>
      <c r="J7787" s="396">
        <f>SUM(J7785:J7786)</f>
        <v>0</v>
      </c>
    </row>
    <row r="7788" spans="1:10" ht="13.5" thickBot="1">
      <c r="A7788" s="27"/>
      <c r="B7788" s="110"/>
      <c r="D7788" s="406" t="s">
        <v>65</v>
      </c>
      <c r="E7788" s="13" t="s">
        <v>66</v>
      </c>
      <c r="F7788" s="14"/>
      <c r="G7788" s="15"/>
      <c r="H7788" s="451"/>
      <c r="I7788" s="412">
        <f>IF(AND(E7788&lt;&gt;"",G7788&lt;&gt;""),IF(D7788="",IF(G7788="OH",VLOOKUP(E7788,UPAH!$C$4:$H$31,7,0),VLOOKUP(E7788,#REF!,4,0)),0),0)</f>
        <v>0</v>
      </c>
      <c r="J7788" s="16">
        <f>H7788*I7788</f>
        <v>0</v>
      </c>
    </row>
    <row r="7789" spans="1:10" ht="13.5" thickBot="1">
      <c r="A7789" s="27"/>
      <c r="B7789" s="110"/>
      <c r="D7789" s="417"/>
      <c r="E7789" s="418"/>
      <c r="F7789" s="418"/>
      <c r="G7789" s="419"/>
      <c r="H7789" s="420" t="s">
        <v>67</v>
      </c>
      <c r="I7789" s="421"/>
      <c r="J7789" s="396">
        <f>J7788</f>
        <v>0</v>
      </c>
    </row>
    <row r="7790" spans="1:10" ht="13">
      <c r="A7790" s="27"/>
      <c r="B7790" s="110"/>
      <c r="D7790" s="444" t="s">
        <v>68</v>
      </c>
      <c r="E7790" s="445" t="s">
        <v>69</v>
      </c>
      <c r="F7790" s="446"/>
      <c r="G7790" s="447"/>
      <c r="H7790" s="448"/>
      <c r="I7790" s="449">
        <f>IF(AND(E7790&lt;&gt;"",G7790&lt;&gt;""),IF(D7790="",IF(G7790="OH",VLOOKUP(E7790,UPAH!$C$4:$H$31,7,0),VLOOKUP(E7790,#REF!,4,0)),0),0)</f>
        <v>0</v>
      </c>
      <c r="J7790" s="16">
        <f>SUM(J7779:J7789)/2</f>
        <v>0</v>
      </c>
    </row>
    <row r="7791" spans="1:10" ht="13.5" thickBot="1">
      <c r="A7791" s="27"/>
      <c r="B7791" s="110"/>
      <c r="D7791" s="431" t="s">
        <v>70</v>
      </c>
      <c r="E7791" s="432" t="s">
        <v>477</v>
      </c>
      <c r="F7791" s="433"/>
      <c r="G7791" s="434"/>
      <c r="H7791" s="22">
        <v>0.1</v>
      </c>
      <c r="I7791" s="436"/>
      <c r="J7791" s="430">
        <f>H7791*J7790</f>
        <v>0</v>
      </c>
    </row>
    <row r="7792" spans="1:10" ht="13.5" thickBot="1">
      <c r="A7792" s="27"/>
      <c r="B7792" s="110"/>
      <c r="D7792" s="401" t="s">
        <v>71</v>
      </c>
      <c r="E7792" s="402" t="s">
        <v>72</v>
      </c>
      <c r="F7792" s="418"/>
      <c r="G7792" s="419"/>
      <c r="H7792" s="442"/>
      <c r="I7792" s="421">
        <f>IF(AND(E7792&lt;&gt;"",G7792&lt;&gt;""),IF(D7792="",IF(G7792="OH",VLOOKUP(E7792,UPAH!$C$4:$H$31,7,0),VLOOKUP(E7792,#REF!,4,0)),0),0)</f>
        <v>0</v>
      </c>
      <c r="J7792" s="396">
        <f>ROUNDDOWN(J7790+J7791,0)</f>
        <v>0</v>
      </c>
    </row>
    <row r="7793" spans="1:10" ht="13">
      <c r="A7793" s="27"/>
      <c r="B7793" s="110"/>
      <c r="D7793" s="11"/>
      <c r="E7793" s="11"/>
      <c r="H7793" s="443"/>
      <c r="I7793" s="17"/>
      <c r="J7793" s="18"/>
    </row>
    <row r="7794" spans="1:10" ht="13.5" thickBot="1">
      <c r="A7794" s="27"/>
      <c r="B7794" s="110"/>
      <c r="C7794" s="11" t="s">
        <v>1317</v>
      </c>
      <c r="D7794" s="10" t="s">
        <v>1318</v>
      </c>
      <c r="H7794" s="443"/>
    </row>
    <row r="7795" spans="1:10" ht="13.5" thickBot="1">
      <c r="A7795" s="27"/>
      <c r="B7795" s="110"/>
      <c r="D7795" s="401" t="s">
        <v>40</v>
      </c>
      <c r="E7795" s="402" t="s">
        <v>41</v>
      </c>
      <c r="F7795" s="402" t="s">
        <v>42</v>
      </c>
      <c r="G7795" s="403" t="s">
        <v>43</v>
      </c>
      <c r="H7795" s="404" t="s">
        <v>44</v>
      </c>
      <c r="I7795" s="402" t="s">
        <v>474</v>
      </c>
      <c r="J7795" s="405" t="s">
        <v>475</v>
      </c>
    </row>
    <row r="7796" spans="1:10" ht="13">
      <c r="A7796" s="27"/>
      <c r="B7796" s="110"/>
      <c r="D7796" s="444" t="s">
        <v>45</v>
      </c>
      <c r="E7796" s="445" t="s">
        <v>46</v>
      </c>
      <c r="F7796" s="446"/>
      <c r="G7796" s="447"/>
      <c r="H7796" s="448"/>
      <c r="I7796" s="449"/>
      <c r="J7796" s="450"/>
    </row>
    <row r="7797" spans="1:10" ht="13">
      <c r="A7797" s="27"/>
      <c r="B7797" s="110"/>
      <c r="D7797" s="409"/>
      <c r="E7797" s="13" t="s">
        <v>47</v>
      </c>
      <c r="F7797" s="13" t="s">
        <v>1918</v>
      </c>
      <c r="G7797" s="543" t="s">
        <v>48</v>
      </c>
      <c r="H7797" s="548">
        <v>3</v>
      </c>
      <c r="I7797" s="412">
        <f>IF(AND(E7797&lt;&gt;"",G7797&lt;&gt;""),IF(D7797="",IF(G7797="OH",VLOOKUP(F7797,UPAH!$B$4:$H$101,7,0),VLOOKUP(F7797,#REF!,4,0)),0),0)</f>
        <v>0</v>
      </c>
      <c r="J7797" s="16">
        <f>H7797*I7797</f>
        <v>0</v>
      </c>
    </row>
    <row r="7798" spans="1:10" ht="13">
      <c r="A7798" s="27"/>
      <c r="B7798" s="110"/>
      <c r="D7798" s="409"/>
      <c r="E7798" s="13" t="s">
        <v>81</v>
      </c>
      <c r="F7798" s="13" t="s">
        <v>1921</v>
      </c>
      <c r="G7798" s="543" t="s">
        <v>48</v>
      </c>
      <c r="H7798" s="548">
        <v>4.5</v>
      </c>
      <c r="I7798" s="412">
        <f>IF(AND(E7798&lt;&gt;"",G7798&lt;&gt;""),IF(D7798="",IF(G7798="OH",VLOOKUP(F7798,UPAH!$B$4:$H$101,7,0),VLOOKUP(F7798,#REF!,4,0)),0),0)</f>
        <v>0</v>
      </c>
      <c r="J7798" s="16">
        <f>H7798*I7798</f>
        <v>0</v>
      </c>
    </row>
    <row r="7799" spans="1:10" ht="13">
      <c r="A7799" s="27"/>
      <c r="B7799" s="110"/>
      <c r="D7799" s="409"/>
      <c r="E7799" s="13" t="s">
        <v>50</v>
      </c>
      <c r="F7799" s="13" t="s">
        <v>1928</v>
      </c>
      <c r="G7799" s="543" t="s">
        <v>48</v>
      </c>
      <c r="H7799" s="548">
        <v>0.05</v>
      </c>
      <c r="I7799" s="412">
        <f>IF(AND(E7799&lt;&gt;"",G7799&lt;&gt;""),IF(D7799="",IF(G7799="OH",VLOOKUP(F7799,UPAH!$B$4:$H$101,7,0),VLOOKUP(F7799,#REF!,4,0)),0),0)</f>
        <v>0</v>
      </c>
      <c r="J7799" s="16">
        <f>H7799*I7799</f>
        <v>0</v>
      </c>
    </row>
    <row r="7800" spans="1:10" ht="13.5" thickBot="1">
      <c r="A7800" s="27"/>
      <c r="B7800" s="110"/>
      <c r="D7800" s="409"/>
      <c r="E7800" s="13" t="s">
        <v>51</v>
      </c>
      <c r="F7800" s="13" t="s">
        <v>1929</v>
      </c>
      <c r="G7800" s="543" t="s">
        <v>48</v>
      </c>
      <c r="H7800" s="548">
        <v>0.9</v>
      </c>
      <c r="I7800" s="412">
        <f>IF(AND(E7800&lt;&gt;"",G7800&lt;&gt;""),IF(D7800="",IF(G7800="OH",VLOOKUP(F7800,UPAH!$B$4:$H$101,7,0),VLOOKUP(F7800,#REF!,4,0)),0),0)</f>
        <v>0</v>
      </c>
      <c r="J7800" s="16">
        <f>H7800*I7800</f>
        <v>0</v>
      </c>
    </row>
    <row r="7801" spans="1:10" ht="13.5" thickBot="1">
      <c r="A7801" s="27"/>
      <c r="B7801" s="110"/>
      <c r="D7801" s="417"/>
      <c r="E7801" s="418"/>
      <c r="F7801" s="418"/>
      <c r="G7801" s="419"/>
      <c r="H7801" s="420" t="s">
        <v>52</v>
      </c>
      <c r="I7801" s="421"/>
      <c r="J7801" s="396">
        <f>SUM(J7797:J7800)</f>
        <v>0</v>
      </c>
    </row>
    <row r="7802" spans="1:10" ht="13">
      <c r="A7802" s="27"/>
      <c r="B7802" s="110"/>
      <c r="D7802" s="406" t="s">
        <v>53</v>
      </c>
      <c r="E7802" s="13" t="s">
        <v>54</v>
      </c>
      <c r="F7802" s="14"/>
      <c r="G7802" s="15"/>
      <c r="H7802" s="451"/>
      <c r="I7802" s="412"/>
      <c r="J7802" s="16"/>
    </row>
    <row r="7803" spans="1:10" ht="13">
      <c r="A7803" s="27"/>
      <c r="B7803" s="110"/>
      <c r="D7803" s="409"/>
      <c r="E7803" s="13" t="s">
        <v>381</v>
      </c>
      <c r="F7803" s="14"/>
      <c r="G7803" s="543" t="s">
        <v>252</v>
      </c>
      <c r="H7803" s="548">
        <v>1</v>
      </c>
      <c r="I7803" s="412">
        <f>'BAHAN '!G317</f>
        <v>0</v>
      </c>
      <c r="J7803" s="16">
        <f>H7803*I7803</f>
        <v>0</v>
      </c>
    </row>
    <row r="7804" spans="1:10" ht="13.5" thickBot="1">
      <c r="A7804" s="27"/>
      <c r="B7804" s="110"/>
      <c r="D7804" s="409"/>
      <c r="E7804" s="13" t="s">
        <v>253</v>
      </c>
      <c r="F7804" s="14"/>
      <c r="G7804" s="543" t="s">
        <v>160</v>
      </c>
      <c r="H7804" s="548">
        <v>12</v>
      </c>
      <c r="I7804" s="412">
        <f>J7803/100</f>
        <v>0</v>
      </c>
      <c r="J7804" s="16">
        <f>H7804*I7804</f>
        <v>0</v>
      </c>
    </row>
    <row r="7805" spans="1:10" ht="13.5" thickBot="1">
      <c r="A7805" s="27"/>
      <c r="B7805" s="110"/>
      <c r="D7805" s="417"/>
      <c r="E7805" s="418"/>
      <c r="F7805" s="418"/>
      <c r="G7805" s="419"/>
      <c r="H7805" s="420" t="s">
        <v>64</v>
      </c>
      <c r="I7805" s="421"/>
      <c r="J7805" s="396">
        <f>SUM(J7803:J7804)</f>
        <v>0</v>
      </c>
    </row>
    <row r="7806" spans="1:10" ht="13.5" thickBot="1">
      <c r="A7806" s="27"/>
      <c r="B7806" s="110"/>
      <c r="D7806" s="406" t="s">
        <v>65</v>
      </c>
      <c r="E7806" s="13" t="s">
        <v>66</v>
      </c>
      <c r="F7806" s="14"/>
      <c r="G7806" s="15"/>
      <c r="H7806" s="451"/>
      <c r="I7806" s="412">
        <f>IF(AND(E7806&lt;&gt;"",G7806&lt;&gt;""),IF(D7806="",IF(G7806="OH",VLOOKUP(E7806,UPAH!$C$4:$H$31,7,0),VLOOKUP(E7806,#REF!,4,0)),0),0)</f>
        <v>0</v>
      </c>
      <c r="J7806" s="16">
        <f>H7806*I7806</f>
        <v>0</v>
      </c>
    </row>
    <row r="7807" spans="1:10" ht="13.5" thickBot="1">
      <c r="A7807" s="27"/>
      <c r="B7807" s="110"/>
      <c r="D7807" s="417"/>
      <c r="E7807" s="418"/>
      <c r="F7807" s="418"/>
      <c r="G7807" s="419"/>
      <c r="H7807" s="420" t="s">
        <v>67</v>
      </c>
      <c r="I7807" s="421"/>
      <c r="J7807" s="396">
        <f>J7806</f>
        <v>0</v>
      </c>
    </row>
    <row r="7808" spans="1:10" ht="13">
      <c r="A7808" s="27"/>
      <c r="B7808" s="110"/>
      <c r="D7808" s="444" t="s">
        <v>68</v>
      </c>
      <c r="E7808" s="445" t="s">
        <v>69</v>
      </c>
      <c r="F7808" s="446"/>
      <c r="G7808" s="447"/>
      <c r="H7808" s="448"/>
      <c r="I7808" s="449">
        <f>IF(AND(E7808&lt;&gt;"",G7808&lt;&gt;""),IF(D7808="",IF(G7808="OH",VLOOKUP(E7808,UPAH!$C$4:$H$31,7,0),VLOOKUP(E7808,#REF!,4,0)),0),0)</f>
        <v>0</v>
      </c>
      <c r="J7808" s="16">
        <f>SUM(J7797:J7807)/2</f>
        <v>0</v>
      </c>
    </row>
    <row r="7809" spans="1:10" ht="13.5" thickBot="1">
      <c r="A7809" s="27"/>
      <c r="B7809" s="110"/>
      <c r="D7809" s="431" t="s">
        <v>70</v>
      </c>
      <c r="E7809" s="432" t="s">
        <v>477</v>
      </c>
      <c r="F7809" s="433"/>
      <c r="G7809" s="434"/>
      <c r="H7809" s="22">
        <v>0.1</v>
      </c>
      <c r="I7809" s="436"/>
      <c r="J7809" s="430">
        <f>H7809*J7808</f>
        <v>0</v>
      </c>
    </row>
    <row r="7810" spans="1:10" ht="13.5" thickBot="1">
      <c r="A7810" s="27"/>
      <c r="B7810" s="110"/>
      <c r="D7810" s="401" t="s">
        <v>71</v>
      </c>
      <c r="E7810" s="402" t="s">
        <v>72</v>
      </c>
      <c r="F7810" s="418"/>
      <c r="G7810" s="419"/>
      <c r="H7810" s="442"/>
      <c r="I7810" s="421">
        <f>IF(AND(E7810&lt;&gt;"",G7810&lt;&gt;""),IF(D7810="",IF(G7810="OH",VLOOKUP(E7810,UPAH!$C$4:$H$31,7,0),VLOOKUP(E7810,#REF!,4,0)),0),0)</f>
        <v>0</v>
      </c>
      <c r="J7810" s="396">
        <f>ROUNDDOWN(J7808+J7809,0)</f>
        <v>0</v>
      </c>
    </row>
    <row r="7811" spans="1:10" ht="13">
      <c r="A7811" s="27"/>
      <c r="B7811" s="110"/>
      <c r="D7811" s="11"/>
      <c r="E7811" s="11"/>
      <c r="H7811" s="443"/>
      <c r="I7811" s="17"/>
      <c r="J7811" s="18"/>
    </row>
    <row r="7812" spans="1:10" ht="13.5" thickBot="1">
      <c r="A7812" s="27"/>
      <c r="B7812" s="110"/>
      <c r="C7812" s="11" t="s">
        <v>1319</v>
      </c>
      <c r="D7812" s="10" t="s">
        <v>1320</v>
      </c>
      <c r="H7812" s="443"/>
    </row>
    <row r="7813" spans="1:10" ht="13.5" thickBot="1">
      <c r="A7813" s="27"/>
      <c r="B7813" s="110"/>
      <c r="D7813" s="401" t="s">
        <v>40</v>
      </c>
      <c r="E7813" s="402" t="s">
        <v>41</v>
      </c>
      <c r="F7813" s="402" t="s">
        <v>42</v>
      </c>
      <c r="G7813" s="403" t="s">
        <v>43</v>
      </c>
      <c r="H7813" s="404" t="s">
        <v>44</v>
      </c>
      <c r="I7813" s="402" t="s">
        <v>474</v>
      </c>
      <c r="J7813" s="405" t="s">
        <v>475</v>
      </c>
    </row>
    <row r="7814" spans="1:10" ht="13">
      <c r="A7814" s="27"/>
      <c r="B7814" s="110"/>
      <c r="D7814" s="406" t="s">
        <v>45</v>
      </c>
      <c r="E7814" s="13" t="s">
        <v>46</v>
      </c>
      <c r="F7814" s="14"/>
      <c r="G7814" s="15"/>
      <c r="H7814" s="451"/>
      <c r="I7814" s="412"/>
      <c r="J7814" s="16"/>
    </row>
    <row r="7815" spans="1:10" ht="13">
      <c r="A7815" s="27"/>
      <c r="B7815" s="110"/>
      <c r="D7815" s="409"/>
      <c r="E7815" s="13" t="s">
        <v>47</v>
      </c>
      <c r="F7815" s="13" t="s">
        <v>1918</v>
      </c>
      <c r="G7815" s="543" t="s">
        <v>48</v>
      </c>
      <c r="H7815" s="548">
        <v>6</v>
      </c>
      <c r="I7815" s="412">
        <f>IF(AND(E7815&lt;&gt;"",G7815&lt;&gt;""),IF(D7815="",IF(G7815="OH",VLOOKUP(F7815,UPAH!$B$4:$H$101,7,0),VLOOKUP(F7815,#REF!,4,0)),0),0)</f>
        <v>0</v>
      </c>
      <c r="J7815" s="16">
        <f>H7815*I7815</f>
        <v>0</v>
      </c>
    </row>
    <row r="7816" spans="1:10" ht="13">
      <c r="A7816" s="27"/>
      <c r="B7816" s="110"/>
      <c r="D7816" s="409"/>
      <c r="E7816" s="13" t="s">
        <v>81</v>
      </c>
      <c r="F7816" s="13" t="s">
        <v>1921</v>
      </c>
      <c r="G7816" s="543" t="s">
        <v>48</v>
      </c>
      <c r="H7816" s="548">
        <v>3</v>
      </c>
      <c r="I7816" s="412">
        <f>IF(AND(E7816&lt;&gt;"",G7816&lt;&gt;""),IF(D7816="",IF(G7816="OH",VLOOKUP(F7816,UPAH!$B$4:$H$101,7,0),VLOOKUP(F7816,#REF!,4,0)),0),0)</f>
        <v>0</v>
      </c>
      <c r="J7816" s="16">
        <f>H7816*I7816</f>
        <v>0</v>
      </c>
    </row>
    <row r="7817" spans="1:10" ht="13">
      <c r="A7817" s="27"/>
      <c r="B7817" s="110"/>
      <c r="D7817" s="409"/>
      <c r="E7817" s="13" t="s">
        <v>50</v>
      </c>
      <c r="F7817" s="13" t="s">
        <v>1928</v>
      </c>
      <c r="G7817" s="543" t="s">
        <v>48</v>
      </c>
      <c r="H7817" s="548">
        <v>0.3</v>
      </c>
      <c r="I7817" s="412">
        <f>IF(AND(E7817&lt;&gt;"",G7817&lt;&gt;""),IF(D7817="",IF(G7817="OH",VLOOKUP(F7817,UPAH!$B$4:$H$101,7,0),VLOOKUP(F7817,#REF!,4,0)),0),0)</f>
        <v>0</v>
      </c>
      <c r="J7817" s="16">
        <f>H7817*I7817</f>
        <v>0</v>
      </c>
    </row>
    <row r="7818" spans="1:10" ht="13.5" thickBot="1">
      <c r="A7818" s="27"/>
      <c r="B7818" s="110"/>
      <c r="D7818" s="409"/>
      <c r="E7818" s="13" t="s">
        <v>51</v>
      </c>
      <c r="F7818" s="13" t="s">
        <v>1929</v>
      </c>
      <c r="G7818" s="543" t="s">
        <v>48</v>
      </c>
      <c r="H7818" s="548">
        <v>0.03</v>
      </c>
      <c r="I7818" s="412">
        <f>IF(AND(E7818&lt;&gt;"",G7818&lt;&gt;""),IF(D7818="",IF(G7818="OH",VLOOKUP(F7818,UPAH!$B$4:$H$101,7,0),VLOOKUP(F7818,#REF!,4,0)),0),0)</f>
        <v>0</v>
      </c>
      <c r="J7818" s="16">
        <f>H7818*I7818</f>
        <v>0</v>
      </c>
    </row>
    <row r="7819" spans="1:10" ht="13.5" thickBot="1">
      <c r="A7819" s="27"/>
      <c r="B7819" s="110"/>
      <c r="D7819" s="417"/>
      <c r="E7819" s="418"/>
      <c r="F7819" s="418"/>
      <c r="G7819" s="419"/>
      <c r="H7819" s="420" t="s">
        <v>52</v>
      </c>
      <c r="I7819" s="421"/>
      <c r="J7819" s="396">
        <f>SUM(J7815:J7818)</f>
        <v>0</v>
      </c>
    </row>
    <row r="7820" spans="1:10" ht="13">
      <c r="A7820" s="27"/>
      <c r="B7820" s="110"/>
      <c r="D7820" s="406" t="s">
        <v>53</v>
      </c>
      <c r="E7820" s="13" t="s">
        <v>54</v>
      </c>
      <c r="F7820" s="14"/>
      <c r="G7820" s="15"/>
      <c r="H7820" s="451"/>
      <c r="I7820" s="412"/>
      <c r="J7820" s="16"/>
    </row>
    <row r="7821" spans="1:10" ht="13">
      <c r="A7821" s="27"/>
      <c r="B7821" s="110"/>
      <c r="D7821" s="409"/>
      <c r="E7821" s="13" t="s">
        <v>86</v>
      </c>
      <c r="F7821" s="14"/>
      <c r="G7821" s="543" t="s">
        <v>259</v>
      </c>
      <c r="H7821" s="548">
        <v>150</v>
      </c>
      <c r="I7821" s="412">
        <f>'BAHAN '!G15</f>
        <v>0</v>
      </c>
      <c r="J7821" s="16">
        <f>H7821*I7821</f>
        <v>0</v>
      </c>
    </row>
    <row r="7822" spans="1:10" ht="13">
      <c r="A7822" s="27"/>
      <c r="B7822" s="110"/>
      <c r="D7822" s="409"/>
      <c r="E7822" s="13" t="s">
        <v>56</v>
      </c>
      <c r="F7822" s="14"/>
      <c r="G7822" s="543" t="s">
        <v>57</v>
      </c>
      <c r="H7822" s="548">
        <v>120</v>
      </c>
      <c r="I7822" s="412">
        <f>'BAHAN '!G72</f>
        <v>0</v>
      </c>
      <c r="J7822" s="16">
        <f>H7822*I7822</f>
        <v>0</v>
      </c>
    </row>
    <row r="7823" spans="1:10" ht="13">
      <c r="A7823" s="27"/>
      <c r="B7823" s="110"/>
      <c r="D7823" s="409"/>
      <c r="E7823" s="13" t="s">
        <v>85</v>
      </c>
      <c r="F7823" s="14"/>
      <c r="G7823" s="543" t="s">
        <v>170</v>
      </c>
      <c r="H7823" s="548">
        <v>0.3</v>
      </c>
      <c r="I7823" s="412">
        <f>'BAHAN '!G59</f>
        <v>0</v>
      </c>
      <c r="J7823" s="16">
        <f>H7823*I7823</f>
        <v>0</v>
      </c>
    </row>
    <row r="7824" spans="1:10" ht="13">
      <c r="A7824" s="27"/>
      <c r="B7824" s="110"/>
      <c r="D7824" s="409"/>
      <c r="E7824" s="13" t="s">
        <v>258</v>
      </c>
      <c r="F7824" s="14"/>
      <c r="G7824" s="543" t="s">
        <v>259</v>
      </c>
      <c r="H7824" s="548">
        <v>360</v>
      </c>
      <c r="I7824" s="412">
        <f>'BAHAN '!G272</f>
        <v>0</v>
      </c>
      <c r="J7824" s="16">
        <f>H7824*I7824</f>
        <v>0</v>
      </c>
    </row>
    <row r="7825" spans="1:10" ht="13.5" thickBot="1">
      <c r="A7825" s="27"/>
      <c r="B7825" s="110"/>
      <c r="D7825" s="409"/>
      <c r="E7825" s="13" t="s">
        <v>169</v>
      </c>
      <c r="F7825" s="14"/>
      <c r="G7825" s="543" t="s">
        <v>57</v>
      </c>
      <c r="H7825" s="548">
        <v>6</v>
      </c>
      <c r="I7825" s="412">
        <f>'BAHAN '!G74</f>
        <v>0</v>
      </c>
      <c r="J7825" s="16">
        <f>H7825*I7825</f>
        <v>0</v>
      </c>
    </row>
    <row r="7826" spans="1:10" ht="13.5" thickBot="1">
      <c r="A7826" s="27"/>
      <c r="B7826" s="110"/>
      <c r="D7826" s="417"/>
      <c r="E7826" s="418"/>
      <c r="F7826" s="418"/>
      <c r="G7826" s="419"/>
      <c r="H7826" s="420" t="s">
        <v>64</v>
      </c>
      <c r="I7826" s="421"/>
      <c r="J7826" s="396">
        <f>SUM(J7821:J7825)</f>
        <v>0</v>
      </c>
    </row>
    <row r="7827" spans="1:10" ht="13.5" thickBot="1">
      <c r="A7827" s="27"/>
      <c r="B7827" s="110"/>
      <c r="D7827" s="406" t="s">
        <v>65</v>
      </c>
      <c r="E7827" s="13" t="s">
        <v>66</v>
      </c>
      <c r="F7827" s="14"/>
      <c r="G7827" s="15"/>
      <c r="H7827" s="451"/>
      <c r="I7827" s="412">
        <f>IF(AND(E7827&lt;&gt;"",G7827&lt;&gt;""),IF(D7827="",IF(G7827="OH",VLOOKUP(E7827,UPAH!$C$4:$H$31,7,0),VLOOKUP(E7827,#REF!,4,0)),0),0)</f>
        <v>0</v>
      </c>
      <c r="J7827" s="16">
        <f>H7827*I7827</f>
        <v>0</v>
      </c>
    </row>
    <row r="7828" spans="1:10" ht="13.5" thickBot="1">
      <c r="A7828" s="27"/>
      <c r="B7828" s="110"/>
      <c r="D7828" s="417"/>
      <c r="E7828" s="418"/>
      <c r="F7828" s="418"/>
      <c r="G7828" s="419"/>
      <c r="H7828" s="420" t="s">
        <v>67</v>
      </c>
      <c r="I7828" s="421"/>
      <c r="J7828" s="396">
        <f>J7827</f>
        <v>0</v>
      </c>
    </row>
    <row r="7829" spans="1:10" ht="13">
      <c r="A7829" s="27"/>
      <c r="B7829" s="110"/>
      <c r="D7829" s="444" t="s">
        <v>68</v>
      </c>
      <c r="E7829" s="445" t="s">
        <v>69</v>
      </c>
      <c r="F7829" s="446"/>
      <c r="G7829" s="447"/>
      <c r="H7829" s="448"/>
      <c r="I7829" s="449">
        <f>IF(AND(E7829&lt;&gt;"",G7829&lt;&gt;""),IF(D7829="",IF(G7829="OH",VLOOKUP(E7829,UPAH!$C$4:$H$31,7,0),VLOOKUP(E7829,#REF!,4,0)),0),0)</f>
        <v>0</v>
      </c>
      <c r="J7829" s="16">
        <f>SUM(J7815:J7828)/2</f>
        <v>0</v>
      </c>
    </row>
    <row r="7830" spans="1:10" ht="13.5" thickBot="1">
      <c r="A7830" s="27"/>
      <c r="B7830" s="110"/>
      <c r="D7830" s="431" t="s">
        <v>70</v>
      </c>
      <c r="E7830" s="432" t="s">
        <v>477</v>
      </c>
      <c r="F7830" s="433"/>
      <c r="G7830" s="434"/>
      <c r="H7830" s="22">
        <v>0.1</v>
      </c>
      <c r="I7830" s="436"/>
      <c r="J7830" s="430">
        <f>H7830*J7829</f>
        <v>0</v>
      </c>
    </row>
    <row r="7831" spans="1:10" ht="13.5" thickBot="1">
      <c r="A7831" s="27"/>
      <c r="B7831" s="110"/>
      <c r="D7831" s="401" t="s">
        <v>71</v>
      </c>
      <c r="E7831" s="402" t="s">
        <v>72</v>
      </c>
      <c r="F7831" s="418"/>
      <c r="G7831" s="419"/>
      <c r="H7831" s="442"/>
      <c r="I7831" s="421">
        <f>IF(AND(E7831&lt;&gt;"",G7831&lt;&gt;""),IF(D7831="",IF(G7831="OH",VLOOKUP(E7831,UPAH!$C$4:$H$31,7,0),VLOOKUP(E7831,#REF!,4,0)),0),0)</f>
        <v>0</v>
      </c>
      <c r="J7831" s="396">
        <f>ROUNDDOWN(J7829+J7830,0)</f>
        <v>0</v>
      </c>
    </row>
    <row r="7832" spans="1:10" ht="13">
      <c r="A7832" s="27"/>
      <c r="B7832" s="110"/>
      <c r="D7832" s="11"/>
      <c r="E7832" s="11"/>
      <c r="H7832" s="443"/>
      <c r="I7832" s="17"/>
      <c r="J7832" s="18"/>
    </row>
    <row r="7833" spans="1:10" ht="13.5" thickBot="1">
      <c r="A7833" s="27"/>
      <c r="B7833" s="110"/>
      <c r="C7833" s="11" t="s">
        <v>1321</v>
      </c>
      <c r="D7833" s="10" t="s">
        <v>1322</v>
      </c>
      <c r="H7833" s="443"/>
    </row>
    <row r="7834" spans="1:10" ht="13.5" thickBot="1">
      <c r="A7834" s="27"/>
      <c r="B7834" s="110"/>
      <c r="D7834" s="401" t="s">
        <v>40</v>
      </c>
      <c r="E7834" s="402" t="s">
        <v>41</v>
      </c>
      <c r="F7834" s="402" t="s">
        <v>42</v>
      </c>
      <c r="G7834" s="403" t="s">
        <v>43</v>
      </c>
      <c r="H7834" s="404" t="s">
        <v>44</v>
      </c>
      <c r="I7834" s="402" t="s">
        <v>474</v>
      </c>
      <c r="J7834" s="405" t="s">
        <v>475</v>
      </c>
    </row>
    <row r="7835" spans="1:10" ht="13">
      <c r="A7835" s="27"/>
      <c r="B7835" s="110"/>
      <c r="D7835" s="444" t="s">
        <v>45</v>
      </c>
      <c r="E7835" s="445" t="s">
        <v>46</v>
      </c>
      <c r="F7835" s="446"/>
      <c r="G7835" s="447"/>
      <c r="H7835" s="448"/>
      <c r="I7835" s="449"/>
      <c r="J7835" s="450"/>
    </row>
    <row r="7836" spans="1:10" ht="13">
      <c r="A7836" s="27"/>
      <c r="B7836" s="110"/>
      <c r="D7836" s="409"/>
      <c r="E7836" s="13" t="s">
        <v>47</v>
      </c>
      <c r="F7836" s="13" t="s">
        <v>1918</v>
      </c>
      <c r="G7836" s="543" t="s">
        <v>48</v>
      </c>
      <c r="H7836" s="548">
        <v>3</v>
      </c>
      <c r="I7836" s="412">
        <f>IF(AND(E7836&lt;&gt;"",G7836&lt;&gt;""),IF(D7836="",IF(G7836="OH",VLOOKUP(F7836,UPAH!$B$4:$H$101,7,0),VLOOKUP(F7836,#REF!,4,0)),0),0)</f>
        <v>0</v>
      </c>
      <c r="J7836" s="16">
        <f>H7836*I7836</f>
        <v>0</v>
      </c>
    </row>
    <row r="7837" spans="1:10" ht="13">
      <c r="A7837" s="27"/>
      <c r="B7837" s="110"/>
      <c r="D7837" s="409"/>
      <c r="E7837" s="13" t="s">
        <v>81</v>
      </c>
      <c r="F7837" s="13" t="s">
        <v>1921</v>
      </c>
      <c r="G7837" s="543" t="s">
        <v>48</v>
      </c>
      <c r="H7837" s="548">
        <v>4.5</v>
      </c>
      <c r="I7837" s="412">
        <f>IF(AND(E7837&lt;&gt;"",G7837&lt;&gt;""),IF(D7837="",IF(G7837="OH",VLOOKUP(F7837,UPAH!$B$4:$H$101,7,0),VLOOKUP(F7837,#REF!,4,0)),0),0)</f>
        <v>0</v>
      </c>
      <c r="J7837" s="16">
        <f>H7837*I7837</f>
        <v>0</v>
      </c>
    </row>
    <row r="7838" spans="1:10" ht="13">
      <c r="A7838" s="27"/>
      <c r="B7838" s="110"/>
      <c r="D7838" s="409"/>
      <c r="E7838" s="13" t="s">
        <v>50</v>
      </c>
      <c r="F7838" s="13" t="s">
        <v>1928</v>
      </c>
      <c r="G7838" s="543" t="s">
        <v>48</v>
      </c>
      <c r="H7838" s="548">
        <v>0.05</v>
      </c>
      <c r="I7838" s="412">
        <f>IF(AND(E7838&lt;&gt;"",G7838&lt;&gt;""),IF(D7838="",IF(G7838="OH",VLOOKUP(F7838,UPAH!$B$4:$H$101,7,0),VLOOKUP(F7838,#REF!,4,0)),0),0)</f>
        <v>0</v>
      </c>
      <c r="J7838" s="16">
        <f>H7838*I7838</f>
        <v>0</v>
      </c>
    </row>
    <row r="7839" spans="1:10" ht="13.5" thickBot="1">
      <c r="A7839" s="27"/>
      <c r="B7839" s="110"/>
      <c r="D7839" s="409"/>
      <c r="E7839" s="13" t="s">
        <v>51</v>
      </c>
      <c r="F7839" s="13" t="s">
        <v>1929</v>
      </c>
      <c r="G7839" s="543" t="s">
        <v>48</v>
      </c>
      <c r="H7839" s="548">
        <v>0.9</v>
      </c>
      <c r="I7839" s="412">
        <f>IF(AND(E7839&lt;&gt;"",G7839&lt;&gt;""),IF(D7839="",IF(G7839="OH",VLOOKUP(F7839,UPAH!$B$4:$H$101,7,0),VLOOKUP(F7839,#REF!,4,0)),0),0)</f>
        <v>0</v>
      </c>
      <c r="J7839" s="16">
        <f>H7839*I7839</f>
        <v>0</v>
      </c>
    </row>
    <row r="7840" spans="1:10" ht="13.5" thickBot="1">
      <c r="A7840" s="27"/>
      <c r="B7840" s="110"/>
      <c r="D7840" s="417"/>
      <c r="E7840" s="418"/>
      <c r="F7840" s="418"/>
      <c r="G7840" s="419"/>
      <c r="H7840" s="420" t="s">
        <v>52</v>
      </c>
      <c r="I7840" s="421"/>
      <c r="J7840" s="396">
        <f>SUM(J7836:J7839)</f>
        <v>0</v>
      </c>
    </row>
    <row r="7841" spans="1:10" ht="13">
      <c r="A7841" s="27"/>
      <c r="B7841" s="110"/>
      <c r="D7841" s="406" t="s">
        <v>53</v>
      </c>
      <c r="E7841" s="13" t="s">
        <v>54</v>
      </c>
      <c r="F7841" s="14"/>
      <c r="G7841" s="15"/>
      <c r="H7841" s="451"/>
      <c r="I7841" s="412"/>
      <c r="J7841" s="16"/>
    </row>
    <row r="7842" spans="1:10" ht="13">
      <c r="A7842" s="27"/>
      <c r="B7842" s="110"/>
      <c r="D7842" s="409"/>
      <c r="E7842" s="13" t="s">
        <v>381</v>
      </c>
      <c r="F7842" s="14"/>
      <c r="G7842" s="543" t="s">
        <v>252</v>
      </c>
      <c r="H7842" s="548">
        <v>1</v>
      </c>
      <c r="I7842" s="412">
        <f>'BAHAN '!G317</f>
        <v>0</v>
      </c>
      <c r="J7842" s="16">
        <f>H7842*I7842</f>
        <v>0</v>
      </c>
    </row>
    <row r="7843" spans="1:10" ht="13.5" thickBot="1">
      <c r="A7843" s="27"/>
      <c r="B7843" s="110"/>
      <c r="D7843" s="409"/>
      <c r="E7843" s="13" t="s">
        <v>253</v>
      </c>
      <c r="F7843" s="14"/>
      <c r="G7843" s="543" t="s">
        <v>160</v>
      </c>
      <c r="H7843" s="548">
        <v>0.12</v>
      </c>
      <c r="I7843" s="412">
        <f>J7842/100</f>
        <v>0</v>
      </c>
      <c r="J7843" s="16">
        <f>H7843*I7843</f>
        <v>0</v>
      </c>
    </row>
    <row r="7844" spans="1:10" ht="13.5" thickBot="1">
      <c r="A7844" s="27"/>
      <c r="B7844" s="110"/>
      <c r="D7844" s="417"/>
      <c r="E7844" s="418"/>
      <c r="F7844" s="418"/>
      <c r="G7844" s="419"/>
      <c r="H7844" s="420" t="s">
        <v>64</v>
      </c>
      <c r="I7844" s="421"/>
      <c r="J7844" s="396">
        <f>SUM(J7842:J7843)</f>
        <v>0</v>
      </c>
    </row>
    <row r="7845" spans="1:10" ht="13.5" thickBot="1">
      <c r="A7845" s="27"/>
      <c r="B7845" s="110"/>
      <c r="D7845" s="406" t="s">
        <v>65</v>
      </c>
      <c r="E7845" s="13" t="s">
        <v>66</v>
      </c>
      <c r="F7845" s="14"/>
      <c r="G7845" s="15"/>
      <c r="H7845" s="451"/>
      <c r="I7845" s="412">
        <f>IF(AND(E7845&lt;&gt;"",G7845&lt;&gt;""),IF(D7845="",IF(G7845="OH",VLOOKUP(E7845,UPAH!$C$4:$H$31,7,0),VLOOKUP(E7845,#REF!,4,0)),0),0)</f>
        <v>0</v>
      </c>
      <c r="J7845" s="16">
        <f>H7845*I7845</f>
        <v>0</v>
      </c>
    </row>
    <row r="7846" spans="1:10" ht="13.5" thickBot="1">
      <c r="A7846" s="27"/>
      <c r="B7846" s="110"/>
      <c r="D7846" s="417"/>
      <c r="E7846" s="418"/>
      <c r="F7846" s="418"/>
      <c r="G7846" s="419"/>
      <c r="H7846" s="420" t="s">
        <v>67</v>
      </c>
      <c r="I7846" s="421"/>
      <c r="J7846" s="396">
        <f>J7845</f>
        <v>0</v>
      </c>
    </row>
    <row r="7847" spans="1:10" ht="13">
      <c r="A7847" s="27"/>
      <c r="B7847" s="110"/>
      <c r="D7847" s="444" t="s">
        <v>68</v>
      </c>
      <c r="E7847" s="445" t="s">
        <v>69</v>
      </c>
      <c r="F7847" s="446"/>
      <c r="G7847" s="447"/>
      <c r="H7847" s="448"/>
      <c r="I7847" s="449">
        <f>IF(AND(E7847&lt;&gt;"",G7847&lt;&gt;""),IF(D7847="",IF(G7847="OH",VLOOKUP(E7847,UPAH!$C$4:$H$31,7,0),VLOOKUP(E7847,#REF!,4,0)),0),0)</f>
        <v>0</v>
      </c>
      <c r="J7847" s="16">
        <f>SUM(J7836:J7846)/2</f>
        <v>0</v>
      </c>
    </row>
    <row r="7848" spans="1:10" ht="13.5" thickBot="1">
      <c r="A7848" s="27"/>
      <c r="B7848" s="110"/>
      <c r="D7848" s="478" t="s">
        <v>70</v>
      </c>
      <c r="E7848" s="479" t="s">
        <v>477</v>
      </c>
      <c r="F7848" s="480"/>
      <c r="G7848" s="481"/>
      <c r="H7848" s="512">
        <v>0.1</v>
      </c>
      <c r="I7848" s="483"/>
      <c r="J7848" s="465">
        <f>H7848*J7847</f>
        <v>0</v>
      </c>
    </row>
    <row r="7849" spans="1:10" ht="13.5" thickBot="1">
      <c r="A7849" s="27"/>
      <c r="B7849" s="110"/>
      <c r="D7849" s="401" t="s">
        <v>71</v>
      </c>
      <c r="E7849" s="402" t="s">
        <v>72</v>
      </c>
      <c r="F7849" s="418"/>
      <c r="G7849" s="419"/>
      <c r="H7849" s="442"/>
      <c r="I7849" s="421">
        <f>IF(AND(E7849&lt;&gt;"",G7849&lt;&gt;""),IF(D7849="",IF(G7849="OH",VLOOKUP(E7849,UPAH!$C$4:$H$31,7,0),VLOOKUP(E7849,#REF!,4,0)),0),0)</f>
        <v>0</v>
      </c>
      <c r="J7849" s="396">
        <f>ROUNDDOWN(J7847+J7848,0)</f>
        <v>0</v>
      </c>
    </row>
    <row r="7850" spans="1:10" ht="13">
      <c r="A7850" s="27"/>
      <c r="B7850" s="110"/>
      <c r="D7850" s="11"/>
      <c r="E7850" s="11"/>
      <c r="H7850" s="443"/>
      <c r="I7850" s="17"/>
      <c r="J7850" s="18"/>
    </row>
    <row r="7851" spans="1:10" ht="13.5" thickBot="1">
      <c r="A7851" s="27"/>
      <c r="B7851" s="110"/>
      <c r="C7851" s="11" t="s">
        <v>1323</v>
      </c>
      <c r="D7851" s="10" t="s">
        <v>1324</v>
      </c>
      <c r="H7851" s="443"/>
    </row>
    <row r="7852" spans="1:10" ht="13.5" thickBot="1">
      <c r="A7852" s="27"/>
      <c r="B7852" s="110"/>
      <c r="D7852" s="401" t="s">
        <v>40</v>
      </c>
      <c r="E7852" s="402" t="s">
        <v>41</v>
      </c>
      <c r="F7852" s="402" t="s">
        <v>42</v>
      </c>
      <c r="G7852" s="403" t="s">
        <v>43</v>
      </c>
      <c r="H7852" s="404" t="s">
        <v>44</v>
      </c>
      <c r="I7852" s="402" t="s">
        <v>474</v>
      </c>
      <c r="J7852" s="405" t="s">
        <v>475</v>
      </c>
    </row>
    <row r="7853" spans="1:10" ht="13">
      <c r="A7853" s="27"/>
      <c r="B7853" s="110"/>
      <c r="D7853" s="444" t="s">
        <v>45</v>
      </c>
      <c r="E7853" s="445" t="s">
        <v>46</v>
      </c>
      <c r="F7853" s="446"/>
      <c r="G7853" s="447"/>
      <c r="H7853" s="448"/>
      <c r="I7853" s="449"/>
      <c r="J7853" s="450"/>
    </row>
    <row r="7854" spans="1:10" ht="13">
      <c r="A7854" s="27"/>
      <c r="B7854" s="110"/>
      <c r="D7854" s="409"/>
      <c r="E7854" s="13" t="s">
        <v>47</v>
      </c>
      <c r="F7854" s="13" t="s">
        <v>1918</v>
      </c>
      <c r="G7854" s="543" t="s">
        <v>48</v>
      </c>
      <c r="H7854" s="548">
        <v>0.3</v>
      </c>
      <c r="I7854" s="412">
        <f>IF(AND(E7854&lt;&gt;"",G7854&lt;&gt;""),IF(D7854="",IF(G7854="OH",VLOOKUP(F7854,UPAH!$B$4:$H$101,7,0),VLOOKUP(F7854,#REF!,4,0)),0),0)</f>
        <v>0</v>
      </c>
      <c r="J7854" s="16">
        <f>H7854*I7854</f>
        <v>0</v>
      </c>
    </row>
    <row r="7855" spans="1:10" ht="13">
      <c r="A7855" s="27"/>
      <c r="B7855" s="110"/>
      <c r="D7855" s="409"/>
      <c r="E7855" s="13" t="s">
        <v>81</v>
      </c>
      <c r="F7855" s="13" t="s">
        <v>1921</v>
      </c>
      <c r="G7855" s="543" t="s">
        <v>48</v>
      </c>
      <c r="H7855" s="548">
        <v>0.45</v>
      </c>
      <c r="I7855" s="412">
        <f>IF(AND(E7855&lt;&gt;"",G7855&lt;&gt;""),IF(D7855="",IF(G7855="OH",VLOOKUP(F7855,UPAH!$B$4:$H$101,7,0),VLOOKUP(F7855,#REF!,4,0)),0),0)</f>
        <v>0</v>
      </c>
      <c r="J7855" s="16">
        <f>H7855*I7855</f>
        <v>0</v>
      </c>
    </row>
    <row r="7856" spans="1:10" ht="13">
      <c r="A7856" s="27"/>
      <c r="B7856" s="110"/>
      <c r="D7856" s="409"/>
      <c r="E7856" s="13" t="s">
        <v>50</v>
      </c>
      <c r="F7856" s="13" t="s">
        <v>1928</v>
      </c>
      <c r="G7856" s="543" t="s">
        <v>48</v>
      </c>
      <c r="H7856" s="548">
        <v>4.4999999999999998E-2</v>
      </c>
      <c r="I7856" s="412">
        <f>IF(AND(E7856&lt;&gt;"",G7856&lt;&gt;""),IF(D7856="",IF(G7856="OH",VLOOKUP(F7856,UPAH!$B$4:$H$101,7,0),VLOOKUP(F7856,#REF!,4,0)),0),0)</f>
        <v>0</v>
      </c>
      <c r="J7856" s="16">
        <f>H7856*I7856</f>
        <v>0</v>
      </c>
    </row>
    <row r="7857" spans="1:12" ht="13.5" thickBot="1">
      <c r="A7857" s="27"/>
      <c r="B7857" s="110"/>
      <c r="D7857" s="409"/>
      <c r="E7857" s="13" t="s">
        <v>51</v>
      </c>
      <c r="F7857" s="13" t="s">
        <v>1929</v>
      </c>
      <c r="G7857" s="543" t="s">
        <v>48</v>
      </c>
      <c r="H7857" s="548">
        <v>1.4999999999999999E-2</v>
      </c>
      <c r="I7857" s="412">
        <f>IF(AND(E7857&lt;&gt;"",G7857&lt;&gt;""),IF(D7857="",IF(G7857="OH",VLOOKUP(F7857,UPAH!$B$4:$H$101,7,0),VLOOKUP(F7857,#REF!,4,0)),0),0)</f>
        <v>0</v>
      </c>
      <c r="J7857" s="16">
        <f>H7857*I7857</f>
        <v>0</v>
      </c>
    </row>
    <row r="7858" spans="1:12" ht="13.5" thickBot="1">
      <c r="A7858" s="27"/>
      <c r="B7858" s="110"/>
      <c r="D7858" s="417"/>
      <c r="E7858" s="418"/>
      <c r="F7858" s="418"/>
      <c r="G7858" s="419"/>
      <c r="H7858" s="420" t="s">
        <v>52</v>
      </c>
      <c r="I7858" s="421"/>
      <c r="J7858" s="396">
        <f>SUM(J7854:J7857)</f>
        <v>0</v>
      </c>
    </row>
    <row r="7859" spans="1:12" ht="13">
      <c r="A7859" s="27"/>
      <c r="B7859" s="110"/>
      <c r="D7859" s="406" t="s">
        <v>53</v>
      </c>
      <c r="E7859" s="13" t="s">
        <v>54</v>
      </c>
      <c r="F7859" s="14"/>
      <c r="G7859" s="15"/>
      <c r="H7859" s="451"/>
      <c r="I7859" s="412"/>
      <c r="J7859" s="16"/>
    </row>
    <row r="7860" spans="1:12" ht="13">
      <c r="A7860" s="27"/>
      <c r="B7860" s="110"/>
      <c r="D7860" s="409"/>
      <c r="E7860" s="13" t="s">
        <v>381</v>
      </c>
      <c r="F7860" s="14"/>
      <c r="G7860" s="543" t="s">
        <v>252</v>
      </c>
      <c r="H7860" s="548">
        <v>1</v>
      </c>
      <c r="I7860" s="412">
        <f>'BAHAN '!G317</f>
        <v>0</v>
      </c>
      <c r="J7860" s="16">
        <f>H7860*I7860</f>
        <v>0</v>
      </c>
    </row>
    <row r="7861" spans="1:12" ht="13.5" thickBot="1">
      <c r="A7861" s="27"/>
      <c r="B7861" s="110"/>
      <c r="D7861" s="409"/>
      <c r="E7861" s="13" t="s">
        <v>253</v>
      </c>
      <c r="F7861" s="14"/>
      <c r="G7861" s="543" t="s">
        <v>160</v>
      </c>
      <c r="H7861" s="548">
        <v>12</v>
      </c>
      <c r="I7861" s="412">
        <f>J7860/100</f>
        <v>0</v>
      </c>
      <c r="J7861" s="16">
        <f>H7861*I7861</f>
        <v>0</v>
      </c>
      <c r="L7861" s="549"/>
    </row>
    <row r="7862" spans="1:12" ht="13.5" thickBot="1">
      <c r="A7862" s="27"/>
      <c r="B7862" s="110"/>
      <c r="D7862" s="417"/>
      <c r="E7862" s="418"/>
      <c r="F7862" s="418"/>
      <c r="G7862" s="419"/>
      <c r="H7862" s="420" t="s">
        <v>64</v>
      </c>
      <c r="I7862" s="421"/>
      <c r="J7862" s="396">
        <f>SUM(J7860:J7861)</f>
        <v>0</v>
      </c>
    </row>
    <row r="7863" spans="1:12" ht="13.5" thickBot="1">
      <c r="A7863" s="27"/>
      <c r="B7863" s="110"/>
      <c r="D7863" s="406" t="s">
        <v>65</v>
      </c>
      <c r="E7863" s="13" t="s">
        <v>66</v>
      </c>
      <c r="F7863" s="14"/>
      <c r="G7863" s="15"/>
      <c r="H7863" s="451"/>
      <c r="I7863" s="412">
        <f>IF(AND(E7863&lt;&gt;"",G7863&lt;&gt;""),IF(D7863="",IF(G7863="OH",VLOOKUP(E7863,UPAH!$C$4:$H$31,7,0),VLOOKUP(E7863,#REF!,4,0)),0),0)</f>
        <v>0</v>
      </c>
      <c r="J7863" s="16">
        <f>H7863*I7863</f>
        <v>0</v>
      </c>
    </row>
    <row r="7864" spans="1:12" ht="13.5" thickBot="1">
      <c r="A7864" s="27"/>
      <c r="B7864" s="110"/>
      <c r="D7864" s="417"/>
      <c r="E7864" s="418"/>
      <c r="F7864" s="418"/>
      <c r="G7864" s="419"/>
      <c r="H7864" s="420" t="s">
        <v>67</v>
      </c>
      <c r="I7864" s="421"/>
      <c r="J7864" s="396">
        <f>J7863</f>
        <v>0</v>
      </c>
    </row>
    <row r="7865" spans="1:12" ht="13">
      <c r="A7865" s="27"/>
      <c r="B7865" s="110"/>
      <c r="D7865" s="444" t="s">
        <v>68</v>
      </c>
      <c r="E7865" s="445" t="s">
        <v>69</v>
      </c>
      <c r="F7865" s="446"/>
      <c r="G7865" s="447"/>
      <c r="H7865" s="448"/>
      <c r="I7865" s="449">
        <f>IF(AND(E7865&lt;&gt;"",G7865&lt;&gt;""),IF(D7865="",IF(G7865="OH",VLOOKUP(E7865,UPAH!$C$4:$H$31,7,0),VLOOKUP(E7865,#REF!,4,0)),0),0)</f>
        <v>0</v>
      </c>
      <c r="J7865" s="16">
        <f>SUM(J7854:J7864)/2</f>
        <v>0</v>
      </c>
    </row>
    <row r="7866" spans="1:12" ht="13.5" thickBot="1">
      <c r="A7866" s="27"/>
      <c r="B7866" s="110"/>
      <c r="D7866" s="431" t="s">
        <v>70</v>
      </c>
      <c r="E7866" s="432" t="s">
        <v>477</v>
      </c>
      <c r="F7866" s="433"/>
      <c r="G7866" s="434"/>
      <c r="H7866" s="22">
        <v>0.1</v>
      </c>
      <c r="I7866" s="436"/>
      <c r="J7866" s="430">
        <f>H7866*J7865</f>
        <v>0</v>
      </c>
    </row>
    <row r="7867" spans="1:12" ht="13.5" thickBot="1">
      <c r="A7867" s="27"/>
      <c r="B7867" s="110"/>
      <c r="D7867" s="401" t="s">
        <v>71</v>
      </c>
      <c r="E7867" s="402" t="s">
        <v>72</v>
      </c>
      <c r="F7867" s="418"/>
      <c r="G7867" s="419"/>
      <c r="H7867" s="442"/>
      <c r="I7867" s="421">
        <f>IF(AND(E7867&lt;&gt;"",G7867&lt;&gt;""),IF(D7867="",IF(G7867="OH",VLOOKUP(E7867,UPAH!$C$4:$H$31,7,0),VLOOKUP(E7867,#REF!,4,0)),0),0)</f>
        <v>0</v>
      </c>
      <c r="J7867" s="396">
        <f>ROUNDDOWN(J7865+J7866,0)</f>
        <v>0</v>
      </c>
    </row>
    <row r="7868" spans="1:12" ht="13">
      <c r="A7868" s="27"/>
      <c r="B7868" s="110"/>
      <c r="D7868" s="11"/>
      <c r="E7868" s="11"/>
      <c r="H7868" s="443"/>
      <c r="I7868" s="17"/>
      <c r="J7868" s="18"/>
    </row>
    <row r="7869" spans="1:12" ht="13.5" thickBot="1">
      <c r="A7869" s="27"/>
      <c r="B7869" s="110"/>
      <c r="C7869" s="11" t="s">
        <v>1325</v>
      </c>
      <c r="D7869" s="10" t="s">
        <v>1326</v>
      </c>
      <c r="H7869" s="443"/>
    </row>
    <row r="7870" spans="1:12" ht="13.5" thickBot="1">
      <c r="A7870" s="27"/>
      <c r="B7870" s="110"/>
      <c r="D7870" s="401" t="s">
        <v>40</v>
      </c>
      <c r="E7870" s="402" t="s">
        <v>41</v>
      </c>
      <c r="F7870" s="402" t="s">
        <v>42</v>
      </c>
      <c r="G7870" s="403" t="s">
        <v>43</v>
      </c>
      <c r="H7870" s="404" t="s">
        <v>44</v>
      </c>
      <c r="I7870" s="402" t="s">
        <v>474</v>
      </c>
      <c r="J7870" s="405" t="s">
        <v>475</v>
      </c>
    </row>
    <row r="7871" spans="1:12" ht="13">
      <c r="A7871" s="27"/>
      <c r="B7871" s="110"/>
      <c r="D7871" s="444" t="s">
        <v>45</v>
      </c>
      <c r="E7871" s="445" t="s">
        <v>46</v>
      </c>
      <c r="F7871" s="446"/>
      <c r="G7871" s="447"/>
      <c r="H7871" s="448"/>
      <c r="I7871" s="449"/>
      <c r="J7871" s="450"/>
    </row>
    <row r="7872" spans="1:12" ht="13">
      <c r="A7872" s="27"/>
      <c r="B7872" s="110"/>
      <c r="D7872" s="409"/>
      <c r="E7872" s="13" t="s">
        <v>47</v>
      </c>
      <c r="F7872" s="13" t="s">
        <v>1918</v>
      </c>
      <c r="G7872" s="543" t="s">
        <v>48</v>
      </c>
      <c r="H7872" s="548">
        <v>3.5</v>
      </c>
      <c r="I7872" s="412">
        <f>IF(AND(E7872&lt;&gt;"",G7872&lt;&gt;""),IF(D7872="",IF(G7872="OH",VLOOKUP(F7872,UPAH!$B$4:$H$101,7,0),VLOOKUP(F7872,#REF!,4,0)),0),0)</f>
        <v>0</v>
      </c>
      <c r="J7872" s="16">
        <f>H7872*I7872</f>
        <v>0</v>
      </c>
    </row>
    <row r="7873" spans="1:10" ht="13">
      <c r="A7873" s="27"/>
      <c r="B7873" s="110"/>
      <c r="D7873" s="409"/>
      <c r="E7873" s="13" t="s">
        <v>81</v>
      </c>
      <c r="F7873" s="13" t="s">
        <v>1921</v>
      </c>
      <c r="G7873" s="543" t="s">
        <v>48</v>
      </c>
      <c r="H7873" s="548">
        <v>4.5</v>
      </c>
      <c r="I7873" s="412">
        <f>IF(AND(E7873&lt;&gt;"",G7873&lt;&gt;""),IF(D7873="",IF(G7873="OH",VLOOKUP(F7873,UPAH!$B$4:$H$101,7,0),VLOOKUP(F7873,#REF!,4,0)),0),0)</f>
        <v>0</v>
      </c>
      <c r="J7873" s="16">
        <f>H7873*I7873</f>
        <v>0</v>
      </c>
    </row>
    <row r="7874" spans="1:10" ht="13">
      <c r="A7874" s="27"/>
      <c r="B7874" s="110"/>
      <c r="D7874" s="409"/>
      <c r="E7874" s="13" t="s">
        <v>50</v>
      </c>
      <c r="F7874" s="13" t="s">
        <v>1928</v>
      </c>
      <c r="G7874" s="543" t="s">
        <v>48</v>
      </c>
      <c r="H7874" s="548">
        <v>0.05</v>
      </c>
      <c r="I7874" s="412">
        <f>IF(AND(E7874&lt;&gt;"",G7874&lt;&gt;""),IF(D7874="",IF(G7874="OH",VLOOKUP(F7874,UPAH!$B$4:$H$101,7,0),VLOOKUP(F7874,#REF!,4,0)),0),0)</f>
        <v>0</v>
      </c>
      <c r="J7874" s="16">
        <f>H7874*I7874</f>
        <v>0</v>
      </c>
    </row>
    <row r="7875" spans="1:10" ht="13.5" thickBot="1">
      <c r="A7875" s="27"/>
      <c r="B7875" s="110"/>
      <c r="D7875" s="409"/>
      <c r="E7875" s="13" t="s">
        <v>51</v>
      </c>
      <c r="F7875" s="13" t="s">
        <v>1929</v>
      </c>
      <c r="G7875" s="543" t="s">
        <v>48</v>
      </c>
      <c r="H7875" s="548">
        <v>1.7999999999999999E-2</v>
      </c>
      <c r="I7875" s="412">
        <f>IF(AND(E7875&lt;&gt;"",G7875&lt;&gt;""),IF(D7875="",IF(G7875="OH",VLOOKUP(F7875,UPAH!$B$4:$H$101,7,0),VLOOKUP(F7875,#REF!,4,0)),0),0)</f>
        <v>0</v>
      </c>
      <c r="J7875" s="16">
        <f>H7875*I7875</f>
        <v>0</v>
      </c>
    </row>
    <row r="7876" spans="1:10" ht="13.5" thickBot="1">
      <c r="A7876" s="27"/>
      <c r="B7876" s="110"/>
      <c r="D7876" s="417"/>
      <c r="E7876" s="418"/>
      <c r="F7876" s="418"/>
      <c r="G7876" s="419"/>
      <c r="H7876" s="420" t="s">
        <v>52</v>
      </c>
      <c r="I7876" s="421"/>
      <c r="J7876" s="396">
        <f>SUM(J7872:J7875)</f>
        <v>0</v>
      </c>
    </row>
    <row r="7877" spans="1:10" ht="13">
      <c r="A7877" s="27"/>
      <c r="B7877" s="110"/>
      <c r="D7877" s="406" t="s">
        <v>53</v>
      </c>
      <c r="E7877" s="13" t="s">
        <v>54</v>
      </c>
      <c r="F7877" s="14"/>
      <c r="G7877" s="15"/>
      <c r="H7877" s="451"/>
      <c r="I7877" s="412"/>
      <c r="J7877" s="16"/>
    </row>
    <row r="7878" spans="1:10" ht="13">
      <c r="A7878" s="27"/>
      <c r="B7878" s="110"/>
      <c r="D7878" s="409"/>
      <c r="E7878" s="13" t="s">
        <v>260</v>
      </c>
      <c r="F7878" s="14"/>
      <c r="G7878" s="543" t="s">
        <v>170</v>
      </c>
      <c r="H7878" s="548">
        <v>0.9</v>
      </c>
      <c r="I7878" s="412">
        <f>J888</f>
        <v>0</v>
      </c>
      <c r="J7878" s="16">
        <f>H7878*I7878</f>
        <v>0</v>
      </c>
    </row>
    <row r="7879" spans="1:10" ht="13">
      <c r="A7879" s="27"/>
      <c r="B7879" s="110"/>
      <c r="D7879" s="409"/>
      <c r="E7879" s="13" t="s">
        <v>261</v>
      </c>
      <c r="F7879" s="14"/>
      <c r="G7879" s="543" t="s">
        <v>57</v>
      </c>
      <c r="H7879" s="548">
        <v>180</v>
      </c>
      <c r="I7879" s="412">
        <f>'BAHAN '!G910</f>
        <v>0</v>
      </c>
      <c r="J7879" s="16">
        <f>H7879*I7879</f>
        <v>0</v>
      </c>
    </row>
    <row r="7880" spans="1:10" ht="13">
      <c r="A7880" s="27"/>
      <c r="B7880" s="110"/>
      <c r="D7880" s="409"/>
      <c r="E7880" s="13" t="s">
        <v>262</v>
      </c>
      <c r="F7880" s="14"/>
      <c r="G7880" s="543" t="s">
        <v>380</v>
      </c>
      <c r="H7880" s="548">
        <v>8</v>
      </c>
      <c r="I7880" s="412">
        <f>'BAHAN '!G201/10</f>
        <v>0</v>
      </c>
      <c r="J7880" s="16">
        <f>H7880*I7880</f>
        <v>0</v>
      </c>
    </row>
    <row r="7881" spans="1:10" ht="13">
      <c r="A7881" s="27"/>
      <c r="B7881" s="110"/>
      <c r="D7881" s="409"/>
      <c r="E7881" s="13" t="s">
        <v>263</v>
      </c>
      <c r="F7881" s="14"/>
      <c r="G7881" s="543" t="s">
        <v>87</v>
      </c>
      <c r="H7881" s="548">
        <v>500</v>
      </c>
      <c r="I7881" s="412">
        <f>'BAHAN '!G278</f>
        <v>0</v>
      </c>
      <c r="J7881" s="16">
        <f>H7881*I7881</f>
        <v>0</v>
      </c>
    </row>
    <row r="7882" spans="1:10" ht="13.5" thickBot="1">
      <c r="A7882" s="27"/>
      <c r="B7882" s="110"/>
      <c r="D7882" s="409"/>
      <c r="E7882" s="13" t="s">
        <v>253</v>
      </c>
      <c r="F7882" s="14"/>
      <c r="G7882" s="543" t="s">
        <v>160</v>
      </c>
      <c r="H7882" s="548">
        <v>10</v>
      </c>
      <c r="I7882" s="412">
        <f>SUM(J7878:J7881)/100</f>
        <v>0</v>
      </c>
      <c r="J7882" s="16">
        <f>H7882*I7882</f>
        <v>0</v>
      </c>
    </row>
    <row r="7883" spans="1:10" ht="13.5" thickBot="1">
      <c r="A7883" s="27"/>
      <c r="B7883" s="110"/>
      <c r="D7883" s="417"/>
      <c r="E7883" s="418"/>
      <c r="F7883" s="418"/>
      <c r="G7883" s="419"/>
      <c r="H7883" s="420" t="s">
        <v>64</v>
      </c>
      <c r="I7883" s="421"/>
      <c r="J7883" s="396">
        <f>SUM(J7878:J7882)</f>
        <v>0</v>
      </c>
    </row>
    <row r="7884" spans="1:10" ht="13.5" thickBot="1">
      <c r="A7884" s="27"/>
      <c r="B7884" s="110"/>
      <c r="D7884" s="406" t="s">
        <v>65</v>
      </c>
      <c r="E7884" s="13" t="s">
        <v>66</v>
      </c>
      <c r="F7884" s="14"/>
      <c r="G7884" s="15"/>
      <c r="H7884" s="451"/>
      <c r="I7884" s="412">
        <f>IF(AND(E7884&lt;&gt;"",G7884&lt;&gt;""),IF(D7884="",IF(G7884="OH",VLOOKUP(E7884,UPAH!$C$4:$H$31,7,0),VLOOKUP(E7884,#REF!,4,0)),0),0)</f>
        <v>0</v>
      </c>
      <c r="J7884" s="16">
        <f>H7884*I7884</f>
        <v>0</v>
      </c>
    </row>
    <row r="7885" spans="1:10" ht="13.5" thickBot="1">
      <c r="A7885" s="27"/>
      <c r="B7885" s="110"/>
      <c r="D7885" s="417"/>
      <c r="E7885" s="418"/>
      <c r="F7885" s="418"/>
      <c r="G7885" s="419"/>
      <c r="H7885" s="420" t="s">
        <v>67</v>
      </c>
      <c r="I7885" s="421"/>
      <c r="J7885" s="396">
        <f>J7884</f>
        <v>0</v>
      </c>
    </row>
    <row r="7886" spans="1:10" ht="13">
      <c r="A7886" s="27"/>
      <c r="B7886" s="110"/>
      <c r="D7886" s="444" t="s">
        <v>68</v>
      </c>
      <c r="E7886" s="445" t="s">
        <v>69</v>
      </c>
      <c r="F7886" s="446"/>
      <c r="G7886" s="447"/>
      <c r="H7886" s="448"/>
      <c r="I7886" s="449">
        <f>IF(AND(E7886&lt;&gt;"",G7886&lt;&gt;""),IF(D7886="",IF(G7886="OH",VLOOKUP(E7886,UPAH!$C$4:$H$31,7,0),VLOOKUP(E7886,#REF!,4,0)),0),0)</f>
        <v>0</v>
      </c>
      <c r="J7886" s="16">
        <f>SUM(J7872:J7885)/2</f>
        <v>0</v>
      </c>
    </row>
    <row r="7887" spans="1:10" ht="13.5" thickBot="1">
      <c r="A7887" s="27"/>
      <c r="B7887" s="110"/>
      <c r="D7887" s="431" t="s">
        <v>70</v>
      </c>
      <c r="E7887" s="432" t="s">
        <v>477</v>
      </c>
      <c r="F7887" s="433"/>
      <c r="G7887" s="434"/>
      <c r="H7887" s="22">
        <v>0.1</v>
      </c>
      <c r="I7887" s="436"/>
      <c r="J7887" s="430">
        <f>H7887*J7886</f>
        <v>0</v>
      </c>
    </row>
    <row r="7888" spans="1:10" ht="13.5" thickBot="1">
      <c r="A7888" s="27"/>
      <c r="B7888" s="110"/>
      <c r="D7888" s="401" t="s">
        <v>71</v>
      </c>
      <c r="E7888" s="402" t="s">
        <v>72</v>
      </c>
      <c r="F7888" s="418"/>
      <c r="G7888" s="419"/>
      <c r="H7888" s="442"/>
      <c r="I7888" s="421">
        <f>IF(AND(E7888&lt;&gt;"",G7888&lt;&gt;""),IF(D7888="",IF(G7888="OH",VLOOKUP(E7888,UPAH!$C$4:$H$31,7,0),VLOOKUP(E7888,#REF!,4,0)),0),0)</f>
        <v>0</v>
      </c>
      <c r="J7888" s="396">
        <f>ROUNDDOWN(J7886+J7887,0)</f>
        <v>0</v>
      </c>
    </row>
    <row r="7889" spans="1:10" ht="13">
      <c r="A7889" s="27"/>
      <c r="B7889" s="110"/>
      <c r="D7889" s="11"/>
      <c r="E7889" s="11"/>
      <c r="H7889" s="443"/>
      <c r="I7889" s="17"/>
      <c r="J7889" s="18"/>
    </row>
    <row r="7890" spans="1:10" ht="13.5" thickBot="1">
      <c r="A7890" s="27"/>
      <c r="B7890" s="110"/>
      <c r="C7890" s="11" t="s">
        <v>1327</v>
      </c>
      <c r="D7890" s="10" t="s">
        <v>1328</v>
      </c>
      <c r="H7890" s="443"/>
    </row>
    <row r="7891" spans="1:10" ht="13.5" thickBot="1">
      <c r="A7891" s="27"/>
      <c r="B7891" s="110"/>
      <c r="D7891" s="401" t="s">
        <v>40</v>
      </c>
      <c r="E7891" s="402" t="s">
        <v>41</v>
      </c>
      <c r="F7891" s="402" t="s">
        <v>42</v>
      </c>
      <c r="G7891" s="403" t="s">
        <v>43</v>
      </c>
      <c r="H7891" s="404" t="s">
        <v>44</v>
      </c>
      <c r="I7891" s="402" t="s">
        <v>474</v>
      </c>
      <c r="J7891" s="405" t="s">
        <v>475</v>
      </c>
    </row>
    <row r="7892" spans="1:10" ht="13">
      <c r="A7892" s="27"/>
      <c r="B7892" s="110"/>
      <c r="D7892" s="406" t="s">
        <v>45</v>
      </c>
      <c r="E7892" s="13" t="s">
        <v>46</v>
      </c>
      <c r="F7892" s="14"/>
      <c r="G7892" s="15"/>
      <c r="H7892" s="451"/>
      <c r="I7892" s="412"/>
      <c r="J7892" s="16"/>
    </row>
    <row r="7893" spans="1:10" ht="13">
      <c r="A7893" s="27"/>
      <c r="B7893" s="110"/>
      <c r="D7893" s="409"/>
      <c r="E7893" s="13" t="s">
        <v>47</v>
      </c>
      <c r="F7893" s="13" t="s">
        <v>1918</v>
      </c>
      <c r="G7893" s="543" t="s">
        <v>48</v>
      </c>
      <c r="H7893" s="548">
        <v>0.03</v>
      </c>
      <c r="I7893" s="412">
        <f>IF(AND(E7893&lt;&gt;"",G7893&lt;&gt;""),IF(D7893="",IF(G7893="OH",VLOOKUP(F7893,UPAH!$B$4:$H$101,7,0),VLOOKUP(F7893,#REF!,4,0)),0),0)</f>
        <v>0</v>
      </c>
      <c r="J7893" s="16">
        <f>H7893*I7893</f>
        <v>0</v>
      </c>
    </row>
    <row r="7894" spans="1:10" ht="13">
      <c r="A7894" s="27"/>
      <c r="B7894" s="110"/>
      <c r="D7894" s="409"/>
      <c r="E7894" s="13" t="s">
        <v>81</v>
      </c>
      <c r="F7894" s="13" t="s">
        <v>1921</v>
      </c>
      <c r="G7894" s="543" t="s">
        <v>48</v>
      </c>
      <c r="H7894" s="548">
        <v>0.3</v>
      </c>
      <c r="I7894" s="412">
        <f>IF(AND(E7894&lt;&gt;"",G7894&lt;&gt;""),IF(D7894="",IF(G7894="OH",VLOOKUP(F7894,UPAH!$B$4:$H$101,7,0),VLOOKUP(F7894,#REF!,4,0)),0),0)</f>
        <v>0</v>
      </c>
      <c r="J7894" s="16">
        <f>H7894*I7894</f>
        <v>0</v>
      </c>
    </row>
    <row r="7895" spans="1:10" ht="13">
      <c r="A7895" s="27"/>
      <c r="B7895" s="110"/>
      <c r="D7895" s="409"/>
      <c r="E7895" s="13" t="s">
        <v>50</v>
      </c>
      <c r="F7895" s="13" t="s">
        <v>1928</v>
      </c>
      <c r="G7895" s="543" t="s">
        <v>48</v>
      </c>
      <c r="H7895" s="548">
        <v>0.03</v>
      </c>
      <c r="I7895" s="412">
        <f>IF(AND(E7895&lt;&gt;"",G7895&lt;&gt;""),IF(D7895="",IF(G7895="OH",VLOOKUP(F7895,UPAH!$B$4:$H$101,7,0),VLOOKUP(F7895,#REF!,4,0)),0),0)</f>
        <v>0</v>
      </c>
      <c r="J7895" s="16">
        <f>H7895*I7895</f>
        <v>0</v>
      </c>
    </row>
    <row r="7896" spans="1:10" ht="13.5" thickBot="1">
      <c r="A7896" s="27"/>
      <c r="B7896" s="110"/>
      <c r="D7896" s="409"/>
      <c r="E7896" s="13" t="s">
        <v>51</v>
      </c>
      <c r="F7896" s="13" t="s">
        <v>1929</v>
      </c>
      <c r="G7896" s="543" t="s">
        <v>48</v>
      </c>
      <c r="H7896" s="548">
        <v>1.4999999999999999E-2</v>
      </c>
      <c r="I7896" s="412">
        <f>IF(AND(E7896&lt;&gt;"",G7896&lt;&gt;""),IF(D7896="",IF(G7896="OH",VLOOKUP(F7896,UPAH!$B$4:$H$101,7,0),VLOOKUP(F7896,#REF!,4,0)),0),0)</f>
        <v>0</v>
      </c>
      <c r="J7896" s="16">
        <f>H7896*I7896</f>
        <v>0</v>
      </c>
    </row>
    <row r="7897" spans="1:10" ht="13.5" thickBot="1">
      <c r="A7897" s="27"/>
      <c r="B7897" s="110"/>
      <c r="D7897" s="417"/>
      <c r="E7897" s="418"/>
      <c r="F7897" s="418"/>
      <c r="G7897" s="419"/>
      <c r="H7897" s="420" t="s">
        <v>52</v>
      </c>
      <c r="I7897" s="421"/>
      <c r="J7897" s="396">
        <f>SUM(J7893:J7896)</f>
        <v>0</v>
      </c>
    </row>
    <row r="7898" spans="1:10" ht="13">
      <c r="A7898" s="27"/>
      <c r="B7898" s="110"/>
      <c r="D7898" s="406" t="s">
        <v>53</v>
      </c>
      <c r="E7898" s="13" t="s">
        <v>54</v>
      </c>
      <c r="F7898" s="14"/>
      <c r="G7898" s="15"/>
      <c r="H7898" s="451"/>
      <c r="I7898" s="412"/>
      <c r="J7898" s="16"/>
    </row>
    <row r="7899" spans="1:10" ht="13">
      <c r="A7899" s="27"/>
      <c r="B7899" s="110"/>
      <c r="D7899" s="409"/>
      <c r="E7899" s="13" t="s">
        <v>264</v>
      </c>
      <c r="F7899" s="14"/>
      <c r="G7899" s="543" t="s">
        <v>252</v>
      </c>
      <c r="H7899" s="548">
        <v>1</v>
      </c>
      <c r="I7899" s="412">
        <f>'BAHAN '!G315</f>
        <v>0</v>
      </c>
      <c r="J7899" s="16">
        <f>H7899*I7899</f>
        <v>0</v>
      </c>
    </row>
    <row r="7900" spans="1:10" ht="13.5" thickBot="1">
      <c r="A7900" s="27"/>
      <c r="B7900" s="110"/>
      <c r="D7900" s="409"/>
      <c r="E7900" s="13" t="s">
        <v>265</v>
      </c>
      <c r="F7900" s="14"/>
      <c r="G7900" s="543" t="s">
        <v>87</v>
      </c>
      <c r="H7900" s="548">
        <v>1</v>
      </c>
      <c r="I7900" s="412">
        <f>'BAHAN '!G320</f>
        <v>0</v>
      </c>
      <c r="J7900" s="16">
        <f>H7900*I7900</f>
        <v>0</v>
      </c>
    </row>
    <row r="7901" spans="1:10" ht="13.5" thickBot="1">
      <c r="A7901" s="27"/>
      <c r="B7901" s="110"/>
      <c r="D7901" s="417"/>
      <c r="E7901" s="418"/>
      <c r="F7901" s="418"/>
      <c r="G7901" s="419"/>
      <c r="H7901" s="420" t="s">
        <v>64</v>
      </c>
      <c r="I7901" s="421"/>
      <c r="J7901" s="396">
        <f>SUM(J7899:J7900)</f>
        <v>0</v>
      </c>
    </row>
    <row r="7902" spans="1:10" ht="13.5" thickBot="1">
      <c r="A7902" s="27"/>
      <c r="B7902" s="110"/>
      <c r="D7902" s="406" t="s">
        <v>65</v>
      </c>
      <c r="E7902" s="13" t="s">
        <v>66</v>
      </c>
      <c r="F7902" s="14"/>
      <c r="G7902" s="15"/>
      <c r="H7902" s="451"/>
      <c r="I7902" s="412">
        <f>IF(AND(E7902&lt;&gt;"",G7902&lt;&gt;""),IF(D7902="",IF(G7902="OH",VLOOKUP(E7902,UPAH!$C$4:$H$31,7,0),VLOOKUP(E7902,#REF!,4,0)),0),0)</f>
        <v>0</v>
      </c>
      <c r="J7902" s="16">
        <f>H7902*I7902</f>
        <v>0</v>
      </c>
    </row>
    <row r="7903" spans="1:10" ht="13.5" thickBot="1">
      <c r="A7903" s="27"/>
      <c r="B7903" s="110"/>
      <c r="D7903" s="417"/>
      <c r="E7903" s="418"/>
      <c r="F7903" s="418"/>
      <c r="G7903" s="419"/>
      <c r="H7903" s="420" t="s">
        <v>67</v>
      </c>
      <c r="I7903" s="421"/>
      <c r="J7903" s="396">
        <f>J7902</f>
        <v>0</v>
      </c>
    </row>
    <row r="7904" spans="1:10" ht="13">
      <c r="A7904" s="27"/>
      <c r="B7904" s="110"/>
      <c r="D7904" s="444" t="s">
        <v>68</v>
      </c>
      <c r="E7904" s="445" t="s">
        <v>69</v>
      </c>
      <c r="F7904" s="446"/>
      <c r="G7904" s="447"/>
      <c r="H7904" s="448"/>
      <c r="I7904" s="449">
        <f>IF(AND(E7904&lt;&gt;"",G7904&lt;&gt;""),IF(D7904="",IF(G7904="OH",VLOOKUP(E7904,UPAH!$C$4:$H$31,7,0),VLOOKUP(E7904,#REF!,4,0)),0),0)</f>
        <v>0</v>
      </c>
      <c r="J7904" s="16">
        <f>SUM(J7893:J7903)/2</f>
        <v>0</v>
      </c>
    </row>
    <row r="7905" spans="1:10" ht="13.5" thickBot="1">
      <c r="A7905" s="27"/>
      <c r="B7905" s="110"/>
      <c r="D7905" s="431" t="s">
        <v>70</v>
      </c>
      <c r="E7905" s="432" t="s">
        <v>477</v>
      </c>
      <c r="F7905" s="433"/>
      <c r="G7905" s="434"/>
      <c r="H7905" s="22">
        <v>0.1</v>
      </c>
      <c r="I7905" s="436"/>
      <c r="J7905" s="430">
        <f>H7905*J7904</f>
        <v>0</v>
      </c>
    </row>
    <row r="7906" spans="1:10" ht="13.5" thickBot="1">
      <c r="A7906" s="27"/>
      <c r="B7906" s="110"/>
      <c r="D7906" s="401" t="s">
        <v>71</v>
      </c>
      <c r="E7906" s="402" t="s">
        <v>72</v>
      </c>
      <c r="F7906" s="418"/>
      <c r="G7906" s="419"/>
      <c r="H7906" s="442"/>
      <c r="I7906" s="421">
        <f>IF(AND(E7906&lt;&gt;"",G7906&lt;&gt;""),IF(D7906="",IF(G7906="OH",VLOOKUP(E7906,UPAH!$C$4:$H$31,7,0),VLOOKUP(E7906,#REF!,4,0)),0),0)</f>
        <v>0</v>
      </c>
      <c r="J7906" s="396">
        <f>ROUNDDOWN(J7904+J7905,0)</f>
        <v>0</v>
      </c>
    </row>
    <row r="7907" spans="1:10" ht="13">
      <c r="A7907" s="27"/>
      <c r="B7907" s="110"/>
      <c r="D7907" s="11"/>
      <c r="E7907" s="11"/>
      <c r="H7907" s="443"/>
      <c r="I7907" s="17"/>
      <c r="J7907" s="18"/>
    </row>
    <row r="7908" spans="1:10" ht="13.5" thickBot="1">
      <c r="A7908" s="27"/>
      <c r="B7908" s="110"/>
      <c r="C7908" s="11" t="s">
        <v>1329</v>
      </c>
      <c r="D7908" s="10" t="s">
        <v>2</v>
      </c>
      <c r="H7908" s="443"/>
    </row>
    <row r="7909" spans="1:10" ht="13.5" thickBot="1">
      <c r="A7909" s="27"/>
      <c r="B7909" s="110"/>
      <c r="D7909" s="401" t="s">
        <v>40</v>
      </c>
      <c r="E7909" s="402" t="s">
        <v>41</v>
      </c>
      <c r="F7909" s="402" t="s">
        <v>42</v>
      </c>
      <c r="G7909" s="403" t="s">
        <v>43</v>
      </c>
      <c r="H7909" s="404" t="s">
        <v>44</v>
      </c>
      <c r="I7909" s="402" t="s">
        <v>474</v>
      </c>
      <c r="J7909" s="405" t="s">
        <v>475</v>
      </c>
    </row>
    <row r="7910" spans="1:10" ht="13">
      <c r="A7910" s="27"/>
      <c r="B7910" s="110"/>
      <c r="D7910" s="406" t="s">
        <v>45</v>
      </c>
      <c r="E7910" s="13" t="s">
        <v>46</v>
      </c>
      <c r="F7910" s="14"/>
      <c r="G7910" s="15"/>
      <c r="H7910" s="451"/>
      <c r="I7910" s="412"/>
      <c r="J7910" s="16"/>
    </row>
    <row r="7911" spans="1:10" ht="13">
      <c r="A7911" s="27"/>
      <c r="B7911" s="110"/>
      <c r="D7911" s="409"/>
      <c r="E7911" s="13" t="s">
        <v>47</v>
      </c>
      <c r="F7911" s="13" t="s">
        <v>1918</v>
      </c>
      <c r="G7911" s="543" t="s">
        <v>48</v>
      </c>
      <c r="H7911" s="548">
        <v>0.05</v>
      </c>
      <c r="I7911" s="412">
        <f>IF(AND(E7911&lt;&gt;"",G7911&lt;&gt;""),IF(D7911="",IF(G7911="OH",VLOOKUP(F7911,UPAH!$B$4:$H$101,7,0),VLOOKUP(F7911,#REF!,4,0)),0),0)</f>
        <v>0</v>
      </c>
      <c r="J7911" s="16">
        <f>H7911*I7911</f>
        <v>0</v>
      </c>
    </row>
    <row r="7912" spans="1:10" ht="13">
      <c r="A7912" s="27"/>
      <c r="B7912" s="110"/>
      <c r="D7912" s="409"/>
      <c r="E7912" s="13" t="s">
        <v>81</v>
      </c>
      <c r="F7912" s="13" t="s">
        <v>1921</v>
      </c>
      <c r="G7912" s="543" t="s">
        <v>48</v>
      </c>
      <c r="H7912" s="548">
        <v>0.5</v>
      </c>
      <c r="I7912" s="412">
        <f>IF(AND(E7912&lt;&gt;"",G7912&lt;&gt;""),IF(D7912="",IF(G7912="OH",VLOOKUP(F7912,UPAH!$B$4:$H$101,7,0),VLOOKUP(F7912,#REF!,4,0)),0),0)</f>
        <v>0</v>
      </c>
      <c r="J7912" s="16">
        <f>H7912*I7912</f>
        <v>0</v>
      </c>
    </row>
    <row r="7913" spans="1:10" ht="13">
      <c r="A7913" s="27"/>
      <c r="B7913" s="110"/>
      <c r="D7913" s="409"/>
      <c r="E7913" s="13" t="s">
        <v>50</v>
      </c>
      <c r="F7913" s="13" t="s">
        <v>1928</v>
      </c>
      <c r="G7913" s="543" t="s">
        <v>48</v>
      </c>
      <c r="H7913" s="548">
        <v>0.05</v>
      </c>
      <c r="I7913" s="412">
        <f>IF(AND(E7913&lt;&gt;"",G7913&lt;&gt;""),IF(D7913="",IF(G7913="OH",VLOOKUP(F7913,UPAH!$B$4:$H$101,7,0),VLOOKUP(F7913,#REF!,4,0)),0),0)</f>
        <v>0</v>
      </c>
      <c r="J7913" s="16">
        <f>H7913*I7913</f>
        <v>0</v>
      </c>
    </row>
    <row r="7914" spans="1:10" ht="13.5" thickBot="1">
      <c r="A7914" s="27"/>
      <c r="B7914" s="110"/>
      <c r="D7914" s="409"/>
      <c r="E7914" s="13" t="s">
        <v>51</v>
      </c>
      <c r="F7914" s="13" t="s">
        <v>1929</v>
      </c>
      <c r="G7914" s="543" t="s">
        <v>48</v>
      </c>
      <c r="H7914" s="548">
        <v>2.5000000000000001E-2</v>
      </c>
      <c r="I7914" s="412">
        <f>IF(AND(E7914&lt;&gt;"",G7914&lt;&gt;""),IF(D7914="",IF(G7914="OH",VLOOKUP(F7914,UPAH!$B$4:$H$101,7,0),VLOOKUP(F7914,#REF!,4,0)),0),0)</f>
        <v>0</v>
      </c>
      <c r="J7914" s="16">
        <f>H7914*I7914</f>
        <v>0</v>
      </c>
    </row>
    <row r="7915" spans="1:10" ht="13.5" thickBot="1">
      <c r="A7915" s="27"/>
      <c r="B7915" s="110"/>
      <c r="D7915" s="417"/>
      <c r="E7915" s="418"/>
      <c r="F7915" s="418"/>
      <c r="G7915" s="419"/>
      <c r="H7915" s="420" t="s">
        <v>52</v>
      </c>
      <c r="I7915" s="421"/>
      <c r="J7915" s="396">
        <f>SUM(J7911:J7914)</f>
        <v>0</v>
      </c>
    </row>
    <row r="7916" spans="1:10" ht="13">
      <c r="A7916" s="27"/>
      <c r="B7916" s="110"/>
      <c r="D7916" s="406" t="s">
        <v>53</v>
      </c>
      <c r="E7916" s="13" t="s">
        <v>54</v>
      </c>
      <c r="F7916" s="14"/>
      <c r="G7916" s="15"/>
      <c r="H7916" s="451"/>
      <c r="I7916" s="412"/>
      <c r="J7916" s="16"/>
    </row>
    <row r="7917" spans="1:10" ht="13">
      <c r="A7917" s="27"/>
      <c r="B7917" s="110"/>
      <c r="D7917" s="409"/>
      <c r="E7917" s="13" t="s">
        <v>264</v>
      </c>
      <c r="F7917" s="14"/>
      <c r="G7917" s="543" t="s">
        <v>252</v>
      </c>
      <c r="H7917" s="548">
        <v>1</v>
      </c>
      <c r="I7917" s="412">
        <f>'BAHAN '!G315</f>
        <v>0</v>
      </c>
      <c r="J7917" s="16">
        <f>H7917*I7917</f>
        <v>0</v>
      </c>
    </row>
    <row r="7918" spans="1:10" ht="13">
      <c r="A7918" s="27"/>
      <c r="B7918" s="110"/>
      <c r="D7918" s="409"/>
      <c r="E7918" s="13" t="s">
        <v>265</v>
      </c>
      <c r="F7918" s="14"/>
      <c r="G7918" s="543" t="s">
        <v>87</v>
      </c>
      <c r="H7918" s="548">
        <v>1</v>
      </c>
      <c r="I7918" s="412">
        <f>$I$7900</f>
        <v>0</v>
      </c>
      <c r="J7918" s="16">
        <f>H7918*I7918</f>
        <v>0</v>
      </c>
    </row>
    <row r="7919" spans="1:10" ht="13">
      <c r="A7919" s="27"/>
      <c r="B7919" s="110"/>
      <c r="D7919" s="409"/>
      <c r="E7919" s="13" t="s">
        <v>56</v>
      </c>
      <c r="F7919" s="14"/>
      <c r="G7919" s="543" t="s">
        <v>57</v>
      </c>
      <c r="H7919" s="548">
        <v>20</v>
      </c>
      <c r="I7919" s="412">
        <f>'BAHAN '!G72</f>
        <v>0</v>
      </c>
      <c r="J7919" s="16">
        <f>H7919*I7919</f>
        <v>0</v>
      </c>
    </row>
    <row r="7920" spans="1:10" ht="13.5" thickBot="1">
      <c r="A7920" s="27"/>
      <c r="B7920" s="110"/>
      <c r="D7920" s="409"/>
      <c r="E7920" s="13" t="s">
        <v>85</v>
      </c>
      <c r="F7920" s="14"/>
      <c r="G7920" s="543" t="s">
        <v>170</v>
      </c>
      <c r="H7920" s="548">
        <v>0.05</v>
      </c>
      <c r="I7920" s="412">
        <f>'BAHAN '!G59</f>
        <v>0</v>
      </c>
      <c r="J7920" s="16">
        <f>H7920*I7920</f>
        <v>0</v>
      </c>
    </row>
    <row r="7921" spans="1:10" ht="13.5" thickBot="1">
      <c r="A7921" s="27"/>
      <c r="B7921" s="110"/>
      <c r="D7921" s="417"/>
      <c r="E7921" s="418"/>
      <c r="F7921" s="418"/>
      <c r="G7921" s="419"/>
      <c r="H7921" s="420" t="s">
        <v>64</v>
      </c>
      <c r="I7921" s="421"/>
      <c r="J7921" s="396">
        <f>SUM(J7917:J7920)</f>
        <v>0</v>
      </c>
    </row>
    <row r="7922" spans="1:10" ht="13.5" thickBot="1">
      <c r="A7922" s="27"/>
      <c r="B7922" s="110"/>
      <c r="D7922" s="406" t="s">
        <v>65</v>
      </c>
      <c r="E7922" s="13" t="s">
        <v>66</v>
      </c>
      <c r="F7922" s="14"/>
      <c r="G7922" s="15"/>
      <c r="H7922" s="451"/>
      <c r="I7922" s="412">
        <f>IF(AND(E7922&lt;&gt;"",G7922&lt;&gt;""),IF(D7922="",IF(G7922="OH",VLOOKUP(E7922,UPAH!$C$4:$H$31,7,0),VLOOKUP(E7922,#REF!,4,0)),0),0)</f>
        <v>0</v>
      </c>
      <c r="J7922" s="16">
        <f>H7922*I7922</f>
        <v>0</v>
      </c>
    </row>
    <row r="7923" spans="1:10" ht="13.5" thickBot="1">
      <c r="A7923" s="27"/>
      <c r="B7923" s="110"/>
      <c r="D7923" s="417"/>
      <c r="E7923" s="418"/>
      <c r="F7923" s="418"/>
      <c r="G7923" s="419"/>
      <c r="H7923" s="420" t="s">
        <v>67</v>
      </c>
      <c r="I7923" s="421"/>
      <c r="J7923" s="396">
        <f>J7922</f>
        <v>0</v>
      </c>
    </row>
    <row r="7924" spans="1:10" ht="13">
      <c r="A7924" s="27"/>
      <c r="B7924" s="110"/>
      <c r="D7924" s="444" t="s">
        <v>68</v>
      </c>
      <c r="E7924" s="445" t="s">
        <v>69</v>
      </c>
      <c r="F7924" s="446"/>
      <c r="G7924" s="447"/>
      <c r="H7924" s="448"/>
      <c r="I7924" s="449">
        <f>IF(AND(E7924&lt;&gt;"",G7924&lt;&gt;""),IF(D7924="",IF(G7924="OH",VLOOKUP(E7924,UPAH!$C$4:$H$31,7,0),VLOOKUP(E7924,#REF!,4,0)),0),0)</f>
        <v>0</v>
      </c>
      <c r="J7924" s="16">
        <f>SUM(J7911:J7923)/2</f>
        <v>0</v>
      </c>
    </row>
    <row r="7925" spans="1:10" ht="13.5" thickBot="1">
      <c r="A7925" s="27"/>
      <c r="B7925" s="110"/>
      <c r="D7925" s="431" t="s">
        <v>70</v>
      </c>
      <c r="E7925" s="432" t="s">
        <v>477</v>
      </c>
      <c r="F7925" s="433"/>
      <c r="G7925" s="434"/>
      <c r="H7925" s="22">
        <v>0.1</v>
      </c>
      <c r="I7925" s="436"/>
      <c r="J7925" s="430">
        <f>H7925*J7924</f>
        <v>0</v>
      </c>
    </row>
    <row r="7926" spans="1:10" ht="13.5" thickBot="1">
      <c r="A7926" s="27"/>
      <c r="B7926" s="110"/>
      <c r="D7926" s="401" t="s">
        <v>71</v>
      </c>
      <c r="E7926" s="402" t="s">
        <v>72</v>
      </c>
      <c r="F7926" s="418"/>
      <c r="G7926" s="419"/>
      <c r="H7926" s="442"/>
      <c r="I7926" s="421">
        <f>IF(AND(E7926&lt;&gt;"",G7926&lt;&gt;""),IF(D7926="",IF(G7926="OH",VLOOKUP(E7926,UPAH!$C$4:$H$31,7,0),VLOOKUP(E7926,#REF!,4,0)),0),0)</f>
        <v>0</v>
      </c>
      <c r="J7926" s="396">
        <f>ROUNDDOWN(J7924+J7925,0)</f>
        <v>0</v>
      </c>
    </row>
    <row r="7927" spans="1:10" ht="13">
      <c r="A7927" s="27"/>
      <c r="B7927" s="110"/>
      <c r="D7927" s="11"/>
      <c r="E7927" s="11"/>
      <c r="H7927" s="443"/>
      <c r="I7927" s="17"/>
      <c r="J7927" s="18"/>
    </row>
    <row r="7928" spans="1:10" ht="13.5" thickBot="1">
      <c r="A7928" s="27"/>
      <c r="B7928" s="110"/>
      <c r="C7928" s="11" t="s">
        <v>1330</v>
      </c>
      <c r="D7928" s="10" t="s">
        <v>1331</v>
      </c>
      <c r="H7928" s="443"/>
    </row>
    <row r="7929" spans="1:10" ht="13.5" thickBot="1">
      <c r="A7929" s="27"/>
      <c r="B7929" s="110"/>
      <c r="D7929" s="401" t="s">
        <v>40</v>
      </c>
      <c r="E7929" s="402" t="s">
        <v>41</v>
      </c>
      <c r="F7929" s="402" t="s">
        <v>42</v>
      </c>
      <c r="G7929" s="403" t="s">
        <v>43</v>
      </c>
      <c r="H7929" s="404" t="s">
        <v>44</v>
      </c>
      <c r="I7929" s="402" t="s">
        <v>474</v>
      </c>
      <c r="J7929" s="405" t="s">
        <v>475</v>
      </c>
    </row>
    <row r="7930" spans="1:10" ht="13">
      <c r="A7930" s="27"/>
      <c r="B7930" s="110"/>
      <c r="D7930" s="444" t="s">
        <v>45</v>
      </c>
      <c r="E7930" s="445" t="s">
        <v>46</v>
      </c>
      <c r="F7930" s="446"/>
      <c r="G7930" s="447"/>
      <c r="H7930" s="448"/>
      <c r="I7930" s="449"/>
      <c r="J7930" s="450"/>
    </row>
    <row r="7931" spans="1:10" ht="13">
      <c r="A7931" s="27"/>
      <c r="B7931" s="110"/>
      <c r="D7931" s="409"/>
      <c r="E7931" s="13" t="s">
        <v>47</v>
      </c>
      <c r="F7931" s="13" t="s">
        <v>1918</v>
      </c>
      <c r="G7931" s="543" t="s">
        <v>48</v>
      </c>
      <c r="H7931" s="548">
        <v>0.01</v>
      </c>
      <c r="I7931" s="412">
        <f>IF(AND(E7931&lt;&gt;"",G7931&lt;&gt;""),IF(D7931="",IF(G7931="OH",VLOOKUP(F7931,UPAH!$B$4:$H$101,7,0),VLOOKUP(F7931,#REF!,4,0)),0),0)</f>
        <v>0</v>
      </c>
      <c r="J7931" s="16">
        <f>H7931*I7931</f>
        <v>0</v>
      </c>
    </row>
    <row r="7932" spans="1:10" ht="13">
      <c r="A7932" s="27"/>
      <c r="B7932" s="110"/>
      <c r="D7932" s="409"/>
      <c r="E7932" s="13" t="s">
        <v>81</v>
      </c>
      <c r="F7932" s="13" t="s">
        <v>1921</v>
      </c>
      <c r="G7932" s="543" t="s">
        <v>48</v>
      </c>
      <c r="H7932" s="548">
        <v>0.1</v>
      </c>
      <c r="I7932" s="412">
        <f>IF(AND(E7932&lt;&gt;"",G7932&lt;&gt;""),IF(D7932="",IF(G7932="OH",VLOOKUP(F7932,UPAH!$B$4:$H$101,7,0),VLOOKUP(F7932,#REF!,4,0)),0),0)</f>
        <v>0</v>
      </c>
      <c r="J7932" s="16">
        <f>H7932*I7932</f>
        <v>0</v>
      </c>
    </row>
    <row r="7933" spans="1:10" ht="13">
      <c r="A7933" s="27"/>
      <c r="B7933" s="110"/>
      <c r="D7933" s="409"/>
      <c r="E7933" s="13" t="s">
        <v>50</v>
      </c>
      <c r="F7933" s="13" t="s">
        <v>1928</v>
      </c>
      <c r="G7933" s="543" t="s">
        <v>48</v>
      </c>
      <c r="H7933" s="548">
        <v>0.01</v>
      </c>
      <c r="I7933" s="412">
        <f>IF(AND(E7933&lt;&gt;"",G7933&lt;&gt;""),IF(D7933="",IF(G7933="OH",VLOOKUP(F7933,UPAH!$B$4:$H$101,7,0),VLOOKUP(F7933,#REF!,4,0)),0),0)</f>
        <v>0</v>
      </c>
      <c r="J7933" s="16">
        <f>H7933*I7933</f>
        <v>0</v>
      </c>
    </row>
    <row r="7934" spans="1:10" ht="13.5" thickBot="1">
      <c r="A7934" s="27"/>
      <c r="B7934" s="110"/>
      <c r="D7934" s="409"/>
      <c r="E7934" s="13" t="s">
        <v>51</v>
      </c>
      <c r="F7934" s="13" t="s">
        <v>1929</v>
      </c>
      <c r="G7934" s="543" t="s">
        <v>48</v>
      </c>
      <c r="H7934" s="548">
        <v>5.0000000000000001E-3</v>
      </c>
      <c r="I7934" s="412">
        <f>IF(AND(E7934&lt;&gt;"",G7934&lt;&gt;""),IF(D7934="",IF(G7934="OH",VLOOKUP(F7934,UPAH!$B$4:$H$101,7,0),VLOOKUP(F7934,#REF!,4,0)),0),0)</f>
        <v>0</v>
      </c>
      <c r="J7934" s="16">
        <f>H7934*I7934</f>
        <v>0</v>
      </c>
    </row>
    <row r="7935" spans="1:10" ht="13.5" thickBot="1">
      <c r="A7935" s="27"/>
      <c r="B7935" s="110"/>
      <c r="D7935" s="417"/>
      <c r="E7935" s="418"/>
      <c r="F7935" s="418"/>
      <c r="G7935" s="419"/>
      <c r="H7935" s="420" t="s">
        <v>52</v>
      </c>
      <c r="I7935" s="421"/>
      <c r="J7935" s="396">
        <f>SUM(J7931:J7934)</f>
        <v>0</v>
      </c>
    </row>
    <row r="7936" spans="1:10" ht="13">
      <c r="A7936" s="27"/>
      <c r="B7936" s="110"/>
      <c r="D7936" s="406" t="s">
        <v>53</v>
      </c>
      <c r="E7936" s="13" t="s">
        <v>54</v>
      </c>
      <c r="F7936" s="14"/>
      <c r="G7936" s="15"/>
      <c r="H7936" s="451"/>
      <c r="I7936" s="412"/>
      <c r="J7936" s="16"/>
    </row>
    <row r="7937" spans="1:10" ht="13.5" thickBot="1">
      <c r="A7937" s="27"/>
      <c r="B7937" s="110"/>
      <c r="D7937" s="409"/>
      <c r="E7937" s="13" t="s">
        <v>266</v>
      </c>
      <c r="F7937" s="14"/>
      <c r="G7937" s="543" t="s">
        <v>252</v>
      </c>
      <c r="H7937" s="548">
        <v>1</v>
      </c>
      <c r="I7937" s="412">
        <f>'BAHAN '!G320</f>
        <v>0</v>
      </c>
      <c r="J7937" s="16">
        <f>H7937*I7937</f>
        <v>0</v>
      </c>
    </row>
    <row r="7938" spans="1:10" ht="13.5" thickBot="1">
      <c r="A7938" s="27"/>
      <c r="B7938" s="110"/>
      <c r="D7938" s="417"/>
      <c r="E7938" s="418"/>
      <c r="F7938" s="418"/>
      <c r="G7938" s="419"/>
      <c r="H7938" s="420" t="s">
        <v>64</v>
      </c>
      <c r="I7938" s="421"/>
      <c r="J7938" s="396">
        <f>SUM(J7937)</f>
        <v>0</v>
      </c>
    </row>
    <row r="7939" spans="1:10" ht="13.5" thickBot="1">
      <c r="A7939" s="27"/>
      <c r="B7939" s="110"/>
      <c r="D7939" s="406" t="s">
        <v>65</v>
      </c>
      <c r="E7939" s="13" t="s">
        <v>66</v>
      </c>
      <c r="F7939" s="14"/>
      <c r="G7939" s="15"/>
      <c r="H7939" s="451"/>
      <c r="I7939" s="412">
        <f>IF(AND(E7939&lt;&gt;"",G7939&lt;&gt;""),IF(D7939="",IF(G7939="OH",VLOOKUP(E7939,UPAH!$C$4:$H$31,7,0),VLOOKUP(E7939,#REF!,4,0)),0),0)</f>
        <v>0</v>
      </c>
      <c r="J7939" s="16">
        <f>H7939*I7939</f>
        <v>0</v>
      </c>
    </row>
    <row r="7940" spans="1:10" ht="13.5" thickBot="1">
      <c r="A7940" s="27"/>
      <c r="B7940" s="110"/>
      <c r="D7940" s="417"/>
      <c r="E7940" s="418"/>
      <c r="F7940" s="418"/>
      <c r="G7940" s="419"/>
      <c r="H7940" s="420" t="s">
        <v>67</v>
      </c>
      <c r="I7940" s="421"/>
      <c r="J7940" s="396">
        <f>J7939</f>
        <v>0</v>
      </c>
    </row>
    <row r="7941" spans="1:10" ht="13">
      <c r="A7941" s="27"/>
      <c r="B7941" s="110"/>
      <c r="D7941" s="444" t="s">
        <v>68</v>
      </c>
      <c r="E7941" s="445" t="s">
        <v>69</v>
      </c>
      <c r="F7941" s="446"/>
      <c r="G7941" s="447"/>
      <c r="H7941" s="448"/>
      <c r="I7941" s="449">
        <f>IF(AND(E7941&lt;&gt;"",G7941&lt;&gt;""),IF(D7941="",IF(G7941="OH",VLOOKUP(E7941,UPAH!$C$4:$H$31,7,0),VLOOKUP(E7941,#REF!,4,0)),0),0)</f>
        <v>0</v>
      </c>
      <c r="J7941" s="16">
        <f>SUM(J7930:J7940)/2</f>
        <v>0</v>
      </c>
    </row>
    <row r="7942" spans="1:10" ht="13.5" thickBot="1">
      <c r="A7942" s="27"/>
      <c r="B7942" s="110"/>
      <c r="D7942" s="431" t="s">
        <v>70</v>
      </c>
      <c r="E7942" s="432" t="s">
        <v>477</v>
      </c>
      <c r="F7942" s="433"/>
      <c r="G7942" s="434"/>
      <c r="H7942" s="22">
        <v>0.1</v>
      </c>
      <c r="I7942" s="436"/>
      <c r="J7942" s="430">
        <f>H7942*J7941</f>
        <v>0</v>
      </c>
    </row>
    <row r="7943" spans="1:10" ht="13.5" thickBot="1">
      <c r="A7943" s="27"/>
      <c r="B7943" s="110"/>
      <c r="D7943" s="401" t="s">
        <v>71</v>
      </c>
      <c r="E7943" s="402" t="s">
        <v>72</v>
      </c>
      <c r="F7943" s="418"/>
      <c r="G7943" s="419"/>
      <c r="H7943" s="442"/>
      <c r="I7943" s="421">
        <f>IF(AND(E7943&lt;&gt;"",G7943&lt;&gt;""),IF(D7943="",IF(G7943="OH",VLOOKUP(E7943,UPAH!$C$4:$H$31,7,0),VLOOKUP(E7943,#REF!,4,0)),0),0)</f>
        <v>0</v>
      </c>
      <c r="J7943" s="396">
        <f>ROUNDDOWN(J7941+J7942,0)</f>
        <v>0</v>
      </c>
    </row>
    <row r="7944" spans="1:10" ht="13">
      <c r="A7944" s="27"/>
      <c r="B7944" s="110"/>
      <c r="D7944" s="11"/>
      <c r="E7944" s="11"/>
      <c r="H7944" s="443"/>
      <c r="I7944" s="17"/>
      <c r="J7944" s="18"/>
    </row>
    <row r="7945" spans="1:10" ht="13.5" thickBot="1">
      <c r="A7945" s="27"/>
      <c r="B7945" s="110"/>
      <c r="C7945" s="11" t="s">
        <v>1332</v>
      </c>
      <c r="D7945" s="10" t="s">
        <v>1333</v>
      </c>
      <c r="H7945" s="443"/>
    </row>
    <row r="7946" spans="1:10" ht="13.5" thickBot="1">
      <c r="A7946" s="27"/>
      <c r="B7946" s="110"/>
      <c r="D7946" s="401" t="s">
        <v>40</v>
      </c>
      <c r="E7946" s="402" t="s">
        <v>41</v>
      </c>
      <c r="F7946" s="402" t="s">
        <v>42</v>
      </c>
      <c r="G7946" s="403" t="s">
        <v>43</v>
      </c>
      <c r="H7946" s="404" t="s">
        <v>44</v>
      </c>
      <c r="I7946" s="402" t="s">
        <v>474</v>
      </c>
      <c r="J7946" s="405" t="s">
        <v>475</v>
      </c>
    </row>
    <row r="7947" spans="1:10" ht="13">
      <c r="A7947" s="27"/>
      <c r="B7947" s="110"/>
      <c r="D7947" s="444" t="s">
        <v>45</v>
      </c>
      <c r="E7947" s="445" t="s">
        <v>46</v>
      </c>
      <c r="F7947" s="446"/>
      <c r="G7947" s="447"/>
      <c r="H7947" s="448"/>
      <c r="I7947" s="449"/>
      <c r="J7947" s="450"/>
    </row>
    <row r="7948" spans="1:10" ht="13">
      <c r="A7948" s="27"/>
      <c r="B7948" s="110"/>
      <c r="D7948" s="409"/>
      <c r="E7948" s="13" t="s">
        <v>47</v>
      </c>
      <c r="F7948" s="13" t="s">
        <v>1918</v>
      </c>
      <c r="G7948" s="543" t="s">
        <v>48</v>
      </c>
      <c r="H7948" s="548">
        <v>2.16</v>
      </c>
      <c r="I7948" s="412">
        <f>IF(AND(E7948&lt;&gt;"",G7948&lt;&gt;""),IF(D7948="",IF(G7948="OH",VLOOKUP(F7948,UPAH!$B$4:$H$101,7,0),VLOOKUP(F7948,#REF!,4,0)),0),0)</f>
        <v>0</v>
      </c>
      <c r="J7948" s="16">
        <f>H7948*I7948</f>
        <v>0</v>
      </c>
    </row>
    <row r="7949" spans="1:10" ht="13">
      <c r="A7949" s="27"/>
      <c r="B7949" s="110"/>
      <c r="D7949" s="409"/>
      <c r="E7949" s="13" t="s">
        <v>81</v>
      </c>
      <c r="F7949" s="13" t="s">
        <v>1921</v>
      </c>
      <c r="G7949" s="543" t="s">
        <v>48</v>
      </c>
      <c r="H7949" s="548">
        <v>0.72</v>
      </c>
      <c r="I7949" s="412">
        <f>IF(AND(E7949&lt;&gt;"",G7949&lt;&gt;""),IF(D7949="",IF(G7949="OH",VLOOKUP(F7949,UPAH!$B$4:$H$101,7,0),VLOOKUP(F7949,#REF!,4,0)),0),0)</f>
        <v>0</v>
      </c>
      <c r="J7949" s="16">
        <f>H7949*I7949</f>
        <v>0</v>
      </c>
    </row>
    <row r="7950" spans="1:10" ht="13">
      <c r="A7950" s="27"/>
      <c r="B7950" s="110"/>
      <c r="D7950" s="409"/>
      <c r="E7950" s="13" t="s">
        <v>50</v>
      </c>
      <c r="F7950" s="13" t="s">
        <v>1928</v>
      </c>
      <c r="G7950" s="543" t="s">
        <v>48</v>
      </c>
      <c r="H7950" s="548">
        <v>7.1999999999999995E-2</v>
      </c>
      <c r="I7950" s="412">
        <f>IF(AND(E7950&lt;&gt;"",G7950&lt;&gt;""),IF(D7950="",IF(G7950="OH",VLOOKUP(F7950,UPAH!$B$4:$H$101,7,0),VLOOKUP(F7950,#REF!,4,0)),0),0)</f>
        <v>0</v>
      </c>
      <c r="J7950" s="16">
        <f>H7950*I7950</f>
        <v>0</v>
      </c>
    </row>
    <row r="7951" spans="1:10" ht="13.5" thickBot="1">
      <c r="A7951" s="27"/>
      <c r="B7951" s="110"/>
      <c r="D7951" s="409"/>
      <c r="E7951" s="13" t="s">
        <v>51</v>
      </c>
      <c r="F7951" s="13" t="s">
        <v>1929</v>
      </c>
      <c r="G7951" s="543" t="s">
        <v>48</v>
      </c>
      <c r="H7951" s="548">
        <v>1.0999999999999999E-2</v>
      </c>
      <c r="I7951" s="412">
        <f>IF(AND(E7951&lt;&gt;"",G7951&lt;&gt;""),IF(D7951="",IF(G7951="OH",VLOOKUP(F7951,UPAH!$B$4:$H$101,7,0),VLOOKUP(F7951,#REF!,4,0)),0),0)</f>
        <v>0</v>
      </c>
      <c r="J7951" s="16">
        <f>H7951*I7951</f>
        <v>0</v>
      </c>
    </row>
    <row r="7952" spans="1:10" ht="13.5" thickBot="1">
      <c r="A7952" s="27"/>
      <c r="B7952" s="110"/>
      <c r="D7952" s="417"/>
      <c r="E7952" s="418"/>
      <c r="F7952" s="418"/>
      <c r="G7952" s="419"/>
      <c r="H7952" s="420" t="s">
        <v>52</v>
      </c>
      <c r="I7952" s="421"/>
      <c r="J7952" s="396">
        <f>SUM(J7948:J7951)</f>
        <v>0</v>
      </c>
    </row>
    <row r="7953" spans="1:10" ht="13">
      <c r="A7953" s="27"/>
      <c r="B7953" s="110"/>
      <c r="D7953" s="406" t="s">
        <v>53</v>
      </c>
      <c r="E7953" s="13" t="s">
        <v>54</v>
      </c>
      <c r="F7953" s="14"/>
      <c r="G7953" s="15"/>
      <c r="H7953" s="451"/>
      <c r="I7953" s="412"/>
      <c r="J7953" s="16"/>
    </row>
    <row r="7954" spans="1:10" ht="13">
      <c r="A7954" s="27"/>
      <c r="B7954" s="110"/>
      <c r="D7954" s="409"/>
      <c r="E7954" s="13" t="s">
        <v>86</v>
      </c>
      <c r="F7954" s="14"/>
      <c r="G7954" s="543" t="s">
        <v>259</v>
      </c>
      <c r="H7954" s="548">
        <v>40</v>
      </c>
      <c r="I7954" s="412">
        <f>'BAHAN '!G15</f>
        <v>0</v>
      </c>
      <c r="J7954" s="16">
        <f t="shared" ref="J7954:J7959" si="40">H7954*I7954</f>
        <v>0</v>
      </c>
    </row>
    <row r="7955" spans="1:10" ht="13">
      <c r="A7955" s="27"/>
      <c r="B7955" s="110"/>
      <c r="D7955" s="409"/>
      <c r="E7955" s="13" t="s">
        <v>56</v>
      </c>
      <c r="F7955" s="14"/>
      <c r="G7955" s="543" t="s">
        <v>57</v>
      </c>
      <c r="H7955" s="548">
        <v>44</v>
      </c>
      <c r="I7955" s="412">
        <f>'BAHAN '!G72</f>
        <v>0</v>
      </c>
      <c r="J7955" s="16">
        <f t="shared" si="40"/>
        <v>0</v>
      </c>
    </row>
    <row r="7956" spans="1:10" ht="13">
      <c r="A7956" s="27"/>
      <c r="B7956" s="110"/>
      <c r="D7956" s="409"/>
      <c r="E7956" s="13" t="s">
        <v>85</v>
      </c>
      <c r="F7956" s="14"/>
      <c r="G7956" s="543" t="s">
        <v>170</v>
      </c>
      <c r="H7956" s="548">
        <v>7.0000000000000007E-2</v>
      </c>
      <c r="I7956" s="412">
        <f>'BAHAN '!G59</f>
        <v>0</v>
      </c>
      <c r="J7956" s="16">
        <f t="shared" si="40"/>
        <v>0</v>
      </c>
    </row>
    <row r="7957" spans="1:10" ht="13">
      <c r="A7957" s="27"/>
      <c r="B7957" s="110"/>
      <c r="D7957" s="409"/>
      <c r="E7957" s="13" t="s">
        <v>58</v>
      </c>
      <c r="F7957" s="14"/>
      <c r="G7957" s="543" t="s">
        <v>170</v>
      </c>
      <c r="H7957" s="548">
        <v>0.06</v>
      </c>
      <c r="I7957" s="412">
        <f>'BAHAN '!G59</f>
        <v>0</v>
      </c>
      <c r="J7957" s="16">
        <f t="shared" si="40"/>
        <v>0</v>
      </c>
    </row>
    <row r="7958" spans="1:10" ht="13">
      <c r="A7958" s="27"/>
      <c r="B7958" s="110"/>
      <c r="D7958" s="409"/>
      <c r="E7958" s="13" t="s">
        <v>106</v>
      </c>
      <c r="F7958" s="14"/>
      <c r="G7958" s="543" t="s">
        <v>170</v>
      </c>
      <c r="H7958" s="548">
        <v>7.0000000000000007E-2</v>
      </c>
      <c r="I7958" s="412">
        <f>'BAHAN '!G49</f>
        <v>0</v>
      </c>
      <c r="J7958" s="16">
        <f t="shared" si="40"/>
        <v>0</v>
      </c>
    </row>
    <row r="7959" spans="1:10" ht="13.5" thickBot="1">
      <c r="A7959" s="27"/>
      <c r="B7959" s="110"/>
      <c r="D7959" s="409"/>
      <c r="E7959" s="13" t="s">
        <v>261</v>
      </c>
      <c r="F7959" s="14"/>
      <c r="G7959" s="543" t="s">
        <v>57</v>
      </c>
      <c r="H7959" s="548">
        <v>1.6</v>
      </c>
      <c r="I7959" s="412">
        <f>'BAHAN '!G142</f>
        <v>0</v>
      </c>
      <c r="J7959" s="16">
        <f t="shared" si="40"/>
        <v>0</v>
      </c>
    </row>
    <row r="7960" spans="1:10" ht="13.5" thickBot="1">
      <c r="A7960" s="27"/>
      <c r="B7960" s="110"/>
      <c r="D7960" s="417"/>
      <c r="E7960" s="418"/>
      <c r="F7960" s="418"/>
      <c r="G7960" s="419"/>
      <c r="H7960" s="420" t="s">
        <v>64</v>
      </c>
      <c r="I7960" s="421"/>
      <c r="J7960" s="396">
        <f>SUM(J7954:J7959)</f>
        <v>0</v>
      </c>
    </row>
    <row r="7961" spans="1:10" ht="13.5" thickBot="1">
      <c r="A7961" s="27"/>
      <c r="B7961" s="110"/>
      <c r="D7961" s="406" t="s">
        <v>65</v>
      </c>
      <c r="E7961" s="13" t="s">
        <v>66</v>
      </c>
      <c r="F7961" s="14"/>
      <c r="G7961" s="15"/>
      <c r="H7961" s="451"/>
      <c r="I7961" s="412">
        <f>IF(AND(E7961&lt;&gt;"",G7961&lt;&gt;""),IF(D7961="",IF(G7961="OH",VLOOKUP(E7961,UPAH!$C$4:$H$31,7,0),VLOOKUP(E7961,#REF!,4,0)),0),0)</f>
        <v>0</v>
      </c>
      <c r="J7961" s="16">
        <f>H7961*I7961</f>
        <v>0</v>
      </c>
    </row>
    <row r="7962" spans="1:10" ht="13.5" thickBot="1">
      <c r="A7962" s="27"/>
      <c r="B7962" s="110"/>
      <c r="D7962" s="417"/>
      <c r="E7962" s="418"/>
      <c r="F7962" s="418"/>
      <c r="G7962" s="419"/>
      <c r="H7962" s="420" t="s">
        <v>67</v>
      </c>
      <c r="I7962" s="421"/>
      <c r="J7962" s="396">
        <f>J7961</f>
        <v>0</v>
      </c>
    </row>
    <row r="7963" spans="1:10" ht="13">
      <c r="A7963" s="27"/>
      <c r="B7963" s="110"/>
      <c r="D7963" s="444" t="s">
        <v>68</v>
      </c>
      <c r="E7963" s="445" t="s">
        <v>69</v>
      </c>
      <c r="F7963" s="446"/>
      <c r="G7963" s="447"/>
      <c r="H7963" s="448"/>
      <c r="I7963" s="449">
        <f>IF(AND(E7963&lt;&gt;"",G7963&lt;&gt;""),IF(D7963="",IF(G7963="OH",VLOOKUP(E7963,UPAH!$C$4:$H$31,7,0),VLOOKUP(E7963,#REF!,4,0)),0),0)</f>
        <v>0</v>
      </c>
      <c r="J7963" s="16">
        <f>SUM(J7948:J7962)/2</f>
        <v>0</v>
      </c>
    </row>
    <row r="7964" spans="1:10" ht="13.5" thickBot="1">
      <c r="A7964" s="27"/>
      <c r="B7964" s="110"/>
      <c r="D7964" s="431" t="s">
        <v>70</v>
      </c>
      <c r="E7964" s="432" t="s">
        <v>477</v>
      </c>
      <c r="F7964" s="433"/>
      <c r="G7964" s="434"/>
      <c r="H7964" s="22">
        <v>0.1</v>
      </c>
      <c r="I7964" s="436"/>
      <c r="J7964" s="430">
        <f>H7964*J7963</f>
        <v>0</v>
      </c>
    </row>
    <row r="7965" spans="1:10" ht="13.5" thickBot="1">
      <c r="A7965" s="27"/>
      <c r="B7965" s="110"/>
      <c r="D7965" s="401" t="s">
        <v>71</v>
      </c>
      <c r="E7965" s="402" t="s">
        <v>72</v>
      </c>
      <c r="F7965" s="418"/>
      <c r="G7965" s="419"/>
      <c r="H7965" s="442"/>
      <c r="I7965" s="421">
        <f>IF(AND(E7965&lt;&gt;"",G7965&lt;&gt;""),IF(D7965="",IF(G7965="OH",VLOOKUP(E7965,UPAH!$C$4:$H$31,7,0),VLOOKUP(E7965,#REF!,4,0)),0),0)</f>
        <v>0</v>
      </c>
      <c r="J7965" s="396">
        <f>ROUNDDOWN(J7963+J7964,0)</f>
        <v>0</v>
      </c>
    </row>
    <row r="7966" spans="1:10" ht="13">
      <c r="A7966" s="27"/>
      <c r="B7966" s="110"/>
      <c r="D7966" s="11"/>
      <c r="E7966" s="11"/>
      <c r="H7966" s="443"/>
      <c r="I7966" s="17"/>
      <c r="J7966" s="18"/>
    </row>
    <row r="7967" spans="1:10" ht="13.5" thickBot="1">
      <c r="A7967" s="27"/>
      <c r="B7967" s="110"/>
      <c r="C7967" s="11" t="s">
        <v>1334</v>
      </c>
      <c r="D7967" s="10" t="s">
        <v>1335</v>
      </c>
      <c r="H7967" s="443"/>
    </row>
    <row r="7968" spans="1:10" ht="13.5" thickBot="1">
      <c r="A7968" s="27"/>
      <c r="B7968" s="110"/>
      <c r="D7968" s="401" t="s">
        <v>40</v>
      </c>
      <c r="E7968" s="402" t="s">
        <v>41</v>
      </c>
      <c r="F7968" s="402" t="s">
        <v>42</v>
      </c>
      <c r="G7968" s="403" t="s">
        <v>43</v>
      </c>
      <c r="H7968" s="404" t="s">
        <v>44</v>
      </c>
      <c r="I7968" s="402" t="s">
        <v>474</v>
      </c>
      <c r="J7968" s="405" t="s">
        <v>475</v>
      </c>
    </row>
    <row r="7969" spans="1:10" ht="13">
      <c r="A7969" s="27"/>
      <c r="B7969" s="110"/>
      <c r="D7969" s="444" t="s">
        <v>45</v>
      </c>
      <c r="E7969" s="445" t="s">
        <v>46</v>
      </c>
      <c r="F7969" s="446"/>
      <c r="G7969" s="447"/>
      <c r="H7969" s="448"/>
      <c r="I7969" s="449"/>
      <c r="J7969" s="450"/>
    </row>
    <row r="7970" spans="1:10" ht="13">
      <c r="A7970" s="27"/>
      <c r="B7970" s="110"/>
      <c r="D7970" s="409"/>
      <c r="E7970" s="13" t="s">
        <v>47</v>
      </c>
      <c r="F7970" s="13" t="s">
        <v>1918</v>
      </c>
      <c r="G7970" s="543" t="s">
        <v>48</v>
      </c>
      <c r="H7970" s="548">
        <v>3.2</v>
      </c>
      <c r="I7970" s="412">
        <f>IF(AND(E7970&lt;&gt;"",G7970&lt;&gt;""),IF(D7970="",IF(G7970="OH",VLOOKUP(F7970,UPAH!$B$4:$H$101,7,0),VLOOKUP(F7970,#REF!,4,0)),0),0)</f>
        <v>0</v>
      </c>
      <c r="J7970" s="16">
        <f>H7970*I7970</f>
        <v>0</v>
      </c>
    </row>
    <row r="7971" spans="1:10" ht="13">
      <c r="A7971" s="27"/>
      <c r="B7971" s="110"/>
      <c r="D7971" s="409"/>
      <c r="E7971" s="13" t="s">
        <v>81</v>
      </c>
      <c r="F7971" s="13" t="s">
        <v>1921</v>
      </c>
      <c r="G7971" s="543" t="s">
        <v>48</v>
      </c>
      <c r="H7971" s="548">
        <v>1.1499999999999999</v>
      </c>
      <c r="I7971" s="412">
        <f>IF(AND(E7971&lt;&gt;"",G7971&lt;&gt;""),IF(D7971="",IF(G7971="OH",VLOOKUP(F7971,UPAH!$B$4:$H$101,7,0),VLOOKUP(F7971,#REF!,4,0)),0),0)</f>
        <v>0</v>
      </c>
      <c r="J7971" s="16">
        <f>H7971*I7971</f>
        <v>0</v>
      </c>
    </row>
    <row r="7972" spans="1:10" ht="13">
      <c r="A7972" s="27"/>
      <c r="B7972" s="110"/>
      <c r="D7972" s="409"/>
      <c r="E7972" s="13" t="s">
        <v>50</v>
      </c>
      <c r="F7972" s="13" t="s">
        <v>1928</v>
      </c>
      <c r="G7972" s="543" t="s">
        <v>48</v>
      </c>
      <c r="H7972" s="548">
        <v>1.0999999999999999E-2</v>
      </c>
      <c r="I7972" s="412">
        <f>IF(AND(E7972&lt;&gt;"",G7972&lt;&gt;""),IF(D7972="",IF(G7972="OH",VLOOKUP(F7972,UPAH!$B$4:$H$101,7,0),VLOOKUP(F7972,#REF!,4,0)),0),0)</f>
        <v>0</v>
      </c>
      <c r="J7972" s="16">
        <f>H7972*I7972</f>
        <v>0</v>
      </c>
    </row>
    <row r="7973" spans="1:10" ht="13.5" thickBot="1">
      <c r="A7973" s="27"/>
      <c r="B7973" s="110"/>
      <c r="D7973" s="409"/>
      <c r="E7973" s="13" t="s">
        <v>51</v>
      </c>
      <c r="F7973" s="13" t="s">
        <v>1929</v>
      </c>
      <c r="G7973" s="543" t="s">
        <v>48</v>
      </c>
      <c r="H7973" s="548">
        <v>1.6E-2</v>
      </c>
      <c r="I7973" s="412">
        <f>IF(AND(E7973&lt;&gt;"",G7973&lt;&gt;""),IF(D7973="",IF(G7973="OH",VLOOKUP(F7973,UPAH!$B$4:$H$101,7,0),VLOOKUP(F7973,#REF!,4,0)),0),0)</f>
        <v>0</v>
      </c>
      <c r="J7973" s="16">
        <f>H7973*I7973</f>
        <v>0</v>
      </c>
    </row>
    <row r="7974" spans="1:10" ht="13.5" thickBot="1">
      <c r="A7974" s="27"/>
      <c r="B7974" s="110"/>
      <c r="D7974" s="417"/>
      <c r="E7974" s="418"/>
      <c r="F7974" s="418"/>
      <c r="G7974" s="419"/>
      <c r="H7974" s="420" t="s">
        <v>52</v>
      </c>
      <c r="I7974" s="421"/>
      <c r="J7974" s="396">
        <f>SUM(J7970:J7973)</f>
        <v>0</v>
      </c>
    </row>
    <row r="7975" spans="1:10" ht="13">
      <c r="A7975" s="27"/>
      <c r="B7975" s="110"/>
      <c r="D7975" s="406" t="s">
        <v>53</v>
      </c>
      <c r="E7975" s="13" t="s">
        <v>54</v>
      </c>
      <c r="F7975" s="14"/>
      <c r="G7975" s="15"/>
      <c r="H7975" s="451"/>
      <c r="I7975" s="412"/>
      <c r="J7975" s="16"/>
    </row>
    <row r="7976" spans="1:10" ht="13">
      <c r="A7976" s="27"/>
      <c r="B7976" s="110"/>
      <c r="D7976" s="409"/>
      <c r="E7976" s="13" t="s">
        <v>86</v>
      </c>
      <c r="F7976" s="14"/>
      <c r="G7976" s="543" t="s">
        <v>259</v>
      </c>
      <c r="H7976" s="548">
        <v>70</v>
      </c>
      <c r="I7976" s="412">
        <f>'BAHAN '!G15</f>
        <v>0</v>
      </c>
      <c r="J7976" s="16">
        <f t="shared" ref="J7976:J7981" si="41">H7976*I7976</f>
        <v>0</v>
      </c>
    </row>
    <row r="7977" spans="1:10" ht="13">
      <c r="A7977" s="27"/>
      <c r="B7977" s="110"/>
      <c r="D7977" s="409"/>
      <c r="E7977" s="13" t="s">
        <v>56</v>
      </c>
      <c r="F7977" s="14"/>
      <c r="G7977" s="543" t="s">
        <v>57</v>
      </c>
      <c r="H7977" s="548">
        <v>77</v>
      </c>
      <c r="I7977" s="412">
        <f>'BAHAN '!G72</f>
        <v>0</v>
      </c>
      <c r="J7977" s="16">
        <f t="shared" si="41"/>
        <v>0</v>
      </c>
    </row>
    <row r="7978" spans="1:10" ht="13">
      <c r="A7978" s="27"/>
      <c r="B7978" s="110"/>
      <c r="D7978" s="409"/>
      <c r="E7978" s="13" t="s">
        <v>85</v>
      </c>
      <c r="F7978" s="14"/>
      <c r="G7978" s="543" t="s">
        <v>170</v>
      </c>
      <c r="H7978" s="548">
        <v>0.13</v>
      </c>
      <c r="I7978" s="412">
        <f>'BAHAN '!G59</f>
        <v>0</v>
      </c>
      <c r="J7978" s="16">
        <f t="shared" si="41"/>
        <v>0</v>
      </c>
    </row>
    <row r="7979" spans="1:10" ht="13">
      <c r="A7979" s="27"/>
      <c r="B7979" s="110"/>
      <c r="D7979" s="409"/>
      <c r="E7979" s="13" t="s">
        <v>58</v>
      </c>
      <c r="F7979" s="14"/>
      <c r="G7979" s="543" t="s">
        <v>170</v>
      </c>
      <c r="H7979" s="548">
        <v>0.09</v>
      </c>
      <c r="I7979" s="412">
        <f>'BAHAN '!G59</f>
        <v>0</v>
      </c>
      <c r="J7979" s="16">
        <f t="shared" si="41"/>
        <v>0</v>
      </c>
    </row>
    <row r="7980" spans="1:10" ht="13">
      <c r="A7980" s="27"/>
      <c r="B7980" s="110"/>
      <c r="D7980" s="409"/>
      <c r="E7980" s="13" t="s">
        <v>106</v>
      </c>
      <c r="F7980" s="14"/>
      <c r="G7980" s="543" t="s">
        <v>170</v>
      </c>
      <c r="H7980" s="548">
        <v>0.02</v>
      </c>
      <c r="I7980" s="412">
        <f>'BAHAN '!G49</f>
        <v>0</v>
      </c>
      <c r="J7980" s="16">
        <f t="shared" si="41"/>
        <v>0</v>
      </c>
    </row>
    <row r="7981" spans="1:10" ht="13.5" thickBot="1">
      <c r="A7981" s="27"/>
      <c r="B7981" s="110"/>
      <c r="D7981" s="409"/>
      <c r="E7981" s="13" t="s">
        <v>261</v>
      </c>
      <c r="F7981" s="14"/>
      <c r="G7981" s="543" t="s">
        <v>57</v>
      </c>
      <c r="H7981" s="548">
        <v>2.6</v>
      </c>
      <c r="I7981" s="412">
        <f>'BAHAN '!G142</f>
        <v>0</v>
      </c>
      <c r="J7981" s="16">
        <f t="shared" si="41"/>
        <v>0</v>
      </c>
    </row>
    <row r="7982" spans="1:10" ht="13.5" thickBot="1">
      <c r="A7982" s="27"/>
      <c r="B7982" s="110"/>
      <c r="D7982" s="417"/>
      <c r="E7982" s="418"/>
      <c r="F7982" s="418"/>
      <c r="G7982" s="419"/>
      <c r="H7982" s="420" t="s">
        <v>64</v>
      </c>
      <c r="I7982" s="421"/>
      <c r="J7982" s="396">
        <f>SUM(J7976:J7981)</f>
        <v>0</v>
      </c>
    </row>
    <row r="7983" spans="1:10" ht="13.5" thickBot="1">
      <c r="A7983" s="27"/>
      <c r="B7983" s="110"/>
      <c r="D7983" s="406" t="s">
        <v>65</v>
      </c>
      <c r="E7983" s="13" t="s">
        <v>66</v>
      </c>
      <c r="F7983" s="14"/>
      <c r="G7983" s="15"/>
      <c r="H7983" s="451"/>
      <c r="I7983" s="412">
        <f>IF(AND(E7983&lt;&gt;"",G7983&lt;&gt;""),IF(D7983="",IF(G7983="OH",VLOOKUP(E7983,UPAH!$C$4:$H$31,7,0),VLOOKUP(E7983,#REF!,4,0)),0),0)</f>
        <v>0</v>
      </c>
      <c r="J7983" s="16">
        <f>H7983*I7983</f>
        <v>0</v>
      </c>
    </row>
    <row r="7984" spans="1:10" ht="13.5" thickBot="1">
      <c r="A7984" s="27"/>
      <c r="B7984" s="110"/>
      <c r="D7984" s="417"/>
      <c r="E7984" s="418"/>
      <c r="F7984" s="418"/>
      <c r="G7984" s="419"/>
      <c r="H7984" s="420" t="s">
        <v>67</v>
      </c>
      <c r="I7984" s="421"/>
      <c r="J7984" s="396">
        <f>J7983</f>
        <v>0</v>
      </c>
    </row>
    <row r="7985" spans="1:10" ht="13">
      <c r="A7985" s="27"/>
      <c r="B7985" s="110"/>
      <c r="D7985" s="444" t="s">
        <v>68</v>
      </c>
      <c r="E7985" s="445" t="s">
        <v>69</v>
      </c>
      <c r="F7985" s="446"/>
      <c r="G7985" s="447"/>
      <c r="H7985" s="448"/>
      <c r="I7985" s="449">
        <f>IF(AND(E7985&lt;&gt;"",G7985&lt;&gt;""),IF(D7985="",IF(G7985="OH",VLOOKUP(E7985,UPAH!$C$4:$H$31,7,0),VLOOKUP(E7985,#REF!,4,0)),0),0)</f>
        <v>0</v>
      </c>
      <c r="J7985" s="16">
        <f>SUM(J7970:J7984)/2</f>
        <v>0</v>
      </c>
    </row>
    <row r="7986" spans="1:10" ht="13.5" thickBot="1">
      <c r="A7986" s="27"/>
      <c r="B7986" s="110"/>
      <c r="D7986" s="431" t="s">
        <v>70</v>
      </c>
      <c r="E7986" s="432" t="s">
        <v>477</v>
      </c>
      <c r="F7986" s="433"/>
      <c r="G7986" s="434"/>
      <c r="H7986" s="22">
        <v>0.1</v>
      </c>
      <c r="I7986" s="436"/>
      <c r="J7986" s="430">
        <f>H7986*J7985</f>
        <v>0</v>
      </c>
    </row>
    <row r="7987" spans="1:10" ht="13.5" thickBot="1">
      <c r="A7987" s="27"/>
      <c r="B7987" s="110"/>
      <c r="D7987" s="401" t="s">
        <v>71</v>
      </c>
      <c r="E7987" s="402" t="s">
        <v>72</v>
      </c>
      <c r="F7987" s="418"/>
      <c r="G7987" s="419"/>
      <c r="H7987" s="442"/>
      <c r="I7987" s="421">
        <f>IF(AND(E7987&lt;&gt;"",G7987&lt;&gt;""),IF(D7987="",IF(G7987="OH",VLOOKUP(E7987,UPAH!$C$4:$H$31,7,0),VLOOKUP(E7987,#REF!,4,0)),0),0)</f>
        <v>0</v>
      </c>
      <c r="J7987" s="396">
        <f>ROUNDDOWN(J7985+J7986,0)</f>
        <v>0</v>
      </c>
    </row>
    <row r="7988" spans="1:10" ht="13">
      <c r="A7988" s="27"/>
      <c r="B7988" s="110"/>
      <c r="D7988" s="11"/>
      <c r="E7988" s="11"/>
      <c r="H7988" s="443"/>
      <c r="I7988" s="17"/>
      <c r="J7988" s="18"/>
    </row>
    <row r="7989" spans="1:10" ht="13.5" thickBot="1">
      <c r="A7989" s="27"/>
      <c r="B7989" s="110"/>
      <c r="C7989" s="11" t="s">
        <v>1336</v>
      </c>
      <c r="D7989" s="10" t="s">
        <v>1337</v>
      </c>
      <c r="H7989" s="443"/>
    </row>
    <row r="7990" spans="1:10" ht="13.5" thickBot="1">
      <c r="A7990" s="27"/>
      <c r="B7990" s="110"/>
      <c r="D7990" s="401" t="s">
        <v>40</v>
      </c>
      <c r="E7990" s="402" t="s">
        <v>41</v>
      </c>
      <c r="F7990" s="402" t="s">
        <v>42</v>
      </c>
      <c r="G7990" s="403" t="s">
        <v>43</v>
      </c>
      <c r="H7990" s="404" t="s">
        <v>44</v>
      </c>
      <c r="I7990" s="402" t="s">
        <v>474</v>
      </c>
      <c r="J7990" s="405" t="s">
        <v>475</v>
      </c>
    </row>
    <row r="7991" spans="1:10" ht="13">
      <c r="A7991" s="27"/>
      <c r="B7991" s="110"/>
      <c r="D7991" s="444" t="s">
        <v>45</v>
      </c>
      <c r="E7991" s="445" t="s">
        <v>46</v>
      </c>
      <c r="F7991" s="446"/>
      <c r="G7991" s="447"/>
      <c r="H7991" s="448"/>
      <c r="I7991" s="449"/>
      <c r="J7991" s="450"/>
    </row>
    <row r="7992" spans="1:10" ht="13">
      <c r="A7992" s="27"/>
      <c r="B7992" s="110"/>
      <c r="D7992" s="409"/>
      <c r="E7992" s="13" t="s">
        <v>47</v>
      </c>
      <c r="F7992" s="13" t="s">
        <v>1918</v>
      </c>
      <c r="G7992" s="543" t="s">
        <v>48</v>
      </c>
      <c r="H7992" s="548">
        <v>3.2</v>
      </c>
      <c r="I7992" s="412">
        <f>IF(AND(E7992&lt;&gt;"",G7992&lt;&gt;""),IF(D7992="",IF(G7992="OH",VLOOKUP(F7992,UPAH!$B$4:$H$101,7,0),VLOOKUP(F7992,#REF!,4,0)),0),0)</f>
        <v>0</v>
      </c>
      <c r="J7992" s="16">
        <f>H7992*I7992</f>
        <v>0</v>
      </c>
    </row>
    <row r="7993" spans="1:10" ht="13">
      <c r="A7993" s="27"/>
      <c r="B7993" s="110"/>
      <c r="D7993" s="409"/>
      <c r="E7993" s="13" t="s">
        <v>81</v>
      </c>
      <c r="F7993" s="13" t="s">
        <v>1921</v>
      </c>
      <c r="G7993" s="543" t="s">
        <v>48</v>
      </c>
      <c r="H7993" s="548">
        <v>1.1499999999999999</v>
      </c>
      <c r="I7993" s="412">
        <f>IF(AND(E7993&lt;&gt;"",G7993&lt;&gt;""),IF(D7993="",IF(G7993="OH",VLOOKUP(F7993,UPAH!$B$4:$H$101,7,0),VLOOKUP(F7993,#REF!,4,0)),0),0)</f>
        <v>0</v>
      </c>
      <c r="J7993" s="16">
        <f>H7993*I7993</f>
        <v>0</v>
      </c>
    </row>
    <row r="7994" spans="1:10" ht="13">
      <c r="A7994" s="27"/>
      <c r="B7994" s="110"/>
      <c r="D7994" s="409"/>
      <c r="E7994" s="13" t="s">
        <v>50</v>
      </c>
      <c r="F7994" s="13" t="s">
        <v>1928</v>
      </c>
      <c r="G7994" s="543" t="s">
        <v>48</v>
      </c>
      <c r="H7994" s="548">
        <v>1.0999999999999999E-2</v>
      </c>
      <c r="I7994" s="412">
        <f>IF(AND(E7994&lt;&gt;"",G7994&lt;&gt;""),IF(D7994="",IF(G7994="OH",VLOOKUP(F7994,UPAH!$B$4:$H$101,7,0),VLOOKUP(F7994,#REF!,4,0)),0),0)</f>
        <v>0</v>
      </c>
      <c r="J7994" s="16">
        <f>H7994*I7994</f>
        <v>0</v>
      </c>
    </row>
    <row r="7995" spans="1:10" ht="13.5" thickBot="1">
      <c r="A7995" s="27"/>
      <c r="B7995" s="110"/>
      <c r="D7995" s="409"/>
      <c r="E7995" s="13" t="s">
        <v>51</v>
      </c>
      <c r="F7995" s="13" t="s">
        <v>1929</v>
      </c>
      <c r="G7995" s="543" t="s">
        <v>48</v>
      </c>
      <c r="H7995" s="548">
        <v>1.6E-2</v>
      </c>
      <c r="I7995" s="412">
        <f>IF(AND(E7995&lt;&gt;"",G7995&lt;&gt;""),IF(D7995="",IF(G7995="OH",VLOOKUP(F7995,UPAH!$B$4:$H$101,7,0),VLOOKUP(F7995,#REF!,4,0)),0),0)</f>
        <v>0</v>
      </c>
      <c r="J7995" s="16">
        <f>H7995*I7995</f>
        <v>0</v>
      </c>
    </row>
    <row r="7996" spans="1:10" ht="13.5" thickBot="1">
      <c r="A7996" s="27"/>
      <c r="B7996" s="110"/>
      <c r="D7996" s="417"/>
      <c r="E7996" s="418"/>
      <c r="F7996" s="418"/>
      <c r="G7996" s="419"/>
      <c r="H7996" s="420" t="s">
        <v>52</v>
      </c>
      <c r="I7996" s="421"/>
      <c r="J7996" s="396">
        <f>SUM(J7992:J7995)</f>
        <v>0</v>
      </c>
    </row>
    <row r="7997" spans="1:10" ht="13">
      <c r="A7997" s="27"/>
      <c r="B7997" s="110"/>
      <c r="D7997" s="406" t="s">
        <v>53</v>
      </c>
      <c r="E7997" s="13" t="s">
        <v>54</v>
      </c>
      <c r="F7997" s="14"/>
      <c r="G7997" s="15"/>
      <c r="H7997" s="451"/>
      <c r="I7997" s="412"/>
      <c r="J7997" s="16"/>
    </row>
    <row r="7998" spans="1:10" ht="13">
      <c r="A7998" s="27"/>
      <c r="B7998" s="110"/>
      <c r="D7998" s="409"/>
      <c r="E7998" s="13" t="s">
        <v>86</v>
      </c>
      <c r="F7998" s="14"/>
      <c r="G7998" s="543" t="s">
        <v>259</v>
      </c>
      <c r="H7998" s="548">
        <v>123</v>
      </c>
      <c r="I7998" s="412">
        <f>'BAHAN '!G15</f>
        <v>0</v>
      </c>
      <c r="J7998" s="16">
        <f t="shared" ref="J7998:J8003" si="42">H7998*I7998</f>
        <v>0</v>
      </c>
    </row>
    <row r="7999" spans="1:10" ht="13">
      <c r="A7999" s="27"/>
      <c r="B7999" s="110"/>
      <c r="D7999" s="409"/>
      <c r="E7999" s="13" t="s">
        <v>56</v>
      </c>
      <c r="F7999" s="14"/>
      <c r="G7999" s="543" t="s">
        <v>57</v>
      </c>
      <c r="H7999" s="548">
        <v>114</v>
      </c>
      <c r="I7999" s="412">
        <f>'BAHAN '!G72</f>
        <v>0</v>
      </c>
      <c r="J7999" s="16">
        <f t="shared" si="42"/>
        <v>0</v>
      </c>
    </row>
    <row r="8000" spans="1:10" ht="13">
      <c r="A8000" s="27"/>
      <c r="B8000" s="110"/>
      <c r="D8000" s="409"/>
      <c r="E8000" s="13" t="s">
        <v>85</v>
      </c>
      <c r="F8000" s="14"/>
      <c r="G8000" s="543" t="s">
        <v>170</v>
      </c>
      <c r="H8000" s="548">
        <v>0.184</v>
      </c>
      <c r="I8000" s="412">
        <f>'BAHAN '!G59</f>
        <v>0</v>
      </c>
      <c r="J8000" s="16">
        <f t="shared" si="42"/>
        <v>0</v>
      </c>
    </row>
    <row r="8001" spans="1:10" ht="13">
      <c r="A8001" s="27"/>
      <c r="B8001" s="110"/>
      <c r="D8001" s="409"/>
      <c r="E8001" s="13" t="s">
        <v>58</v>
      </c>
      <c r="F8001" s="14"/>
      <c r="G8001" s="543" t="s">
        <v>170</v>
      </c>
      <c r="H8001" s="548">
        <v>0.12</v>
      </c>
      <c r="I8001" s="412">
        <f>'BAHAN '!G59</f>
        <v>0</v>
      </c>
      <c r="J8001" s="16">
        <f t="shared" si="42"/>
        <v>0</v>
      </c>
    </row>
    <row r="8002" spans="1:10" ht="13">
      <c r="A8002" s="27"/>
      <c r="B8002" s="110"/>
      <c r="D8002" s="409"/>
      <c r="E8002" s="13" t="s">
        <v>106</v>
      </c>
      <c r="F8002" s="14"/>
      <c r="G8002" s="543" t="s">
        <v>170</v>
      </c>
      <c r="H8002" s="548">
        <v>3.3000000000000002E-2</v>
      </c>
      <c r="I8002" s="412">
        <f>'BAHAN '!G49</f>
        <v>0</v>
      </c>
      <c r="J8002" s="16">
        <f t="shared" si="42"/>
        <v>0</v>
      </c>
    </row>
    <row r="8003" spans="1:10" ht="13.5" thickBot="1">
      <c r="A8003" s="27"/>
      <c r="B8003" s="110"/>
      <c r="D8003" s="409"/>
      <c r="E8003" s="13" t="s">
        <v>261</v>
      </c>
      <c r="F8003" s="14"/>
      <c r="G8003" s="543" t="s">
        <v>57</v>
      </c>
      <c r="H8003" s="548">
        <v>4.8499999999999996</v>
      </c>
      <c r="I8003" s="412">
        <f>'BAHAN '!G142</f>
        <v>0</v>
      </c>
      <c r="J8003" s="16">
        <f t="shared" si="42"/>
        <v>0</v>
      </c>
    </row>
    <row r="8004" spans="1:10" ht="13.5" thickBot="1">
      <c r="A8004" s="27"/>
      <c r="B8004" s="110"/>
      <c r="D8004" s="417"/>
      <c r="E8004" s="418"/>
      <c r="F8004" s="418"/>
      <c r="G8004" s="419"/>
      <c r="H8004" s="420" t="s">
        <v>64</v>
      </c>
      <c r="I8004" s="421"/>
      <c r="J8004" s="396">
        <f>SUM(J7998:J8003)</f>
        <v>0</v>
      </c>
    </row>
    <row r="8005" spans="1:10" ht="13.5" thickBot="1">
      <c r="A8005" s="27"/>
      <c r="B8005" s="110"/>
      <c r="D8005" s="406" t="s">
        <v>65</v>
      </c>
      <c r="E8005" s="13" t="s">
        <v>66</v>
      </c>
      <c r="F8005" s="14"/>
      <c r="G8005" s="15"/>
      <c r="H8005" s="451"/>
      <c r="I8005" s="412">
        <f>IF(AND(E8005&lt;&gt;"",G8005&lt;&gt;""),IF(D8005="",IF(G8005="OH",VLOOKUP(E8005,UPAH!$C$4:$H$31,7,0),VLOOKUP(E8005,#REF!,4,0)),0),0)</f>
        <v>0</v>
      </c>
      <c r="J8005" s="16">
        <f>H8005*I8005</f>
        <v>0</v>
      </c>
    </row>
    <row r="8006" spans="1:10" ht="13.5" thickBot="1">
      <c r="A8006" s="27"/>
      <c r="B8006" s="110"/>
      <c r="D8006" s="417"/>
      <c r="E8006" s="418"/>
      <c r="F8006" s="418"/>
      <c r="G8006" s="419"/>
      <c r="H8006" s="420" t="s">
        <v>67</v>
      </c>
      <c r="I8006" s="421"/>
      <c r="J8006" s="396">
        <f>J8005</f>
        <v>0</v>
      </c>
    </row>
    <row r="8007" spans="1:10" ht="13">
      <c r="A8007" s="27"/>
      <c r="B8007" s="110"/>
      <c r="D8007" s="444" t="s">
        <v>68</v>
      </c>
      <c r="E8007" s="445" t="s">
        <v>69</v>
      </c>
      <c r="F8007" s="446"/>
      <c r="G8007" s="447"/>
      <c r="H8007" s="448"/>
      <c r="I8007" s="449">
        <f>IF(AND(E8007&lt;&gt;"",G8007&lt;&gt;""),IF(D8007="",IF(G8007="OH",VLOOKUP(E8007,UPAH!$C$4:$H$31,7,0),VLOOKUP(E8007,#REF!,4,0)),0),0)</f>
        <v>0</v>
      </c>
      <c r="J8007" s="16">
        <f>SUM(J7992:J8006)/2</f>
        <v>0</v>
      </c>
    </row>
    <row r="8008" spans="1:10" ht="13.5" thickBot="1">
      <c r="A8008" s="27"/>
      <c r="B8008" s="110"/>
      <c r="D8008" s="431" t="s">
        <v>70</v>
      </c>
      <c r="E8008" s="432" t="s">
        <v>477</v>
      </c>
      <c r="F8008" s="433"/>
      <c r="G8008" s="434"/>
      <c r="H8008" s="22">
        <v>0.1</v>
      </c>
      <c r="I8008" s="436"/>
      <c r="J8008" s="430">
        <f>H8008*J8007</f>
        <v>0</v>
      </c>
    </row>
    <row r="8009" spans="1:10" ht="13.5" thickBot="1">
      <c r="A8009" s="27"/>
      <c r="B8009" s="110"/>
      <c r="D8009" s="401" t="s">
        <v>71</v>
      </c>
      <c r="E8009" s="402" t="s">
        <v>72</v>
      </c>
      <c r="F8009" s="418"/>
      <c r="G8009" s="419"/>
      <c r="H8009" s="442"/>
      <c r="I8009" s="421">
        <f>IF(AND(E8009&lt;&gt;"",G8009&lt;&gt;""),IF(D8009="",IF(G8009="OH",VLOOKUP(E8009,UPAH!$C$4:$H$31,7,0),VLOOKUP(E8009,#REF!,4,0)),0),0)</f>
        <v>0</v>
      </c>
      <c r="J8009" s="396">
        <f>ROUNDDOWN(J8007+J8008,0)</f>
        <v>0</v>
      </c>
    </row>
    <row r="8010" spans="1:10" ht="13">
      <c r="A8010" s="27"/>
      <c r="B8010" s="110"/>
      <c r="D8010" s="11"/>
      <c r="E8010" s="11"/>
      <c r="H8010" s="443"/>
      <c r="I8010" s="17"/>
      <c r="J8010" s="18"/>
    </row>
    <row r="8011" spans="1:10" ht="13.5" thickBot="1">
      <c r="A8011" s="27"/>
      <c r="B8011" s="110"/>
      <c r="C8011" s="11" t="s">
        <v>1338</v>
      </c>
      <c r="D8011" s="10" t="s">
        <v>1339</v>
      </c>
      <c r="H8011" s="443"/>
    </row>
    <row r="8012" spans="1:10" ht="13.5" thickBot="1">
      <c r="A8012" s="27"/>
      <c r="B8012" s="110"/>
      <c r="D8012" s="401" t="s">
        <v>40</v>
      </c>
      <c r="E8012" s="402" t="s">
        <v>41</v>
      </c>
      <c r="F8012" s="402" t="s">
        <v>42</v>
      </c>
      <c r="G8012" s="403" t="s">
        <v>43</v>
      </c>
      <c r="H8012" s="404" t="s">
        <v>44</v>
      </c>
      <c r="I8012" s="402" t="s">
        <v>474</v>
      </c>
      <c r="J8012" s="405" t="s">
        <v>475</v>
      </c>
    </row>
    <row r="8013" spans="1:10" ht="13">
      <c r="A8013" s="27"/>
      <c r="B8013" s="110"/>
      <c r="D8013" s="444" t="s">
        <v>45</v>
      </c>
      <c r="E8013" s="445" t="s">
        <v>46</v>
      </c>
      <c r="F8013" s="446"/>
      <c r="G8013" s="447"/>
      <c r="H8013" s="448"/>
      <c r="I8013" s="449"/>
      <c r="J8013" s="450"/>
    </row>
    <row r="8014" spans="1:10" ht="13">
      <c r="A8014" s="27"/>
      <c r="B8014" s="110"/>
      <c r="D8014" s="409"/>
      <c r="E8014" s="13" t="s">
        <v>47</v>
      </c>
      <c r="F8014" s="13" t="s">
        <v>1918</v>
      </c>
      <c r="G8014" s="543" t="s">
        <v>48</v>
      </c>
      <c r="H8014" s="548">
        <v>5.3999999999999999E-2</v>
      </c>
      <c r="I8014" s="412">
        <f>IF(AND(E8014&lt;&gt;"",G8014&lt;&gt;""),IF(D8014="",IF(G8014="OH",VLOOKUP(F8014,UPAH!$B$4:$H$101,7,0),VLOOKUP(F8014,#REF!,4,0)),0),0)</f>
        <v>0</v>
      </c>
      <c r="J8014" s="16">
        <f>H8014*I8014</f>
        <v>0</v>
      </c>
    </row>
    <row r="8015" spans="1:10" ht="13">
      <c r="A8015" s="27"/>
      <c r="B8015" s="110"/>
      <c r="D8015" s="409"/>
      <c r="E8015" s="13" t="s">
        <v>81</v>
      </c>
      <c r="F8015" s="13" t="s">
        <v>1921</v>
      </c>
      <c r="G8015" s="543" t="s">
        <v>48</v>
      </c>
      <c r="H8015" s="548">
        <v>0.09</v>
      </c>
      <c r="I8015" s="412">
        <f>IF(AND(E8015&lt;&gt;"",G8015&lt;&gt;""),IF(D8015="",IF(G8015="OH",VLOOKUP(F8015,UPAH!$B$4:$H$101,7,0),VLOOKUP(F8015,#REF!,4,0)),0),0)</f>
        <v>0</v>
      </c>
      <c r="J8015" s="16">
        <f>H8015*I8015</f>
        <v>0</v>
      </c>
    </row>
    <row r="8016" spans="1:10" ht="13">
      <c r="A8016" s="27"/>
      <c r="B8016" s="110"/>
      <c r="D8016" s="409"/>
      <c r="E8016" s="13" t="s">
        <v>50</v>
      </c>
      <c r="F8016" s="13" t="s">
        <v>1928</v>
      </c>
      <c r="G8016" s="543" t="s">
        <v>48</v>
      </c>
      <c r="H8016" s="548">
        <v>8.9999999999999993E-3</v>
      </c>
      <c r="I8016" s="412">
        <f>IF(AND(E8016&lt;&gt;"",G8016&lt;&gt;""),IF(D8016="",IF(G8016="OH",VLOOKUP(F8016,UPAH!$B$4:$H$101,7,0),VLOOKUP(F8016,#REF!,4,0)),0),0)</f>
        <v>0</v>
      </c>
      <c r="J8016" s="16">
        <f>H8016*I8016</f>
        <v>0</v>
      </c>
    </row>
    <row r="8017" spans="1:10" ht="13.5" thickBot="1">
      <c r="A8017" s="27"/>
      <c r="B8017" s="110"/>
      <c r="D8017" s="409"/>
      <c r="E8017" s="13" t="s">
        <v>51</v>
      </c>
      <c r="F8017" s="13" t="s">
        <v>1929</v>
      </c>
      <c r="G8017" s="543" t="s">
        <v>48</v>
      </c>
      <c r="H8017" s="548">
        <v>2.7E-2</v>
      </c>
      <c r="I8017" s="412">
        <f>IF(AND(E8017&lt;&gt;"",G8017&lt;&gt;""),IF(D8017="",IF(G8017="OH",VLOOKUP(F8017,UPAH!$B$4:$H$101,7,0),VLOOKUP(F8017,#REF!,4,0)),0),0)</f>
        <v>0</v>
      </c>
      <c r="J8017" s="16">
        <f>H8017*I8017</f>
        <v>0</v>
      </c>
    </row>
    <row r="8018" spans="1:10" ht="13.5" thickBot="1">
      <c r="A8018" s="27"/>
      <c r="B8018" s="110"/>
      <c r="D8018" s="417"/>
      <c r="E8018" s="418"/>
      <c r="F8018" s="418"/>
      <c r="G8018" s="419"/>
      <c r="H8018" s="420" t="s">
        <v>52</v>
      </c>
      <c r="I8018" s="421"/>
      <c r="J8018" s="396">
        <f>SUM(J8014:J8017)</f>
        <v>0</v>
      </c>
    </row>
    <row r="8019" spans="1:10" ht="13">
      <c r="A8019" s="27"/>
      <c r="B8019" s="110"/>
      <c r="D8019" s="406" t="s">
        <v>53</v>
      </c>
      <c r="E8019" s="13" t="s">
        <v>54</v>
      </c>
      <c r="F8019" s="14"/>
      <c r="G8019" s="15"/>
      <c r="H8019" s="451"/>
      <c r="I8019" s="412"/>
      <c r="J8019" s="16"/>
    </row>
    <row r="8020" spans="1:10" ht="13">
      <c r="A8020" s="27"/>
      <c r="B8020" s="110"/>
      <c r="D8020" s="409"/>
      <c r="E8020" s="13" t="s">
        <v>267</v>
      </c>
      <c r="F8020" s="14"/>
      <c r="G8020" s="543" t="s">
        <v>268</v>
      </c>
      <c r="H8020" s="548">
        <v>1.2</v>
      </c>
      <c r="I8020" s="412">
        <f>'BAHAN '!G330</f>
        <v>0</v>
      </c>
      <c r="J8020" s="16">
        <f>H8020*I8020</f>
        <v>0</v>
      </c>
    </row>
    <row r="8021" spans="1:10" ht="13.5" thickBot="1">
      <c r="A8021" s="27"/>
      <c r="B8021" s="110"/>
      <c r="D8021" s="409"/>
      <c r="E8021" s="13" t="s">
        <v>253</v>
      </c>
      <c r="F8021" s="14"/>
      <c r="G8021" s="543" t="s">
        <v>160</v>
      </c>
      <c r="H8021" s="548">
        <v>35</v>
      </c>
      <c r="I8021" s="412">
        <f>J8020/100</f>
        <v>0</v>
      </c>
      <c r="J8021" s="16">
        <f>H8021*I8021</f>
        <v>0</v>
      </c>
    </row>
    <row r="8022" spans="1:10" ht="13.5" thickBot="1">
      <c r="A8022" s="27"/>
      <c r="B8022" s="110"/>
      <c r="D8022" s="417"/>
      <c r="E8022" s="418"/>
      <c r="F8022" s="418"/>
      <c r="G8022" s="419"/>
      <c r="H8022" s="420" t="s">
        <v>64</v>
      </c>
      <c r="I8022" s="421"/>
      <c r="J8022" s="396">
        <f>SUM(J8020:J8021)</f>
        <v>0</v>
      </c>
    </row>
    <row r="8023" spans="1:10" ht="13.5" thickBot="1">
      <c r="A8023" s="27"/>
      <c r="B8023" s="110"/>
      <c r="D8023" s="406" t="s">
        <v>65</v>
      </c>
      <c r="E8023" s="13" t="s">
        <v>66</v>
      </c>
      <c r="F8023" s="14"/>
      <c r="G8023" s="15"/>
      <c r="H8023" s="451"/>
      <c r="I8023" s="412">
        <f>IF(AND(E8023&lt;&gt;"",G8023&lt;&gt;""),IF(D8023="",IF(G8023="OH",VLOOKUP(E8023,UPAH!$C$4:$H$31,7,0),VLOOKUP(E8023,#REF!,4,0)),0),0)</f>
        <v>0</v>
      </c>
      <c r="J8023" s="16">
        <f>H8023*I8023</f>
        <v>0</v>
      </c>
    </row>
    <row r="8024" spans="1:10" ht="13.5" thickBot="1">
      <c r="A8024" s="27"/>
      <c r="B8024" s="110"/>
      <c r="D8024" s="417"/>
      <c r="E8024" s="418"/>
      <c r="F8024" s="418"/>
      <c r="G8024" s="419"/>
      <c r="H8024" s="420" t="s">
        <v>67</v>
      </c>
      <c r="I8024" s="421"/>
      <c r="J8024" s="396">
        <f>J8023</f>
        <v>0</v>
      </c>
    </row>
    <row r="8025" spans="1:10" ht="13">
      <c r="A8025" s="27"/>
      <c r="B8025" s="110"/>
      <c r="D8025" s="444" t="s">
        <v>68</v>
      </c>
      <c r="E8025" s="445" t="s">
        <v>69</v>
      </c>
      <c r="F8025" s="446"/>
      <c r="G8025" s="447"/>
      <c r="H8025" s="448"/>
      <c r="I8025" s="449">
        <f>IF(AND(E8025&lt;&gt;"",G8025&lt;&gt;""),IF(D8025="",IF(G8025="OH",VLOOKUP(E8025,UPAH!$C$4:$H$31,7,0),VLOOKUP(E8025,#REF!,4,0)),0),0)</f>
        <v>0</v>
      </c>
      <c r="J8025" s="16">
        <f>SUM(J8014:J8024)/2</f>
        <v>0</v>
      </c>
    </row>
    <row r="8026" spans="1:10" ht="13.5" thickBot="1">
      <c r="A8026" s="27"/>
      <c r="B8026" s="110"/>
      <c r="D8026" s="431" t="s">
        <v>70</v>
      </c>
      <c r="E8026" s="432" t="s">
        <v>477</v>
      </c>
      <c r="F8026" s="433"/>
      <c r="G8026" s="434"/>
      <c r="H8026" s="22">
        <v>0.1</v>
      </c>
      <c r="I8026" s="436"/>
      <c r="J8026" s="430">
        <f>H8026*J8025</f>
        <v>0</v>
      </c>
    </row>
    <row r="8027" spans="1:10" ht="13.5" thickBot="1">
      <c r="A8027" s="27"/>
      <c r="B8027" s="110"/>
      <c r="D8027" s="401" t="s">
        <v>71</v>
      </c>
      <c r="E8027" s="402" t="s">
        <v>72</v>
      </c>
      <c r="F8027" s="418"/>
      <c r="G8027" s="419"/>
      <c r="H8027" s="442"/>
      <c r="I8027" s="421">
        <f>IF(AND(E8027&lt;&gt;"",G8027&lt;&gt;""),IF(D8027="",IF(G8027="OH",VLOOKUP(E8027,UPAH!$C$4:$H$31,7,0),VLOOKUP(E8027,#REF!,4,0)),0),0)</f>
        <v>0</v>
      </c>
      <c r="J8027" s="396">
        <f>ROUNDDOWN(J8025+J8026,0)</f>
        <v>0</v>
      </c>
    </row>
    <row r="8028" spans="1:10" ht="13">
      <c r="A8028" s="27"/>
      <c r="B8028" s="110"/>
      <c r="D8028" s="11"/>
      <c r="E8028" s="11"/>
      <c r="H8028" s="443"/>
      <c r="I8028" s="17"/>
      <c r="J8028" s="18"/>
    </row>
    <row r="8029" spans="1:10" ht="13.5" thickBot="1">
      <c r="A8029" s="27"/>
      <c r="B8029" s="110"/>
      <c r="C8029" s="11" t="s">
        <v>1340</v>
      </c>
      <c r="D8029" s="10" t="s">
        <v>1341</v>
      </c>
      <c r="H8029" s="443"/>
    </row>
    <row r="8030" spans="1:10" ht="13.5" thickBot="1">
      <c r="A8030" s="27"/>
      <c r="B8030" s="110"/>
      <c r="D8030" s="401" t="s">
        <v>40</v>
      </c>
      <c r="E8030" s="402" t="s">
        <v>41</v>
      </c>
      <c r="F8030" s="402" t="s">
        <v>42</v>
      </c>
      <c r="G8030" s="403" t="s">
        <v>43</v>
      </c>
      <c r="H8030" s="404" t="s">
        <v>44</v>
      </c>
      <c r="I8030" s="402" t="s">
        <v>474</v>
      </c>
      <c r="J8030" s="405" t="s">
        <v>475</v>
      </c>
    </row>
    <row r="8031" spans="1:10" ht="13">
      <c r="A8031" s="27"/>
      <c r="B8031" s="110"/>
      <c r="D8031" s="444" t="s">
        <v>45</v>
      </c>
      <c r="E8031" s="445" t="s">
        <v>46</v>
      </c>
      <c r="F8031" s="446"/>
      <c r="G8031" s="447"/>
      <c r="H8031" s="448"/>
      <c r="I8031" s="449"/>
      <c r="J8031" s="450"/>
    </row>
    <row r="8032" spans="1:10" ht="13">
      <c r="A8032" s="27"/>
      <c r="B8032" s="110"/>
      <c r="D8032" s="409"/>
      <c r="E8032" s="13" t="s">
        <v>47</v>
      </c>
      <c r="F8032" s="13" t="s">
        <v>1918</v>
      </c>
      <c r="G8032" s="543" t="s">
        <v>48</v>
      </c>
      <c r="H8032" s="548">
        <v>0.01</v>
      </c>
      <c r="I8032" s="412">
        <f>IF(AND(E8032&lt;&gt;"",G8032&lt;&gt;""),IF(D8032="",IF(G8032="OH",VLOOKUP(F8032,UPAH!$B$4:$H$101,7,0),VLOOKUP(F8032,#REF!,4,0)),0),0)</f>
        <v>0</v>
      </c>
      <c r="J8032" s="16">
        <f>H8032*I8032</f>
        <v>0</v>
      </c>
    </row>
    <row r="8033" spans="1:10" ht="13">
      <c r="A8033" s="27"/>
      <c r="B8033" s="110"/>
      <c r="D8033" s="409"/>
      <c r="E8033" s="13" t="s">
        <v>81</v>
      </c>
      <c r="F8033" s="13" t="s">
        <v>1921</v>
      </c>
      <c r="G8033" s="543" t="s">
        <v>48</v>
      </c>
      <c r="H8033" s="548">
        <v>0.4</v>
      </c>
      <c r="I8033" s="412">
        <f>IF(AND(E8033&lt;&gt;"",G8033&lt;&gt;""),IF(D8033="",IF(G8033="OH",VLOOKUP(F8033,UPAH!$B$4:$H$101,7,0),VLOOKUP(F8033,#REF!,4,0)),0),0)</f>
        <v>0</v>
      </c>
      <c r="J8033" s="16">
        <f>H8033*I8033</f>
        <v>0</v>
      </c>
    </row>
    <row r="8034" spans="1:10" ht="13">
      <c r="A8034" s="27"/>
      <c r="B8034" s="110"/>
      <c r="D8034" s="409"/>
      <c r="E8034" s="13" t="s">
        <v>50</v>
      </c>
      <c r="F8034" s="13" t="s">
        <v>1928</v>
      </c>
      <c r="G8034" s="543" t="s">
        <v>48</v>
      </c>
      <c r="H8034" s="548">
        <v>0.04</v>
      </c>
      <c r="I8034" s="412">
        <f>IF(AND(E8034&lt;&gt;"",G8034&lt;&gt;""),IF(D8034="",IF(G8034="OH",VLOOKUP(F8034,UPAH!$B$4:$H$101,7,0),VLOOKUP(F8034,#REF!,4,0)),0),0)</f>
        <v>0</v>
      </c>
      <c r="J8034" s="16">
        <f>H8034*I8034</f>
        <v>0</v>
      </c>
    </row>
    <row r="8035" spans="1:10" ht="13.5" thickBot="1">
      <c r="A8035" s="27"/>
      <c r="B8035" s="110"/>
      <c r="D8035" s="409"/>
      <c r="E8035" s="13" t="s">
        <v>51</v>
      </c>
      <c r="F8035" s="13" t="s">
        <v>1929</v>
      </c>
      <c r="G8035" s="543" t="s">
        <v>48</v>
      </c>
      <c r="H8035" s="548">
        <v>5.0000000000000001E-3</v>
      </c>
      <c r="I8035" s="412">
        <f>IF(AND(E8035&lt;&gt;"",G8035&lt;&gt;""),IF(D8035="",IF(G8035="OH",VLOOKUP(F8035,UPAH!$B$4:$H$101,7,0),VLOOKUP(F8035,#REF!,4,0)),0),0)</f>
        <v>0</v>
      </c>
      <c r="J8035" s="16">
        <f>H8035*I8035</f>
        <v>0</v>
      </c>
    </row>
    <row r="8036" spans="1:10" ht="13.5" thickBot="1">
      <c r="A8036" s="27"/>
      <c r="B8036" s="110"/>
      <c r="D8036" s="417"/>
      <c r="E8036" s="418"/>
      <c r="F8036" s="418"/>
      <c r="G8036" s="419"/>
      <c r="H8036" s="420" t="s">
        <v>52</v>
      </c>
      <c r="I8036" s="421"/>
      <c r="J8036" s="396">
        <f>SUM(J8032:J8035)</f>
        <v>0</v>
      </c>
    </row>
    <row r="8037" spans="1:10" ht="13">
      <c r="A8037" s="27"/>
      <c r="B8037" s="110"/>
      <c r="D8037" s="406" t="s">
        <v>53</v>
      </c>
      <c r="E8037" s="13" t="s">
        <v>54</v>
      </c>
      <c r="F8037" s="14"/>
      <c r="G8037" s="15"/>
      <c r="H8037" s="451"/>
      <c r="I8037" s="412"/>
      <c r="J8037" s="16"/>
    </row>
    <row r="8038" spans="1:10" ht="13">
      <c r="A8038" s="27"/>
      <c r="B8038" s="110"/>
      <c r="D8038" s="409"/>
      <c r="E8038" s="13" t="s">
        <v>269</v>
      </c>
      <c r="F8038" s="14"/>
      <c r="G8038" s="543" t="s">
        <v>268</v>
      </c>
      <c r="H8038" s="548">
        <v>1</v>
      </c>
      <c r="I8038" s="412">
        <v>0</v>
      </c>
      <c r="J8038" s="16">
        <f>H8038*I8038</f>
        <v>0</v>
      </c>
    </row>
    <row r="8039" spans="1:10" ht="13.5" thickBot="1">
      <c r="A8039" s="27"/>
      <c r="B8039" s="110"/>
      <c r="D8039" s="409"/>
      <c r="E8039" s="13" t="s">
        <v>270</v>
      </c>
      <c r="F8039" s="14"/>
      <c r="G8039" s="543" t="s">
        <v>124</v>
      </c>
      <c r="H8039" s="548">
        <v>2.5000000000000001E-2</v>
      </c>
      <c r="I8039" s="412">
        <f>'BAHAN '!G1004</f>
        <v>0</v>
      </c>
      <c r="J8039" s="16">
        <f>H8039*I8039</f>
        <v>0</v>
      </c>
    </row>
    <row r="8040" spans="1:10" ht="13.5" thickBot="1">
      <c r="A8040" s="27"/>
      <c r="B8040" s="110"/>
      <c r="D8040" s="417"/>
      <c r="E8040" s="418"/>
      <c r="F8040" s="418"/>
      <c r="G8040" s="419"/>
      <c r="H8040" s="420" t="s">
        <v>64</v>
      </c>
      <c r="I8040" s="421"/>
      <c r="J8040" s="396">
        <f>SUM(J8038:J8039)</f>
        <v>0</v>
      </c>
    </row>
    <row r="8041" spans="1:10" ht="13.5" thickBot="1">
      <c r="A8041" s="27"/>
      <c r="B8041" s="110"/>
      <c r="D8041" s="406" t="s">
        <v>65</v>
      </c>
      <c r="E8041" s="13" t="s">
        <v>66</v>
      </c>
      <c r="F8041" s="14"/>
      <c r="G8041" s="15"/>
      <c r="H8041" s="451"/>
      <c r="I8041" s="412">
        <f>IF(AND(E8041&lt;&gt;"",G8041&lt;&gt;""),IF(D8041="",IF(G8041="OH",VLOOKUP(E8041,UPAH!$C$4:$H$31,7,0),VLOOKUP(E8041,#REF!,4,0)),0),0)</f>
        <v>0</v>
      </c>
      <c r="J8041" s="16">
        <f>H8041*I8041</f>
        <v>0</v>
      </c>
    </row>
    <row r="8042" spans="1:10" ht="13.5" thickBot="1">
      <c r="A8042" s="27"/>
      <c r="B8042" s="110"/>
      <c r="D8042" s="417"/>
      <c r="E8042" s="418"/>
      <c r="F8042" s="418"/>
      <c r="G8042" s="419"/>
      <c r="H8042" s="420" t="s">
        <v>67</v>
      </c>
      <c r="I8042" s="421"/>
      <c r="J8042" s="396">
        <f>J8041</f>
        <v>0</v>
      </c>
    </row>
    <row r="8043" spans="1:10" ht="13">
      <c r="A8043" s="27"/>
      <c r="B8043" s="110"/>
      <c r="D8043" s="444" t="s">
        <v>68</v>
      </c>
      <c r="E8043" s="445" t="s">
        <v>69</v>
      </c>
      <c r="F8043" s="446"/>
      <c r="G8043" s="447"/>
      <c r="H8043" s="448"/>
      <c r="I8043" s="449">
        <f>IF(AND(E8043&lt;&gt;"",G8043&lt;&gt;""),IF(D8043="",IF(G8043="OH",VLOOKUP(E8043,UPAH!$C$4:$H$31,7,0),VLOOKUP(E8043,#REF!,4,0)),0),0)</f>
        <v>0</v>
      </c>
      <c r="J8043" s="16">
        <f>SUM(J8032:J8042)/2</f>
        <v>0</v>
      </c>
    </row>
    <row r="8044" spans="1:10" ht="13.5" thickBot="1">
      <c r="A8044" s="27"/>
      <c r="B8044" s="110"/>
      <c r="D8044" s="431" t="s">
        <v>70</v>
      </c>
      <c r="E8044" s="432" t="s">
        <v>477</v>
      </c>
      <c r="F8044" s="433"/>
      <c r="G8044" s="434"/>
      <c r="H8044" s="22">
        <v>0.1</v>
      </c>
      <c r="I8044" s="436"/>
      <c r="J8044" s="430">
        <f>H8044*J8043</f>
        <v>0</v>
      </c>
    </row>
    <row r="8045" spans="1:10" ht="13.5" thickBot="1">
      <c r="A8045" s="27"/>
      <c r="B8045" s="110"/>
      <c r="D8045" s="401" t="s">
        <v>71</v>
      </c>
      <c r="E8045" s="402" t="s">
        <v>72</v>
      </c>
      <c r="F8045" s="418"/>
      <c r="G8045" s="419"/>
      <c r="H8045" s="442"/>
      <c r="I8045" s="421">
        <f>IF(AND(E8045&lt;&gt;"",G8045&lt;&gt;""),IF(D8045="",IF(G8045="OH",VLOOKUP(E8045,UPAH!$C$4:$H$31,7,0),VLOOKUP(E8045,#REF!,4,0)),0),0)</f>
        <v>0</v>
      </c>
      <c r="J8045" s="396">
        <f>ROUNDDOWN(J8043+J8044,0)</f>
        <v>0</v>
      </c>
    </row>
    <row r="8046" spans="1:10" ht="13">
      <c r="A8046" s="27"/>
      <c r="B8046" s="110"/>
      <c r="D8046" s="11"/>
      <c r="E8046" s="11"/>
      <c r="H8046" s="443"/>
    </row>
    <row r="8047" spans="1:10" ht="13.5" thickBot="1">
      <c r="A8047" s="27"/>
      <c r="B8047" s="110"/>
      <c r="C8047" s="11" t="s">
        <v>1342</v>
      </c>
      <c r="D8047" s="10" t="s">
        <v>1343</v>
      </c>
      <c r="H8047" s="443"/>
    </row>
    <row r="8048" spans="1:10" ht="13.5" thickBot="1">
      <c r="A8048" s="27"/>
      <c r="B8048" s="110"/>
      <c r="D8048" s="401" t="s">
        <v>40</v>
      </c>
      <c r="E8048" s="402" t="s">
        <v>41</v>
      </c>
      <c r="F8048" s="402" t="s">
        <v>42</v>
      </c>
      <c r="G8048" s="403" t="s">
        <v>43</v>
      </c>
      <c r="H8048" s="404" t="s">
        <v>44</v>
      </c>
      <c r="I8048" s="402" t="s">
        <v>474</v>
      </c>
      <c r="J8048" s="405" t="s">
        <v>475</v>
      </c>
    </row>
    <row r="8049" spans="1:10" ht="13">
      <c r="A8049" s="27"/>
      <c r="B8049" s="110"/>
      <c r="D8049" s="444" t="s">
        <v>45</v>
      </c>
      <c r="E8049" s="445" t="s">
        <v>46</v>
      </c>
      <c r="F8049" s="446"/>
      <c r="G8049" s="447"/>
      <c r="H8049" s="448"/>
      <c r="I8049" s="449"/>
      <c r="J8049" s="450"/>
    </row>
    <row r="8050" spans="1:10" ht="13">
      <c r="A8050" s="27"/>
      <c r="B8050" s="110"/>
      <c r="D8050" s="409"/>
      <c r="E8050" s="13" t="s">
        <v>47</v>
      </c>
      <c r="F8050" s="13" t="s">
        <v>1918</v>
      </c>
      <c r="G8050" s="543" t="s">
        <v>48</v>
      </c>
      <c r="H8050" s="548">
        <v>5.3999999999999999E-2</v>
      </c>
      <c r="I8050" s="412">
        <f>IF(AND(E8050&lt;&gt;"",G8050&lt;&gt;""),IF(D8050="",IF(G8050="OH",VLOOKUP(F8050,UPAH!$B$4:$H$101,7,0),VLOOKUP(F8050,#REF!,4,0)),0),0)</f>
        <v>0</v>
      </c>
      <c r="J8050" s="16">
        <f>H8050*I8050</f>
        <v>0</v>
      </c>
    </row>
    <row r="8051" spans="1:10" ht="13">
      <c r="A8051" s="27"/>
      <c r="B8051" s="110"/>
      <c r="D8051" s="409"/>
      <c r="E8051" s="13" t="s">
        <v>81</v>
      </c>
      <c r="F8051" s="13" t="s">
        <v>1921</v>
      </c>
      <c r="G8051" s="543" t="s">
        <v>48</v>
      </c>
      <c r="H8051" s="548">
        <v>0.09</v>
      </c>
      <c r="I8051" s="412">
        <f>IF(AND(E8051&lt;&gt;"",G8051&lt;&gt;""),IF(D8051="",IF(G8051="OH",VLOOKUP(F8051,UPAH!$B$4:$H$101,7,0),VLOOKUP(F8051,#REF!,4,0)),0),0)</f>
        <v>0</v>
      </c>
      <c r="J8051" s="16">
        <f>H8051*I8051</f>
        <v>0</v>
      </c>
    </row>
    <row r="8052" spans="1:10" ht="13">
      <c r="A8052" s="27"/>
      <c r="B8052" s="110"/>
      <c r="D8052" s="409"/>
      <c r="E8052" s="13" t="s">
        <v>50</v>
      </c>
      <c r="F8052" s="13" t="s">
        <v>1928</v>
      </c>
      <c r="G8052" s="543" t="s">
        <v>48</v>
      </c>
      <c r="H8052" s="548">
        <v>8.9999999999999993E-3</v>
      </c>
      <c r="I8052" s="412">
        <f>IF(AND(E8052&lt;&gt;"",G8052&lt;&gt;""),IF(D8052="",IF(G8052="OH",VLOOKUP(F8052,UPAH!$B$4:$H$101,7,0),VLOOKUP(F8052,#REF!,4,0)),0),0)</f>
        <v>0</v>
      </c>
      <c r="J8052" s="16">
        <f>H8052*I8052</f>
        <v>0</v>
      </c>
    </row>
    <row r="8053" spans="1:10" ht="13.5" thickBot="1">
      <c r="A8053" s="27"/>
      <c r="B8053" s="110"/>
      <c r="D8053" s="409"/>
      <c r="E8053" s="13" t="s">
        <v>51</v>
      </c>
      <c r="F8053" s="13" t="s">
        <v>1929</v>
      </c>
      <c r="G8053" s="543" t="s">
        <v>48</v>
      </c>
      <c r="H8053" s="548">
        <v>2.7E-2</v>
      </c>
      <c r="I8053" s="412">
        <f>IF(AND(E8053&lt;&gt;"",G8053&lt;&gt;""),IF(D8053="",IF(G8053="OH",VLOOKUP(F8053,UPAH!$B$4:$H$101,7,0),VLOOKUP(F8053,#REF!,4,0)),0),0)</f>
        <v>0</v>
      </c>
      <c r="J8053" s="16">
        <f>H8053*I8053</f>
        <v>0</v>
      </c>
    </row>
    <row r="8054" spans="1:10" ht="13.5" thickBot="1">
      <c r="A8054" s="27"/>
      <c r="B8054" s="110"/>
      <c r="D8054" s="417"/>
      <c r="E8054" s="418"/>
      <c r="F8054" s="418"/>
      <c r="G8054" s="419"/>
      <c r="H8054" s="420" t="s">
        <v>52</v>
      </c>
      <c r="I8054" s="421"/>
      <c r="J8054" s="396">
        <f>SUM(J8050:J8053)</f>
        <v>0</v>
      </c>
    </row>
    <row r="8055" spans="1:10" ht="13">
      <c r="A8055" s="27"/>
      <c r="B8055" s="110"/>
      <c r="D8055" s="406" t="s">
        <v>53</v>
      </c>
      <c r="E8055" s="13" t="s">
        <v>54</v>
      </c>
      <c r="F8055" s="14"/>
      <c r="G8055" s="15"/>
      <c r="H8055" s="451"/>
      <c r="I8055" s="412"/>
      <c r="J8055" s="16"/>
    </row>
    <row r="8056" spans="1:10" ht="13">
      <c r="A8056" s="27"/>
      <c r="B8056" s="110"/>
      <c r="D8056" s="409"/>
      <c r="E8056" s="13" t="s">
        <v>271</v>
      </c>
      <c r="F8056" s="14"/>
      <c r="G8056" s="543" t="s">
        <v>268</v>
      </c>
      <c r="H8056" s="548">
        <v>1.2</v>
      </c>
      <c r="I8056" s="412">
        <f>'BAHAN '!G333</f>
        <v>0</v>
      </c>
      <c r="J8056" s="16">
        <f>H8056*I8056</f>
        <v>0</v>
      </c>
    </row>
    <row r="8057" spans="1:10" ht="13.5" thickBot="1">
      <c r="A8057" s="27"/>
      <c r="B8057" s="110"/>
      <c r="D8057" s="409"/>
      <c r="E8057" s="13" t="s">
        <v>253</v>
      </c>
      <c r="F8057" s="14"/>
      <c r="G8057" s="543" t="s">
        <v>160</v>
      </c>
      <c r="H8057" s="548">
        <v>35</v>
      </c>
      <c r="I8057" s="412">
        <f>J8056/100</f>
        <v>0</v>
      </c>
      <c r="J8057" s="16">
        <f>H8057*I8057</f>
        <v>0</v>
      </c>
    </row>
    <row r="8058" spans="1:10" ht="13.5" thickBot="1">
      <c r="A8058" s="27"/>
      <c r="B8058" s="110"/>
      <c r="D8058" s="417"/>
      <c r="E8058" s="418"/>
      <c r="F8058" s="418"/>
      <c r="G8058" s="419"/>
      <c r="H8058" s="420" t="s">
        <v>64</v>
      </c>
      <c r="I8058" s="421"/>
      <c r="J8058" s="396">
        <f>SUM(J8056:J8057)</f>
        <v>0</v>
      </c>
    </row>
    <row r="8059" spans="1:10" ht="13.5" thickBot="1">
      <c r="A8059" s="27"/>
      <c r="B8059" s="110"/>
      <c r="D8059" s="406" t="s">
        <v>65</v>
      </c>
      <c r="E8059" s="13" t="s">
        <v>66</v>
      </c>
      <c r="F8059" s="14"/>
      <c r="G8059" s="15"/>
      <c r="H8059" s="451"/>
      <c r="I8059" s="412">
        <f>IF(AND(E8059&lt;&gt;"",G8059&lt;&gt;""),IF(D8059="",IF(G8059="OH",VLOOKUP(E8059,UPAH!$C$4:$H$31,7,0),VLOOKUP(E8059,#REF!,4,0)),0),0)</f>
        <v>0</v>
      </c>
      <c r="J8059" s="16">
        <f>H8059*I8059</f>
        <v>0</v>
      </c>
    </row>
    <row r="8060" spans="1:10" ht="13.5" thickBot="1">
      <c r="A8060" s="27"/>
      <c r="B8060" s="110"/>
      <c r="D8060" s="417"/>
      <c r="E8060" s="418"/>
      <c r="F8060" s="418"/>
      <c r="G8060" s="419"/>
      <c r="H8060" s="420" t="s">
        <v>67</v>
      </c>
      <c r="I8060" s="421"/>
      <c r="J8060" s="396">
        <f>J8059</f>
        <v>0</v>
      </c>
    </row>
    <row r="8061" spans="1:10" ht="13">
      <c r="A8061" s="27"/>
      <c r="B8061" s="110"/>
      <c r="D8061" s="444" t="s">
        <v>68</v>
      </c>
      <c r="E8061" s="445" t="s">
        <v>69</v>
      </c>
      <c r="F8061" s="446"/>
      <c r="G8061" s="447"/>
      <c r="H8061" s="448"/>
      <c r="I8061" s="449">
        <f>IF(AND(E8061&lt;&gt;"",G8061&lt;&gt;""),IF(D8061="",IF(G8061="OH",VLOOKUP(E8061,UPAH!$C$4:$H$31,7,0),VLOOKUP(E8061,#REF!,4,0)),0),0)</f>
        <v>0</v>
      </c>
      <c r="J8061" s="16">
        <f>SUM(J8050:J8060)/2</f>
        <v>0</v>
      </c>
    </row>
    <row r="8062" spans="1:10" ht="13.5" thickBot="1">
      <c r="A8062" s="27"/>
      <c r="B8062" s="110"/>
      <c r="D8062" s="431" t="s">
        <v>70</v>
      </c>
      <c r="E8062" s="432" t="s">
        <v>477</v>
      </c>
      <c r="F8062" s="433"/>
      <c r="G8062" s="434"/>
      <c r="H8062" s="22">
        <v>0.1</v>
      </c>
      <c r="I8062" s="436"/>
      <c r="J8062" s="430">
        <f>H8062*J8061</f>
        <v>0</v>
      </c>
    </row>
    <row r="8063" spans="1:10" ht="13.5" thickBot="1">
      <c r="A8063" s="27"/>
      <c r="B8063" s="110"/>
      <c r="D8063" s="401" t="s">
        <v>71</v>
      </c>
      <c r="E8063" s="402" t="s">
        <v>72</v>
      </c>
      <c r="F8063" s="418"/>
      <c r="G8063" s="419"/>
      <c r="H8063" s="442"/>
      <c r="I8063" s="421">
        <f>IF(AND(E8063&lt;&gt;"",G8063&lt;&gt;""),IF(D8063="",IF(G8063="OH",VLOOKUP(E8063,UPAH!$C$4:$H$31,7,0),VLOOKUP(E8063,#REF!,4,0)),0),0)</f>
        <v>0</v>
      </c>
      <c r="J8063" s="396">
        <f>ROUNDDOWN(J8061+J8062,0)</f>
        <v>0</v>
      </c>
    </row>
    <row r="8064" spans="1:10" ht="13">
      <c r="A8064" s="27"/>
      <c r="B8064" s="110"/>
      <c r="D8064" s="11"/>
      <c r="E8064" s="11"/>
      <c r="H8064" s="443"/>
    </row>
    <row r="8065" spans="1:10" ht="13.5" thickBot="1">
      <c r="A8065" s="27"/>
      <c r="B8065" s="110"/>
      <c r="C8065" s="11" t="s">
        <v>1344</v>
      </c>
      <c r="D8065" s="10" t="s">
        <v>1345</v>
      </c>
      <c r="H8065" s="443"/>
    </row>
    <row r="8066" spans="1:10" ht="13.5" thickBot="1">
      <c r="A8066" s="27"/>
      <c r="B8066" s="110"/>
      <c r="D8066" s="401" t="s">
        <v>40</v>
      </c>
      <c r="E8066" s="402" t="s">
        <v>41</v>
      </c>
      <c r="F8066" s="402" t="s">
        <v>42</v>
      </c>
      <c r="G8066" s="403" t="s">
        <v>43</v>
      </c>
      <c r="H8066" s="404" t="s">
        <v>44</v>
      </c>
      <c r="I8066" s="402" t="s">
        <v>474</v>
      </c>
      <c r="J8066" s="405" t="s">
        <v>475</v>
      </c>
    </row>
    <row r="8067" spans="1:10" ht="13">
      <c r="A8067" s="27"/>
      <c r="B8067" s="110"/>
      <c r="D8067" s="444" t="s">
        <v>45</v>
      </c>
      <c r="E8067" s="445" t="s">
        <v>46</v>
      </c>
      <c r="F8067" s="446"/>
      <c r="G8067" s="447"/>
      <c r="H8067" s="448"/>
      <c r="I8067" s="449"/>
      <c r="J8067" s="450"/>
    </row>
    <row r="8068" spans="1:10" ht="13">
      <c r="A8068" s="27"/>
      <c r="B8068" s="110"/>
      <c r="D8068" s="409"/>
      <c r="E8068" s="13" t="s">
        <v>47</v>
      </c>
      <c r="F8068" s="13" t="s">
        <v>1918</v>
      </c>
      <c r="G8068" s="543" t="s">
        <v>48</v>
      </c>
      <c r="H8068" s="548">
        <v>5.3999999999999999E-2</v>
      </c>
      <c r="I8068" s="412">
        <f>IF(AND(E8068&lt;&gt;"",G8068&lt;&gt;""),IF(D8068="",IF(G8068="OH",VLOOKUP(F8068,UPAH!$B$4:$H$101,7,0),VLOOKUP(F8068,#REF!,4,0)),0),0)</f>
        <v>0</v>
      </c>
      <c r="J8068" s="16">
        <f>H8068*I8068</f>
        <v>0</v>
      </c>
    </row>
    <row r="8069" spans="1:10" ht="13">
      <c r="A8069" s="27"/>
      <c r="B8069" s="110"/>
      <c r="D8069" s="409"/>
      <c r="E8069" s="13" t="s">
        <v>81</v>
      </c>
      <c r="F8069" s="13" t="s">
        <v>1921</v>
      </c>
      <c r="G8069" s="543" t="s">
        <v>48</v>
      </c>
      <c r="H8069" s="548">
        <v>0.09</v>
      </c>
      <c r="I8069" s="412">
        <f>IF(AND(E8069&lt;&gt;"",G8069&lt;&gt;""),IF(D8069="",IF(G8069="OH",VLOOKUP(F8069,UPAH!$B$4:$H$101,7,0),VLOOKUP(F8069,#REF!,4,0)),0),0)</f>
        <v>0</v>
      </c>
      <c r="J8069" s="16">
        <f>H8069*I8069</f>
        <v>0</v>
      </c>
    </row>
    <row r="8070" spans="1:10" ht="13">
      <c r="A8070" s="27"/>
      <c r="B8070" s="110"/>
      <c r="D8070" s="409"/>
      <c r="E8070" s="13" t="s">
        <v>50</v>
      </c>
      <c r="F8070" s="13" t="s">
        <v>1928</v>
      </c>
      <c r="G8070" s="543" t="s">
        <v>48</v>
      </c>
      <c r="H8070" s="548">
        <v>8.9999999999999993E-3</v>
      </c>
      <c r="I8070" s="412">
        <f>IF(AND(E8070&lt;&gt;"",G8070&lt;&gt;""),IF(D8070="",IF(G8070="OH",VLOOKUP(F8070,UPAH!$B$4:$H$101,7,0),VLOOKUP(F8070,#REF!,4,0)),0),0)</f>
        <v>0</v>
      </c>
      <c r="J8070" s="16">
        <f>H8070*I8070</f>
        <v>0</v>
      </c>
    </row>
    <row r="8071" spans="1:10" ht="13.5" thickBot="1">
      <c r="A8071" s="27"/>
      <c r="B8071" s="110"/>
      <c r="D8071" s="409"/>
      <c r="E8071" s="13" t="s">
        <v>51</v>
      </c>
      <c r="F8071" s="13" t="s">
        <v>1929</v>
      </c>
      <c r="G8071" s="543" t="s">
        <v>48</v>
      </c>
      <c r="H8071" s="548">
        <v>2.7E-2</v>
      </c>
      <c r="I8071" s="412">
        <f>IF(AND(E8071&lt;&gt;"",G8071&lt;&gt;""),IF(D8071="",IF(G8071="OH",VLOOKUP(F8071,UPAH!$B$4:$H$101,7,0),VLOOKUP(F8071,#REF!,4,0)),0),0)</f>
        <v>0</v>
      </c>
      <c r="J8071" s="16">
        <f>H8071*I8071</f>
        <v>0</v>
      </c>
    </row>
    <row r="8072" spans="1:10" ht="13.5" thickBot="1">
      <c r="A8072" s="27"/>
      <c r="B8072" s="110"/>
      <c r="D8072" s="417"/>
      <c r="E8072" s="418"/>
      <c r="F8072" s="418"/>
      <c r="G8072" s="419"/>
      <c r="H8072" s="420" t="s">
        <v>52</v>
      </c>
      <c r="I8072" s="421"/>
      <c r="J8072" s="396">
        <f>SUM(J8068:J8071)</f>
        <v>0</v>
      </c>
    </row>
    <row r="8073" spans="1:10" ht="13">
      <c r="A8073" s="27"/>
      <c r="B8073" s="110"/>
      <c r="D8073" s="406" t="s">
        <v>53</v>
      </c>
      <c r="E8073" s="13" t="s">
        <v>54</v>
      </c>
      <c r="F8073" s="14"/>
      <c r="G8073" s="15"/>
      <c r="H8073" s="451"/>
      <c r="I8073" s="412"/>
      <c r="J8073" s="16"/>
    </row>
    <row r="8074" spans="1:10" ht="13">
      <c r="A8074" s="27"/>
      <c r="B8074" s="110"/>
      <c r="D8074" s="409"/>
      <c r="E8074" s="13" t="s">
        <v>272</v>
      </c>
      <c r="F8074" s="14"/>
      <c r="G8074" s="543" t="s">
        <v>268</v>
      </c>
      <c r="H8074" s="548">
        <v>1.2</v>
      </c>
      <c r="I8074" s="412">
        <f>'BAHAN '!G329</f>
        <v>0</v>
      </c>
      <c r="J8074" s="16">
        <f>H8074*I8074</f>
        <v>0</v>
      </c>
    </row>
    <row r="8075" spans="1:10" ht="13.5" thickBot="1">
      <c r="A8075" s="27"/>
      <c r="B8075" s="110"/>
      <c r="D8075" s="409"/>
      <c r="E8075" s="13" t="s">
        <v>253</v>
      </c>
      <c r="F8075" s="14"/>
      <c r="G8075" s="543" t="s">
        <v>160</v>
      </c>
      <c r="H8075" s="548">
        <v>35</v>
      </c>
      <c r="I8075" s="412">
        <f>J8074/100</f>
        <v>0</v>
      </c>
      <c r="J8075" s="16">
        <f>H8075*I8075</f>
        <v>0</v>
      </c>
    </row>
    <row r="8076" spans="1:10" ht="13.5" thickBot="1">
      <c r="A8076" s="27"/>
      <c r="B8076" s="110"/>
      <c r="D8076" s="417"/>
      <c r="E8076" s="418"/>
      <c r="F8076" s="418"/>
      <c r="G8076" s="419"/>
      <c r="H8076" s="420" t="s">
        <v>64</v>
      </c>
      <c r="I8076" s="421"/>
      <c r="J8076" s="396">
        <f>SUM(J8074:J8075)</f>
        <v>0</v>
      </c>
    </row>
    <row r="8077" spans="1:10" ht="13.5" thickBot="1">
      <c r="A8077" s="27"/>
      <c r="B8077" s="110"/>
      <c r="D8077" s="406" t="s">
        <v>65</v>
      </c>
      <c r="E8077" s="13" t="s">
        <v>66</v>
      </c>
      <c r="F8077" s="14"/>
      <c r="G8077" s="15"/>
      <c r="H8077" s="451"/>
      <c r="I8077" s="412">
        <f>IF(AND(E8077&lt;&gt;"",G8077&lt;&gt;""),IF(D8077="",IF(G8077="OH",VLOOKUP(E8077,UPAH!$C$4:$H$31,7,0),VLOOKUP(E8077,#REF!,4,0)),0),0)</f>
        <v>0</v>
      </c>
      <c r="J8077" s="16">
        <f>H8077*I8077</f>
        <v>0</v>
      </c>
    </row>
    <row r="8078" spans="1:10" ht="13.5" thickBot="1">
      <c r="A8078" s="27"/>
      <c r="B8078" s="110"/>
      <c r="D8078" s="417"/>
      <c r="E8078" s="418"/>
      <c r="F8078" s="418"/>
      <c r="G8078" s="419"/>
      <c r="H8078" s="420" t="s">
        <v>67</v>
      </c>
      <c r="I8078" s="421"/>
      <c r="J8078" s="396">
        <f>J8077</f>
        <v>0</v>
      </c>
    </row>
    <row r="8079" spans="1:10" ht="13">
      <c r="A8079" s="27"/>
      <c r="B8079" s="110"/>
      <c r="D8079" s="444" t="s">
        <v>68</v>
      </c>
      <c r="E8079" s="445" t="s">
        <v>69</v>
      </c>
      <c r="F8079" s="446"/>
      <c r="G8079" s="447"/>
      <c r="H8079" s="448"/>
      <c r="I8079" s="449">
        <f>IF(AND(E8079&lt;&gt;"",G8079&lt;&gt;""),IF(D8079="",IF(G8079="OH",VLOOKUP(E8079,UPAH!$C$4:$H$31,7,0),VLOOKUP(E8079,#REF!,4,0)),0),0)</f>
        <v>0</v>
      </c>
      <c r="J8079" s="16">
        <f>SUM(J8068:J8078)/2</f>
        <v>0</v>
      </c>
    </row>
    <row r="8080" spans="1:10" ht="13.5" thickBot="1">
      <c r="A8080" s="27"/>
      <c r="B8080" s="110"/>
      <c r="D8080" s="431" t="s">
        <v>70</v>
      </c>
      <c r="E8080" s="432" t="s">
        <v>477</v>
      </c>
      <c r="F8080" s="433"/>
      <c r="G8080" s="434"/>
      <c r="H8080" s="22">
        <v>0.1</v>
      </c>
      <c r="I8080" s="436"/>
      <c r="J8080" s="430">
        <f>H8080*J8079</f>
        <v>0</v>
      </c>
    </row>
    <row r="8081" spans="1:10" ht="13.5" thickBot="1">
      <c r="A8081" s="27"/>
      <c r="B8081" s="110"/>
      <c r="D8081" s="401" t="s">
        <v>71</v>
      </c>
      <c r="E8081" s="402" t="s">
        <v>72</v>
      </c>
      <c r="F8081" s="418"/>
      <c r="G8081" s="419"/>
      <c r="H8081" s="442"/>
      <c r="I8081" s="421">
        <f>IF(AND(E8081&lt;&gt;"",G8081&lt;&gt;""),IF(D8081="",IF(G8081="OH",VLOOKUP(E8081,UPAH!$C$4:$H$31,7,0),VLOOKUP(E8081,#REF!,4,0)),0),0)</f>
        <v>0</v>
      </c>
      <c r="J8081" s="396">
        <f>ROUNDDOWN(J8079+J8080,0)</f>
        <v>0</v>
      </c>
    </row>
    <row r="8082" spans="1:10" ht="13">
      <c r="A8082" s="27"/>
      <c r="B8082" s="110"/>
      <c r="D8082" s="11"/>
      <c r="E8082" s="11"/>
      <c r="H8082" s="443"/>
      <c r="I8082" s="17"/>
      <c r="J8082" s="18"/>
    </row>
    <row r="8083" spans="1:10" ht="13.5" thickBot="1">
      <c r="A8083" s="27"/>
      <c r="B8083" s="110"/>
      <c r="C8083" s="11" t="s">
        <v>1346</v>
      </c>
      <c r="D8083" s="10" t="s">
        <v>1347</v>
      </c>
      <c r="H8083" s="443"/>
    </row>
    <row r="8084" spans="1:10" ht="13.5" thickBot="1">
      <c r="A8084" s="27"/>
      <c r="B8084" s="110"/>
      <c r="D8084" s="401" t="s">
        <v>40</v>
      </c>
      <c r="E8084" s="402" t="s">
        <v>41</v>
      </c>
      <c r="F8084" s="402" t="s">
        <v>42</v>
      </c>
      <c r="G8084" s="403" t="s">
        <v>43</v>
      </c>
      <c r="H8084" s="404" t="s">
        <v>44</v>
      </c>
      <c r="I8084" s="402" t="s">
        <v>474</v>
      </c>
      <c r="J8084" s="405" t="s">
        <v>475</v>
      </c>
    </row>
    <row r="8085" spans="1:10" ht="13">
      <c r="A8085" s="27"/>
      <c r="B8085" s="110"/>
      <c r="D8085" s="444" t="s">
        <v>45</v>
      </c>
      <c r="E8085" s="445" t="s">
        <v>46</v>
      </c>
      <c r="F8085" s="446"/>
      <c r="G8085" s="447"/>
      <c r="H8085" s="448"/>
      <c r="I8085" s="449"/>
      <c r="J8085" s="450"/>
    </row>
    <row r="8086" spans="1:10" ht="13">
      <c r="A8086" s="27"/>
      <c r="B8086" s="110"/>
      <c r="D8086" s="409"/>
      <c r="E8086" s="13" t="s">
        <v>47</v>
      </c>
      <c r="F8086" s="13" t="s">
        <v>1918</v>
      </c>
      <c r="G8086" s="543" t="s">
        <v>48</v>
      </c>
      <c r="H8086" s="548">
        <v>0.108</v>
      </c>
      <c r="I8086" s="412">
        <f>IF(AND(E8086&lt;&gt;"",G8086&lt;&gt;""),IF(D8086="",IF(G8086="OH",VLOOKUP(F8086,UPAH!$B$4:$H$101,7,0),VLOOKUP(F8086,#REF!,4,0)),0),0)</f>
        <v>0</v>
      </c>
      <c r="J8086" s="16">
        <f>H8086*I8086</f>
        <v>0</v>
      </c>
    </row>
    <row r="8087" spans="1:10" ht="13">
      <c r="A8087" s="27"/>
      <c r="B8087" s="110"/>
      <c r="D8087" s="409"/>
      <c r="E8087" s="13" t="s">
        <v>81</v>
      </c>
      <c r="F8087" s="13" t="s">
        <v>1921</v>
      </c>
      <c r="G8087" s="543" t="s">
        <v>48</v>
      </c>
      <c r="H8087" s="548">
        <v>0.18</v>
      </c>
      <c r="I8087" s="412">
        <f>IF(AND(E8087&lt;&gt;"",G8087&lt;&gt;""),IF(D8087="",IF(G8087="OH",VLOOKUP(F8087,UPAH!$B$4:$H$101,7,0),VLOOKUP(F8087,#REF!,4,0)),0),0)</f>
        <v>0</v>
      </c>
      <c r="J8087" s="16">
        <f>H8087*I8087</f>
        <v>0</v>
      </c>
    </row>
    <row r="8088" spans="1:10" ht="13">
      <c r="A8088" s="27"/>
      <c r="B8088" s="110"/>
      <c r="D8088" s="409"/>
      <c r="E8088" s="13" t="s">
        <v>50</v>
      </c>
      <c r="F8088" s="13" t="s">
        <v>1928</v>
      </c>
      <c r="G8088" s="543" t="s">
        <v>48</v>
      </c>
      <c r="H8088" s="548">
        <v>1.7999999999999999E-2</v>
      </c>
      <c r="I8088" s="412">
        <f>IF(AND(E8088&lt;&gt;"",G8088&lt;&gt;""),IF(D8088="",IF(G8088="OH",VLOOKUP(F8088,UPAH!$B$4:$H$101,7,0),VLOOKUP(F8088,#REF!,4,0)),0),0)</f>
        <v>0</v>
      </c>
      <c r="J8088" s="16">
        <f>H8088*I8088</f>
        <v>0</v>
      </c>
    </row>
    <row r="8089" spans="1:10" ht="13.5" thickBot="1">
      <c r="A8089" s="27"/>
      <c r="B8089" s="110"/>
      <c r="D8089" s="409"/>
      <c r="E8089" s="13" t="s">
        <v>51</v>
      </c>
      <c r="F8089" s="13" t="s">
        <v>1929</v>
      </c>
      <c r="G8089" s="543" t="s">
        <v>48</v>
      </c>
      <c r="H8089" s="548">
        <v>5.0000000000000001E-3</v>
      </c>
      <c r="I8089" s="412">
        <f>IF(AND(E8089&lt;&gt;"",G8089&lt;&gt;""),IF(D8089="",IF(G8089="OH",VLOOKUP(F8089,UPAH!$B$4:$H$101,7,0),VLOOKUP(F8089,#REF!,4,0)),0),0)</f>
        <v>0</v>
      </c>
      <c r="J8089" s="16">
        <f>H8089*I8089</f>
        <v>0</v>
      </c>
    </row>
    <row r="8090" spans="1:10" ht="13.5" thickBot="1">
      <c r="A8090" s="27"/>
      <c r="B8090" s="110"/>
      <c r="D8090" s="417"/>
      <c r="E8090" s="418"/>
      <c r="F8090" s="418"/>
      <c r="G8090" s="419"/>
      <c r="H8090" s="420" t="s">
        <v>52</v>
      </c>
      <c r="I8090" s="421"/>
      <c r="J8090" s="396">
        <f>SUM(J8086:J8089)</f>
        <v>0</v>
      </c>
    </row>
    <row r="8091" spans="1:10" ht="13">
      <c r="A8091" s="27"/>
      <c r="B8091" s="110"/>
      <c r="D8091" s="406" t="s">
        <v>53</v>
      </c>
      <c r="E8091" s="13" t="s">
        <v>54</v>
      </c>
      <c r="F8091" s="14"/>
      <c r="G8091" s="15"/>
      <c r="H8091" s="451"/>
      <c r="I8091" s="412"/>
      <c r="J8091" s="16"/>
    </row>
    <row r="8092" spans="1:10" ht="13">
      <c r="A8092" s="27"/>
      <c r="B8092" s="110"/>
      <c r="D8092" s="409"/>
      <c r="E8092" s="13" t="s">
        <v>273</v>
      </c>
      <c r="F8092" s="14"/>
      <c r="G8092" s="543" t="s">
        <v>268</v>
      </c>
      <c r="H8092" s="548">
        <v>1.2</v>
      </c>
      <c r="I8092" s="412">
        <f>'BAHAN '!G336</f>
        <v>0</v>
      </c>
      <c r="J8092" s="16">
        <f>H8092*I8092</f>
        <v>0</v>
      </c>
    </row>
    <row r="8093" spans="1:10" ht="13.5" thickBot="1">
      <c r="A8093" s="27"/>
      <c r="B8093" s="110"/>
      <c r="D8093" s="409"/>
      <c r="E8093" s="13" t="s">
        <v>253</v>
      </c>
      <c r="F8093" s="14"/>
      <c r="G8093" s="543" t="s">
        <v>160</v>
      </c>
      <c r="H8093" s="548">
        <v>35</v>
      </c>
      <c r="I8093" s="412">
        <f>J8092/100</f>
        <v>0</v>
      </c>
      <c r="J8093" s="16">
        <f>H8093*I8093</f>
        <v>0</v>
      </c>
    </row>
    <row r="8094" spans="1:10" ht="13.5" thickBot="1">
      <c r="A8094" s="27"/>
      <c r="B8094" s="110"/>
      <c r="D8094" s="417"/>
      <c r="E8094" s="418"/>
      <c r="F8094" s="418"/>
      <c r="G8094" s="419"/>
      <c r="H8094" s="420" t="s">
        <v>64</v>
      </c>
      <c r="I8094" s="421"/>
      <c r="J8094" s="396">
        <f>SUM(J8092:J8093)</f>
        <v>0</v>
      </c>
    </row>
    <row r="8095" spans="1:10" ht="13.5" thickBot="1">
      <c r="A8095" s="27"/>
      <c r="B8095" s="110"/>
      <c r="D8095" s="406" t="s">
        <v>65</v>
      </c>
      <c r="E8095" s="13" t="s">
        <v>66</v>
      </c>
      <c r="F8095" s="14"/>
      <c r="G8095" s="15"/>
      <c r="H8095" s="451"/>
      <c r="I8095" s="412">
        <f>IF(AND(E8095&lt;&gt;"",G8095&lt;&gt;""),IF(D8095="",IF(G8095="OH",VLOOKUP(E8095,UPAH!$C$4:$H$31,7,0),VLOOKUP(E8095,#REF!,4,0)),0),0)</f>
        <v>0</v>
      </c>
      <c r="J8095" s="16">
        <f>H8095*I8095</f>
        <v>0</v>
      </c>
    </row>
    <row r="8096" spans="1:10" ht="13.5" thickBot="1">
      <c r="A8096" s="27"/>
      <c r="B8096" s="110"/>
      <c r="D8096" s="417"/>
      <c r="E8096" s="418"/>
      <c r="F8096" s="418"/>
      <c r="G8096" s="419"/>
      <c r="H8096" s="420" t="s">
        <v>67</v>
      </c>
      <c r="I8096" s="421"/>
      <c r="J8096" s="396">
        <f>J8095</f>
        <v>0</v>
      </c>
    </row>
    <row r="8097" spans="1:10" ht="13">
      <c r="A8097" s="27"/>
      <c r="B8097" s="110"/>
      <c r="D8097" s="444" t="s">
        <v>68</v>
      </c>
      <c r="E8097" s="445" t="s">
        <v>69</v>
      </c>
      <c r="F8097" s="446"/>
      <c r="G8097" s="447"/>
      <c r="H8097" s="448"/>
      <c r="I8097" s="449">
        <f>IF(AND(E8097&lt;&gt;"",G8097&lt;&gt;""),IF(D8097="",IF(G8097="OH",VLOOKUP(E8097,UPAH!$C$4:$H$31,7,0),VLOOKUP(E8097,#REF!,4,0)),0),0)</f>
        <v>0</v>
      </c>
      <c r="J8097" s="16">
        <f>SUM(J8086:J8096)/2</f>
        <v>0</v>
      </c>
    </row>
    <row r="8098" spans="1:10" ht="13.5" thickBot="1">
      <c r="A8098" s="27"/>
      <c r="B8098" s="110"/>
      <c r="D8098" s="431" t="s">
        <v>70</v>
      </c>
      <c r="E8098" s="432" t="s">
        <v>477</v>
      </c>
      <c r="F8098" s="433"/>
      <c r="G8098" s="434"/>
      <c r="H8098" s="22">
        <v>0.1</v>
      </c>
      <c r="I8098" s="436"/>
      <c r="J8098" s="430">
        <f>H8098*J8097</f>
        <v>0</v>
      </c>
    </row>
    <row r="8099" spans="1:10" ht="13.5" thickBot="1">
      <c r="A8099" s="27"/>
      <c r="B8099" s="110"/>
      <c r="D8099" s="401" t="s">
        <v>71</v>
      </c>
      <c r="E8099" s="402" t="s">
        <v>72</v>
      </c>
      <c r="F8099" s="418"/>
      <c r="G8099" s="419"/>
      <c r="H8099" s="442"/>
      <c r="I8099" s="421">
        <f>IF(AND(E8099&lt;&gt;"",G8099&lt;&gt;""),IF(D8099="",IF(G8099="OH",VLOOKUP(E8099,UPAH!$C$4:$H$31,7,0),VLOOKUP(E8099,#REF!,4,0)),0),0)</f>
        <v>0</v>
      </c>
      <c r="J8099" s="396">
        <f>ROUNDDOWN(J8097+J8098,0)</f>
        <v>0</v>
      </c>
    </row>
    <row r="8100" spans="1:10" ht="13">
      <c r="A8100" s="27"/>
      <c r="B8100" s="110"/>
      <c r="D8100" s="11"/>
      <c r="E8100" s="11"/>
      <c r="H8100" s="443"/>
      <c r="I8100" s="17"/>
      <c r="J8100" s="18"/>
    </row>
    <row r="8101" spans="1:10" ht="13.5" thickBot="1">
      <c r="A8101" s="27"/>
      <c r="B8101" s="110"/>
      <c r="C8101" s="11" t="s">
        <v>1348</v>
      </c>
      <c r="D8101" s="10" t="s">
        <v>1349</v>
      </c>
      <c r="H8101" s="443"/>
    </row>
    <row r="8102" spans="1:10" ht="13.5" thickBot="1">
      <c r="A8102" s="27"/>
      <c r="B8102" s="110"/>
      <c r="D8102" s="401" t="s">
        <v>40</v>
      </c>
      <c r="E8102" s="402" t="s">
        <v>41</v>
      </c>
      <c r="F8102" s="402" t="s">
        <v>42</v>
      </c>
      <c r="G8102" s="403" t="s">
        <v>43</v>
      </c>
      <c r="H8102" s="404" t="s">
        <v>44</v>
      </c>
      <c r="I8102" s="402" t="s">
        <v>474</v>
      </c>
      <c r="J8102" s="405" t="s">
        <v>475</v>
      </c>
    </row>
    <row r="8103" spans="1:10" ht="13">
      <c r="A8103" s="27"/>
      <c r="B8103" s="110"/>
      <c r="D8103" s="444" t="s">
        <v>45</v>
      </c>
      <c r="E8103" s="445" t="s">
        <v>46</v>
      </c>
      <c r="F8103" s="446"/>
      <c r="G8103" s="447"/>
      <c r="H8103" s="448"/>
      <c r="I8103" s="449"/>
      <c r="J8103" s="450"/>
    </row>
    <row r="8104" spans="1:10" ht="13">
      <c r="A8104" s="27"/>
      <c r="B8104" s="110"/>
      <c r="D8104" s="409"/>
      <c r="E8104" s="13" t="s">
        <v>47</v>
      </c>
      <c r="F8104" s="13" t="s">
        <v>1918</v>
      </c>
      <c r="G8104" s="543" t="s">
        <v>48</v>
      </c>
      <c r="H8104" s="548">
        <v>0.13500000000000001</v>
      </c>
      <c r="I8104" s="412">
        <f>IF(AND(E8104&lt;&gt;"",G8104&lt;&gt;""),IF(D8104="",IF(G8104="OH",VLOOKUP(F8104,UPAH!$B$4:$H$101,7,0),VLOOKUP(F8104,#REF!,4,0)),0),0)</f>
        <v>0</v>
      </c>
      <c r="J8104" s="16">
        <f>H8104*I8104</f>
        <v>0</v>
      </c>
    </row>
    <row r="8105" spans="1:10" ht="13">
      <c r="A8105" s="27"/>
      <c r="B8105" s="110"/>
      <c r="D8105" s="409"/>
      <c r="E8105" s="13" t="s">
        <v>81</v>
      </c>
      <c r="F8105" s="13" t="s">
        <v>1921</v>
      </c>
      <c r="G8105" s="543" t="s">
        <v>48</v>
      </c>
      <c r="H8105" s="548">
        <v>0.22500000000000001</v>
      </c>
      <c r="I8105" s="412">
        <f>IF(AND(E8105&lt;&gt;"",G8105&lt;&gt;""),IF(D8105="",IF(G8105="OH",VLOOKUP(F8105,UPAH!$B$4:$H$101,7,0),VLOOKUP(F8105,#REF!,4,0)),0),0)</f>
        <v>0</v>
      </c>
      <c r="J8105" s="16">
        <f>H8105*I8105</f>
        <v>0</v>
      </c>
    </row>
    <row r="8106" spans="1:10" ht="13">
      <c r="A8106" s="27"/>
      <c r="B8106" s="110"/>
      <c r="D8106" s="409"/>
      <c r="E8106" s="13" t="s">
        <v>50</v>
      </c>
      <c r="F8106" s="13" t="s">
        <v>1928</v>
      </c>
      <c r="G8106" s="543" t="s">
        <v>48</v>
      </c>
      <c r="H8106" s="548">
        <v>2.3E-2</v>
      </c>
      <c r="I8106" s="412">
        <f>IF(AND(E8106&lt;&gt;"",G8106&lt;&gt;""),IF(D8106="",IF(G8106="OH",VLOOKUP(F8106,UPAH!$B$4:$H$101,7,0),VLOOKUP(F8106,#REF!,4,0)),0),0)</f>
        <v>0</v>
      </c>
      <c r="J8106" s="16">
        <f>H8106*I8106</f>
        <v>0</v>
      </c>
    </row>
    <row r="8107" spans="1:10" ht="13.5" thickBot="1">
      <c r="A8107" s="27"/>
      <c r="B8107" s="110"/>
      <c r="D8107" s="409"/>
      <c r="E8107" s="13" t="s">
        <v>51</v>
      </c>
      <c r="F8107" s="13" t="s">
        <v>1929</v>
      </c>
      <c r="G8107" s="543" t="s">
        <v>48</v>
      </c>
      <c r="H8107" s="548">
        <v>7.0000000000000001E-3</v>
      </c>
      <c r="I8107" s="412">
        <f>IF(AND(E8107&lt;&gt;"",G8107&lt;&gt;""),IF(D8107="",IF(G8107="OH",VLOOKUP(F8107,UPAH!$B$4:$H$101,7,0),VLOOKUP(F8107,#REF!,4,0)),0),0)</f>
        <v>0</v>
      </c>
      <c r="J8107" s="16">
        <f>H8107*I8107</f>
        <v>0</v>
      </c>
    </row>
    <row r="8108" spans="1:10" ht="13.5" thickBot="1">
      <c r="A8108" s="27"/>
      <c r="B8108" s="110"/>
      <c r="D8108" s="417"/>
      <c r="E8108" s="418"/>
      <c r="F8108" s="418"/>
      <c r="G8108" s="419"/>
      <c r="H8108" s="420" t="s">
        <v>52</v>
      </c>
      <c r="I8108" s="421"/>
      <c r="J8108" s="396">
        <f>SUM(J8104:J8107)</f>
        <v>0</v>
      </c>
    </row>
    <row r="8109" spans="1:10" ht="13">
      <c r="A8109" s="27"/>
      <c r="B8109" s="110"/>
      <c r="D8109" s="406" t="s">
        <v>53</v>
      </c>
      <c r="E8109" s="13" t="s">
        <v>54</v>
      </c>
      <c r="F8109" s="14"/>
      <c r="G8109" s="15"/>
      <c r="H8109" s="451"/>
      <c r="I8109" s="412"/>
      <c r="J8109" s="16"/>
    </row>
    <row r="8110" spans="1:10" ht="13">
      <c r="A8110" s="27"/>
      <c r="B8110" s="110"/>
      <c r="D8110" s="409"/>
      <c r="E8110" s="13" t="s">
        <v>274</v>
      </c>
      <c r="F8110" s="14"/>
      <c r="G8110" s="543" t="s">
        <v>268</v>
      </c>
      <c r="H8110" s="548">
        <v>1.2</v>
      </c>
      <c r="I8110" s="412">
        <f>'BAHAN '!G332</f>
        <v>0</v>
      </c>
      <c r="J8110" s="16">
        <f>H8110*I8110</f>
        <v>0</v>
      </c>
    </row>
    <row r="8111" spans="1:10" ht="13.5" thickBot="1">
      <c r="A8111" s="27"/>
      <c r="B8111" s="110"/>
      <c r="D8111" s="409"/>
      <c r="E8111" s="13" t="s">
        <v>253</v>
      </c>
      <c r="F8111" s="14"/>
      <c r="G8111" s="543" t="s">
        <v>160</v>
      </c>
      <c r="H8111" s="548">
        <v>35</v>
      </c>
      <c r="I8111" s="412">
        <f>J8110/100</f>
        <v>0</v>
      </c>
      <c r="J8111" s="16">
        <f>H8111*I8111</f>
        <v>0</v>
      </c>
    </row>
    <row r="8112" spans="1:10" ht="13.5" thickBot="1">
      <c r="A8112" s="27"/>
      <c r="B8112" s="110"/>
      <c r="D8112" s="417"/>
      <c r="E8112" s="418"/>
      <c r="F8112" s="418"/>
      <c r="G8112" s="419"/>
      <c r="H8112" s="420" t="s">
        <v>64</v>
      </c>
      <c r="I8112" s="421"/>
      <c r="J8112" s="396">
        <f>SUM(J8110:J8111)</f>
        <v>0</v>
      </c>
    </row>
    <row r="8113" spans="1:10" ht="13.5" thickBot="1">
      <c r="A8113" s="27"/>
      <c r="B8113" s="110"/>
      <c r="D8113" s="406" t="s">
        <v>65</v>
      </c>
      <c r="E8113" s="13" t="s">
        <v>66</v>
      </c>
      <c r="F8113" s="14"/>
      <c r="G8113" s="15"/>
      <c r="H8113" s="451"/>
      <c r="I8113" s="412">
        <f>IF(AND(E8113&lt;&gt;"",G8113&lt;&gt;""),IF(D8113="",IF(G8113="OH",VLOOKUP(E8113,UPAH!$C$4:$H$31,7,0),VLOOKUP(E8113,#REF!,4,0)),0),0)</f>
        <v>0</v>
      </c>
      <c r="J8113" s="16">
        <f>H8113*I8113</f>
        <v>0</v>
      </c>
    </row>
    <row r="8114" spans="1:10" ht="13.5" thickBot="1">
      <c r="A8114" s="27"/>
      <c r="B8114" s="110"/>
      <c r="D8114" s="417"/>
      <c r="E8114" s="418"/>
      <c r="F8114" s="418"/>
      <c r="G8114" s="419"/>
      <c r="H8114" s="420" t="s">
        <v>67</v>
      </c>
      <c r="I8114" s="421"/>
      <c r="J8114" s="396">
        <f>J8113</f>
        <v>0</v>
      </c>
    </row>
    <row r="8115" spans="1:10" ht="13">
      <c r="A8115" s="27"/>
      <c r="B8115" s="110"/>
      <c r="D8115" s="444" t="s">
        <v>68</v>
      </c>
      <c r="E8115" s="445" t="s">
        <v>69</v>
      </c>
      <c r="F8115" s="446"/>
      <c r="G8115" s="447"/>
      <c r="H8115" s="448"/>
      <c r="I8115" s="449">
        <f>IF(AND(E8115&lt;&gt;"",G8115&lt;&gt;""),IF(D8115="",IF(G8115="OH",VLOOKUP(E8115,UPAH!$C$4:$H$31,7,0),VLOOKUP(E8115,#REF!,4,0)),0),0)</f>
        <v>0</v>
      </c>
      <c r="J8115" s="16">
        <f>SUM(J8104:J8114)/2</f>
        <v>0</v>
      </c>
    </row>
    <row r="8116" spans="1:10" ht="13.5" thickBot="1">
      <c r="A8116" s="27"/>
      <c r="B8116" s="110"/>
      <c r="D8116" s="431" t="s">
        <v>70</v>
      </c>
      <c r="E8116" s="432" t="s">
        <v>477</v>
      </c>
      <c r="F8116" s="433"/>
      <c r="G8116" s="434"/>
      <c r="H8116" s="22">
        <v>0.1</v>
      </c>
      <c r="I8116" s="436"/>
      <c r="J8116" s="430">
        <f>H8116*J8115</f>
        <v>0</v>
      </c>
    </row>
    <row r="8117" spans="1:10" ht="13.5" thickBot="1">
      <c r="A8117" s="27"/>
      <c r="B8117" s="110"/>
      <c r="D8117" s="401" t="s">
        <v>71</v>
      </c>
      <c r="E8117" s="402" t="s">
        <v>72</v>
      </c>
      <c r="F8117" s="418"/>
      <c r="G8117" s="419"/>
      <c r="H8117" s="442"/>
      <c r="I8117" s="421">
        <f>IF(AND(E8117&lt;&gt;"",G8117&lt;&gt;""),IF(D8117="",IF(G8117="OH",VLOOKUP(E8117,UPAH!$C$4:$H$31,7,0),VLOOKUP(E8117,#REF!,4,0)),0),0)</f>
        <v>0</v>
      </c>
      <c r="J8117" s="396">
        <f>ROUNDDOWN(J8115+J8116,0)</f>
        <v>0</v>
      </c>
    </row>
    <row r="8118" spans="1:10" ht="13">
      <c r="A8118" s="27"/>
      <c r="B8118" s="110"/>
      <c r="D8118" s="11"/>
      <c r="E8118" s="11"/>
      <c r="H8118" s="443"/>
      <c r="I8118" s="17"/>
      <c r="J8118" s="18"/>
    </row>
    <row r="8119" spans="1:10" ht="13.5" thickBot="1">
      <c r="A8119" s="27"/>
      <c r="B8119" s="110"/>
      <c r="C8119" s="11" t="s">
        <v>1350</v>
      </c>
      <c r="D8119" s="10" t="s">
        <v>1351</v>
      </c>
      <c r="H8119" s="443"/>
    </row>
    <row r="8120" spans="1:10" ht="13.5" thickBot="1">
      <c r="A8120" s="27"/>
      <c r="B8120" s="110"/>
      <c r="D8120" s="401" t="s">
        <v>40</v>
      </c>
      <c r="E8120" s="402" t="s">
        <v>41</v>
      </c>
      <c r="F8120" s="402" t="s">
        <v>42</v>
      </c>
      <c r="G8120" s="403" t="s">
        <v>43</v>
      </c>
      <c r="H8120" s="404" t="s">
        <v>44</v>
      </c>
      <c r="I8120" s="402" t="s">
        <v>474</v>
      </c>
      <c r="J8120" s="405" t="s">
        <v>475</v>
      </c>
    </row>
    <row r="8121" spans="1:10" ht="13">
      <c r="A8121" s="27"/>
      <c r="B8121" s="110"/>
      <c r="D8121" s="406" t="s">
        <v>45</v>
      </c>
      <c r="E8121" s="13" t="s">
        <v>46</v>
      </c>
      <c r="F8121" s="14"/>
      <c r="G8121" s="15"/>
      <c r="H8121" s="451"/>
      <c r="I8121" s="412"/>
      <c r="J8121" s="16"/>
    </row>
    <row r="8122" spans="1:10" ht="13">
      <c r="A8122" s="27"/>
      <c r="B8122" s="110"/>
      <c r="D8122" s="409"/>
      <c r="E8122" s="13" t="s">
        <v>47</v>
      </c>
      <c r="F8122" s="13" t="s">
        <v>1918</v>
      </c>
      <c r="G8122" s="543" t="s">
        <v>48</v>
      </c>
      <c r="H8122" s="548">
        <v>0.13500000000000001</v>
      </c>
      <c r="I8122" s="412">
        <f>IF(AND(E8122&lt;&gt;"",G8122&lt;&gt;""),IF(D8122="",IF(G8122="OH",VLOOKUP(F8122,UPAH!$B$4:$H$101,7,0),VLOOKUP(F8122,#REF!,4,0)),0),0)</f>
        <v>0</v>
      </c>
      <c r="J8122" s="16">
        <f>H8122*I8122</f>
        <v>0</v>
      </c>
    </row>
    <row r="8123" spans="1:10" ht="13">
      <c r="A8123" s="27"/>
      <c r="B8123" s="110"/>
      <c r="D8123" s="409"/>
      <c r="E8123" s="13" t="s">
        <v>81</v>
      </c>
      <c r="F8123" s="13" t="s">
        <v>1921</v>
      </c>
      <c r="G8123" s="543" t="s">
        <v>48</v>
      </c>
      <c r="H8123" s="548">
        <v>0.22500000000000001</v>
      </c>
      <c r="I8123" s="412">
        <f>IF(AND(E8123&lt;&gt;"",G8123&lt;&gt;""),IF(D8123="",IF(G8123="OH",VLOOKUP(F8123,UPAH!$B$4:$H$101,7,0),VLOOKUP(F8123,#REF!,4,0)),0),0)</f>
        <v>0</v>
      </c>
      <c r="J8123" s="16">
        <f>H8123*I8123</f>
        <v>0</v>
      </c>
    </row>
    <row r="8124" spans="1:10" ht="13">
      <c r="A8124" s="27"/>
      <c r="B8124" s="110"/>
      <c r="D8124" s="409"/>
      <c r="E8124" s="13" t="s">
        <v>50</v>
      </c>
      <c r="F8124" s="13" t="s">
        <v>1928</v>
      </c>
      <c r="G8124" s="543" t="s">
        <v>48</v>
      </c>
      <c r="H8124" s="548">
        <v>2.3E-2</v>
      </c>
      <c r="I8124" s="412">
        <f>IF(AND(E8124&lt;&gt;"",G8124&lt;&gt;""),IF(D8124="",IF(G8124="OH",VLOOKUP(F8124,UPAH!$B$4:$H$101,7,0),VLOOKUP(F8124,#REF!,4,0)),0),0)</f>
        <v>0</v>
      </c>
      <c r="J8124" s="16">
        <f>H8124*I8124</f>
        <v>0</v>
      </c>
    </row>
    <row r="8125" spans="1:10" ht="13.5" thickBot="1">
      <c r="A8125" s="27"/>
      <c r="B8125" s="110"/>
      <c r="D8125" s="409"/>
      <c r="E8125" s="13" t="s">
        <v>51</v>
      </c>
      <c r="F8125" s="13" t="s">
        <v>1929</v>
      </c>
      <c r="G8125" s="543" t="s">
        <v>48</v>
      </c>
      <c r="H8125" s="548">
        <v>7.0000000000000001E-3</v>
      </c>
      <c r="I8125" s="412">
        <f>IF(AND(E8125&lt;&gt;"",G8125&lt;&gt;""),IF(D8125="",IF(G8125="OH",VLOOKUP(F8125,UPAH!$B$4:$H$101,7,0),VLOOKUP(F8125,#REF!,4,0)),0),0)</f>
        <v>0</v>
      </c>
      <c r="J8125" s="16">
        <f>H8125*I8125</f>
        <v>0</v>
      </c>
    </row>
    <row r="8126" spans="1:10" ht="13.5" thickBot="1">
      <c r="A8126" s="27"/>
      <c r="B8126" s="110"/>
      <c r="D8126" s="417"/>
      <c r="E8126" s="418"/>
      <c r="F8126" s="418"/>
      <c r="G8126" s="419"/>
      <c r="H8126" s="420" t="s">
        <v>52</v>
      </c>
      <c r="I8126" s="421"/>
      <c r="J8126" s="396">
        <f>SUM(J8122:J8125)</f>
        <v>0</v>
      </c>
    </row>
    <row r="8127" spans="1:10" ht="13">
      <c r="A8127" s="27"/>
      <c r="B8127" s="110"/>
      <c r="D8127" s="406" t="s">
        <v>53</v>
      </c>
      <c r="E8127" s="13" t="s">
        <v>54</v>
      </c>
      <c r="F8127" s="14"/>
      <c r="G8127" s="15"/>
      <c r="H8127" s="451"/>
      <c r="I8127" s="412"/>
      <c r="J8127" s="16"/>
    </row>
    <row r="8128" spans="1:10" ht="13">
      <c r="A8128" s="27"/>
      <c r="B8128" s="110"/>
      <c r="D8128" s="409"/>
      <c r="E8128" s="13" t="s">
        <v>275</v>
      </c>
      <c r="F8128" s="14"/>
      <c r="G8128" s="543" t="s">
        <v>268</v>
      </c>
      <c r="H8128" s="548">
        <v>1.2</v>
      </c>
      <c r="I8128" s="412">
        <f>'BAHAN '!G332</f>
        <v>0</v>
      </c>
      <c r="J8128" s="16">
        <f>H8128*I8128</f>
        <v>0</v>
      </c>
    </row>
    <row r="8129" spans="1:10" ht="13.5" thickBot="1">
      <c r="A8129" s="27"/>
      <c r="B8129" s="110"/>
      <c r="D8129" s="409"/>
      <c r="E8129" s="13" t="s">
        <v>253</v>
      </c>
      <c r="F8129" s="14"/>
      <c r="G8129" s="543" t="s">
        <v>160</v>
      </c>
      <c r="H8129" s="548">
        <v>35</v>
      </c>
      <c r="I8129" s="412">
        <f>J8128/100</f>
        <v>0</v>
      </c>
      <c r="J8129" s="16">
        <f>H8129*I8129</f>
        <v>0</v>
      </c>
    </row>
    <row r="8130" spans="1:10" ht="13.5" thickBot="1">
      <c r="A8130" s="27"/>
      <c r="B8130" s="110"/>
      <c r="D8130" s="417"/>
      <c r="E8130" s="418"/>
      <c r="F8130" s="418"/>
      <c r="G8130" s="419"/>
      <c r="H8130" s="420" t="s">
        <v>64</v>
      </c>
      <c r="I8130" s="421"/>
      <c r="J8130" s="396">
        <f>SUM(J8128:J8129)</f>
        <v>0</v>
      </c>
    </row>
    <row r="8131" spans="1:10" ht="13.5" thickBot="1">
      <c r="A8131" s="27"/>
      <c r="B8131" s="110"/>
      <c r="D8131" s="406" t="s">
        <v>65</v>
      </c>
      <c r="E8131" s="13" t="s">
        <v>66</v>
      </c>
      <c r="F8131" s="14"/>
      <c r="G8131" s="15"/>
      <c r="H8131" s="451"/>
      <c r="I8131" s="412">
        <f>IF(AND(E8131&lt;&gt;"",G8131&lt;&gt;""),IF(D8131="",IF(G8131="OH",VLOOKUP(E8131,UPAH!$C$4:$H$31,7,0),VLOOKUP(E8131,#REF!,4,0)),0),0)</f>
        <v>0</v>
      </c>
      <c r="J8131" s="16">
        <f>H8131*I8131</f>
        <v>0</v>
      </c>
    </row>
    <row r="8132" spans="1:10" ht="13.5" thickBot="1">
      <c r="A8132" s="27"/>
      <c r="B8132" s="110"/>
      <c r="D8132" s="417"/>
      <c r="E8132" s="418"/>
      <c r="F8132" s="418"/>
      <c r="G8132" s="419"/>
      <c r="H8132" s="420" t="s">
        <v>67</v>
      </c>
      <c r="I8132" s="421"/>
      <c r="J8132" s="396">
        <f>J8131</f>
        <v>0</v>
      </c>
    </row>
    <row r="8133" spans="1:10" ht="13">
      <c r="A8133" s="27"/>
      <c r="B8133" s="110"/>
      <c r="D8133" s="444" t="s">
        <v>68</v>
      </c>
      <c r="E8133" s="445" t="s">
        <v>69</v>
      </c>
      <c r="F8133" s="446"/>
      <c r="G8133" s="447"/>
      <c r="H8133" s="448"/>
      <c r="I8133" s="449">
        <f>IF(AND(E8133&lt;&gt;"",G8133&lt;&gt;""),IF(D8133="",IF(G8133="OH",VLOOKUP(E8133,UPAH!$C$4:$H$31,7,0),VLOOKUP(E8133,#REF!,4,0)),0),0)</f>
        <v>0</v>
      </c>
      <c r="J8133" s="16">
        <f>SUM(J8122:J8132)/2</f>
        <v>0</v>
      </c>
    </row>
    <row r="8134" spans="1:10" ht="13.5" thickBot="1">
      <c r="A8134" s="27"/>
      <c r="B8134" s="110"/>
      <c r="D8134" s="431" t="s">
        <v>70</v>
      </c>
      <c r="E8134" s="432" t="s">
        <v>477</v>
      </c>
      <c r="F8134" s="433"/>
      <c r="G8134" s="434"/>
      <c r="H8134" s="22">
        <v>0.1</v>
      </c>
      <c r="I8134" s="436"/>
      <c r="J8134" s="430">
        <f>H8134*J8133</f>
        <v>0</v>
      </c>
    </row>
    <row r="8135" spans="1:10" ht="13.5" thickBot="1">
      <c r="A8135" s="27"/>
      <c r="B8135" s="110"/>
      <c r="D8135" s="401" t="s">
        <v>71</v>
      </c>
      <c r="E8135" s="402" t="s">
        <v>72</v>
      </c>
      <c r="F8135" s="418"/>
      <c r="G8135" s="419"/>
      <c r="H8135" s="442"/>
      <c r="I8135" s="421">
        <f>IF(AND(E8135&lt;&gt;"",G8135&lt;&gt;""),IF(D8135="",IF(G8135="OH",VLOOKUP(E8135,UPAH!$C$4:$H$31,7,0),VLOOKUP(E8135,#REF!,4,0)),0),0)</f>
        <v>0</v>
      </c>
      <c r="J8135" s="396">
        <f>ROUNDDOWN(J8133+J8134,0)</f>
        <v>0</v>
      </c>
    </row>
    <row r="8136" spans="1:10" ht="13">
      <c r="A8136" s="27"/>
      <c r="B8136" s="110"/>
      <c r="D8136" s="11"/>
      <c r="E8136" s="11"/>
      <c r="H8136" s="443"/>
      <c r="I8136" s="17"/>
      <c r="J8136" s="18"/>
    </row>
    <row r="8137" spans="1:10" ht="13.5" thickBot="1">
      <c r="A8137" s="27"/>
      <c r="B8137" s="110"/>
      <c r="C8137" s="11" t="s">
        <v>1352</v>
      </c>
      <c r="D8137" s="10" t="s">
        <v>1353</v>
      </c>
      <c r="H8137" s="443"/>
    </row>
    <row r="8138" spans="1:10" ht="13.5" thickBot="1">
      <c r="A8138" s="27"/>
      <c r="B8138" s="110"/>
      <c r="D8138" s="401" t="s">
        <v>40</v>
      </c>
      <c r="E8138" s="402" t="s">
        <v>41</v>
      </c>
      <c r="F8138" s="402" t="s">
        <v>42</v>
      </c>
      <c r="G8138" s="403" t="s">
        <v>43</v>
      </c>
      <c r="H8138" s="404" t="s">
        <v>44</v>
      </c>
      <c r="I8138" s="402" t="s">
        <v>474</v>
      </c>
      <c r="J8138" s="405" t="s">
        <v>475</v>
      </c>
    </row>
    <row r="8139" spans="1:10" ht="13">
      <c r="A8139" s="27"/>
      <c r="B8139" s="110"/>
      <c r="D8139" s="406" t="s">
        <v>45</v>
      </c>
      <c r="E8139" s="13" t="s">
        <v>46</v>
      </c>
      <c r="F8139" s="14"/>
      <c r="G8139" s="15"/>
      <c r="H8139" s="451"/>
      <c r="I8139" s="412"/>
      <c r="J8139" s="16"/>
    </row>
    <row r="8140" spans="1:10" ht="13">
      <c r="A8140" s="27"/>
      <c r="B8140" s="110"/>
      <c r="D8140" s="409"/>
      <c r="E8140" s="13" t="s">
        <v>47</v>
      </c>
      <c r="F8140" s="13" t="s">
        <v>1918</v>
      </c>
      <c r="G8140" s="543" t="s">
        <v>48</v>
      </c>
      <c r="H8140" s="548">
        <v>3.5999999999999997E-2</v>
      </c>
      <c r="I8140" s="412">
        <f>IF(AND(E8140&lt;&gt;"",G8140&lt;&gt;""),IF(D8140="",IF(G8140="OH",VLOOKUP(F8140,UPAH!$B$4:$H$101,7,0),VLOOKUP(F8140,#REF!,4,0)),0),0)</f>
        <v>0</v>
      </c>
      <c r="J8140" s="16">
        <f>H8140*I8140</f>
        <v>0</v>
      </c>
    </row>
    <row r="8141" spans="1:10" ht="13">
      <c r="A8141" s="27"/>
      <c r="B8141" s="110"/>
      <c r="D8141" s="409"/>
      <c r="E8141" s="13" t="s">
        <v>81</v>
      </c>
      <c r="F8141" s="13" t="s">
        <v>1921</v>
      </c>
      <c r="G8141" s="543" t="s">
        <v>48</v>
      </c>
      <c r="H8141" s="548">
        <v>0.06</v>
      </c>
      <c r="I8141" s="412">
        <f>IF(AND(E8141&lt;&gt;"",G8141&lt;&gt;""),IF(D8141="",IF(G8141="OH",VLOOKUP(F8141,UPAH!$B$4:$H$101,7,0),VLOOKUP(F8141,#REF!,4,0)),0),0)</f>
        <v>0</v>
      </c>
      <c r="J8141" s="16">
        <f>H8141*I8141</f>
        <v>0</v>
      </c>
    </row>
    <row r="8142" spans="1:10" ht="13">
      <c r="A8142" s="27"/>
      <c r="B8142" s="110"/>
      <c r="D8142" s="409"/>
      <c r="E8142" s="13" t="s">
        <v>50</v>
      </c>
      <c r="F8142" s="13" t="s">
        <v>1928</v>
      </c>
      <c r="G8142" s="543" t="s">
        <v>48</v>
      </c>
      <c r="H8142" s="548">
        <v>6.0000000000000001E-3</v>
      </c>
      <c r="I8142" s="412">
        <f>IF(AND(E8142&lt;&gt;"",G8142&lt;&gt;""),IF(D8142="",IF(G8142="OH",VLOOKUP(F8142,UPAH!$B$4:$H$101,7,0),VLOOKUP(F8142,#REF!,4,0)),0),0)</f>
        <v>0</v>
      </c>
      <c r="J8142" s="16">
        <f>H8142*I8142</f>
        <v>0</v>
      </c>
    </row>
    <row r="8143" spans="1:10" ht="13.5" thickBot="1">
      <c r="A8143" s="27"/>
      <c r="B8143" s="110"/>
      <c r="D8143" s="409"/>
      <c r="E8143" s="13" t="s">
        <v>51</v>
      </c>
      <c r="F8143" s="13" t="s">
        <v>1929</v>
      </c>
      <c r="G8143" s="543" t="s">
        <v>48</v>
      </c>
      <c r="H8143" s="548">
        <v>2E-3</v>
      </c>
      <c r="I8143" s="412">
        <f>IF(AND(E8143&lt;&gt;"",G8143&lt;&gt;""),IF(D8143="",IF(G8143="OH",VLOOKUP(F8143,UPAH!$B$4:$H$101,7,0),VLOOKUP(F8143,#REF!,4,0)),0),0)</f>
        <v>0</v>
      </c>
      <c r="J8143" s="16">
        <f>H8143*I8143</f>
        <v>0</v>
      </c>
    </row>
    <row r="8144" spans="1:10" ht="13.5" thickBot="1">
      <c r="A8144" s="27"/>
      <c r="B8144" s="110"/>
      <c r="D8144" s="417"/>
      <c r="E8144" s="418"/>
      <c r="F8144" s="418"/>
      <c r="G8144" s="419"/>
      <c r="H8144" s="420" t="s">
        <v>52</v>
      </c>
      <c r="I8144" s="421"/>
      <c r="J8144" s="396">
        <f>SUM(J8140:J8143)</f>
        <v>0</v>
      </c>
    </row>
    <row r="8145" spans="1:10" ht="13">
      <c r="A8145" s="27"/>
      <c r="B8145" s="110"/>
      <c r="D8145" s="406" t="s">
        <v>53</v>
      </c>
      <c r="E8145" s="13" t="s">
        <v>54</v>
      </c>
      <c r="F8145" s="14"/>
      <c r="G8145" s="15"/>
      <c r="H8145" s="451"/>
      <c r="I8145" s="412"/>
      <c r="J8145" s="16"/>
    </row>
    <row r="8146" spans="1:10" ht="13">
      <c r="A8146" s="27"/>
      <c r="B8146" s="110"/>
      <c r="D8146" s="409"/>
      <c r="E8146" s="13" t="s">
        <v>276</v>
      </c>
      <c r="F8146" s="14"/>
      <c r="G8146" s="543" t="s">
        <v>268</v>
      </c>
      <c r="H8146" s="548">
        <v>1.2</v>
      </c>
      <c r="I8146" s="412">
        <f>'BAHAN '!G354</f>
        <v>0</v>
      </c>
      <c r="J8146" s="16">
        <f>H8146*I8146</f>
        <v>0</v>
      </c>
    </row>
    <row r="8147" spans="1:10" ht="13.5" thickBot="1">
      <c r="A8147" s="27"/>
      <c r="B8147" s="110"/>
      <c r="D8147" s="409"/>
      <c r="E8147" s="13" t="s">
        <v>253</v>
      </c>
      <c r="F8147" s="14"/>
      <c r="G8147" s="543" t="s">
        <v>160</v>
      </c>
      <c r="H8147" s="548">
        <v>35</v>
      </c>
      <c r="I8147" s="412">
        <f>J8146/100</f>
        <v>0</v>
      </c>
      <c r="J8147" s="16">
        <f>H8147*I8147</f>
        <v>0</v>
      </c>
    </row>
    <row r="8148" spans="1:10" ht="13.5" thickBot="1">
      <c r="A8148" s="27"/>
      <c r="B8148" s="110"/>
      <c r="D8148" s="417"/>
      <c r="E8148" s="418"/>
      <c r="F8148" s="418"/>
      <c r="G8148" s="419"/>
      <c r="H8148" s="420" t="s">
        <v>64</v>
      </c>
      <c r="I8148" s="421"/>
      <c r="J8148" s="396">
        <f>SUM(J8146:J8147)</f>
        <v>0</v>
      </c>
    </row>
    <row r="8149" spans="1:10" ht="13.5" thickBot="1">
      <c r="A8149" s="27"/>
      <c r="B8149" s="110"/>
      <c r="D8149" s="406" t="s">
        <v>65</v>
      </c>
      <c r="E8149" s="13" t="s">
        <v>66</v>
      </c>
      <c r="F8149" s="14"/>
      <c r="G8149" s="15"/>
      <c r="H8149" s="451"/>
      <c r="I8149" s="412">
        <f>IF(AND(E8149&lt;&gt;"",G8149&lt;&gt;""),IF(D8149="",IF(G8149="OH",VLOOKUP(E8149,UPAH!$C$4:$H$31,7,0),VLOOKUP(E8149,#REF!,4,0)),0),0)</f>
        <v>0</v>
      </c>
      <c r="J8149" s="16">
        <f>H8149*I8149</f>
        <v>0</v>
      </c>
    </row>
    <row r="8150" spans="1:10" ht="13.5" thickBot="1">
      <c r="A8150" s="27"/>
      <c r="B8150" s="110"/>
      <c r="D8150" s="417"/>
      <c r="E8150" s="418"/>
      <c r="F8150" s="418"/>
      <c r="G8150" s="419"/>
      <c r="H8150" s="420" t="s">
        <v>67</v>
      </c>
      <c r="I8150" s="421"/>
      <c r="J8150" s="396">
        <f>J8149</f>
        <v>0</v>
      </c>
    </row>
    <row r="8151" spans="1:10" ht="13">
      <c r="A8151" s="27"/>
      <c r="B8151" s="110"/>
      <c r="D8151" s="444" t="s">
        <v>68</v>
      </c>
      <c r="E8151" s="445" t="s">
        <v>69</v>
      </c>
      <c r="F8151" s="446"/>
      <c r="G8151" s="447"/>
      <c r="H8151" s="448"/>
      <c r="I8151" s="449">
        <f>IF(AND(E8151&lt;&gt;"",G8151&lt;&gt;""),IF(D8151="",IF(G8151="OH",VLOOKUP(E8151,UPAH!$C$4:$H$31,7,0),VLOOKUP(E8151,#REF!,4,0)),0),0)</f>
        <v>0</v>
      </c>
      <c r="J8151" s="16">
        <f>SUM(J8140:J8150)/2</f>
        <v>0</v>
      </c>
    </row>
    <row r="8152" spans="1:10" ht="13.5" thickBot="1">
      <c r="A8152" s="27"/>
      <c r="B8152" s="110"/>
      <c r="D8152" s="431" t="s">
        <v>70</v>
      </c>
      <c r="E8152" s="432" t="s">
        <v>477</v>
      </c>
      <c r="F8152" s="433"/>
      <c r="G8152" s="434"/>
      <c r="H8152" s="22">
        <v>0.1</v>
      </c>
      <c r="I8152" s="436"/>
      <c r="J8152" s="430">
        <f>H8152*J8151</f>
        <v>0</v>
      </c>
    </row>
    <row r="8153" spans="1:10" ht="13.5" thickBot="1">
      <c r="A8153" s="27"/>
      <c r="B8153" s="110"/>
      <c r="D8153" s="401" t="s">
        <v>71</v>
      </c>
      <c r="E8153" s="402" t="s">
        <v>72</v>
      </c>
      <c r="F8153" s="418"/>
      <c r="G8153" s="419"/>
      <c r="H8153" s="442"/>
      <c r="I8153" s="421">
        <f>IF(AND(E8153&lt;&gt;"",G8153&lt;&gt;""),IF(D8153="",IF(G8153="OH",VLOOKUP(E8153,UPAH!$C$4:$H$31,7,0),VLOOKUP(E8153,#REF!,4,0)),0),0)</f>
        <v>0</v>
      </c>
      <c r="J8153" s="396">
        <f>ROUNDDOWN(J8151+J8152,0)</f>
        <v>0</v>
      </c>
    </row>
    <row r="8154" spans="1:10" ht="13">
      <c r="A8154" s="27"/>
      <c r="B8154" s="110"/>
      <c r="D8154" s="11"/>
      <c r="E8154" s="11"/>
      <c r="H8154" s="443"/>
      <c r="I8154" s="17"/>
      <c r="J8154" s="18"/>
    </row>
    <row r="8155" spans="1:10" ht="13.5" thickBot="1">
      <c r="A8155" s="27"/>
      <c r="B8155" s="110"/>
      <c r="C8155" s="11" t="s">
        <v>1354</v>
      </c>
      <c r="D8155" s="10" t="s">
        <v>1355</v>
      </c>
      <c r="H8155" s="443"/>
    </row>
    <row r="8156" spans="1:10" ht="13.5" thickBot="1">
      <c r="A8156" s="27"/>
      <c r="B8156" s="110"/>
      <c r="D8156" s="401" t="s">
        <v>40</v>
      </c>
      <c r="E8156" s="402" t="s">
        <v>41</v>
      </c>
      <c r="F8156" s="402" t="s">
        <v>42</v>
      </c>
      <c r="G8156" s="403" t="s">
        <v>43</v>
      </c>
      <c r="H8156" s="404" t="s">
        <v>44</v>
      </c>
      <c r="I8156" s="402" t="s">
        <v>474</v>
      </c>
      <c r="J8156" s="405" t="s">
        <v>475</v>
      </c>
    </row>
    <row r="8157" spans="1:10" ht="13">
      <c r="A8157" s="27"/>
      <c r="B8157" s="110"/>
      <c r="D8157" s="406" t="s">
        <v>45</v>
      </c>
      <c r="E8157" s="13" t="s">
        <v>46</v>
      </c>
      <c r="F8157" s="14"/>
      <c r="G8157" s="15"/>
      <c r="H8157" s="451"/>
      <c r="I8157" s="412"/>
      <c r="J8157" s="16"/>
    </row>
    <row r="8158" spans="1:10" ht="13">
      <c r="A8158" s="27"/>
      <c r="B8158" s="110"/>
      <c r="D8158" s="409"/>
      <c r="E8158" s="13" t="s">
        <v>47</v>
      </c>
      <c r="F8158" s="13" t="s">
        <v>1918</v>
      </c>
      <c r="G8158" s="543" t="s">
        <v>48</v>
      </c>
      <c r="H8158" s="548">
        <v>3.5999999999999997E-2</v>
      </c>
      <c r="I8158" s="412">
        <f>IF(AND(E8158&lt;&gt;"",G8158&lt;&gt;""),IF(D8158="",IF(G8158="OH",VLOOKUP(F8158,UPAH!$B$4:$H$101,7,0),VLOOKUP(F8158,#REF!,4,0)),0),0)</f>
        <v>0</v>
      </c>
      <c r="J8158" s="16">
        <f>H8158*I8158</f>
        <v>0</v>
      </c>
    </row>
    <row r="8159" spans="1:10" ht="13">
      <c r="A8159" s="27"/>
      <c r="B8159" s="110"/>
      <c r="D8159" s="409"/>
      <c r="E8159" s="13" t="s">
        <v>81</v>
      </c>
      <c r="F8159" s="13" t="s">
        <v>1921</v>
      </c>
      <c r="G8159" s="543" t="s">
        <v>48</v>
      </c>
      <c r="H8159" s="548">
        <v>0.06</v>
      </c>
      <c r="I8159" s="412">
        <f>IF(AND(E8159&lt;&gt;"",G8159&lt;&gt;""),IF(D8159="",IF(G8159="OH",VLOOKUP(F8159,UPAH!$B$4:$H$101,7,0),VLOOKUP(F8159,#REF!,4,0)),0),0)</f>
        <v>0</v>
      </c>
      <c r="J8159" s="16">
        <f>H8159*I8159</f>
        <v>0</v>
      </c>
    </row>
    <row r="8160" spans="1:10" ht="13">
      <c r="A8160" s="27"/>
      <c r="B8160" s="110"/>
      <c r="D8160" s="409"/>
      <c r="E8160" s="13" t="s">
        <v>50</v>
      </c>
      <c r="F8160" s="13" t="s">
        <v>1928</v>
      </c>
      <c r="G8160" s="543" t="s">
        <v>48</v>
      </c>
      <c r="H8160" s="548">
        <v>6.0000000000000001E-3</v>
      </c>
      <c r="I8160" s="412">
        <f>IF(AND(E8160&lt;&gt;"",G8160&lt;&gt;""),IF(D8160="",IF(G8160="OH",VLOOKUP(F8160,UPAH!$B$4:$H$101,7,0),VLOOKUP(F8160,#REF!,4,0)),0),0)</f>
        <v>0</v>
      </c>
      <c r="J8160" s="16">
        <f>H8160*I8160</f>
        <v>0</v>
      </c>
    </row>
    <row r="8161" spans="1:10" ht="13.5" thickBot="1">
      <c r="A8161" s="27"/>
      <c r="B8161" s="110"/>
      <c r="D8161" s="409"/>
      <c r="E8161" s="13" t="s">
        <v>51</v>
      </c>
      <c r="F8161" s="13" t="s">
        <v>1929</v>
      </c>
      <c r="G8161" s="543" t="s">
        <v>48</v>
      </c>
      <c r="H8161" s="548">
        <v>2E-3</v>
      </c>
      <c r="I8161" s="412">
        <f>IF(AND(E8161&lt;&gt;"",G8161&lt;&gt;""),IF(D8161="",IF(G8161="OH",VLOOKUP(F8161,UPAH!$B$4:$H$101,7,0),VLOOKUP(F8161,#REF!,4,0)),0),0)</f>
        <v>0</v>
      </c>
      <c r="J8161" s="16">
        <f>H8161*I8161</f>
        <v>0</v>
      </c>
    </row>
    <row r="8162" spans="1:10" ht="13.5" thickBot="1">
      <c r="A8162" s="27"/>
      <c r="B8162" s="110"/>
      <c r="D8162" s="417"/>
      <c r="E8162" s="418"/>
      <c r="F8162" s="418"/>
      <c r="G8162" s="419"/>
      <c r="H8162" s="420" t="s">
        <v>52</v>
      </c>
      <c r="I8162" s="421"/>
      <c r="J8162" s="396">
        <f>SUM(J8158:J8161)</f>
        <v>0</v>
      </c>
    </row>
    <row r="8163" spans="1:10" ht="13">
      <c r="A8163" s="27"/>
      <c r="B8163" s="110"/>
      <c r="D8163" s="406" t="s">
        <v>53</v>
      </c>
      <c r="E8163" s="13" t="s">
        <v>54</v>
      </c>
      <c r="F8163" s="14"/>
      <c r="G8163" s="15"/>
      <c r="H8163" s="451"/>
      <c r="I8163" s="412"/>
      <c r="J8163" s="16"/>
    </row>
    <row r="8164" spans="1:10" ht="13">
      <c r="A8164" s="27"/>
      <c r="B8164" s="110"/>
      <c r="D8164" s="409"/>
      <c r="E8164" s="13" t="s">
        <v>1945</v>
      </c>
      <c r="F8164" s="14"/>
      <c r="G8164" s="543" t="s">
        <v>268</v>
      </c>
      <c r="H8164" s="548">
        <v>1.2</v>
      </c>
      <c r="I8164" s="412">
        <f>'BAHAN '!G356</f>
        <v>0</v>
      </c>
      <c r="J8164" s="16">
        <f>H8164*I8164</f>
        <v>0</v>
      </c>
    </row>
    <row r="8165" spans="1:10" ht="13.5" thickBot="1">
      <c r="A8165" s="27"/>
      <c r="B8165" s="110"/>
      <c r="D8165" s="409"/>
      <c r="E8165" s="13" t="s">
        <v>253</v>
      </c>
      <c r="F8165" s="14"/>
      <c r="G8165" s="543" t="s">
        <v>160</v>
      </c>
      <c r="H8165" s="548">
        <v>35</v>
      </c>
      <c r="I8165" s="412">
        <f>J8164/100</f>
        <v>0</v>
      </c>
      <c r="J8165" s="16">
        <f>H8165*I8165</f>
        <v>0</v>
      </c>
    </row>
    <row r="8166" spans="1:10" ht="13.5" thickBot="1">
      <c r="A8166" s="27"/>
      <c r="B8166" s="110"/>
      <c r="D8166" s="417"/>
      <c r="E8166" s="418"/>
      <c r="F8166" s="418"/>
      <c r="G8166" s="419"/>
      <c r="H8166" s="420" t="s">
        <v>64</v>
      </c>
      <c r="I8166" s="421"/>
      <c r="J8166" s="396">
        <f>SUM(J8164:J8165)</f>
        <v>0</v>
      </c>
    </row>
    <row r="8167" spans="1:10" ht="13.5" thickBot="1">
      <c r="A8167" s="27"/>
      <c r="B8167" s="110"/>
      <c r="D8167" s="406" t="s">
        <v>65</v>
      </c>
      <c r="E8167" s="13" t="s">
        <v>66</v>
      </c>
      <c r="F8167" s="14"/>
      <c r="G8167" s="15"/>
      <c r="H8167" s="451"/>
      <c r="I8167" s="412">
        <f>IF(AND(E8167&lt;&gt;"",G8167&lt;&gt;""),IF(D8167="",IF(G8167="OH",VLOOKUP(E8167,UPAH!$C$4:$H$31,7,0),VLOOKUP(E8167,#REF!,4,0)),0),0)</f>
        <v>0</v>
      </c>
      <c r="J8167" s="16">
        <f>H8167*I8167</f>
        <v>0</v>
      </c>
    </row>
    <row r="8168" spans="1:10" ht="13.5" thickBot="1">
      <c r="A8168" s="27"/>
      <c r="B8168" s="110"/>
      <c r="D8168" s="417"/>
      <c r="E8168" s="418"/>
      <c r="F8168" s="418"/>
      <c r="G8168" s="419"/>
      <c r="H8168" s="420" t="s">
        <v>67</v>
      </c>
      <c r="I8168" s="421"/>
      <c r="J8168" s="396">
        <f>J8167</f>
        <v>0</v>
      </c>
    </row>
    <row r="8169" spans="1:10" ht="13">
      <c r="A8169" s="27"/>
      <c r="B8169" s="110"/>
      <c r="D8169" s="444" t="s">
        <v>68</v>
      </c>
      <c r="E8169" s="445" t="s">
        <v>69</v>
      </c>
      <c r="F8169" s="446"/>
      <c r="G8169" s="447"/>
      <c r="H8169" s="448"/>
      <c r="I8169" s="449">
        <f>IF(AND(E8169&lt;&gt;"",G8169&lt;&gt;""),IF(D8169="",IF(G8169="OH",VLOOKUP(E8169,UPAH!$C$4:$H$31,7,0),VLOOKUP(E8169,#REF!,4,0)),0),0)</f>
        <v>0</v>
      </c>
      <c r="J8169" s="16">
        <f>SUM(J8158:J8168)/2</f>
        <v>0</v>
      </c>
    </row>
    <row r="8170" spans="1:10" ht="13.5" thickBot="1">
      <c r="A8170" s="27"/>
      <c r="B8170" s="110"/>
      <c r="D8170" s="431" t="s">
        <v>70</v>
      </c>
      <c r="E8170" s="432" t="s">
        <v>477</v>
      </c>
      <c r="F8170" s="433"/>
      <c r="G8170" s="434"/>
      <c r="H8170" s="22">
        <v>0.1</v>
      </c>
      <c r="I8170" s="436"/>
      <c r="J8170" s="430">
        <f>H8170*J8169</f>
        <v>0</v>
      </c>
    </row>
    <row r="8171" spans="1:10" ht="13.5" thickBot="1">
      <c r="A8171" s="27"/>
      <c r="B8171" s="110"/>
      <c r="D8171" s="401" t="s">
        <v>71</v>
      </c>
      <c r="E8171" s="402" t="s">
        <v>72</v>
      </c>
      <c r="F8171" s="418"/>
      <c r="G8171" s="419"/>
      <c r="H8171" s="442"/>
      <c r="I8171" s="421">
        <f>IF(AND(E8171&lt;&gt;"",G8171&lt;&gt;""),IF(D8171="",IF(G8171="OH",VLOOKUP(E8171,UPAH!$C$4:$H$31,7,0),VLOOKUP(E8171,#REF!,4,0)),0),0)</f>
        <v>0</v>
      </c>
      <c r="J8171" s="396">
        <f>ROUNDDOWN(J8169+J8170,0)</f>
        <v>0</v>
      </c>
    </row>
    <row r="8172" spans="1:10" ht="13">
      <c r="A8172" s="27"/>
      <c r="B8172" s="110"/>
      <c r="D8172" s="11"/>
      <c r="E8172" s="11"/>
      <c r="H8172" s="443"/>
      <c r="I8172" s="17"/>
      <c r="J8172" s="18"/>
    </row>
    <row r="8173" spans="1:10" ht="13.5" thickBot="1">
      <c r="A8173" s="27"/>
      <c r="B8173" s="110"/>
      <c r="C8173" s="11" t="s">
        <v>1356</v>
      </c>
      <c r="D8173" s="10" t="s">
        <v>1357</v>
      </c>
      <c r="H8173" s="443"/>
    </row>
    <row r="8174" spans="1:10" ht="13.5" thickBot="1">
      <c r="A8174" s="27"/>
      <c r="B8174" s="110"/>
      <c r="D8174" s="401" t="s">
        <v>40</v>
      </c>
      <c r="E8174" s="402" t="s">
        <v>41</v>
      </c>
      <c r="F8174" s="402" t="s">
        <v>42</v>
      </c>
      <c r="G8174" s="403" t="s">
        <v>43</v>
      </c>
      <c r="H8174" s="404" t="s">
        <v>44</v>
      </c>
      <c r="I8174" s="402" t="s">
        <v>474</v>
      </c>
      <c r="J8174" s="405" t="s">
        <v>475</v>
      </c>
    </row>
    <row r="8175" spans="1:10" ht="13">
      <c r="A8175" s="27"/>
      <c r="B8175" s="110"/>
      <c r="D8175" s="444" t="s">
        <v>45</v>
      </c>
      <c r="E8175" s="445" t="s">
        <v>46</v>
      </c>
      <c r="F8175" s="446"/>
      <c r="G8175" s="447"/>
      <c r="H8175" s="448"/>
      <c r="I8175" s="449"/>
      <c r="J8175" s="450"/>
    </row>
    <row r="8176" spans="1:10" ht="13">
      <c r="A8176" s="27"/>
      <c r="B8176" s="110"/>
      <c r="D8176" s="409"/>
      <c r="E8176" s="13" t="s">
        <v>47</v>
      </c>
      <c r="F8176" s="13" t="s">
        <v>1918</v>
      </c>
      <c r="G8176" s="543" t="s">
        <v>48</v>
      </c>
      <c r="H8176" s="548">
        <v>3.5999999999999997E-2</v>
      </c>
      <c r="I8176" s="412">
        <f>IF(AND(E8176&lt;&gt;"",G8176&lt;&gt;""),IF(D8176="",IF(G8176="OH",VLOOKUP(F8176,UPAH!$B$4:$H$101,7,0),VLOOKUP(F8176,#REF!,4,0)),0),0)</f>
        <v>0</v>
      </c>
      <c r="J8176" s="16">
        <f>H8176*I8176</f>
        <v>0</v>
      </c>
    </row>
    <row r="8177" spans="1:10" ht="13">
      <c r="A8177" s="27"/>
      <c r="B8177" s="110"/>
      <c r="D8177" s="409"/>
      <c r="E8177" s="13" t="s">
        <v>81</v>
      </c>
      <c r="F8177" s="13" t="s">
        <v>1921</v>
      </c>
      <c r="G8177" s="543" t="s">
        <v>48</v>
      </c>
      <c r="H8177" s="548">
        <v>0.06</v>
      </c>
      <c r="I8177" s="412">
        <f>IF(AND(E8177&lt;&gt;"",G8177&lt;&gt;""),IF(D8177="",IF(G8177="OH",VLOOKUP(F8177,UPAH!$B$4:$H$101,7,0),VLOOKUP(F8177,#REF!,4,0)),0),0)</f>
        <v>0</v>
      </c>
      <c r="J8177" s="16">
        <f>H8177*I8177</f>
        <v>0</v>
      </c>
    </row>
    <row r="8178" spans="1:10" ht="13">
      <c r="A8178" s="27"/>
      <c r="B8178" s="110"/>
      <c r="D8178" s="409"/>
      <c r="E8178" s="13" t="s">
        <v>50</v>
      </c>
      <c r="F8178" s="13" t="s">
        <v>1928</v>
      </c>
      <c r="G8178" s="543" t="s">
        <v>48</v>
      </c>
      <c r="H8178" s="548">
        <v>6.0000000000000001E-3</v>
      </c>
      <c r="I8178" s="412">
        <f>IF(AND(E8178&lt;&gt;"",G8178&lt;&gt;""),IF(D8178="",IF(G8178="OH",VLOOKUP(F8178,UPAH!$B$4:$H$101,7,0),VLOOKUP(F8178,#REF!,4,0)),0),0)</f>
        <v>0</v>
      </c>
      <c r="J8178" s="16">
        <f>H8178*I8178</f>
        <v>0</v>
      </c>
    </row>
    <row r="8179" spans="1:10" ht="13.5" thickBot="1">
      <c r="A8179" s="27"/>
      <c r="B8179" s="110"/>
      <c r="D8179" s="409"/>
      <c r="E8179" s="13" t="s">
        <v>51</v>
      </c>
      <c r="F8179" s="13" t="s">
        <v>1929</v>
      </c>
      <c r="G8179" s="543" t="s">
        <v>48</v>
      </c>
      <c r="H8179" s="548">
        <v>2E-3</v>
      </c>
      <c r="I8179" s="412">
        <f>IF(AND(E8179&lt;&gt;"",G8179&lt;&gt;""),IF(D8179="",IF(G8179="OH",VLOOKUP(F8179,UPAH!$B$4:$H$101,7,0),VLOOKUP(F8179,#REF!,4,0)),0),0)</f>
        <v>0</v>
      </c>
      <c r="J8179" s="16">
        <f>H8179*I8179</f>
        <v>0</v>
      </c>
    </row>
    <row r="8180" spans="1:10" ht="13.5" thickBot="1">
      <c r="A8180" s="27"/>
      <c r="B8180" s="110"/>
      <c r="D8180" s="417"/>
      <c r="E8180" s="418"/>
      <c r="F8180" s="418"/>
      <c r="G8180" s="419"/>
      <c r="H8180" s="420" t="s">
        <v>52</v>
      </c>
      <c r="I8180" s="421"/>
      <c r="J8180" s="396">
        <f>SUM(J8176:J8179)</f>
        <v>0</v>
      </c>
    </row>
    <row r="8181" spans="1:10" ht="13">
      <c r="A8181" s="27"/>
      <c r="B8181" s="110"/>
      <c r="D8181" s="406" t="s">
        <v>53</v>
      </c>
      <c r="E8181" s="13" t="s">
        <v>54</v>
      </c>
      <c r="F8181" s="14"/>
      <c r="G8181" s="15"/>
      <c r="H8181" s="451"/>
      <c r="I8181" s="412"/>
      <c r="J8181" s="16"/>
    </row>
    <row r="8182" spans="1:10" ht="13">
      <c r="A8182" s="27"/>
      <c r="B8182" s="110"/>
      <c r="D8182" s="409"/>
      <c r="E8182" s="13" t="s">
        <v>277</v>
      </c>
      <c r="F8182" s="14"/>
      <c r="G8182" s="543" t="s">
        <v>268</v>
      </c>
      <c r="H8182" s="548">
        <v>1.2</v>
      </c>
      <c r="I8182" s="412">
        <f>'BAHAN '!G348</f>
        <v>0</v>
      </c>
      <c r="J8182" s="16">
        <f>H8182*I8182</f>
        <v>0</v>
      </c>
    </row>
    <row r="8183" spans="1:10" ht="13.5" thickBot="1">
      <c r="A8183" s="27"/>
      <c r="B8183" s="110"/>
      <c r="D8183" s="409"/>
      <c r="E8183" s="13" t="s">
        <v>253</v>
      </c>
      <c r="F8183" s="14"/>
      <c r="G8183" s="543" t="s">
        <v>160</v>
      </c>
      <c r="H8183" s="548">
        <v>35</v>
      </c>
      <c r="I8183" s="412">
        <f>J8182/100</f>
        <v>0</v>
      </c>
      <c r="J8183" s="16">
        <f>H8183*I8183</f>
        <v>0</v>
      </c>
    </row>
    <row r="8184" spans="1:10" ht="13.5" thickBot="1">
      <c r="A8184" s="27"/>
      <c r="B8184" s="110"/>
      <c r="D8184" s="417"/>
      <c r="E8184" s="418"/>
      <c r="F8184" s="418"/>
      <c r="G8184" s="419"/>
      <c r="H8184" s="420" t="s">
        <v>64</v>
      </c>
      <c r="I8184" s="421"/>
      <c r="J8184" s="396">
        <f>SUM(J8182:J8183)</f>
        <v>0</v>
      </c>
    </row>
    <row r="8185" spans="1:10" ht="13.5" thickBot="1">
      <c r="A8185" s="27"/>
      <c r="B8185" s="110"/>
      <c r="D8185" s="406" t="s">
        <v>65</v>
      </c>
      <c r="E8185" s="13" t="s">
        <v>66</v>
      </c>
      <c r="F8185" s="14"/>
      <c r="G8185" s="15"/>
      <c r="H8185" s="451"/>
      <c r="I8185" s="412">
        <f>IF(AND(E8185&lt;&gt;"",G8185&lt;&gt;""),IF(D8185="",IF(G8185="OH",VLOOKUP(E8185,UPAH!$C$4:$H$31,7,0),VLOOKUP(E8185,#REF!,4,0)),0),0)</f>
        <v>0</v>
      </c>
      <c r="J8185" s="16">
        <f>H8185*I8185</f>
        <v>0</v>
      </c>
    </row>
    <row r="8186" spans="1:10" ht="13.5" thickBot="1">
      <c r="A8186" s="27"/>
      <c r="B8186" s="110"/>
      <c r="D8186" s="417"/>
      <c r="E8186" s="418"/>
      <c r="F8186" s="418"/>
      <c r="G8186" s="419"/>
      <c r="H8186" s="420" t="s">
        <v>67</v>
      </c>
      <c r="I8186" s="421"/>
      <c r="J8186" s="396">
        <f>J8185</f>
        <v>0</v>
      </c>
    </row>
    <row r="8187" spans="1:10" ht="13">
      <c r="A8187" s="27"/>
      <c r="B8187" s="110"/>
      <c r="D8187" s="444" t="s">
        <v>68</v>
      </c>
      <c r="E8187" s="445" t="s">
        <v>69</v>
      </c>
      <c r="F8187" s="446"/>
      <c r="G8187" s="447"/>
      <c r="H8187" s="448"/>
      <c r="I8187" s="449">
        <f>IF(AND(E8187&lt;&gt;"",G8187&lt;&gt;""),IF(D8187="",IF(G8187="OH",VLOOKUP(E8187,UPAH!$C$4:$H$31,7,0),VLOOKUP(E8187,#REF!,4,0)),0),0)</f>
        <v>0</v>
      </c>
      <c r="J8187" s="16">
        <f>SUM(J8176:J8186)/2</f>
        <v>0</v>
      </c>
    </row>
    <row r="8188" spans="1:10" ht="13.5" thickBot="1">
      <c r="A8188" s="27"/>
      <c r="B8188" s="110"/>
      <c r="D8188" s="431" t="s">
        <v>70</v>
      </c>
      <c r="E8188" s="432" t="s">
        <v>477</v>
      </c>
      <c r="F8188" s="433"/>
      <c r="G8188" s="434"/>
      <c r="H8188" s="22">
        <v>0.1</v>
      </c>
      <c r="I8188" s="436"/>
      <c r="J8188" s="430">
        <f>H8188*J8187</f>
        <v>0</v>
      </c>
    </row>
    <row r="8189" spans="1:10" ht="13.5" thickBot="1">
      <c r="A8189" s="27"/>
      <c r="B8189" s="110"/>
      <c r="D8189" s="401" t="s">
        <v>71</v>
      </c>
      <c r="E8189" s="402" t="s">
        <v>72</v>
      </c>
      <c r="F8189" s="418"/>
      <c r="G8189" s="419"/>
      <c r="H8189" s="442"/>
      <c r="I8189" s="421">
        <f>IF(AND(E8189&lt;&gt;"",G8189&lt;&gt;""),IF(D8189="",IF(G8189="OH",VLOOKUP(E8189,UPAH!$C$4:$H$31,7,0),VLOOKUP(E8189,#REF!,4,0)),0),0)</f>
        <v>0</v>
      </c>
      <c r="J8189" s="396">
        <f>ROUNDDOWN(J8187+J8188,0)</f>
        <v>0</v>
      </c>
    </row>
    <row r="8190" spans="1:10" ht="13">
      <c r="A8190" s="27"/>
      <c r="B8190" s="110"/>
      <c r="D8190" s="11"/>
      <c r="E8190" s="11"/>
      <c r="H8190" s="443"/>
    </row>
    <row r="8191" spans="1:10" ht="13.5" thickBot="1">
      <c r="A8191" s="27"/>
      <c r="B8191" s="110"/>
      <c r="C8191" s="11" t="s">
        <v>1358</v>
      </c>
      <c r="D8191" s="10" t="s">
        <v>1359</v>
      </c>
      <c r="H8191" s="443"/>
    </row>
    <row r="8192" spans="1:10" ht="13.5" thickBot="1">
      <c r="A8192" s="27"/>
      <c r="B8192" s="110"/>
      <c r="D8192" s="401" t="s">
        <v>40</v>
      </c>
      <c r="E8192" s="402" t="s">
        <v>41</v>
      </c>
      <c r="F8192" s="402" t="s">
        <v>42</v>
      </c>
      <c r="G8192" s="403" t="s">
        <v>43</v>
      </c>
      <c r="H8192" s="404" t="s">
        <v>44</v>
      </c>
      <c r="I8192" s="402" t="s">
        <v>474</v>
      </c>
      <c r="J8192" s="405" t="s">
        <v>475</v>
      </c>
    </row>
    <row r="8193" spans="1:10" ht="13">
      <c r="A8193" s="27"/>
      <c r="B8193" s="110"/>
      <c r="D8193" s="444" t="s">
        <v>45</v>
      </c>
      <c r="E8193" s="445" t="s">
        <v>46</v>
      </c>
      <c r="F8193" s="446"/>
      <c r="G8193" s="447"/>
      <c r="H8193" s="448"/>
      <c r="I8193" s="449"/>
      <c r="J8193" s="450"/>
    </row>
    <row r="8194" spans="1:10" ht="13">
      <c r="A8194" s="27"/>
      <c r="B8194" s="110"/>
      <c r="D8194" s="409"/>
      <c r="E8194" s="13" t="s">
        <v>47</v>
      </c>
      <c r="F8194" s="13" t="s">
        <v>1918</v>
      </c>
      <c r="G8194" s="543" t="s">
        <v>48</v>
      </c>
      <c r="H8194" s="548">
        <v>5.3999999999999999E-2</v>
      </c>
      <c r="I8194" s="412">
        <f>IF(AND(E8194&lt;&gt;"",G8194&lt;&gt;""),IF(D8194="",IF(G8194="OH",VLOOKUP(F8194,UPAH!$B$4:$H$101,7,0),VLOOKUP(F8194,#REF!,4,0)),0),0)</f>
        <v>0</v>
      </c>
      <c r="J8194" s="16">
        <f>H8194*I8194</f>
        <v>0</v>
      </c>
    </row>
    <row r="8195" spans="1:10" ht="13">
      <c r="A8195" s="27"/>
      <c r="B8195" s="110"/>
      <c r="D8195" s="409"/>
      <c r="E8195" s="13" t="s">
        <v>81</v>
      </c>
      <c r="F8195" s="13" t="s">
        <v>1921</v>
      </c>
      <c r="G8195" s="543" t="s">
        <v>48</v>
      </c>
      <c r="H8195" s="548">
        <v>0.09</v>
      </c>
      <c r="I8195" s="412">
        <f>IF(AND(E8195&lt;&gt;"",G8195&lt;&gt;""),IF(D8195="",IF(G8195="OH",VLOOKUP(F8195,UPAH!$B$4:$H$101,7,0),VLOOKUP(F8195,#REF!,4,0)),0),0)</f>
        <v>0</v>
      </c>
      <c r="J8195" s="16">
        <f>H8195*I8195</f>
        <v>0</v>
      </c>
    </row>
    <row r="8196" spans="1:10" ht="13">
      <c r="A8196" s="27"/>
      <c r="B8196" s="110"/>
      <c r="D8196" s="409"/>
      <c r="E8196" s="13" t="s">
        <v>50</v>
      </c>
      <c r="F8196" s="13" t="s">
        <v>1928</v>
      </c>
      <c r="G8196" s="543" t="s">
        <v>48</v>
      </c>
      <c r="H8196" s="548">
        <v>8.9999999999999993E-3</v>
      </c>
      <c r="I8196" s="412">
        <f>IF(AND(E8196&lt;&gt;"",G8196&lt;&gt;""),IF(D8196="",IF(G8196="OH",VLOOKUP(F8196,UPAH!$B$4:$H$101,7,0),VLOOKUP(F8196,#REF!,4,0)),0),0)</f>
        <v>0</v>
      </c>
      <c r="J8196" s="16">
        <f>H8196*I8196</f>
        <v>0</v>
      </c>
    </row>
    <row r="8197" spans="1:10" ht="13.5" thickBot="1">
      <c r="A8197" s="27"/>
      <c r="B8197" s="110"/>
      <c r="D8197" s="409"/>
      <c r="E8197" s="13" t="s">
        <v>51</v>
      </c>
      <c r="F8197" s="13" t="s">
        <v>1929</v>
      </c>
      <c r="G8197" s="543" t="s">
        <v>48</v>
      </c>
      <c r="H8197" s="548">
        <v>3.0000000000000001E-3</v>
      </c>
      <c r="I8197" s="412">
        <f>IF(AND(E8197&lt;&gt;"",G8197&lt;&gt;""),IF(D8197="",IF(G8197="OH",VLOOKUP(F8197,UPAH!$B$4:$H$101,7,0),VLOOKUP(F8197,#REF!,4,0)),0),0)</f>
        <v>0</v>
      </c>
      <c r="J8197" s="16">
        <f>H8197*I8197</f>
        <v>0</v>
      </c>
    </row>
    <row r="8198" spans="1:10" ht="13.5" thickBot="1">
      <c r="A8198" s="27"/>
      <c r="B8198" s="110"/>
      <c r="D8198" s="417"/>
      <c r="E8198" s="418"/>
      <c r="F8198" s="418"/>
      <c r="G8198" s="419"/>
      <c r="H8198" s="420" t="s">
        <v>52</v>
      </c>
      <c r="I8198" s="421"/>
      <c r="J8198" s="396">
        <f>SUM(J8194:J8197)</f>
        <v>0</v>
      </c>
    </row>
    <row r="8199" spans="1:10" ht="13">
      <c r="A8199" s="27"/>
      <c r="B8199" s="110"/>
      <c r="D8199" s="406" t="s">
        <v>53</v>
      </c>
      <c r="E8199" s="13" t="s">
        <v>54</v>
      </c>
      <c r="F8199" s="14"/>
      <c r="G8199" s="15"/>
      <c r="H8199" s="451"/>
      <c r="I8199" s="412"/>
      <c r="J8199" s="16"/>
    </row>
    <row r="8200" spans="1:10" ht="13">
      <c r="A8200" s="27"/>
      <c r="B8200" s="110"/>
      <c r="D8200" s="409"/>
      <c r="E8200" s="13" t="s">
        <v>278</v>
      </c>
      <c r="F8200" s="14"/>
      <c r="G8200" s="543" t="s">
        <v>268</v>
      </c>
      <c r="H8200" s="548">
        <v>1.2</v>
      </c>
      <c r="I8200" s="412">
        <f>'BAHAN '!G349</f>
        <v>0</v>
      </c>
      <c r="J8200" s="16">
        <f>H8200*I8200</f>
        <v>0</v>
      </c>
    </row>
    <row r="8201" spans="1:10" ht="13.5" thickBot="1">
      <c r="A8201" s="27"/>
      <c r="B8201" s="110"/>
      <c r="D8201" s="409"/>
      <c r="E8201" s="13" t="s">
        <v>253</v>
      </c>
      <c r="F8201" s="14"/>
      <c r="G8201" s="543" t="s">
        <v>160</v>
      </c>
      <c r="H8201" s="548">
        <v>35</v>
      </c>
      <c r="I8201" s="412">
        <f>J8200/100</f>
        <v>0</v>
      </c>
      <c r="J8201" s="16">
        <f>H8201*I8201</f>
        <v>0</v>
      </c>
    </row>
    <row r="8202" spans="1:10" ht="13.5" thickBot="1">
      <c r="A8202" s="27"/>
      <c r="B8202" s="110"/>
      <c r="D8202" s="417"/>
      <c r="E8202" s="418"/>
      <c r="F8202" s="418"/>
      <c r="G8202" s="419"/>
      <c r="H8202" s="420" t="s">
        <v>64</v>
      </c>
      <c r="I8202" s="421"/>
      <c r="J8202" s="396">
        <f>SUM(J8200:J8201)</f>
        <v>0</v>
      </c>
    </row>
    <row r="8203" spans="1:10" ht="13.5" thickBot="1">
      <c r="A8203" s="27"/>
      <c r="B8203" s="110"/>
      <c r="D8203" s="406" t="s">
        <v>65</v>
      </c>
      <c r="E8203" s="13" t="s">
        <v>66</v>
      </c>
      <c r="F8203" s="14"/>
      <c r="G8203" s="15"/>
      <c r="H8203" s="451"/>
      <c r="I8203" s="412">
        <f>IF(AND(E8203&lt;&gt;"",G8203&lt;&gt;""),IF(D8203="",IF(G8203="OH",VLOOKUP(E8203,UPAH!$C$4:$H$31,7,0),VLOOKUP(E8203,#REF!,4,0)),0),0)</f>
        <v>0</v>
      </c>
      <c r="J8203" s="16">
        <f>H8203*I8203</f>
        <v>0</v>
      </c>
    </row>
    <row r="8204" spans="1:10" ht="13.5" thickBot="1">
      <c r="A8204" s="27"/>
      <c r="B8204" s="110"/>
      <c r="D8204" s="417"/>
      <c r="E8204" s="418"/>
      <c r="F8204" s="418"/>
      <c r="G8204" s="419"/>
      <c r="H8204" s="420" t="s">
        <v>67</v>
      </c>
      <c r="I8204" s="421"/>
      <c r="J8204" s="396">
        <f>J8203</f>
        <v>0</v>
      </c>
    </row>
    <row r="8205" spans="1:10" ht="13">
      <c r="A8205" s="27"/>
      <c r="B8205" s="110"/>
      <c r="D8205" s="444" t="s">
        <v>68</v>
      </c>
      <c r="E8205" s="445" t="s">
        <v>69</v>
      </c>
      <c r="F8205" s="446"/>
      <c r="G8205" s="447"/>
      <c r="H8205" s="448"/>
      <c r="I8205" s="449">
        <f>IF(AND(E8205&lt;&gt;"",G8205&lt;&gt;""),IF(D8205="",IF(G8205="OH",VLOOKUP(E8205,UPAH!$C$4:$H$31,7,0),VLOOKUP(E8205,#REF!,4,0)),0),0)</f>
        <v>0</v>
      </c>
      <c r="J8205" s="16">
        <f>SUM(J8194:J8204)/2</f>
        <v>0</v>
      </c>
    </row>
    <row r="8206" spans="1:10" ht="13.5" thickBot="1">
      <c r="A8206" s="27"/>
      <c r="B8206" s="110"/>
      <c r="D8206" s="431" t="s">
        <v>70</v>
      </c>
      <c r="E8206" s="432" t="s">
        <v>477</v>
      </c>
      <c r="F8206" s="433"/>
      <c r="G8206" s="434"/>
      <c r="H8206" s="22">
        <v>0.1</v>
      </c>
      <c r="I8206" s="436"/>
      <c r="J8206" s="430">
        <f>H8206*J8205</f>
        <v>0</v>
      </c>
    </row>
    <row r="8207" spans="1:10" ht="13.5" thickBot="1">
      <c r="A8207" s="27"/>
      <c r="B8207" s="110"/>
      <c r="D8207" s="401" t="s">
        <v>71</v>
      </c>
      <c r="E8207" s="402" t="s">
        <v>72</v>
      </c>
      <c r="F8207" s="418"/>
      <c r="G8207" s="419"/>
      <c r="H8207" s="442"/>
      <c r="I8207" s="421">
        <f>IF(AND(E8207&lt;&gt;"",G8207&lt;&gt;""),IF(D8207="",IF(G8207="OH",VLOOKUP(E8207,UPAH!$C$4:$H$31,7,0),VLOOKUP(E8207,#REF!,4,0)),0),0)</f>
        <v>0</v>
      </c>
      <c r="J8207" s="396">
        <f>ROUNDDOWN(J8205+J8206,0)</f>
        <v>0</v>
      </c>
    </row>
    <row r="8208" spans="1:10" ht="13">
      <c r="A8208" s="27"/>
      <c r="B8208" s="110"/>
      <c r="D8208" s="11"/>
      <c r="E8208" s="11"/>
      <c r="H8208" s="443"/>
    </row>
    <row r="8209" spans="1:10" ht="13.5" thickBot="1">
      <c r="A8209" s="27"/>
      <c r="B8209" s="110"/>
      <c r="C8209" s="11" t="s">
        <v>1360</v>
      </c>
      <c r="D8209" s="10" t="s">
        <v>1361</v>
      </c>
      <c r="H8209" s="443"/>
    </row>
    <row r="8210" spans="1:10" ht="13.5" thickBot="1">
      <c r="A8210" s="27"/>
      <c r="B8210" s="110"/>
      <c r="D8210" s="401" t="s">
        <v>40</v>
      </c>
      <c r="E8210" s="402" t="s">
        <v>41</v>
      </c>
      <c r="F8210" s="402" t="s">
        <v>42</v>
      </c>
      <c r="G8210" s="403" t="s">
        <v>43</v>
      </c>
      <c r="H8210" s="404" t="s">
        <v>44</v>
      </c>
      <c r="I8210" s="402" t="s">
        <v>474</v>
      </c>
      <c r="J8210" s="405" t="s">
        <v>475</v>
      </c>
    </row>
    <row r="8211" spans="1:10" ht="13">
      <c r="A8211" s="27"/>
      <c r="B8211" s="110"/>
      <c r="D8211" s="444" t="s">
        <v>45</v>
      </c>
      <c r="E8211" s="445" t="s">
        <v>46</v>
      </c>
      <c r="F8211" s="446"/>
      <c r="G8211" s="447"/>
      <c r="H8211" s="448"/>
      <c r="I8211" s="449"/>
      <c r="J8211" s="450"/>
    </row>
    <row r="8212" spans="1:10" ht="13">
      <c r="A8212" s="27"/>
      <c r="B8212" s="110"/>
      <c r="D8212" s="409"/>
      <c r="E8212" s="13" t="s">
        <v>47</v>
      </c>
      <c r="F8212" s="13" t="s">
        <v>1918</v>
      </c>
      <c r="G8212" s="543" t="s">
        <v>48</v>
      </c>
      <c r="H8212" s="548">
        <v>5.3999999999999999E-2</v>
      </c>
      <c r="I8212" s="412">
        <f>IF(AND(E8212&lt;&gt;"",G8212&lt;&gt;""),IF(D8212="",IF(G8212="OH",VLOOKUP(F8212,UPAH!$B$4:$H$101,7,0),VLOOKUP(F8212,#REF!,4,0)),0),0)</f>
        <v>0</v>
      </c>
      <c r="J8212" s="16">
        <f>H8212*I8212</f>
        <v>0</v>
      </c>
    </row>
    <row r="8213" spans="1:10" ht="13">
      <c r="A8213" s="27"/>
      <c r="B8213" s="110"/>
      <c r="D8213" s="409"/>
      <c r="E8213" s="13" t="s">
        <v>81</v>
      </c>
      <c r="F8213" s="13" t="s">
        <v>1921</v>
      </c>
      <c r="G8213" s="543" t="s">
        <v>48</v>
      </c>
      <c r="H8213" s="548">
        <v>0.09</v>
      </c>
      <c r="I8213" s="412">
        <f>IF(AND(E8213&lt;&gt;"",G8213&lt;&gt;""),IF(D8213="",IF(G8213="OH",VLOOKUP(F8213,UPAH!$B$4:$H$101,7,0),VLOOKUP(F8213,#REF!,4,0)),0),0)</f>
        <v>0</v>
      </c>
      <c r="J8213" s="16">
        <f>H8213*I8213</f>
        <v>0</v>
      </c>
    </row>
    <row r="8214" spans="1:10" ht="13">
      <c r="A8214" s="27"/>
      <c r="B8214" s="110"/>
      <c r="D8214" s="409"/>
      <c r="E8214" s="13" t="s">
        <v>50</v>
      </c>
      <c r="F8214" s="13" t="s">
        <v>1928</v>
      </c>
      <c r="G8214" s="543" t="s">
        <v>48</v>
      </c>
      <c r="H8214" s="548">
        <v>8.9999999999999993E-3</v>
      </c>
      <c r="I8214" s="412">
        <f>IF(AND(E8214&lt;&gt;"",G8214&lt;&gt;""),IF(D8214="",IF(G8214="OH",VLOOKUP(F8214,UPAH!$B$4:$H$101,7,0),VLOOKUP(F8214,#REF!,4,0)),0),0)</f>
        <v>0</v>
      </c>
      <c r="J8214" s="16">
        <f>H8214*I8214</f>
        <v>0</v>
      </c>
    </row>
    <row r="8215" spans="1:10" ht="13.5" thickBot="1">
      <c r="A8215" s="27"/>
      <c r="B8215" s="110"/>
      <c r="D8215" s="409"/>
      <c r="E8215" s="13" t="s">
        <v>51</v>
      </c>
      <c r="F8215" s="13" t="s">
        <v>1929</v>
      </c>
      <c r="G8215" s="543" t="s">
        <v>48</v>
      </c>
      <c r="H8215" s="548">
        <v>3.0000000000000001E-3</v>
      </c>
      <c r="I8215" s="412">
        <f>IF(AND(E8215&lt;&gt;"",G8215&lt;&gt;""),IF(D8215="",IF(G8215="OH",VLOOKUP(F8215,UPAH!$B$4:$H$101,7,0),VLOOKUP(F8215,#REF!,4,0)),0),0)</f>
        <v>0</v>
      </c>
      <c r="J8215" s="16">
        <f>H8215*I8215</f>
        <v>0</v>
      </c>
    </row>
    <row r="8216" spans="1:10" ht="13.5" thickBot="1">
      <c r="A8216" s="27"/>
      <c r="B8216" s="110"/>
      <c r="D8216" s="417"/>
      <c r="E8216" s="418"/>
      <c r="F8216" s="418"/>
      <c r="G8216" s="419"/>
      <c r="H8216" s="420" t="s">
        <v>52</v>
      </c>
      <c r="I8216" s="421"/>
      <c r="J8216" s="396">
        <f>SUM(J8212:J8215)</f>
        <v>0</v>
      </c>
    </row>
    <row r="8217" spans="1:10" ht="13">
      <c r="A8217" s="27"/>
      <c r="B8217" s="110"/>
      <c r="D8217" s="406" t="s">
        <v>53</v>
      </c>
      <c r="E8217" s="13" t="s">
        <v>54</v>
      </c>
      <c r="F8217" s="14"/>
      <c r="G8217" s="15"/>
      <c r="H8217" s="451"/>
      <c r="I8217" s="412"/>
      <c r="J8217" s="16"/>
    </row>
    <row r="8218" spans="1:10" ht="13">
      <c r="A8218" s="27"/>
      <c r="B8218" s="110"/>
      <c r="D8218" s="409"/>
      <c r="E8218" s="13" t="s">
        <v>279</v>
      </c>
      <c r="F8218" s="14"/>
      <c r="G8218" s="543" t="s">
        <v>268</v>
      </c>
      <c r="H8218" s="548">
        <v>1.2</v>
      </c>
      <c r="I8218" s="412">
        <f>'BAHAN '!G350</f>
        <v>0</v>
      </c>
      <c r="J8218" s="16">
        <f>H8218*I8218</f>
        <v>0</v>
      </c>
    </row>
    <row r="8219" spans="1:10" ht="13.5" thickBot="1">
      <c r="A8219" s="27"/>
      <c r="B8219" s="110"/>
      <c r="D8219" s="409"/>
      <c r="E8219" s="13" t="s">
        <v>253</v>
      </c>
      <c r="F8219" s="14"/>
      <c r="G8219" s="543" t="s">
        <v>160</v>
      </c>
      <c r="H8219" s="548">
        <v>35</v>
      </c>
      <c r="I8219" s="412">
        <f>J8218/100</f>
        <v>0</v>
      </c>
      <c r="J8219" s="16">
        <f>H8219*I8219</f>
        <v>0</v>
      </c>
    </row>
    <row r="8220" spans="1:10" ht="13.5" thickBot="1">
      <c r="A8220" s="27"/>
      <c r="B8220" s="110"/>
      <c r="D8220" s="417"/>
      <c r="E8220" s="418"/>
      <c r="F8220" s="418"/>
      <c r="G8220" s="419"/>
      <c r="H8220" s="420" t="s">
        <v>64</v>
      </c>
      <c r="I8220" s="421"/>
      <c r="J8220" s="396">
        <f>SUM(J8218:J8219)</f>
        <v>0</v>
      </c>
    </row>
    <row r="8221" spans="1:10" ht="13.5" thickBot="1">
      <c r="A8221" s="27"/>
      <c r="B8221" s="110"/>
      <c r="D8221" s="406" t="s">
        <v>65</v>
      </c>
      <c r="E8221" s="13" t="s">
        <v>66</v>
      </c>
      <c r="F8221" s="14"/>
      <c r="G8221" s="15"/>
      <c r="H8221" s="451"/>
      <c r="I8221" s="412">
        <f>IF(AND(E8221&lt;&gt;"",G8221&lt;&gt;""),IF(D8221="",IF(G8221="OH",VLOOKUP(E8221,UPAH!$C$4:$H$31,7,0),VLOOKUP(E8221,#REF!,4,0)),0),0)</f>
        <v>0</v>
      </c>
      <c r="J8221" s="16">
        <f>H8221*I8221</f>
        <v>0</v>
      </c>
    </row>
    <row r="8222" spans="1:10" ht="13.5" thickBot="1">
      <c r="A8222" s="27"/>
      <c r="B8222" s="110"/>
      <c r="D8222" s="417"/>
      <c r="E8222" s="418"/>
      <c r="F8222" s="418"/>
      <c r="G8222" s="419"/>
      <c r="H8222" s="420" t="s">
        <v>67</v>
      </c>
      <c r="I8222" s="421"/>
      <c r="J8222" s="396">
        <f>J8221</f>
        <v>0</v>
      </c>
    </row>
    <row r="8223" spans="1:10" ht="13">
      <c r="A8223" s="27"/>
      <c r="B8223" s="110"/>
      <c r="D8223" s="444" t="s">
        <v>68</v>
      </c>
      <c r="E8223" s="445" t="s">
        <v>69</v>
      </c>
      <c r="F8223" s="446"/>
      <c r="G8223" s="447"/>
      <c r="H8223" s="448"/>
      <c r="I8223" s="449">
        <f>IF(AND(E8223&lt;&gt;"",G8223&lt;&gt;""),IF(D8223="",IF(G8223="OH",VLOOKUP(E8223,UPAH!$C$4:$H$31,7,0),VLOOKUP(E8223,#REF!,4,0)),0),0)</f>
        <v>0</v>
      </c>
      <c r="J8223" s="16">
        <f>SUM(J8212:J8222)/2</f>
        <v>0</v>
      </c>
    </row>
    <row r="8224" spans="1:10" ht="13.5" thickBot="1">
      <c r="A8224" s="27"/>
      <c r="B8224" s="110"/>
      <c r="D8224" s="431" t="s">
        <v>70</v>
      </c>
      <c r="E8224" s="432" t="s">
        <v>477</v>
      </c>
      <c r="F8224" s="433"/>
      <c r="G8224" s="434"/>
      <c r="H8224" s="22">
        <v>0.1</v>
      </c>
      <c r="I8224" s="436"/>
      <c r="J8224" s="430">
        <f>H8224*J8223</f>
        <v>0</v>
      </c>
    </row>
    <row r="8225" spans="1:10" ht="13.5" thickBot="1">
      <c r="A8225" s="27"/>
      <c r="B8225" s="110"/>
      <c r="D8225" s="401" t="s">
        <v>71</v>
      </c>
      <c r="E8225" s="402" t="s">
        <v>72</v>
      </c>
      <c r="F8225" s="418"/>
      <c r="G8225" s="419"/>
      <c r="H8225" s="442"/>
      <c r="I8225" s="421">
        <f>IF(AND(E8225&lt;&gt;"",G8225&lt;&gt;""),IF(D8225="",IF(G8225="OH",VLOOKUP(E8225,UPAH!$C$4:$H$31,7,0),VLOOKUP(E8225,#REF!,4,0)),0),0)</f>
        <v>0</v>
      </c>
      <c r="J8225" s="396">
        <f>ROUNDDOWN(J8223+J8224,0)</f>
        <v>0</v>
      </c>
    </row>
    <row r="8226" spans="1:10" ht="13">
      <c r="A8226" s="27"/>
      <c r="B8226" s="110"/>
      <c r="D8226" s="11"/>
      <c r="E8226" s="11"/>
      <c r="H8226" s="443"/>
    </row>
    <row r="8227" spans="1:10" ht="13.5" thickBot="1">
      <c r="A8227" s="27"/>
      <c r="B8227" s="110"/>
      <c r="C8227" s="11" t="s">
        <v>1362</v>
      </c>
      <c r="D8227" s="10" t="s">
        <v>1363</v>
      </c>
      <c r="H8227" s="443"/>
    </row>
    <row r="8228" spans="1:10" ht="13.5" thickBot="1">
      <c r="A8228" s="27"/>
      <c r="B8228" s="110"/>
      <c r="D8228" s="401" t="s">
        <v>40</v>
      </c>
      <c r="E8228" s="402" t="s">
        <v>41</v>
      </c>
      <c r="F8228" s="402" t="s">
        <v>42</v>
      </c>
      <c r="G8228" s="403" t="s">
        <v>43</v>
      </c>
      <c r="H8228" s="404" t="s">
        <v>44</v>
      </c>
      <c r="I8228" s="402" t="s">
        <v>474</v>
      </c>
      <c r="J8228" s="405" t="s">
        <v>475</v>
      </c>
    </row>
    <row r="8229" spans="1:10" ht="13">
      <c r="A8229" s="27"/>
      <c r="B8229" s="110"/>
      <c r="D8229" s="444" t="s">
        <v>45</v>
      </c>
      <c r="E8229" s="445" t="s">
        <v>46</v>
      </c>
      <c r="F8229" s="446"/>
      <c r="G8229" s="447"/>
      <c r="H8229" s="448"/>
      <c r="I8229" s="449"/>
      <c r="J8229" s="450"/>
    </row>
    <row r="8230" spans="1:10" ht="13">
      <c r="A8230" s="27"/>
      <c r="B8230" s="110"/>
      <c r="D8230" s="409"/>
      <c r="E8230" s="13" t="s">
        <v>47</v>
      </c>
      <c r="F8230" s="13" t="s">
        <v>1918</v>
      </c>
      <c r="G8230" s="543" t="s">
        <v>48</v>
      </c>
      <c r="H8230" s="548">
        <v>8.1000000000000003E-2</v>
      </c>
      <c r="I8230" s="412">
        <f>IF(AND(E8230&lt;&gt;"",G8230&lt;&gt;""),IF(D8230="",IF(G8230="OH",VLOOKUP(F8230,UPAH!$B$4:$H$101,7,0),VLOOKUP(F8230,#REF!,4,0)),0),0)</f>
        <v>0</v>
      </c>
      <c r="J8230" s="16">
        <f>H8230*I8230</f>
        <v>0</v>
      </c>
    </row>
    <row r="8231" spans="1:10" ht="13">
      <c r="A8231" s="27"/>
      <c r="B8231" s="110"/>
      <c r="D8231" s="409"/>
      <c r="E8231" s="13" t="s">
        <v>81</v>
      </c>
      <c r="F8231" s="13" t="s">
        <v>1921</v>
      </c>
      <c r="G8231" s="543" t="s">
        <v>48</v>
      </c>
      <c r="H8231" s="548">
        <v>0.13500000000000001</v>
      </c>
      <c r="I8231" s="412">
        <f>IF(AND(E8231&lt;&gt;"",G8231&lt;&gt;""),IF(D8231="",IF(G8231="OH",VLOOKUP(F8231,UPAH!$B$4:$H$101,7,0),VLOOKUP(F8231,#REF!,4,0)),0),0)</f>
        <v>0</v>
      </c>
      <c r="J8231" s="16">
        <f>H8231*I8231</f>
        <v>0</v>
      </c>
    </row>
    <row r="8232" spans="1:10" ht="13">
      <c r="A8232" s="27"/>
      <c r="B8232" s="110"/>
      <c r="D8232" s="409"/>
      <c r="E8232" s="13" t="s">
        <v>50</v>
      </c>
      <c r="F8232" s="13" t="s">
        <v>1928</v>
      </c>
      <c r="G8232" s="543" t="s">
        <v>48</v>
      </c>
      <c r="H8232" s="548">
        <v>1.35E-2</v>
      </c>
      <c r="I8232" s="412">
        <f>IF(AND(E8232&lt;&gt;"",G8232&lt;&gt;""),IF(D8232="",IF(G8232="OH",VLOOKUP(F8232,UPAH!$B$4:$H$101,7,0),VLOOKUP(F8232,#REF!,4,0)),0),0)</f>
        <v>0</v>
      </c>
      <c r="J8232" s="16">
        <f>H8232*I8232</f>
        <v>0</v>
      </c>
    </row>
    <row r="8233" spans="1:10" ht="13.5" thickBot="1">
      <c r="A8233" s="27"/>
      <c r="B8233" s="110"/>
      <c r="D8233" s="409"/>
      <c r="E8233" s="13" t="s">
        <v>51</v>
      </c>
      <c r="F8233" s="13" t="s">
        <v>1929</v>
      </c>
      <c r="G8233" s="543" t="s">
        <v>48</v>
      </c>
      <c r="H8233" s="548">
        <v>4.0000000000000001E-3</v>
      </c>
      <c r="I8233" s="412">
        <f>IF(AND(E8233&lt;&gt;"",G8233&lt;&gt;""),IF(D8233="",IF(G8233="OH",VLOOKUP(F8233,UPAH!$B$4:$H$101,7,0),VLOOKUP(F8233,#REF!,4,0)),0),0)</f>
        <v>0</v>
      </c>
      <c r="J8233" s="16">
        <f>H8233*I8233</f>
        <v>0</v>
      </c>
    </row>
    <row r="8234" spans="1:10" ht="13.5" thickBot="1">
      <c r="A8234" s="27"/>
      <c r="B8234" s="110"/>
      <c r="D8234" s="417"/>
      <c r="E8234" s="418"/>
      <c r="F8234" s="418"/>
      <c r="G8234" s="419"/>
      <c r="H8234" s="420" t="s">
        <v>52</v>
      </c>
      <c r="I8234" s="421"/>
      <c r="J8234" s="396">
        <f>SUM(J8230:J8233)</f>
        <v>0</v>
      </c>
    </row>
    <row r="8235" spans="1:10" ht="13">
      <c r="A8235" s="27"/>
      <c r="B8235" s="110"/>
      <c r="D8235" s="406" t="s">
        <v>53</v>
      </c>
      <c r="E8235" s="13" t="s">
        <v>54</v>
      </c>
      <c r="F8235" s="14"/>
      <c r="G8235" s="15"/>
      <c r="H8235" s="451"/>
      <c r="I8235" s="412"/>
      <c r="J8235" s="16"/>
    </row>
    <row r="8236" spans="1:10" ht="13">
      <c r="A8236" s="27"/>
      <c r="B8236" s="110"/>
      <c r="D8236" s="409"/>
      <c r="E8236" s="13" t="s">
        <v>280</v>
      </c>
      <c r="F8236" s="14"/>
      <c r="G8236" s="543" t="s">
        <v>268</v>
      </c>
      <c r="H8236" s="548">
        <v>1.2</v>
      </c>
      <c r="I8236" s="412">
        <f>'BAHAN '!G350</f>
        <v>0</v>
      </c>
      <c r="J8236" s="16">
        <f>H8236*I8236</f>
        <v>0</v>
      </c>
    </row>
    <row r="8237" spans="1:10" ht="13.5" thickBot="1">
      <c r="A8237" s="27"/>
      <c r="B8237" s="110"/>
      <c r="D8237" s="409"/>
      <c r="E8237" s="13" t="s">
        <v>253</v>
      </c>
      <c r="F8237" s="14"/>
      <c r="G8237" s="543" t="s">
        <v>160</v>
      </c>
      <c r="H8237" s="548">
        <v>35</v>
      </c>
      <c r="I8237" s="412">
        <f>J8236/100</f>
        <v>0</v>
      </c>
      <c r="J8237" s="16">
        <f>H8237*I8237</f>
        <v>0</v>
      </c>
    </row>
    <row r="8238" spans="1:10" ht="13.5" thickBot="1">
      <c r="A8238" s="27"/>
      <c r="B8238" s="110"/>
      <c r="D8238" s="417"/>
      <c r="E8238" s="418"/>
      <c r="F8238" s="418"/>
      <c r="G8238" s="419"/>
      <c r="H8238" s="420" t="s">
        <v>64</v>
      </c>
      <c r="I8238" s="421"/>
      <c r="J8238" s="396">
        <f>SUM(J8236:J8237)</f>
        <v>0</v>
      </c>
    </row>
    <row r="8239" spans="1:10" ht="13.5" thickBot="1">
      <c r="A8239" s="27"/>
      <c r="B8239" s="110"/>
      <c r="D8239" s="406" t="s">
        <v>65</v>
      </c>
      <c r="E8239" s="13" t="s">
        <v>66</v>
      </c>
      <c r="F8239" s="14"/>
      <c r="G8239" s="15"/>
      <c r="H8239" s="451"/>
      <c r="I8239" s="412">
        <f>IF(AND(E8239&lt;&gt;"",G8239&lt;&gt;""),IF(D8239="",IF(G8239="OH",VLOOKUP(E8239,UPAH!$C$4:$H$31,7,0),VLOOKUP(E8239,#REF!,4,0)),0),0)</f>
        <v>0</v>
      </c>
      <c r="J8239" s="16">
        <f>H8239*I8239</f>
        <v>0</v>
      </c>
    </row>
    <row r="8240" spans="1:10" ht="13.5" thickBot="1">
      <c r="A8240" s="27"/>
      <c r="B8240" s="110"/>
      <c r="D8240" s="417"/>
      <c r="E8240" s="418"/>
      <c r="F8240" s="418"/>
      <c r="G8240" s="419"/>
      <c r="H8240" s="420" t="s">
        <v>67</v>
      </c>
      <c r="I8240" s="421"/>
      <c r="J8240" s="396">
        <f>J8239</f>
        <v>0</v>
      </c>
    </row>
    <row r="8241" spans="1:10" ht="13">
      <c r="A8241" s="27"/>
      <c r="B8241" s="110"/>
      <c r="D8241" s="444" t="s">
        <v>68</v>
      </c>
      <c r="E8241" s="445" t="s">
        <v>69</v>
      </c>
      <c r="F8241" s="446"/>
      <c r="G8241" s="447"/>
      <c r="H8241" s="448"/>
      <c r="I8241" s="449">
        <f>IF(AND(E8241&lt;&gt;"",G8241&lt;&gt;""),IF(D8241="",IF(G8241="OH",VLOOKUP(E8241,UPAH!$C$4:$H$31,7,0),VLOOKUP(E8241,#REF!,4,0)),0),0)</f>
        <v>0</v>
      </c>
      <c r="J8241" s="16">
        <f>SUM(J8230:J8240)/2</f>
        <v>0</v>
      </c>
    </row>
    <row r="8242" spans="1:10" ht="13.5" thickBot="1">
      <c r="A8242" s="27"/>
      <c r="B8242" s="110"/>
      <c r="D8242" s="431" t="s">
        <v>70</v>
      </c>
      <c r="E8242" s="432" t="s">
        <v>477</v>
      </c>
      <c r="F8242" s="433"/>
      <c r="G8242" s="434"/>
      <c r="H8242" s="22">
        <v>0.1</v>
      </c>
      <c r="I8242" s="436"/>
      <c r="J8242" s="430">
        <f>H8242*J8241</f>
        <v>0</v>
      </c>
    </row>
    <row r="8243" spans="1:10" ht="13.5" thickBot="1">
      <c r="A8243" s="27"/>
      <c r="B8243" s="110"/>
      <c r="D8243" s="401" t="s">
        <v>71</v>
      </c>
      <c r="E8243" s="402" t="s">
        <v>72</v>
      </c>
      <c r="F8243" s="418"/>
      <c r="G8243" s="419"/>
      <c r="H8243" s="442"/>
      <c r="I8243" s="421">
        <f>IF(AND(E8243&lt;&gt;"",G8243&lt;&gt;""),IF(D8243="",IF(G8243="OH",VLOOKUP(E8243,UPAH!$C$4:$H$31,7,0),VLOOKUP(E8243,#REF!,4,0)),0),0)</f>
        <v>0</v>
      </c>
      <c r="J8243" s="396">
        <f>ROUNDDOWN(J8241+J8242,0)</f>
        <v>0</v>
      </c>
    </row>
    <row r="8244" spans="1:10" ht="13">
      <c r="A8244" s="27"/>
      <c r="B8244" s="110"/>
      <c r="D8244" s="11"/>
      <c r="E8244" s="11"/>
      <c r="H8244" s="443"/>
    </row>
    <row r="8245" spans="1:10" ht="13.5" thickBot="1">
      <c r="A8245" s="27"/>
      <c r="B8245" s="110"/>
      <c r="C8245" s="11" t="s">
        <v>1364</v>
      </c>
      <c r="D8245" s="10" t="s">
        <v>1365</v>
      </c>
      <c r="H8245" s="443"/>
    </row>
    <row r="8246" spans="1:10" ht="13.5" thickBot="1">
      <c r="A8246" s="27"/>
      <c r="B8246" s="110"/>
      <c r="D8246" s="401" t="s">
        <v>40</v>
      </c>
      <c r="E8246" s="402" t="s">
        <v>41</v>
      </c>
      <c r="F8246" s="402" t="s">
        <v>42</v>
      </c>
      <c r="G8246" s="403" t="s">
        <v>43</v>
      </c>
      <c r="H8246" s="404" t="s">
        <v>44</v>
      </c>
      <c r="I8246" s="402" t="s">
        <v>474</v>
      </c>
      <c r="J8246" s="405" t="s">
        <v>475</v>
      </c>
    </row>
    <row r="8247" spans="1:10" ht="13">
      <c r="A8247" s="27"/>
      <c r="B8247" s="110"/>
      <c r="D8247" s="444" t="s">
        <v>45</v>
      </c>
      <c r="E8247" s="445" t="s">
        <v>46</v>
      </c>
      <c r="F8247" s="446"/>
      <c r="G8247" s="447"/>
      <c r="H8247" s="448"/>
      <c r="I8247" s="449"/>
      <c r="J8247" s="450"/>
    </row>
    <row r="8248" spans="1:10" ht="13">
      <c r="A8248" s="27"/>
      <c r="B8248" s="110"/>
      <c r="D8248" s="409"/>
      <c r="E8248" s="13" t="s">
        <v>47</v>
      </c>
      <c r="F8248" s="13" t="s">
        <v>1918</v>
      </c>
      <c r="G8248" s="543" t="s">
        <v>48</v>
      </c>
      <c r="H8248" s="548">
        <v>8.1000000000000003E-2</v>
      </c>
      <c r="I8248" s="412">
        <f>IF(AND(E8248&lt;&gt;"",G8248&lt;&gt;""),IF(D8248="",IF(G8248="OH",VLOOKUP(F8248,UPAH!$B$4:$H$101,7,0),VLOOKUP(F8248,#REF!,4,0)),0),0)</f>
        <v>0</v>
      </c>
      <c r="J8248" s="16">
        <f>H8248*I8248</f>
        <v>0</v>
      </c>
    </row>
    <row r="8249" spans="1:10" ht="13">
      <c r="A8249" s="27"/>
      <c r="B8249" s="110"/>
      <c r="D8249" s="409"/>
      <c r="E8249" s="13" t="s">
        <v>81</v>
      </c>
      <c r="F8249" s="13" t="s">
        <v>1921</v>
      </c>
      <c r="G8249" s="543" t="s">
        <v>48</v>
      </c>
      <c r="H8249" s="548">
        <v>0.13500000000000001</v>
      </c>
      <c r="I8249" s="412">
        <f>IF(AND(E8249&lt;&gt;"",G8249&lt;&gt;""),IF(D8249="",IF(G8249="OH",VLOOKUP(F8249,UPAH!$B$4:$H$101,7,0),VLOOKUP(F8249,#REF!,4,0)),0),0)</f>
        <v>0</v>
      </c>
      <c r="J8249" s="16">
        <f>H8249*I8249</f>
        <v>0</v>
      </c>
    </row>
    <row r="8250" spans="1:10" ht="13">
      <c r="A8250" s="27"/>
      <c r="B8250" s="110"/>
      <c r="D8250" s="409"/>
      <c r="E8250" s="13" t="s">
        <v>50</v>
      </c>
      <c r="F8250" s="13" t="s">
        <v>1928</v>
      </c>
      <c r="G8250" s="543" t="s">
        <v>48</v>
      </c>
      <c r="H8250" s="548">
        <v>1.35E-2</v>
      </c>
      <c r="I8250" s="412">
        <f>IF(AND(E8250&lt;&gt;"",G8250&lt;&gt;""),IF(D8250="",IF(G8250="OH",VLOOKUP(F8250,UPAH!$B$4:$H$101,7,0),VLOOKUP(F8250,#REF!,4,0)),0),0)</f>
        <v>0</v>
      </c>
      <c r="J8250" s="16">
        <f>H8250*I8250</f>
        <v>0</v>
      </c>
    </row>
    <row r="8251" spans="1:10" ht="13.5" thickBot="1">
      <c r="A8251" s="27"/>
      <c r="B8251" s="110"/>
      <c r="D8251" s="409"/>
      <c r="E8251" s="13" t="s">
        <v>51</v>
      </c>
      <c r="F8251" s="13" t="s">
        <v>1929</v>
      </c>
      <c r="G8251" s="543" t="s">
        <v>48</v>
      </c>
      <c r="H8251" s="548">
        <v>4.0000000000000001E-3</v>
      </c>
      <c r="I8251" s="412">
        <f>IF(AND(E8251&lt;&gt;"",G8251&lt;&gt;""),IF(D8251="",IF(G8251="OH",VLOOKUP(F8251,UPAH!$B$4:$H$101,7,0),VLOOKUP(F8251,#REF!,4,0)),0),0)</f>
        <v>0</v>
      </c>
      <c r="J8251" s="16">
        <f>H8251*I8251</f>
        <v>0</v>
      </c>
    </row>
    <row r="8252" spans="1:10" ht="13.5" thickBot="1">
      <c r="A8252" s="27"/>
      <c r="B8252" s="110"/>
      <c r="D8252" s="417"/>
      <c r="E8252" s="418"/>
      <c r="F8252" s="418"/>
      <c r="G8252" s="419"/>
      <c r="H8252" s="420" t="s">
        <v>52</v>
      </c>
      <c r="I8252" s="421"/>
      <c r="J8252" s="396">
        <f>SUM(J8248:J8251)</f>
        <v>0</v>
      </c>
    </row>
    <row r="8253" spans="1:10" ht="13">
      <c r="A8253" s="27"/>
      <c r="B8253" s="110"/>
      <c r="D8253" s="406" t="s">
        <v>53</v>
      </c>
      <c r="E8253" s="13" t="s">
        <v>54</v>
      </c>
      <c r="F8253" s="14"/>
      <c r="G8253" s="15"/>
      <c r="H8253" s="451"/>
      <c r="I8253" s="412"/>
      <c r="J8253" s="16"/>
    </row>
    <row r="8254" spans="1:10" ht="13">
      <c r="A8254" s="27"/>
      <c r="B8254" s="110"/>
      <c r="D8254" s="409"/>
      <c r="E8254" s="13" t="s">
        <v>281</v>
      </c>
      <c r="F8254" s="14"/>
      <c r="G8254" s="543" t="s">
        <v>268</v>
      </c>
      <c r="H8254" s="548">
        <v>1.2</v>
      </c>
      <c r="I8254" s="412">
        <f>'BAHAN '!G355</f>
        <v>0</v>
      </c>
      <c r="J8254" s="16">
        <f>H8254*I8254</f>
        <v>0</v>
      </c>
    </row>
    <row r="8255" spans="1:10" ht="13.5" thickBot="1">
      <c r="A8255" s="27"/>
      <c r="B8255" s="110"/>
      <c r="D8255" s="409"/>
      <c r="E8255" s="13" t="s">
        <v>253</v>
      </c>
      <c r="F8255" s="14"/>
      <c r="G8255" s="543" t="s">
        <v>160</v>
      </c>
      <c r="H8255" s="548">
        <v>35</v>
      </c>
      <c r="I8255" s="412">
        <f>J8254/100</f>
        <v>0</v>
      </c>
      <c r="J8255" s="16">
        <f>H8255*I8255</f>
        <v>0</v>
      </c>
    </row>
    <row r="8256" spans="1:10" ht="13.5" thickBot="1">
      <c r="A8256" s="27"/>
      <c r="B8256" s="110"/>
      <c r="D8256" s="417"/>
      <c r="E8256" s="418"/>
      <c r="F8256" s="418"/>
      <c r="G8256" s="419"/>
      <c r="H8256" s="420" t="s">
        <v>64</v>
      </c>
      <c r="I8256" s="421"/>
      <c r="J8256" s="396">
        <f>SUM(J8254:J8255)</f>
        <v>0</v>
      </c>
    </row>
    <row r="8257" spans="1:10" ht="13.5" thickBot="1">
      <c r="A8257" s="27"/>
      <c r="B8257" s="110"/>
      <c r="D8257" s="406" t="s">
        <v>65</v>
      </c>
      <c r="E8257" s="13" t="s">
        <v>66</v>
      </c>
      <c r="F8257" s="14"/>
      <c r="G8257" s="15"/>
      <c r="H8257" s="451"/>
      <c r="I8257" s="412">
        <f>IF(AND(E8257&lt;&gt;"",G8257&lt;&gt;""),IF(D8257="",IF(G8257="OH",VLOOKUP(E8257,UPAH!$C$4:$H$31,7,0),VLOOKUP(E8257,#REF!,4,0)),0),0)</f>
        <v>0</v>
      </c>
      <c r="J8257" s="16">
        <f>H8257*I8257</f>
        <v>0</v>
      </c>
    </row>
    <row r="8258" spans="1:10" ht="13.5" thickBot="1">
      <c r="A8258" s="27"/>
      <c r="B8258" s="110"/>
      <c r="D8258" s="417"/>
      <c r="E8258" s="418"/>
      <c r="F8258" s="418"/>
      <c r="G8258" s="419"/>
      <c r="H8258" s="420" t="s">
        <v>67</v>
      </c>
      <c r="I8258" s="421"/>
      <c r="J8258" s="396">
        <f>J8257</f>
        <v>0</v>
      </c>
    </row>
    <row r="8259" spans="1:10" ht="13">
      <c r="A8259" s="27"/>
      <c r="B8259" s="110"/>
      <c r="D8259" s="444" t="s">
        <v>68</v>
      </c>
      <c r="E8259" s="445" t="s">
        <v>69</v>
      </c>
      <c r="F8259" s="446"/>
      <c r="G8259" s="447"/>
      <c r="H8259" s="448"/>
      <c r="I8259" s="449">
        <f>IF(AND(E8259&lt;&gt;"",G8259&lt;&gt;""),IF(D8259="",IF(G8259="OH",VLOOKUP(E8259,UPAH!$C$4:$H$31,7,0),VLOOKUP(E8259,#REF!,4,0)),0),0)</f>
        <v>0</v>
      </c>
      <c r="J8259" s="16">
        <f>SUM(J8248:J8258)/2</f>
        <v>0</v>
      </c>
    </row>
    <row r="8260" spans="1:10" ht="13.5" thickBot="1">
      <c r="A8260" s="27"/>
      <c r="B8260" s="110"/>
      <c r="D8260" s="431" t="s">
        <v>70</v>
      </c>
      <c r="E8260" s="432" t="s">
        <v>477</v>
      </c>
      <c r="F8260" s="433"/>
      <c r="G8260" s="434"/>
      <c r="H8260" s="22">
        <v>0.1</v>
      </c>
      <c r="I8260" s="436"/>
      <c r="J8260" s="430">
        <f>H8260*J8259</f>
        <v>0</v>
      </c>
    </row>
    <row r="8261" spans="1:10" ht="13.5" thickBot="1">
      <c r="A8261" s="27"/>
      <c r="B8261" s="110"/>
      <c r="D8261" s="401" t="s">
        <v>71</v>
      </c>
      <c r="E8261" s="402" t="s">
        <v>72</v>
      </c>
      <c r="F8261" s="418"/>
      <c r="G8261" s="419"/>
      <c r="H8261" s="442"/>
      <c r="I8261" s="421">
        <f>IF(AND(E8261&lt;&gt;"",G8261&lt;&gt;""),IF(D8261="",IF(G8261="OH",VLOOKUP(E8261,UPAH!$C$4:$H$31,7,0),VLOOKUP(E8261,#REF!,4,0)),0),0)</f>
        <v>0</v>
      </c>
      <c r="J8261" s="396">
        <f>ROUNDDOWN(J8259+J8260,0)</f>
        <v>0</v>
      </c>
    </row>
    <row r="8262" spans="1:10" ht="13">
      <c r="A8262" s="27"/>
      <c r="B8262" s="110"/>
      <c r="D8262" s="11"/>
      <c r="E8262" s="11"/>
      <c r="H8262" s="443"/>
    </row>
    <row r="8263" spans="1:10" ht="13.5" thickBot="1">
      <c r="A8263" s="27"/>
      <c r="B8263" s="110"/>
      <c r="C8263" s="11" t="s">
        <v>1366</v>
      </c>
      <c r="D8263" s="10" t="s">
        <v>1367</v>
      </c>
      <c r="H8263" s="443"/>
    </row>
    <row r="8264" spans="1:10" ht="13.5" thickBot="1">
      <c r="A8264" s="27"/>
      <c r="B8264" s="110"/>
      <c r="D8264" s="401" t="s">
        <v>40</v>
      </c>
      <c r="E8264" s="402" t="s">
        <v>41</v>
      </c>
      <c r="F8264" s="402" t="s">
        <v>42</v>
      </c>
      <c r="G8264" s="403" t="s">
        <v>43</v>
      </c>
      <c r="H8264" s="404" t="s">
        <v>44</v>
      </c>
      <c r="I8264" s="402" t="s">
        <v>474</v>
      </c>
      <c r="J8264" s="405" t="s">
        <v>475</v>
      </c>
    </row>
    <row r="8265" spans="1:10" ht="13">
      <c r="A8265" s="27"/>
      <c r="B8265" s="110"/>
      <c r="D8265" s="444" t="s">
        <v>45</v>
      </c>
      <c r="E8265" s="445" t="s">
        <v>46</v>
      </c>
      <c r="F8265" s="446"/>
      <c r="G8265" s="447"/>
      <c r="H8265" s="448"/>
      <c r="I8265" s="449"/>
      <c r="J8265" s="450"/>
    </row>
    <row r="8266" spans="1:10" ht="13">
      <c r="A8266" s="27"/>
      <c r="B8266" s="110"/>
      <c r="D8266" s="409"/>
      <c r="E8266" s="13" t="s">
        <v>47</v>
      </c>
      <c r="F8266" s="13" t="s">
        <v>1918</v>
      </c>
      <c r="G8266" s="543" t="s">
        <v>48</v>
      </c>
      <c r="H8266" s="548">
        <v>8.1000000000000003E-2</v>
      </c>
      <c r="I8266" s="412">
        <f>IF(AND(E8266&lt;&gt;"",G8266&lt;&gt;""),IF(D8266="",IF(G8266="OH",VLOOKUP(F8266,UPAH!$B$4:$H$101,7,0),VLOOKUP(F8266,#REF!,4,0)),0),0)</f>
        <v>0</v>
      </c>
      <c r="J8266" s="16">
        <f>H8266*I8266</f>
        <v>0</v>
      </c>
    </row>
    <row r="8267" spans="1:10" ht="13">
      <c r="A8267" s="27"/>
      <c r="B8267" s="110"/>
      <c r="D8267" s="409"/>
      <c r="E8267" s="13" t="s">
        <v>81</v>
      </c>
      <c r="F8267" s="13" t="s">
        <v>1921</v>
      </c>
      <c r="G8267" s="543" t="s">
        <v>48</v>
      </c>
      <c r="H8267" s="548">
        <v>0.13500000000000001</v>
      </c>
      <c r="I8267" s="412">
        <f>IF(AND(E8267&lt;&gt;"",G8267&lt;&gt;""),IF(D8267="",IF(G8267="OH",VLOOKUP(F8267,UPAH!$B$4:$H$101,7,0),VLOOKUP(F8267,#REF!,4,0)),0),0)</f>
        <v>0</v>
      </c>
      <c r="J8267" s="16">
        <f>H8267*I8267</f>
        <v>0</v>
      </c>
    </row>
    <row r="8268" spans="1:10" ht="13">
      <c r="A8268" s="27"/>
      <c r="B8268" s="110"/>
      <c r="D8268" s="409"/>
      <c r="E8268" s="13" t="s">
        <v>50</v>
      </c>
      <c r="F8268" s="13" t="s">
        <v>1928</v>
      </c>
      <c r="G8268" s="543" t="s">
        <v>48</v>
      </c>
      <c r="H8268" s="548">
        <v>1.35E-2</v>
      </c>
      <c r="I8268" s="412">
        <f>IF(AND(E8268&lt;&gt;"",G8268&lt;&gt;""),IF(D8268="",IF(G8268="OH",VLOOKUP(F8268,UPAH!$B$4:$H$101,7,0),VLOOKUP(F8268,#REF!,4,0)),0),0)</f>
        <v>0</v>
      </c>
      <c r="J8268" s="16">
        <f>H8268*I8268</f>
        <v>0</v>
      </c>
    </row>
    <row r="8269" spans="1:10" ht="13.5" thickBot="1">
      <c r="A8269" s="27"/>
      <c r="B8269" s="110"/>
      <c r="D8269" s="409"/>
      <c r="E8269" s="13" t="s">
        <v>51</v>
      </c>
      <c r="F8269" s="13" t="s">
        <v>1929</v>
      </c>
      <c r="G8269" s="543" t="s">
        <v>48</v>
      </c>
      <c r="H8269" s="548">
        <v>4.0000000000000001E-3</v>
      </c>
      <c r="I8269" s="412">
        <f>IF(AND(E8269&lt;&gt;"",G8269&lt;&gt;""),IF(D8269="",IF(G8269="OH",VLOOKUP(F8269,UPAH!$B$4:$H$101,7,0),VLOOKUP(F8269,#REF!,4,0)),0),0)</f>
        <v>0</v>
      </c>
      <c r="J8269" s="16">
        <f>H8269*I8269</f>
        <v>0</v>
      </c>
    </row>
    <row r="8270" spans="1:10" ht="13.5" thickBot="1">
      <c r="A8270" s="27"/>
      <c r="B8270" s="110"/>
      <c r="D8270" s="417"/>
      <c r="E8270" s="418"/>
      <c r="F8270" s="418"/>
      <c r="G8270" s="419"/>
      <c r="H8270" s="420" t="s">
        <v>52</v>
      </c>
      <c r="I8270" s="421"/>
      <c r="J8270" s="396">
        <f>SUM(J8266:J8269)</f>
        <v>0</v>
      </c>
    </row>
    <row r="8271" spans="1:10" ht="13">
      <c r="A8271" s="27"/>
      <c r="B8271" s="110"/>
      <c r="D8271" s="406" t="s">
        <v>53</v>
      </c>
      <c r="E8271" s="13" t="s">
        <v>54</v>
      </c>
      <c r="F8271" s="14"/>
      <c r="G8271" s="15"/>
      <c r="H8271" s="451"/>
      <c r="I8271" s="412"/>
      <c r="J8271" s="16"/>
    </row>
    <row r="8272" spans="1:10" ht="13">
      <c r="A8272" s="27"/>
      <c r="B8272" s="110"/>
      <c r="D8272" s="409"/>
      <c r="E8272" s="13" t="s">
        <v>1944</v>
      </c>
      <c r="F8272" s="14"/>
      <c r="G8272" s="543" t="s">
        <v>268</v>
      </c>
      <c r="H8272" s="548">
        <v>1.2</v>
      </c>
      <c r="I8272" s="412">
        <f>'BAHAN '!G357</f>
        <v>0</v>
      </c>
      <c r="J8272" s="16">
        <f>H8272*I8272</f>
        <v>0</v>
      </c>
    </row>
    <row r="8273" spans="1:10" ht="13.5" thickBot="1">
      <c r="A8273" s="27"/>
      <c r="B8273" s="110"/>
      <c r="D8273" s="409"/>
      <c r="E8273" s="13" t="s">
        <v>253</v>
      </c>
      <c r="F8273" s="14"/>
      <c r="G8273" s="543" t="s">
        <v>160</v>
      </c>
      <c r="H8273" s="548">
        <v>35</v>
      </c>
      <c r="I8273" s="412">
        <f>J8272/100</f>
        <v>0</v>
      </c>
      <c r="J8273" s="16">
        <f>H8273*I8273</f>
        <v>0</v>
      </c>
    </row>
    <row r="8274" spans="1:10" ht="13.5" thickBot="1">
      <c r="A8274" s="27"/>
      <c r="B8274" s="110"/>
      <c r="D8274" s="417"/>
      <c r="E8274" s="418"/>
      <c r="F8274" s="418"/>
      <c r="G8274" s="419"/>
      <c r="H8274" s="420" t="s">
        <v>64</v>
      </c>
      <c r="I8274" s="421"/>
      <c r="J8274" s="396">
        <f>SUM(J8272:J8273)</f>
        <v>0</v>
      </c>
    </row>
    <row r="8275" spans="1:10" ht="13.5" thickBot="1">
      <c r="A8275" s="27"/>
      <c r="B8275" s="110"/>
      <c r="D8275" s="406" t="s">
        <v>65</v>
      </c>
      <c r="E8275" s="13" t="s">
        <v>66</v>
      </c>
      <c r="F8275" s="14"/>
      <c r="G8275" s="15"/>
      <c r="H8275" s="451"/>
      <c r="I8275" s="412">
        <f>IF(AND(E8275&lt;&gt;"",G8275&lt;&gt;""),IF(D8275="",IF(G8275="OH",VLOOKUP(E8275,UPAH!$C$4:$H$31,7,0),VLOOKUP(E8275,#REF!,4,0)),0),0)</f>
        <v>0</v>
      </c>
      <c r="J8275" s="16">
        <f>H8275*I8275</f>
        <v>0</v>
      </c>
    </row>
    <row r="8276" spans="1:10" ht="13.5" thickBot="1">
      <c r="A8276" s="27"/>
      <c r="B8276" s="110"/>
      <c r="D8276" s="417"/>
      <c r="E8276" s="418"/>
      <c r="F8276" s="418"/>
      <c r="G8276" s="419"/>
      <c r="H8276" s="420" t="s">
        <v>67</v>
      </c>
      <c r="I8276" s="421"/>
      <c r="J8276" s="396">
        <f>J8275</f>
        <v>0</v>
      </c>
    </row>
    <row r="8277" spans="1:10" ht="13">
      <c r="A8277" s="27"/>
      <c r="B8277" s="110"/>
      <c r="D8277" s="444" t="s">
        <v>68</v>
      </c>
      <c r="E8277" s="445" t="s">
        <v>69</v>
      </c>
      <c r="F8277" s="446"/>
      <c r="G8277" s="447"/>
      <c r="H8277" s="448"/>
      <c r="I8277" s="449">
        <f>IF(AND(E8277&lt;&gt;"",G8277&lt;&gt;""),IF(D8277="",IF(G8277="OH",VLOOKUP(E8277,UPAH!$C$4:$H$31,7,0),VLOOKUP(E8277,#REF!,4,0)),0),0)</f>
        <v>0</v>
      </c>
      <c r="J8277" s="16">
        <f>SUM(J8266:J8276)/2</f>
        <v>0</v>
      </c>
    </row>
    <row r="8278" spans="1:10" ht="13.5" thickBot="1">
      <c r="A8278" s="27"/>
      <c r="B8278" s="110"/>
      <c r="D8278" s="431" t="s">
        <v>70</v>
      </c>
      <c r="E8278" s="432" t="s">
        <v>477</v>
      </c>
      <c r="F8278" s="433"/>
      <c r="G8278" s="434"/>
      <c r="H8278" s="22">
        <v>0.1</v>
      </c>
      <c r="I8278" s="436"/>
      <c r="J8278" s="430">
        <f>H8278*J8277</f>
        <v>0</v>
      </c>
    </row>
    <row r="8279" spans="1:10" ht="13.5" thickBot="1">
      <c r="A8279" s="27"/>
      <c r="B8279" s="110"/>
      <c r="D8279" s="401" t="s">
        <v>71</v>
      </c>
      <c r="E8279" s="402" t="s">
        <v>72</v>
      </c>
      <c r="F8279" s="418"/>
      <c r="G8279" s="419"/>
      <c r="H8279" s="442"/>
      <c r="I8279" s="421">
        <f>IF(AND(E8279&lt;&gt;"",G8279&lt;&gt;""),IF(D8279="",IF(G8279="OH",VLOOKUP(E8279,UPAH!$C$4:$H$31,7,0),VLOOKUP(E8279,#REF!,4,0)),0),0)</f>
        <v>0</v>
      </c>
      <c r="J8279" s="396">
        <f>ROUNDDOWN(J8277+J8278,0)</f>
        <v>0</v>
      </c>
    </row>
    <row r="8280" spans="1:10" ht="13">
      <c r="A8280" s="27"/>
      <c r="B8280" s="110"/>
      <c r="D8280" s="11"/>
      <c r="E8280" s="11"/>
      <c r="H8280" s="443"/>
    </row>
    <row r="8281" spans="1:10" ht="13.5" thickBot="1">
      <c r="A8281" s="27"/>
      <c r="B8281" s="110"/>
      <c r="C8281" s="11" t="s">
        <v>1368</v>
      </c>
      <c r="D8281" s="10" t="s">
        <v>1369</v>
      </c>
      <c r="H8281" s="443"/>
    </row>
    <row r="8282" spans="1:10" ht="13.5" thickBot="1">
      <c r="A8282" s="27"/>
      <c r="B8282" s="110"/>
      <c r="D8282" s="401" t="s">
        <v>40</v>
      </c>
      <c r="E8282" s="402" t="s">
        <v>41</v>
      </c>
      <c r="F8282" s="402" t="s">
        <v>42</v>
      </c>
      <c r="G8282" s="403" t="s">
        <v>43</v>
      </c>
      <c r="H8282" s="404" t="s">
        <v>44</v>
      </c>
      <c r="I8282" s="402" t="s">
        <v>474</v>
      </c>
      <c r="J8282" s="405" t="s">
        <v>475</v>
      </c>
    </row>
    <row r="8283" spans="1:10" ht="13">
      <c r="A8283" s="27"/>
      <c r="B8283" s="110"/>
      <c r="D8283" s="444" t="s">
        <v>45</v>
      </c>
      <c r="E8283" s="445" t="s">
        <v>46</v>
      </c>
      <c r="F8283" s="446"/>
      <c r="G8283" s="447"/>
      <c r="H8283" s="448"/>
      <c r="I8283" s="449"/>
      <c r="J8283" s="450"/>
    </row>
    <row r="8284" spans="1:10" ht="13">
      <c r="A8284" s="27"/>
      <c r="B8284" s="110"/>
      <c r="D8284" s="409"/>
      <c r="E8284" s="13" t="s">
        <v>47</v>
      </c>
      <c r="F8284" s="13" t="s">
        <v>1918</v>
      </c>
      <c r="G8284" s="543" t="s">
        <v>48</v>
      </c>
      <c r="H8284" s="548">
        <v>0.08</v>
      </c>
      <c r="I8284" s="412">
        <f>IF(AND(E8284&lt;&gt;"",G8284&lt;&gt;""),IF(D8284="",IF(G8284="OH",VLOOKUP(F8284,UPAH!$B$4:$H$101,7,0),VLOOKUP(F8284,#REF!,4,0)),0),0)</f>
        <v>0</v>
      </c>
      <c r="J8284" s="16">
        <f>H8284*I8284</f>
        <v>0</v>
      </c>
    </row>
    <row r="8285" spans="1:10" ht="13">
      <c r="A8285" s="27"/>
      <c r="B8285" s="110"/>
      <c r="D8285" s="409"/>
      <c r="E8285" s="13" t="s">
        <v>81</v>
      </c>
      <c r="F8285" s="13" t="s">
        <v>1921</v>
      </c>
      <c r="G8285" s="543" t="s">
        <v>48</v>
      </c>
      <c r="H8285" s="548">
        <v>0.04</v>
      </c>
      <c r="I8285" s="412">
        <f>IF(AND(E8285&lt;&gt;"",G8285&lt;&gt;""),IF(D8285="",IF(G8285="OH",VLOOKUP(F8285,UPAH!$B$4:$H$101,7,0),VLOOKUP(F8285,#REF!,4,0)),0),0)</f>
        <v>0</v>
      </c>
      <c r="J8285" s="16">
        <f>H8285*I8285</f>
        <v>0</v>
      </c>
    </row>
    <row r="8286" spans="1:10" ht="13">
      <c r="A8286" s="27"/>
      <c r="B8286" s="110"/>
      <c r="D8286" s="409"/>
      <c r="E8286" s="13" t="s">
        <v>50</v>
      </c>
      <c r="F8286" s="13" t="s">
        <v>1928</v>
      </c>
      <c r="G8286" s="543" t="s">
        <v>48</v>
      </c>
      <c r="H8286" s="548">
        <v>4.0000000000000001E-3</v>
      </c>
      <c r="I8286" s="412">
        <f>IF(AND(E8286&lt;&gt;"",G8286&lt;&gt;""),IF(D8286="",IF(G8286="OH",VLOOKUP(F8286,UPAH!$B$4:$H$101,7,0),VLOOKUP(F8286,#REF!,4,0)),0),0)</f>
        <v>0</v>
      </c>
      <c r="J8286" s="16">
        <f>H8286*I8286</f>
        <v>0</v>
      </c>
    </row>
    <row r="8287" spans="1:10" ht="13.5" thickBot="1">
      <c r="A8287" s="27"/>
      <c r="B8287" s="110"/>
      <c r="D8287" s="409"/>
      <c r="E8287" s="13" t="s">
        <v>51</v>
      </c>
      <c r="F8287" s="13" t="s">
        <v>1929</v>
      </c>
      <c r="G8287" s="543" t="s">
        <v>48</v>
      </c>
      <c r="H8287" s="548">
        <v>4.0000000000000001E-3</v>
      </c>
      <c r="I8287" s="412">
        <f>IF(AND(E8287&lt;&gt;"",G8287&lt;&gt;""),IF(D8287="",IF(G8287="OH",VLOOKUP(F8287,UPAH!$B$4:$H$101,7,0),VLOOKUP(F8287,#REF!,4,0)),0),0)</f>
        <v>0</v>
      </c>
      <c r="J8287" s="16">
        <f>H8287*I8287</f>
        <v>0</v>
      </c>
    </row>
    <row r="8288" spans="1:10" ht="13.5" thickBot="1">
      <c r="A8288" s="27"/>
      <c r="B8288" s="110"/>
      <c r="D8288" s="417"/>
      <c r="E8288" s="418"/>
      <c r="F8288" s="418"/>
      <c r="G8288" s="419"/>
      <c r="H8288" s="420" t="s">
        <v>52</v>
      </c>
      <c r="I8288" s="421"/>
      <c r="J8288" s="396">
        <f>SUM(J8284:J8287)</f>
        <v>0</v>
      </c>
    </row>
    <row r="8289" spans="1:10" ht="13">
      <c r="A8289" s="27"/>
      <c r="B8289" s="110"/>
      <c r="D8289" s="406" t="s">
        <v>53</v>
      </c>
      <c r="E8289" s="13" t="s">
        <v>54</v>
      </c>
      <c r="F8289" s="14"/>
      <c r="G8289" s="15"/>
      <c r="H8289" s="451"/>
      <c r="I8289" s="412"/>
      <c r="J8289" s="16"/>
    </row>
    <row r="8290" spans="1:10" ht="13">
      <c r="A8290" s="27"/>
      <c r="B8290" s="110"/>
      <c r="D8290" s="409"/>
      <c r="E8290" s="13" t="s">
        <v>282</v>
      </c>
      <c r="F8290" s="14"/>
      <c r="G8290" s="543" t="s">
        <v>87</v>
      </c>
      <c r="H8290" s="548">
        <v>1.6</v>
      </c>
      <c r="I8290" s="412">
        <f>'BAHAN '!G357</f>
        <v>0</v>
      </c>
      <c r="J8290" s="16">
        <f>H8290*I8290</f>
        <v>0</v>
      </c>
    </row>
    <row r="8291" spans="1:10" ht="13">
      <c r="A8291" s="27"/>
      <c r="B8291" s="110"/>
      <c r="D8291" s="409"/>
      <c r="E8291" s="13" t="s">
        <v>56</v>
      </c>
      <c r="F8291" s="14"/>
      <c r="G8291" s="543" t="s">
        <v>57</v>
      </c>
      <c r="H8291" s="548">
        <v>35</v>
      </c>
      <c r="I8291" s="412">
        <f>'BAHAN '!G72</f>
        <v>0</v>
      </c>
      <c r="J8291" s="16">
        <f>H8291*I8291</f>
        <v>0</v>
      </c>
    </row>
    <row r="8292" spans="1:10" ht="13">
      <c r="A8292" s="27"/>
      <c r="B8292" s="110"/>
      <c r="D8292" s="409"/>
      <c r="E8292" s="13" t="s">
        <v>85</v>
      </c>
      <c r="F8292" s="14"/>
      <c r="G8292" s="543" t="s">
        <v>170</v>
      </c>
      <c r="H8292" s="548">
        <v>1.4E-2</v>
      </c>
      <c r="I8292" s="412">
        <f>'BAHAN '!G59</f>
        <v>0</v>
      </c>
      <c r="J8292" s="16">
        <f>H8292*I8292</f>
        <v>0</v>
      </c>
    </row>
    <row r="8293" spans="1:10" ht="13.5" thickBot="1">
      <c r="A8293" s="27"/>
      <c r="B8293" s="110"/>
      <c r="D8293" s="409"/>
      <c r="E8293" s="13" t="s">
        <v>100</v>
      </c>
      <c r="F8293" s="14"/>
      <c r="G8293" s="543" t="s">
        <v>170</v>
      </c>
      <c r="H8293" s="548">
        <v>1.4E-2</v>
      </c>
      <c r="I8293" s="412">
        <f>'BAHAN '!G58</f>
        <v>0</v>
      </c>
      <c r="J8293" s="16">
        <f>H8293*I8293</f>
        <v>0</v>
      </c>
    </row>
    <row r="8294" spans="1:10" ht="13.5" thickBot="1">
      <c r="A8294" s="27"/>
      <c r="B8294" s="110"/>
      <c r="D8294" s="417"/>
      <c r="E8294" s="418"/>
      <c r="F8294" s="418"/>
      <c r="G8294" s="419"/>
      <c r="H8294" s="420" t="s">
        <v>64</v>
      </c>
      <c r="I8294" s="421"/>
      <c r="J8294" s="396">
        <f>SUM(J8290:J8293)</f>
        <v>0</v>
      </c>
    </row>
    <row r="8295" spans="1:10" ht="13.5" thickBot="1">
      <c r="A8295" s="27"/>
      <c r="B8295" s="110"/>
      <c r="D8295" s="406" t="s">
        <v>65</v>
      </c>
      <c r="E8295" s="13" t="s">
        <v>66</v>
      </c>
      <c r="F8295" s="14"/>
      <c r="G8295" s="15"/>
      <c r="H8295" s="451"/>
      <c r="I8295" s="412">
        <f>IF(AND(E8295&lt;&gt;"",G8295&lt;&gt;""),IF(D8295="",IF(G8295="OH",VLOOKUP(E8295,UPAH!$C$4:$H$31,7,0),VLOOKUP(E8295,#REF!,4,0)),0),0)</f>
        <v>0</v>
      </c>
      <c r="J8295" s="16">
        <f>H8295*I8295</f>
        <v>0</v>
      </c>
    </row>
    <row r="8296" spans="1:10" ht="13.5" thickBot="1">
      <c r="A8296" s="27"/>
      <c r="B8296" s="110"/>
      <c r="D8296" s="417"/>
      <c r="E8296" s="418"/>
      <c r="F8296" s="418"/>
      <c r="G8296" s="419"/>
      <c r="H8296" s="420" t="s">
        <v>67</v>
      </c>
      <c r="I8296" s="421"/>
      <c r="J8296" s="396">
        <f>J8295</f>
        <v>0</v>
      </c>
    </row>
    <row r="8297" spans="1:10" ht="13">
      <c r="A8297" s="27"/>
      <c r="B8297" s="110"/>
      <c r="D8297" s="444" t="s">
        <v>68</v>
      </c>
      <c r="E8297" s="445" t="s">
        <v>69</v>
      </c>
      <c r="F8297" s="446"/>
      <c r="G8297" s="447"/>
      <c r="H8297" s="448"/>
      <c r="I8297" s="449">
        <f>IF(AND(E8297&lt;&gt;"",G8297&lt;&gt;""),IF(D8297="",IF(G8297="OH",VLOOKUP(E8297,UPAH!$C$4:$H$31,7,0),VLOOKUP(E8297,#REF!,4,0)),0),0)</f>
        <v>0</v>
      </c>
      <c r="J8297" s="16">
        <f>SUM(J8284:J8296)/2</f>
        <v>0</v>
      </c>
    </row>
    <row r="8298" spans="1:10" ht="13.5" thickBot="1">
      <c r="A8298" s="27"/>
      <c r="B8298" s="110"/>
      <c r="D8298" s="431" t="s">
        <v>70</v>
      </c>
      <c r="E8298" s="432" t="s">
        <v>477</v>
      </c>
      <c r="F8298" s="433"/>
      <c r="G8298" s="434"/>
      <c r="H8298" s="22">
        <v>0.1</v>
      </c>
      <c r="I8298" s="436"/>
      <c r="J8298" s="430">
        <f>H8298*J8297</f>
        <v>0</v>
      </c>
    </row>
    <row r="8299" spans="1:10" ht="13.5" thickBot="1">
      <c r="A8299" s="27"/>
      <c r="B8299" s="110"/>
      <c r="D8299" s="401" t="s">
        <v>71</v>
      </c>
      <c r="E8299" s="402" t="s">
        <v>72</v>
      </c>
      <c r="F8299" s="418"/>
      <c r="G8299" s="419"/>
      <c r="H8299" s="442"/>
      <c r="I8299" s="421">
        <f>IF(AND(E8299&lt;&gt;"",G8299&lt;&gt;""),IF(D8299="",IF(G8299="OH",VLOOKUP(E8299,UPAH!$C$4:$H$31,7,0),VLOOKUP(E8299,#REF!,4,0)),0),0)</f>
        <v>0</v>
      </c>
      <c r="J8299" s="396">
        <f>ROUNDDOWN(J8297+J8298,0)</f>
        <v>0</v>
      </c>
    </row>
    <row r="8300" spans="1:10" ht="13">
      <c r="A8300" s="27"/>
      <c r="B8300" s="110"/>
      <c r="D8300" s="11"/>
      <c r="E8300" s="11"/>
      <c r="H8300" s="443"/>
    </row>
    <row r="8301" spans="1:10" ht="13.5" thickBot="1">
      <c r="A8301" s="27"/>
      <c r="B8301" s="110"/>
      <c r="C8301" s="11" t="s">
        <v>1370</v>
      </c>
      <c r="D8301" s="10" t="s">
        <v>1371</v>
      </c>
      <c r="H8301" s="443"/>
    </row>
    <row r="8302" spans="1:10" ht="13.5" thickBot="1">
      <c r="A8302" s="27"/>
      <c r="B8302" s="110"/>
      <c r="D8302" s="401" t="s">
        <v>40</v>
      </c>
      <c r="E8302" s="402" t="s">
        <v>41</v>
      </c>
      <c r="F8302" s="402" t="s">
        <v>42</v>
      </c>
      <c r="G8302" s="403" t="s">
        <v>43</v>
      </c>
      <c r="H8302" s="404" t="s">
        <v>44</v>
      </c>
      <c r="I8302" s="402" t="s">
        <v>474</v>
      </c>
      <c r="J8302" s="405" t="s">
        <v>475</v>
      </c>
    </row>
    <row r="8303" spans="1:10" ht="13">
      <c r="A8303" s="27"/>
      <c r="B8303" s="110"/>
      <c r="D8303" s="444" t="s">
        <v>45</v>
      </c>
      <c r="E8303" s="445" t="s">
        <v>46</v>
      </c>
      <c r="F8303" s="446"/>
      <c r="G8303" s="447"/>
      <c r="H8303" s="448"/>
      <c r="I8303" s="449"/>
      <c r="J8303" s="450"/>
    </row>
    <row r="8304" spans="1:10" ht="13">
      <c r="A8304" s="27"/>
      <c r="B8304" s="110"/>
      <c r="D8304" s="409"/>
      <c r="E8304" s="13" t="s">
        <v>47</v>
      </c>
      <c r="F8304" s="13" t="s">
        <v>1918</v>
      </c>
      <c r="G8304" s="543" t="s">
        <v>48</v>
      </c>
      <c r="H8304" s="548">
        <v>0.06</v>
      </c>
      <c r="I8304" s="412">
        <f>IF(AND(E8304&lt;&gt;"",G8304&lt;&gt;""),IF(D8304="",IF(G8304="OH",VLOOKUP(F8304,UPAH!$B$4:$H$101,7,0),VLOOKUP(F8304,#REF!,4,0)),0),0)</f>
        <v>0</v>
      </c>
      <c r="J8304" s="16">
        <f>H8304*I8304</f>
        <v>0</v>
      </c>
    </row>
    <row r="8305" spans="1:10" ht="13">
      <c r="A8305" s="27"/>
      <c r="B8305" s="110"/>
      <c r="D8305" s="409"/>
      <c r="E8305" s="13" t="s">
        <v>81</v>
      </c>
      <c r="F8305" s="13" t="s">
        <v>1921</v>
      </c>
      <c r="G8305" s="543" t="s">
        <v>48</v>
      </c>
      <c r="H8305" s="548">
        <v>0.03</v>
      </c>
      <c r="I8305" s="412">
        <f>IF(AND(E8305&lt;&gt;"",G8305&lt;&gt;""),IF(D8305="",IF(G8305="OH",VLOOKUP(F8305,UPAH!$B$4:$H$101,7,0),VLOOKUP(F8305,#REF!,4,0)),0),0)</f>
        <v>0</v>
      </c>
      <c r="J8305" s="16">
        <f>H8305*I8305</f>
        <v>0</v>
      </c>
    </row>
    <row r="8306" spans="1:10" ht="13">
      <c r="A8306" s="27"/>
      <c r="B8306" s="110"/>
      <c r="D8306" s="409"/>
      <c r="E8306" s="13" t="s">
        <v>50</v>
      </c>
      <c r="F8306" s="13" t="s">
        <v>1928</v>
      </c>
      <c r="G8306" s="543" t="s">
        <v>48</v>
      </c>
      <c r="H8306" s="548">
        <v>3.0000000000000001E-3</v>
      </c>
      <c r="I8306" s="412">
        <f>IF(AND(E8306&lt;&gt;"",G8306&lt;&gt;""),IF(D8306="",IF(G8306="OH",VLOOKUP(F8306,UPAH!$B$4:$H$101,7,0),VLOOKUP(F8306,#REF!,4,0)),0),0)</f>
        <v>0</v>
      </c>
      <c r="J8306" s="16">
        <f>H8306*I8306</f>
        <v>0</v>
      </c>
    </row>
    <row r="8307" spans="1:10" ht="13.5" thickBot="1">
      <c r="A8307" s="27"/>
      <c r="B8307" s="110"/>
      <c r="D8307" s="409"/>
      <c r="E8307" s="13" t="s">
        <v>51</v>
      </c>
      <c r="F8307" s="13" t="s">
        <v>1929</v>
      </c>
      <c r="G8307" s="543" t="s">
        <v>48</v>
      </c>
      <c r="H8307" s="548">
        <v>3.0000000000000001E-3</v>
      </c>
      <c r="I8307" s="412">
        <f>IF(AND(E8307&lt;&gt;"",G8307&lt;&gt;""),IF(D8307="",IF(G8307="OH",VLOOKUP(F8307,UPAH!$B$4:$H$101,7,0),VLOOKUP(F8307,#REF!,4,0)),0),0)</f>
        <v>0</v>
      </c>
      <c r="J8307" s="16">
        <f>H8307*I8307</f>
        <v>0</v>
      </c>
    </row>
    <row r="8308" spans="1:10" ht="13.5" thickBot="1">
      <c r="A8308" s="27"/>
      <c r="B8308" s="110"/>
      <c r="D8308" s="417"/>
      <c r="E8308" s="418"/>
      <c r="F8308" s="418"/>
      <c r="G8308" s="419"/>
      <c r="H8308" s="420" t="s">
        <v>52</v>
      </c>
      <c r="I8308" s="421"/>
      <c r="J8308" s="396">
        <f>SUM(J8304:J8307)</f>
        <v>0</v>
      </c>
    </row>
    <row r="8309" spans="1:10" ht="13">
      <c r="A8309" s="27"/>
      <c r="B8309" s="110"/>
      <c r="D8309" s="406" t="s">
        <v>53</v>
      </c>
      <c r="E8309" s="13" t="s">
        <v>54</v>
      </c>
      <c r="F8309" s="14"/>
      <c r="G8309" s="15"/>
      <c r="H8309" s="451"/>
      <c r="I8309" s="412"/>
      <c r="J8309" s="16"/>
    </row>
    <row r="8310" spans="1:10" ht="13">
      <c r="A8310" s="27"/>
      <c r="B8310" s="110"/>
      <c r="D8310" s="409"/>
      <c r="E8310" s="13" t="s">
        <v>282</v>
      </c>
      <c r="F8310" s="14"/>
      <c r="G8310" s="543" t="s">
        <v>87</v>
      </c>
      <c r="H8310" s="548">
        <v>1.6</v>
      </c>
      <c r="I8310" s="412">
        <f>$I$8290</f>
        <v>0</v>
      </c>
      <c r="J8310" s="16">
        <f>H8310*I8310</f>
        <v>0</v>
      </c>
    </row>
    <row r="8311" spans="1:10" ht="13">
      <c r="A8311" s="27"/>
      <c r="B8311" s="110"/>
      <c r="D8311" s="409"/>
      <c r="E8311" s="13" t="s">
        <v>56</v>
      </c>
      <c r="F8311" s="14"/>
      <c r="G8311" s="543" t="s">
        <v>57</v>
      </c>
      <c r="H8311" s="548">
        <v>0.68</v>
      </c>
      <c r="I8311" s="412">
        <f>'BAHAN '!G72</f>
        <v>0</v>
      </c>
      <c r="J8311" s="16">
        <f>H8311*I8311</f>
        <v>0</v>
      </c>
    </row>
    <row r="8312" spans="1:10" ht="13">
      <c r="A8312" s="27"/>
      <c r="B8312" s="110"/>
      <c r="D8312" s="409"/>
      <c r="E8312" s="13" t="s">
        <v>85</v>
      </c>
      <c r="F8312" s="14"/>
      <c r="G8312" s="543" t="s">
        <v>170</v>
      </c>
      <c r="H8312" s="548">
        <v>1.2999999999999999E-2</v>
      </c>
      <c r="I8312" s="412">
        <f>'BAHAN '!G59</f>
        <v>0</v>
      </c>
      <c r="J8312" s="16">
        <f>H8312*I8312</f>
        <v>0</v>
      </c>
    </row>
    <row r="8313" spans="1:10" ht="13.5" thickBot="1">
      <c r="A8313" s="27"/>
      <c r="B8313" s="110"/>
      <c r="D8313" s="409"/>
      <c r="E8313" s="13" t="s">
        <v>100</v>
      </c>
      <c r="F8313" s="14"/>
      <c r="G8313" s="543" t="s">
        <v>170</v>
      </c>
      <c r="H8313" s="548">
        <v>1.0999999999999999E-2</v>
      </c>
      <c r="I8313" s="412">
        <f>'BAHAN '!G58</f>
        <v>0</v>
      </c>
      <c r="J8313" s="16">
        <f>H8313*I8313</f>
        <v>0</v>
      </c>
    </row>
    <row r="8314" spans="1:10" ht="13.5" thickBot="1">
      <c r="A8314" s="27"/>
      <c r="B8314" s="110"/>
      <c r="D8314" s="417"/>
      <c r="E8314" s="418"/>
      <c r="F8314" s="418"/>
      <c r="G8314" s="419"/>
      <c r="H8314" s="420" t="s">
        <v>64</v>
      </c>
      <c r="I8314" s="421"/>
      <c r="J8314" s="396">
        <f>SUM(J8310:J8313)</f>
        <v>0</v>
      </c>
    </row>
    <row r="8315" spans="1:10" ht="13.5" thickBot="1">
      <c r="A8315" s="27"/>
      <c r="B8315" s="110"/>
      <c r="D8315" s="406" t="s">
        <v>65</v>
      </c>
      <c r="E8315" s="13" t="s">
        <v>66</v>
      </c>
      <c r="F8315" s="14"/>
      <c r="G8315" s="15"/>
      <c r="H8315" s="451"/>
      <c r="I8315" s="412">
        <f>IF(AND(E8315&lt;&gt;"",G8315&lt;&gt;""),IF(D8315="",IF(G8315="OH",VLOOKUP(E8315,UPAH!$C$4:$H$31,7,0),VLOOKUP(E8315,#REF!,4,0)),0),0)</f>
        <v>0</v>
      </c>
      <c r="J8315" s="16">
        <f>H8315*I8315</f>
        <v>0</v>
      </c>
    </row>
    <row r="8316" spans="1:10" ht="13.5" thickBot="1">
      <c r="A8316" s="27"/>
      <c r="B8316" s="110"/>
      <c r="D8316" s="417"/>
      <c r="E8316" s="418"/>
      <c r="F8316" s="418"/>
      <c r="G8316" s="419"/>
      <c r="H8316" s="420" t="s">
        <v>67</v>
      </c>
      <c r="I8316" s="421"/>
      <c r="J8316" s="396">
        <f>J8315</f>
        <v>0</v>
      </c>
    </row>
    <row r="8317" spans="1:10" ht="13">
      <c r="A8317" s="27"/>
      <c r="B8317" s="110"/>
      <c r="D8317" s="444" t="s">
        <v>68</v>
      </c>
      <c r="E8317" s="445" t="s">
        <v>69</v>
      </c>
      <c r="F8317" s="446"/>
      <c r="G8317" s="447"/>
      <c r="H8317" s="448"/>
      <c r="I8317" s="449">
        <f>IF(AND(E8317&lt;&gt;"",G8317&lt;&gt;""),IF(D8317="",IF(G8317="OH",VLOOKUP(E8317,UPAH!$C$4:$H$31,7,0),VLOOKUP(E8317,#REF!,4,0)),0),0)</f>
        <v>0</v>
      </c>
      <c r="J8317" s="16">
        <f>SUM(J8304:J8316)/2</f>
        <v>0</v>
      </c>
    </row>
    <row r="8318" spans="1:10" ht="13.5" thickBot="1">
      <c r="A8318" s="27"/>
      <c r="B8318" s="110"/>
      <c r="D8318" s="431" t="s">
        <v>70</v>
      </c>
      <c r="E8318" s="432" t="s">
        <v>477</v>
      </c>
      <c r="F8318" s="433"/>
      <c r="G8318" s="434"/>
      <c r="H8318" s="22">
        <v>0.1</v>
      </c>
      <c r="I8318" s="436"/>
      <c r="J8318" s="430">
        <f>H8318*J8317</f>
        <v>0</v>
      </c>
    </row>
    <row r="8319" spans="1:10" ht="13.5" thickBot="1">
      <c r="A8319" s="27"/>
      <c r="B8319" s="110"/>
      <c r="D8319" s="401" t="s">
        <v>71</v>
      </c>
      <c r="E8319" s="402" t="s">
        <v>72</v>
      </c>
      <c r="F8319" s="418"/>
      <c r="G8319" s="419"/>
      <c r="H8319" s="442"/>
      <c r="I8319" s="421">
        <f>IF(AND(E8319&lt;&gt;"",G8319&lt;&gt;""),IF(D8319="",IF(G8319="OH",VLOOKUP(E8319,UPAH!$C$4:$H$31,7,0),VLOOKUP(E8319,#REF!,4,0)),0),0)</f>
        <v>0</v>
      </c>
      <c r="J8319" s="396">
        <f>ROUNDDOWN(J8317+J8318,0)</f>
        <v>0</v>
      </c>
    </row>
    <row r="8320" spans="1:10" ht="13">
      <c r="A8320" s="27"/>
      <c r="B8320" s="110"/>
      <c r="D8320" s="11"/>
      <c r="E8320" s="11"/>
      <c r="H8320" s="443"/>
    </row>
    <row r="8321" spans="1:10" ht="13.5" thickBot="1">
      <c r="A8321" s="27"/>
      <c r="B8321" s="110"/>
      <c r="C8321" s="11" t="s">
        <v>1372</v>
      </c>
      <c r="D8321" s="10" t="s">
        <v>1373</v>
      </c>
      <c r="H8321" s="443"/>
    </row>
    <row r="8322" spans="1:10" ht="13.5" thickBot="1">
      <c r="A8322" s="27"/>
      <c r="B8322" s="110"/>
      <c r="D8322" s="401" t="s">
        <v>40</v>
      </c>
      <c r="E8322" s="402" t="s">
        <v>41</v>
      </c>
      <c r="F8322" s="402" t="s">
        <v>42</v>
      </c>
      <c r="G8322" s="403" t="s">
        <v>43</v>
      </c>
      <c r="H8322" s="404" t="s">
        <v>44</v>
      </c>
      <c r="I8322" s="402" t="s">
        <v>474</v>
      </c>
      <c r="J8322" s="405" t="s">
        <v>475</v>
      </c>
    </row>
    <row r="8323" spans="1:10" ht="13">
      <c r="A8323" s="27"/>
      <c r="B8323" s="110"/>
      <c r="D8323" s="444" t="s">
        <v>45</v>
      </c>
      <c r="E8323" s="445" t="s">
        <v>46</v>
      </c>
      <c r="F8323" s="446"/>
      <c r="G8323" s="447"/>
      <c r="H8323" s="448"/>
      <c r="I8323" s="449"/>
      <c r="J8323" s="450"/>
    </row>
    <row r="8324" spans="1:10" ht="13">
      <c r="A8324" s="27"/>
      <c r="B8324" s="110"/>
      <c r="D8324" s="409"/>
      <c r="E8324" s="13" t="s">
        <v>47</v>
      </c>
      <c r="F8324" s="13" t="s">
        <v>1918</v>
      </c>
      <c r="G8324" s="543" t="s">
        <v>48</v>
      </c>
      <c r="H8324" s="548">
        <v>0.14000000000000001</v>
      </c>
      <c r="I8324" s="412">
        <f>IF(AND(E8324&lt;&gt;"",G8324&lt;&gt;""),IF(D8324="",IF(G8324="OH",VLOOKUP(F8324,UPAH!$B$4:$H$101,7,0),VLOOKUP(F8324,#REF!,4,0)),0),0)</f>
        <v>0</v>
      </c>
      <c r="J8324" s="16">
        <f>H8324*I8324</f>
        <v>0</v>
      </c>
    </row>
    <row r="8325" spans="1:10" ht="13">
      <c r="A8325" s="27"/>
      <c r="B8325" s="110"/>
      <c r="D8325" s="409"/>
      <c r="E8325" s="13" t="s">
        <v>81</v>
      </c>
      <c r="F8325" s="13" t="s">
        <v>1921</v>
      </c>
      <c r="G8325" s="543" t="s">
        <v>48</v>
      </c>
      <c r="H8325" s="548">
        <v>7.0000000000000007E-2</v>
      </c>
      <c r="I8325" s="412">
        <f>IF(AND(E8325&lt;&gt;"",G8325&lt;&gt;""),IF(D8325="",IF(G8325="OH",VLOOKUP(F8325,UPAH!$B$4:$H$101,7,0),VLOOKUP(F8325,#REF!,4,0)),0),0)</f>
        <v>0</v>
      </c>
      <c r="J8325" s="16">
        <f>H8325*I8325</f>
        <v>0</v>
      </c>
    </row>
    <row r="8326" spans="1:10" ht="13">
      <c r="A8326" s="27"/>
      <c r="B8326" s="110"/>
      <c r="D8326" s="409"/>
      <c r="E8326" s="13" t="s">
        <v>50</v>
      </c>
      <c r="F8326" s="13" t="s">
        <v>1928</v>
      </c>
      <c r="G8326" s="543" t="s">
        <v>48</v>
      </c>
      <c r="H8326" s="548">
        <v>7.0000000000000001E-3</v>
      </c>
      <c r="I8326" s="412">
        <f>IF(AND(E8326&lt;&gt;"",G8326&lt;&gt;""),IF(D8326="",IF(G8326="OH",VLOOKUP(F8326,UPAH!$B$4:$H$101,7,0),VLOOKUP(F8326,#REF!,4,0)),0),0)</f>
        <v>0</v>
      </c>
      <c r="J8326" s="16">
        <f>H8326*I8326</f>
        <v>0</v>
      </c>
    </row>
    <row r="8327" spans="1:10" ht="13.5" thickBot="1">
      <c r="A8327" s="27"/>
      <c r="B8327" s="110"/>
      <c r="D8327" s="409"/>
      <c r="E8327" s="13" t="s">
        <v>51</v>
      </c>
      <c r="F8327" s="13" t="s">
        <v>1929</v>
      </c>
      <c r="G8327" s="543" t="s">
        <v>48</v>
      </c>
      <c r="H8327" s="548">
        <v>7.0000000000000001E-3</v>
      </c>
      <c r="I8327" s="412">
        <f>IF(AND(E8327&lt;&gt;"",G8327&lt;&gt;""),IF(D8327="",IF(G8327="OH",VLOOKUP(F8327,UPAH!$B$4:$H$101,7,0),VLOOKUP(F8327,#REF!,4,0)),0),0)</f>
        <v>0</v>
      </c>
      <c r="J8327" s="16">
        <f>H8327*I8327</f>
        <v>0</v>
      </c>
    </row>
    <row r="8328" spans="1:10" ht="13.5" thickBot="1">
      <c r="A8328" s="27"/>
      <c r="B8328" s="110"/>
      <c r="D8328" s="417"/>
      <c r="E8328" s="418"/>
      <c r="F8328" s="418"/>
      <c r="G8328" s="419"/>
      <c r="H8328" s="420" t="s">
        <v>52</v>
      </c>
      <c r="I8328" s="421"/>
      <c r="J8328" s="396">
        <f>SUM(J8324:J8327)</f>
        <v>0</v>
      </c>
    </row>
    <row r="8329" spans="1:10" ht="13">
      <c r="A8329" s="27"/>
      <c r="B8329" s="110"/>
      <c r="D8329" s="406" t="s">
        <v>53</v>
      </c>
      <c r="E8329" s="13" t="s">
        <v>54</v>
      </c>
      <c r="F8329" s="14"/>
      <c r="G8329" s="15"/>
      <c r="H8329" s="451"/>
      <c r="I8329" s="412"/>
      <c r="J8329" s="16"/>
    </row>
    <row r="8330" spans="1:10" ht="13">
      <c r="A8330" s="27"/>
      <c r="B8330" s="110"/>
      <c r="D8330" s="409"/>
      <c r="E8330" s="13" t="s">
        <v>429</v>
      </c>
      <c r="F8330" s="14"/>
      <c r="G8330" s="543" t="s">
        <v>87</v>
      </c>
      <c r="H8330" s="548">
        <v>1.1000000000000001</v>
      </c>
      <c r="I8330" s="412">
        <f>$I$8290</f>
        <v>0</v>
      </c>
      <c r="J8330" s="16">
        <f>H8330*I8330</f>
        <v>0</v>
      </c>
    </row>
    <row r="8331" spans="1:10" ht="13">
      <c r="A8331" s="27"/>
      <c r="B8331" s="110"/>
      <c r="D8331" s="409"/>
      <c r="E8331" s="13" t="s">
        <v>86</v>
      </c>
      <c r="F8331" s="14"/>
      <c r="G8331" s="543" t="s">
        <v>170</v>
      </c>
      <c r="H8331" s="548">
        <v>2.7E-2</v>
      </c>
      <c r="I8331" s="412">
        <f>'BAHAN '!G15</f>
        <v>0</v>
      </c>
      <c r="J8331" s="16">
        <f>H8331*I8331</f>
        <v>0</v>
      </c>
    </row>
    <row r="8332" spans="1:10" ht="13">
      <c r="A8332" s="27"/>
      <c r="B8332" s="110"/>
      <c r="D8332" s="409"/>
      <c r="E8332" s="13" t="s">
        <v>56</v>
      </c>
      <c r="F8332" s="14"/>
      <c r="G8332" s="543" t="s">
        <v>57</v>
      </c>
      <c r="H8332" s="548">
        <v>3.92</v>
      </c>
      <c r="I8332" s="412">
        <f>'BAHAN '!G72</f>
        <v>0</v>
      </c>
      <c r="J8332" s="16">
        <f>H8332*I8332</f>
        <v>0</v>
      </c>
    </row>
    <row r="8333" spans="1:10" ht="13">
      <c r="A8333" s="27"/>
      <c r="B8333" s="110"/>
      <c r="D8333" s="409"/>
      <c r="E8333" s="13" t="s">
        <v>85</v>
      </c>
      <c r="F8333" s="14"/>
      <c r="G8333" s="543" t="s">
        <v>170</v>
      </c>
      <c r="H8333" s="548">
        <v>5.6000000000000001E-2</v>
      </c>
      <c r="I8333" s="412">
        <f>'BAHAN '!G59</f>
        <v>0</v>
      </c>
      <c r="J8333" s="16">
        <f>H8333*I8333</f>
        <v>0</v>
      </c>
    </row>
    <row r="8334" spans="1:10" ht="13.5" thickBot="1">
      <c r="A8334" s="27"/>
      <c r="B8334" s="110"/>
      <c r="D8334" s="409"/>
      <c r="E8334" s="13" t="s">
        <v>100</v>
      </c>
      <c r="F8334" s="14"/>
      <c r="G8334" s="543" t="s">
        <v>170</v>
      </c>
      <c r="H8334" s="548">
        <v>2.4E-2</v>
      </c>
      <c r="I8334" s="412">
        <f>'BAHAN '!G58</f>
        <v>0</v>
      </c>
      <c r="J8334" s="16">
        <f>H8334*I8334</f>
        <v>0</v>
      </c>
    </row>
    <row r="8335" spans="1:10" ht="13.5" thickBot="1">
      <c r="A8335" s="27"/>
      <c r="B8335" s="110"/>
      <c r="D8335" s="417"/>
      <c r="E8335" s="418"/>
      <c r="F8335" s="418"/>
      <c r="G8335" s="419"/>
      <c r="H8335" s="420" t="s">
        <v>64</v>
      </c>
      <c r="I8335" s="421"/>
      <c r="J8335" s="396">
        <f>SUM(J8330:J8334)</f>
        <v>0</v>
      </c>
    </row>
    <row r="8336" spans="1:10" ht="13.5" thickBot="1">
      <c r="A8336" s="27"/>
      <c r="B8336" s="110"/>
      <c r="D8336" s="406" t="s">
        <v>65</v>
      </c>
      <c r="E8336" s="13" t="s">
        <v>66</v>
      </c>
      <c r="F8336" s="14"/>
      <c r="G8336" s="15"/>
      <c r="H8336" s="451"/>
      <c r="I8336" s="412">
        <f>IF(AND(E8336&lt;&gt;"",G8336&lt;&gt;""),IF(D8336="",IF(G8336="OH",VLOOKUP(E8336,UPAH!$C$4:$H$31,7,0),VLOOKUP(E8336,#REF!,4,0)),0),0)</f>
        <v>0</v>
      </c>
      <c r="J8336" s="16">
        <f>H8336*I8336</f>
        <v>0</v>
      </c>
    </row>
    <row r="8337" spans="1:10" ht="13.5" thickBot="1">
      <c r="A8337" s="27"/>
      <c r="B8337" s="110"/>
      <c r="D8337" s="417"/>
      <c r="E8337" s="418"/>
      <c r="F8337" s="418"/>
      <c r="G8337" s="419"/>
      <c r="H8337" s="420" t="s">
        <v>67</v>
      </c>
      <c r="I8337" s="421"/>
      <c r="J8337" s="396">
        <f>J8336</f>
        <v>0</v>
      </c>
    </row>
    <row r="8338" spans="1:10" ht="13">
      <c r="A8338" s="27"/>
      <c r="B8338" s="110"/>
      <c r="D8338" s="444" t="s">
        <v>68</v>
      </c>
      <c r="E8338" s="445" t="s">
        <v>69</v>
      </c>
      <c r="F8338" s="446"/>
      <c r="G8338" s="447"/>
      <c r="H8338" s="448"/>
      <c r="I8338" s="449">
        <f>IF(AND(E8338&lt;&gt;"",G8338&lt;&gt;""),IF(D8338="",IF(G8338="OH",VLOOKUP(E8338,UPAH!$C$4:$H$31,7,0),VLOOKUP(E8338,#REF!,4,0)),0),0)</f>
        <v>0</v>
      </c>
      <c r="J8338" s="16">
        <f>SUM(J8324:J8337)/2</f>
        <v>0</v>
      </c>
    </row>
    <row r="8339" spans="1:10" ht="13.5" thickBot="1">
      <c r="A8339" s="27"/>
      <c r="B8339" s="110"/>
      <c r="D8339" s="431" t="s">
        <v>70</v>
      </c>
      <c r="E8339" s="432" t="s">
        <v>477</v>
      </c>
      <c r="F8339" s="433"/>
      <c r="G8339" s="434"/>
      <c r="H8339" s="22">
        <v>0.1</v>
      </c>
      <c r="I8339" s="436"/>
      <c r="J8339" s="430">
        <f>H8339*J8338</f>
        <v>0</v>
      </c>
    </row>
    <row r="8340" spans="1:10" ht="13.5" thickBot="1">
      <c r="A8340" s="27"/>
      <c r="B8340" s="110"/>
      <c r="D8340" s="401" t="s">
        <v>71</v>
      </c>
      <c r="E8340" s="402" t="s">
        <v>72</v>
      </c>
      <c r="F8340" s="418"/>
      <c r="G8340" s="419"/>
      <c r="H8340" s="442"/>
      <c r="I8340" s="421">
        <f>IF(AND(E8340&lt;&gt;"",G8340&lt;&gt;""),IF(D8340="",IF(G8340="OH",VLOOKUP(E8340,UPAH!$C$4:$H$31,7,0),VLOOKUP(E8340,#REF!,4,0)),0),0)</f>
        <v>0</v>
      </c>
      <c r="J8340" s="396">
        <f>ROUNDDOWN(J8338+J8339,0)</f>
        <v>0</v>
      </c>
    </row>
    <row r="8341" spans="1:10" ht="13">
      <c r="A8341" s="27"/>
      <c r="B8341" s="110"/>
      <c r="D8341" s="11"/>
      <c r="E8341" s="11"/>
      <c r="H8341" s="443"/>
    </row>
    <row r="8342" spans="1:10" ht="13.5" thickBot="1">
      <c r="A8342" s="27"/>
      <c r="B8342" s="110"/>
      <c r="C8342" s="11" t="s">
        <v>1374</v>
      </c>
      <c r="D8342" s="10" t="s">
        <v>1375</v>
      </c>
      <c r="H8342" s="443"/>
    </row>
    <row r="8343" spans="1:10" ht="13.5" thickBot="1">
      <c r="A8343" s="27"/>
      <c r="B8343" s="110"/>
      <c r="D8343" s="401" t="s">
        <v>40</v>
      </c>
      <c r="E8343" s="402" t="s">
        <v>41</v>
      </c>
      <c r="F8343" s="402" t="s">
        <v>42</v>
      </c>
      <c r="G8343" s="403" t="s">
        <v>43</v>
      </c>
      <c r="H8343" s="404" t="s">
        <v>44</v>
      </c>
      <c r="I8343" s="402" t="s">
        <v>474</v>
      </c>
      <c r="J8343" s="405" t="s">
        <v>475</v>
      </c>
    </row>
    <row r="8344" spans="1:10" ht="13">
      <c r="A8344" s="27"/>
      <c r="B8344" s="110"/>
      <c r="D8344" s="444" t="s">
        <v>45</v>
      </c>
      <c r="E8344" s="445" t="s">
        <v>46</v>
      </c>
      <c r="F8344" s="446"/>
      <c r="G8344" s="447"/>
      <c r="H8344" s="448"/>
      <c r="I8344" s="449"/>
      <c r="J8344" s="450"/>
    </row>
    <row r="8345" spans="1:10" ht="13">
      <c r="A8345" s="27"/>
      <c r="B8345" s="110"/>
      <c r="D8345" s="409"/>
      <c r="E8345" s="13" t="s">
        <v>47</v>
      </c>
      <c r="F8345" s="13" t="s">
        <v>1918</v>
      </c>
      <c r="G8345" s="543" t="s">
        <v>48</v>
      </c>
      <c r="H8345" s="548">
        <v>0.38</v>
      </c>
      <c r="I8345" s="412">
        <f>IF(AND(E8345&lt;&gt;"",G8345&lt;&gt;""),IF(D8345="",IF(G8345="OH",VLOOKUP(F8345,UPAH!$B$4:$H$101,7,0),VLOOKUP(F8345,#REF!,4,0)),0),0)</f>
        <v>0</v>
      </c>
      <c r="J8345" s="16">
        <f>H8345*I8345</f>
        <v>0</v>
      </c>
    </row>
    <row r="8346" spans="1:10" ht="13">
      <c r="A8346" s="27"/>
      <c r="B8346" s="110"/>
      <c r="D8346" s="409"/>
      <c r="E8346" s="13" t="s">
        <v>81</v>
      </c>
      <c r="F8346" s="13" t="s">
        <v>1921</v>
      </c>
      <c r="G8346" s="543" t="s">
        <v>48</v>
      </c>
      <c r="H8346" s="548">
        <v>0.19</v>
      </c>
      <c r="I8346" s="412">
        <f>IF(AND(E8346&lt;&gt;"",G8346&lt;&gt;""),IF(D8346="",IF(G8346="OH",VLOOKUP(F8346,UPAH!$B$4:$H$101,7,0),VLOOKUP(F8346,#REF!,4,0)),0),0)</f>
        <v>0</v>
      </c>
      <c r="J8346" s="16">
        <f>H8346*I8346</f>
        <v>0</v>
      </c>
    </row>
    <row r="8347" spans="1:10" ht="13">
      <c r="A8347" s="27"/>
      <c r="B8347" s="110"/>
      <c r="D8347" s="409"/>
      <c r="E8347" s="13" t="s">
        <v>50</v>
      </c>
      <c r="F8347" s="13" t="s">
        <v>1928</v>
      </c>
      <c r="G8347" s="543" t="s">
        <v>48</v>
      </c>
      <c r="H8347" s="548">
        <v>1.9E-2</v>
      </c>
      <c r="I8347" s="412">
        <f>IF(AND(E8347&lt;&gt;"",G8347&lt;&gt;""),IF(D8347="",IF(G8347="OH",VLOOKUP(F8347,UPAH!$B$4:$H$101,7,0),VLOOKUP(F8347,#REF!,4,0)),0),0)</f>
        <v>0</v>
      </c>
      <c r="J8347" s="16">
        <f>H8347*I8347</f>
        <v>0</v>
      </c>
    </row>
    <row r="8348" spans="1:10" ht="13.5" thickBot="1">
      <c r="A8348" s="27"/>
      <c r="B8348" s="110"/>
      <c r="D8348" s="409"/>
      <c r="E8348" s="13" t="s">
        <v>51</v>
      </c>
      <c r="F8348" s="13" t="s">
        <v>1929</v>
      </c>
      <c r="G8348" s="543" t="s">
        <v>48</v>
      </c>
      <c r="H8348" s="548">
        <v>1.9E-2</v>
      </c>
      <c r="I8348" s="412">
        <f>IF(AND(E8348&lt;&gt;"",G8348&lt;&gt;""),IF(D8348="",IF(G8348="OH",VLOOKUP(F8348,UPAH!$B$4:$H$101,7,0),VLOOKUP(F8348,#REF!,4,0)),0),0)</f>
        <v>0</v>
      </c>
      <c r="J8348" s="16">
        <f>H8348*I8348</f>
        <v>0</v>
      </c>
    </row>
    <row r="8349" spans="1:10" ht="13.5" thickBot="1">
      <c r="A8349" s="27"/>
      <c r="B8349" s="110"/>
      <c r="D8349" s="417"/>
      <c r="E8349" s="418"/>
      <c r="F8349" s="418"/>
      <c r="G8349" s="419"/>
      <c r="H8349" s="420" t="s">
        <v>52</v>
      </c>
      <c r="I8349" s="421"/>
      <c r="J8349" s="396">
        <f>SUM(J8345:J8348)</f>
        <v>0</v>
      </c>
    </row>
    <row r="8350" spans="1:10" ht="13">
      <c r="A8350" s="27"/>
      <c r="B8350" s="110"/>
      <c r="D8350" s="406" t="s">
        <v>53</v>
      </c>
      <c r="E8350" s="13" t="s">
        <v>54</v>
      </c>
      <c r="F8350" s="14"/>
      <c r="G8350" s="15"/>
      <c r="H8350" s="451"/>
      <c r="I8350" s="412"/>
      <c r="J8350" s="16"/>
    </row>
    <row r="8351" spans="1:10" ht="13">
      <c r="A8351" s="27"/>
      <c r="B8351" s="110"/>
      <c r="D8351" s="409"/>
      <c r="E8351" s="13" t="s">
        <v>429</v>
      </c>
      <c r="F8351" s="14"/>
      <c r="G8351" s="543" t="s">
        <v>87</v>
      </c>
      <c r="H8351" s="548">
        <v>1.1000000000000001</v>
      </c>
      <c r="I8351" s="412">
        <f>$I$8290</f>
        <v>0</v>
      </c>
      <c r="J8351" s="16">
        <f>H8351*I8351</f>
        <v>0</v>
      </c>
    </row>
    <row r="8352" spans="1:10" ht="13">
      <c r="A8352" s="27"/>
      <c r="B8352" s="110"/>
      <c r="D8352" s="409"/>
      <c r="E8352" s="13" t="s">
        <v>86</v>
      </c>
      <c r="F8352" s="14"/>
      <c r="G8352" s="543" t="s">
        <v>170</v>
      </c>
      <c r="H8352" s="548">
        <v>0.55000000000000004</v>
      </c>
      <c r="I8352" s="412">
        <f>+I8331</f>
        <v>0</v>
      </c>
      <c r="J8352" s="16">
        <f>H8352*I8352</f>
        <v>0</v>
      </c>
    </row>
    <row r="8353" spans="1:10" ht="13">
      <c r="A8353" s="27"/>
      <c r="B8353" s="110"/>
      <c r="D8353" s="409"/>
      <c r="E8353" s="13" t="s">
        <v>56</v>
      </c>
      <c r="F8353" s="14"/>
      <c r="G8353" s="543" t="s">
        <v>57</v>
      </c>
      <c r="H8353" s="548">
        <v>10.3</v>
      </c>
      <c r="I8353" s="412">
        <f>'BAHAN '!G72</f>
        <v>0</v>
      </c>
      <c r="J8353" s="16">
        <f>H8353*I8353</f>
        <v>0</v>
      </c>
    </row>
    <row r="8354" spans="1:10" ht="13">
      <c r="A8354" s="27"/>
      <c r="B8354" s="110"/>
      <c r="D8354" s="409"/>
      <c r="E8354" s="13" t="s">
        <v>85</v>
      </c>
      <c r="F8354" s="14"/>
      <c r="G8354" s="543" t="s">
        <v>170</v>
      </c>
      <c r="H8354" s="548">
        <v>6.0999999999999999E-2</v>
      </c>
      <c r="I8354" s="412">
        <f>'BAHAN '!G59</f>
        <v>0</v>
      </c>
      <c r="J8354" s="16">
        <f>H8354*I8354</f>
        <v>0</v>
      </c>
    </row>
    <row r="8355" spans="1:10" ht="13.5" thickBot="1">
      <c r="A8355" s="27"/>
      <c r="B8355" s="110"/>
      <c r="D8355" s="409"/>
      <c r="E8355" s="13" t="s">
        <v>100</v>
      </c>
      <c r="F8355" s="14"/>
      <c r="G8355" s="543" t="s">
        <v>170</v>
      </c>
      <c r="H8355" s="548">
        <v>6.9000000000000006E-2</v>
      </c>
      <c r="I8355" s="412">
        <f>'BAHAN '!G58</f>
        <v>0</v>
      </c>
      <c r="J8355" s="16">
        <f>H8355*I8355</f>
        <v>0</v>
      </c>
    </row>
    <row r="8356" spans="1:10" ht="13.5" thickBot="1">
      <c r="A8356" s="27"/>
      <c r="B8356" s="110"/>
      <c r="D8356" s="417"/>
      <c r="E8356" s="418"/>
      <c r="F8356" s="418"/>
      <c r="G8356" s="419"/>
      <c r="H8356" s="420" t="s">
        <v>64</v>
      </c>
      <c r="I8356" s="421"/>
      <c r="J8356" s="396">
        <f>SUM(J8351:J8355)</f>
        <v>0</v>
      </c>
    </row>
    <row r="8357" spans="1:10" ht="13.5" thickBot="1">
      <c r="A8357" s="27"/>
      <c r="B8357" s="110"/>
      <c r="D8357" s="406" t="s">
        <v>65</v>
      </c>
      <c r="E8357" s="13" t="s">
        <v>66</v>
      </c>
      <c r="F8357" s="14"/>
      <c r="G8357" s="15"/>
      <c r="H8357" s="451"/>
      <c r="I8357" s="412">
        <f>IF(AND(E8357&lt;&gt;"",G8357&lt;&gt;""),IF(D8357="",IF(G8357="OH",VLOOKUP(E8357,UPAH!$C$4:$H$31,7,0),VLOOKUP(E8357,#REF!,4,0)),0),0)</f>
        <v>0</v>
      </c>
      <c r="J8357" s="16">
        <f>H8357*I8357</f>
        <v>0</v>
      </c>
    </row>
    <row r="8358" spans="1:10" ht="13.5" thickBot="1">
      <c r="A8358" s="27"/>
      <c r="B8358" s="110"/>
      <c r="D8358" s="417"/>
      <c r="E8358" s="418"/>
      <c r="F8358" s="418"/>
      <c r="G8358" s="419"/>
      <c r="H8358" s="420" t="s">
        <v>67</v>
      </c>
      <c r="I8358" s="421"/>
      <c r="J8358" s="396">
        <f>J8357</f>
        <v>0</v>
      </c>
    </row>
    <row r="8359" spans="1:10" ht="13">
      <c r="A8359" s="27"/>
      <c r="B8359" s="110"/>
      <c r="D8359" s="444" t="s">
        <v>68</v>
      </c>
      <c r="E8359" s="445" t="s">
        <v>69</v>
      </c>
      <c r="F8359" s="446"/>
      <c r="G8359" s="447"/>
      <c r="H8359" s="448"/>
      <c r="I8359" s="449">
        <f>IF(AND(E8359&lt;&gt;"",G8359&lt;&gt;""),IF(D8359="",IF(G8359="OH",VLOOKUP(E8359,UPAH!$C$4:$H$31,7,0),VLOOKUP(E8359,#REF!,4,0)),0),0)</f>
        <v>0</v>
      </c>
      <c r="J8359" s="16">
        <f>SUM(J8345:J8358)/2</f>
        <v>0</v>
      </c>
    </row>
    <row r="8360" spans="1:10" ht="13.5" thickBot="1">
      <c r="A8360" s="27"/>
      <c r="B8360" s="110"/>
      <c r="D8360" s="431" t="s">
        <v>70</v>
      </c>
      <c r="E8360" s="432" t="s">
        <v>477</v>
      </c>
      <c r="F8360" s="433"/>
      <c r="G8360" s="434"/>
      <c r="H8360" s="22">
        <v>0.1</v>
      </c>
      <c r="I8360" s="436"/>
      <c r="J8360" s="430">
        <f>H8360*J8359</f>
        <v>0</v>
      </c>
    </row>
    <row r="8361" spans="1:10" ht="13.5" thickBot="1">
      <c r="A8361" s="27"/>
      <c r="B8361" s="110"/>
      <c r="D8361" s="401" t="s">
        <v>71</v>
      </c>
      <c r="E8361" s="402" t="s">
        <v>72</v>
      </c>
      <c r="F8361" s="418"/>
      <c r="G8361" s="419"/>
      <c r="H8361" s="442"/>
      <c r="I8361" s="421">
        <f>IF(AND(E8361&lt;&gt;"",G8361&lt;&gt;""),IF(D8361="",IF(G8361="OH",VLOOKUP(E8361,UPAH!$C$4:$H$31,7,0),VLOOKUP(E8361,#REF!,4,0)),0),0)</f>
        <v>0</v>
      </c>
      <c r="J8361" s="396">
        <f>ROUNDDOWN(J8359+J8360,0)</f>
        <v>0</v>
      </c>
    </row>
    <row r="8362" spans="1:10" ht="13">
      <c r="A8362" s="27"/>
      <c r="B8362" s="110"/>
      <c r="D8362" s="11"/>
      <c r="E8362" s="11"/>
      <c r="H8362" s="443"/>
    </row>
    <row r="8363" spans="1:10" s="27" customFormat="1" ht="13">
      <c r="B8363" s="110"/>
      <c r="C8363" s="452" t="s">
        <v>522</v>
      </c>
      <c r="G8363" s="399"/>
      <c r="H8363" s="453"/>
    </row>
    <row r="8364" spans="1:10" ht="13.5" thickBot="1">
      <c r="A8364" s="27"/>
      <c r="B8364" s="110"/>
      <c r="C8364" s="11" t="s">
        <v>1376</v>
      </c>
      <c r="D8364" s="10" t="s">
        <v>1382</v>
      </c>
      <c r="H8364" s="443"/>
    </row>
    <row r="8365" spans="1:10" ht="13.5" thickBot="1">
      <c r="A8365" s="27"/>
      <c r="B8365" s="110"/>
      <c r="D8365" s="401" t="s">
        <v>40</v>
      </c>
      <c r="E8365" s="402" t="s">
        <v>41</v>
      </c>
      <c r="F8365" s="402" t="s">
        <v>42</v>
      </c>
      <c r="G8365" s="403" t="s">
        <v>43</v>
      </c>
      <c r="H8365" s="404" t="s">
        <v>44</v>
      </c>
      <c r="I8365" s="402" t="s">
        <v>474</v>
      </c>
      <c r="J8365" s="405" t="s">
        <v>475</v>
      </c>
    </row>
    <row r="8366" spans="1:10" ht="13">
      <c r="A8366" s="27"/>
      <c r="B8366" s="110"/>
      <c r="D8366" s="444" t="s">
        <v>45</v>
      </c>
      <c r="E8366" s="445" t="s">
        <v>46</v>
      </c>
      <c r="F8366" s="446"/>
      <c r="G8366" s="447"/>
      <c r="H8366" s="448"/>
      <c r="I8366" s="449"/>
      <c r="J8366" s="450"/>
    </row>
    <row r="8367" spans="1:10" ht="13">
      <c r="A8367" s="27"/>
      <c r="B8367" s="110"/>
      <c r="D8367" s="409"/>
      <c r="E8367" s="13" t="s">
        <v>47</v>
      </c>
      <c r="F8367" s="13" t="s">
        <v>1918</v>
      </c>
      <c r="G8367" s="543" t="s">
        <v>48</v>
      </c>
      <c r="H8367" s="548">
        <v>8.1000000000000003E-2</v>
      </c>
      <c r="I8367" s="412">
        <f>IF(AND(E8367&lt;&gt;"",G8367&lt;&gt;""),IF(D8367="",IF(G8367="OH",VLOOKUP(F8367,UPAH!$B$4:$H$101,7,0),VLOOKUP(F8367,#REF!,4,0)),0),0)</f>
        <v>0</v>
      </c>
      <c r="J8367" s="16">
        <f>H8367*I8367</f>
        <v>0</v>
      </c>
    </row>
    <row r="8368" spans="1:10" ht="13">
      <c r="A8368" s="27"/>
      <c r="B8368" s="110"/>
      <c r="D8368" s="409"/>
      <c r="E8368" s="13" t="s">
        <v>283</v>
      </c>
      <c r="F8368" s="13" t="s">
        <v>1913</v>
      </c>
      <c r="G8368" s="543" t="s">
        <v>48</v>
      </c>
      <c r="H8368" s="548">
        <v>4.1000000000000002E-2</v>
      </c>
      <c r="I8368" s="412">
        <f>IF(AND(E8368&lt;&gt;"",G8368&lt;&gt;""),IF(D8368="",IF(G8368="OH",VLOOKUP(F8368,UPAH!$B$4:$H$101,7,0),VLOOKUP(F8368,#REF!,4,0)),0),0)</f>
        <v>0</v>
      </c>
      <c r="J8368" s="16">
        <f>H8368*I8368</f>
        <v>0</v>
      </c>
    </row>
    <row r="8369" spans="1:10" ht="13.5" thickBot="1">
      <c r="A8369" s="27"/>
      <c r="B8369" s="110"/>
      <c r="D8369" s="409"/>
      <c r="E8369" s="13" t="s">
        <v>51</v>
      </c>
      <c r="F8369" s="13" t="s">
        <v>1929</v>
      </c>
      <c r="G8369" s="543" t="s">
        <v>48</v>
      </c>
      <c r="H8369" s="548">
        <v>8.0000000000000002E-3</v>
      </c>
      <c r="I8369" s="412">
        <f>IF(AND(E8369&lt;&gt;"",G8369&lt;&gt;""),IF(D8369="",IF(G8369="OH",VLOOKUP(F8369,UPAH!$B$4:$H$101,7,0),VLOOKUP(F8369,#REF!,4,0)),0),0)</f>
        <v>0</v>
      </c>
      <c r="J8369" s="16">
        <f>H8369*I8369</f>
        <v>0</v>
      </c>
    </row>
    <row r="8370" spans="1:10" ht="13.5" thickBot="1">
      <c r="A8370" s="27"/>
      <c r="B8370" s="110"/>
      <c r="D8370" s="417"/>
      <c r="E8370" s="418"/>
      <c r="F8370" s="418"/>
      <c r="G8370" s="419"/>
      <c r="H8370" s="420" t="s">
        <v>52</v>
      </c>
      <c r="I8370" s="421"/>
      <c r="J8370" s="396">
        <f>SUM(J8367:J8369)</f>
        <v>0</v>
      </c>
    </row>
    <row r="8371" spans="1:10" ht="13">
      <c r="A8371" s="27"/>
      <c r="B8371" s="110"/>
      <c r="D8371" s="406" t="s">
        <v>53</v>
      </c>
      <c r="E8371" s="13" t="s">
        <v>54</v>
      </c>
      <c r="F8371" s="14"/>
      <c r="G8371" s="15"/>
      <c r="H8371" s="451"/>
      <c r="I8371" s="412"/>
      <c r="J8371" s="16"/>
    </row>
    <row r="8372" spans="1:10" ht="13.5" thickBot="1">
      <c r="A8372" s="27"/>
      <c r="B8372" s="110"/>
      <c r="D8372" s="409"/>
      <c r="E8372" s="13" t="s">
        <v>284</v>
      </c>
      <c r="F8372" s="14"/>
      <c r="G8372" s="543" t="s">
        <v>113</v>
      </c>
      <c r="H8372" s="548">
        <v>1</v>
      </c>
      <c r="I8372" s="412">
        <f>'BAHAN '!G371</f>
        <v>0</v>
      </c>
      <c r="J8372" s="16">
        <f>H8372*I8372</f>
        <v>0</v>
      </c>
    </row>
    <row r="8373" spans="1:10" ht="13.5" thickBot="1">
      <c r="A8373" s="27"/>
      <c r="B8373" s="110"/>
      <c r="D8373" s="417"/>
      <c r="E8373" s="418"/>
      <c r="F8373" s="418"/>
      <c r="G8373" s="419"/>
      <c r="H8373" s="420" t="s">
        <v>64</v>
      </c>
      <c r="I8373" s="421"/>
      <c r="J8373" s="396">
        <f>SUM(J8372)</f>
        <v>0</v>
      </c>
    </row>
    <row r="8374" spans="1:10" ht="13">
      <c r="A8374" s="27"/>
      <c r="B8374" s="110"/>
      <c r="D8374" s="406" t="s">
        <v>65</v>
      </c>
      <c r="E8374" s="13" t="s">
        <v>66</v>
      </c>
      <c r="F8374" s="14"/>
      <c r="G8374" s="15"/>
      <c r="H8374" s="451"/>
      <c r="I8374" s="412"/>
      <c r="J8374" s="16"/>
    </row>
    <row r="8375" spans="1:10" ht="13.5" thickBot="1">
      <c r="A8375" s="27"/>
      <c r="B8375" s="110"/>
      <c r="D8375" s="409"/>
      <c r="E8375" s="13" t="s">
        <v>446</v>
      </c>
      <c r="F8375" s="14"/>
      <c r="G8375" s="543" t="s">
        <v>285</v>
      </c>
      <c r="H8375" s="548">
        <v>6.0000000000000001E-3</v>
      </c>
      <c r="I8375" s="412">
        <f>Alat!H102</f>
        <v>0</v>
      </c>
      <c r="J8375" s="16">
        <f>H8375*I8375</f>
        <v>0</v>
      </c>
    </row>
    <row r="8376" spans="1:10" ht="13.5" thickBot="1">
      <c r="A8376" s="27"/>
      <c r="B8376" s="110"/>
      <c r="D8376" s="417"/>
      <c r="E8376" s="418"/>
      <c r="F8376" s="418"/>
      <c r="G8376" s="419"/>
      <c r="H8376" s="420" t="s">
        <v>67</v>
      </c>
      <c r="I8376" s="421"/>
      <c r="J8376" s="396">
        <f>J8375</f>
        <v>0</v>
      </c>
    </row>
    <row r="8377" spans="1:10" ht="13">
      <c r="A8377" s="27"/>
      <c r="B8377" s="110"/>
      <c r="D8377" s="444" t="s">
        <v>68</v>
      </c>
      <c r="E8377" s="445" t="s">
        <v>69</v>
      </c>
      <c r="F8377" s="446"/>
      <c r="G8377" s="447"/>
      <c r="H8377" s="448"/>
      <c r="I8377" s="449">
        <f>IF(AND(E8377&lt;&gt;"",G8377&lt;&gt;""),IF(D8377="",IF(G8377="OH",VLOOKUP(E8377,UPAH!$C$4:$H$31,7,0),VLOOKUP(E8377,#REF!,4,0)),0),0)</f>
        <v>0</v>
      </c>
      <c r="J8377" s="16">
        <f>SUM(J8366:J8376)/2</f>
        <v>0</v>
      </c>
    </row>
    <row r="8378" spans="1:10" ht="13.5" thickBot="1">
      <c r="A8378" s="27"/>
      <c r="B8378" s="110"/>
      <c r="D8378" s="431" t="s">
        <v>70</v>
      </c>
      <c r="E8378" s="432" t="s">
        <v>477</v>
      </c>
      <c r="F8378" s="433"/>
      <c r="G8378" s="434"/>
      <c r="H8378" s="22">
        <v>0.1</v>
      </c>
      <c r="I8378" s="436"/>
      <c r="J8378" s="430">
        <f>H8378*J8377</f>
        <v>0</v>
      </c>
    </row>
    <row r="8379" spans="1:10" ht="13.5" thickBot="1">
      <c r="A8379" s="27"/>
      <c r="B8379" s="110"/>
      <c r="D8379" s="401" t="s">
        <v>71</v>
      </c>
      <c r="E8379" s="402" t="s">
        <v>72</v>
      </c>
      <c r="F8379" s="418"/>
      <c r="G8379" s="419"/>
      <c r="H8379" s="442"/>
      <c r="I8379" s="421">
        <f>IF(AND(E8379&lt;&gt;"",G8379&lt;&gt;""),IF(D8379="",IF(G8379="OH",VLOOKUP(E8379,UPAH!$C$4:$H$31,7,0),VLOOKUP(E8379,#REF!,4,0)),0),0)</f>
        <v>0</v>
      </c>
      <c r="J8379" s="396">
        <f>ROUNDDOWN(J8377+J8378,0)</f>
        <v>0</v>
      </c>
    </row>
    <row r="8380" spans="1:10" ht="13">
      <c r="A8380" s="27"/>
      <c r="B8380" s="110"/>
      <c r="E8380" s="11" t="s">
        <v>523</v>
      </c>
      <c r="H8380" s="443"/>
    </row>
    <row r="8381" spans="1:10" ht="13">
      <c r="A8381" s="27"/>
      <c r="B8381" s="110"/>
      <c r="E8381" s="11" t="s">
        <v>524</v>
      </c>
      <c r="H8381" s="443"/>
    </row>
    <row r="8382" spans="1:10" ht="13">
      <c r="A8382" s="27"/>
      <c r="B8382" s="110"/>
      <c r="E8382" s="11" t="s">
        <v>525</v>
      </c>
      <c r="H8382" s="443"/>
      <c r="I8382" s="10">
        <f>IF(AND(E8382&lt;&gt;"",G8382&lt;&gt;""),IF(D8382="",IF(G8382="OH",VLOOKUP(F8382,UPAH!$B$4:$H$101,7,0),VLOOKUP(F8382,#REF!,4,0)),0),0)</f>
        <v>0</v>
      </c>
    </row>
    <row r="8383" spans="1:10" ht="13">
      <c r="A8383" s="27"/>
      <c r="B8383" s="110"/>
      <c r="E8383" s="11" t="s">
        <v>526</v>
      </c>
      <c r="H8383" s="443"/>
    </row>
    <row r="8384" spans="1:10" ht="13">
      <c r="A8384" s="27"/>
      <c r="B8384" s="110"/>
      <c r="E8384" s="11"/>
      <c r="H8384" s="443"/>
    </row>
    <row r="8385" spans="1:10" ht="13.5" thickBot="1">
      <c r="A8385" s="27"/>
      <c r="B8385" s="110"/>
      <c r="C8385" s="11" t="s">
        <v>1377</v>
      </c>
      <c r="D8385" s="10" t="s">
        <v>1383</v>
      </c>
      <c r="H8385" s="443"/>
    </row>
    <row r="8386" spans="1:10" ht="13.5" thickBot="1">
      <c r="A8386" s="27"/>
      <c r="B8386" s="110"/>
      <c r="D8386" s="401" t="s">
        <v>40</v>
      </c>
      <c r="E8386" s="402" t="s">
        <v>41</v>
      </c>
      <c r="F8386" s="402" t="s">
        <v>42</v>
      </c>
      <c r="G8386" s="403" t="s">
        <v>43</v>
      </c>
      <c r="H8386" s="404" t="s">
        <v>44</v>
      </c>
      <c r="I8386" s="402" t="s">
        <v>474</v>
      </c>
      <c r="J8386" s="405" t="s">
        <v>475</v>
      </c>
    </row>
    <row r="8387" spans="1:10" ht="13">
      <c r="A8387" s="27"/>
      <c r="B8387" s="110"/>
      <c r="D8387" s="444" t="s">
        <v>45</v>
      </c>
      <c r="E8387" s="445" t="s">
        <v>46</v>
      </c>
      <c r="F8387" s="446"/>
      <c r="G8387" s="447"/>
      <c r="H8387" s="448"/>
      <c r="I8387" s="449"/>
      <c r="J8387" s="450"/>
    </row>
    <row r="8388" spans="1:10" ht="13">
      <c r="A8388" s="27"/>
      <c r="B8388" s="110"/>
      <c r="D8388" s="409"/>
      <c r="E8388" s="13" t="s">
        <v>47</v>
      </c>
      <c r="F8388" s="13" t="s">
        <v>1918</v>
      </c>
      <c r="G8388" s="543" t="s">
        <v>48</v>
      </c>
      <c r="H8388" s="548">
        <v>9.4E-2</v>
      </c>
      <c r="I8388" s="412">
        <f>IF(AND(E8388&lt;&gt;"",G8388&lt;&gt;""),IF(D8388="",IF(G8388="OH",VLOOKUP(F8388,UPAH!$B$4:$H$101,7,0),VLOOKUP(F8388,#REF!,4,0)),0),0)</f>
        <v>0</v>
      </c>
      <c r="J8388" s="16">
        <f>H8388*I8388</f>
        <v>0</v>
      </c>
    </row>
    <row r="8389" spans="1:10" ht="13">
      <c r="A8389" s="27"/>
      <c r="B8389" s="110"/>
      <c r="D8389" s="409"/>
      <c r="E8389" s="13" t="s">
        <v>283</v>
      </c>
      <c r="F8389" s="13" t="s">
        <v>1913</v>
      </c>
      <c r="G8389" s="543" t="s">
        <v>48</v>
      </c>
      <c r="H8389" s="548">
        <v>4.7E-2</v>
      </c>
      <c r="I8389" s="412">
        <f>IF(AND(E8389&lt;&gt;"",G8389&lt;&gt;""),IF(D8389="",IF(G8389="OH",VLOOKUP(F8389,UPAH!$B$4:$H$101,7,0),VLOOKUP(F8389,#REF!,4,0)),0),0)</f>
        <v>0</v>
      </c>
      <c r="J8389" s="16">
        <f>H8389*I8389</f>
        <v>0</v>
      </c>
    </row>
    <row r="8390" spans="1:10" ht="13.5" thickBot="1">
      <c r="A8390" s="27"/>
      <c r="B8390" s="110"/>
      <c r="D8390" s="409"/>
      <c r="E8390" s="13" t="s">
        <v>51</v>
      </c>
      <c r="F8390" s="13" t="s">
        <v>1929</v>
      </c>
      <c r="G8390" s="543" t="s">
        <v>48</v>
      </c>
      <c r="H8390" s="548">
        <v>8.9999999999999993E-3</v>
      </c>
      <c r="I8390" s="412">
        <f>IF(AND(E8390&lt;&gt;"",G8390&lt;&gt;""),IF(D8390="",IF(G8390="OH",VLOOKUP(F8390,UPAH!$B$4:$H$101,7,0),VLOOKUP(F8390,#REF!,4,0)),0),0)</f>
        <v>0</v>
      </c>
      <c r="J8390" s="16">
        <f>H8390*I8390</f>
        <v>0</v>
      </c>
    </row>
    <row r="8391" spans="1:10" ht="13.5" thickBot="1">
      <c r="A8391" s="27"/>
      <c r="B8391" s="110"/>
      <c r="D8391" s="417"/>
      <c r="E8391" s="418"/>
      <c r="F8391" s="418"/>
      <c r="G8391" s="419"/>
      <c r="H8391" s="420" t="s">
        <v>52</v>
      </c>
      <c r="I8391" s="421"/>
      <c r="J8391" s="396">
        <f>SUM(J8387:J8390)</f>
        <v>0</v>
      </c>
    </row>
    <row r="8392" spans="1:10" ht="13">
      <c r="A8392" s="27"/>
      <c r="B8392" s="110"/>
      <c r="D8392" s="406" t="s">
        <v>53</v>
      </c>
      <c r="E8392" s="13" t="s">
        <v>54</v>
      </c>
      <c r="F8392" s="14"/>
      <c r="G8392" s="15"/>
      <c r="H8392" s="451"/>
      <c r="I8392" s="412"/>
      <c r="J8392" s="16"/>
    </row>
    <row r="8393" spans="1:10" ht="13.5" thickBot="1">
      <c r="A8393" s="27"/>
      <c r="B8393" s="110"/>
      <c r="D8393" s="409"/>
      <c r="E8393" s="13" t="s">
        <v>286</v>
      </c>
      <c r="F8393" s="14"/>
      <c r="G8393" s="543" t="s">
        <v>113</v>
      </c>
      <c r="H8393" s="548">
        <v>1</v>
      </c>
      <c r="I8393" s="412">
        <f>'BAHAN '!G369</f>
        <v>0</v>
      </c>
      <c r="J8393" s="16">
        <f>H8393*I8393</f>
        <v>0</v>
      </c>
    </row>
    <row r="8394" spans="1:10" ht="13.5" thickBot="1">
      <c r="A8394" s="27"/>
      <c r="B8394" s="110"/>
      <c r="D8394" s="417"/>
      <c r="E8394" s="418"/>
      <c r="F8394" s="418"/>
      <c r="G8394" s="419"/>
      <c r="H8394" s="420" t="s">
        <v>64</v>
      </c>
      <c r="I8394" s="421"/>
      <c r="J8394" s="396">
        <f>SUM(J8393)</f>
        <v>0</v>
      </c>
    </row>
    <row r="8395" spans="1:10" ht="13">
      <c r="A8395" s="27"/>
      <c r="B8395" s="110"/>
      <c r="D8395" s="406" t="s">
        <v>65</v>
      </c>
      <c r="E8395" s="13" t="s">
        <v>66</v>
      </c>
      <c r="F8395" s="14"/>
      <c r="G8395" s="15"/>
      <c r="H8395" s="451"/>
      <c r="I8395" s="412"/>
      <c r="J8395" s="16"/>
    </row>
    <row r="8396" spans="1:10" ht="13.5" thickBot="1">
      <c r="A8396" s="27"/>
      <c r="B8396" s="110"/>
      <c r="D8396" s="409"/>
      <c r="E8396" s="13" t="s">
        <v>446</v>
      </c>
      <c r="F8396" s="14"/>
      <c r="G8396" s="543" t="s">
        <v>285</v>
      </c>
      <c r="H8396" s="548">
        <v>8.0000000000000002E-3</v>
      </c>
      <c r="I8396" s="412">
        <f>Alat!H102</f>
        <v>0</v>
      </c>
      <c r="J8396" s="16">
        <f>H8396*I8396</f>
        <v>0</v>
      </c>
    </row>
    <row r="8397" spans="1:10" ht="13.5" thickBot="1">
      <c r="A8397" s="27"/>
      <c r="B8397" s="110"/>
      <c r="D8397" s="417"/>
      <c r="E8397" s="418"/>
      <c r="F8397" s="418"/>
      <c r="G8397" s="419"/>
      <c r="H8397" s="420" t="s">
        <v>67</v>
      </c>
      <c r="I8397" s="421"/>
      <c r="J8397" s="396">
        <f>J8396</f>
        <v>0</v>
      </c>
    </row>
    <row r="8398" spans="1:10" ht="13">
      <c r="A8398" s="27"/>
      <c r="B8398" s="110"/>
      <c r="D8398" s="444" t="s">
        <v>68</v>
      </c>
      <c r="E8398" s="445" t="s">
        <v>69</v>
      </c>
      <c r="F8398" s="446"/>
      <c r="G8398" s="447"/>
      <c r="H8398" s="448"/>
      <c r="I8398" s="449">
        <f>IF(AND(E8398&lt;&gt;"",G8398&lt;&gt;""),IF(D8398="",IF(G8398="OH",VLOOKUP(E8398,UPAH!$C$4:$H$31,7,0),VLOOKUP(E8398,#REF!,4,0)),0),0)</f>
        <v>0</v>
      </c>
      <c r="J8398" s="16">
        <f>SUM(J8387:J8397)/2</f>
        <v>0</v>
      </c>
    </row>
    <row r="8399" spans="1:10" ht="13.5" thickBot="1">
      <c r="A8399" s="27"/>
      <c r="B8399" s="110"/>
      <c r="D8399" s="431" t="s">
        <v>70</v>
      </c>
      <c r="E8399" s="432" t="s">
        <v>477</v>
      </c>
      <c r="F8399" s="433"/>
      <c r="G8399" s="434"/>
      <c r="H8399" s="22">
        <v>0.1</v>
      </c>
      <c r="I8399" s="436"/>
      <c r="J8399" s="430">
        <f>H8399*J8398</f>
        <v>0</v>
      </c>
    </row>
    <row r="8400" spans="1:10" ht="13.5" thickBot="1">
      <c r="A8400" s="27"/>
      <c r="B8400" s="110"/>
      <c r="D8400" s="401" t="s">
        <v>71</v>
      </c>
      <c r="E8400" s="402" t="s">
        <v>72</v>
      </c>
      <c r="F8400" s="418"/>
      <c r="G8400" s="419"/>
      <c r="H8400" s="442"/>
      <c r="I8400" s="421">
        <f>IF(AND(E8400&lt;&gt;"",G8400&lt;&gt;""),IF(D8400="",IF(G8400="OH",VLOOKUP(E8400,UPAH!$C$4:$H$31,7,0),VLOOKUP(E8400,#REF!,4,0)),0),0)</f>
        <v>0</v>
      </c>
      <c r="J8400" s="396">
        <f>ROUNDDOWN(J8398+J8399,0)</f>
        <v>0</v>
      </c>
    </row>
    <row r="8401" spans="1:10" ht="13">
      <c r="A8401" s="27"/>
      <c r="B8401" s="110"/>
      <c r="D8401" s="11"/>
      <c r="E8401" s="11"/>
      <c r="H8401" s="443"/>
    </row>
    <row r="8402" spans="1:10" ht="13.5" thickBot="1">
      <c r="A8402" s="27"/>
      <c r="B8402" s="110"/>
      <c r="C8402" s="11" t="s">
        <v>1378</v>
      </c>
      <c r="D8402" s="10" t="s">
        <v>1384</v>
      </c>
      <c r="H8402" s="443"/>
    </row>
    <row r="8403" spans="1:10" ht="13.5" thickBot="1">
      <c r="A8403" s="27"/>
      <c r="B8403" s="110"/>
      <c r="D8403" s="401" t="s">
        <v>40</v>
      </c>
      <c r="E8403" s="402" t="s">
        <v>41</v>
      </c>
      <c r="F8403" s="402" t="s">
        <v>42</v>
      </c>
      <c r="G8403" s="403" t="s">
        <v>43</v>
      </c>
      <c r="H8403" s="404" t="s">
        <v>44</v>
      </c>
      <c r="I8403" s="402" t="s">
        <v>474</v>
      </c>
      <c r="J8403" s="405" t="s">
        <v>475</v>
      </c>
    </row>
    <row r="8404" spans="1:10" ht="13">
      <c r="A8404" s="27"/>
      <c r="B8404" s="110"/>
      <c r="D8404" s="444" t="s">
        <v>45</v>
      </c>
      <c r="E8404" s="445" t="s">
        <v>46</v>
      </c>
      <c r="F8404" s="446"/>
      <c r="G8404" s="447"/>
      <c r="H8404" s="448"/>
      <c r="I8404" s="449"/>
      <c r="J8404" s="450"/>
    </row>
    <row r="8405" spans="1:10" ht="13">
      <c r="A8405" s="27"/>
      <c r="B8405" s="110"/>
      <c r="D8405" s="409"/>
      <c r="E8405" s="13" t="s">
        <v>47</v>
      </c>
      <c r="F8405" s="13" t="s">
        <v>1918</v>
      </c>
      <c r="G8405" s="543" t="s">
        <v>48</v>
      </c>
      <c r="H8405" s="548">
        <v>0.105</v>
      </c>
      <c r="I8405" s="412">
        <f>IF(AND(E8405&lt;&gt;"",G8405&lt;&gt;""),IF(D8405="",IF(G8405="OH",VLOOKUP(F8405,UPAH!$B$4:$H$101,7,0),VLOOKUP(F8405,#REF!,4,0)),0),0)</f>
        <v>0</v>
      </c>
      <c r="J8405" s="16">
        <f>H8405*I8405</f>
        <v>0</v>
      </c>
    </row>
    <row r="8406" spans="1:10" ht="13">
      <c r="A8406" s="27"/>
      <c r="B8406" s="110"/>
      <c r="D8406" s="409"/>
      <c r="E8406" s="13" t="s">
        <v>283</v>
      </c>
      <c r="F8406" s="13" t="s">
        <v>1913</v>
      </c>
      <c r="G8406" s="543" t="s">
        <v>48</v>
      </c>
      <c r="H8406" s="548">
        <v>5.2999999999999999E-2</v>
      </c>
      <c r="I8406" s="412">
        <f>IF(AND(E8406&lt;&gt;"",G8406&lt;&gt;""),IF(D8406="",IF(G8406="OH",VLOOKUP(F8406,UPAH!$B$4:$H$101,7,0),VLOOKUP(F8406,#REF!,4,0)),0),0)</f>
        <v>0</v>
      </c>
      <c r="J8406" s="16">
        <f>H8406*I8406</f>
        <v>0</v>
      </c>
    </row>
    <row r="8407" spans="1:10" ht="13.5" thickBot="1">
      <c r="A8407" s="27"/>
      <c r="B8407" s="110"/>
      <c r="D8407" s="409"/>
      <c r="E8407" s="13" t="s">
        <v>51</v>
      </c>
      <c r="F8407" s="13" t="s">
        <v>1929</v>
      </c>
      <c r="G8407" s="543" t="s">
        <v>48</v>
      </c>
      <c r="H8407" s="548">
        <v>1.0999999999999999E-2</v>
      </c>
      <c r="I8407" s="412">
        <f>IF(AND(E8407&lt;&gt;"",G8407&lt;&gt;""),IF(D8407="",IF(G8407="OH",VLOOKUP(F8407,UPAH!$B$4:$H$101,7,0),VLOOKUP(F8407,#REF!,4,0)),0),0)</f>
        <v>0</v>
      </c>
      <c r="J8407" s="16">
        <f>H8407*I8407</f>
        <v>0</v>
      </c>
    </row>
    <row r="8408" spans="1:10" ht="13.5" thickBot="1">
      <c r="A8408" s="27"/>
      <c r="B8408" s="110"/>
      <c r="D8408" s="417"/>
      <c r="E8408" s="418"/>
      <c r="F8408" s="418"/>
      <c r="G8408" s="419"/>
      <c r="H8408" s="420" t="s">
        <v>52</v>
      </c>
      <c r="I8408" s="421"/>
      <c r="J8408" s="396">
        <f>SUM(J8404:J8407)</f>
        <v>0</v>
      </c>
    </row>
    <row r="8409" spans="1:10" ht="13">
      <c r="A8409" s="27"/>
      <c r="B8409" s="110"/>
      <c r="D8409" s="406" t="s">
        <v>53</v>
      </c>
      <c r="E8409" s="13" t="s">
        <v>54</v>
      </c>
      <c r="F8409" s="14"/>
      <c r="G8409" s="15"/>
      <c r="H8409" s="451"/>
      <c r="I8409" s="412"/>
      <c r="J8409" s="16"/>
    </row>
    <row r="8410" spans="1:10" ht="13.5" thickBot="1">
      <c r="A8410" s="27"/>
      <c r="B8410" s="110"/>
      <c r="D8410" s="409"/>
      <c r="E8410" s="13" t="s">
        <v>287</v>
      </c>
      <c r="F8410" s="14"/>
      <c r="G8410" s="543" t="s">
        <v>113</v>
      </c>
      <c r="H8410" s="548">
        <v>1</v>
      </c>
      <c r="I8410" s="412">
        <f>$I$8393</f>
        <v>0</v>
      </c>
      <c r="J8410" s="16">
        <f>H8410*I8410</f>
        <v>0</v>
      </c>
    </row>
    <row r="8411" spans="1:10" ht="13.5" thickBot="1">
      <c r="A8411" s="27"/>
      <c r="B8411" s="110"/>
      <c r="D8411" s="417"/>
      <c r="E8411" s="418"/>
      <c r="F8411" s="418"/>
      <c r="G8411" s="419"/>
      <c r="H8411" s="420" t="s">
        <v>64</v>
      </c>
      <c r="I8411" s="421"/>
      <c r="J8411" s="396">
        <f>SUM(J8410)</f>
        <v>0</v>
      </c>
    </row>
    <row r="8412" spans="1:10" ht="13">
      <c r="A8412" s="27"/>
      <c r="B8412" s="110"/>
      <c r="D8412" s="406" t="s">
        <v>65</v>
      </c>
      <c r="E8412" s="13" t="s">
        <v>66</v>
      </c>
      <c r="F8412" s="14"/>
      <c r="G8412" s="15"/>
      <c r="H8412" s="451"/>
      <c r="I8412" s="412"/>
      <c r="J8412" s="16"/>
    </row>
    <row r="8413" spans="1:10" ht="13.5" thickBot="1">
      <c r="A8413" s="27"/>
      <c r="B8413" s="110"/>
      <c r="D8413" s="409"/>
      <c r="E8413" s="13" t="s">
        <v>446</v>
      </c>
      <c r="F8413" s="14"/>
      <c r="G8413" s="543" t="s">
        <v>285</v>
      </c>
      <c r="H8413" s="548">
        <v>0.01</v>
      </c>
      <c r="I8413" s="412">
        <f>Alat!H102</f>
        <v>0</v>
      </c>
      <c r="J8413" s="16">
        <f>H8413*I8413</f>
        <v>0</v>
      </c>
    </row>
    <row r="8414" spans="1:10" ht="13.5" thickBot="1">
      <c r="A8414" s="27"/>
      <c r="B8414" s="110"/>
      <c r="D8414" s="417"/>
      <c r="E8414" s="418"/>
      <c r="F8414" s="418"/>
      <c r="G8414" s="419"/>
      <c r="H8414" s="420" t="s">
        <v>67</v>
      </c>
      <c r="I8414" s="421"/>
      <c r="J8414" s="396">
        <f>J8413</f>
        <v>0</v>
      </c>
    </row>
    <row r="8415" spans="1:10" ht="13">
      <c r="A8415" s="27"/>
      <c r="B8415" s="110"/>
      <c r="D8415" s="444" t="s">
        <v>68</v>
      </c>
      <c r="E8415" s="445" t="s">
        <v>69</v>
      </c>
      <c r="F8415" s="446"/>
      <c r="G8415" s="447"/>
      <c r="H8415" s="448"/>
      <c r="I8415" s="449">
        <f>IF(AND(E8415&lt;&gt;"",G8415&lt;&gt;""),IF(D8415="",IF(G8415="OH",VLOOKUP(E8415,UPAH!$C$4:$H$31,7,0),VLOOKUP(E8415,#REF!,4,0)),0),0)</f>
        <v>0</v>
      </c>
      <c r="J8415" s="16">
        <f>SUM(J8404:J8414)/2</f>
        <v>0</v>
      </c>
    </row>
    <row r="8416" spans="1:10" ht="13.5" thickBot="1">
      <c r="A8416" s="27"/>
      <c r="B8416" s="110"/>
      <c r="D8416" s="431" t="s">
        <v>70</v>
      </c>
      <c r="E8416" s="432" t="s">
        <v>477</v>
      </c>
      <c r="F8416" s="433"/>
      <c r="G8416" s="434"/>
      <c r="H8416" s="22">
        <v>0.1</v>
      </c>
      <c r="I8416" s="436"/>
      <c r="J8416" s="430">
        <f>H8416*J8415</f>
        <v>0</v>
      </c>
    </row>
    <row r="8417" spans="1:10" ht="13.5" thickBot="1">
      <c r="A8417" s="27"/>
      <c r="B8417" s="110"/>
      <c r="D8417" s="401" t="s">
        <v>71</v>
      </c>
      <c r="E8417" s="402" t="s">
        <v>72</v>
      </c>
      <c r="F8417" s="418"/>
      <c r="G8417" s="419"/>
      <c r="H8417" s="442"/>
      <c r="I8417" s="421">
        <f>IF(AND(E8417&lt;&gt;"",G8417&lt;&gt;""),IF(D8417="",IF(G8417="OH",VLOOKUP(E8417,UPAH!$C$4:$H$31,7,0),VLOOKUP(E8417,#REF!,4,0)),0),0)</f>
        <v>0</v>
      </c>
      <c r="J8417" s="396">
        <f>ROUNDDOWN(J8415+J8416,0)</f>
        <v>0</v>
      </c>
    </row>
    <row r="8418" spans="1:10" ht="13">
      <c r="A8418" s="27"/>
      <c r="B8418" s="110"/>
      <c r="D8418" s="11"/>
      <c r="E8418" s="11"/>
      <c r="H8418" s="443"/>
    </row>
    <row r="8419" spans="1:10" ht="13.5" thickBot="1">
      <c r="A8419" s="27"/>
      <c r="B8419" s="110"/>
      <c r="C8419" s="11" t="s">
        <v>1379</v>
      </c>
      <c r="D8419" s="10" t="s">
        <v>1385</v>
      </c>
      <c r="H8419" s="443"/>
    </row>
    <row r="8420" spans="1:10" ht="13.5" thickBot="1">
      <c r="A8420" s="27"/>
      <c r="B8420" s="110"/>
      <c r="D8420" s="401" t="s">
        <v>40</v>
      </c>
      <c r="E8420" s="402" t="s">
        <v>41</v>
      </c>
      <c r="F8420" s="402" t="s">
        <v>42</v>
      </c>
      <c r="G8420" s="403" t="s">
        <v>43</v>
      </c>
      <c r="H8420" s="404" t="s">
        <v>44</v>
      </c>
      <c r="I8420" s="402" t="s">
        <v>474</v>
      </c>
      <c r="J8420" s="405" t="s">
        <v>475</v>
      </c>
    </row>
    <row r="8421" spans="1:10" ht="13">
      <c r="A8421" s="27"/>
      <c r="B8421" s="110"/>
      <c r="D8421" s="444" t="s">
        <v>45</v>
      </c>
      <c r="E8421" s="445" t="s">
        <v>46</v>
      </c>
      <c r="F8421" s="446"/>
      <c r="G8421" s="447"/>
      <c r="H8421" s="448"/>
      <c r="I8421" s="449"/>
      <c r="J8421" s="450"/>
    </row>
    <row r="8422" spans="1:10" ht="13">
      <c r="A8422" s="27"/>
      <c r="B8422" s="110"/>
      <c r="D8422" s="409"/>
      <c r="E8422" s="13" t="s">
        <v>47</v>
      </c>
      <c r="F8422" s="13" t="s">
        <v>1918</v>
      </c>
      <c r="G8422" s="543" t="s">
        <v>48</v>
      </c>
      <c r="H8422" s="548">
        <v>0.11799999999999999</v>
      </c>
      <c r="I8422" s="412">
        <f>IF(AND(E8422&lt;&gt;"",G8422&lt;&gt;""),IF(D8422="",IF(G8422="OH",VLOOKUP(F8422,UPAH!$B$4:$H$101,7,0),VLOOKUP(F8422,#REF!,4,0)),0),0)</f>
        <v>0</v>
      </c>
      <c r="J8422" s="16">
        <f>H8422*I8422</f>
        <v>0</v>
      </c>
    </row>
    <row r="8423" spans="1:10" ht="13">
      <c r="A8423" s="27"/>
      <c r="B8423" s="110"/>
      <c r="D8423" s="409"/>
      <c r="E8423" s="13" t="s">
        <v>283</v>
      </c>
      <c r="F8423" s="13" t="s">
        <v>1913</v>
      </c>
      <c r="G8423" s="543" t="s">
        <v>48</v>
      </c>
      <c r="H8423" s="548">
        <v>5.8999999999999997E-2</v>
      </c>
      <c r="I8423" s="412">
        <f>IF(AND(E8423&lt;&gt;"",G8423&lt;&gt;""),IF(D8423="",IF(G8423="OH",VLOOKUP(F8423,UPAH!$B$4:$H$101,7,0),VLOOKUP(F8423,#REF!,4,0)),0),0)</f>
        <v>0</v>
      </c>
      <c r="J8423" s="16">
        <f>H8423*I8423</f>
        <v>0</v>
      </c>
    </row>
    <row r="8424" spans="1:10" ht="13.5" thickBot="1">
      <c r="A8424" s="27"/>
      <c r="B8424" s="110"/>
      <c r="D8424" s="409"/>
      <c r="E8424" s="13" t="s">
        <v>51</v>
      </c>
      <c r="F8424" s="13" t="s">
        <v>1929</v>
      </c>
      <c r="G8424" s="543" t="s">
        <v>48</v>
      </c>
      <c r="H8424" s="548">
        <v>1.2E-2</v>
      </c>
      <c r="I8424" s="412">
        <f>IF(AND(E8424&lt;&gt;"",G8424&lt;&gt;""),IF(D8424="",IF(G8424="OH",VLOOKUP(F8424,UPAH!$B$4:$H$101,7,0),VLOOKUP(F8424,#REF!,4,0)),0),0)</f>
        <v>0</v>
      </c>
      <c r="J8424" s="16">
        <f>H8424*I8424</f>
        <v>0</v>
      </c>
    </row>
    <row r="8425" spans="1:10" ht="13.5" thickBot="1">
      <c r="A8425" s="27"/>
      <c r="B8425" s="110"/>
      <c r="D8425" s="417"/>
      <c r="E8425" s="418"/>
      <c r="F8425" s="418"/>
      <c r="G8425" s="419"/>
      <c r="H8425" s="420" t="s">
        <v>52</v>
      </c>
      <c r="I8425" s="421"/>
      <c r="J8425" s="396">
        <f>SUM(J8421:J8424)</f>
        <v>0</v>
      </c>
    </row>
    <row r="8426" spans="1:10" ht="13">
      <c r="A8426" s="27"/>
      <c r="B8426" s="110"/>
      <c r="D8426" s="406" t="s">
        <v>53</v>
      </c>
      <c r="E8426" s="13" t="s">
        <v>54</v>
      </c>
      <c r="F8426" s="14"/>
      <c r="G8426" s="15"/>
      <c r="H8426" s="451"/>
      <c r="I8426" s="412"/>
      <c r="J8426" s="16"/>
    </row>
    <row r="8427" spans="1:10" ht="13.5" thickBot="1">
      <c r="A8427" s="27"/>
      <c r="B8427" s="110"/>
      <c r="D8427" s="409"/>
      <c r="E8427" s="13" t="s">
        <v>346</v>
      </c>
      <c r="F8427" s="14"/>
      <c r="G8427" s="543" t="s">
        <v>113</v>
      </c>
      <c r="H8427" s="548">
        <v>1</v>
      </c>
      <c r="I8427" s="412">
        <f>'BAHAN '!G368</f>
        <v>0</v>
      </c>
      <c r="J8427" s="16">
        <f>H8427*I8427</f>
        <v>0</v>
      </c>
    </row>
    <row r="8428" spans="1:10" ht="13.5" thickBot="1">
      <c r="A8428" s="27"/>
      <c r="B8428" s="110"/>
      <c r="D8428" s="417"/>
      <c r="E8428" s="418"/>
      <c r="F8428" s="418"/>
      <c r="G8428" s="419"/>
      <c r="H8428" s="420" t="s">
        <v>64</v>
      </c>
      <c r="I8428" s="421"/>
      <c r="J8428" s="396">
        <f>SUM(J8427)</f>
        <v>0</v>
      </c>
    </row>
    <row r="8429" spans="1:10" ht="13">
      <c r="A8429" s="27"/>
      <c r="B8429" s="110"/>
      <c r="D8429" s="406" t="s">
        <v>65</v>
      </c>
      <c r="E8429" s="13" t="s">
        <v>66</v>
      </c>
      <c r="F8429" s="14"/>
      <c r="G8429" s="15"/>
      <c r="H8429" s="451"/>
      <c r="I8429" s="412"/>
      <c r="J8429" s="16"/>
    </row>
    <row r="8430" spans="1:10" ht="13.5" thickBot="1">
      <c r="A8430" s="27"/>
      <c r="B8430" s="110"/>
      <c r="D8430" s="409"/>
      <c r="E8430" s="13" t="s">
        <v>446</v>
      </c>
      <c r="F8430" s="14"/>
      <c r="G8430" s="543" t="s">
        <v>285</v>
      </c>
      <c r="H8430" s="548">
        <v>1.2E-2</v>
      </c>
      <c r="I8430" s="412">
        <f>Alat!H102</f>
        <v>0</v>
      </c>
      <c r="J8430" s="16">
        <f>H8430*I8430</f>
        <v>0</v>
      </c>
    </row>
    <row r="8431" spans="1:10" ht="13.5" thickBot="1">
      <c r="A8431" s="27"/>
      <c r="B8431" s="110"/>
      <c r="D8431" s="417"/>
      <c r="E8431" s="418"/>
      <c r="F8431" s="418"/>
      <c r="G8431" s="419"/>
      <c r="H8431" s="420" t="s">
        <v>67</v>
      </c>
      <c r="I8431" s="421"/>
      <c r="J8431" s="396">
        <f>J8430</f>
        <v>0</v>
      </c>
    </row>
    <row r="8432" spans="1:10" ht="13">
      <c r="A8432" s="27"/>
      <c r="B8432" s="110"/>
      <c r="D8432" s="444" t="s">
        <v>68</v>
      </c>
      <c r="E8432" s="445" t="s">
        <v>69</v>
      </c>
      <c r="F8432" s="446"/>
      <c r="G8432" s="447"/>
      <c r="H8432" s="448"/>
      <c r="I8432" s="449">
        <f>IF(AND(E8432&lt;&gt;"",G8432&lt;&gt;""),IF(D8432="",IF(G8432="OH",VLOOKUP(E8432,UPAH!$C$4:$H$31,7,0),VLOOKUP(E8432,#REF!,4,0)),0),0)</f>
        <v>0</v>
      </c>
      <c r="J8432" s="16">
        <f>SUM(J8421:J8431)/2</f>
        <v>0</v>
      </c>
    </row>
    <row r="8433" spans="1:10" ht="13.5" thickBot="1">
      <c r="A8433" s="27"/>
      <c r="B8433" s="110"/>
      <c r="D8433" s="431" t="s">
        <v>70</v>
      </c>
      <c r="E8433" s="432" t="s">
        <v>477</v>
      </c>
      <c r="F8433" s="433"/>
      <c r="G8433" s="434"/>
      <c r="H8433" s="22">
        <v>0.1</v>
      </c>
      <c r="I8433" s="436"/>
      <c r="J8433" s="430">
        <f>H8433*J8432</f>
        <v>0</v>
      </c>
    </row>
    <row r="8434" spans="1:10" ht="13.5" thickBot="1">
      <c r="A8434" s="27"/>
      <c r="B8434" s="110"/>
      <c r="D8434" s="401" t="s">
        <v>71</v>
      </c>
      <c r="E8434" s="402" t="s">
        <v>72</v>
      </c>
      <c r="F8434" s="418"/>
      <c r="G8434" s="419"/>
      <c r="H8434" s="442"/>
      <c r="I8434" s="421">
        <f>IF(AND(E8434&lt;&gt;"",G8434&lt;&gt;""),IF(D8434="",IF(G8434="OH",VLOOKUP(E8434,UPAH!$C$4:$H$31,7,0),VLOOKUP(E8434,#REF!,4,0)),0),0)</f>
        <v>0</v>
      </c>
      <c r="J8434" s="396">
        <f>ROUNDDOWN(J8432+J8433,0)</f>
        <v>0</v>
      </c>
    </row>
    <row r="8435" spans="1:10" ht="13">
      <c r="A8435" s="27"/>
      <c r="B8435" s="110"/>
      <c r="D8435" s="11"/>
      <c r="E8435" s="11"/>
      <c r="H8435" s="443"/>
    </row>
    <row r="8436" spans="1:10" ht="13.5" thickBot="1">
      <c r="A8436" s="27"/>
      <c r="B8436" s="110"/>
      <c r="C8436" s="11" t="s">
        <v>1380</v>
      </c>
      <c r="D8436" s="10" t="s">
        <v>1386</v>
      </c>
      <c r="H8436" s="443"/>
    </row>
    <row r="8437" spans="1:10" ht="13.5" thickBot="1">
      <c r="A8437" s="27"/>
      <c r="B8437" s="110"/>
      <c r="D8437" s="401" t="s">
        <v>40</v>
      </c>
      <c r="E8437" s="402" t="s">
        <v>41</v>
      </c>
      <c r="F8437" s="402" t="s">
        <v>42</v>
      </c>
      <c r="G8437" s="403" t="s">
        <v>43</v>
      </c>
      <c r="H8437" s="404" t="s">
        <v>44</v>
      </c>
      <c r="I8437" s="402" t="s">
        <v>474</v>
      </c>
      <c r="J8437" s="405" t="s">
        <v>475</v>
      </c>
    </row>
    <row r="8438" spans="1:10" ht="13">
      <c r="A8438" s="27"/>
      <c r="B8438" s="110"/>
      <c r="D8438" s="444" t="s">
        <v>45</v>
      </c>
      <c r="E8438" s="445" t="s">
        <v>46</v>
      </c>
      <c r="F8438" s="446"/>
      <c r="G8438" s="447"/>
      <c r="H8438" s="448"/>
      <c r="I8438" s="449"/>
      <c r="J8438" s="450"/>
    </row>
    <row r="8439" spans="1:10" ht="13">
      <c r="A8439" s="27"/>
      <c r="B8439" s="110"/>
      <c r="D8439" s="409"/>
      <c r="E8439" s="13" t="s">
        <v>47</v>
      </c>
      <c r="F8439" s="13" t="s">
        <v>1918</v>
      </c>
      <c r="G8439" s="543" t="s">
        <v>48</v>
      </c>
      <c r="H8439" s="548">
        <v>0.189</v>
      </c>
      <c r="I8439" s="412">
        <f>IF(AND(E8439&lt;&gt;"",G8439&lt;&gt;""),IF(D8439="",IF(G8439="OH",VLOOKUP(F8439,UPAH!$B$4:$H$101,7,0),VLOOKUP(F8439,#REF!,4,0)),0),0)</f>
        <v>0</v>
      </c>
      <c r="J8439" s="16">
        <f>H8439*I8439</f>
        <v>0</v>
      </c>
    </row>
    <row r="8440" spans="1:10" ht="13">
      <c r="A8440" s="27"/>
      <c r="B8440" s="110"/>
      <c r="D8440" s="409"/>
      <c r="E8440" s="13" t="s">
        <v>283</v>
      </c>
      <c r="F8440" s="13" t="s">
        <v>1913</v>
      </c>
      <c r="G8440" s="543" t="s">
        <v>48</v>
      </c>
      <c r="H8440" s="548">
        <v>9.5000000000000001E-2</v>
      </c>
      <c r="I8440" s="412">
        <f>IF(AND(E8440&lt;&gt;"",G8440&lt;&gt;""),IF(D8440="",IF(G8440="OH",VLOOKUP(F8440,UPAH!$B$4:$H$101,7,0),VLOOKUP(F8440,#REF!,4,0)),0),0)</f>
        <v>0</v>
      </c>
      <c r="J8440" s="16">
        <f>H8440*I8440</f>
        <v>0</v>
      </c>
    </row>
    <row r="8441" spans="1:10" ht="13.5" thickBot="1">
      <c r="A8441" s="27"/>
      <c r="B8441" s="110"/>
      <c r="D8441" s="409"/>
      <c r="E8441" s="13" t="s">
        <v>51</v>
      </c>
      <c r="F8441" s="13" t="s">
        <v>1929</v>
      </c>
      <c r="G8441" s="543" t="s">
        <v>48</v>
      </c>
      <c r="H8441" s="548">
        <v>1.9E-2</v>
      </c>
      <c r="I8441" s="412">
        <f>IF(AND(E8441&lt;&gt;"",G8441&lt;&gt;""),IF(D8441="",IF(G8441="OH",VLOOKUP(F8441,UPAH!$B$4:$H$101,7,0),VLOOKUP(F8441,#REF!,4,0)),0),0)</f>
        <v>0</v>
      </c>
      <c r="J8441" s="16">
        <f>H8441*I8441</f>
        <v>0</v>
      </c>
    </row>
    <row r="8442" spans="1:10" ht="13.5" thickBot="1">
      <c r="A8442" s="27"/>
      <c r="B8442" s="110"/>
      <c r="D8442" s="417"/>
      <c r="E8442" s="418"/>
      <c r="F8442" s="418"/>
      <c r="G8442" s="419"/>
      <c r="H8442" s="420" t="s">
        <v>52</v>
      </c>
      <c r="I8442" s="421"/>
      <c r="J8442" s="396">
        <f>SUM(J8438:J8441)</f>
        <v>0</v>
      </c>
    </row>
    <row r="8443" spans="1:10" ht="13">
      <c r="A8443" s="27"/>
      <c r="B8443" s="110"/>
      <c r="D8443" s="406" t="s">
        <v>53</v>
      </c>
      <c r="E8443" s="13" t="s">
        <v>54</v>
      </c>
      <c r="F8443" s="14"/>
      <c r="G8443" s="15"/>
      <c r="H8443" s="451"/>
      <c r="I8443" s="412"/>
      <c r="J8443" s="16"/>
    </row>
    <row r="8444" spans="1:10" ht="13.5" thickBot="1">
      <c r="A8444" s="27"/>
      <c r="B8444" s="110"/>
      <c r="D8444" s="409"/>
      <c r="E8444" s="13" t="s">
        <v>288</v>
      </c>
      <c r="F8444" s="14"/>
      <c r="G8444" s="543" t="s">
        <v>113</v>
      </c>
      <c r="H8444" s="548">
        <v>1</v>
      </c>
      <c r="I8444" s="412">
        <f>'BAHAN '!G367</f>
        <v>0</v>
      </c>
      <c r="J8444" s="16">
        <f>H8444*I8444</f>
        <v>0</v>
      </c>
    </row>
    <row r="8445" spans="1:10" ht="13.5" thickBot="1">
      <c r="A8445" s="27"/>
      <c r="B8445" s="110"/>
      <c r="D8445" s="417"/>
      <c r="E8445" s="418"/>
      <c r="F8445" s="418"/>
      <c r="G8445" s="419"/>
      <c r="H8445" s="420" t="s">
        <v>64</v>
      </c>
      <c r="I8445" s="421"/>
      <c r="J8445" s="396">
        <f>SUM(J8444)</f>
        <v>0</v>
      </c>
    </row>
    <row r="8446" spans="1:10" ht="13">
      <c r="A8446" s="27"/>
      <c r="B8446" s="110"/>
      <c r="D8446" s="406" t="s">
        <v>65</v>
      </c>
      <c r="E8446" s="13" t="s">
        <v>66</v>
      </c>
      <c r="F8446" s="14"/>
      <c r="G8446" s="15"/>
      <c r="H8446" s="451"/>
      <c r="I8446" s="412"/>
      <c r="J8446" s="16"/>
    </row>
    <row r="8447" spans="1:10" ht="13.5" thickBot="1">
      <c r="A8447" s="27"/>
      <c r="B8447" s="110"/>
      <c r="D8447" s="409"/>
      <c r="E8447" s="13" t="s">
        <v>446</v>
      </c>
      <c r="F8447" s="14"/>
      <c r="G8447" s="543" t="s">
        <v>285</v>
      </c>
      <c r="H8447" s="548">
        <v>2.4E-2</v>
      </c>
      <c r="I8447" s="412">
        <f>Alat!H102</f>
        <v>0</v>
      </c>
      <c r="J8447" s="16">
        <f>H8447*I8447</f>
        <v>0</v>
      </c>
    </row>
    <row r="8448" spans="1:10" ht="13.5" thickBot="1">
      <c r="A8448" s="27"/>
      <c r="B8448" s="110"/>
      <c r="D8448" s="417"/>
      <c r="E8448" s="418"/>
      <c r="F8448" s="418"/>
      <c r="G8448" s="419"/>
      <c r="H8448" s="420" t="s">
        <v>67</v>
      </c>
      <c r="I8448" s="421"/>
      <c r="J8448" s="396">
        <f>J8447</f>
        <v>0</v>
      </c>
    </row>
    <row r="8449" spans="1:10" ht="13">
      <c r="A8449" s="27"/>
      <c r="B8449" s="110"/>
      <c r="D8449" s="444" t="s">
        <v>68</v>
      </c>
      <c r="E8449" s="445" t="s">
        <v>69</v>
      </c>
      <c r="F8449" s="446"/>
      <c r="G8449" s="447"/>
      <c r="H8449" s="448"/>
      <c r="I8449" s="449">
        <f>IF(AND(E8449&lt;&gt;"",G8449&lt;&gt;""),IF(D8449="",IF(G8449="OH",VLOOKUP(E8449,UPAH!$C$4:$H$31,7,0),VLOOKUP(E8449,#REF!,4,0)),0),0)</f>
        <v>0</v>
      </c>
      <c r="J8449" s="16">
        <f>SUM(J8438:J8448)/2</f>
        <v>0</v>
      </c>
    </row>
    <row r="8450" spans="1:10" ht="13.5" thickBot="1">
      <c r="A8450" s="27"/>
      <c r="B8450" s="110"/>
      <c r="D8450" s="431" t="s">
        <v>70</v>
      </c>
      <c r="E8450" s="432" t="s">
        <v>477</v>
      </c>
      <c r="F8450" s="433"/>
      <c r="G8450" s="434"/>
      <c r="H8450" s="22">
        <v>0.1</v>
      </c>
      <c r="I8450" s="436"/>
      <c r="J8450" s="430">
        <f>H8450*J8449</f>
        <v>0</v>
      </c>
    </row>
    <row r="8451" spans="1:10" ht="13.5" thickBot="1">
      <c r="A8451" s="27"/>
      <c r="B8451" s="110"/>
      <c r="D8451" s="401" t="s">
        <v>71</v>
      </c>
      <c r="E8451" s="402" t="s">
        <v>72</v>
      </c>
      <c r="F8451" s="418"/>
      <c r="G8451" s="419"/>
      <c r="H8451" s="442"/>
      <c r="I8451" s="421">
        <f>IF(AND(E8451&lt;&gt;"",G8451&lt;&gt;""),IF(D8451="",IF(G8451="OH",VLOOKUP(E8451,UPAH!$C$4:$H$31,7,0),VLOOKUP(E8451,#REF!,4,0)),0),0)</f>
        <v>0</v>
      </c>
      <c r="J8451" s="396">
        <f>ROUNDDOWN(J8449+J8450,0)</f>
        <v>0</v>
      </c>
    </row>
    <row r="8452" spans="1:10" ht="13">
      <c r="A8452" s="27"/>
      <c r="B8452" s="110"/>
      <c r="D8452" s="11"/>
      <c r="E8452" s="11"/>
      <c r="H8452" s="443"/>
    </row>
    <row r="8453" spans="1:10" ht="13.5" thickBot="1">
      <c r="A8453" s="27"/>
      <c r="B8453" s="110"/>
      <c r="C8453" s="11" t="s">
        <v>1381</v>
      </c>
      <c r="D8453" s="10" t="s">
        <v>1387</v>
      </c>
      <c r="H8453" s="443"/>
    </row>
    <row r="8454" spans="1:10" ht="13.5" thickBot="1">
      <c r="A8454" s="27"/>
      <c r="B8454" s="110"/>
      <c r="D8454" s="401" t="s">
        <v>40</v>
      </c>
      <c r="E8454" s="402" t="s">
        <v>41</v>
      </c>
      <c r="F8454" s="402" t="s">
        <v>42</v>
      </c>
      <c r="G8454" s="403" t="s">
        <v>43</v>
      </c>
      <c r="H8454" s="404" t="s">
        <v>44</v>
      </c>
      <c r="I8454" s="402" t="s">
        <v>474</v>
      </c>
      <c r="J8454" s="405" t="s">
        <v>475</v>
      </c>
    </row>
    <row r="8455" spans="1:10" ht="13">
      <c r="A8455" s="27"/>
      <c r="B8455" s="110"/>
      <c r="D8455" s="444" t="s">
        <v>45</v>
      </c>
      <c r="E8455" s="445" t="s">
        <v>46</v>
      </c>
      <c r="F8455" s="446"/>
      <c r="G8455" s="447"/>
      <c r="H8455" s="448"/>
      <c r="I8455" s="449"/>
      <c r="J8455" s="450"/>
    </row>
    <row r="8456" spans="1:10" ht="13">
      <c r="A8456" s="27"/>
      <c r="B8456" s="110"/>
      <c r="D8456" s="409"/>
      <c r="E8456" s="13" t="s">
        <v>47</v>
      </c>
      <c r="F8456" s="13" t="s">
        <v>1918</v>
      </c>
      <c r="G8456" s="543" t="s">
        <v>48</v>
      </c>
      <c r="H8456" s="548">
        <v>0.25600000000000001</v>
      </c>
      <c r="I8456" s="412">
        <f>IF(AND(E8456&lt;&gt;"",G8456&lt;&gt;""),IF(D8456="",IF(G8456="OH",VLOOKUP(F8456,UPAH!$B$4:$H$101,7,0),VLOOKUP(F8456,#REF!,4,0)),0),0)</f>
        <v>0</v>
      </c>
      <c r="J8456" s="16">
        <f>H8456*I8456</f>
        <v>0</v>
      </c>
    </row>
    <row r="8457" spans="1:10" ht="13">
      <c r="A8457" s="27"/>
      <c r="B8457" s="110"/>
      <c r="D8457" s="409"/>
      <c r="E8457" s="13" t="s">
        <v>283</v>
      </c>
      <c r="F8457" s="13" t="s">
        <v>1913</v>
      </c>
      <c r="G8457" s="543" t="s">
        <v>48</v>
      </c>
      <c r="H8457" s="548">
        <v>0.128</v>
      </c>
      <c r="I8457" s="412">
        <f>IF(AND(E8457&lt;&gt;"",G8457&lt;&gt;""),IF(D8457="",IF(G8457="OH",VLOOKUP(F8457,UPAH!$B$4:$H$101,7,0),VLOOKUP(F8457,#REF!,4,0)),0),0)</f>
        <v>0</v>
      </c>
      <c r="J8457" s="16">
        <f>H8457*I8457</f>
        <v>0</v>
      </c>
    </row>
    <row r="8458" spans="1:10" ht="13.5" thickBot="1">
      <c r="A8458" s="27"/>
      <c r="B8458" s="110"/>
      <c r="D8458" s="409"/>
      <c r="E8458" s="13" t="s">
        <v>51</v>
      </c>
      <c r="F8458" s="13" t="s">
        <v>1929</v>
      </c>
      <c r="G8458" s="543" t="s">
        <v>48</v>
      </c>
      <c r="H8458" s="548">
        <v>2.5999999999999999E-2</v>
      </c>
      <c r="I8458" s="412">
        <f>IF(AND(E8458&lt;&gt;"",G8458&lt;&gt;""),IF(D8458="",IF(G8458="OH",VLOOKUP(F8458,UPAH!$B$4:$H$101,7,0),VLOOKUP(F8458,#REF!,4,0)),0),0)</f>
        <v>0</v>
      </c>
      <c r="J8458" s="16">
        <f>H8458*I8458</f>
        <v>0</v>
      </c>
    </row>
    <row r="8459" spans="1:10" ht="13.5" thickBot="1">
      <c r="A8459" s="27"/>
      <c r="B8459" s="110"/>
      <c r="D8459" s="417"/>
      <c r="E8459" s="418"/>
      <c r="F8459" s="418"/>
      <c r="G8459" s="419"/>
      <c r="H8459" s="420" t="s">
        <v>52</v>
      </c>
      <c r="I8459" s="421"/>
      <c r="J8459" s="396">
        <f>SUM(J8455:J8458)</f>
        <v>0</v>
      </c>
    </row>
    <row r="8460" spans="1:10" ht="13">
      <c r="A8460" s="27"/>
      <c r="B8460" s="110"/>
      <c r="D8460" s="406" t="s">
        <v>53</v>
      </c>
      <c r="E8460" s="13" t="s">
        <v>54</v>
      </c>
      <c r="F8460" s="14"/>
      <c r="G8460" s="15"/>
      <c r="H8460" s="451"/>
      <c r="I8460" s="412"/>
      <c r="J8460" s="16"/>
    </row>
    <row r="8461" spans="1:10" ht="13.5" thickBot="1">
      <c r="A8461" s="27"/>
      <c r="B8461" s="110"/>
      <c r="D8461" s="409"/>
      <c r="E8461" s="13" t="s">
        <v>289</v>
      </c>
      <c r="F8461" s="14"/>
      <c r="G8461" s="543" t="s">
        <v>113</v>
      </c>
      <c r="H8461" s="548">
        <v>1</v>
      </c>
      <c r="I8461" s="412">
        <f>'BAHAN '!G366</f>
        <v>0</v>
      </c>
      <c r="J8461" s="16">
        <f>H8461*I8461</f>
        <v>0</v>
      </c>
    </row>
    <row r="8462" spans="1:10" ht="13.5" thickBot="1">
      <c r="A8462" s="27"/>
      <c r="B8462" s="110"/>
      <c r="D8462" s="417"/>
      <c r="E8462" s="418"/>
      <c r="F8462" s="418"/>
      <c r="G8462" s="419"/>
      <c r="H8462" s="420" t="s">
        <v>64</v>
      </c>
      <c r="I8462" s="421"/>
      <c r="J8462" s="396">
        <f>SUM(J8461)</f>
        <v>0</v>
      </c>
    </row>
    <row r="8463" spans="1:10" ht="13">
      <c r="A8463" s="27"/>
      <c r="B8463" s="110"/>
      <c r="D8463" s="406" t="s">
        <v>65</v>
      </c>
      <c r="E8463" s="13" t="s">
        <v>66</v>
      </c>
      <c r="F8463" s="14"/>
      <c r="G8463" s="15"/>
      <c r="H8463" s="451"/>
      <c r="I8463" s="412"/>
      <c r="J8463" s="16"/>
    </row>
    <row r="8464" spans="1:10" ht="13.5" thickBot="1">
      <c r="A8464" s="27"/>
      <c r="B8464" s="110"/>
      <c r="D8464" s="409"/>
      <c r="E8464" s="13" t="s">
        <v>446</v>
      </c>
      <c r="F8464" s="14"/>
      <c r="G8464" s="543" t="s">
        <v>285</v>
      </c>
      <c r="H8464" s="548">
        <v>3.4000000000000002E-2</v>
      </c>
      <c r="I8464" s="412">
        <f>Alat!H102</f>
        <v>0</v>
      </c>
      <c r="J8464" s="16">
        <f>H8464*I8464</f>
        <v>0</v>
      </c>
    </row>
    <row r="8465" spans="1:10" ht="13.5" thickBot="1">
      <c r="A8465" s="27"/>
      <c r="B8465" s="110"/>
      <c r="D8465" s="417"/>
      <c r="E8465" s="418"/>
      <c r="F8465" s="418"/>
      <c r="G8465" s="419"/>
      <c r="H8465" s="420" t="s">
        <v>67</v>
      </c>
      <c r="I8465" s="421"/>
      <c r="J8465" s="396">
        <f>J8464</f>
        <v>0</v>
      </c>
    </row>
    <row r="8466" spans="1:10" ht="13">
      <c r="A8466" s="27"/>
      <c r="B8466" s="110"/>
      <c r="D8466" s="444" t="s">
        <v>68</v>
      </c>
      <c r="E8466" s="445" t="s">
        <v>69</v>
      </c>
      <c r="F8466" s="446"/>
      <c r="G8466" s="447"/>
      <c r="H8466" s="448"/>
      <c r="I8466" s="449">
        <f>IF(AND(E8466&lt;&gt;"",G8466&lt;&gt;""),IF(D8466="",IF(G8466="OH",VLOOKUP(E8466,UPAH!$C$4:$H$31,7,0),VLOOKUP(E8466,#REF!,4,0)),0),0)</f>
        <v>0</v>
      </c>
      <c r="J8466" s="16">
        <f>SUM(J8455:J8465)/2</f>
        <v>0</v>
      </c>
    </row>
    <row r="8467" spans="1:10" ht="13.5" thickBot="1">
      <c r="A8467" s="27"/>
      <c r="B8467" s="110"/>
      <c r="D8467" s="431" t="s">
        <v>70</v>
      </c>
      <c r="E8467" s="432" t="s">
        <v>477</v>
      </c>
      <c r="F8467" s="433"/>
      <c r="G8467" s="434"/>
      <c r="H8467" s="22">
        <v>0.1</v>
      </c>
      <c r="I8467" s="436"/>
      <c r="J8467" s="430">
        <f>H8467*J8466</f>
        <v>0</v>
      </c>
    </row>
    <row r="8468" spans="1:10" ht="13.5" thickBot="1">
      <c r="A8468" s="27"/>
      <c r="B8468" s="110"/>
      <c r="D8468" s="401" t="s">
        <v>71</v>
      </c>
      <c r="E8468" s="402" t="s">
        <v>72</v>
      </c>
      <c r="F8468" s="418"/>
      <c r="G8468" s="419"/>
      <c r="H8468" s="442"/>
      <c r="I8468" s="421">
        <f>IF(AND(E8468&lt;&gt;"",G8468&lt;&gt;""),IF(D8468="",IF(G8468="OH",VLOOKUP(E8468,UPAH!$C$4:$H$31,7,0),VLOOKUP(E8468,#REF!,4,0)),0),0)</f>
        <v>0</v>
      </c>
      <c r="J8468" s="396">
        <f>ROUNDDOWN(J8466+J8467,0)</f>
        <v>0</v>
      </c>
    </row>
    <row r="8469" spans="1:10" ht="13">
      <c r="A8469" s="27"/>
      <c r="B8469" s="110"/>
      <c r="D8469" s="11"/>
      <c r="E8469" s="11"/>
      <c r="H8469" s="443"/>
    </row>
    <row r="8470" spans="1:10" ht="13.5" thickBot="1">
      <c r="A8470" s="27"/>
      <c r="B8470" s="110"/>
      <c r="C8470" s="11" t="s">
        <v>1388</v>
      </c>
      <c r="D8470" s="10" t="s">
        <v>1389</v>
      </c>
      <c r="H8470" s="443"/>
    </row>
    <row r="8471" spans="1:10" ht="13.5" thickBot="1">
      <c r="A8471" s="27"/>
      <c r="B8471" s="110"/>
      <c r="D8471" s="401" t="s">
        <v>40</v>
      </c>
      <c r="E8471" s="402" t="s">
        <v>41</v>
      </c>
      <c r="F8471" s="402" t="s">
        <v>42</v>
      </c>
      <c r="G8471" s="403" t="s">
        <v>43</v>
      </c>
      <c r="H8471" s="404" t="s">
        <v>44</v>
      </c>
      <c r="I8471" s="402" t="s">
        <v>474</v>
      </c>
      <c r="J8471" s="405" t="s">
        <v>475</v>
      </c>
    </row>
    <row r="8472" spans="1:10" ht="13">
      <c r="A8472" s="27"/>
      <c r="B8472" s="110"/>
      <c r="D8472" s="444" t="s">
        <v>45</v>
      </c>
      <c r="E8472" s="445" t="s">
        <v>46</v>
      </c>
      <c r="F8472" s="446"/>
      <c r="G8472" s="447"/>
      <c r="H8472" s="448"/>
      <c r="I8472" s="449"/>
      <c r="J8472" s="450"/>
    </row>
    <row r="8473" spans="1:10" ht="13">
      <c r="A8473" s="27"/>
      <c r="B8473" s="110"/>
      <c r="D8473" s="409"/>
      <c r="E8473" s="13" t="s">
        <v>47</v>
      </c>
      <c r="F8473" s="13" t="s">
        <v>1918</v>
      </c>
      <c r="G8473" s="543" t="s">
        <v>48</v>
      </c>
      <c r="H8473" s="548">
        <v>0.29399999999999998</v>
      </c>
      <c r="I8473" s="412">
        <f>IF(AND(E8473&lt;&gt;"",G8473&lt;&gt;""),IF(D8473="",IF(G8473="OH",VLOOKUP(F8473,UPAH!$B$4:$H$101,7,0),VLOOKUP(F8473,#REF!,4,0)),0),0)</f>
        <v>0</v>
      </c>
      <c r="J8473" s="16">
        <f>H8473*I8473</f>
        <v>0</v>
      </c>
    </row>
    <row r="8474" spans="1:10" ht="13">
      <c r="A8474" s="27"/>
      <c r="B8474" s="110"/>
      <c r="D8474" s="409"/>
      <c r="E8474" s="13" t="s">
        <v>283</v>
      </c>
      <c r="F8474" s="13" t="s">
        <v>1913</v>
      </c>
      <c r="G8474" s="543" t="s">
        <v>48</v>
      </c>
      <c r="H8474" s="548">
        <v>0.14699999999999999</v>
      </c>
      <c r="I8474" s="412">
        <f>IF(AND(E8474&lt;&gt;"",G8474&lt;&gt;""),IF(D8474="",IF(G8474="OH",VLOOKUP(F8474,UPAH!$B$4:$H$101,7,0),VLOOKUP(F8474,#REF!,4,0)),0),0)</f>
        <v>0</v>
      </c>
      <c r="J8474" s="16">
        <f>H8474*I8474</f>
        <v>0</v>
      </c>
    </row>
    <row r="8475" spans="1:10" ht="13.5" thickBot="1">
      <c r="A8475" s="27"/>
      <c r="B8475" s="110"/>
      <c r="D8475" s="409"/>
      <c r="E8475" s="13" t="s">
        <v>51</v>
      </c>
      <c r="F8475" s="13" t="s">
        <v>1929</v>
      </c>
      <c r="G8475" s="543" t="s">
        <v>48</v>
      </c>
      <c r="H8475" s="548">
        <v>2.9000000000000001E-2</v>
      </c>
      <c r="I8475" s="412">
        <f>IF(AND(E8475&lt;&gt;"",G8475&lt;&gt;""),IF(D8475="",IF(G8475="OH",VLOOKUP(F8475,UPAH!$B$4:$H$101,7,0),VLOOKUP(F8475,#REF!,4,0)),0),0)</f>
        <v>0</v>
      </c>
      <c r="J8475" s="16">
        <f>H8475*I8475</f>
        <v>0</v>
      </c>
    </row>
    <row r="8476" spans="1:10" ht="13.5" thickBot="1">
      <c r="A8476" s="27"/>
      <c r="B8476" s="110"/>
      <c r="D8476" s="417"/>
      <c r="E8476" s="418"/>
      <c r="F8476" s="418"/>
      <c r="G8476" s="419"/>
      <c r="H8476" s="420" t="s">
        <v>52</v>
      </c>
      <c r="I8476" s="421"/>
      <c r="J8476" s="396">
        <f>SUM(J8472:J8475)</f>
        <v>0</v>
      </c>
    </row>
    <row r="8477" spans="1:10" ht="13">
      <c r="A8477" s="27"/>
      <c r="B8477" s="110"/>
      <c r="D8477" s="406" t="s">
        <v>53</v>
      </c>
      <c r="E8477" s="13" t="s">
        <v>54</v>
      </c>
      <c r="F8477" s="14"/>
      <c r="G8477" s="15"/>
      <c r="H8477" s="451"/>
      <c r="I8477" s="412"/>
      <c r="J8477" s="16"/>
    </row>
    <row r="8478" spans="1:10" ht="13.5" thickBot="1">
      <c r="A8478" s="27"/>
      <c r="B8478" s="110"/>
      <c r="D8478" s="409"/>
      <c r="E8478" s="13" t="s">
        <v>290</v>
      </c>
      <c r="F8478" s="14"/>
      <c r="G8478" s="543" t="s">
        <v>113</v>
      </c>
      <c r="H8478" s="548">
        <v>1</v>
      </c>
      <c r="I8478" s="412">
        <f>'BAHAN '!G365</f>
        <v>0</v>
      </c>
      <c r="J8478" s="16">
        <f>H8478*I8478</f>
        <v>0</v>
      </c>
    </row>
    <row r="8479" spans="1:10" ht="13.5" thickBot="1">
      <c r="A8479" s="27"/>
      <c r="B8479" s="110"/>
      <c r="D8479" s="417"/>
      <c r="E8479" s="418"/>
      <c r="F8479" s="418"/>
      <c r="G8479" s="419"/>
      <c r="H8479" s="420" t="s">
        <v>64</v>
      </c>
      <c r="I8479" s="421"/>
      <c r="J8479" s="396">
        <f>SUM(J8478)</f>
        <v>0</v>
      </c>
    </row>
    <row r="8480" spans="1:10" ht="13">
      <c r="A8480" s="27"/>
      <c r="B8480" s="110"/>
      <c r="D8480" s="406" t="s">
        <v>65</v>
      </c>
      <c r="E8480" s="13" t="s">
        <v>66</v>
      </c>
      <c r="F8480" s="14"/>
      <c r="G8480" s="15"/>
      <c r="H8480" s="451"/>
      <c r="I8480" s="412"/>
      <c r="J8480" s="16"/>
    </row>
    <row r="8481" spans="1:10" ht="13.5" thickBot="1">
      <c r="A8481" s="27"/>
      <c r="B8481" s="110"/>
      <c r="D8481" s="409"/>
      <c r="E8481" s="13" t="s">
        <v>446</v>
      </c>
      <c r="F8481" s="14"/>
      <c r="G8481" s="543" t="s">
        <v>285</v>
      </c>
      <c r="H8481" s="548">
        <v>0.04</v>
      </c>
      <c r="I8481" s="412">
        <f>Alat!H102</f>
        <v>0</v>
      </c>
      <c r="J8481" s="16">
        <f>H8481*I8481</f>
        <v>0</v>
      </c>
    </row>
    <row r="8482" spans="1:10" ht="13.5" thickBot="1">
      <c r="A8482" s="27"/>
      <c r="B8482" s="110"/>
      <c r="D8482" s="417"/>
      <c r="E8482" s="418"/>
      <c r="F8482" s="418"/>
      <c r="G8482" s="419"/>
      <c r="H8482" s="420" t="s">
        <v>67</v>
      </c>
      <c r="I8482" s="421"/>
      <c r="J8482" s="396">
        <f>J8481</f>
        <v>0</v>
      </c>
    </row>
    <row r="8483" spans="1:10" ht="13">
      <c r="A8483" s="27"/>
      <c r="B8483" s="110"/>
      <c r="D8483" s="444" t="s">
        <v>68</v>
      </c>
      <c r="E8483" s="445" t="s">
        <v>69</v>
      </c>
      <c r="F8483" s="446"/>
      <c r="G8483" s="447"/>
      <c r="H8483" s="448"/>
      <c r="I8483" s="449">
        <f>IF(AND(E8483&lt;&gt;"",G8483&lt;&gt;""),IF(D8483="",IF(G8483="OH",VLOOKUP(E8483,UPAH!$C$4:$H$31,7,0),VLOOKUP(E8483,#REF!,4,0)),0),0)</f>
        <v>0</v>
      </c>
      <c r="J8483" s="16">
        <f>SUM(J8472:J8482)/2</f>
        <v>0</v>
      </c>
    </row>
    <row r="8484" spans="1:10" ht="13.5" thickBot="1">
      <c r="A8484" s="27"/>
      <c r="B8484" s="110"/>
      <c r="D8484" s="431" t="s">
        <v>70</v>
      </c>
      <c r="E8484" s="432" t="s">
        <v>477</v>
      </c>
      <c r="F8484" s="433"/>
      <c r="G8484" s="434"/>
      <c r="H8484" s="22">
        <v>0.1</v>
      </c>
      <c r="I8484" s="436"/>
      <c r="J8484" s="430">
        <f>H8484*J8483</f>
        <v>0</v>
      </c>
    </row>
    <row r="8485" spans="1:10" ht="13.5" thickBot="1">
      <c r="A8485" s="27"/>
      <c r="B8485" s="110"/>
      <c r="D8485" s="401" t="s">
        <v>71</v>
      </c>
      <c r="E8485" s="402" t="s">
        <v>72</v>
      </c>
      <c r="F8485" s="418"/>
      <c r="G8485" s="419"/>
      <c r="H8485" s="442"/>
      <c r="I8485" s="421">
        <f>IF(AND(E8485&lt;&gt;"",G8485&lt;&gt;""),IF(D8485="",IF(G8485="OH",VLOOKUP(E8485,UPAH!$C$4:$H$31,7,0),VLOOKUP(E8485,#REF!,4,0)),0),0)</f>
        <v>0</v>
      </c>
      <c r="J8485" s="396">
        <f>ROUNDDOWN(J8483+J8484,0)</f>
        <v>0</v>
      </c>
    </row>
    <row r="8486" spans="1:10" ht="13">
      <c r="A8486" s="27"/>
      <c r="B8486" s="110"/>
      <c r="D8486" s="11"/>
      <c r="E8486" s="11"/>
      <c r="H8486" s="443"/>
    </row>
    <row r="8487" spans="1:10" ht="13.5" thickBot="1">
      <c r="A8487" s="27"/>
      <c r="B8487" s="110"/>
      <c r="C8487" s="11" t="s">
        <v>1393</v>
      </c>
      <c r="D8487" s="10" t="s">
        <v>1394</v>
      </c>
      <c r="H8487" s="443"/>
    </row>
    <row r="8488" spans="1:10" ht="13.5" thickBot="1">
      <c r="A8488" s="27"/>
      <c r="B8488" s="110"/>
      <c r="D8488" s="401" t="s">
        <v>40</v>
      </c>
      <c r="E8488" s="402" t="s">
        <v>41</v>
      </c>
      <c r="F8488" s="402" t="s">
        <v>42</v>
      </c>
      <c r="G8488" s="403" t="s">
        <v>43</v>
      </c>
      <c r="H8488" s="404" t="s">
        <v>44</v>
      </c>
      <c r="I8488" s="402" t="s">
        <v>474</v>
      </c>
      <c r="J8488" s="405" t="s">
        <v>475</v>
      </c>
    </row>
    <row r="8489" spans="1:10" ht="13">
      <c r="A8489" s="27"/>
      <c r="B8489" s="110"/>
      <c r="D8489" s="444" t="s">
        <v>45</v>
      </c>
      <c r="E8489" s="445" t="s">
        <v>46</v>
      </c>
      <c r="F8489" s="446"/>
      <c r="G8489" s="447"/>
      <c r="H8489" s="448"/>
      <c r="I8489" s="449"/>
      <c r="J8489" s="450"/>
    </row>
    <row r="8490" spans="1:10" ht="13">
      <c r="A8490" s="27"/>
      <c r="B8490" s="110"/>
      <c r="D8490" s="409"/>
      <c r="E8490" s="13" t="s">
        <v>47</v>
      </c>
      <c r="F8490" s="13" t="s">
        <v>1918</v>
      </c>
      <c r="G8490" s="543" t="s">
        <v>48</v>
      </c>
      <c r="H8490" s="548">
        <v>0.54400000000000004</v>
      </c>
      <c r="I8490" s="412">
        <f>IF(AND(E8490&lt;&gt;"",G8490&lt;&gt;""),IF(D8490="",IF(G8490="OH",VLOOKUP(F8490,UPAH!$B$4:$H$101,7,0),VLOOKUP(F8490,#REF!,4,0)),0),0)</f>
        <v>0</v>
      </c>
      <c r="J8490" s="16">
        <f>H8490*I8490</f>
        <v>0</v>
      </c>
    </row>
    <row r="8491" spans="1:10" ht="13">
      <c r="A8491" s="27"/>
      <c r="B8491" s="110"/>
      <c r="D8491" s="409"/>
      <c r="E8491" s="13" t="s">
        <v>283</v>
      </c>
      <c r="F8491" s="13" t="s">
        <v>1913</v>
      </c>
      <c r="G8491" s="543" t="s">
        <v>48</v>
      </c>
      <c r="H8491" s="548">
        <v>0.27200000000000002</v>
      </c>
      <c r="I8491" s="412">
        <f>IF(AND(E8491&lt;&gt;"",G8491&lt;&gt;""),IF(D8491="",IF(G8491="OH",VLOOKUP(F8491,UPAH!$B$4:$H$101,7,0),VLOOKUP(F8491,#REF!,4,0)),0),0)</f>
        <v>0</v>
      </c>
      <c r="J8491" s="16">
        <f>H8491*I8491</f>
        <v>0</v>
      </c>
    </row>
    <row r="8492" spans="1:10" ht="13.5" thickBot="1">
      <c r="A8492" s="27"/>
      <c r="B8492" s="110"/>
      <c r="D8492" s="409"/>
      <c r="E8492" s="13" t="s">
        <v>51</v>
      </c>
      <c r="F8492" s="13" t="s">
        <v>1929</v>
      </c>
      <c r="G8492" s="543" t="s">
        <v>48</v>
      </c>
      <c r="H8492" s="548">
        <v>5.3999999999999999E-2</v>
      </c>
      <c r="I8492" s="412">
        <f>IF(AND(E8492&lt;&gt;"",G8492&lt;&gt;""),IF(D8492="",IF(G8492="OH",VLOOKUP(F8492,UPAH!$B$4:$H$101,7,0),VLOOKUP(F8492,#REF!,4,0)),0),0)</f>
        <v>0</v>
      </c>
      <c r="J8492" s="16">
        <f>H8492*I8492</f>
        <v>0</v>
      </c>
    </row>
    <row r="8493" spans="1:10" ht="13.5" thickBot="1">
      <c r="A8493" s="27"/>
      <c r="B8493" s="110"/>
      <c r="D8493" s="417"/>
      <c r="E8493" s="418"/>
      <c r="F8493" s="418"/>
      <c r="G8493" s="419"/>
      <c r="H8493" s="420" t="s">
        <v>52</v>
      </c>
      <c r="I8493" s="421"/>
      <c r="J8493" s="396">
        <f>SUM(J8489:J8492)</f>
        <v>0</v>
      </c>
    </row>
    <row r="8494" spans="1:10" ht="13">
      <c r="A8494" s="27"/>
      <c r="B8494" s="110"/>
      <c r="D8494" s="406" t="s">
        <v>53</v>
      </c>
      <c r="E8494" s="13" t="s">
        <v>54</v>
      </c>
      <c r="F8494" s="14"/>
      <c r="G8494" s="15"/>
      <c r="H8494" s="451"/>
      <c r="I8494" s="412"/>
      <c r="J8494" s="16"/>
    </row>
    <row r="8495" spans="1:10" ht="13.5" thickBot="1">
      <c r="A8495" s="27"/>
      <c r="B8495" s="110"/>
      <c r="D8495" s="409"/>
      <c r="E8495" s="13" t="s">
        <v>291</v>
      </c>
      <c r="F8495" s="14"/>
      <c r="G8495" s="543" t="s">
        <v>113</v>
      </c>
      <c r="H8495" s="548">
        <v>1</v>
      </c>
      <c r="I8495" s="412">
        <f>$I$8478</f>
        <v>0</v>
      </c>
      <c r="J8495" s="16">
        <f>H8495*I8495</f>
        <v>0</v>
      </c>
    </row>
    <row r="8496" spans="1:10" ht="13.5" thickBot="1">
      <c r="A8496" s="27"/>
      <c r="B8496" s="110"/>
      <c r="D8496" s="417"/>
      <c r="E8496" s="418"/>
      <c r="F8496" s="418"/>
      <c r="G8496" s="419"/>
      <c r="H8496" s="420" t="s">
        <v>64</v>
      </c>
      <c r="I8496" s="421"/>
      <c r="J8496" s="396">
        <f>SUM(J8495)</f>
        <v>0</v>
      </c>
    </row>
    <row r="8497" spans="1:10" ht="13">
      <c r="A8497" s="27"/>
      <c r="B8497" s="110"/>
      <c r="D8497" s="406" t="s">
        <v>65</v>
      </c>
      <c r="E8497" s="13" t="s">
        <v>66</v>
      </c>
      <c r="F8497" s="14"/>
      <c r="G8497" s="15"/>
      <c r="H8497" s="451"/>
      <c r="I8497" s="412"/>
      <c r="J8497" s="16"/>
    </row>
    <row r="8498" spans="1:10" ht="13.5" thickBot="1">
      <c r="A8498" s="27"/>
      <c r="B8498" s="110"/>
      <c r="D8498" s="409"/>
      <c r="E8498" s="13" t="s">
        <v>446</v>
      </c>
      <c r="F8498" s="14"/>
      <c r="G8498" s="543" t="s">
        <v>285</v>
      </c>
      <c r="H8498" s="548">
        <v>0.08</v>
      </c>
      <c r="I8498" s="412">
        <f>Alat!H102</f>
        <v>0</v>
      </c>
      <c r="J8498" s="16">
        <f>H8498*I8498</f>
        <v>0</v>
      </c>
    </row>
    <row r="8499" spans="1:10" ht="13.5" thickBot="1">
      <c r="A8499" s="27"/>
      <c r="B8499" s="110"/>
      <c r="D8499" s="417"/>
      <c r="E8499" s="418"/>
      <c r="F8499" s="418"/>
      <c r="G8499" s="419"/>
      <c r="H8499" s="420" t="s">
        <v>67</v>
      </c>
      <c r="I8499" s="421"/>
      <c r="J8499" s="396">
        <f>J8498</f>
        <v>0</v>
      </c>
    </row>
    <row r="8500" spans="1:10" ht="13">
      <c r="A8500" s="27"/>
      <c r="B8500" s="110"/>
      <c r="D8500" s="444" t="s">
        <v>68</v>
      </c>
      <c r="E8500" s="445" t="s">
        <v>69</v>
      </c>
      <c r="F8500" s="446"/>
      <c r="G8500" s="447"/>
      <c r="H8500" s="448"/>
      <c r="I8500" s="449">
        <f>IF(AND(E8500&lt;&gt;"",G8500&lt;&gt;""),IF(D8500="",IF(G8500="OH",VLOOKUP(E8500,UPAH!$C$4:$H$31,7,0),VLOOKUP(E8500,#REF!,4,0)),0),0)</f>
        <v>0</v>
      </c>
      <c r="J8500" s="16">
        <f>SUM(J8489:J8499)/2</f>
        <v>0</v>
      </c>
    </row>
    <row r="8501" spans="1:10" ht="13.5" thickBot="1">
      <c r="A8501" s="27"/>
      <c r="B8501" s="110"/>
      <c r="D8501" s="431" t="s">
        <v>70</v>
      </c>
      <c r="E8501" s="432" t="s">
        <v>477</v>
      </c>
      <c r="F8501" s="433"/>
      <c r="G8501" s="434"/>
      <c r="H8501" s="22">
        <v>0.1</v>
      </c>
      <c r="I8501" s="436"/>
      <c r="J8501" s="430">
        <f>H8501*J8500</f>
        <v>0</v>
      </c>
    </row>
    <row r="8502" spans="1:10" ht="13.5" thickBot="1">
      <c r="A8502" s="27"/>
      <c r="B8502" s="110"/>
      <c r="D8502" s="401" t="s">
        <v>71</v>
      </c>
      <c r="E8502" s="402" t="s">
        <v>72</v>
      </c>
      <c r="F8502" s="418"/>
      <c r="G8502" s="419"/>
      <c r="H8502" s="442"/>
      <c r="I8502" s="421">
        <f>IF(AND(E8502&lt;&gt;"",G8502&lt;&gt;""),IF(D8502="",IF(G8502="OH",VLOOKUP(E8502,UPAH!$C$4:$H$31,7,0),VLOOKUP(E8502,#REF!,4,0)),0),0)</f>
        <v>0</v>
      </c>
      <c r="J8502" s="396">
        <f>ROUNDDOWN(J8500+J8501,0)</f>
        <v>0</v>
      </c>
    </row>
    <row r="8503" spans="1:10" ht="13">
      <c r="A8503" s="27"/>
      <c r="B8503" s="110"/>
      <c r="D8503" s="11"/>
      <c r="E8503" s="11"/>
      <c r="H8503" s="443"/>
    </row>
    <row r="8504" spans="1:10" ht="13.5" thickBot="1">
      <c r="A8504" s="27"/>
      <c r="B8504" s="110"/>
      <c r="C8504" s="11" t="s">
        <v>1392</v>
      </c>
      <c r="D8504" s="10" t="s">
        <v>1395</v>
      </c>
      <c r="H8504" s="443"/>
    </row>
    <row r="8505" spans="1:10" ht="13.5" thickBot="1">
      <c r="A8505" s="27"/>
      <c r="B8505" s="110"/>
      <c r="D8505" s="401" t="s">
        <v>40</v>
      </c>
      <c r="E8505" s="402" t="s">
        <v>41</v>
      </c>
      <c r="F8505" s="402" t="s">
        <v>42</v>
      </c>
      <c r="G8505" s="403" t="s">
        <v>43</v>
      </c>
      <c r="H8505" s="404" t="s">
        <v>44</v>
      </c>
      <c r="I8505" s="402" t="s">
        <v>474</v>
      </c>
      <c r="J8505" s="405" t="s">
        <v>475</v>
      </c>
    </row>
    <row r="8506" spans="1:10" ht="13">
      <c r="A8506" s="27"/>
      <c r="B8506" s="110"/>
      <c r="D8506" s="444" t="s">
        <v>45</v>
      </c>
      <c r="E8506" s="445" t="s">
        <v>46</v>
      </c>
      <c r="F8506" s="446"/>
      <c r="G8506" s="447"/>
      <c r="H8506" s="448"/>
      <c r="I8506" s="449"/>
      <c r="J8506" s="450"/>
    </row>
    <row r="8507" spans="1:10" ht="13">
      <c r="A8507" s="27"/>
      <c r="B8507" s="110"/>
      <c r="D8507" s="409"/>
      <c r="E8507" s="13" t="s">
        <v>47</v>
      </c>
      <c r="F8507" s="13" t="s">
        <v>1918</v>
      </c>
      <c r="G8507" s="543" t="s">
        <v>48</v>
      </c>
      <c r="H8507" s="548">
        <v>0.66900000000000004</v>
      </c>
      <c r="I8507" s="412">
        <f>IF(AND(E8507&lt;&gt;"",G8507&lt;&gt;""),IF(D8507="",IF(G8507="OH",VLOOKUP(F8507,UPAH!$B$4:$H$101,7,0),VLOOKUP(F8507,#REF!,4,0)),0),0)</f>
        <v>0</v>
      </c>
      <c r="J8507" s="16">
        <f>H8507*I8507</f>
        <v>0</v>
      </c>
    </row>
    <row r="8508" spans="1:10" ht="13">
      <c r="A8508" s="27"/>
      <c r="B8508" s="110"/>
      <c r="D8508" s="409"/>
      <c r="E8508" s="13" t="s">
        <v>283</v>
      </c>
      <c r="F8508" s="13" t="s">
        <v>1913</v>
      </c>
      <c r="G8508" s="543" t="s">
        <v>48</v>
      </c>
      <c r="H8508" s="548">
        <v>0.33500000000000002</v>
      </c>
      <c r="I8508" s="412">
        <f>IF(AND(E8508&lt;&gt;"",G8508&lt;&gt;""),IF(D8508="",IF(G8508="OH",VLOOKUP(F8508,UPAH!$B$4:$H$101,7,0),VLOOKUP(F8508,#REF!,4,0)),0),0)</f>
        <v>0</v>
      </c>
      <c r="J8508" s="16">
        <f>H8508*I8508</f>
        <v>0</v>
      </c>
    </row>
    <row r="8509" spans="1:10" ht="13.5" thickBot="1">
      <c r="A8509" s="27"/>
      <c r="B8509" s="110"/>
      <c r="D8509" s="409"/>
      <c r="E8509" s="13" t="s">
        <v>51</v>
      </c>
      <c r="F8509" s="13" t="s">
        <v>1929</v>
      </c>
      <c r="G8509" s="543" t="s">
        <v>48</v>
      </c>
      <c r="H8509" s="548">
        <v>6.7000000000000004E-2</v>
      </c>
      <c r="I8509" s="412">
        <f>IF(AND(E8509&lt;&gt;"",G8509&lt;&gt;""),IF(D8509="",IF(G8509="OH",VLOOKUP(F8509,UPAH!$B$4:$H$101,7,0),VLOOKUP(F8509,#REF!,4,0)),0),0)</f>
        <v>0</v>
      </c>
      <c r="J8509" s="16">
        <f>H8509*I8509</f>
        <v>0</v>
      </c>
    </row>
    <row r="8510" spans="1:10" ht="13.5" thickBot="1">
      <c r="A8510" s="27"/>
      <c r="B8510" s="110"/>
      <c r="D8510" s="417"/>
      <c r="E8510" s="418"/>
      <c r="F8510" s="418"/>
      <c r="G8510" s="419"/>
      <c r="H8510" s="420" t="s">
        <v>52</v>
      </c>
      <c r="I8510" s="421"/>
      <c r="J8510" s="396">
        <f>SUM(J8506:J8509)</f>
        <v>0</v>
      </c>
    </row>
    <row r="8511" spans="1:10" ht="13">
      <c r="A8511" s="27"/>
      <c r="B8511" s="110"/>
      <c r="D8511" s="406" t="s">
        <v>53</v>
      </c>
      <c r="E8511" s="13" t="s">
        <v>54</v>
      </c>
      <c r="F8511" s="14"/>
      <c r="G8511" s="15"/>
      <c r="H8511" s="451"/>
      <c r="I8511" s="412"/>
      <c r="J8511" s="16"/>
    </row>
    <row r="8512" spans="1:10" ht="13.5" thickBot="1">
      <c r="A8512" s="27"/>
      <c r="B8512" s="110"/>
      <c r="D8512" s="409"/>
      <c r="E8512" s="13" t="s">
        <v>292</v>
      </c>
      <c r="F8512" s="14"/>
      <c r="G8512" s="543" t="s">
        <v>113</v>
      </c>
      <c r="H8512" s="548">
        <v>1</v>
      </c>
      <c r="I8512" s="412">
        <f>$I$8478</f>
        <v>0</v>
      </c>
      <c r="J8512" s="16">
        <f>H8512*I8512</f>
        <v>0</v>
      </c>
    </row>
    <row r="8513" spans="1:10" ht="13.5" thickBot="1">
      <c r="A8513" s="27"/>
      <c r="B8513" s="110"/>
      <c r="D8513" s="417"/>
      <c r="E8513" s="418"/>
      <c r="F8513" s="418"/>
      <c r="G8513" s="419"/>
      <c r="H8513" s="420" t="s">
        <v>64</v>
      </c>
      <c r="I8513" s="421"/>
      <c r="J8513" s="396">
        <f>SUM(J8512)</f>
        <v>0</v>
      </c>
    </row>
    <row r="8514" spans="1:10" ht="13">
      <c r="A8514" s="27"/>
      <c r="B8514" s="110"/>
      <c r="D8514" s="406" t="s">
        <v>65</v>
      </c>
      <c r="E8514" s="13" t="s">
        <v>66</v>
      </c>
      <c r="F8514" s="14"/>
      <c r="G8514" s="15"/>
      <c r="H8514" s="451"/>
      <c r="I8514" s="412"/>
      <c r="J8514" s="16"/>
    </row>
    <row r="8515" spans="1:10" ht="13.5" thickBot="1">
      <c r="A8515" s="27"/>
      <c r="B8515" s="110"/>
      <c r="D8515" s="409"/>
      <c r="E8515" s="13" t="s">
        <v>446</v>
      </c>
      <c r="F8515" s="14"/>
      <c r="G8515" s="543" t="s">
        <v>285</v>
      </c>
      <c r="H8515" s="548">
        <v>0.1</v>
      </c>
      <c r="I8515" s="412">
        <f>Alat!H102</f>
        <v>0</v>
      </c>
      <c r="J8515" s="16">
        <f>H8515*I8515</f>
        <v>0</v>
      </c>
    </row>
    <row r="8516" spans="1:10" ht="13.5" thickBot="1">
      <c r="A8516" s="27"/>
      <c r="B8516" s="110"/>
      <c r="D8516" s="417"/>
      <c r="E8516" s="418"/>
      <c r="F8516" s="418"/>
      <c r="G8516" s="419"/>
      <c r="H8516" s="420" t="s">
        <v>67</v>
      </c>
      <c r="I8516" s="421"/>
      <c r="J8516" s="396">
        <f>J8515</f>
        <v>0</v>
      </c>
    </row>
    <row r="8517" spans="1:10" ht="13">
      <c r="A8517" s="27"/>
      <c r="B8517" s="110"/>
      <c r="D8517" s="444" t="s">
        <v>68</v>
      </c>
      <c r="E8517" s="445" t="s">
        <v>69</v>
      </c>
      <c r="F8517" s="446"/>
      <c r="G8517" s="447"/>
      <c r="H8517" s="448"/>
      <c r="I8517" s="449">
        <f>IF(AND(E8517&lt;&gt;"",G8517&lt;&gt;""),IF(D8517="",IF(G8517="OH",VLOOKUP(E8517,UPAH!$C$4:$H$31,7,0),VLOOKUP(E8517,#REF!,4,0)),0),0)</f>
        <v>0</v>
      </c>
      <c r="J8517" s="16">
        <f>SUM(J8506:J8516)/2</f>
        <v>0</v>
      </c>
    </row>
    <row r="8518" spans="1:10" ht="13.5" thickBot="1">
      <c r="A8518" s="27"/>
      <c r="B8518" s="110"/>
      <c r="D8518" s="431" t="s">
        <v>70</v>
      </c>
      <c r="E8518" s="432" t="s">
        <v>477</v>
      </c>
      <c r="F8518" s="433"/>
      <c r="G8518" s="434"/>
      <c r="H8518" s="22">
        <v>0.1</v>
      </c>
      <c r="I8518" s="436"/>
      <c r="J8518" s="430">
        <f>H8518*J8517</f>
        <v>0</v>
      </c>
    </row>
    <row r="8519" spans="1:10" ht="13.5" thickBot="1">
      <c r="A8519" s="27"/>
      <c r="B8519" s="110"/>
      <c r="D8519" s="401" t="s">
        <v>71</v>
      </c>
      <c r="E8519" s="402" t="s">
        <v>72</v>
      </c>
      <c r="F8519" s="418"/>
      <c r="G8519" s="419"/>
      <c r="H8519" s="442"/>
      <c r="I8519" s="421">
        <f>IF(AND(E8519&lt;&gt;"",G8519&lt;&gt;""),IF(D8519="",IF(G8519="OH",VLOOKUP(E8519,UPAH!$C$4:$H$31,7,0),VLOOKUP(E8519,#REF!,4,0)),0),0)</f>
        <v>0</v>
      </c>
      <c r="J8519" s="396">
        <f>ROUNDDOWN(J8517+J8518,0)</f>
        <v>0</v>
      </c>
    </row>
    <row r="8520" spans="1:10" ht="13">
      <c r="A8520" s="27"/>
      <c r="B8520" s="110"/>
      <c r="D8520" s="11"/>
      <c r="E8520" s="11"/>
      <c r="H8520" s="443"/>
      <c r="I8520" s="17"/>
      <c r="J8520" s="18"/>
    </row>
    <row r="8521" spans="1:10" ht="13.5" thickBot="1">
      <c r="A8521" s="27"/>
      <c r="B8521" s="110"/>
      <c r="C8521" s="11" t="s">
        <v>1390</v>
      </c>
      <c r="D8521" s="10" t="s">
        <v>1391</v>
      </c>
      <c r="H8521" s="443"/>
    </row>
    <row r="8522" spans="1:10" ht="13.5" thickBot="1">
      <c r="A8522" s="27"/>
      <c r="B8522" s="110"/>
      <c r="D8522" s="401" t="s">
        <v>40</v>
      </c>
      <c r="E8522" s="402" t="s">
        <v>41</v>
      </c>
      <c r="F8522" s="402" t="s">
        <v>42</v>
      </c>
      <c r="G8522" s="403" t="s">
        <v>43</v>
      </c>
      <c r="H8522" s="404" t="s">
        <v>44</v>
      </c>
      <c r="I8522" s="402" t="s">
        <v>474</v>
      </c>
      <c r="J8522" s="405" t="s">
        <v>475</v>
      </c>
    </row>
    <row r="8523" spans="1:10" ht="13">
      <c r="A8523" s="27"/>
      <c r="B8523" s="110"/>
      <c r="D8523" s="444" t="s">
        <v>45</v>
      </c>
      <c r="E8523" s="445" t="s">
        <v>46</v>
      </c>
      <c r="F8523" s="446"/>
      <c r="G8523" s="447"/>
      <c r="H8523" s="448"/>
      <c r="I8523" s="449"/>
      <c r="J8523" s="450"/>
    </row>
    <row r="8524" spans="1:10" ht="13">
      <c r="A8524" s="27"/>
      <c r="B8524" s="110"/>
      <c r="D8524" s="409"/>
      <c r="E8524" s="13" t="s">
        <v>47</v>
      </c>
      <c r="F8524" s="13" t="s">
        <v>1918</v>
      </c>
      <c r="G8524" s="543" t="s">
        <v>48</v>
      </c>
      <c r="H8524" s="548">
        <v>0.80900000000000005</v>
      </c>
      <c r="I8524" s="412">
        <f>IF(AND(E8524&lt;&gt;"",G8524&lt;&gt;""),IF(D8524="",IF(G8524="OH",VLOOKUP(F8524,UPAH!$B$4:$H$101,7,0),VLOOKUP(F8524,#REF!,4,0)),0),0)</f>
        <v>0</v>
      </c>
      <c r="J8524" s="16">
        <f>H8524*I8524</f>
        <v>0</v>
      </c>
    </row>
    <row r="8525" spans="1:10" ht="13">
      <c r="A8525" s="27"/>
      <c r="B8525" s="110"/>
      <c r="D8525" s="409"/>
      <c r="E8525" s="13" t="s">
        <v>283</v>
      </c>
      <c r="F8525" s="13" t="s">
        <v>1913</v>
      </c>
      <c r="G8525" s="543" t="s">
        <v>48</v>
      </c>
      <c r="H8525" s="548">
        <v>0.40500000000000003</v>
      </c>
      <c r="I8525" s="412">
        <f>IF(AND(E8525&lt;&gt;"",G8525&lt;&gt;""),IF(D8525="",IF(G8525="OH",VLOOKUP(F8525,UPAH!$B$4:$H$101,7,0),VLOOKUP(F8525,#REF!,4,0)),0),0)</f>
        <v>0</v>
      </c>
      <c r="J8525" s="16">
        <f>H8525*I8525</f>
        <v>0</v>
      </c>
    </row>
    <row r="8526" spans="1:10" ht="13.5" thickBot="1">
      <c r="A8526" s="27"/>
      <c r="B8526" s="110"/>
      <c r="D8526" s="409"/>
      <c r="E8526" s="13" t="s">
        <v>51</v>
      </c>
      <c r="F8526" s="13" t="s">
        <v>1929</v>
      </c>
      <c r="G8526" s="543" t="s">
        <v>48</v>
      </c>
      <c r="H8526" s="548">
        <v>8.1000000000000003E-2</v>
      </c>
      <c r="I8526" s="412">
        <f>IF(AND(E8526&lt;&gt;"",G8526&lt;&gt;""),IF(D8526="",IF(G8526="OH",VLOOKUP(F8526,UPAH!$B$4:$H$101,7,0),VLOOKUP(F8526,#REF!,4,0)),0),0)</f>
        <v>0</v>
      </c>
      <c r="J8526" s="16">
        <f>H8526*I8526</f>
        <v>0</v>
      </c>
    </row>
    <row r="8527" spans="1:10" ht="13.5" thickBot="1">
      <c r="A8527" s="27"/>
      <c r="B8527" s="110"/>
      <c r="D8527" s="417"/>
      <c r="E8527" s="418"/>
      <c r="F8527" s="418"/>
      <c r="G8527" s="419"/>
      <c r="H8527" s="420" t="s">
        <v>52</v>
      </c>
      <c r="I8527" s="421"/>
      <c r="J8527" s="396">
        <f>SUM(J8523:J8526)</f>
        <v>0</v>
      </c>
    </row>
    <row r="8528" spans="1:10" ht="13">
      <c r="A8528" s="27"/>
      <c r="B8528" s="110"/>
      <c r="D8528" s="406" t="s">
        <v>53</v>
      </c>
      <c r="E8528" s="13" t="s">
        <v>54</v>
      </c>
      <c r="F8528" s="14"/>
      <c r="G8528" s="15"/>
      <c r="H8528" s="451"/>
      <c r="I8528" s="412"/>
      <c r="J8528" s="16"/>
    </row>
    <row r="8529" spans="1:10" ht="13.5" thickBot="1">
      <c r="A8529" s="27"/>
      <c r="B8529" s="110"/>
      <c r="D8529" s="409"/>
      <c r="E8529" s="13" t="s">
        <v>293</v>
      </c>
      <c r="F8529" s="14"/>
      <c r="G8529" s="543" t="s">
        <v>113</v>
      </c>
      <c r="H8529" s="548">
        <v>1</v>
      </c>
      <c r="I8529" s="412">
        <f>$I$8478</f>
        <v>0</v>
      </c>
      <c r="J8529" s="16">
        <f>H8529*I8529</f>
        <v>0</v>
      </c>
    </row>
    <row r="8530" spans="1:10" ht="13.5" thickBot="1">
      <c r="A8530" s="27"/>
      <c r="B8530" s="110"/>
      <c r="D8530" s="417"/>
      <c r="E8530" s="418"/>
      <c r="F8530" s="418"/>
      <c r="G8530" s="419"/>
      <c r="H8530" s="420" t="s">
        <v>64</v>
      </c>
      <c r="I8530" s="421"/>
      <c r="J8530" s="396">
        <f>SUM(J8529)</f>
        <v>0</v>
      </c>
    </row>
    <row r="8531" spans="1:10" ht="13">
      <c r="A8531" s="27"/>
      <c r="B8531" s="110"/>
      <c r="D8531" s="406" t="s">
        <v>65</v>
      </c>
      <c r="E8531" s="13" t="s">
        <v>66</v>
      </c>
      <c r="F8531" s="14"/>
      <c r="G8531" s="15"/>
      <c r="H8531" s="451"/>
      <c r="I8531" s="412"/>
      <c r="J8531" s="16"/>
    </row>
    <row r="8532" spans="1:10" ht="13.5" thickBot="1">
      <c r="A8532" s="27"/>
      <c r="B8532" s="110"/>
      <c r="D8532" s="409"/>
      <c r="E8532" s="13" t="s">
        <v>446</v>
      </c>
      <c r="F8532" s="14"/>
      <c r="G8532" s="543" t="s">
        <v>285</v>
      </c>
      <c r="H8532" s="548">
        <v>0.122</v>
      </c>
      <c r="I8532" s="412">
        <f>Alat!H102</f>
        <v>0</v>
      </c>
      <c r="J8532" s="16">
        <f>H8532*I8532</f>
        <v>0</v>
      </c>
    </row>
    <row r="8533" spans="1:10" ht="13.5" thickBot="1">
      <c r="A8533" s="27"/>
      <c r="B8533" s="110"/>
      <c r="D8533" s="417"/>
      <c r="E8533" s="418"/>
      <c r="F8533" s="418"/>
      <c r="G8533" s="419"/>
      <c r="H8533" s="420" t="s">
        <v>67</v>
      </c>
      <c r="I8533" s="421"/>
      <c r="J8533" s="396">
        <f>J8532</f>
        <v>0</v>
      </c>
    </row>
    <row r="8534" spans="1:10" ht="13">
      <c r="A8534" s="27"/>
      <c r="B8534" s="110"/>
      <c r="D8534" s="444" t="s">
        <v>68</v>
      </c>
      <c r="E8534" s="445" t="s">
        <v>69</v>
      </c>
      <c r="F8534" s="446"/>
      <c r="G8534" s="447"/>
      <c r="H8534" s="448"/>
      <c r="I8534" s="449">
        <f>IF(AND(E8534&lt;&gt;"",G8534&lt;&gt;""),IF(D8534="",IF(G8534="OH",VLOOKUP(E8534,UPAH!$C$4:$H$31,7,0),VLOOKUP(E8534,#REF!,4,0)),0),0)</f>
        <v>0</v>
      </c>
      <c r="J8534" s="16">
        <f>SUM(J8523:J8533)/2</f>
        <v>0</v>
      </c>
    </row>
    <row r="8535" spans="1:10" ht="13.5" thickBot="1">
      <c r="A8535" s="27"/>
      <c r="B8535" s="110"/>
      <c r="D8535" s="431" t="s">
        <v>70</v>
      </c>
      <c r="E8535" s="432" t="s">
        <v>477</v>
      </c>
      <c r="F8535" s="433"/>
      <c r="G8535" s="434"/>
      <c r="H8535" s="22">
        <v>0.1</v>
      </c>
      <c r="I8535" s="436"/>
      <c r="J8535" s="430">
        <f>H8535*J8534</f>
        <v>0</v>
      </c>
    </row>
    <row r="8536" spans="1:10" ht="13.5" thickBot="1">
      <c r="A8536" s="27"/>
      <c r="B8536" s="110"/>
      <c r="D8536" s="401" t="s">
        <v>71</v>
      </c>
      <c r="E8536" s="402" t="s">
        <v>72</v>
      </c>
      <c r="F8536" s="418"/>
      <c r="G8536" s="419"/>
      <c r="H8536" s="442"/>
      <c r="I8536" s="421">
        <f>IF(AND(E8536&lt;&gt;"",G8536&lt;&gt;""),IF(D8536="",IF(G8536="OH",VLOOKUP(E8536,UPAH!$C$4:$H$31,7,0),VLOOKUP(E8536,#REF!,4,0)),0),0)</f>
        <v>0</v>
      </c>
      <c r="J8536" s="396">
        <f>ROUNDDOWN(J8534+J8535,0)</f>
        <v>0</v>
      </c>
    </row>
    <row r="8537" spans="1:10" ht="13">
      <c r="A8537" s="27"/>
      <c r="B8537" s="110"/>
      <c r="D8537" s="11"/>
      <c r="E8537" s="11"/>
      <c r="H8537" s="443"/>
      <c r="I8537" s="17"/>
      <c r="J8537" s="18"/>
    </row>
    <row r="8538" spans="1:10" ht="13.5" thickBot="1">
      <c r="A8538" s="27"/>
      <c r="B8538" s="110"/>
      <c r="C8538" s="11" t="s">
        <v>1396</v>
      </c>
      <c r="D8538" s="10" t="s">
        <v>1398</v>
      </c>
      <c r="H8538" s="443"/>
    </row>
    <row r="8539" spans="1:10" ht="13.5" thickBot="1">
      <c r="A8539" s="27"/>
      <c r="B8539" s="110"/>
      <c r="D8539" s="401" t="s">
        <v>40</v>
      </c>
      <c r="E8539" s="402" t="s">
        <v>41</v>
      </c>
      <c r="F8539" s="402" t="s">
        <v>42</v>
      </c>
      <c r="G8539" s="403" t="s">
        <v>43</v>
      </c>
      <c r="H8539" s="404" t="s">
        <v>44</v>
      </c>
      <c r="I8539" s="402" t="s">
        <v>474</v>
      </c>
      <c r="J8539" s="405" t="s">
        <v>475</v>
      </c>
    </row>
    <row r="8540" spans="1:10" ht="13">
      <c r="A8540" s="27"/>
      <c r="B8540" s="110"/>
      <c r="D8540" s="444" t="s">
        <v>45</v>
      </c>
      <c r="E8540" s="445" t="s">
        <v>46</v>
      </c>
      <c r="F8540" s="446"/>
      <c r="G8540" s="447"/>
      <c r="H8540" s="448"/>
      <c r="I8540" s="449"/>
      <c r="J8540" s="450"/>
    </row>
    <row r="8541" spans="1:10" ht="13">
      <c r="A8541" s="27"/>
      <c r="B8541" s="110"/>
      <c r="D8541" s="409"/>
      <c r="E8541" s="13" t="s">
        <v>47</v>
      </c>
      <c r="F8541" s="13" t="s">
        <v>1918</v>
      </c>
      <c r="G8541" s="543" t="s">
        <v>48</v>
      </c>
      <c r="H8541" s="548">
        <v>0.95699999999999996</v>
      </c>
      <c r="I8541" s="412">
        <f>IF(AND(E8541&lt;&gt;"",G8541&lt;&gt;""),IF(D8541="",IF(G8541="OH",VLOOKUP(F8541,UPAH!$B$4:$H$101,7,0),VLOOKUP(F8541,#REF!,4,0)),0),0)</f>
        <v>0</v>
      </c>
      <c r="J8541" s="16">
        <f>H8541*I8541</f>
        <v>0</v>
      </c>
    </row>
    <row r="8542" spans="1:10" ht="13">
      <c r="A8542" s="27"/>
      <c r="B8542" s="110"/>
      <c r="D8542" s="409"/>
      <c r="E8542" s="13" t="s">
        <v>283</v>
      </c>
      <c r="F8542" s="13" t="s">
        <v>1913</v>
      </c>
      <c r="G8542" s="543" t="s">
        <v>48</v>
      </c>
      <c r="H8542" s="548">
        <v>0.47899999999999998</v>
      </c>
      <c r="I8542" s="412">
        <f>IF(AND(E8542&lt;&gt;"",G8542&lt;&gt;""),IF(D8542="",IF(G8542="OH",VLOOKUP(F8542,UPAH!$B$4:$H$101,7,0),VLOOKUP(F8542,#REF!,4,0)),0),0)</f>
        <v>0</v>
      </c>
      <c r="J8542" s="16">
        <f>H8542*I8542</f>
        <v>0</v>
      </c>
    </row>
    <row r="8543" spans="1:10" ht="13.5" thickBot="1">
      <c r="A8543" s="27"/>
      <c r="B8543" s="110"/>
      <c r="D8543" s="409"/>
      <c r="E8543" s="13" t="s">
        <v>51</v>
      </c>
      <c r="F8543" s="13" t="s">
        <v>1929</v>
      </c>
      <c r="G8543" s="543" t="s">
        <v>48</v>
      </c>
      <c r="H8543" s="548">
        <v>9.6000000000000002E-2</v>
      </c>
      <c r="I8543" s="412">
        <f>IF(AND(E8543&lt;&gt;"",G8543&lt;&gt;""),IF(D8543="",IF(G8543="OH",VLOOKUP(F8543,UPAH!$B$4:$H$101,7,0),VLOOKUP(F8543,#REF!,4,0)),0),0)</f>
        <v>0</v>
      </c>
      <c r="J8543" s="16">
        <f>H8543*I8543</f>
        <v>0</v>
      </c>
    </row>
    <row r="8544" spans="1:10" ht="13.5" thickBot="1">
      <c r="A8544" s="27"/>
      <c r="B8544" s="110"/>
      <c r="D8544" s="417"/>
      <c r="E8544" s="418"/>
      <c r="F8544" s="418"/>
      <c r="G8544" s="419"/>
      <c r="H8544" s="420" t="s">
        <v>52</v>
      </c>
      <c r="I8544" s="421"/>
      <c r="J8544" s="396">
        <f>SUM(J8540:J8543)</f>
        <v>0</v>
      </c>
    </row>
    <row r="8545" spans="1:10" ht="13">
      <c r="A8545" s="27"/>
      <c r="B8545" s="110"/>
      <c r="D8545" s="406" t="s">
        <v>53</v>
      </c>
      <c r="E8545" s="13" t="s">
        <v>54</v>
      </c>
      <c r="F8545" s="14"/>
      <c r="G8545" s="15"/>
      <c r="H8545" s="451"/>
      <c r="I8545" s="412"/>
      <c r="J8545" s="16"/>
    </row>
    <row r="8546" spans="1:10" ht="13.5" thickBot="1">
      <c r="A8546" s="27"/>
      <c r="B8546" s="110"/>
      <c r="D8546" s="409"/>
      <c r="E8546" s="13" t="s">
        <v>294</v>
      </c>
      <c r="F8546" s="14"/>
      <c r="G8546" s="543" t="s">
        <v>113</v>
      </c>
      <c r="H8546" s="548">
        <v>1</v>
      </c>
      <c r="I8546" s="412">
        <f>$I$8478</f>
        <v>0</v>
      </c>
      <c r="J8546" s="16">
        <f>H8546*I8546</f>
        <v>0</v>
      </c>
    </row>
    <row r="8547" spans="1:10" ht="13.5" thickBot="1">
      <c r="A8547" s="27"/>
      <c r="B8547" s="110"/>
      <c r="D8547" s="417"/>
      <c r="E8547" s="418"/>
      <c r="F8547" s="418"/>
      <c r="G8547" s="419"/>
      <c r="H8547" s="420" t="s">
        <v>64</v>
      </c>
      <c r="I8547" s="421"/>
      <c r="J8547" s="396">
        <f>SUM(J8546)</f>
        <v>0</v>
      </c>
    </row>
    <row r="8548" spans="1:10" ht="13">
      <c r="A8548" s="27"/>
      <c r="B8548" s="110"/>
      <c r="D8548" s="406" t="s">
        <v>65</v>
      </c>
      <c r="E8548" s="13" t="s">
        <v>66</v>
      </c>
      <c r="F8548" s="14"/>
      <c r="G8548" s="15"/>
      <c r="H8548" s="451"/>
      <c r="I8548" s="412"/>
      <c r="J8548" s="16"/>
    </row>
    <row r="8549" spans="1:10" ht="13.5" thickBot="1">
      <c r="A8549" s="27"/>
      <c r="B8549" s="110"/>
      <c r="D8549" s="409"/>
      <c r="E8549" s="13" t="s">
        <v>446</v>
      </c>
      <c r="F8549" s="14"/>
      <c r="G8549" s="543" t="s">
        <v>285</v>
      </c>
      <c r="H8549" s="548">
        <v>0.14499999999999999</v>
      </c>
      <c r="I8549" s="412">
        <f>Alat!H102</f>
        <v>0</v>
      </c>
      <c r="J8549" s="16">
        <f>H8549*I8549</f>
        <v>0</v>
      </c>
    </row>
    <row r="8550" spans="1:10" ht="13.5" thickBot="1">
      <c r="A8550" s="27"/>
      <c r="B8550" s="110"/>
      <c r="D8550" s="417"/>
      <c r="E8550" s="418"/>
      <c r="F8550" s="418"/>
      <c r="G8550" s="419"/>
      <c r="H8550" s="420" t="s">
        <v>67</v>
      </c>
      <c r="I8550" s="421"/>
      <c r="J8550" s="396">
        <f>J8549</f>
        <v>0</v>
      </c>
    </row>
    <row r="8551" spans="1:10" ht="13">
      <c r="A8551" s="27"/>
      <c r="B8551" s="110"/>
      <c r="D8551" s="444" t="s">
        <v>68</v>
      </c>
      <c r="E8551" s="445" t="s">
        <v>69</v>
      </c>
      <c r="F8551" s="446"/>
      <c r="G8551" s="447"/>
      <c r="H8551" s="448"/>
      <c r="I8551" s="449">
        <f>IF(AND(E8551&lt;&gt;"",G8551&lt;&gt;""),IF(D8551="",IF(G8551="OH",VLOOKUP(E8551,UPAH!$C$4:$H$31,7,0),VLOOKUP(E8551,#REF!,4,0)),0),0)</f>
        <v>0</v>
      </c>
      <c r="J8551" s="16">
        <f>SUM(J8540:J8550)/2</f>
        <v>0</v>
      </c>
    </row>
    <row r="8552" spans="1:10" ht="13.5" thickBot="1">
      <c r="A8552" s="27"/>
      <c r="B8552" s="110"/>
      <c r="D8552" s="431" t="s">
        <v>70</v>
      </c>
      <c r="E8552" s="432" t="s">
        <v>477</v>
      </c>
      <c r="F8552" s="433"/>
      <c r="G8552" s="434"/>
      <c r="H8552" s="22">
        <v>0.1</v>
      </c>
      <c r="I8552" s="436"/>
      <c r="J8552" s="430">
        <f>H8552*J8551</f>
        <v>0</v>
      </c>
    </row>
    <row r="8553" spans="1:10" ht="13.5" thickBot="1">
      <c r="A8553" s="27"/>
      <c r="B8553" s="110"/>
      <c r="D8553" s="401" t="s">
        <v>71</v>
      </c>
      <c r="E8553" s="402" t="s">
        <v>72</v>
      </c>
      <c r="F8553" s="418"/>
      <c r="G8553" s="419"/>
      <c r="H8553" s="442"/>
      <c r="I8553" s="421">
        <f>IF(AND(E8553&lt;&gt;"",G8553&lt;&gt;""),IF(D8553="",IF(G8553="OH",VLOOKUP(E8553,UPAH!$C$4:$H$31,7,0),VLOOKUP(E8553,#REF!,4,0)),0),0)</f>
        <v>0</v>
      </c>
      <c r="J8553" s="396">
        <f>ROUNDDOWN(J8551+J8552,0)</f>
        <v>0</v>
      </c>
    </row>
    <row r="8554" spans="1:10" ht="13">
      <c r="A8554" s="27"/>
      <c r="B8554" s="110"/>
      <c r="D8554" s="11"/>
      <c r="E8554" s="11"/>
      <c r="H8554" s="443"/>
      <c r="I8554" s="17"/>
      <c r="J8554" s="18"/>
    </row>
    <row r="8555" spans="1:10" ht="13.5" thickBot="1">
      <c r="A8555" s="27"/>
      <c r="B8555" s="110"/>
      <c r="C8555" s="11" t="s">
        <v>1397</v>
      </c>
      <c r="D8555" s="10" t="s">
        <v>1399</v>
      </c>
      <c r="H8555" s="443"/>
    </row>
    <row r="8556" spans="1:10" ht="13.5" thickBot="1">
      <c r="A8556" s="27"/>
      <c r="B8556" s="110"/>
      <c r="D8556" s="401" t="s">
        <v>40</v>
      </c>
      <c r="E8556" s="402" t="s">
        <v>41</v>
      </c>
      <c r="F8556" s="402" t="s">
        <v>42</v>
      </c>
      <c r="G8556" s="403" t="s">
        <v>43</v>
      </c>
      <c r="H8556" s="404" t="s">
        <v>44</v>
      </c>
      <c r="I8556" s="402" t="s">
        <v>474</v>
      </c>
      <c r="J8556" s="405" t="s">
        <v>475</v>
      </c>
    </row>
    <row r="8557" spans="1:10" ht="13">
      <c r="A8557" s="27"/>
      <c r="B8557" s="110"/>
      <c r="D8557" s="444" t="s">
        <v>45</v>
      </c>
      <c r="E8557" s="445" t="s">
        <v>46</v>
      </c>
      <c r="F8557" s="446"/>
      <c r="G8557" s="447"/>
      <c r="H8557" s="448"/>
      <c r="I8557" s="449"/>
      <c r="J8557" s="450"/>
    </row>
    <row r="8558" spans="1:10" ht="13">
      <c r="A8558" s="27"/>
      <c r="B8558" s="110"/>
      <c r="D8558" s="409"/>
      <c r="E8558" s="13" t="s">
        <v>47</v>
      </c>
      <c r="F8558" s="13" t="s">
        <v>1918</v>
      </c>
      <c r="G8558" s="543" t="s">
        <v>48</v>
      </c>
      <c r="H8558" s="548">
        <v>1.6180000000000001</v>
      </c>
      <c r="I8558" s="412">
        <f>IF(AND(E8558&lt;&gt;"",G8558&lt;&gt;""),IF(D8558="",IF(G8558="OH",VLOOKUP(F8558,UPAH!$B$4:$H$101,7,0),VLOOKUP(F8558,#REF!,4,0)),0),0)</f>
        <v>0</v>
      </c>
      <c r="J8558" s="16">
        <f>H8558*I8558</f>
        <v>0</v>
      </c>
    </row>
    <row r="8559" spans="1:10" ht="13">
      <c r="A8559" s="27"/>
      <c r="B8559" s="110"/>
      <c r="D8559" s="409"/>
      <c r="E8559" s="13" t="s">
        <v>283</v>
      </c>
      <c r="F8559" s="13" t="s">
        <v>1913</v>
      </c>
      <c r="G8559" s="543" t="s">
        <v>48</v>
      </c>
      <c r="H8559" s="548">
        <v>0.80900000000000005</v>
      </c>
      <c r="I8559" s="412">
        <f>IF(AND(E8559&lt;&gt;"",G8559&lt;&gt;""),IF(D8559="",IF(G8559="OH",VLOOKUP(F8559,UPAH!$B$4:$H$101,7,0),VLOOKUP(F8559,#REF!,4,0)),0),0)</f>
        <v>0</v>
      </c>
      <c r="J8559" s="16">
        <f>H8559*I8559</f>
        <v>0</v>
      </c>
    </row>
    <row r="8560" spans="1:10" ht="13.5" thickBot="1">
      <c r="A8560" s="27"/>
      <c r="B8560" s="110"/>
      <c r="D8560" s="409"/>
      <c r="E8560" s="13" t="s">
        <v>51</v>
      </c>
      <c r="F8560" s="13" t="s">
        <v>1929</v>
      </c>
      <c r="G8560" s="543" t="s">
        <v>48</v>
      </c>
      <c r="H8560" s="548">
        <v>0.16200000000000001</v>
      </c>
      <c r="I8560" s="412">
        <f>IF(AND(E8560&lt;&gt;"",G8560&lt;&gt;""),IF(D8560="",IF(G8560="OH",VLOOKUP(F8560,UPAH!$B$4:$H$101,7,0),VLOOKUP(F8560,#REF!,4,0)),0),0)</f>
        <v>0</v>
      </c>
      <c r="J8560" s="16">
        <f>H8560*I8560</f>
        <v>0</v>
      </c>
    </row>
    <row r="8561" spans="1:10" ht="13.5" thickBot="1">
      <c r="A8561" s="27"/>
      <c r="B8561" s="110"/>
      <c r="D8561" s="417"/>
      <c r="E8561" s="418"/>
      <c r="F8561" s="418"/>
      <c r="G8561" s="419"/>
      <c r="H8561" s="420" t="s">
        <v>52</v>
      </c>
      <c r="I8561" s="421"/>
      <c r="J8561" s="396">
        <f>SUM(J8557:J8560)</f>
        <v>0</v>
      </c>
    </row>
    <row r="8562" spans="1:10" ht="13">
      <c r="A8562" s="27"/>
      <c r="B8562" s="110"/>
      <c r="D8562" s="406" t="s">
        <v>53</v>
      </c>
      <c r="E8562" s="13" t="s">
        <v>54</v>
      </c>
      <c r="F8562" s="14"/>
      <c r="G8562" s="15"/>
      <c r="H8562" s="451"/>
      <c r="I8562" s="412"/>
      <c r="J8562" s="16"/>
    </row>
    <row r="8563" spans="1:10" ht="13.5" thickBot="1">
      <c r="A8563" s="27"/>
      <c r="B8563" s="110"/>
      <c r="D8563" s="409"/>
      <c r="E8563" s="13" t="s">
        <v>295</v>
      </c>
      <c r="F8563" s="14"/>
      <c r="G8563" s="543" t="s">
        <v>113</v>
      </c>
      <c r="H8563" s="548">
        <v>1</v>
      </c>
      <c r="I8563" s="412">
        <f>$I$8478</f>
        <v>0</v>
      </c>
      <c r="J8563" s="16">
        <f>H8563*I8563</f>
        <v>0</v>
      </c>
    </row>
    <row r="8564" spans="1:10" ht="13.5" thickBot="1">
      <c r="A8564" s="27"/>
      <c r="B8564" s="110"/>
      <c r="D8564" s="417"/>
      <c r="E8564" s="418"/>
      <c r="F8564" s="418"/>
      <c r="G8564" s="419"/>
      <c r="H8564" s="420" t="s">
        <v>64</v>
      </c>
      <c r="I8564" s="421"/>
      <c r="J8564" s="396">
        <f>SUM(J8563)</f>
        <v>0</v>
      </c>
    </row>
    <row r="8565" spans="1:10" ht="13">
      <c r="A8565" s="27"/>
      <c r="B8565" s="110"/>
      <c r="D8565" s="406" t="s">
        <v>65</v>
      </c>
      <c r="E8565" s="13" t="s">
        <v>66</v>
      </c>
      <c r="F8565" s="14"/>
      <c r="G8565" s="15"/>
      <c r="H8565" s="451"/>
      <c r="I8565" s="412"/>
      <c r="J8565" s="16"/>
    </row>
    <row r="8566" spans="1:10" ht="13.5" thickBot="1">
      <c r="A8566" s="27"/>
      <c r="B8566" s="110"/>
      <c r="D8566" s="409"/>
      <c r="E8566" s="13" t="s">
        <v>446</v>
      </c>
      <c r="F8566" s="14"/>
      <c r="G8566" s="543" t="s">
        <v>285</v>
      </c>
      <c r="H8566" s="548">
        <v>0.25</v>
      </c>
      <c r="I8566" s="412">
        <f>Alat!H102</f>
        <v>0</v>
      </c>
      <c r="J8566" s="16">
        <f>H8566*I8566</f>
        <v>0</v>
      </c>
    </row>
    <row r="8567" spans="1:10" ht="13.5" thickBot="1">
      <c r="A8567" s="27"/>
      <c r="B8567" s="110"/>
      <c r="D8567" s="417"/>
      <c r="E8567" s="418"/>
      <c r="F8567" s="418"/>
      <c r="G8567" s="419"/>
      <c r="H8567" s="420" t="s">
        <v>67</v>
      </c>
      <c r="I8567" s="421"/>
      <c r="J8567" s="396">
        <f>J8566</f>
        <v>0</v>
      </c>
    </row>
    <row r="8568" spans="1:10" ht="13">
      <c r="A8568" s="27"/>
      <c r="B8568" s="110"/>
      <c r="D8568" s="444" t="s">
        <v>68</v>
      </c>
      <c r="E8568" s="445" t="s">
        <v>69</v>
      </c>
      <c r="F8568" s="446"/>
      <c r="G8568" s="447"/>
      <c r="H8568" s="448"/>
      <c r="I8568" s="449">
        <f>IF(AND(E8568&lt;&gt;"",G8568&lt;&gt;""),IF(D8568="",IF(G8568="OH",VLOOKUP(E8568,UPAH!$C$4:$H$31,7,0),VLOOKUP(E8568,#REF!,4,0)),0),0)</f>
        <v>0</v>
      </c>
      <c r="J8568" s="16">
        <f>SUM(J8557:J8567)/2</f>
        <v>0</v>
      </c>
    </row>
    <row r="8569" spans="1:10" ht="13.5" thickBot="1">
      <c r="A8569" s="27"/>
      <c r="B8569" s="110"/>
      <c r="D8569" s="431" t="s">
        <v>70</v>
      </c>
      <c r="E8569" s="432" t="s">
        <v>477</v>
      </c>
      <c r="F8569" s="433"/>
      <c r="G8569" s="434"/>
      <c r="H8569" s="22">
        <v>0.1</v>
      </c>
      <c r="I8569" s="436"/>
      <c r="J8569" s="430">
        <f>H8569*J8568</f>
        <v>0</v>
      </c>
    </row>
    <row r="8570" spans="1:10" ht="13.5" thickBot="1">
      <c r="A8570" s="27"/>
      <c r="B8570" s="110"/>
      <c r="D8570" s="401" t="s">
        <v>71</v>
      </c>
      <c r="E8570" s="402" t="s">
        <v>72</v>
      </c>
      <c r="F8570" s="418"/>
      <c r="G8570" s="419"/>
      <c r="H8570" s="442"/>
      <c r="I8570" s="421">
        <f>IF(AND(E8570&lt;&gt;"",G8570&lt;&gt;""),IF(D8570="",IF(G8570="OH",VLOOKUP(E8570,UPAH!$C$4:$H$31,7,0),VLOOKUP(E8570,#REF!,4,0)),0),0)</f>
        <v>0</v>
      </c>
      <c r="J8570" s="396">
        <f>ROUNDDOWN(J8568+J8569,0)</f>
        <v>0</v>
      </c>
    </row>
    <row r="8571" spans="1:10" ht="13">
      <c r="A8571" s="27"/>
      <c r="B8571" s="110"/>
      <c r="D8571" s="11"/>
      <c r="E8571" s="11"/>
      <c r="H8571" s="443"/>
      <c r="I8571" s="17"/>
      <c r="J8571" s="18"/>
    </row>
    <row r="8572" spans="1:10" ht="13.5" thickBot="1">
      <c r="A8572" s="27"/>
      <c r="B8572" s="110"/>
      <c r="C8572" s="11" t="s">
        <v>1402</v>
      </c>
      <c r="D8572" s="10" t="s">
        <v>1403</v>
      </c>
      <c r="H8572" s="443"/>
    </row>
    <row r="8573" spans="1:10" ht="13.5" thickBot="1">
      <c r="A8573" s="27"/>
      <c r="B8573" s="110"/>
      <c r="D8573" s="401" t="s">
        <v>40</v>
      </c>
      <c r="E8573" s="402" t="s">
        <v>41</v>
      </c>
      <c r="F8573" s="402" t="s">
        <v>42</v>
      </c>
      <c r="G8573" s="403" t="s">
        <v>43</v>
      </c>
      <c r="H8573" s="404" t="s">
        <v>44</v>
      </c>
      <c r="I8573" s="402" t="s">
        <v>474</v>
      </c>
      <c r="J8573" s="405" t="s">
        <v>475</v>
      </c>
    </row>
    <row r="8574" spans="1:10" ht="13">
      <c r="A8574" s="27"/>
      <c r="B8574" s="110"/>
      <c r="D8574" s="444" t="s">
        <v>45</v>
      </c>
      <c r="E8574" s="445" t="s">
        <v>46</v>
      </c>
      <c r="F8574" s="446"/>
      <c r="G8574" s="447"/>
      <c r="H8574" s="448"/>
      <c r="I8574" s="449"/>
      <c r="J8574" s="450"/>
    </row>
    <row r="8575" spans="1:10" ht="13">
      <c r="A8575" s="27"/>
      <c r="B8575" s="110"/>
      <c r="D8575" s="409"/>
      <c r="E8575" s="13" t="s">
        <v>47</v>
      </c>
      <c r="F8575" s="13" t="s">
        <v>1918</v>
      </c>
      <c r="G8575" s="543" t="s">
        <v>48</v>
      </c>
      <c r="H8575" s="548">
        <v>1.6910000000000001</v>
      </c>
      <c r="I8575" s="412">
        <f>IF(AND(E8575&lt;&gt;"",G8575&lt;&gt;""),IF(D8575="",IF(G8575="OH",VLOOKUP(F8575,UPAH!$B$4:$H$101,7,0),VLOOKUP(F8575,#REF!,4,0)),0),0)</f>
        <v>0</v>
      </c>
      <c r="J8575" s="16">
        <f>H8575*I8575</f>
        <v>0</v>
      </c>
    </row>
    <row r="8576" spans="1:10" ht="13">
      <c r="A8576" s="27"/>
      <c r="B8576" s="110"/>
      <c r="D8576" s="409"/>
      <c r="E8576" s="13" t="s">
        <v>283</v>
      </c>
      <c r="F8576" s="13" t="s">
        <v>1913</v>
      </c>
      <c r="G8576" s="543" t="s">
        <v>48</v>
      </c>
      <c r="H8576" s="548">
        <v>0.84599999999999997</v>
      </c>
      <c r="I8576" s="412">
        <f>IF(AND(E8576&lt;&gt;"",G8576&lt;&gt;""),IF(D8576="",IF(G8576="OH",VLOOKUP(F8576,UPAH!$B$4:$H$101,7,0),VLOOKUP(F8576,#REF!,4,0)),0),0)</f>
        <v>0</v>
      </c>
      <c r="J8576" s="16">
        <f>H8576*I8576</f>
        <v>0</v>
      </c>
    </row>
    <row r="8577" spans="1:10" ht="13.5" thickBot="1">
      <c r="A8577" s="27"/>
      <c r="B8577" s="110"/>
      <c r="D8577" s="409"/>
      <c r="E8577" s="13" t="s">
        <v>51</v>
      </c>
      <c r="F8577" s="13" t="s">
        <v>1929</v>
      </c>
      <c r="G8577" s="543" t="s">
        <v>48</v>
      </c>
      <c r="H8577" s="548">
        <v>0.16900000000000001</v>
      </c>
      <c r="I8577" s="412">
        <f>IF(AND(E8577&lt;&gt;"",G8577&lt;&gt;""),IF(D8577="",IF(G8577="OH",VLOOKUP(F8577,UPAH!$B$4:$H$101,7,0),VLOOKUP(F8577,#REF!,4,0)),0),0)</f>
        <v>0</v>
      </c>
      <c r="J8577" s="16">
        <f>H8577*I8577</f>
        <v>0</v>
      </c>
    </row>
    <row r="8578" spans="1:10" ht="13.5" thickBot="1">
      <c r="A8578" s="27"/>
      <c r="B8578" s="110"/>
      <c r="D8578" s="417"/>
      <c r="E8578" s="418"/>
      <c r="F8578" s="418"/>
      <c r="G8578" s="419"/>
      <c r="H8578" s="420" t="s">
        <v>52</v>
      </c>
      <c r="I8578" s="421"/>
      <c r="J8578" s="396">
        <f>SUM(J8574:J8577)</f>
        <v>0</v>
      </c>
    </row>
    <row r="8579" spans="1:10" ht="13">
      <c r="A8579" s="27"/>
      <c r="B8579" s="110"/>
      <c r="D8579" s="406" t="s">
        <v>53</v>
      </c>
      <c r="E8579" s="13" t="s">
        <v>54</v>
      </c>
      <c r="F8579" s="14"/>
      <c r="G8579" s="15"/>
      <c r="H8579" s="451"/>
      <c r="I8579" s="412"/>
      <c r="J8579" s="16"/>
    </row>
    <row r="8580" spans="1:10" ht="13.5" thickBot="1">
      <c r="A8580" s="27"/>
      <c r="B8580" s="110"/>
      <c r="D8580" s="409"/>
      <c r="E8580" s="13" t="s">
        <v>296</v>
      </c>
      <c r="F8580" s="14"/>
      <c r="G8580" s="543" t="s">
        <v>113</v>
      </c>
      <c r="H8580" s="548">
        <v>1</v>
      </c>
      <c r="I8580" s="412">
        <f>$I$8478</f>
        <v>0</v>
      </c>
      <c r="J8580" s="16">
        <f>H8580*I8580</f>
        <v>0</v>
      </c>
    </row>
    <row r="8581" spans="1:10" ht="13.5" thickBot="1">
      <c r="A8581" s="27"/>
      <c r="B8581" s="110"/>
      <c r="D8581" s="417"/>
      <c r="E8581" s="418"/>
      <c r="F8581" s="418"/>
      <c r="G8581" s="419"/>
      <c r="H8581" s="420" t="s">
        <v>64</v>
      </c>
      <c r="I8581" s="421"/>
      <c r="J8581" s="396">
        <f>SUM(J8580)</f>
        <v>0</v>
      </c>
    </row>
    <row r="8582" spans="1:10" ht="13">
      <c r="A8582" s="27"/>
      <c r="B8582" s="110"/>
      <c r="D8582" s="406" t="s">
        <v>65</v>
      </c>
      <c r="E8582" s="13" t="s">
        <v>66</v>
      </c>
      <c r="F8582" s="14"/>
      <c r="G8582" s="15"/>
      <c r="H8582" s="451"/>
      <c r="I8582" s="412"/>
      <c r="J8582" s="16"/>
    </row>
    <row r="8583" spans="1:10" ht="13.5" thickBot="1">
      <c r="A8583" s="27"/>
      <c r="B8583" s="110"/>
      <c r="D8583" s="409"/>
      <c r="E8583" s="13" t="s">
        <v>446</v>
      </c>
      <c r="F8583" s="14"/>
      <c r="G8583" s="543" t="s">
        <v>285</v>
      </c>
      <c r="H8583" s="548">
        <v>0.26200000000000001</v>
      </c>
      <c r="I8583" s="412">
        <f>Alat!H102</f>
        <v>0</v>
      </c>
      <c r="J8583" s="16">
        <f>H8583*I8583</f>
        <v>0</v>
      </c>
    </row>
    <row r="8584" spans="1:10" ht="13.5" thickBot="1">
      <c r="A8584" s="27"/>
      <c r="B8584" s="110"/>
      <c r="D8584" s="417"/>
      <c r="E8584" s="418"/>
      <c r="F8584" s="418"/>
      <c r="G8584" s="419"/>
      <c r="H8584" s="420" t="s">
        <v>67</v>
      </c>
      <c r="I8584" s="421"/>
      <c r="J8584" s="396">
        <f>J8583</f>
        <v>0</v>
      </c>
    </row>
    <row r="8585" spans="1:10" ht="13">
      <c r="A8585" s="27"/>
      <c r="B8585" s="110"/>
      <c r="D8585" s="444" t="s">
        <v>68</v>
      </c>
      <c r="E8585" s="445" t="s">
        <v>69</v>
      </c>
      <c r="F8585" s="446"/>
      <c r="G8585" s="447"/>
      <c r="H8585" s="448"/>
      <c r="I8585" s="449">
        <f>IF(AND(E8585&lt;&gt;"",G8585&lt;&gt;""),IF(D8585="",IF(G8585="OH",VLOOKUP(E8585,UPAH!$C$4:$H$31,7,0),VLOOKUP(E8585,#REF!,4,0)),0),0)</f>
        <v>0</v>
      </c>
      <c r="J8585" s="16">
        <f>SUM(J8574:J8584)/2</f>
        <v>0</v>
      </c>
    </row>
    <row r="8586" spans="1:10" ht="13.5" thickBot="1">
      <c r="A8586" s="27"/>
      <c r="B8586" s="110"/>
      <c r="D8586" s="431" t="s">
        <v>70</v>
      </c>
      <c r="E8586" s="432" t="s">
        <v>477</v>
      </c>
      <c r="F8586" s="433"/>
      <c r="G8586" s="434"/>
      <c r="H8586" s="22">
        <v>0.1</v>
      </c>
      <c r="I8586" s="436"/>
      <c r="J8586" s="430">
        <f>H8586*J8585</f>
        <v>0</v>
      </c>
    </row>
    <row r="8587" spans="1:10" ht="13.5" thickBot="1">
      <c r="A8587" s="27"/>
      <c r="B8587" s="110"/>
      <c r="D8587" s="401" t="s">
        <v>71</v>
      </c>
      <c r="E8587" s="402" t="s">
        <v>72</v>
      </c>
      <c r="F8587" s="418"/>
      <c r="G8587" s="419"/>
      <c r="H8587" s="442"/>
      <c r="I8587" s="421">
        <f>IF(AND(E8587&lt;&gt;"",G8587&lt;&gt;""),IF(D8587="",IF(G8587="OH",VLOOKUP(E8587,UPAH!$C$4:$H$31,7,0),VLOOKUP(E8587,#REF!,4,0)),0),0)</f>
        <v>0</v>
      </c>
      <c r="J8587" s="396">
        <f>ROUNDDOWN(J8585+J8586,0)</f>
        <v>0</v>
      </c>
    </row>
    <row r="8588" spans="1:10" ht="13">
      <c r="A8588" s="27"/>
      <c r="B8588" s="110"/>
      <c r="D8588" s="11"/>
      <c r="E8588" s="11"/>
      <c r="H8588" s="443"/>
      <c r="I8588" s="17"/>
      <c r="J8588" s="18"/>
    </row>
    <row r="8589" spans="1:10" ht="13.5" thickBot="1">
      <c r="A8589" s="27"/>
      <c r="B8589" s="110"/>
      <c r="C8589" s="11" t="s">
        <v>1401</v>
      </c>
      <c r="D8589" s="10" t="s">
        <v>1404</v>
      </c>
      <c r="H8589" s="443"/>
    </row>
    <row r="8590" spans="1:10" ht="13.5" thickBot="1">
      <c r="A8590" s="27"/>
      <c r="B8590" s="110"/>
      <c r="D8590" s="401" t="s">
        <v>40</v>
      </c>
      <c r="E8590" s="402" t="s">
        <v>41</v>
      </c>
      <c r="F8590" s="402" t="s">
        <v>42</v>
      </c>
      <c r="G8590" s="403" t="s">
        <v>43</v>
      </c>
      <c r="H8590" s="404" t="s">
        <v>44</v>
      </c>
      <c r="I8590" s="402" t="s">
        <v>474</v>
      </c>
      <c r="J8590" s="405" t="s">
        <v>475</v>
      </c>
    </row>
    <row r="8591" spans="1:10" ht="13">
      <c r="A8591" s="27"/>
      <c r="B8591" s="110"/>
      <c r="D8591" s="444" t="s">
        <v>45</v>
      </c>
      <c r="E8591" s="445" t="s">
        <v>46</v>
      </c>
      <c r="F8591" s="446"/>
      <c r="G8591" s="447"/>
      <c r="H8591" s="448"/>
      <c r="I8591" s="449"/>
      <c r="J8591" s="450"/>
    </row>
    <row r="8592" spans="1:10" ht="13">
      <c r="A8592" s="27"/>
      <c r="B8592" s="110"/>
      <c r="D8592" s="409"/>
      <c r="E8592" s="13" t="s">
        <v>47</v>
      </c>
      <c r="F8592" s="13" t="s">
        <v>1918</v>
      </c>
      <c r="G8592" s="543" t="s">
        <v>48</v>
      </c>
      <c r="H8592" s="548">
        <v>1.895</v>
      </c>
      <c r="I8592" s="412">
        <f>IF(AND(E8592&lt;&gt;"",G8592&lt;&gt;""),IF(D8592="",IF(G8592="OH",VLOOKUP(F8592,UPAH!$B$4:$H$101,7,0),VLOOKUP(F8592,#REF!,4,0)),0),0)</f>
        <v>0</v>
      </c>
      <c r="J8592" s="16">
        <f>H8592*I8592</f>
        <v>0</v>
      </c>
    </row>
    <row r="8593" spans="1:10" ht="13">
      <c r="A8593" s="27"/>
      <c r="B8593" s="110"/>
      <c r="D8593" s="409"/>
      <c r="E8593" s="13" t="s">
        <v>283</v>
      </c>
      <c r="F8593" s="13" t="s">
        <v>1913</v>
      </c>
      <c r="G8593" s="543" t="s">
        <v>48</v>
      </c>
      <c r="H8593" s="548">
        <v>0.94799999999999995</v>
      </c>
      <c r="I8593" s="412">
        <f>IF(AND(E8593&lt;&gt;"",G8593&lt;&gt;""),IF(D8593="",IF(G8593="OH",VLOOKUP(F8593,UPAH!$B$4:$H$101,7,0),VLOOKUP(F8593,#REF!,4,0)),0),0)</f>
        <v>0</v>
      </c>
      <c r="J8593" s="16">
        <f>H8593*I8593</f>
        <v>0</v>
      </c>
    </row>
    <row r="8594" spans="1:10" ht="13.5" thickBot="1">
      <c r="A8594" s="27"/>
      <c r="B8594" s="110"/>
      <c r="D8594" s="409"/>
      <c r="E8594" s="13" t="s">
        <v>51</v>
      </c>
      <c r="F8594" s="13" t="s">
        <v>1929</v>
      </c>
      <c r="G8594" s="543" t="s">
        <v>48</v>
      </c>
      <c r="H8594" s="548">
        <v>0.19</v>
      </c>
      <c r="I8594" s="412">
        <f>IF(AND(E8594&lt;&gt;"",G8594&lt;&gt;""),IF(D8594="",IF(G8594="OH",VLOOKUP(F8594,UPAH!$B$4:$H$101,7,0),VLOOKUP(F8594,#REF!,4,0)),0),0)</f>
        <v>0</v>
      </c>
      <c r="J8594" s="16">
        <f>H8594*I8594</f>
        <v>0</v>
      </c>
    </row>
    <row r="8595" spans="1:10" ht="13.5" thickBot="1">
      <c r="A8595" s="27"/>
      <c r="B8595" s="110"/>
      <c r="D8595" s="417"/>
      <c r="E8595" s="418"/>
      <c r="F8595" s="418"/>
      <c r="G8595" s="419"/>
      <c r="H8595" s="420" t="s">
        <v>52</v>
      </c>
      <c r="I8595" s="421"/>
      <c r="J8595" s="396">
        <f>SUM(J8591:J8594)</f>
        <v>0</v>
      </c>
    </row>
    <row r="8596" spans="1:10" ht="13">
      <c r="A8596" s="27"/>
      <c r="B8596" s="110"/>
      <c r="D8596" s="406" t="s">
        <v>53</v>
      </c>
      <c r="E8596" s="13" t="s">
        <v>54</v>
      </c>
      <c r="F8596" s="14"/>
      <c r="G8596" s="15"/>
      <c r="H8596" s="451"/>
      <c r="I8596" s="412"/>
      <c r="J8596" s="16"/>
    </row>
    <row r="8597" spans="1:10" ht="13.5" thickBot="1">
      <c r="A8597" s="27"/>
      <c r="B8597" s="110"/>
      <c r="D8597" s="409"/>
      <c r="E8597" s="13" t="s">
        <v>297</v>
      </c>
      <c r="F8597" s="14"/>
      <c r="G8597" s="543" t="s">
        <v>113</v>
      </c>
      <c r="H8597" s="548">
        <v>1</v>
      </c>
      <c r="I8597" s="412">
        <f>$I$8478</f>
        <v>0</v>
      </c>
      <c r="J8597" s="16">
        <f>H8597*I8597</f>
        <v>0</v>
      </c>
    </row>
    <row r="8598" spans="1:10" ht="13.5" thickBot="1">
      <c r="A8598" s="27"/>
      <c r="B8598" s="110"/>
      <c r="D8598" s="417"/>
      <c r="E8598" s="418"/>
      <c r="F8598" s="418"/>
      <c r="G8598" s="419"/>
      <c r="H8598" s="420" t="s">
        <v>64</v>
      </c>
      <c r="I8598" s="421"/>
      <c r="J8598" s="396">
        <f>SUM(J8597)</f>
        <v>0</v>
      </c>
    </row>
    <row r="8599" spans="1:10" ht="13">
      <c r="A8599" s="27"/>
      <c r="B8599" s="110"/>
      <c r="D8599" s="406" t="s">
        <v>65</v>
      </c>
      <c r="E8599" s="13" t="s">
        <v>66</v>
      </c>
      <c r="F8599" s="14"/>
      <c r="G8599" s="15"/>
      <c r="H8599" s="451"/>
      <c r="I8599" s="412"/>
      <c r="J8599" s="16"/>
    </row>
    <row r="8600" spans="1:10" ht="13">
      <c r="A8600" s="27"/>
      <c r="B8600" s="110"/>
      <c r="D8600" s="409"/>
      <c r="E8600" s="13" t="s">
        <v>446</v>
      </c>
      <c r="F8600" s="14"/>
      <c r="G8600" s="543" t="s">
        <v>285</v>
      </c>
      <c r="H8600" s="548">
        <v>0.29399999999999998</v>
      </c>
      <c r="I8600" s="412">
        <f>Alat!H102</f>
        <v>0</v>
      </c>
      <c r="J8600" s="16">
        <f>H8600*I8600</f>
        <v>0</v>
      </c>
    </row>
    <row r="8601" spans="1:10" ht="13.5" thickBot="1">
      <c r="A8601" s="27"/>
      <c r="B8601" s="110"/>
      <c r="D8601" s="409"/>
      <c r="E8601" s="13"/>
      <c r="F8601" s="14"/>
      <c r="G8601" s="550"/>
      <c r="H8601" s="551"/>
      <c r="I8601" s="412">
        <f>IF(AND(E8601&lt;&gt;"",G8601&lt;&gt;""),IF(D8601="",IF(G8601="OH",VLOOKUP(E8601,UPAH!$C$4:$H$31,7,0),VLOOKUP(E8601,#REF!,4,0)),0),0)</f>
        <v>0</v>
      </c>
      <c r="J8601" s="16">
        <f>H8601*I8601</f>
        <v>0</v>
      </c>
    </row>
    <row r="8602" spans="1:10" ht="13.5" thickBot="1">
      <c r="A8602" s="27"/>
      <c r="B8602" s="110"/>
      <c r="D8602" s="417"/>
      <c r="E8602" s="418"/>
      <c r="F8602" s="418"/>
      <c r="G8602" s="419"/>
      <c r="H8602" s="420" t="s">
        <v>67</v>
      </c>
      <c r="I8602" s="421"/>
      <c r="J8602" s="396">
        <f>J8601</f>
        <v>0</v>
      </c>
    </row>
    <row r="8603" spans="1:10" ht="13">
      <c r="A8603" s="27"/>
      <c r="B8603" s="110"/>
      <c r="D8603" s="444" t="s">
        <v>68</v>
      </c>
      <c r="E8603" s="445" t="s">
        <v>69</v>
      </c>
      <c r="F8603" s="446"/>
      <c r="G8603" s="447"/>
      <c r="H8603" s="448"/>
      <c r="I8603" s="449">
        <f>IF(AND(E8603&lt;&gt;"",G8603&lt;&gt;""),IF(D8603="",IF(G8603="OH",VLOOKUP(E8603,UPAH!$C$4:$H$31,7,0),VLOOKUP(E8603,#REF!,4,0)),0),0)</f>
        <v>0</v>
      </c>
      <c r="J8603" s="16">
        <f>SUM(J8592:J8602)/2</f>
        <v>0</v>
      </c>
    </row>
    <row r="8604" spans="1:10" ht="13.5" thickBot="1">
      <c r="A8604" s="27"/>
      <c r="B8604" s="110"/>
      <c r="D8604" s="431" t="s">
        <v>70</v>
      </c>
      <c r="E8604" s="432" t="s">
        <v>477</v>
      </c>
      <c r="F8604" s="433"/>
      <c r="G8604" s="434"/>
      <c r="H8604" s="22">
        <v>0.1</v>
      </c>
      <c r="I8604" s="436"/>
      <c r="J8604" s="430">
        <f>H8604*J8603</f>
        <v>0</v>
      </c>
    </row>
    <row r="8605" spans="1:10" ht="13.5" thickBot="1">
      <c r="A8605" s="27"/>
      <c r="B8605" s="110"/>
      <c r="D8605" s="401" t="s">
        <v>71</v>
      </c>
      <c r="E8605" s="402" t="s">
        <v>72</v>
      </c>
      <c r="F8605" s="418"/>
      <c r="G8605" s="419"/>
      <c r="H8605" s="442"/>
      <c r="I8605" s="421">
        <f>IF(AND(E8605&lt;&gt;"",G8605&lt;&gt;""),IF(D8605="",IF(G8605="OH",VLOOKUP(E8605,UPAH!$C$4:$H$31,7,0),VLOOKUP(E8605,#REF!,4,0)),0),0)</f>
        <v>0</v>
      </c>
      <c r="J8605" s="396">
        <f>ROUNDDOWN(J8603+J8604,0)</f>
        <v>0</v>
      </c>
    </row>
    <row r="8606" spans="1:10" ht="13">
      <c r="A8606" s="27"/>
      <c r="B8606" s="110"/>
      <c r="D8606" s="11"/>
      <c r="E8606" s="11"/>
      <c r="H8606" s="443"/>
    </row>
    <row r="8607" spans="1:10" ht="13.5" thickBot="1">
      <c r="A8607" s="27"/>
      <c r="B8607" s="110"/>
      <c r="C8607" s="11" t="s">
        <v>1400</v>
      </c>
      <c r="D8607" s="10" t="s">
        <v>1405</v>
      </c>
      <c r="H8607" s="443"/>
      <c r="I8607" s="412">
        <f>IF(AND(C8607&lt;&gt;"",G8607&lt;&gt;""),IF(D8607="",IF(G8607="OH",VLOOKUP(C8607,UPAH!$C$4:$H$31,7,0),VLOOKUP(C8607,#REF!,4,0)),0),0)</f>
        <v>0</v>
      </c>
      <c r="J8607" s="16">
        <f>H8607*I8607</f>
        <v>0</v>
      </c>
    </row>
    <row r="8608" spans="1:10" ht="13.5" thickBot="1">
      <c r="A8608" s="27"/>
      <c r="B8608" s="110"/>
      <c r="D8608" s="401" t="s">
        <v>40</v>
      </c>
      <c r="E8608" s="402" t="s">
        <v>41</v>
      </c>
      <c r="F8608" s="402" t="s">
        <v>42</v>
      </c>
      <c r="G8608" s="403" t="s">
        <v>43</v>
      </c>
      <c r="H8608" s="404" t="s">
        <v>44</v>
      </c>
      <c r="I8608" s="402" t="s">
        <v>474</v>
      </c>
      <c r="J8608" s="405" t="s">
        <v>475</v>
      </c>
    </row>
    <row r="8609" spans="1:10" ht="13">
      <c r="A8609" s="27"/>
      <c r="B8609" s="110"/>
      <c r="D8609" s="444" t="s">
        <v>45</v>
      </c>
      <c r="E8609" s="445" t="s">
        <v>46</v>
      </c>
      <c r="F8609" s="446"/>
      <c r="G8609" s="447"/>
      <c r="H8609" s="448"/>
      <c r="I8609" s="449"/>
      <c r="J8609" s="450"/>
    </row>
    <row r="8610" spans="1:10" ht="13">
      <c r="A8610" s="27"/>
      <c r="B8610" s="110"/>
      <c r="D8610" s="409"/>
      <c r="E8610" s="13" t="s">
        <v>47</v>
      </c>
      <c r="F8610" s="13" t="s">
        <v>1918</v>
      </c>
      <c r="G8610" s="543" t="s">
        <v>48</v>
      </c>
      <c r="H8610" s="548">
        <v>2.0990000000000002</v>
      </c>
      <c r="I8610" s="412">
        <f>IF(AND(E8610&lt;&gt;"",G8610&lt;&gt;""),IF(D8610="",IF(G8610="OH",VLOOKUP(F8610,UPAH!$B$4:$H$101,7,0),VLOOKUP(F8610,#REF!,4,0)),0),0)</f>
        <v>0</v>
      </c>
      <c r="J8610" s="16">
        <f>H8610*I8610</f>
        <v>0</v>
      </c>
    </row>
    <row r="8611" spans="1:10" ht="13">
      <c r="A8611" s="27"/>
      <c r="B8611" s="110"/>
      <c r="D8611" s="409"/>
      <c r="E8611" s="13" t="s">
        <v>283</v>
      </c>
      <c r="F8611" s="13" t="s">
        <v>1913</v>
      </c>
      <c r="G8611" s="543" t="s">
        <v>48</v>
      </c>
      <c r="H8611" s="548">
        <v>1.05</v>
      </c>
      <c r="I8611" s="412">
        <f>IF(AND(E8611&lt;&gt;"",G8611&lt;&gt;""),IF(D8611="",IF(G8611="OH",VLOOKUP(F8611,UPAH!$B$4:$H$101,7,0),VLOOKUP(F8611,#REF!,4,0)),0),0)</f>
        <v>0</v>
      </c>
      <c r="J8611" s="16">
        <f>H8611*I8611</f>
        <v>0</v>
      </c>
    </row>
    <row r="8612" spans="1:10" ht="13.5" thickBot="1">
      <c r="A8612" s="27"/>
      <c r="B8612" s="110"/>
      <c r="D8612" s="409"/>
      <c r="E8612" s="13" t="s">
        <v>51</v>
      </c>
      <c r="F8612" s="13" t="s">
        <v>1929</v>
      </c>
      <c r="G8612" s="543" t="s">
        <v>48</v>
      </c>
      <c r="H8612" s="548">
        <v>0.21</v>
      </c>
      <c r="I8612" s="412">
        <f>IF(AND(E8612&lt;&gt;"",G8612&lt;&gt;""),IF(D8612="",IF(G8612="OH",VLOOKUP(F8612,UPAH!$B$4:$H$101,7,0),VLOOKUP(F8612,#REF!,4,0)),0),0)</f>
        <v>0</v>
      </c>
      <c r="J8612" s="16">
        <f>H8612*I8612</f>
        <v>0</v>
      </c>
    </row>
    <row r="8613" spans="1:10" ht="13.5" thickBot="1">
      <c r="A8613" s="27"/>
      <c r="B8613" s="110"/>
      <c r="D8613" s="417"/>
      <c r="E8613" s="418"/>
      <c r="F8613" s="418"/>
      <c r="G8613" s="419"/>
      <c r="H8613" s="420" t="s">
        <v>52</v>
      </c>
      <c r="I8613" s="421"/>
      <c r="J8613" s="396">
        <f>SUM(J8609:J8612)</f>
        <v>0</v>
      </c>
    </row>
    <row r="8614" spans="1:10" ht="13">
      <c r="A8614" s="27"/>
      <c r="B8614" s="110"/>
      <c r="D8614" s="406" t="s">
        <v>53</v>
      </c>
      <c r="E8614" s="13" t="s">
        <v>54</v>
      </c>
      <c r="F8614" s="14"/>
      <c r="G8614" s="15"/>
      <c r="H8614" s="451"/>
      <c r="I8614" s="412"/>
      <c r="J8614" s="16"/>
    </row>
    <row r="8615" spans="1:10" ht="13.5" thickBot="1">
      <c r="A8615" s="27"/>
      <c r="B8615" s="110"/>
      <c r="D8615" s="409"/>
      <c r="E8615" s="13" t="s">
        <v>347</v>
      </c>
      <c r="F8615" s="14"/>
      <c r="G8615" s="543" t="s">
        <v>113</v>
      </c>
      <c r="H8615" s="548">
        <v>1</v>
      </c>
      <c r="I8615" s="412">
        <f>$I$8478</f>
        <v>0</v>
      </c>
      <c r="J8615" s="16">
        <f>H8615*I8615</f>
        <v>0</v>
      </c>
    </row>
    <row r="8616" spans="1:10" ht="13.5" thickBot="1">
      <c r="A8616" s="27"/>
      <c r="B8616" s="110"/>
      <c r="D8616" s="417"/>
      <c r="E8616" s="418"/>
      <c r="F8616" s="418"/>
      <c r="G8616" s="419"/>
      <c r="H8616" s="420" t="s">
        <v>64</v>
      </c>
      <c r="I8616" s="421"/>
      <c r="J8616" s="396">
        <f>SUM(J8615)</f>
        <v>0</v>
      </c>
    </row>
    <row r="8617" spans="1:10" ht="13">
      <c r="A8617" s="27"/>
      <c r="B8617" s="110"/>
      <c r="D8617" s="406" t="s">
        <v>65</v>
      </c>
      <c r="E8617" s="13" t="s">
        <v>66</v>
      </c>
      <c r="F8617" s="14"/>
      <c r="G8617" s="15"/>
      <c r="H8617" s="451"/>
      <c r="I8617" s="412"/>
      <c r="J8617" s="16"/>
    </row>
    <row r="8618" spans="1:10" ht="13.5" thickBot="1">
      <c r="A8618" s="27"/>
      <c r="B8618" s="110"/>
      <c r="D8618" s="409"/>
      <c r="E8618" s="13" t="s">
        <v>446</v>
      </c>
      <c r="F8618" s="14"/>
      <c r="G8618" s="543" t="s">
        <v>285</v>
      </c>
      <c r="H8618" s="548">
        <v>0.32700000000000001</v>
      </c>
      <c r="I8618" s="412">
        <f>Alat!H102</f>
        <v>0</v>
      </c>
      <c r="J8618" s="16">
        <f>H8618*I8618</f>
        <v>0</v>
      </c>
    </row>
    <row r="8619" spans="1:10" ht="13.5" thickBot="1">
      <c r="A8619" s="27"/>
      <c r="B8619" s="110"/>
      <c r="D8619" s="417"/>
      <c r="E8619" s="418"/>
      <c r="F8619" s="418"/>
      <c r="G8619" s="419"/>
      <c r="H8619" s="420" t="s">
        <v>67</v>
      </c>
      <c r="I8619" s="421"/>
      <c r="J8619" s="396">
        <f>J8618</f>
        <v>0</v>
      </c>
    </row>
    <row r="8620" spans="1:10" ht="13">
      <c r="A8620" s="27"/>
      <c r="B8620" s="110"/>
      <c r="D8620" s="444" t="s">
        <v>68</v>
      </c>
      <c r="E8620" s="445" t="s">
        <v>69</v>
      </c>
      <c r="F8620" s="446"/>
      <c r="G8620" s="447"/>
      <c r="H8620" s="448"/>
      <c r="I8620" s="449">
        <f>IF(AND(E8620&lt;&gt;"",G8620&lt;&gt;""),IF(D8620="",IF(G8620="OH",VLOOKUP(E8620,UPAH!$C$4:$H$31,7,0),VLOOKUP(E8620,#REF!,4,0)),0),0)</f>
        <v>0</v>
      </c>
      <c r="J8620" s="16">
        <f>SUM(J8609:J8619)/2</f>
        <v>0</v>
      </c>
    </row>
    <row r="8621" spans="1:10" ht="13.5" thickBot="1">
      <c r="A8621" s="27"/>
      <c r="B8621" s="110"/>
      <c r="D8621" s="431" t="s">
        <v>70</v>
      </c>
      <c r="E8621" s="432" t="s">
        <v>477</v>
      </c>
      <c r="F8621" s="433"/>
      <c r="G8621" s="434"/>
      <c r="H8621" s="22">
        <v>0.1</v>
      </c>
      <c r="I8621" s="436"/>
      <c r="J8621" s="430">
        <f>H8621*J8620</f>
        <v>0</v>
      </c>
    </row>
    <row r="8622" spans="1:10" ht="13.5" thickBot="1">
      <c r="A8622" s="27"/>
      <c r="B8622" s="110"/>
      <c r="D8622" s="401" t="s">
        <v>71</v>
      </c>
      <c r="E8622" s="402" t="s">
        <v>72</v>
      </c>
      <c r="F8622" s="418"/>
      <c r="G8622" s="419"/>
      <c r="H8622" s="442"/>
      <c r="I8622" s="421">
        <f>IF(AND(E8622&lt;&gt;"",G8622&lt;&gt;""),IF(D8622="",IF(G8622="OH",VLOOKUP(E8622,UPAH!$C$4:$H$31,7,0),VLOOKUP(E8622,#REF!,4,0)),0),0)</f>
        <v>0</v>
      </c>
      <c r="J8622" s="396">
        <f>ROUNDDOWN(J8620+J8621,0)</f>
        <v>0</v>
      </c>
    </row>
    <row r="8623" spans="1:10" ht="13">
      <c r="A8623" s="27"/>
      <c r="B8623" s="110"/>
      <c r="D8623" s="11"/>
      <c r="E8623" s="11"/>
      <c r="H8623" s="443"/>
      <c r="I8623" s="17"/>
      <c r="J8623" s="18"/>
    </row>
    <row r="8624" spans="1:10" ht="13.5" thickBot="1">
      <c r="A8624" s="27"/>
      <c r="B8624" s="110"/>
      <c r="C8624" s="11" t="s">
        <v>1470</v>
      </c>
      <c r="D8624" s="10" t="s">
        <v>1471</v>
      </c>
      <c r="H8624" s="443"/>
    </row>
    <row r="8625" spans="1:10" ht="13.5" thickBot="1">
      <c r="A8625" s="27"/>
      <c r="B8625" s="110"/>
      <c r="D8625" s="401" t="s">
        <v>40</v>
      </c>
      <c r="E8625" s="402" t="s">
        <v>41</v>
      </c>
      <c r="F8625" s="402" t="s">
        <v>42</v>
      </c>
      <c r="G8625" s="403" t="s">
        <v>43</v>
      </c>
      <c r="H8625" s="404" t="s">
        <v>44</v>
      </c>
      <c r="I8625" s="402" t="s">
        <v>474</v>
      </c>
      <c r="J8625" s="405" t="s">
        <v>475</v>
      </c>
    </row>
    <row r="8626" spans="1:10" ht="13">
      <c r="A8626" s="27"/>
      <c r="B8626" s="110"/>
      <c r="D8626" s="444" t="s">
        <v>45</v>
      </c>
      <c r="E8626" s="445" t="s">
        <v>46</v>
      </c>
      <c r="F8626" s="446"/>
      <c r="G8626" s="447"/>
      <c r="H8626" s="448"/>
      <c r="I8626" s="449"/>
      <c r="J8626" s="450"/>
    </row>
    <row r="8627" spans="1:10" ht="13">
      <c r="A8627" s="27"/>
      <c r="B8627" s="110"/>
      <c r="D8627" s="409"/>
      <c r="E8627" s="13" t="s">
        <v>47</v>
      </c>
      <c r="F8627" s="13" t="s">
        <v>1918</v>
      </c>
      <c r="G8627" s="543" t="s">
        <v>48</v>
      </c>
      <c r="H8627" s="548">
        <v>2.3029999999999999</v>
      </c>
      <c r="I8627" s="412">
        <f>IF(AND(E8627&lt;&gt;"",G8627&lt;&gt;""),IF(D8627="",IF(G8627="OH",VLOOKUP(F8627,UPAH!$B$4:$H$101,7,0),VLOOKUP(F8627,#REF!,4,0)),0),0)</f>
        <v>0</v>
      </c>
      <c r="J8627" s="16">
        <f>H8627*I8627</f>
        <v>0</v>
      </c>
    </row>
    <row r="8628" spans="1:10" ht="13">
      <c r="A8628" s="27"/>
      <c r="B8628" s="110"/>
      <c r="D8628" s="409"/>
      <c r="E8628" s="13" t="s">
        <v>283</v>
      </c>
      <c r="F8628" s="13" t="s">
        <v>1913</v>
      </c>
      <c r="G8628" s="543" t="s">
        <v>48</v>
      </c>
      <c r="H8628" s="548">
        <v>1.1519999999999999</v>
      </c>
      <c r="I8628" s="412">
        <f>IF(AND(E8628&lt;&gt;"",G8628&lt;&gt;""),IF(D8628="",IF(G8628="OH",VLOOKUP(F8628,UPAH!$B$4:$H$101,7,0),VLOOKUP(F8628,#REF!,4,0)),0),0)</f>
        <v>0</v>
      </c>
      <c r="J8628" s="16">
        <f>H8628*I8628</f>
        <v>0</v>
      </c>
    </row>
    <row r="8629" spans="1:10" ht="13.5" thickBot="1">
      <c r="A8629" s="27"/>
      <c r="B8629" s="110"/>
      <c r="D8629" s="409"/>
      <c r="E8629" s="13" t="s">
        <v>51</v>
      </c>
      <c r="F8629" s="13" t="s">
        <v>1929</v>
      </c>
      <c r="G8629" s="543" t="s">
        <v>48</v>
      </c>
      <c r="H8629" s="548">
        <v>0.23</v>
      </c>
      <c r="I8629" s="412">
        <f>IF(AND(E8629&lt;&gt;"",G8629&lt;&gt;""),IF(D8629="",IF(G8629="OH",VLOOKUP(F8629,UPAH!$B$4:$H$101,7,0),VLOOKUP(F8629,#REF!,4,0)),0),0)</f>
        <v>0</v>
      </c>
      <c r="J8629" s="16">
        <f>H8629*I8629</f>
        <v>0</v>
      </c>
    </row>
    <row r="8630" spans="1:10" ht="13.5" thickBot="1">
      <c r="A8630" s="27"/>
      <c r="B8630" s="110"/>
      <c r="D8630" s="417"/>
      <c r="E8630" s="418"/>
      <c r="F8630" s="418"/>
      <c r="G8630" s="419"/>
      <c r="H8630" s="420" t="s">
        <v>52</v>
      </c>
      <c r="I8630" s="421"/>
      <c r="J8630" s="396">
        <f>SUM(J8626:J8629)</f>
        <v>0</v>
      </c>
    </row>
    <row r="8631" spans="1:10" ht="13">
      <c r="A8631" s="27"/>
      <c r="B8631" s="110"/>
      <c r="D8631" s="406" t="s">
        <v>53</v>
      </c>
      <c r="E8631" s="13" t="s">
        <v>54</v>
      </c>
      <c r="F8631" s="14"/>
      <c r="G8631" s="15"/>
      <c r="H8631" s="451"/>
      <c r="I8631" s="412"/>
      <c r="J8631" s="16"/>
    </row>
    <row r="8632" spans="1:10" ht="13.5" thickBot="1">
      <c r="A8632" s="27"/>
      <c r="B8632" s="110"/>
      <c r="D8632" s="409"/>
      <c r="E8632" s="13" t="s">
        <v>298</v>
      </c>
      <c r="F8632" s="14"/>
      <c r="G8632" s="543" t="s">
        <v>113</v>
      </c>
      <c r="H8632" s="548">
        <v>1</v>
      </c>
      <c r="I8632" s="412">
        <f>$I$8478</f>
        <v>0</v>
      </c>
      <c r="J8632" s="16">
        <f>H8632*I8632</f>
        <v>0</v>
      </c>
    </row>
    <row r="8633" spans="1:10" ht="13.5" thickBot="1">
      <c r="A8633" s="27"/>
      <c r="B8633" s="110"/>
      <c r="D8633" s="417"/>
      <c r="E8633" s="418"/>
      <c r="F8633" s="418"/>
      <c r="G8633" s="419"/>
      <c r="H8633" s="420" t="s">
        <v>64</v>
      </c>
      <c r="I8633" s="421"/>
      <c r="J8633" s="396">
        <f>SUM(J8632)</f>
        <v>0</v>
      </c>
    </row>
    <row r="8634" spans="1:10" ht="13">
      <c r="A8634" s="27"/>
      <c r="B8634" s="110"/>
      <c r="D8634" s="406" t="s">
        <v>65</v>
      </c>
      <c r="E8634" s="13" t="s">
        <v>66</v>
      </c>
      <c r="F8634" s="14"/>
      <c r="G8634" s="15"/>
      <c r="H8634" s="451"/>
      <c r="I8634" s="412"/>
      <c r="J8634" s="16"/>
    </row>
    <row r="8635" spans="1:10" ht="13.5" thickBot="1">
      <c r="A8635" s="27"/>
      <c r="B8635" s="110"/>
      <c r="D8635" s="409"/>
      <c r="E8635" s="13" t="s">
        <v>446</v>
      </c>
      <c r="F8635" s="14"/>
      <c r="G8635" s="543" t="s">
        <v>285</v>
      </c>
      <c r="H8635" s="548">
        <v>0.35899999999999999</v>
      </c>
      <c r="I8635" s="412">
        <f>Alat!H102</f>
        <v>0</v>
      </c>
      <c r="J8635" s="16">
        <f>H8635*I8635</f>
        <v>0</v>
      </c>
    </row>
    <row r="8636" spans="1:10" ht="13.5" thickBot="1">
      <c r="A8636" s="27"/>
      <c r="B8636" s="110"/>
      <c r="D8636" s="417"/>
      <c r="E8636" s="418"/>
      <c r="F8636" s="418"/>
      <c r="G8636" s="419"/>
      <c r="H8636" s="420" t="s">
        <v>67</v>
      </c>
      <c r="I8636" s="421"/>
      <c r="J8636" s="396">
        <f>J8635</f>
        <v>0</v>
      </c>
    </row>
    <row r="8637" spans="1:10" ht="13">
      <c r="A8637" s="27"/>
      <c r="B8637" s="110"/>
      <c r="D8637" s="444" t="s">
        <v>68</v>
      </c>
      <c r="E8637" s="445" t="s">
        <v>69</v>
      </c>
      <c r="F8637" s="446"/>
      <c r="G8637" s="447"/>
      <c r="H8637" s="448"/>
      <c r="I8637" s="449">
        <f>IF(AND(E8637&lt;&gt;"",G8637&lt;&gt;""),IF(D8637="",IF(G8637="OH",VLOOKUP(E8637,UPAH!$C$4:$H$31,7,0),VLOOKUP(E8637,#REF!,4,0)),0),0)</f>
        <v>0</v>
      </c>
      <c r="J8637" s="16">
        <f>SUM(J8626:J8636)/2</f>
        <v>0</v>
      </c>
    </row>
    <row r="8638" spans="1:10" ht="13.5" thickBot="1">
      <c r="A8638" s="27"/>
      <c r="B8638" s="110"/>
      <c r="D8638" s="431" t="s">
        <v>70</v>
      </c>
      <c r="E8638" s="432" t="s">
        <v>477</v>
      </c>
      <c r="F8638" s="433"/>
      <c r="G8638" s="434"/>
      <c r="H8638" s="22">
        <v>0.1</v>
      </c>
      <c r="I8638" s="436"/>
      <c r="J8638" s="430">
        <f>H8638*J8637</f>
        <v>0</v>
      </c>
    </row>
    <row r="8639" spans="1:10" ht="13.5" thickBot="1">
      <c r="A8639" s="27"/>
      <c r="B8639" s="110"/>
      <c r="D8639" s="401" t="s">
        <v>71</v>
      </c>
      <c r="E8639" s="402" t="s">
        <v>72</v>
      </c>
      <c r="F8639" s="418"/>
      <c r="G8639" s="419"/>
      <c r="H8639" s="442"/>
      <c r="I8639" s="421">
        <f>IF(AND(E8639&lt;&gt;"",G8639&lt;&gt;""),IF(D8639="",IF(G8639="OH",VLOOKUP(E8639,UPAH!$C$4:$H$31,7,0),VLOOKUP(E8639,#REF!,4,0)),0),0)</f>
        <v>0</v>
      </c>
      <c r="J8639" s="396">
        <f>ROUNDDOWN(J8637+J8638,0)</f>
        <v>0</v>
      </c>
    </row>
    <row r="8640" spans="1:10" ht="13">
      <c r="A8640" s="27"/>
      <c r="B8640" s="110"/>
      <c r="D8640" s="11"/>
      <c r="E8640" s="11"/>
      <c r="H8640" s="443"/>
      <c r="I8640" s="17"/>
      <c r="J8640" s="18"/>
    </row>
    <row r="8641" spans="1:10" ht="13.5" thickBot="1">
      <c r="A8641" s="27"/>
      <c r="B8641" s="110"/>
      <c r="C8641" s="11" t="s">
        <v>1469</v>
      </c>
      <c r="D8641" s="10" t="s">
        <v>1472</v>
      </c>
      <c r="H8641" s="443"/>
    </row>
    <row r="8642" spans="1:10" ht="13.5" thickBot="1">
      <c r="A8642" s="27"/>
      <c r="B8642" s="110"/>
      <c r="D8642" s="401" t="s">
        <v>40</v>
      </c>
      <c r="E8642" s="402" t="s">
        <v>41</v>
      </c>
      <c r="F8642" s="402" t="s">
        <v>42</v>
      </c>
      <c r="G8642" s="403" t="s">
        <v>43</v>
      </c>
      <c r="H8642" s="404" t="s">
        <v>44</v>
      </c>
      <c r="I8642" s="402" t="s">
        <v>474</v>
      </c>
      <c r="J8642" s="405" t="s">
        <v>475</v>
      </c>
    </row>
    <row r="8643" spans="1:10" ht="13">
      <c r="A8643" s="27"/>
      <c r="B8643" s="110"/>
      <c r="D8643" s="444" t="s">
        <v>45</v>
      </c>
      <c r="E8643" s="445" t="s">
        <v>46</v>
      </c>
      <c r="F8643" s="446"/>
      <c r="G8643" s="447"/>
      <c r="H8643" s="448"/>
      <c r="I8643" s="449"/>
      <c r="J8643" s="450"/>
    </row>
    <row r="8644" spans="1:10" ht="13">
      <c r="A8644" s="27"/>
      <c r="B8644" s="110"/>
      <c r="D8644" s="409"/>
      <c r="E8644" s="13" t="s">
        <v>47</v>
      </c>
      <c r="F8644" s="13" t="s">
        <v>1918</v>
      </c>
      <c r="G8644" s="543" t="s">
        <v>48</v>
      </c>
      <c r="H8644" s="548">
        <v>3.5000000000000003E-2</v>
      </c>
      <c r="I8644" s="412">
        <f>IF(AND(E8644&lt;&gt;"",G8644&lt;&gt;""),IF(D8644="",IF(G8644="OH",VLOOKUP(F8644,UPAH!$B$4:$H$101,7,0),VLOOKUP(F8644,#REF!,4,0)),0),0)</f>
        <v>0</v>
      </c>
      <c r="J8644" s="16">
        <f>H8644*I8644</f>
        <v>0</v>
      </c>
    </row>
    <row r="8645" spans="1:10" ht="13">
      <c r="A8645" s="27"/>
      <c r="B8645" s="110"/>
      <c r="D8645" s="409"/>
      <c r="E8645" s="13" t="s">
        <v>283</v>
      </c>
      <c r="F8645" s="13" t="s">
        <v>1913</v>
      </c>
      <c r="G8645" s="543" t="s">
        <v>48</v>
      </c>
      <c r="H8645" s="548">
        <v>1.7000000000000001E-2</v>
      </c>
      <c r="I8645" s="412">
        <f>IF(AND(E8645&lt;&gt;"",G8645&lt;&gt;""),IF(D8645="",IF(G8645="OH",VLOOKUP(F8645,UPAH!$B$4:$H$101,7,0),VLOOKUP(F8645,#REF!,4,0)),0),0)</f>
        <v>0</v>
      </c>
      <c r="J8645" s="16">
        <f>H8645*I8645</f>
        <v>0</v>
      </c>
    </row>
    <row r="8646" spans="1:10" ht="13.5" thickBot="1">
      <c r="A8646" s="27"/>
      <c r="B8646" s="110"/>
      <c r="D8646" s="409"/>
      <c r="E8646" s="13" t="s">
        <v>51</v>
      </c>
      <c r="F8646" s="13" t="s">
        <v>1929</v>
      </c>
      <c r="G8646" s="543" t="s">
        <v>48</v>
      </c>
      <c r="H8646" s="548">
        <v>3.0000000000000001E-3</v>
      </c>
      <c r="I8646" s="412">
        <f>IF(AND(E8646&lt;&gt;"",G8646&lt;&gt;""),IF(D8646="",IF(G8646="OH",VLOOKUP(F8646,UPAH!$B$4:$H$101,7,0),VLOOKUP(F8646,#REF!,4,0)),0),0)</f>
        <v>0</v>
      </c>
      <c r="J8646" s="16">
        <f>H8646*I8646</f>
        <v>0</v>
      </c>
    </row>
    <row r="8647" spans="1:10" ht="13.5" thickBot="1">
      <c r="A8647" s="27"/>
      <c r="B8647" s="110"/>
      <c r="D8647" s="417"/>
      <c r="E8647" s="418"/>
      <c r="F8647" s="418"/>
      <c r="G8647" s="419"/>
      <c r="H8647" s="420" t="s">
        <v>52</v>
      </c>
      <c r="I8647" s="421"/>
      <c r="J8647" s="396">
        <f>SUM(J8643:J8646)</f>
        <v>0</v>
      </c>
    </row>
    <row r="8648" spans="1:10" ht="13">
      <c r="A8648" s="27"/>
      <c r="B8648" s="110"/>
      <c r="D8648" s="406" t="s">
        <v>53</v>
      </c>
      <c r="E8648" s="13" t="s">
        <v>54</v>
      </c>
      <c r="F8648" s="14"/>
      <c r="G8648" s="15"/>
      <c r="H8648" s="451"/>
      <c r="I8648" s="412"/>
      <c r="J8648" s="16"/>
    </row>
    <row r="8649" spans="1:10" ht="13.5" thickBot="1">
      <c r="A8649" s="27"/>
      <c r="B8649" s="110"/>
      <c r="D8649" s="409"/>
      <c r="E8649" s="13" t="s">
        <v>299</v>
      </c>
      <c r="F8649" s="14"/>
      <c r="G8649" s="543" t="s">
        <v>113</v>
      </c>
      <c r="H8649" s="548">
        <v>1</v>
      </c>
      <c r="I8649" s="412">
        <f>'BAHAN '!G400</f>
        <v>0</v>
      </c>
      <c r="J8649" s="16">
        <f>H8649*I8649</f>
        <v>0</v>
      </c>
    </row>
    <row r="8650" spans="1:10" ht="13.5" thickBot="1">
      <c r="A8650" s="27"/>
      <c r="B8650" s="110"/>
      <c r="D8650" s="417"/>
      <c r="E8650" s="418"/>
      <c r="F8650" s="418"/>
      <c r="G8650" s="419"/>
      <c r="H8650" s="420" t="s">
        <v>64</v>
      </c>
      <c r="I8650" s="421"/>
      <c r="J8650" s="396">
        <f>SUM(J8649)</f>
        <v>0</v>
      </c>
    </row>
    <row r="8651" spans="1:10" ht="13">
      <c r="A8651" s="27"/>
      <c r="B8651" s="110"/>
      <c r="D8651" s="406" t="s">
        <v>65</v>
      </c>
      <c r="E8651" s="13" t="s">
        <v>66</v>
      </c>
      <c r="F8651" s="14"/>
      <c r="G8651" s="15"/>
      <c r="H8651" s="451"/>
      <c r="I8651" s="412"/>
      <c r="J8651" s="16"/>
    </row>
    <row r="8652" spans="1:10" ht="13.5" thickBot="1">
      <c r="A8652" s="27"/>
      <c r="B8652" s="110"/>
      <c r="D8652" s="409"/>
      <c r="E8652" s="13" t="s">
        <v>446</v>
      </c>
      <c r="F8652" s="14"/>
      <c r="G8652" s="543" t="s">
        <v>285</v>
      </c>
      <c r="H8652" s="548">
        <v>1.9E-2</v>
      </c>
      <c r="I8652" s="412">
        <f>Alat!H102</f>
        <v>0</v>
      </c>
      <c r="J8652" s="16">
        <f>H8652*I8652</f>
        <v>0</v>
      </c>
    </row>
    <row r="8653" spans="1:10" ht="13.5" thickBot="1">
      <c r="A8653" s="27"/>
      <c r="B8653" s="110"/>
      <c r="D8653" s="417"/>
      <c r="E8653" s="418"/>
      <c r="F8653" s="418"/>
      <c r="G8653" s="419"/>
      <c r="H8653" s="420" t="s">
        <v>67</v>
      </c>
      <c r="I8653" s="421"/>
      <c r="J8653" s="396">
        <f>J8652</f>
        <v>0</v>
      </c>
    </row>
    <row r="8654" spans="1:10" ht="13">
      <c r="A8654" s="27"/>
      <c r="B8654" s="110"/>
      <c r="D8654" s="444" t="s">
        <v>68</v>
      </c>
      <c r="E8654" s="445" t="s">
        <v>69</v>
      </c>
      <c r="F8654" s="446"/>
      <c r="G8654" s="447"/>
      <c r="H8654" s="448"/>
      <c r="I8654" s="449">
        <f>IF(AND(E8654&lt;&gt;"",G8654&lt;&gt;""),IF(D8654="",IF(G8654="OH",VLOOKUP(E8654,UPAH!$C$4:$H$31,7,0),VLOOKUP(E8654,#REF!,4,0)),0),0)</f>
        <v>0</v>
      </c>
      <c r="J8654" s="16">
        <f>SUM(J8643:J8653)/2</f>
        <v>0</v>
      </c>
    </row>
    <row r="8655" spans="1:10" ht="13.5" thickBot="1">
      <c r="A8655" s="27"/>
      <c r="B8655" s="110"/>
      <c r="D8655" s="431" t="s">
        <v>70</v>
      </c>
      <c r="E8655" s="432" t="s">
        <v>477</v>
      </c>
      <c r="F8655" s="433"/>
      <c r="G8655" s="434"/>
      <c r="H8655" s="22">
        <v>0.1</v>
      </c>
      <c r="I8655" s="436"/>
      <c r="J8655" s="430">
        <f>H8655*J8654</f>
        <v>0</v>
      </c>
    </row>
    <row r="8656" spans="1:10" ht="13.5" thickBot="1">
      <c r="A8656" s="27"/>
      <c r="B8656" s="110"/>
      <c r="D8656" s="401" t="s">
        <v>71</v>
      </c>
      <c r="E8656" s="402" t="s">
        <v>72</v>
      </c>
      <c r="F8656" s="418"/>
      <c r="G8656" s="419"/>
      <c r="H8656" s="442"/>
      <c r="I8656" s="421">
        <f>IF(AND(E8656&lt;&gt;"",G8656&lt;&gt;""),IF(D8656="",IF(G8656="OH",VLOOKUP(E8656,UPAH!$C$4:$H$31,7,0),VLOOKUP(E8656,#REF!,4,0)),0),0)</f>
        <v>0</v>
      </c>
      <c r="J8656" s="396">
        <f>ROUNDDOWN(J8654+J8655,0)</f>
        <v>0</v>
      </c>
    </row>
    <row r="8657" spans="1:10" ht="13">
      <c r="A8657" s="27"/>
      <c r="B8657" s="110"/>
      <c r="D8657" s="11"/>
      <c r="E8657" s="11"/>
      <c r="H8657" s="443"/>
      <c r="I8657" s="17"/>
      <c r="J8657" s="18"/>
    </row>
    <row r="8658" spans="1:10" ht="13.5" thickBot="1">
      <c r="A8658" s="27"/>
      <c r="B8658" s="110"/>
      <c r="C8658" s="11" t="s">
        <v>1468</v>
      </c>
      <c r="D8658" s="10" t="s">
        <v>1473</v>
      </c>
      <c r="H8658" s="443"/>
    </row>
    <row r="8659" spans="1:10" ht="13.5" thickBot="1">
      <c r="A8659" s="27"/>
      <c r="B8659" s="110"/>
      <c r="D8659" s="401" t="s">
        <v>40</v>
      </c>
      <c r="E8659" s="402" t="s">
        <v>41</v>
      </c>
      <c r="F8659" s="402" t="s">
        <v>42</v>
      </c>
      <c r="G8659" s="403" t="s">
        <v>43</v>
      </c>
      <c r="H8659" s="404" t="s">
        <v>44</v>
      </c>
      <c r="I8659" s="402" t="s">
        <v>474</v>
      </c>
      <c r="J8659" s="405" t="s">
        <v>475</v>
      </c>
    </row>
    <row r="8660" spans="1:10" ht="13">
      <c r="A8660" s="27"/>
      <c r="B8660" s="110"/>
      <c r="D8660" s="444" t="s">
        <v>45</v>
      </c>
      <c r="E8660" s="445" t="s">
        <v>46</v>
      </c>
      <c r="F8660" s="446"/>
      <c r="G8660" s="447"/>
      <c r="H8660" s="448"/>
      <c r="I8660" s="449"/>
      <c r="J8660" s="450"/>
    </row>
    <row r="8661" spans="1:10" ht="13">
      <c r="A8661" s="27"/>
      <c r="B8661" s="110"/>
      <c r="D8661" s="409"/>
      <c r="E8661" s="13" t="s">
        <v>47</v>
      </c>
      <c r="F8661" s="13" t="s">
        <v>1918</v>
      </c>
      <c r="G8661" s="543" t="s">
        <v>48</v>
      </c>
      <c r="H8661" s="548">
        <v>0.04</v>
      </c>
      <c r="I8661" s="412">
        <f>IF(AND(E8661&lt;&gt;"",G8661&lt;&gt;""),IF(D8661="",IF(G8661="OH",VLOOKUP(F8661,UPAH!$B$4:$H$101,7,0),VLOOKUP(F8661,#REF!,4,0)),0),0)</f>
        <v>0</v>
      </c>
      <c r="J8661" s="16">
        <f>H8661*I8661</f>
        <v>0</v>
      </c>
    </row>
    <row r="8662" spans="1:10" ht="13">
      <c r="A8662" s="27"/>
      <c r="B8662" s="110"/>
      <c r="D8662" s="409"/>
      <c r="E8662" s="13" t="s">
        <v>283</v>
      </c>
      <c r="F8662" s="13" t="s">
        <v>1913</v>
      </c>
      <c r="G8662" s="543" t="s">
        <v>48</v>
      </c>
      <c r="H8662" s="548">
        <v>0.02</v>
      </c>
      <c r="I8662" s="412">
        <f>IF(AND(E8662&lt;&gt;"",G8662&lt;&gt;""),IF(D8662="",IF(G8662="OH",VLOOKUP(F8662,UPAH!$B$4:$H$101,7,0),VLOOKUP(F8662,#REF!,4,0)),0),0)</f>
        <v>0</v>
      </c>
      <c r="J8662" s="16">
        <f>H8662*I8662</f>
        <v>0</v>
      </c>
    </row>
    <row r="8663" spans="1:10" ht="13.5" thickBot="1">
      <c r="A8663" s="27"/>
      <c r="B8663" s="110"/>
      <c r="D8663" s="409"/>
      <c r="E8663" s="13" t="s">
        <v>51</v>
      </c>
      <c r="F8663" s="13" t="s">
        <v>1929</v>
      </c>
      <c r="G8663" s="543" t="s">
        <v>48</v>
      </c>
      <c r="H8663" s="548">
        <v>4.0000000000000001E-3</v>
      </c>
      <c r="I8663" s="412">
        <f>IF(AND(E8663&lt;&gt;"",G8663&lt;&gt;""),IF(D8663="",IF(G8663="OH",VLOOKUP(F8663,UPAH!$B$4:$H$101,7,0),VLOOKUP(F8663,#REF!,4,0)),0),0)</f>
        <v>0</v>
      </c>
      <c r="J8663" s="16">
        <f>H8663*I8663</f>
        <v>0</v>
      </c>
    </row>
    <row r="8664" spans="1:10" ht="13.5" thickBot="1">
      <c r="A8664" s="27"/>
      <c r="B8664" s="110"/>
      <c r="D8664" s="417"/>
      <c r="E8664" s="418"/>
      <c r="F8664" s="418"/>
      <c r="G8664" s="419"/>
      <c r="H8664" s="420" t="s">
        <v>52</v>
      </c>
      <c r="I8664" s="421"/>
      <c r="J8664" s="396">
        <f>SUM(J8660:J8663)</f>
        <v>0</v>
      </c>
    </row>
    <row r="8665" spans="1:10" ht="13">
      <c r="A8665" s="27"/>
      <c r="B8665" s="110"/>
      <c r="D8665" s="406" t="s">
        <v>53</v>
      </c>
      <c r="E8665" s="13" t="s">
        <v>54</v>
      </c>
      <c r="F8665" s="14"/>
      <c r="G8665" s="15"/>
      <c r="H8665" s="451"/>
      <c r="I8665" s="412"/>
      <c r="J8665" s="16"/>
    </row>
    <row r="8666" spans="1:10" ht="13.5" thickBot="1">
      <c r="A8666" s="27"/>
      <c r="B8666" s="110"/>
      <c r="D8666" s="409"/>
      <c r="E8666" s="13" t="s">
        <v>300</v>
      </c>
      <c r="F8666" s="14"/>
      <c r="G8666" s="543" t="s">
        <v>113</v>
      </c>
      <c r="H8666" s="548">
        <v>1</v>
      </c>
      <c r="I8666" s="412">
        <f>'BAHAN '!G399</f>
        <v>0</v>
      </c>
      <c r="J8666" s="16">
        <f>H8666*I8666</f>
        <v>0</v>
      </c>
    </row>
    <row r="8667" spans="1:10" ht="13.5" thickBot="1">
      <c r="A8667" s="27"/>
      <c r="B8667" s="110"/>
      <c r="D8667" s="417"/>
      <c r="E8667" s="418"/>
      <c r="F8667" s="418"/>
      <c r="G8667" s="419"/>
      <c r="H8667" s="420" t="s">
        <v>64</v>
      </c>
      <c r="I8667" s="421"/>
      <c r="J8667" s="396">
        <f>SUM(J8666)</f>
        <v>0</v>
      </c>
    </row>
    <row r="8668" spans="1:10" ht="13">
      <c r="A8668" s="27"/>
      <c r="B8668" s="110"/>
      <c r="D8668" s="406" t="s">
        <v>65</v>
      </c>
      <c r="E8668" s="13" t="s">
        <v>66</v>
      </c>
      <c r="F8668" s="14"/>
      <c r="G8668" s="15"/>
      <c r="H8668" s="451"/>
      <c r="I8668" s="412"/>
      <c r="J8668" s="16"/>
    </row>
    <row r="8669" spans="1:10" ht="13.5" thickBot="1">
      <c r="A8669" s="27"/>
      <c r="B8669" s="110"/>
      <c r="D8669" s="409"/>
      <c r="E8669" s="13" t="s">
        <v>446</v>
      </c>
      <c r="F8669" s="14"/>
      <c r="G8669" s="543" t="s">
        <v>285</v>
      </c>
      <c r="H8669" s="548">
        <v>1.9E-2</v>
      </c>
      <c r="I8669" s="412">
        <f>Alat!H102</f>
        <v>0</v>
      </c>
      <c r="J8669" s="16">
        <f>H8669*I8669</f>
        <v>0</v>
      </c>
    </row>
    <row r="8670" spans="1:10" ht="13.5" thickBot="1">
      <c r="A8670" s="27"/>
      <c r="B8670" s="110"/>
      <c r="D8670" s="417"/>
      <c r="E8670" s="418"/>
      <c r="F8670" s="418"/>
      <c r="G8670" s="419"/>
      <c r="H8670" s="420" t="s">
        <v>67</v>
      </c>
      <c r="I8670" s="421"/>
      <c r="J8670" s="396">
        <f>J8669</f>
        <v>0</v>
      </c>
    </row>
    <row r="8671" spans="1:10" ht="13">
      <c r="A8671" s="27"/>
      <c r="B8671" s="110"/>
      <c r="D8671" s="444" t="s">
        <v>68</v>
      </c>
      <c r="E8671" s="445" t="s">
        <v>69</v>
      </c>
      <c r="F8671" s="446"/>
      <c r="G8671" s="447"/>
      <c r="H8671" s="448"/>
      <c r="I8671" s="449">
        <f>IF(AND(E8671&lt;&gt;"",G8671&lt;&gt;""),IF(D8671="",IF(G8671="OH",VLOOKUP(E8671,UPAH!$C$4:$H$31,7,0),VLOOKUP(E8671,#REF!,4,0)),0),0)</f>
        <v>0</v>
      </c>
      <c r="J8671" s="16">
        <f>SUM(J8660:J8670)/2</f>
        <v>0</v>
      </c>
    </row>
    <row r="8672" spans="1:10" ht="13.5" thickBot="1">
      <c r="A8672" s="27"/>
      <c r="B8672" s="110"/>
      <c r="D8672" s="431" t="s">
        <v>70</v>
      </c>
      <c r="E8672" s="432" t="s">
        <v>477</v>
      </c>
      <c r="F8672" s="433"/>
      <c r="G8672" s="434"/>
      <c r="H8672" s="22">
        <v>0.1</v>
      </c>
      <c r="I8672" s="436"/>
      <c r="J8672" s="430">
        <f>H8672*J8671</f>
        <v>0</v>
      </c>
    </row>
    <row r="8673" spans="1:10" ht="13.5" thickBot="1">
      <c r="A8673" s="27"/>
      <c r="B8673" s="110"/>
      <c r="D8673" s="401" t="s">
        <v>71</v>
      </c>
      <c r="E8673" s="402" t="s">
        <v>72</v>
      </c>
      <c r="F8673" s="418"/>
      <c r="G8673" s="419"/>
      <c r="H8673" s="442"/>
      <c r="I8673" s="421">
        <f>IF(AND(E8673&lt;&gt;"",G8673&lt;&gt;""),IF(D8673="",IF(G8673="OH",VLOOKUP(E8673,UPAH!$C$4:$H$31,7,0),VLOOKUP(E8673,#REF!,4,0)),0),0)</f>
        <v>0</v>
      </c>
      <c r="J8673" s="396">
        <f>ROUNDDOWN(J8671+J8672,0)</f>
        <v>0</v>
      </c>
    </row>
    <row r="8674" spans="1:10" ht="13">
      <c r="A8674" s="27"/>
      <c r="B8674" s="110"/>
      <c r="D8674" s="11"/>
      <c r="E8674" s="11"/>
      <c r="H8674" s="443"/>
      <c r="I8674" s="17"/>
      <c r="J8674" s="18"/>
    </row>
    <row r="8675" spans="1:10" ht="13.5" thickBot="1">
      <c r="A8675" s="27"/>
      <c r="B8675" s="110"/>
      <c r="C8675" s="11" t="s">
        <v>1467</v>
      </c>
      <c r="D8675" s="10" t="s">
        <v>1474</v>
      </c>
      <c r="H8675" s="443"/>
    </row>
    <row r="8676" spans="1:10" ht="13.5" thickBot="1">
      <c r="A8676" s="27"/>
      <c r="B8676" s="110"/>
      <c r="D8676" s="401" t="s">
        <v>40</v>
      </c>
      <c r="E8676" s="402" t="s">
        <v>41</v>
      </c>
      <c r="F8676" s="402" t="s">
        <v>42</v>
      </c>
      <c r="G8676" s="403" t="s">
        <v>43</v>
      </c>
      <c r="H8676" s="404" t="s">
        <v>44</v>
      </c>
      <c r="I8676" s="402" t="s">
        <v>474</v>
      </c>
      <c r="J8676" s="405" t="s">
        <v>475</v>
      </c>
    </row>
    <row r="8677" spans="1:10" ht="13">
      <c r="A8677" s="27"/>
      <c r="B8677" s="110"/>
      <c r="D8677" s="444" t="s">
        <v>45</v>
      </c>
      <c r="E8677" s="445" t="s">
        <v>46</v>
      </c>
      <c r="F8677" s="446"/>
      <c r="G8677" s="447"/>
      <c r="H8677" s="448"/>
      <c r="I8677" s="449"/>
      <c r="J8677" s="450"/>
    </row>
    <row r="8678" spans="1:10" ht="13">
      <c r="A8678" s="27"/>
      <c r="B8678" s="110"/>
      <c r="D8678" s="409"/>
      <c r="E8678" s="13" t="s">
        <v>47</v>
      </c>
      <c r="F8678" s="13" t="s">
        <v>1918</v>
      </c>
      <c r="G8678" s="543" t="s">
        <v>48</v>
      </c>
      <c r="H8678" s="548">
        <v>4.4999999999999998E-2</v>
      </c>
      <c r="I8678" s="412">
        <f>IF(AND(E8678&lt;&gt;"",G8678&lt;&gt;""),IF(D8678="",IF(G8678="OH",VLOOKUP(F8678,UPAH!$B$4:$H$101,7,0),VLOOKUP(F8678,#REF!,4,0)),0),0)</f>
        <v>0</v>
      </c>
      <c r="J8678" s="16">
        <f>H8678*I8678</f>
        <v>0</v>
      </c>
    </row>
    <row r="8679" spans="1:10" ht="13">
      <c r="A8679" s="27"/>
      <c r="B8679" s="110"/>
      <c r="D8679" s="409"/>
      <c r="E8679" s="13" t="s">
        <v>283</v>
      </c>
      <c r="F8679" s="13" t="s">
        <v>1913</v>
      </c>
      <c r="G8679" s="543" t="s">
        <v>48</v>
      </c>
      <c r="H8679" s="548">
        <v>2.3E-2</v>
      </c>
      <c r="I8679" s="412">
        <f>IF(AND(E8679&lt;&gt;"",G8679&lt;&gt;""),IF(D8679="",IF(G8679="OH",VLOOKUP(F8679,UPAH!$B$4:$H$101,7,0),VLOOKUP(F8679,#REF!,4,0)),0),0)</f>
        <v>0</v>
      </c>
      <c r="J8679" s="16">
        <f>H8679*I8679</f>
        <v>0</v>
      </c>
    </row>
    <row r="8680" spans="1:10" ht="13.5" thickBot="1">
      <c r="A8680" s="27"/>
      <c r="B8680" s="110"/>
      <c r="D8680" s="409"/>
      <c r="E8680" s="13" t="s">
        <v>51</v>
      </c>
      <c r="F8680" s="13" t="s">
        <v>1929</v>
      </c>
      <c r="G8680" s="543" t="s">
        <v>48</v>
      </c>
      <c r="H8680" s="548">
        <v>5.0000000000000001E-3</v>
      </c>
      <c r="I8680" s="412">
        <f>IF(AND(E8680&lt;&gt;"",G8680&lt;&gt;""),IF(D8680="",IF(G8680="OH",VLOOKUP(F8680,UPAH!$B$4:$H$101,7,0),VLOOKUP(F8680,#REF!,4,0)),0),0)</f>
        <v>0</v>
      </c>
      <c r="J8680" s="16">
        <f>H8680*I8680</f>
        <v>0</v>
      </c>
    </row>
    <row r="8681" spans="1:10" ht="13.5" thickBot="1">
      <c r="A8681" s="27"/>
      <c r="B8681" s="110"/>
      <c r="D8681" s="417"/>
      <c r="E8681" s="418"/>
      <c r="F8681" s="418"/>
      <c r="G8681" s="419"/>
      <c r="H8681" s="420" t="s">
        <v>52</v>
      </c>
      <c r="I8681" s="421"/>
      <c r="J8681" s="396">
        <f>SUM(J8677:J8680)</f>
        <v>0</v>
      </c>
    </row>
    <row r="8682" spans="1:10" ht="13">
      <c r="A8682" s="27"/>
      <c r="B8682" s="110"/>
      <c r="D8682" s="406" t="s">
        <v>53</v>
      </c>
      <c r="E8682" s="13" t="s">
        <v>54</v>
      </c>
      <c r="F8682" s="14"/>
      <c r="G8682" s="15"/>
      <c r="H8682" s="451"/>
      <c r="I8682" s="412"/>
      <c r="J8682" s="16"/>
    </row>
    <row r="8683" spans="1:10" ht="13.5" thickBot="1">
      <c r="A8683" s="27"/>
      <c r="B8683" s="110"/>
      <c r="D8683" s="409"/>
      <c r="E8683" s="13" t="s">
        <v>301</v>
      </c>
      <c r="F8683" s="14"/>
      <c r="G8683" s="543" t="s">
        <v>113</v>
      </c>
      <c r="H8683" s="548">
        <v>1</v>
      </c>
      <c r="I8683" s="412">
        <f>'BAHAN '!G398</f>
        <v>0</v>
      </c>
      <c r="J8683" s="16">
        <f>H8683*I8683</f>
        <v>0</v>
      </c>
    </row>
    <row r="8684" spans="1:10" ht="13.5" thickBot="1">
      <c r="A8684" s="27"/>
      <c r="B8684" s="110"/>
      <c r="D8684" s="417"/>
      <c r="E8684" s="418"/>
      <c r="F8684" s="418"/>
      <c r="G8684" s="419"/>
      <c r="H8684" s="420" t="s">
        <v>64</v>
      </c>
      <c r="I8684" s="421"/>
      <c r="J8684" s="396">
        <f>SUM(J8683)</f>
        <v>0</v>
      </c>
    </row>
    <row r="8685" spans="1:10" ht="13">
      <c r="A8685" s="27"/>
      <c r="B8685" s="110"/>
      <c r="D8685" s="406" t="s">
        <v>65</v>
      </c>
      <c r="E8685" s="13" t="s">
        <v>66</v>
      </c>
      <c r="F8685" s="14"/>
      <c r="G8685" s="15"/>
      <c r="H8685" s="451"/>
      <c r="I8685" s="412">
        <v>0</v>
      </c>
      <c r="J8685" s="16"/>
    </row>
    <row r="8686" spans="1:10" ht="13.5" thickBot="1">
      <c r="A8686" s="27"/>
      <c r="B8686" s="110"/>
      <c r="D8686" s="409"/>
      <c r="E8686" s="13" t="s">
        <v>446</v>
      </c>
      <c r="F8686" s="14"/>
      <c r="G8686" s="543" t="s">
        <v>285</v>
      </c>
      <c r="H8686" s="548">
        <v>1.9E-2</v>
      </c>
      <c r="I8686" s="412">
        <v>0</v>
      </c>
      <c r="J8686" s="16">
        <f>H8686*I8686</f>
        <v>0</v>
      </c>
    </row>
    <row r="8687" spans="1:10" ht="13.5" thickBot="1">
      <c r="A8687" s="27"/>
      <c r="B8687" s="110"/>
      <c r="D8687" s="417"/>
      <c r="E8687" s="418"/>
      <c r="F8687" s="418"/>
      <c r="G8687" s="419"/>
      <c r="H8687" s="420" t="s">
        <v>67</v>
      </c>
      <c r="I8687" s="421"/>
      <c r="J8687" s="396">
        <f>J8686</f>
        <v>0</v>
      </c>
    </row>
    <row r="8688" spans="1:10" ht="13">
      <c r="A8688" s="27"/>
      <c r="B8688" s="110"/>
      <c r="D8688" s="444" t="s">
        <v>68</v>
      </c>
      <c r="E8688" s="445" t="s">
        <v>69</v>
      </c>
      <c r="F8688" s="446"/>
      <c r="G8688" s="447"/>
      <c r="H8688" s="448"/>
      <c r="I8688" s="449">
        <f>IF(AND(E8688&lt;&gt;"",G8688&lt;&gt;""),IF(D8688="",IF(G8688="OH",VLOOKUP(E8688,UPAH!$C$4:$H$31,7,0),VLOOKUP(E8688,#REF!,4,0)),0),0)</f>
        <v>0</v>
      </c>
      <c r="J8688" s="16">
        <f>SUM(J8677:J8687)/2</f>
        <v>0</v>
      </c>
    </row>
    <row r="8689" spans="1:10" ht="13.5" thickBot="1">
      <c r="A8689" s="27"/>
      <c r="B8689" s="110"/>
      <c r="D8689" s="431" t="s">
        <v>70</v>
      </c>
      <c r="E8689" s="432" t="s">
        <v>477</v>
      </c>
      <c r="F8689" s="433"/>
      <c r="G8689" s="434"/>
      <c r="H8689" s="22">
        <v>0.1</v>
      </c>
      <c r="I8689" s="436"/>
      <c r="J8689" s="430">
        <f>H8689*J8688</f>
        <v>0</v>
      </c>
    </row>
    <row r="8690" spans="1:10" ht="13.5" thickBot="1">
      <c r="A8690" s="27"/>
      <c r="B8690" s="110"/>
      <c r="D8690" s="401" t="s">
        <v>71</v>
      </c>
      <c r="E8690" s="402" t="s">
        <v>72</v>
      </c>
      <c r="F8690" s="418"/>
      <c r="G8690" s="419"/>
      <c r="H8690" s="442"/>
      <c r="I8690" s="421">
        <f>IF(AND(E8690&lt;&gt;"",G8690&lt;&gt;""),IF(D8690="",IF(G8690="OH",VLOOKUP(E8690,UPAH!$C$4:$H$31,7,0),VLOOKUP(E8690,#REF!,4,0)),0),0)</f>
        <v>0</v>
      </c>
      <c r="J8690" s="396">
        <f>ROUNDDOWN(J8688+J8689,0)</f>
        <v>0</v>
      </c>
    </row>
    <row r="8691" spans="1:10" ht="13">
      <c r="A8691" s="27"/>
      <c r="B8691" s="110"/>
      <c r="D8691" s="11"/>
      <c r="E8691" s="11"/>
      <c r="H8691" s="443"/>
      <c r="I8691" s="17"/>
      <c r="J8691" s="18"/>
    </row>
    <row r="8692" spans="1:10" ht="13.5" thickBot="1">
      <c r="A8692" s="27"/>
      <c r="B8692" s="110"/>
      <c r="C8692" s="11" t="s">
        <v>1466</v>
      </c>
      <c r="D8692" s="10" t="s">
        <v>1475</v>
      </c>
      <c r="H8692" s="443"/>
    </row>
    <row r="8693" spans="1:10" ht="13.5" thickBot="1">
      <c r="A8693" s="27"/>
      <c r="B8693" s="110"/>
      <c r="D8693" s="401" t="s">
        <v>40</v>
      </c>
      <c r="E8693" s="402" t="s">
        <v>41</v>
      </c>
      <c r="F8693" s="402" t="s">
        <v>42</v>
      </c>
      <c r="G8693" s="403" t="s">
        <v>43</v>
      </c>
      <c r="H8693" s="404" t="s">
        <v>44</v>
      </c>
      <c r="I8693" s="402" t="s">
        <v>474</v>
      </c>
      <c r="J8693" s="405" t="s">
        <v>475</v>
      </c>
    </row>
    <row r="8694" spans="1:10" ht="13">
      <c r="A8694" s="27"/>
      <c r="B8694" s="110"/>
      <c r="D8694" s="444" t="s">
        <v>45</v>
      </c>
      <c r="E8694" s="445" t="s">
        <v>46</v>
      </c>
      <c r="F8694" s="446"/>
      <c r="G8694" s="447"/>
      <c r="H8694" s="448"/>
      <c r="I8694" s="449"/>
      <c r="J8694" s="450"/>
    </row>
    <row r="8695" spans="1:10" ht="13">
      <c r="A8695" s="27"/>
      <c r="B8695" s="110"/>
      <c r="D8695" s="409"/>
      <c r="E8695" s="13" t="s">
        <v>47</v>
      </c>
      <c r="F8695" s="13" t="s">
        <v>1918</v>
      </c>
      <c r="G8695" s="543" t="s">
        <v>48</v>
      </c>
      <c r="H8695" s="548">
        <v>6.2E-2</v>
      </c>
      <c r="I8695" s="412">
        <f>IF(AND(E8695&lt;&gt;"",G8695&lt;&gt;""),IF(D8695="",IF(G8695="OH",VLOOKUP(F8695,UPAH!$B$4:$H$101,7,0),VLOOKUP(F8695,#REF!,4,0)),0),0)</f>
        <v>0</v>
      </c>
      <c r="J8695" s="16">
        <f>H8695*I8695</f>
        <v>0</v>
      </c>
    </row>
    <row r="8696" spans="1:10" ht="13">
      <c r="A8696" s="27"/>
      <c r="B8696" s="110"/>
      <c r="D8696" s="409"/>
      <c r="E8696" s="13" t="s">
        <v>283</v>
      </c>
      <c r="F8696" s="13" t="s">
        <v>1913</v>
      </c>
      <c r="G8696" s="543" t="s">
        <v>48</v>
      </c>
      <c r="H8696" s="548">
        <v>3.1E-2</v>
      </c>
      <c r="I8696" s="412">
        <f>IF(AND(E8696&lt;&gt;"",G8696&lt;&gt;""),IF(D8696="",IF(G8696="OH",VLOOKUP(F8696,UPAH!$B$4:$H$101,7,0),VLOOKUP(F8696,#REF!,4,0)),0),0)</f>
        <v>0</v>
      </c>
      <c r="J8696" s="16">
        <f>H8696*I8696</f>
        <v>0</v>
      </c>
    </row>
    <row r="8697" spans="1:10" ht="13.5" thickBot="1">
      <c r="A8697" s="27"/>
      <c r="B8697" s="110"/>
      <c r="D8697" s="409"/>
      <c r="E8697" s="13" t="s">
        <v>51</v>
      </c>
      <c r="F8697" s="13" t="s">
        <v>1929</v>
      </c>
      <c r="G8697" s="543" t="s">
        <v>48</v>
      </c>
      <c r="H8697" s="548">
        <v>6.0000000000000001E-3</v>
      </c>
      <c r="I8697" s="412">
        <f>IF(AND(E8697&lt;&gt;"",G8697&lt;&gt;""),IF(D8697="",IF(G8697="OH",VLOOKUP(F8697,UPAH!$B$4:$H$101,7,0),VLOOKUP(F8697,#REF!,4,0)),0),0)</f>
        <v>0</v>
      </c>
      <c r="J8697" s="16">
        <f>H8697*I8697</f>
        <v>0</v>
      </c>
    </row>
    <row r="8698" spans="1:10" ht="13.5" thickBot="1">
      <c r="A8698" s="27"/>
      <c r="B8698" s="110"/>
      <c r="D8698" s="417"/>
      <c r="E8698" s="418"/>
      <c r="F8698" s="418"/>
      <c r="G8698" s="419"/>
      <c r="H8698" s="420" t="s">
        <v>52</v>
      </c>
      <c r="I8698" s="421"/>
      <c r="J8698" s="396">
        <f>SUM(J8694:J8697)</f>
        <v>0</v>
      </c>
    </row>
    <row r="8699" spans="1:10" ht="13">
      <c r="A8699" s="27"/>
      <c r="B8699" s="110"/>
      <c r="D8699" s="406" t="s">
        <v>53</v>
      </c>
      <c r="E8699" s="13" t="s">
        <v>54</v>
      </c>
      <c r="F8699" s="14"/>
      <c r="G8699" s="15"/>
      <c r="H8699" s="451"/>
      <c r="I8699" s="412"/>
      <c r="J8699" s="16"/>
    </row>
    <row r="8700" spans="1:10" ht="13.5" thickBot="1">
      <c r="A8700" s="27"/>
      <c r="B8700" s="110"/>
      <c r="D8700" s="409"/>
      <c r="E8700" s="13" t="s">
        <v>302</v>
      </c>
      <c r="F8700" s="14"/>
      <c r="G8700" s="543" t="s">
        <v>113</v>
      </c>
      <c r="H8700" s="548">
        <v>1</v>
      </c>
      <c r="I8700" s="412">
        <f>'BAHAN '!G397</f>
        <v>0</v>
      </c>
      <c r="J8700" s="16">
        <f>H8700*I8700</f>
        <v>0</v>
      </c>
    </row>
    <row r="8701" spans="1:10" ht="13.5" thickBot="1">
      <c r="A8701" s="27"/>
      <c r="B8701" s="110"/>
      <c r="D8701" s="417"/>
      <c r="E8701" s="418"/>
      <c r="F8701" s="418"/>
      <c r="G8701" s="419"/>
      <c r="H8701" s="420" t="s">
        <v>64</v>
      </c>
      <c r="I8701" s="421"/>
      <c r="J8701" s="396">
        <f>SUM(J8700)</f>
        <v>0</v>
      </c>
    </row>
    <row r="8702" spans="1:10" ht="13">
      <c r="A8702" s="27"/>
      <c r="B8702" s="110"/>
      <c r="D8702" s="406" t="s">
        <v>65</v>
      </c>
      <c r="E8702" s="13" t="s">
        <v>66</v>
      </c>
      <c r="F8702" s="14"/>
      <c r="G8702" s="15"/>
      <c r="H8702" s="451"/>
      <c r="I8702" s="412"/>
      <c r="J8702" s="16"/>
    </row>
    <row r="8703" spans="1:10" ht="13.5" thickBot="1">
      <c r="A8703" s="27"/>
      <c r="B8703" s="110"/>
      <c r="D8703" s="409"/>
      <c r="E8703" s="13" t="s">
        <v>446</v>
      </c>
      <c r="F8703" s="14"/>
      <c r="G8703" s="543" t="s">
        <v>285</v>
      </c>
      <c r="H8703" s="548">
        <v>1.9E-2</v>
      </c>
      <c r="I8703" s="412">
        <v>0</v>
      </c>
      <c r="J8703" s="16">
        <f>H8703*I8703</f>
        <v>0</v>
      </c>
    </row>
    <row r="8704" spans="1:10" ht="13.5" thickBot="1">
      <c r="A8704" s="27"/>
      <c r="B8704" s="110"/>
      <c r="D8704" s="417"/>
      <c r="E8704" s="418"/>
      <c r="F8704" s="418"/>
      <c r="G8704" s="419"/>
      <c r="H8704" s="420" t="s">
        <v>67</v>
      </c>
      <c r="I8704" s="421"/>
      <c r="J8704" s="396">
        <f>J8703</f>
        <v>0</v>
      </c>
    </row>
    <row r="8705" spans="1:10" ht="13">
      <c r="A8705" s="27"/>
      <c r="B8705" s="110"/>
      <c r="D8705" s="444" t="s">
        <v>68</v>
      </c>
      <c r="E8705" s="445" t="s">
        <v>69</v>
      </c>
      <c r="F8705" s="446"/>
      <c r="G8705" s="447"/>
      <c r="H8705" s="448"/>
      <c r="I8705" s="449">
        <f>IF(AND(E8705&lt;&gt;"",G8705&lt;&gt;""),IF(D8705="",IF(G8705="OH",VLOOKUP(E8705,UPAH!$C$4:$H$31,7,0),VLOOKUP(E8705,#REF!,4,0)),0),0)</f>
        <v>0</v>
      </c>
      <c r="J8705" s="16">
        <f>SUM(J8694:J8704)/2</f>
        <v>0</v>
      </c>
    </row>
    <row r="8706" spans="1:10" ht="13.5" thickBot="1">
      <c r="A8706" s="27"/>
      <c r="B8706" s="110"/>
      <c r="D8706" s="431" t="s">
        <v>70</v>
      </c>
      <c r="E8706" s="432" t="s">
        <v>477</v>
      </c>
      <c r="F8706" s="433"/>
      <c r="G8706" s="434"/>
      <c r="H8706" s="22">
        <v>0.1</v>
      </c>
      <c r="I8706" s="436"/>
      <c r="J8706" s="430">
        <f>H8706*J8705</f>
        <v>0</v>
      </c>
    </row>
    <row r="8707" spans="1:10" ht="13.5" thickBot="1">
      <c r="A8707" s="27"/>
      <c r="B8707" s="110"/>
      <c r="D8707" s="401" t="s">
        <v>71</v>
      </c>
      <c r="E8707" s="402" t="s">
        <v>72</v>
      </c>
      <c r="F8707" s="418"/>
      <c r="G8707" s="419"/>
      <c r="H8707" s="442"/>
      <c r="I8707" s="421">
        <f>IF(AND(E8707&lt;&gt;"",G8707&lt;&gt;""),IF(D8707="",IF(G8707="OH",VLOOKUP(E8707,UPAH!$C$4:$H$31,7,0),VLOOKUP(E8707,#REF!,4,0)),0),0)</f>
        <v>0</v>
      </c>
      <c r="J8707" s="396">
        <f>ROUNDDOWN(J8705+J8706,0)</f>
        <v>0</v>
      </c>
    </row>
    <row r="8708" spans="1:10" ht="13">
      <c r="A8708" s="27"/>
      <c r="B8708" s="110"/>
      <c r="D8708" s="11"/>
      <c r="E8708" s="11"/>
      <c r="H8708" s="443"/>
      <c r="I8708" s="17"/>
      <c r="J8708" s="18"/>
    </row>
    <row r="8709" spans="1:10" ht="13.5" thickBot="1">
      <c r="A8709" s="27"/>
      <c r="B8709" s="110"/>
      <c r="C8709" s="11" t="s">
        <v>1465</v>
      </c>
      <c r="D8709" s="10" t="s">
        <v>1476</v>
      </c>
      <c r="H8709" s="443"/>
    </row>
    <row r="8710" spans="1:10" ht="13.5" thickBot="1">
      <c r="A8710" s="27"/>
      <c r="B8710" s="110"/>
      <c r="D8710" s="401" t="s">
        <v>40</v>
      </c>
      <c r="E8710" s="402" t="s">
        <v>41</v>
      </c>
      <c r="F8710" s="402" t="s">
        <v>42</v>
      </c>
      <c r="G8710" s="403" t="s">
        <v>43</v>
      </c>
      <c r="H8710" s="404" t="s">
        <v>44</v>
      </c>
      <c r="I8710" s="402" t="s">
        <v>474</v>
      </c>
      <c r="J8710" s="405" t="s">
        <v>475</v>
      </c>
    </row>
    <row r="8711" spans="1:10" ht="13">
      <c r="A8711" s="27"/>
      <c r="B8711" s="110"/>
      <c r="D8711" s="444" t="s">
        <v>45</v>
      </c>
      <c r="E8711" s="445" t="s">
        <v>46</v>
      </c>
      <c r="F8711" s="446"/>
      <c r="G8711" s="447"/>
      <c r="H8711" s="448"/>
      <c r="I8711" s="449"/>
      <c r="J8711" s="450"/>
    </row>
    <row r="8712" spans="1:10" ht="13">
      <c r="A8712" s="27"/>
      <c r="B8712" s="110"/>
      <c r="D8712" s="409"/>
      <c r="E8712" s="13" t="s">
        <v>47</v>
      </c>
      <c r="F8712" s="13" t="s">
        <v>1918</v>
      </c>
      <c r="G8712" s="543" t="s">
        <v>48</v>
      </c>
      <c r="H8712" s="548">
        <v>0.10199999999999999</v>
      </c>
      <c r="I8712" s="412">
        <f>IF(AND(E8712&lt;&gt;"",G8712&lt;&gt;""),IF(D8712="",IF(G8712="OH",VLOOKUP(F8712,UPAH!$B$4:$H$101,7,0),VLOOKUP(F8712,#REF!,4,0)),0),0)</f>
        <v>0</v>
      </c>
      <c r="J8712" s="16">
        <f>H8712*I8712</f>
        <v>0</v>
      </c>
    </row>
    <row r="8713" spans="1:10" ht="13">
      <c r="A8713" s="27"/>
      <c r="B8713" s="110"/>
      <c r="D8713" s="409"/>
      <c r="E8713" s="13" t="s">
        <v>283</v>
      </c>
      <c r="F8713" s="13" t="s">
        <v>1913</v>
      </c>
      <c r="G8713" s="543" t="s">
        <v>48</v>
      </c>
      <c r="H8713" s="548">
        <v>5.0999999999999997E-2</v>
      </c>
      <c r="I8713" s="412">
        <f>IF(AND(E8713&lt;&gt;"",G8713&lt;&gt;""),IF(D8713="",IF(G8713="OH",VLOOKUP(F8713,UPAH!$B$4:$H$101,7,0),VLOOKUP(F8713,#REF!,4,0)),0),0)</f>
        <v>0</v>
      </c>
      <c r="J8713" s="16">
        <f>H8713*I8713</f>
        <v>0</v>
      </c>
    </row>
    <row r="8714" spans="1:10" ht="13.5" thickBot="1">
      <c r="A8714" s="27"/>
      <c r="B8714" s="110"/>
      <c r="D8714" s="409"/>
      <c r="E8714" s="13" t="s">
        <v>51</v>
      </c>
      <c r="F8714" s="13" t="s">
        <v>1929</v>
      </c>
      <c r="G8714" s="543" t="s">
        <v>48</v>
      </c>
      <c r="H8714" s="548">
        <v>0.01</v>
      </c>
      <c r="I8714" s="412">
        <f>IF(AND(E8714&lt;&gt;"",G8714&lt;&gt;""),IF(D8714="",IF(G8714="OH",VLOOKUP(F8714,UPAH!$B$4:$H$101,7,0),VLOOKUP(F8714,#REF!,4,0)),0),0)</f>
        <v>0</v>
      </c>
      <c r="J8714" s="16">
        <f>H8714*I8714</f>
        <v>0</v>
      </c>
    </row>
    <row r="8715" spans="1:10" ht="13.5" thickBot="1">
      <c r="A8715" s="27"/>
      <c r="B8715" s="110"/>
      <c r="D8715" s="417"/>
      <c r="E8715" s="418"/>
      <c r="F8715" s="418"/>
      <c r="G8715" s="419"/>
      <c r="H8715" s="420" t="s">
        <v>52</v>
      </c>
      <c r="I8715" s="421"/>
      <c r="J8715" s="396">
        <f>SUM(J8711:J8714)</f>
        <v>0</v>
      </c>
    </row>
    <row r="8716" spans="1:10" ht="13">
      <c r="A8716" s="27"/>
      <c r="B8716" s="110"/>
      <c r="D8716" s="406" t="s">
        <v>53</v>
      </c>
      <c r="E8716" s="13" t="s">
        <v>54</v>
      </c>
      <c r="F8716" s="14"/>
      <c r="G8716" s="15"/>
      <c r="H8716" s="451"/>
      <c r="I8716" s="412"/>
      <c r="J8716" s="16"/>
    </row>
    <row r="8717" spans="1:10" ht="13.5" thickBot="1">
      <c r="A8717" s="27"/>
      <c r="B8717" s="110"/>
      <c r="D8717" s="409"/>
      <c r="E8717" s="13" t="s">
        <v>303</v>
      </c>
      <c r="F8717" s="14"/>
      <c r="G8717" s="543" t="s">
        <v>113</v>
      </c>
      <c r="H8717" s="548">
        <v>1</v>
      </c>
      <c r="I8717" s="412">
        <f>'BAHAN '!G396</f>
        <v>0</v>
      </c>
      <c r="J8717" s="16">
        <f>H8717*I8717</f>
        <v>0</v>
      </c>
    </row>
    <row r="8718" spans="1:10" ht="13.5" thickBot="1">
      <c r="A8718" s="27"/>
      <c r="B8718" s="110"/>
      <c r="D8718" s="417"/>
      <c r="E8718" s="418"/>
      <c r="F8718" s="418"/>
      <c r="G8718" s="419"/>
      <c r="H8718" s="420" t="s">
        <v>64</v>
      </c>
      <c r="I8718" s="421"/>
      <c r="J8718" s="396">
        <f>SUM(J8717)</f>
        <v>0</v>
      </c>
    </row>
    <row r="8719" spans="1:10" ht="13">
      <c r="A8719" s="27"/>
      <c r="B8719" s="110"/>
      <c r="D8719" s="406" t="s">
        <v>65</v>
      </c>
      <c r="E8719" s="13" t="s">
        <v>66</v>
      </c>
      <c r="F8719" s="14"/>
      <c r="G8719" s="15"/>
      <c r="H8719" s="451"/>
      <c r="I8719" s="412"/>
      <c r="J8719" s="16"/>
    </row>
    <row r="8720" spans="1:10" ht="13.5" thickBot="1">
      <c r="A8720" s="27"/>
      <c r="B8720" s="110"/>
      <c r="D8720" s="409"/>
      <c r="E8720" s="13" t="s">
        <v>446</v>
      </c>
      <c r="F8720" s="14"/>
      <c r="G8720" s="543" t="s">
        <v>285</v>
      </c>
      <c r="H8720" s="548">
        <v>1.9E-2</v>
      </c>
      <c r="I8720" s="412">
        <f>Alat!H102</f>
        <v>0</v>
      </c>
      <c r="J8720" s="16">
        <f>H8720*I8720</f>
        <v>0</v>
      </c>
    </row>
    <row r="8721" spans="1:10" ht="13.5" thickBot="1">
      <c r="A8721" s="27"/>
      <c r="B8721" s="110"/>
      <c r="D8721" s="417"/>
      <c r="E8721" s="418"/>
      <c r="F8721" s="418"/>
      <c r="G8721" s="419"/>
      <c r="H8721" s="420" t="s">
        <v>67</v>
      </c>
      <c r="I8721" s="421"/>
      <c r="J8721" s="396">
        <f>J8720</f>
        <v>0</v>
      </c>
    </row>
    <row r="8722" spans="1:10" ht="13">
      <c r="A8722" s="27"/>
      <c r="B8722" s="110"/>
      <c r="D8722" s="444" t="s">
        <v>68</v>
      </c>
      <c r="E8722" s="445" t="s">
        <v>69</v>
      </c>
      <c r="F8722" s="446"/>
      <c r="G8722" s="447"/>
      <c r="H8722" s="448"/>
      <c r="I8722" s="449">
        <f>IF(AND(E8722&lt;&gt;"",G8722&lt;&gt;""),IF(D8722="",IF(G8722="OH",VLOOKUP(E8722,UPAH!$C$4:$H$31,7,0),VLOOKUP(E8722,#REF!,4,0)),0),0)</f>
        <v>0</v>
      </c>
      <c r="J8722" s="16">
        <f>SUM(J8711:J8721)/2</f>
        <v>0</v>
      </c>
    </row>
    <row r="8723" spans="1:10" ht="13.5" thickBot="1">
      <c r="A8723" s="27"/>
      <c r="B8723" s="110"/>
      <c r="D8723" s="431" t="s">
        <v>70</v>
      </c>
      <c r="E8723" s="432" t="s">
        <v>477</v>
      </c>
      <c r="F8723" s="433"/>
      <c r="G8723" s="434"/>
      <c r="H8723" s="22">
        <v>0.1</v>
      </c>
      <c r="I8723" s="436"/>
      <c r="J8723" s="430">
        <f>H8723*J8722</f>
        <v>0</v>
      </c>
    </row>
    <row r="8724" spans="1:10" ht="13.5" thickBot="1">
      <c r="A8724" s="27"/>
      <c r="B8724" s="110"/>
      <c r="D8724" s="401" t="s">
        <v>71</v>
      </c>
      <c r="E8724" s="402" t="s">
        <v>72</v>
      </c>
      <c r="F8724" s="418"/>
      <c r="G8724" s="419"/>
      <c r="H8724" s="442"/>
      <c r="I8724" s="421">
        <f>IF(AND(E8724&lt;&gt;"",G8724&lt;&gt;""),IF(D8724="",IF(G8724="OH",VLOOKUP(E8724,UPAH!$C$4:$H$31,7,0),VLOOKUP(E8724,#REF!,4,0)),0),0)</f>
        <v>0</v>
      </c>
      <c r="J8724" s="396">
        <f>ROUNDDOWN(J8722+J8723,0)</f>
        <v>0</v>
      </c>
    </row>
    <row r="8725" spans="1:10" ht="13">
      <c r="A8725" s="27"/>
      <c r="B8725" s="110"/>
      <c r="D8725" s="11"/>
      <c r="E8725" s="11"/>
      <c r="H8725" s="443"/>
      <c r="I8725" s="17"/>
      <c r="J8725" s="18"/>
    </row>
    <row r="8726" spans="1:10" ht="13.5" thickBot="1">
      <c r="A8726" s="27"/>
      <c r="B8726" s="110"/>
      <c r="C8726" s="11" t="s">
        <v>1464</v>
      </c>
      <c r="D8726" s="10" t="s">
        <v>1477</v>
      </c>
      <c r="H8726" s="443"/>
    </row>
    <row r="8727" spans="1:10" ht="13.5" thickBot="1">
      <c r="A8727" s="27"/>
      <c r="B8727" s="110"/>
      <c r="D8727" s="401" t="s">
        <v>40</v>
      </c>
      <c r="E8727" s="402" t="s">
        <v>41</v>
      </c>
      <c r="F8727" s="402" t="s">
        <v>42</v>
      </c>
      <c r="G8727" s="403" t="s">
        <v>43</v>
      </c>
      <c r="H8727" s="404" t="s">
        <v>44</v>
      </c>
      <c r="I8727" s="402" t="s">
        <v>474</v>
      </c>
      <c r="J8727" s="405" t="s">
        <v>475</v>
      </c>
    </row>
    <row r="8728" spans="1:10" ht="13">
      <c r="A8728" s="27"/>
      <c r="B8728" s="110"/>
      <c r="D8728" s="444" t="s">
        <v>45</v>
      </c>
      <c r="E8728" s="445" t="s">
        <v>46</v>
      </c>
      <c r="F8728" s="446"/>
      <c r="G8728" s="447"/>
      <c r="H8728" s="448"/>
      <c r="I8728" s="449"/>
      <c r="J8728" s="450"/>
    </row>
    <row r="8729" spans="1:10" ht="13">
      <c r="A8729" s="27"/>
      <c r="B8729" s="110"/>
      <c r="D8729" s="409"/>
      <c r="E8729" s="13" t="s">
        <v>47</v>
      </c>
      <c r="F8729" s="13" t="s">
        <v>1918</v>
      </c>
      <c r="G8729" s="543" t="s">
        <v>48</v>
      </c>
      <c r="H8729" s="548">
        <v>0.13300000000000001</v>
      </c>
      <c r="I8729" s="412">
        <f>IF(AND(E8729&lt;&gt;"",G8729&lt;&gt;""),IF(D8729="",IF(G8729="OH",VLOOKUP(F8729,UPAH!$B$4:$H$101,7,0),VLOOKUP(F8729,#REF!,4,0)),0),0)</f>
        <v>0</v>
      </c>
      <c r="J8729" s="16">
        <f>H8729*I8729</f>
        <v>0</v>
      </c>
    </row>
    <row r="8730" spans="1:10" ht="13">
      <c r="A8730" s="27"/>
      <c r="B8730" s="110"/>
      <c r="D8730" s="409"/>
      <c r="E8730" s="13" t="s">
        <v>283</v>
      </c>
      <c r="F8730" s="13" t="s">
        <v>1913</v>
      </c>
      <c r="G8730" s="543" t="s">
        <v>48</v>
      </c>
      <c r="H8730" s="548">
        <v>6.7000000000000004E-2</v>
      </c>
      <c r="I8730" s="412">
        <f>IF(AND(E8730&lt;&gt;"",G8730&lt;&gt;""),IF(D8730="",IF(G8730="OH",VLOOKUP(F8730,UPAH!$B$4:$H$101,7,0),VLOOKUP(F8730,#REF!,4,0)),0),0)</f>
        <v>0</v>
      </c>
      <c r="J8730" s="16">
        <f>H8730*I8730</f>
        <v>0</v>
      </c>
    </row>
    <row r="8731" spans="1:10" ht="13.5" thickBot="1">
      <c r="A8731" s="27"/>
      <c r="B8731" s="110"/>
      <c r="D8731" s="409"/>
      <c r="E8731" s="13" t="s">
        <v>51</v>
      </c>
      <c r="F8731" s="13" t="s">
        <v>1929</v>
      </c>
      <c r="G8731" s="543" t="s">
        <v>48</v>
      </c>
      <c r="H8731" s="548">
        <v>1.2999999999999999E-2</v>
      </c>
      <c r="I8731" s="412">
        <f>IF(AND(E8731&lt;&gt;"",G8731&lt;&gt;""),IF(D8731="",IF(G8731="OH",VLOOKUP(F8731,UPAH!$B$4:$H$101,7,0),VLOOKUP(F8731,#REF!,4,0)),0),0)</f>
        <v>0</v>
      </c>
      <c r="J8731" s="16">
        <f>H8731*I8731</f>
        <v>0</v>
      </c>
    </row>
    <row r="8732" spans="1:10" ht="13.5" thickBot="1">
      <c r="A8732" s="27"/>
      <c r="B8732" s="110"/>
      <c r="D8732" s="417"/>
      <c r="E8732" s="418"/>
      <c r="F8732" s="418"/>
      <c r="G8732" s="419"/>
      <c r="H8732" s="420" t="s">
        <v>52</v>
      </c>
      <c r="I8732" s="421"/>
      <c r="J8732" s="396">
        <f>SUM(J8728:J8731)</f>
        <v>0</v>
      </c>
    </row>
    <row r="8733" spans="1:10" ht="13">
      <c r="A8733" s="27"/>
      <c r="B8733" s="110"/>
      <c r="D8733" s="406" t="s">
        <v>53</v>
      </c>
      <c r="E8733" s="13" t="s">
        <v>54</v>
      </c>
      <c r="F8733" s="14"/>
      <c r="G8733" s="15"/>
      <c r="H8733" s="451"/>
      <c r="I8733" s="412"/>
      <c r="J8733" s="16"/>
    </row>
    <row r="8734" spans="1:10" ht="13.5" thickBot="1">
      <c r="A8734" s="27"/>
      <c r="B8734" s="110"/>
      <c r="D8734" s="409"/>
      <c r="E8734" s="13" t="s">
        <v>304</v>
      </c>
      <c r="F8734" s="14"/>
      <c r="G8734" s="543" t="s">
        <v>113</v>
      </c>
      <c r="H8734" s="548">
        <v>1</v>
      </c>
      <c r="I8734" s="412">
        <f>'BAHAN '!G395</f>
        <v>0</v>
      </c>
      <c r="J8734" s="16">
        <f>H8734*I8734</f>
        <v>0</v>
      </c>
    </row>
    <row r="8735" spans="1:10" ht="13.5" thickBot="1">
      <c r="A8735" s="27"/>
      <c r="B8735" s="110"/>
      <c r="D8735" s="417"/>
      <c r="E8735" s="418"/>
      <c r="F8735" s="418"/>
      <c r="G8735" s="419"/>
      <c r="H8735" s="420" t="s">
        <v>64</v>
      </c>
      <c r="I8735" s="421"/>
      <c r="J8735" s="396">
        <f>SUM(J8734)</f>
        <v>0</v>
      </c>
    </row>
    <row r="8736" spans="1:10" ht="13">
      <c r="A8736" s="27"/>
      <c r="B8736" s="110"/>
      <c r="D8736" s="406" t="s">
        <v>65</v>
      </c>
      <c r="E8736" s="13" t="s">
        <v>66</v>
      </c>
      <c r="F8736" s="14"/>
      <c r="G8736" s="15"/>
      <c r="H8736" s="451"/>
      <c r="I8736" s="412"/>
      <c r="J8736" s="16"/>
    </row>
    <row r="8737" spans="1:10" ht="13.5" thickBot="1">
      <c r="A8737" s="27"/>
      <c r="B8737" s="110"/>
      <c r="D8737" s="409"/>
      <c r="E8737" s="13" t="s">
        <v>446</v>
      </c>
      <c r="F8737" s="14"/>
      <c r="G8737" s="543" t="s">
        <v>285</v>
      </c>
      <c r="H8737" s="548">
        <v>4.2000000000000003E-2</v>
      </c>
      <c r="I8737" s="412">
        <f>Alat!H102</f>
        <v>0</v>
      </c>
      <c r="J8737" s="16">
        <f>H8737*I8737</f>
        <v>0</v>
      </c>
    </row>
    <row r="8738" spans="1:10" ht="13.5" thickBot="1">
      <c r="A8738" s="27"/>
      <c r="B8738" s="110"/>
      <c r="D8738" s="417"/>
      <c r="E8738" s="418"/>
      <c r="F8738" s="418"/>
      <c r="G8738" s="419"/>
      <c r="H8738" s="420" t="s">
        <v>67</v>
      </c>
      <c r="I8738" s="421"/>
      <c r="J8738" s="396">
        <f>J8737</f>
        <v>0</v>
      </c>
    </row>
    <row r="8739" spans="1:10" ht="13">
      <c r="A8739" s="27"/>
      <c r="B8739" s="110"/>
      <c r="D8739" s="444" t="s">
        <v>68</v>
      </c>
      <c r="E8739" s="445" t="s">
        <v>69</v>
      </c>
      <c r="F8739" s="446"/>
      <c r="G8739" s="447"/>
      <c r="H8739" s="448"/>
      <c r="I8739" s="449">
        <f>IF(AND(E8739&lt;&gt;"",G8739&lt;&gt;""),IF(D8739="",IF(G8739="OH",VLOOKUP(E8739,UPAH!$C$4:$H$31,7,0),VLOOKUP(E8739,#REF!,4,0)),0),0)</f>
        <v>0</v>
      </c>
      <c r="J8739" s="16">
        <f>SUM(J8728:J8738)/2</f>
        <v>0</v>
      </c>
    </row>
    <row r="8740" spans="1:10" ht="13.5" thickBot="1">
      <c r="A8740" s="27"/>
      <c r="B8740" s="110"/>
      <c r="D8740" s="431" t="s">
        <v>70</v>
      </c>
      <c r="E8740" s="432" t="s">
        <v>477</v>
      </c>
      <c r="F8740" s="433"/>
      <c r="G8740" s="434"/>
      <c r="H8740" s="22">
        <v>0.1</v>
      </c>
      <c r="I8740" s="436"/>
      <c r="J8740" s="430">
        <f>H8740*J8739</f>
        <v>0</v>
      </c>
    </row>
    <row r="8741" spans="1:10" ht="13.5" thickBot="1">
      <c r="A8741" s="27"/>
      <c r="B8741" s="110"/>
      <c r="D8741" s="401" t="s">
        <v>71</v>
      </c>
      <c r="E8741" s="402" t="s">
        <v>72</v>
      </c>
      <c r="F8741" s="418"/>
      <c r="G8741" s="419"/>
      <c r="H8741" s="442"/>
      <c r="I8741" s="421">
        <f>IF(AND(E8741&lt;&gt;"",G8741&lt;&gt;""),IF(D8741="",IF(G8741="OH",VLOOKUP(E8741,UPAH!$C$4:$H$31,7,0),VLOOKUP(E8741,#REF!,4,0)),0),0)</f>
        <v>0</v>
      </c>
      <c r="J8741" s="396">
        <f>ROUNDDOWN(J8739+J8740,0)</f>
        <v>0</v>
      </c>
    </row>
    <row r="8742" spans="1:10" ht="13">
      <c r="A8742" s="27"/>
      <c r="B8742" s="110"/>
      <c r="D8742" s="11"/>
      <c r="E8742" s="11"/>
      <c r="H8742" s="443"/>
      <c r="I8742" s="17"/>
      <c r="J8742" s="18"/>
    </row>
    <row r="8743" spans="1:10" ht="13.5" thickBot="1">
      <c r="A8743" s="27"/>
      <c r="B8743" s="110"/>
      <c r="C8743" s="11" t="s">
        <v>1463</v>
      </c>
      <c r="D8743" s="10" t="s">
        <v>1478</v>
      </c>
      <c r="H8743" s="443"/>
    </row>
    <row r="8744" spans="1:10" ht="13.5" thickBot="1">
      <c r="A8744" s="27"/>
      <c r="B8744" s="110"/>
      <c r="D8744" s="401" t="s">
        <v>40</v>
      </c>
      <c r="E8744" s="402" t="s">
        <v>41</v>
      </c>
      <c r="F8744" s="402" t="s">
        <v>42</v>
      </c>
      <c r="G8744" s="403" t="s">
        <v>43</v>
      </c>
      <c r="H8744" s="404" t="s">
        <v>44</v>
      </c>
      <c r="I8744" s="402" t="s">
        <v>474</v>
      </c>
      <c r="J8744" s="405" t="s">
        <v>475</v>
      </c>
    </row>
    <row r="8745" spans="1:10" ht="13">
      <c r="A8745" s="27"/>
      <c r="B8745" s="110"/>
      <c r="D8745" s="444" t="s">
        <v>45</v>
      </c>
      <c r="E8745" s="445" t="s">
        <v>46</v>
      </c>
      <c r="F8745" s="446"/>
      <c r="G8745" s="447"/>
      <c r="H8745" s="448"/>
      <c r="I8745" s="449"/>
      <c r="J8745" s="450"/>
    </row>
    <row r="8746" spans="1:10" ht="13">
      <c r="A8746" s="27"/>
      <c r="B8746" s="110"/>
      <c r="D8746" s="409"/>
      <c r="E8746" s="13" t="s">
        <v>47</v>
      </c>
      <c r="F8746" s="13" t="s">
        <v>1918</v>
      </c>
      <c r="G8746" s="543" t="s">
        <v>48</v>
      </c>
      <c r="H8746" s="548">
        <v>0.17</v>
      </c>
      <c r="I8746" s="412">
        <f>IF(AND(E8746&lt;&gt;"",G8746&lt;&gt;""),IF(D8746="",IF(G8746="OH",VLOOKUP(F8746,UPAH!$B$4:$H$101,7,0),VLOOKUP(F8746,#REF!,4,0)),0),0)</f>
        <v>0</v>
      </c>
      <c r="J8746" s="16">
        <f>H8746*I8746</f>
        <v>0</v>
      </c>
    </row>
    <row r="8747" spans="1:10" ht="13">
      <c r="A8747" s="27"/>
      <c r="B8747" s="110"/>
      <c r="D8747" s="409"/>
      <c r="E8747" s="13" t="s">
        <v>283</v>
      </c>
      <c r="F8747" s="13" t="s">
        <v>1913</v>
      </c>
      <c r="G8747" s="543" t="s">
        <v>48</v>
      </c>
      <c r="H8747" s="548">
        <v>8.5000000000000006E-2</v>
      </c>
      <c r="I8747" s="412">
        <f>IF(AND(E8747&lt;&gt;"",G8747&lt;&gt;""),IF(D8747="",IF(G8747="OH",VLOOKUP(F8747,UPAH!$B$4:$H$101,7,0),VLOOKUP(F8747,#REF!,4,0)),0),0)</f>
        <v>0</v>
      </c>
      <c r="J8747" s="16">
        <f>H8747*I8747</f>
        <v>0</v>
      </c>
    </row>
    <row r="8748" spans="1:10" ht="13.5" thickBot="1">
      <c r="A8748" s="27"/>
      <c r="B8748" s="110"/>
      <c r="D8748" s="409"/>
      <c r="E8748" s="13" t="s">
        <v>51</v>
      </c>
      <c r="F8748" s="13" t="s">
        <v>1929</v>
      </c>
      <c r="G8748" s="543" t="s">
        <v>48</v>
      </c>
      <c r="H8748" s="548">
        <v>1.7000000000000001E-2</v>
      </c>
      <c r="I8748" s="412">
        <f>IF(AND(E8748&lt;&gt;"",G8748&lt;&gt;""),IF(D8748="",IF(G8748="OH",VLOOKUP(F8748,UPAH!$B$4:$H$101,7,0),VLOOKUP(F8748,#REF!,4,0)),0),0)</f>
        <v>0</v>
      </c>
      <c r="J8748" s="16">
        <f>H8748*I8748</f>
        <v>0</v>
      </c>
    </row>
    <row r="8749" spans="1:10" ht="13.5" thickBot="1">
      <c r="A8749" s="27"/>
      <c r="B8749" s="110"/>
      <c r="D8749" s="417"/>
      <c r="E8749" s="418"/>
      <c r="F8749" s="418"/>
      <c r="G8749" s="419"/>
      <c r="H8749" s="420" t="s">
        <v>52</v>
      </c>
      <c r="I8749" s="421"/>
      <c r="J8749" s="396">
        <f>SUM(J8745:J8748)</f>
        <v>0</v>
      </c>
    </row>
    <row r="8750" spans="1:10" ht="13">
      <c r="A8750" s="27"/>
      <c r="B8750" s="110"/>
      <c r="D8750" s="406" t="s">
        <v>53</v>
      </c>
      <c r="E8750" s="13" t="s">
        <v>54</v>
      </c>
      <c r="F8750" s="14"/>
      <c r="G8750" s="15"/>
      <c r="H8750" s="451"/>
      <c r="I8750" s="412"/>
      <c r="J8750" s="16"/>
    </row>
    <row r="8751" spans="1:10" ht="13.5" thickBot="1">
      <c r="A8751" s="27"/>
      <c r="B8751" s="110"/>
      <c r="D8751" s="409"/>
      <c r="E8751" s="13" t="s">
        <v>305</v>
      </c>
      <c r="F8751" s="14"/>
      <c r="G8751" s="543" t="s">
        <v>113</v>
      </c>
      <c r="H8751" s="548">
        <v>1</v>
      </c>
      <c r="I8751" s="412">
        <f>'BAHAN '!G394</f>
        <v>0</v>
      </c>
      <c r="J8751" s="16">
        <f>H8751*I8751</f>
        <v>0</v>
      </c>
    </row>
    <row r="8752" spans="1:10" ht="13.5" thickBot="1">
      <c r="A8752" s="27"/>
      <c r="B8752" s="110"/>
      <c r="D8752" s="417"/>
      <c r="E8752" s="418"/>
      <c r="F8752" s="418"/>
      <c r="G8752" s="419"/>
      <c r="H8752" s="420" t="s">
        <v>64</v>
      </c>
      <c r="I8752" s="421"/>
      <c r="J8752" s="396">
        <f>SUM(J8751)</f>
        <v>0</v>
      </c>
    </row>
    <row r="8753" spans="1:10" ht="13">
      <c r="A8753" s="27"/>
      <c r="B8753" s="110"/>
      <c r="D8753" s="406" t="s">
        <v>65</v>
      </c>
      <c r="E8753" s="13" t="s">
        <v>66</v>
      </c>
      <c r="F8753" s="14"/>
      <c r="G8753" s="15"/>
      <c r="H8753" s="451"/>
      <c r="I8753" s="412"/>
      <c r="J8753" s="16"/>
    </row>
    <row r="8754" spans="1:10" ht="13.5" thickBot="1">
      <c r="A8754" s="27"/>
      <c r="B8754" s="110"/>
      <c r="D8754" s="409"/>
      <c r="E8754" s="13" t="s">
        <v>446</v>
      </c>
      <c r="F8754" s="14"/>
      <c r="G8754" s="543" t="s">
        <v>285</v>
      </c>
      <c r="H8754" s="548">
        <v>6.5000000000000002E-2</v>
      </c>
      <c r="I8754" s="412">
        <f>Alat!H102</f>
        <v>0</v>
      </c>
      <c r="J8754" s="16">
        <f>H8754*I8754</f>
        <v>0</v>
      </c>
    </row>
    <row r="8755" spans="1:10" ht="13.5" thickBot="1">
      <c r="A8755" s="27"/>
      <c r="B8755" s="110"/>
      <c r="D8755" s="417"/>
      <c r="E8755" s="418"/>
      <c r="F8755" s="418"/>
      <c r="G8755" s="419"/>
      <c r="H8755" s="420" t="s">
        <v>67</v>
      </c>
      <c r="I8755" s="421"/>
      <c r="J8755" s="396">
        <f>J8754</f>
        <v>0</v>
      </c>
    </row>
    <row r="8756" spans="1:10" ht="13">
      <c r="A8756" s="27"/>
      <c r="B8756" s="110"/>
      <c r="D8756" s="444" t="s">
        <v>68</v>
      </c>
      <c r="E8756" s="445" t="s">
        <v>69</v>
      </c>
      <c r="F8756" s="446"/>
      <c r="G8756" s="447"/>
      <c r="H8756" s="448"/>
      <c r="I8756" s="449">
        <f>IF(AND(E8756&lt;&gt;"",G8756&lt;&gt;""),IF(D8756="",IF(G8756="OH",VLOOKUP(E8756,UPAH!$C$4:$H$31,7,0),VLOOKUP(E8756,#REF!,4,0)),0),0)</f>
        <v>0</v>
      </c>
      <c r="J8756" s="16">
        <f>SUM(J8745:J8755)/2</f>
        <v>0</v>
      </c>
    </row>
    <row r="8757" spans="1:10" ht="13.5" thickBot="1">
      <c r="A8757" s="27"/>
      <c r="B8757" s="110"/>
      <c r="D8757" s="431" t="s">
        <v>70</v>
      </c>
      <c r="E8757" s="432" t="s">
        <v>477</v>
      </c>
      <c r="F8757" s="433"/>
      <c r="G8757" s="434"/>
      <c r="H8757" s="22">
        <v>0.1</v>
      </c>
      <c r="I8757" s="436"/>
      <c r="J8757" s="430">
        <f>H8757*J8756</f>
        <v>0</v>
      </c>
    </row>
    <row r="8758" spans="1:10" ht="13.5" thickBot="1">
      <c r="A8758" s="27"/>
      <c r="B8758" s="110"/>
      <c r="D8758" s="401" t="s">
        <v>71</v>
      </c>
      <c r="E8758" s="402" t="s">
        <v>72</v>
      </c>
      <c r="F8758" s="418"/>
      <c r="G8758" s="419"/>
      <c r="H8758" s="442"/>
      <c r="I8758" s="421">
        <f>IF(AND(E8758&lt;&gt;"",G8758&lt;&gt;""),IF(D8758="",IF(G8758="OH",VLOOKUP(E8758,UPAH!$C$4:$H$31,7,0),VLOOKUP(E8758,#REF!,4,0)),0),0)</f>
        <v>0</v>
      </c>
      <c r="J8758" s="396">
        <f>ROUNDDOWN(J8756+J8757,0)</f>
        <v>0</v>
      </c>
    </row>
    <row r="8759" spans="1:10" ht="13">
      <c r="A8759" s="27"/>
      <c r="B8759" s="110"/>
      <c r="D8759" s="11"/>
      <c r="E8759" s="11"/>
      <c r="H8759" s="443"/>
      <c r="I8759" s="17"/>
      <c r="J8759" s="18"/>
    </row>
    <row r="8760" spans="1:10" ht="13.5" thickBot="1">
      <c r="A8760" s="27"/>
      <c r="B8760" s="110"/>
      <c r="C8760" s="11" t="s">
        <v>1462</v>
      </c>
      <c r="D8760" s="10" t="s">
        <v>1479</v>
      </c>
      <c r="H8760" s="443"/>
    </row>
    <row r="8761" spans="1:10" ht="13.5" thickBot="1">
      <c r="A8761" s="27"/>
      <c r="B8761" s="110"/>
      <c r="D8761" s="401" t="s">
        <v>40</v>
      </c>
      <c r="E8761" s="402" t="s">
        <v>41</v>
      </c>
      <c r="F8761" s="402" t="s">
        <v>42</v>
      </c>
      <c r="G8761" s="403" t="s">
        <v>43</v>
      </c>
      <c r="H8761" s="404" t="s">
        <v>44</v>
      </c>
      <c r="I8761" s="402" t="s">
        <v>474</v>
      </c>
      <c r="J8761" s="405" t="s">
        <v>475</v>
      </c>
    </row>
    <row r="8762" spans="1:10" ht="13">
      <c r="A8762" s="27"/>
      <c r="B8762" s="110"/>
      <c r="D8762" s="444" t="s">
        <v>45</v>
      </c>
      <c r="E8762" s="445" t="s">
        <v>46</v>
      </c>
      <c r="F8762" s="446"/>
      <c r="G8762" s="447"/>
      <c r="H8762" s="448"/>
      <c r="I8762" s="449"/>
      <c r="J8762" s="450"/>
    </row>
    <row r="8763" spans="1:10" ht="13">
      <c r="A8763" s="27"/>
      <c r="B8763" s="110"/>
      <c r="D8763" s="409"/>
      <c r="E8763" s="13" t="s">
        <v>47</v>
      </c>
      <c r="F8763" s="13" t="s">
        <v>1918</v>
      </c>
      <c r="G8763" s="543" t="s">
        <v>48</v>
      </c>
      <c r="H8763" s="548">
        <v>0.28999999999999998</v>
      </c>
      <c r="I8763" s="412">
        <f>IF(AND(E8763&lt;&gt;"",G8763&lt;&gt;""),IF(D8763="",IF(G8763="OH",VLOOKUP(F8763,UPAH!$B$4:$H$101,7,0),VLOOKUP(F8763,#REF!,4,0)),0),0)</f>
        <v>0</v>
      </c>
      <c r="J8763" s="16">
        <f>H8763*I8763</f>
        <v>0</v>
      </c>
    </row>
    <row r="8764" spans="1:10" ht="13">
      <c r="A8764" s="27"/>
      <c r="B8764" s="110"/>
      <c r="D8764" s="409"/>
      <c r="E8764" s="13" t="s">
        <v>283</v>
      </c>
      <c r="F8764" s="13" t="s">
        <v>1913</v>
      </c>
      <c r="G8764" s="543" t="s">
        <v>48</v>
      </c>
      <c r="H8764" s="548">
        <v>0.14499999999999999</v>
      </c>
      <c r="I8764" s="412">
        <f>IF(AND(E8764&lt;&gt;"",G8764&lt;&gt;""),IF(D8764="",IF(G8764="OH",VLOOKUP(F8764,UPAH!$B$4:$H$101,7,0),VLOOKUP(F8764,#REF!,4,0)),0),0)</f>
        <v>0</v>
      </c>
      <c r="J8764" s="16">
        <f>H8764*I8764</f>
        <v>0</v>
      </c>
    </row>
    <row r="8765" spans="1:10" ht="13.5" thickBot="1">
      <c r="A8765" s="27"/>
      <c r="B8765" s="110"/>
      <c r="D8765" s="409"/>
      <c r="E8765" s="13" t="s">
        <v>51</v>
      </c>
      <c r="F8765" s="13" t="s">
        <v>1929</v>
      </c>
      <c r="G8765" s="543" t="s">
        <v>48</v>
      </c>
      <c r="H8765" s="548">
        <v>2.9000000000000001E-2</v>
      </c>
      <c r="I8765" s="412">
        <f>IF(AND(E8765&lt;&gt;"",G8765&lt;&gt;""),IF(D8765="",IF(G8765="OH",VLOOKUP(F8765,UPAH!$B$4:$H$101,7,0),VLOOKUP(F8765,#REF!,4,0)),0),0)</f>
        <v>0</v>
      </c>
      <c r="J8765" s="16">
        <f>H8765*I8765</f>
        <v>0</v>
      </c>
    </row>
    <row r="8766" spans="1:10" ht="13.5" thickBot="1">
      <c r="A8766" s="27"/>
      <c r="B8766" s="110"/>
      <c r="D8766" s="417"/>
      <c r="E8766" s="418"/>
      <c r="F8766" s="418"/>
      <c r="G8766" s="419"/>
      <c r="H8766" s="420" t="s">
        <v>52</v>
      </c>
      <c r="I8766" s="421"/>
      <c r="J8766" s="396">
        <f>SUM(J8762:J8765)</f>
        <v>0</v>
      </c>
    </row>
    <row r="8767" spans="1:10" ht="13">
      <c r="A8767" s="27"/>
      <c r="B8767" s="110"/>
      <c r="D8767" s="406" t="s">
        <v>53</v>
      </c>
      <c r="E8767" s="13" t="s">
        <v>54</v>
      </c>
      <c r="F8767" s="14"/>
      <c r="G8767" s="15"/>
      <c r="H8767" s="451"/>
      <c r="I8767" s="412"/>
      <c r="J8767" s="16"/>
    </row>
    <row r="8768" spans="1:10" ht="13.5" thickBot="1">
      <c r="A8768" s="27"/>
      <c r="B8768" s="110"/>
      <c r="D8768" s="409"/>
      <c r="E8768" s="13" t="s">
        <v>306</v>
      </c>
      <c r="F8768" s="14"/>
      <c r="G8768" s="543" t="s">
        <v>113</v>
      </c>
      <c r="H8768" s="548">
        <v>1</v>
      </c>
      <c r="I8768" s="412">
        <f>'BAHAN '!G392</f>
        <v>0</v>
      </c>
      <c r="J8768" s="16">
        <f>H8768*I8768</f>
        <v>0</v>
      </c>
    </row>
    <row r="8769" spans="1:10" ht="13.5" thickBot="1">
      <c r="A8769" s="27"/>
      <c r="B8769" s="110"/>
      <c r="D8769" s="417"/>
      <c r="E8769" s="418"/>
      <c r="F8769" s="418"/>
      <c r="G8769" s="419"/>
      <c r="H8769" s="420" t="s">
        <v>64</v>
      </c>
      <c r="I8769" s="421"/>
      <c r="J8769" s="396">
        <f>SUM(J8768)</f>
        <v>0</v>
      </c>
    </row>
    <row r="8770" spans="1:10" ht="13">
      <c r="A8770" s="27"/>
      <c r="B8770" s="110"/>
      <c r="D8770" s="406" t="s">
        <v>65</v>
      </c>
      <c r="E8770" s="13" t="s">
        <v>66</v>
      </c>
      <c r="F8770" s="14"/>
      <c r="G8770" s="15"/>
      <c r="H8770" s="451"/>
      <c r="I8770" s="412"/>
      <c r="J8770" s="16"/>
    </row>
    <row r="8771" spans="1:10" ht="13.5" thickBot="1">
      <c r="A8771" s="27"/>
      <c r="B8771" s="110"/>
      <c r="D8771" s="409"/>
      <c r="E8771" s="13" t="s">
        <v>446</v>
      </c>
      <c r="F8771" s="14"/>
      <c r="G8771" s="543" t="s">
        <v>285</v>
      </c>
      <c r="H8771" s="548">
        <v>0.152</v>
      </c>
      <c r="I8771" s="412">
        <f>Alat!H102</f>
        <v>0</v>
      </c>
      <c r="J8771" s="16">
        <f>H8771*I8771</f>
        <v>0</v>
      </c>
    </row>
    <row r="8772" spans="1:10" ht="13.5" thickBot="1">
      <c r="A8772" s="27"/>
      <c r="B8772" s="110"/>
      <c r="D8772" s="417"/>
      <c r="E8772" s="418"/>
      <c r="F8772" s="418"/>
      <c r="G8772" s="419"/>
      <c r="H8772" s="420" t="s">
        <v>67</v>
      </c>
      <c r="I8772" s="421"/>
      <c r="J8772" s="396">
        <f>J8771</f>
        <v>0</v>
      </c>
    </row>
    <row r="8773" spans="1:10" ht="13">
      <c r="A8773" s="27"/>
      <c r="B8773" s="110"/>
      <c r="D8773" s="444" t="s">
        <v>68</v>
      </c>
      <c r="E8773" s="445" t="s">
        <v>69</v>
      </c>
      <c r="F8773" s="446"/>
      <c r="G8773" s="447"/>
      <c r="H8773" s="448"/>
      <c r="I8773" s="449">
        <f>IF(AND(E8773&lt;&gt;"",G8773&lt;&gt;""),IF(D8773="",IF(G8773="OH",VLOOKUP(E8773,UPAH!$C$4:$H$31,7,0),VLOOKUP(E8773,#REF!,4,0)),0),0)</f>
        <v>0</v>
      </c>
      <c r="J8773" s="16">
        <f>SUM(J8762:J8772)/2</f>
        <v>0</v>
      </c>
    </row>
    <row r="8774" spans="1:10" ht="13.5" thickBot="1">
      <c r="A8774" s="27"/>
      <c r="B8774" s="110"/>
      <c r="D8774" s="431" t="s">
        <v>70</v>
      </c>
      <c r="E8774" s="432" t="s">
        <v>477</v>
      </c>
      <c r="F8774" s="433"/>
      <c r="G8774" s="434"/>
      <c r="H8774" s="22">
        <v>0.1</v>
      </c>
      <c r="I8774" s="436"/>
      <c r="J8774" s="430">
        <f>H8774*J8773</f>
        <v>0</v>
      </c>
    </row>
    <row r="8775" spans="1:10" ht="13.5" thickBot="1">
      <c r="A8775" s="27"/>
      <c r="B8775" s="110"/>
      <c r="D8775" s="401" t="s">
        <v>71</v>
      </c>
      <c r="E8775" s="402" t="s">
        <v>72</v>
      </c>
      <c r="F8775" s="418"/>
      <c r="G8775" s="419"/>
      <c r="H8775" s="442"/>
      <c r="I8775" s="421">
        <f>IF(AND(E8775&lt;&gt;"",G8775&lt;&gt;""),IF(D8775="",IF(G8775="OH",VLOOKUP(E8775,UPAH!$C$4:$H$31,7,0),VLOOKUP(E8775,#REF!,4,0)),0),0)</f>
        <v>0</v>
      </c>
      <c r="J8775" s="396">
        <f>ROUNDDOWN(J8773+J8774,0)</f>
        <v>0</v>
      </c>
    </row>
    <row r="8776" spans="1:10" ht="13">
      <c r="A8776" s="27"/>
      <c r="B8776" s="110"/>
      <c r="D8776" s="11"/>
      <c r="E8776" s="11"/>
      <c r="H8776" s="443"/>
      <c r="I8776" s="17"/>
      <c r="J8776" s="18"/>
    </row>
    <row r="8777" spans="1:10" ht="13.5" thickBot="1">
      <c r="A8777" s="27"/>
      <c r="B8777" s="110"/>
      <c r="C8777" s="11" t="s">
        <v>1461</v>
      </c>
      <c r="D8777" s="10" t="s">
        <v>1480</v>
      </c>
      <c r="H8777" s="443"/>
    </row>
    <row r="8778" spans="1:10" ht="13.5" thickBot="1">
      <c r="A8778" s="27"/>
      <c r="B8778" s="110"/>
      <c r="D8778" s="401" t="s">
        <v>40</v>
      </c>
      <c r="E8778" s="402" t="s">
        <v>41</v>
      </c>
      <c r="F8778" s="402" t="s">
        <v>42</v>
      </c>
      <c r="G8778" s="403" t="s">
        <v>43</v>
      </c>
      <c r="H8778" s="404" t="s">
        <v>44</v>
      </c>
      <c r="I8778" s="402" t="s">
        <v>474</v>
      </c>
      <c r="J8778" s="405" t="s">
        <v>475</v>
      </c>
    </row>
    <row r="8779" spans="1:10" ht="13">
      <c r="A8779" s="27"/>
      <c r="B8779" s="110"/>
      <c r="D8779" s="444" t="s">
        <v>45</v>
      </c>
      <c r="E8779" s="445" t="s">
        <v>46</v>
      </c>
      <c r="F8779" s="446"/>
      <c r="G8779" s="447"/>
      <c r="H8779" s="448"/>
      <c r="I8779" s="449"/>
      <c r="J8779" s="450"/>
    </row>
    <row r="8780" spans="1:10" ht="13">
      <c r="A8780" s="27"/>
      <c r="B8780" s="110"/>
      <c r="D8780" s="409"/>
      <c r="E8780" s="13" t="s">
        <v>47</v>
      </c>
      <c r="F8780" s="13" t="s">
        <v>1918</v>
      </c>
      <c r="G8780" s="543" t="s">
        <v>48</v>
      </c>
      <c r="H8780" s="548">
        <v>0.35899999999999999</v>
      </c>
      <c r="I8780" s="412">
        <f>IF(AND(E8780&lt;&gt;"",G8780&lt;&gt;""),IF(D8780="",IF(G8780="OH",VLOOKUP(F8780,UPAH!$B$4:$H$101,7,0),VLOOKUP(F8780,#REF!,4,0)),0),0)</f>
        <v>0</v>
      </c>
      <c r="J8780" s="16">
        <f>H8780*I8780</f>
        <v>0</v>
      </c>
    </row>
    <row r="8781" spans="1:10" ht="13">
      <c r="A8781" s="27"/>
      <c r="B8781" s="110"/>
      <c r="D8781" s="409"/>
      <c r="E8781" s="13" t="s">
        <v>283</v>
      </c>
      <c r="F8781" s="13" t="s">
        <v>1913</v>
      </c>
      <c r="G8781" s="543" t="s">
        <v>48</v>
      </c>
      <c r="H8781" s="548">
        <v>0.18</v>
      </c>
      <c r="I8781" s="412">
        <f>IF(AND(E8781&lt;&gt;"",G8781&lt;&gt;""),IF(D8781="",IF(G8781="OH",VLOOKUP(F8781,UPAH!$B$4:$H$101,7,0),VLOOKUP(F8781,#REF!,4,0)),0),0)</f>
        <v>0</v>
      </c>
      <c r="J8781" s="16">
        <f>H8781*I8781</f>
        <v>0</v>
      </c>
    </row>
    <row r="8782" spans="1:10" ht="13.5" thickBot="1">
      <c r="A8782" s="27"/>
      <c r="B8782" s="110"/>
      <c r="D8782" s="409"/>
      <c r="E8782" s="13" t="s">
        <v>51</v>
      </c>
      <c r="F8782" s="13" t="s">
        <v>1929</v>
      </c>
      <c r="G8782" s="543" t="s">
        <v>48</v>
      </c>
      <c r="H8782" s="548">
        <v>3.5999999999999997E-2</v>
      </c>
      <c r="I8782" s="412">
        <f>IF(AND(E8782&lt;&gt;"",G8782&lt;&gt;""),IF(D8782="",IF(G8782="OH",VLOOKUP(F8782,UPAH!$B$4:$H$101,7,0),VLOOKUP(F8782,#REF!,4,0)),0),0)</f>
        <v>0</v>
      </c>
      <c r="J8782" s="16">
        <f>H8782*I8782</f>
        <v>0</v>
      </c>
    </row>
    <row r="8783" spans="1:10" ht="13.5" thickBot="1">
      <c r="A8783" s="27"/>
      <c r="B8783" s="110"/>
      <c r="D8783" s="417"/>
      <c r="E8783" s="418"/>
      <c r="F8783" s="418"/>
      <c r="G8783" s="419"/>
      <c r="H8783" s="420" t="s">
        <v>52</v>
      </c>
      <c r="I8783" s="421"/>
      <c r="J8783" s="396">
        <f>SUM(J8779:J8782)</f>
        <v>0</v>
      </c>
    </row>
    <row r="8784" spans="1:10" ht="13">
      <c r="A8784" s="27"/>
      <c r="B8784" s="110"/>
      <c r="D8784" s="406" t="s">
        <v>53</v>
      </c>
      <c r="E8784" s="13" t="s">
        <v>54</v>
      </c>
      <c r="F8784" s="14"/>
      <c r="G8784" s="15"/>
      <c r="H8784" s="451"/>
      <c r="I8784" s="412"/>
      <c r="J8784" s="16"/>
    </row>
    <row r="8785" spans="1:10" ht="13.5" thickBot="1">
      <c r="A8785" s="27"/>
      <c r="B8785" s="110"/>
      <c r="D8785" s="409"/>
      <c r="E8785" s="13" t="s">
        <v>307</v>
      </c>
      <c r="F8785" s="14"/>
      <c r="G8785" s="543" t="s">
        <v>113</v>
      </c>
      <c r="H8785" s="548">
        <v>1</v>
      </c>
      <c r="I8785" s="412">
        <f>'BAHAN '!G391</f>
        <v>0</v>
      </c>
      <c r="J8785" s="16">
        <f>H8785*I8785</f>
        <v>0</v>
      </c>
    </row>
    <row r="8786" spans="1:10" ht="13.5" thickBot="1">
      <c r="A8786" s="27"/>
      <c r="B8786" s="110"/>
      <c r="D8786" s="417"/>
      <c r="E8786" s="418"/>
      <c r="F8786" s="418"/>
      <c r="G8786" s="419"/>
      <c r="H8786" s="420" t="s">
        <v>64</v>
      </c>
      <c r="I8786" s="421"/>
      <c r="J8786" s="396">
        <f>SUM(J8785)</f>
        <v>0</v>
      </c>
    </row>
    <row r="8787" spans="1:10" ht="13">
      <c r="A8787" s="27"/>
      <c r="B8787" s="110"/>
      <c r="D8787" s="406" t="s">
        <v>65</v>
      </c>
      <c r="E8787" s="13" t="s">
        <v>66</v>
      </c>
      <c r="F8787" s="14"/>
      <c r="G8787" s="15"/>
      <c r="H8787" s="451"/>
      <c r="I8787" s="412"/>
      <c r="J8787" s="16"/>
    </row>
    <row r="8788" spans="1:10" ht="13.5" thickBot="1">
      <c r="A8788" s="27"/>
      <c r="B8788" s="110"/>
      <c r="D8788" s="409"/>
      <c r="E8788" s="13" t="s">
        <v>446</v>
      </c>
      <c r="F8788" s="14"/>
      <c r="G8788" s="543" t="s">
        <v>285</v>
      </c>
      <c r="H8788" s="548">
        <v>0.2</v>
      </c>
      <c r="I8788" s="412">
        <f>Alat!H102</f>
        <v>0</v>
      </c>
      <c r="J8788" s="16">
        <f>H8788*I8788</f>
        <v>0</v>
      </c>
    </row>
    <row r="8789" spans="1:10" ht="13.5" thickBot="1">
      <c r="A8789" s="27"/>
      <c r="B8789" s="110"/>
      <c r="D8789" s="417"/>
      <c r="E8789" s="418"/>
      <c r="F8789" s="418"/>
      <c r="G8789" s="419"/>
      <c r="H8789" s="420" t="s">
        <v>67</v>
      </c>
      <c r="I8789" s="421"/>
      <c r="J8789" s="396">
        <f>J8788</f>
        <v>0</v>
      </c>
    </row>
    <row r="8790" spans="1:10" ht="13">
      <c r="A8790" s="27"/>
      <c r="B8790" s="110"/>
      <c r="D8790" s="444" t="s">
        <v>68</v>
      </c>
      <c r="E8790" s="445" t="s">
        <v>69</v>
      </c>
      <c r="F8790" s="446"/>
      <c r="G8790" s="447"/>
      <c r="H8790" s="448"/>
      <c r="I8790" s="449">
        <f>IF(AND(E8790&lt;&gt;"",G8790&lt;&gt;""),IF(D8790="",IF(G8790="OH",VLOOKUP(E8790,UPAH!$C$4:$H$31,7,0),VLOOKUP(E8790,#REF!,4,0)),0),0)</f>
        <v>0</v>
      </c>
      <c r="J8790" s="16">
        <f>SUM(J8779:J8789)/2</f>
        <v>0</v>
      </c>
    </row>
    <row r="8791" spans="1:10" ht="13.5" thickBot="1">
      <c r="A8791" s="27"/>
      <c r="B8791" s="110"/>
      <c r="D8791" s="431" t="s">
        <v>70</v>
      </c>
      <c r="E8791" s="432" t="s">
        <v>477</v>
      </c>
      <c r="F8791" s="433"/>
      <c r="G8791" s="434"/>
      <c r="H8791" s="22">
        <v>0.1</v>
      </c>
      <c r="I8791" s="436"/>
      <c r="J8791" s="430">
        <f>H8791*J8790</f>
        <v>0</v>
      </c>
    </row>
    <row r="8792" spans="1:10" ht="13.5" thickBot="1">
      <c r="A8792" s="27"/>
      <c r="B8792" s="110"/>
      <c r="D8792" s="401" t="s">
        <v>71</v>
      </c>
      <c r="E8792" s="402" t="s">
        <v>72</v>
      </c>
      <c r="F8792" s="418"/>
      <c r="G8792" s="419"/>
      <c r="H8792" s="442"/>
      <c r="I8792" s="421">
        <f>IF(AND(E8792&lt;&gt;"",G8792&lt;&gt;""),IF(D8792="",IF(G8792="OH",VLOOKUP(E8792,UPAH!$C$4:$H$31,7,0),VLOOKUP(E8792,#REF!,4,0)),0),0)</f>
        <v>0</v>
      </c>
      <c r="J8792" s="396">
        <f>ROUNDDOWN(J8790+J8791,0)</f>
        <v>0</v>
      </c>
    </row>
    <row r="8793" spans="1:10" ht="13">
      <c r="A8793" s="27"/>
      <c r="B8793" s="110"/>
      <c r="D8793" s="11"/>
      <c r="E8793" s="11"/>
      <c r="H8793" s="443"/>
      <c r="I8793" s="17"/>
      <c r="J8793" s="18"/>
    </row>
    <row r="8794" spans="1:10" ht="13.5" thickBot="1">
      <c r="A8794" s="27"/>
      <c r="B8794" s="110"/>
      <c r="C8794" s="11" t="s">
        <v>1460</v>
      </c>
      <c r="D8794" s="10" t="s">
        <v>1481</v>
      </c>
      <c r="H8794" s="443"/>
    </row>
    <row r="8795" spans="1:10" ht="13.5" thickBot="1">
      <c r="A8795" s="27"/>
      <c r="B8795" s="110"/>
      <c r="D8795" s="401" t="s">
        <v>40</v>
      </c>
      <c r="E8795" s="402" t="s">
        <v>41</v>
      </c>
      <c r="F8795" s="402" t="s">
        <v>42</v>
      </c>
      <c r="G8795" s="403" t="s">
        <v>43</v>
      </c>
      <c r="H8795" s="404" t="s">
        <v>44</v>
      </c>
      <c r="I8795" s="402" t="s">
        <v>474</v>
      </c>
      <c r="J8795" s="405" t="s">
        <v>475</v>
      </c>
    </row>
    <row r="8796" spans="1:10" ht="13">
      <c r="A8796" s="27"/>
      <c r="B8796" s="110"/>
      <c r="D8796" s="444" t="s">
        <v>45</v>
      </c>
      <c r="E8796" s="445" t="s">
        <v>46</v>
      </c>
      <c r="F8796" s="446"/>
      <c r="G8796" s="447"/>
      <c r="H8796" s="448"/>
      <c r="I8796" s="449"/>
      <c r="J8796" s="450"/>
    </row>
    <row r="8797" spans="1:10" ht="13">
      <c r="A8797" s="27"/>
      <c r="B8797" s="110"/>
      <c r="D8797" s="409"/>
      <c r="E8797" s="13" t="s">
        <v>47</v>
      </c>
      <c r="F8797" s="13" t="s">
        <v>1918</v>
      </c>
      <c r="G8797" s="543" t="s">
        <v>48</v>
      </c>
      <c r="H8797" s="548">
        <v>0.433</v>
      </c>
      <c r="I8797" s="412">
        <f>IF(AND(E8797&lt;&gt;"",G8797&lt;&gt;""),IF(D8797="",IF(G8797="OH",VLOOKUP(F8797,UPAH!$B$4:$H$101,7,0),VLOOKUP(F8797,#REF!,4,0)),0),0)</f>
        <v>0</v>
      </c>
      <c r="J8797" s="16">
        <f>H8797*I8797</f>
        <v>0</v>
      </c>
    </row>
    <row r="8798" spans="1:10" ht="13">
      <c r="A8798" s="27"/>
      <c r="B8798" s="110"/>
      <c r="D8798" s="409"/>
      <c r="E8798" s="13" t="s">
        <v>283</v>
      </c>
      <c r="F8798" s="13" t="s">
        <v>1913</v>
      </c>
      <c r="G8798" s="543" t="s">
        <v>48</v>
      </c>
      <c r="H8798" s="548">
        <v>0.216</v>
      </c>
      <c r="I8798" s="412">
        <f>IF(AND(E8798&lt;&gt;"",G8798&lt;&gt;""),IF(D8798="",IF(G8798="OH",VLOOKUP(F8798,UPAH!$B$4:$H$101,7,0),VLOOKUP(F8798,#REF!,4,0)),0),0)</f>
        <v>0</v>
      </c>
      <c r="J8798" s="16">
        <f>H8798*I8798</f>
        <v>0</v>
      </c>
    </row>
    <row r="8799" spans="1:10" ht="13.5" thickBot="1">
      <c r="A8799" s="27"/>
      <c r="B8799" s="110"/>
      <c r="D8799" s="409"/>
      <c r="E8799" s="13" t="s">
        <v>51</v>
      </c>
      <c r="F8799" s="13" t="s">
        <v>1929</v>
      </c>
      <c r="G8799" s="543" t="s">
        <v>48</v>
      </c>
      <c r="H8799" s="548">
        <v>4.2999999999999997E-2</v>
      </c>
      <c r="I8799" s="412">
        <f>IF(AND(E8799&lt;&gt;"",G8799&lt;&gt;""),IF(D8799="",IF(G8799="OH",VLOOKUP(F8799,UPAH!$B$4:$H$101,7,0),VLOOKUP(F8799,#REF!,4,0)),0),0)</f>
        <v>0</v>
      </c>
      <c r="J8799" s="16">
        <f>H8799*I8799</f>
        <v>0</v>
      </c>
    </row>
    <row r="8800" spans="1:10" ht="13.5" thickBot="1">
      <c r="A8800" s="27"/>
      <c r="B8800" s="110"/>
      <c r="D8800" s="417"/>
      <c r="E8800" s="418"/>
      <c r="F8800" s="418"/>
      <c r="G8800" s="419"/>
      <c r="H8800" s="420" t="s">
        <v>52</v>
      </c>
      <c r="I8800" s="421"/>
      <c r="J8800" s="396">
        <f>SUM(J8796:J8799)</f>
        <v>0</v>
      </c>
    </row>
    <row r="8801" spans="1:10" ht="13">
      <c r="A8801" s="27"/>
      <c r="B8801" s="110"/>
      <c r="D8801" s="406" t="s">
        <v>53</v>
      </c>
      <c r="E8801" s="13" t="s">
        <v>54</v>
      </c>
      <c r="F8801" s="14"/>
      <c r="G8801" s="15"/>
      <c r="H8801" s="451"/>
      <c r="I8801" s="412"/>
      <c r="J8801" s="16"/>
    </row>
    <row r="8802" spans="1:10" ht="13.5" thickBot="1">
      <c r="A8802" s="27"/>
      <c r="B8802" s="110"/>
      <c r="D8802" s="409"/>
      <c r="E8802" s="13" t="s">
        <v>308</v>
      </c>
      <c r="F8802" s="14"/>
      <c r="G8802" s="543" t="s">
        <v>113</v>
      </c>
      <c r="H8802" s="548">
        <v>1</v>
      </c>
      <c r="I8802" s="412">
        <f>'BAHAN '!G390</f>
        <v>0</v>
      </c>
      <c r="J8802" s="16">
        <f>H8802*I8802</f>
        <v>0</v>
      </c>
    </row>
    <row r="8803" spans="1:10" ht="13.5" thickBot="1">
      <c r="A8803" s="27"/>
      <c r="B8803" s="110"/>
      <c r="D8803" s="417"/>
      <c r="E8803" s="418"/>
      <c r="F8803" s="418"/>
      <c r="G8803" s="419"/>
      <c r="H8803" s="420" t="s">
        <v>64</v>
      </c>
      <c r="I8803" s="421"/>
      <c r="J8803" s="396">
        <f>SUM(J8802)</f>
        <v>0</v>
      </c>
    </row>
    <row r="8804" spans="1:10" ht="13">
      <c r="A8804" s="27"/>
      <c r="B8804" s="110"/>
      <c r="D8804" s="406" t="s">
        <v>65</v>
      </c>
      <c r="E8804" s="13" t="s">
        <v>66</v>
      </c>
      <c r="F8804" s="14"/>
      <c r="G8804" s="15"/>
      <c r="H8804" s="451"/>
      <c r="I8804" s="412"/>
      <c r="J8804" s="16"/>
    </row>
    <row r="8805" spans="1:10" ht="13.5" thickBot="1">
      <c r="A8805" s="27"/>
      <c r="B8805" s="110"/>
      <c r="D8805" s="409"/>
      <c r="E8805" s="13" t="s">
        <v>446</v>
      </c>
      <c r="F8805" s="14"/>
      <c r="G8805" s="543" t="s">
        <v>285</v>
      </c>
      <c r="H8805" s="548">
        <v>0.251</v>
      </c>
      <c r="I8805" s="412">
        <f>Alat!H102</f>
        <v>0</v>
      </c>
      <c r="J8805" s="16">
        <f>H8805*I8805</f>
        <v>0</v>
      </c>
    </row>
    <row r="8806" spans="1:10" ht="13.5" thickBot="1">
      <c r="A8806" s="27"/>
      <c r="B8806" s="110"/>
      <c r="D8806" s="417"/>
      <c r="E8806" s="418"/>
      <c r="F8806" s="418"/>
      <c r="G8806" s="419"/>
      <c r="H8806" s="420" t="s">
        <v>67</v>
      </c>
      <c r="I8806" s="421"/>
      <c r="J8806" s="396">
        <f>J8805</f>
        <v>0</v>
      </c>
    </row>
    <row r="8807" spans="1:10" ht="13">
      <c r="A8807" s="27"/>
      <c r="B8807" s="110"/>
      <c r="D8807" s="444" t="s">
        <v>68</v>
      </c>
      <c r="E8807" s="445" t="s">
        <v>69</v>
      </c>
      <c r="F8807" s="446"/>
      <c r="G8807" s="447"/>
      <c r="H8807" s="448"/>
      <c r="I8807" s="449">
        <f>IF(AND(E8807&lt;&gt;"",G8807&lt;&gt;""),IF(D8807="",IF(G8807="OH",VLOOKUP(E8807,UPAH!$C$4:$H$31,7,0),VLOOKUP(E8807,#REF!,4,0)),0),0)</f>
        <v>0</v>
      </c>
      <c r="J8807" s="16">
        <f>SUM(J8796:J8806)/2</f>
        <v>0</v>
      </c>
    </row>
    <row r="8808" spans="1:10" ht="13.5" thickBot="1">
      <c r="A8808" s="27"/>
      <c r="B8808" s="110"/>
      <c r="D8808" s="431" t="s">
        <v>70</v>
      </c>
      <c r="E8808" s="432" t="s">
        <v>477</v>
      </c>
      <c r="F8808" s="433"/>
      <c r="G8808" s="434"/>
      <c r="H8808" s="22">
        <v>0.1</v>
      </c>
      <c r="I8808" s="436"/>
      <c r="J8808" s="430">
        <f>H8808*J8807</f>
        <v>0</v>
      </c>
    </row>
    <row r="8809" spans="1:10" ht="13.5" thickBot="1">
      <c r="A8809" s="27"/>
      <c r="B8809" s="110"/>
      <c r="D8809" s="401" t="s">
        <v>71</v>
      </c>
      <c r="E8809" s="402" t="s">
        <v>72</v>
      </c>
      <c r="F8809" s="418"/>
      <c r="G8809" s="419"/>
      <c r="H8809" s="442"/>
      <c r="I8809" s="421">
        <f>IF(AND(E8809&lt;&gt;"",G8809&lt;&gt;""),IF(D8809="",IF(G8809="OH",VLOOKUP(E8809,UPAH!$C$4:$H$31,7,0),VLOOKUP(E8809,#REF!,4,0)),0),0)</f>
        <v>0</v>
      </c>
      <c r="J8809" s="396">
        <f>ROUNDDOWN(J8807+J8808,0)</f>
        <v>0</v>
      </c>
    </row>
    <row r="8810" spans="1:10" ht="13">
      <c r="A8810" s="27"/>
      <c r="B8810" s="110"/>
      <c r="D8810" s="11"/>
      <c r="E8810" s="11"/>
      <c r="H8810" s="443"/>
      <c r="I8810" s="17"/>
      <c r="J8810" s="18"/>
    </row>
    <row r="8811" spans="1:10" ht="13.5" thickBot="1">
      <c r="A8811" s="27"/>
      <c r="B8811" s="110"/>
      <c r="C8811" s="11" t="s">
        <v>1459</v>
      </c>
      <c r="D8811" s="10" t="s">
        <v>1482</v>
      </c>
      <c r="H8811" s="443"/>
    </row>
    <row r="8812" spans="1:10" ht="13.5" thickBot="1">
      <c r="A8812" s="27"/>
      <c r="B8812" s="110"/>
      <c r="D8812" s="401" t="s">
        <v>40</v>
      </c>
      <c r="E8812" s="402" t="s">
        <v>41</v>
      </c>
      <c r="F8812" s="402" t="s">
        <v>42</v>
      </c>
      <c r="G8812" s="403" t="s">
        <v>43</v>
      </c>
      <c r="H8812" s="404" t="s">
        <v>44</v>
      </c>
      <c r="I8812" s="402" t="s">
        <v>474</v>
      </c>
      <c r="J8812" s="405" t="s">
        <v>475</v>
      </c>
    </row>
    <row r="8813" spans="1:10" ht="13">
      <c r="A8813" s="27"/>
      <c r="B8813" s="110"/>
      <c r="D8813" s="444" t="s">
        <v>45</v>
      </c>
      <c r="E8813" s="445" t="s">
        <v>46</v>
      </c>
      <c r="F8813" s="446"/>
      <c r="G8813" s="447"/>
      <c r="H8813" s="448"/>
      <c r="I8813" s="449"/>
      <c r="J8813" s="450"/>
    </row>
    <row r="8814" spans="1:10" ht="13">
      <c r="A8814" s="27"/>
      <c r="B8814" s="110"/>
      <c r="D8814" s="409"/>
      <c r="E8814" s="13" t="s">
        <v>47</v>
      </c>
      <c r="F8814" s="13" t="s">
        <v>1918</v>
      </c>
      <c r="G8814" s="543" t="s">
        <v>48</v>
      </c>
      <c r="H8814" s="548">
        <v>0.51200000000000001</v>
      </c>
      <c r="I8814" s="412">
        <f>IF(AND(E8814&lt;&gt;"",G8814&lt;&gt;""),IF(D8814="",IF(G8814="OH",VLOOKUP(F8814,UPAH!$B$4:$H$101,7,0),VLOOKUP(F8814,#REF!,4,0)),0),0)</f>
        <v>0</v>
      </c>
      <c r="J8814" s="16">
        <f>H8814*I8814</f>
        <v>0</v>
      </c>
    </row>
    <row r="8815" spans="1:10" ht="13">
      <c r="A8815" s="27"/>
      <c r="B8815" s="110"/>
      <c r="D8815" s="409"/>
      <c r="E8815" s="13" t="s">
        <v>283</v>
      </c>
      <c r="F8815" s="13" t="s">
        <v>1913</v>
      </c>
      <c r="G8815" s="543" t="s">
        <v>48</v>
      </c>
      <c r="H8815" s="548">
        <v>0.25600000000000001</v>
      </c>
      <c r="I8815" s="412">
        <f>IF(AND(E8815&lt;&gt;"",G8815&lt;&gt;""),IF(D8815="",IF(G8815="OH",VLOOKUP(F8815,UPAH!$B$4:$H$101,7,0),VLOOKUP(F8815,#REF!,4,0)),0),0)</f>
        <v>0</v>
      </c>
      <c r="J8815" s="16">
        <f>H8815*I8815</f>
        <v>0</v>
      </c>
    </row>
    <row r="8816" spans="1:10" ht="13.5" thickBot="1">
      <c r="A8816" s="27"/>
      <c r="B8816" s="110"/>
      <c r="D8816" s="409"/>
      <c r="E8816" s="13" t="s">
        <v>51</v>
      </c>
      <c r="F8816" s="13" t="s">
        <v>1929</v>
      </c>
      <c r="G8816" s="543" t="s">
        <v>48</v>
      </c>
      <c r="H8816" s="548">
        <v>5.0999999999999997E-2</v>
      </c>
      <c r="I8816" s="412">
        <f>IF(AND(E8816&lt;&gt;"",G8816&lt;&gt;""),IF(D8816="",IF(G8816="OH",VLOOKUP(F8816,UPAH!$B$4:$H$101,7,0),VLOOKUP(F8816,#REF!,4,0)),0),0)</f>
        <v>0</v>
      </c>
      <c r="J8816" s="16">
        <f>H8816*I8816</f>
        <v>0</v>
      </c>
    </row>
    <row r="8817" spans="1:10" ht="13.5" thickBot="1">
      <c r="A8817" s="27"/>
      <c r="B8817" s="110"/>
      <c r="D8817" s="417"/>
      <c r="E8817" s="418"/>
      <c r="F8817" s="418"/>
      <c r="G8817" s="419"/>
      <c r="H8817" s="420" t="s">
        <v>52</v>
      </c>
      <c r="I8817" s="421"/>
      <c r="J8817" s="396">
        <f>SUM(J8813:J8816)</f>
        <v>0</v>
      </c>
    </row>
    <row r="8818" spans="1:10" ht="13">
      <c r="A8818" s="27"/>
      <c r="B8818" s="110"/>
      <c r="D8818" s="406" t="s">
        <v>53</v>
      </c>
      <c r="E8818" s="13" t="s">
        <v>54</v>
      </c>
      <c r="F8818" s="14"/>
      <c r="G8818" s="15"/>
      <c r="H8818" s="451"/>
      <c r="I8818" s="412"/>
      <c r="J8818" s="16"/>
    </row>
    <row r="8819" spans="1:10" ht="13.5" thickBot="1">
      <c r="A8819" s="27"/>
      <c r="B8819" s="110"/>
      <c r="D8819" s="409"/>
      <c r="E8819" s="13" t="s">
        <v>348</v>
      </c>
      <c r="F8819" s="14"/>
      <c r="G8819" s="543" t="s">
        <v>113</v>
      </c>
      <c r="H8819" s="548">
        <v>1</v>
      </c>
      <c r="I8819" s="412">
        <f>'BAHAN '!G388</f>
        <v>0</v>
      </c>
      <c r="J8819" s="16">
        <f>H8819*I8819</f>
        <v>0</v>
      </c>
    </row>
    <row r="8820" spans="1:10" ht="13.5" thickBot="1">
      <c r="A8820" s="27"/>
      <c r="B8820" s="110"/>
      <c r="D8820" s="417"/>
      <c r="E8820" s="418"/>
      <c r="F8820" s="418"/>
      <c r="G8820" s="419"/>
      <c r="H8820" s="420" t="s">
        <v>64</v>
      </c>
      <c r="I8820" s="421"/>
      <c r="J8820" s="396">
        <f>SUM(J8819)</f>
        <v>0</v>
      </c>
    </row>
    <row r="8821" spans="1:10" ht="13">
      <c r="A8821" s="27"/>
      <c r="B8821" s="110"/>
      <c r="D8821" s="406" t="s">
        <v>65</v>
      </c>
      <c r="E8821" s="13" t="s">
        <v>66</v>
      </c>
      <c r="F8821" s="14"/>
      <c r="G8821" s="15"/>
      <c r="H8821" s="451"/>
      <c r="I8821" s="412"/>
      <c r="J8821" s="16"/>
    </row>
    <row r="8822" spans="1:10" ht="13.5" thickBot="1">
      <c r="A8822" s="27"/>
      <c r="B8822" s="110"/>
      <c r="D8822" s="409"/>
      <c r="E8822" s="13" t="s">
        <v>446</v>
      </c>
      <c r="F8822" s="14"/>
      <c r="G8822" s="543" t="s">
        <v>285</v>
      </c>
      <c r="H8822" s="548">
        <v>0.307</v>
      </c>
      <c r="I8822" s="412">
        <f>Alat!H102</f>
        <v>0</v>
      </c>
      <c r="J8822" s="16">
        <f>H8822*I8822</f>
        <v>0</v>
      </c>
    </row>
    <row r="8823" spans="1:10" ht="13.5" thickBot="1">
      <c r="A8823" s="27"/>
      <c r="B8823" s="110"/>
      <c r="D8823" s="417"/>
      <c r="E8823" s="418"/>
      <c r="F8823" s="418"/>
      <c r="G8823" s="419"/>
      <c r="H8823" s="420" t="s">
        <v>67</v>
      </c>
      <c r="I8823" s="421"/>
      <c r="J8823" s="396">
        <f>J8822</f>
        <v>0</v>
      </c>
    </row>
    <row r="8824" spans="1:10" ht="13">
      <c r="A8824" s="27"/>
      <c r="B8824" s="110"/>
      <c r="D8824" s="444" t="s">
        <v>68</v>
      </c>
      <c r="E8824" s="445" t="s">
        <v>69</v>
      </c>
      <c r="F8824" s="446"/>
      <c r="G8824" s="447"/>
      <c r="H8824" s="448"/>
      <c r="I8824" s="449">
        <f>IF(AND(E8824&lt;&gt;"",G8824&lt;&gt;""),IF(D8824="",IF(G8824="OH",VLOOKUP(E8824,UPAH!$C$4:$H$31,7,0),VLOOKUP(E8824,#REF!,4,0)),0),0)</f>
        <v>0</v>
      </c>
      <c r="J8824" s="16">
        <f>SUM(J8813:J8823)/2</f>
        <v>0</v>
      </c>
    </row>
    <row r="8825" spans="1:10" ht="13.5" thickBot="1">
      <c r="A8825" s="27"/>
      <c r="B8825" s="110"/>
      <c r="D8825" s="431" t="s">
        <v>70</v>
      </c>
      <c r="E8825" s="432" t="s">
        <v>477</v>
      </c>
      <c r="F8825" s="433"/>
      <c r="G8825" s="434"/>
      <c r="H8825" s="22">
        <v>0.1</v>
      </c>
      <c r="I8825" s="436"/>
      <c r="J8825" s="430">
        <f>H8825*J8824</f>
        <v>0</v>
      </c>
    </row>
    <row r="8826" spans="1:10" ht="13.5" thickBot="1">
      <c r="A8826" s="27"/>
      <c r="B8826" s="110"/>
      <c r="D8826" s="401" t="s">
        <v>71</v>
      </c>
      <c r="E8826" s="402" t="s">
        <v>72</v>
      </c>
      <c r="F8826" s="418"/>
      <c r="G8826" s="419"/>
      <c r="H8826" s="442"/>
      <c r="I8826" s="421">
        <f>IF(AND(E8826&lt;&gt;"",G8826&lt;&gt;""),IF(D8826="",IF(G8826="OH",VLOOKUP(E8826,UPAH!$C$4:$H$31,7,0),VLOOKUP(E8826,#REF!,4,0)),0),0)</f>
        <v>0</v>
      </c>
      <c r="J8826" s="396">
        <f>ROUNDDOWN(J8824+J8825,0)</f>
        <v>0</v>
      </c>
    </row>
    <row r="8827" spans="1:10" ht="13">
      <c r="A8827" s="27"/>
      <c r="B8827" s="110"/>
      <c r="D8827" s="11"/>
      <c r="E8827" s="11"/>
      <c r="H8827" s="443"/>
      <c r="I8827" s="17"/>
      <c r="J8827" s="18"/>
    </row>
    <row r="8828" spans="1:10" ht="13.5" thickBot="1">
      <c r="A8828" s="27"/>
      <c r="B8828" s="110"/>
      <c r="C8828" s="11" t="s">
        <v>1458</v>
      </c>
      <c r="D8828" s="10" t="s">
        <v>1483</v>
      </c>
      <c r="H8828" s="443"/>
    </row>
    <row r="8829" spans="1:10" ht="13.5" thickBot="1">
      <c r="A8829" s="27"/>
      <c r="B8829" s="110"/>
      <c r="D8829" s="401" t="s">
        <v>40</v>
      </c>
      <c r="E8829" s="402" t="s">
        <v>41</v>
      </c>
      <c r="F8829" s="402" t="s">
        <v>42</v>
      </c>
      <c r="G8829" s="403" t="s">
        <v>43</v>
      </c>
      <c r="H8829" s="404" t="s">
        <v>44</v>
      </c>
      <c r="I8829" s="402" t="s">
        <v>474</v>
      </c>
      <c r="J8829" s="405" t="s">
        <v>475</v>
      </c>
    </row>
    <row r="8830" spans="1:10" ht="13">
      <c r="A8830" s="27"/>
      <c r="B8830" s="110"/>
      <c r="D8830" s="444" t="s">
        <v>45</v>
      </c>
      <c r="E8830" s="445" t="s">
        <v>46</v>
      </c>
      <c r="F8830" s="446"/>
      <c r="G8830" s="447"/>
      <c r="H8830" s="448"/>
      <c r="I8830" s="449"/>
      <c r="J8830" s="450"/>
    </row>
    <row r="8831" spans="1:10" ht="13">
      <c r="A8831" s="27"/>
      <c r="B8831" s="110"/>
      <c r="D8831" s="409"/>
      <c r="E8831" s="13" t="s">
        <v>47</v>
      </c>
      <c r="F8831" s="13" t="s">
        <v>1918</v>
      </c>
      <c r="G8831" s="543" t="s">
        <v>48</v>
      </c>
      <c r="H8831" s="548">
        <v>0.89300000000000002</v>
      </c>
      <c r="I8831" s="412">
        <f>IF(AND(E8831&lt;&gt;"",G8831&lt;&gt;""),IF(D8831="",IF(G8831="OH",VLOOKUP(F8831,UPAH!$B$4:$H$101,7,0),VLOOKUP(F8831,#REF!,4,0)),0),0)</f>
        <v>0</v>
      </c>
      <c r="J8831" s="16">
        <f>H8831*I8831</f>
        <v>0</v>
      </c>
    </row>
    <row r="8832" spans="1:10" ht="13">
      <c r="A8832" s="27"/>
      <c r="B8832" s="110"/>
      <c r="D8832" s="409"/>
      <c r="E8832" s="13" t="s">
        <v>283</v>
      </c>
      <c r="F8832" s="13" t="s">
        <v>1913</v>
      </c>
      <c r="G8832" s="543" t="s">
        <v>48</v>
      </c>
      <c r="H8832" s="548">
        <v>0.44600000000000001</v>
      </c>
      <c r="I8832" s="412">
        <f>IF(AND(E8832&lt;&gt;"",G8832&lt;&gt;""),IF(D8832="",IF(G8832="OH",VLOOKUP(F8832,UPAH!$B$4:$H$101,7,0),VLOOKUP(F8832,#REF!,4,0)),0),0)</f>
        <v>0</v>
      </c>
      <c r="J8832" s="16">
        <f>H8832*I8832</f>
        <v>0</v>
      </c>
    </row>
    <row r="8833" spans="1:10" ht="13.5" thickBot="1">
      <c r="A8833" s="27"/>
      <c r="B8833" s="110"/>
      <c r="D8833" s="409"/>
      <c r="E8833" s="13" t="s">
        <v>51</v>
      </c>
      <c r="F8833" s="13" t="s">
        <v>1929</v>
      </c>
      <c r="G8833" s="543" t="s">
        <v>48</v>
      </c>
      <c r="H8833" s="548">
        <v>8.8999999999999996E-2</v>
      </c>
      <c r="I8833" s="412">
        <f>IF(AND(E8833&lt;&gt;"",G8833&lt;&gt;""),IF(D8833="",IF(G8833="OH",VLOOKUP(F8833,UPAH!$B$4:$H$101,7,0),VLOOKUP(F8833,#REF!,4,0)),0),0)</f>
        <v>0</v>
      </c>
      <c r="J8833" s="16">
        <f>H8833*I8833</f>
        <v>0</v>
      </c>
    </row>
    <row r="8834" spans="1:10" ht="13.5" thickBot="1">
      <c r="A8834" s="27"/>
      <c r="B8834" s="110"/>
      <c r="D8834" s="417"/>
      <c r="E8834" s="418"/>
      <c r="F8834" s="418"/>
      <c r="G8834" s="419"/>
      <c r="H8834" s="420" t="s">
        <v>52</v>
      </c>
      <c r="I8834" s="421"/>
      <c r="J8834" s="396">
        <f>SUM(J8830:J8833)</f>
        <v>0</v>
      </c>
    </row>
    <row r="8835" spans="1:10" ht="13">
      <c r="A8835" s="27"/>
      <c r="B8835" s="110"/>
      <c r="D8835" s="406" t="s">
        <v>53</v>
      </c>
      <c r="E8835" s="13" t="s">
        <v>54</v>
      </c>
      <c r="F8835" s="14"/>
      <c r="G8835" s="15"/>
      <c r="H8835" s="451"/>
      <c r="I8835" s="412"/>
      <c r="J8835" s="16"/>
    </row>
    <row r="8836" spans="1:10" ht="13.5" thickBot="1">
      <c r="A8836" s="27"/>
      <c r="B8836" s="110"/>
      <c r="D8836" s="409"/>
      <c r="E8836" s="13" t="s">
        <v>309</v>
      </c>
      <c r="F8836" s="14"/>
      <c r="G8836" s="543" t="s">
        <v>113</v>
      </c>
      <c r="H8836" s="548">
        <v>1</v>
      </c>
      <c r="I8836" s="412">
        <f>'BAHAN '!G387</f>
        <v>0</v>
      </c>
      <c r="J8836" s="16">
        <f>H8836*I8836</f>
        <v>0</v>
      </c>
    </row>
    <row r="8837" spans="1:10" ht="13.5" thickBot="1">
      <c r="A8837" s="27"/>
      <c r="B8837" s="110"/>
      <c r="D8837" s="417"/>
      <c r="E8837" s="418"/>
      <c r="F8837" s="418"/>
      <c r="G8837" s="419"/>
      <c r="H8837" s="420" t="s">
        <v>64</v>
      </c>
      <c r="I8837" s="421"/>
      <c r="J8837" s="396">
        <f>SUM(J8836)</f>
        <v>0</v>
      </c>
    </row>
    <row r="8838" spans="1:10" ht="13">
      <c r="A8838" s="27"/>
      <c r="B8838" s="110"/>
      <c r="D8838" s="406" t="s">
        <v>65</v>
      </c>
      <c r="E8838" s="13" t="s">
        <v>66</v>
      </c>
      <c r="F8838" s="14"/>
      <c r="G8838" s="15"/>
      <c r="H8838" s="451"/>
      <c r="I8838" s="412"/>
      <c r="J8838" s="16"/>
    </row>
    <row r="8839" spans="1:10" ht="13.5" thickBot="1">
      <c r="A8839" s="27"/>
      <c r="B8839" s="110"/>
      <c r="D8839" s="409"/>
      <c r="E8839" s="13" t="s">
        <v>446</v>
      </c>
      <c r="F8839" s="14"/>
      <c r="G8839" s="543" t="s">
        <v>285</v>
      </c>
      <c r="H8839" s="548">
        <v>0.57299999999999995</v>
      </c>
      <c r="I8839" s="412">
        <f>Alat!H102</f>
        <v>0</v>
      </c>
      <c r="J8839" s="16">
        <f>H8839*I8839</f>
        <v>0</v>
      </c>
    </row>
    <row r="8840" spans="1:10" ht="13.5" thickBot="1">
      <c r="A8840" s="27"/>
      <c r="B8840" s="110"/>
      <c r="D8840" s="417"/>
      <c r="E8840" s="418"/>
      <c r="F8840" s="418"/>
      <c r="G8840" s="419"/>
      <c r="H8840" s="420" t="s">
        <v>67</v>
      </c>
      <c r="I8840" s="421"/>
      <c r="J8840" s="396">
        <f>J8839</f>
        <v>0</v>
      </c>
    </row>
    <row r="8841" spans="1:10" ht="13">
      <c r="A8841" s="27"/>
      <c r="B8841" s="110"/>
      <c r="D8841" s="444" t="s">
        <v>68</v>
      </c>
      <c r="E8841" s="445" t="s">
        <v>69</v>
      </c>
      <c r="F8841" s="446"/>
      <c r="G8841" s="447"/>
      <c r="H8841" s="448"/>
      <c r="I8841" s="449">
        <f>IF(AND(E8841&lt;&gt;"",G8841&lt;&gt;""),IF(D8841="",IF(G8841="OH",VLOOKUP(E8841,UPAH!$C$4:$H$31,7,0),VLOOKUP(E8841,#REF!,4,0)),0),0)</f>
        <v>0</v>
      </c>
      <c r="J8841" s="16">
        <f>SUM(J8830:J8840)/2</f>
        <v>0</v>
      </c>
    </row>
    <row r="8842" spans="1:10" ht="13.5" thickBot="1">
      <c r="A8842" s="27"/>
      <c r="B8842" s="110"/>
      <c r="D8842" s="431" t="s">
        <v>70</v>
      </c>
      <c r="E8842" s="432" t="s">
        <v>477</v>
      </c>
      <c r="F8842" s="433"/>
      <c r="G8842" s="434"/>
      <c r="H8842" s="22">
        <v>0.1</v>
      </c>
      <c r="I8842" s="436"/>
      <c r="J8842" s="430">
        <f>H8842*J8841</f>
        <v>0</v>
      </c>
    </row>
    <row r="8843" spans="1:10" ht="13.5" thickBot="1">
      <c r="A8843" s="27"/>
      <c r="B8843" s="110"/>
      <c r="D8843" s="401" t="s">
        <v>71</v>
      </c>
      <c r="E8843" s="402" t="s">
        <v>72</v>
      </c>
      <c r="F8843" s="418"/>
      <c r="G8843" s="419"/>
      <c r="H8843" s="442"/>
      <c r="I8843" s="421">
        <f>IF(AND(E8843&lt;&gt;"",G8843&lt;&gt;""),IF(D8843="",IF(G8843="OH",VLOOKUP(E8843,UPAH!$C$4:$H$31,7,0),VLOOKUP(E8843,#REF!,4,0)),0),0)</f>
        <v>0</v>
      </c>
      <c r="J8843" s="396">
        <f>ROUNDDOWN(J8841+J8842,0)</f>
        <v>0</v>
      </c>
    </row>
    <row r="8844" spans="1:10" ht="13">
      <c r="A8844" s="27"/>
      <c r="B8844" s="110"/>
      <c r="D8844" s="11"/>
      <c r="E8844" s="11"/>
      <c r="H8844" s="443"/>
      <c r="I8844" s="17"/>
      <c r="J8844" s="18"/>
    </row>
    <row r="8845" spans="1:10" ht="13" hidden="1">
      <c r="A8845" s="27"/>
      <c r="B8845" s="110"/>
      <c r="C8845" s="11" t="s">
        <v>1457</v>
      </c>
      <c r="D8845" s="10" t="s">
        <v>1484</v>
      </c>
      <c r="H8845" s="443"/>
    </row>
    <row r="8846" spans="1:10" ht="13.5" hidden="1" thickBot="1">
      <c r="A8846" s="27"/>
      <c r="B8846" s="110"/>
      <c r="D8846" s="401" t="s">
        <v>40</v>
      </c>
      <c r="E8846" s="402" t="s">
        <v>41</v>
      </c>
      <c r="F8846" s="402" t="s">
        <v>42</v>
      </c>
      <c r="G8846" s="403" t="s">
        <v>43</v>
      </c>
      <c r="H8846" s="404" t="s">
        <v>44</v>
      </c>
      <c r="I8846" s="402" t="s">
        <v>474</v>
      </c>
      <c r="J8846" s="405" t="s">
        <v>475</v>
      </c>
    </row>
    <row r="8847" spans="1:10" ht="13" hidden="1">
      <c r="A8847" s="27"/>
      <c r="B8847" s="110"/>
      <c r="D8847" s="444" t="s">
        <v>45</v>
      </c>
      <c r="E8847" s="445" t="s">
        <v>46</v>
      </c>
      <c r="F8847" s="446"/>
      <c r="G8847" s="447"/>
      <c r="H8847" s="448"/>
      <c r="I8847" s="449"/>
      <c r="J8847" s="450"/>
    </row>
    <row r="8848" spans="1:10" ht="13" hidden="1">
      <c r="A8848" s="27"/>
      <c r="B8848" s="110"/>
      <c r="D8848" s="409"/>
      <c r="E8848" s="13" t="s">
        <v>47</v>
      </c>
      <c r="F8848" s="13" t="s">
        <v>1918</v>
      </c>
      <c r="G8848" s="543" t="s">
        <v>48</v>
      </c>
      <c r="H8848" s="548">
        <v>1.353</v>
      </c>
      <c r="I8848" s="412">
        <f>IF(AND(E8848&lt;&gt;"",G8848&lt;&gt;""),IF(D8848="",IF(G8848="OH",VLOOKUP(F8848,UPAH!$B$4:$H$101,7,0),VLOOKUP(F8848,#REF!,4,0)),0),0)</f>
        <v>0</v>
      </c>
      <c r="J8848" s="16">
        <f>H8848*I8848</f>
        <v>0</v>
      </c>
    </row>
    <row r="8849" spans="1:10" ht="13" hidden="1">
      <c r="A8849" s="27"/>
      <c r="B8849" s="110"/>
      <c r="D8849" s="409"/>
      <c r="E8849" s="13" t="s">
        <v>283</v>
      </c>
      <c r="F8849" s="13" t="s">
        <v>1913</v>
      </c>
      <c r="G8849" s="543" t="s">
        <v>48</v>
      </c>
      <c r="H8849" s="548">
        <v>0.67700000000000005</v>
      </c>
      <c r="I8849" s="412">
        <f>IF(AND(E8849&lt;&gt;"",G8849&lt;&gt;""),IF(D8849="",IF(G8849="OH",VLOOKUP(F8849,UPAH!$B$4:$H$101,7,0),VLOOKUP(F8849,#REF!,4,0)),0),0)</f>
        <v>0</v>
      </c>
      <c r="J8849" s="16">
        <f>H8849*I8849</f>
        <v>0</v>
      </c>
    </row>
    <row r="8850" spans="1:10" ht="13" hidden="1">
      <c r="A8850" s="27"/>
      <c r="B8850" s="110"/>
      <c r="D8850" s="409"/>
      <c r="E8850" s="13" t="s">
        <v>51</v>
      </c>
      <c r="F8850" s="13" t="s">
        <v>1929</v>
      </c>
      <c r="G8850" s="543" t="s">
        <v>48</v>
      </c>
      <c r="H8850" s="548">
        <v>0.13500000000000001</v>
      </c>
      <c r="I8850" s="412">
        <f>IF(AND(E8850&lt;&gt;"",G8850&lt;&gt;""),IF(D8850="",IF(G8850="OH",VLOOKUP(F8850,UPAH!$B$4:$H$101,7,0),VLOOKUP(F8850,#REF!,4,0)),0),0)</f>
        <v>0</v>
      </c>
      <c r="J8850" s="16">
        <f>H8850*I8850</f>
        <v>0</v>
      </c>
    </row>
    <row r="8851" spans="1:10" ht="13.5" hidden="1" thickBot="1">
      <c r="A8851" s="27"/>
      <c r="B8851" s="110"/>
      <c r="D8851" s="417"/>
      <c r="E8851" s="418"/>
      <c r="F8851" s="418"/>
      <c r="G8851" s="419"/>
      <c r="H8851" s="420" t="s">
        <v>52</v>
      </c>
      <c r="I8851" s="421"/>
      <c r="J8851" s="396">
        <f>SUM(J8847:J8850)</f>
        <v>0</v>
      </c>
    </row>
    <row r="8852" spans="1:10" ht="13" hidden="1">
      <c r="A8852" s="27"/>
      <c r="B8852" s="110"/>
      <c r="D8852" s="406" t="s">
        <v>53</v>
      </c>
      <c r="E8852" s="13" t="s">
        <v>54</v>
      </c>
      <c r="F8852" s="14"/>
      <c r="G8852" s="15"/>
      <c r="H8852" s="451"/>
      <c r="I8852" s="412"/>
      <c r="J8852" s="16"/>
    </row>
    <row r="8853" spans="1:10" ht="13" hidden="1">
      <c r="A8853" s="27"/>
      <c r="B8853" s="110"/>
      <c r="D8853" s="409"/>
      <c r="E8853" s="13" t="s">
        <v>310</v>
      </c>
      <c r="F8853" s="14"/>
      <c r="G8853" s="543" t="s">
        <v>113</v>
      </c>
      <c r="H8853" s="548">
        <v>1</v>
      </c>
      <c r="I8853" s="412" t="s">
        <v>3187</v>
      </c>
      <c r="J8853" s="16" t="e">
        <f>H8853*I8853</f>
        <v>#VALUE!</v>
      </c>
    </row>
    <row r="8854" spans="1:10" ht="13.5" hidden="1" thickBot="1">
      <c r="A8854" s="27"/>
      <c r="B8854" s="110"/>
      <c r="D8854" s="417"/>
      <c r="E8854" s="418"/>
      <c r="F8854" s="418"/>
      <c r="G8854" s="419"/>
      <c r="H8854" s="420" t="s">
        <v>64</v>
      </c>
      <c r="I8854" s="421"/>
      <c r="J8854" s="396" t="e">
        <f>SUM(J8853)</f>
        <v>#VALUE!</v>
      </c>
    </row>
    <row r="8855" spans="1:10" ht="13" hidden="1">
      <c r="A8855" s="27"/>
      <c r="B8855" s="110"/>
      <c r="D8855" s="406" t="s">
        <v>65</v>
      </c>
      <c r="E8855" s="13" t="s">
        <v>66</v>
      </c>
      <c r="F8855" s="14"/>
      <c r="G8855" s="15"/>
      <c r="H8855" s="451"/>
      <c r="I8855" s="412"/>
      <c r="J8855" s="16"/>
    </row>
    <row r="8856" spans="1:10" ht="13" hidden="1">
      <c r="A8856" s="27"/>
      <c r="B8856" s="110"/>
      <c r="D8856" s="409"/>
      <c r="E8856" s="13" t="s">
        <v>446</v>
      </c>
      <c r="F8856" s="14"/>
      <c r="G8856" s="543" t="s">
        <v>285</v>
      </c>
      <c r="H8856" s="548">
        <v>0.88300000000000001</v>
      </c>
      <c r="I8856" s="412">
        <f>Alat!H102</f>
        <v>0</v>
      </c>
      <c r="J8856" s="16">
        <f>H8856*I8856</f>
        <v>0</v>
      </c>
    </row>
    <row r="8857" spans="1:10" ht="13.5" hidden="1" thickBot="1">
      <c r="A8857" s="27"/>
      <c r="B8857" s="110"/>
      <c r="D8857" s="417"/>
      <c r="E8857" s="418"/>
      <c r="F8857" s="418"/>
      <c r="G8857" s="419"/>
      <c r="H8857" s="420" t="s">
        <v>67</v>
      </c>
      <c r="I8857" s="421"/>
      <c r="J8857" s="396">
        <f>J8856</f>
        <v>0</v>
      </c>
    </row>
    <row r="8858" spans="1:10" ht="13" hidden="1">
      <c r="A8858" s="27"/>
      <c r="B8858" s="110"/>
      <c r="D8858" s="444" t="s">
        <v>68</v>
      </c>
      <c r="E8858" s="445" t="s">
        <v>69</v>
      </c>
      <c r="F8858" s="446"/>
      <c r="G8858" s="447"/>
      <c r="H8858" s="448"/>
      <c r="I8858" s="449">
        <f>IF(AND(E8858&lt;&gt;"",G8858&lt;&gt;""),IF(D8858="",IF(G8858="OH",VLOOKUP(E8858,UPAH!$C$4:$H$31,7,0),VLOOKUP(E8858,#REF!,4,0)),0),0)</f>
        <v>0</v>
      </c>
      <c r="J8858" s="16" t="e">
        <f>SUM(J8847:J8857)/2</f>
        <v>#VALUE!</v>
      </c>
    </row>
    <row r="8859" spans="1:10" ht="13" hidden="1">
      <c r="A8859" s="27"/>
      <c r="B8859" s="110"/>
      <c r="D8859" s="431" t="s">
        <v>70</v>
      </c>
      <c r="E8859" s="432" t="s">
        <v>477</v>
      </c>
      <c r="F8859" s="433"/>
      <c r="G8859" s="434"/>
      <c r="H8859" s="22">
        <v>0.1</v>
      </c>
      <c r="I8859" s="436"/>
      <c r="J8859" s="430" t="e">
        <f>H8859*J8858</f>
        <v>#VALUE!</v>
      </c>
    </row>
    <row r="8860" spans="1:10" ht="13.5" hidden="1" thickBot="1">
      <c r="A8860" s="27"/>
      <c r="B8860" s="110"/>
      <c r="D8860" s="401" t="s">
        <v>71</v>
      </c>
      <c r="E8860" s="402" t="s">
        <v>72</v>
      </c>
      <c r="F8860" s="418"/>
      <c r="G8860" s="419"/>
      <c r="H8860" s="442"/>
      <c r="I8860" s="421">
        <f>IF(AND(E8860&lt;&gt;"",G8860&lt;&gt;""),IF(D8860="",IF(G8860="OH",VLOOKUP(E8860,UPAH!$C$4:$H$31,7,0),VLOOKUP(E8860,#REF!,4,0)),0),0)</f>
        <v>0</v>
      </c>
      <c r="J8860" s="396" t="e">
        <f>ROUNDDOWN(J8858+J8859,0)</f>
        <v>#VALUE!</v>
      </c>
    </row>
    <row r="8861" spans="1:10" ht="13" hidden="1">
      <c r="A8861" s="27"/>
      <c r="B8861" s="110"/>
      <c r="D8861" s="11"/>
      <c r="E8861" s="11"/>
      <c r="H8861" s="443"/>
      <c r="I8861" s="17"/>
      <c r="J8861" s="18"/>
    </row>
    <row r="8862" spans="1:10" ht="13" hidden="1">
      <c r="A8862" s="27"/>
      <c r="B8862" s="110"/>
      <c r="C8862" s="11" t="s">
        <v>1456</v>
      </c>
      <c r="D8862" s="10" t="s">
        <v>1485</v>
      </c>
      <c r="H8862" s="443"/>
    </row>
    <row r="8863" spans="1:10" ht="13.5" hidden="1" thickBot="1">
      <c r="A8863" s="27"/>
      <c r="B8863" s="110"/>
      <c r="D8863" s="401" t="s">
        <v>40</v>
      </c>
      <c r="E8863" s="402" t="s">
        <v>41</v>
      </c>
      <c r="F8863" s="402" t="s">
        <v>42</v>
      </c>
      <c r="G8863" s="403" t="s">
        <v>43</v>
      </c>
      <c r="H8863" s="404" t="s">
        <v>44</v>
      </c>
      <c r="I8863" s="402" t="s">
        <v>474</v>
      </c>
      <c r="J8863" s="405" t="s">
        <v>475</v>
      </c>
    </row>
    <row r="8864" spans="1:10" ht="13" hidden="1">
      <c r="A8864" s="27"/>
      <c r="B8864" s="110"/>
      <c r="D8864" s="444" t="s">
        <v>45</v>
      </c>
      <c r="E8864" s="445" t="s">
        <v>46</v>
      </c>
      <c r="F8864" s="446"/>
      <c r="G8864" s="447"/>
      <c r="H8864" s="448"/>
      <c r="I8864" s="449"/>
      <c r="J8864" s="450"/>
    </row>
    <row r="8865" spans="1:10" ht="13" hidden="1">
      <c r="A8865" s="27"/>
      <c r="B8865" s="110"/>
      <c r="D8865" s="409"/>
      <c r="E8865" s="13" t="s">
        <v>47</v>
      </c>
      <c r="F8865" s="13" t="s">
        <v>1918</v>
      </c>
      <c r="G8865" s="543" t="s">
        <v>48</v>
      </c>
      <c r="H8865" s="548">
        <v>1.659</v>
      </c>
      <c r="I8865" s="412">
        <f>IF(AND(E8865&lt;&gt;"",G8865&lt;&gt;""),IF(D8865="",IF(G8865="OH",VLOOKUP(F8865,UPAH!$B$4:$H$101,7,0),VLOOKUP(F8865,#REF!,4,0)),0),0)</f>
        <v>0</v>
      </c>
      <c r="J8865" s="16">
        <f>H8865*I8865</f>
        <v>0</v>
      </c>
    </row>
    <row r="8866" spans="1:10" ht="13" hidden="1">
      <c r="A8866" s="27"/>
      <c r="B8866" s="110"/>
      <c r="D8866" s="409"/>
      <c r="E8866" s="13" t="s">
        <v>283</v>
      </c>
      <c r="F8866" s="13" t="s">
        <v>1913</v>
      </c>
      <c r="G8866" s="543" t="s">
        <v>48</v>
      </c>
      <c r="H8866" s="548">
        <v>0.83</v>
      </c>
      <c r="I8866" s="412">
        <f>IF(AND(E8866&lt;&gt;"",G8866&lt;&gt;""),IF(D8866="",IF(G8866="OH",VLOOKUP(F8866,UPAH!$B$4:$H$101,7,0),VLOOKUP(F8866,#REF!,4,0)),0),0)</f>
        <v>0</v>
      </c>
      <c r="J8866" s="16">
        <f>H8866*I8866</f>
        <v>0</v>
      </c>
    </row>
    <row r="8867" spans="1:10" ht="13" hidden="1">
      <c r="A8867" s="27"/>
      <c r="B8867" s="110"/>
      <c r="D8867" s="409"/>
      <c r="E8867" s="13" t="s">
        <v>51</v>
      </c>
      <c r="F8867" s="13" t="s">
        <v>1929</v>
      </c>
      <c r="G8867" s="543" t="s">
        <v>48</v>
      </c>
      <c r="H8867" s="548">
        <v>0.16600000000000001</v>
      </c>
      <c r="I8867" s="412">
        <f>IF(AND(E8867&lt;&gt;"",G8867&lt;&gt;""),IF(D8867="",IF(G8867="OH",VLOOKUP(F8867,UPAH!$B$4:$H$101,7,0),VLOOKUP(F8867,#REF!,4,0)),0),0)</f>
        <v>0</v>
      </c>
      <c r="J8867" s="16">
        <f>H8867*I8867</f>
        <v>0</v>
      </c>
    </row>
    <row r="8868" spans="1:10" ht="13.5" hidden="1" thickBot="1">
      <c r="A8868" s="27"/>
      <c r="B8868" s="110"/>
      <c r="D8868" s="417"/>
      <c r="E8868" s="418"/>
      <c r="F8868" s="418"/>
      <c r="G8868" s="419"/>
      <c r="H8868" s="420" t="s">
        <v>52</v>
      </c>
      <c r="I8868" s="421"/>
      <c r="J8868" s="396">
        <f>SUM(J8864:J8867)</f>
        <v>0</v>
      </c>
    </row>
    <row r="8869" spans="1:10" ht="13" hidden="1">
      <c r="A8869" s="27"/>
      <c r="B8869" s="110"/>
      <c r="D8869" s="406" t="s">
        <v>53</v>
      </c>
      <c r="E8869" s="13" t="s">
        <v>54</v>
      </c>
      <c r="F8869" s="14"/>
      <c r="G8869" s="15"/>
      <c r="H8869" s="451"/>
      <c r="I8869" s="412"/>
      <c r="J8869" s="16"/>
    </row>
    <row r="8870" spans="1:10" ht="13" hidden="1">
      <c r="A8870" s="27"/>
      <c r="B8870" s="110"/>
      <c r="D8870" s="409"/>
      <c r="E8870" s="13" t="s">
        <v>311</v>
      </c>
      <c r="F8870" s="14"/>
      <c r="G8870" s="543" t="s">
        <v>113</v>
      </c>
      <c r="H8870" s="548">
        <v>1</v>
      </c>
      <c r="I8870" s="412" t="s">
        <v>3187</v>
      </c>
      <c r="J8870" s="16" t="e">
        <f>H8870*I8870</f>
        <v>#VALUE!</v>
      </c>
    </row>
    <row r="8871" spans="1:10" ht="13.5" hidden="1" thickBot="1">
      <c r="A8871" s="27"/>
      <c r="B8871" s="110"/>
      <c r="D8871" s="417"/>
      <c r="E8871" s="418"/>
      <c r="F8871" s="418"/>
      <c r="G8871" s="419"/>
      <c r="H8871" s="420" t="s">
        <v>64</v>
      </c>
      <c r="I8871" s="421"/>
      <c r="J8871" s="396" t="e">
        <f>SUM(J8870)</f>
        <v>#VALUE!</v>
      </c>
    </row>
    <row r="8872" spans="1:10" ht="13" hidden="1">
      <c r="A8872" s="27"/>
      <c r="B8872" s="110"/>
      <c r="D8872" s="406" t="s">
        <v>65</v>
      </c>
      <c r="E8872" s="13" t="s">
        <v>66</v>
      </c>
      <c r="F8872" s="14"/>
      <c r="G8872" s="15"/>
      <c r="H8872" s="451"/>
      <c r="I8872" s="412"/>
      <c r="J8872" s="16"/>
    </row>
    <row r="8873" spans="1:10" ht="13" hidden="1">
      <c r="A8873" s="27"/>
      <c r="B8873" s="110"/>
      <c r="D8873" s="409"/>
      <c r="E8873" s="13" t="s">
        <v>446</v>
      </c>
      <c r="F8873" s="14"/>
      <c r="G8873" s="543" t="s">
        <v>285</v>
      </c>
      <c r="H8873" s="548">
        <v>1.093</v>
      </c>
      <c r="I8873" s="412">
        <f>Alat!H102</f>
        <v>0</v>
      </c>
      <c r="J8873" s="16">
        <f>H8873*I8873</f>
        <v>0</v>
      </c>
    </row>
    <row r="8874" spans="1:10" ht="13.5" hidden="1" thickBot="1">
      <c r="A8874" s="27"/>
      <c r="B8874" s="110"/>
      <c r="D8874" s="417"/>
      <c r="E8874" s="418"/>
      <c r="F8874" s="418"/>
      <c r="G8874" s="419"/>
      <c r="H8874" s="420" t="s">
        <v>67</v>
      </c>
      <c r="I8874" s="421"/>
      <c r="J8874" s="396">
        <f>J8873</f>
        <v>0</v>
      </c>
    </row>
    <row r="8875" spans="1:10" ht="13" hidden="1">
      <c r="A8875" s="27"/>
      <c r="B8875" s="110"/>
      <c r="D8875" s="444" t="s">
        <v>68</v>
      </c>
      <c r="E8875" s="445" t="s">
        <v>69</v>
      </c>
      <c r="F8875" s="446"/>
      <c r="G8875" s="447"/>
      <c r="H8875" s="448"/>
      <c r="I8875" s="449">
        <f>IF(AND(E8875&lt;&gt;"",G8875&lt;&gt;""),IF(D8875="",IF(G8875="OH",VLOOKUP(E8875,UPAH!$C$4:$H$31,7,0),VLOOKUP(E8875,#REF!,4,0)),0),0)</f>
        <v>0</v>
      </c>
      <c r="J8875" s="16" t="e">
        <f>SUM(J8864:J8874)/2</f>
        <v>#VALUE!</v>
      </c>
    </row>
    <row r="8876" spans="1:10" ht="13" hidden="1">
      <c r="A8876" s="27"/>
      <c r="B8876" s="110"/>
      <c r="D8876" s="431" t="s">
        <v>70</v>
      </c>
      <c r="E8876" s="432" t="s">
        <v>477</v>
      </c>
      <c r="F8876" s="433"/>
      <c r="G8876" s="434"/>
      <c r="H8876" s="22">
        <v>0.1</v>
      </c>
      <c r="I8876" s="436"/>
      <c r="J8876" s="430" t="e">
        <f>H8876*J8875</f>
        <v>#VALUE!</v>
      </c>
    </row>
    <row r="8877" spans="1:10" ht="13.5" hidden="1" thickBot="1">
      <c r="A8877" s="27"/>
      <c r="B8877" s="110"/>
      <c r="D8877" s="401" t="s">
        <v>71</v>
      </c>
      <c r="E8877" s="402" t="s">
        <v>72</v>
      </c>
      <c r="F8877" s="418"/>
      <c r="G8877" s="419"/>
      <c r="H8877" s="442"/>
      <c r="I8877" s="421">
        <f>IF(AND(E8877&lt;&gt;"",G8877&lt;&gt;""),IF(D8877="",IF(G8877="OH",VLOOKUP(E8877,UPAH!$C$4:$H$31,7,0),VLOOKUP(E8877,#REF!,4,0)),0),0)</f>
        <v>0</v>
      </c>
      <c r="J8877" s="396" t="e">
        <f>ROUNDDOWN(J8875+J8876,0)</f>
        <v>#VALUE!</v>
      </c>
    </row>
    <row r="8878" spans="1:10" ht="13" hidden="1">
      <c r="A8878" s="27"/>
      <c r="B8878" s="110"/>
      <c r="D8878" s="11"/>
      <c r="E8878" s="11"/>
      <c r="H8878" s="443"/>
      <c r="I8878" s="17"/>
      <c r="J8878" s="18"/>
    </row>
    <row r="8879" spans="1:10" ht="13" hidden="1">
      <c r="A8879" s="27"/>
      <c r="B8879" s="110"/>
      <c r="C8879" s="11" t="s">
        <v>1455</v>
      </c>
      <c r="D8879" s="10" t="s">
        <v>1486</v>
      </c>
      <c r="H8879" s="443"/>
    </row>
    <row r="8880" spans="1:10" ht="13.5" hidden="1" thickBot="1">
      <c r="A8880" s="27"/>
      <c r="B8880" s="110"/>
      <c r="D8880" s="401" t="s">
        <v>40</v>
      </c>
      <c r="E8880" s="402" t="s">
        <v>41</v>
      </c>
      <c r="F8880" s="402" t="s">
        <v>42</v>
      </c>
      <c r="G8880" s="403" t="s">
        <v>43</v>
      </c>
      <c r="H8880" s="404" t="s">
        <v>44</v>
      </c>
      <c r="I8880" s="402" t="s">
        <v>474</v>
      </c>
      <c r="J8880" s="405" t="s">
        <v>475</v>
      </c>
    </row>
    <row r="8881" spans="1:10" ht="13" hidden="1">
      <c r="A8881" s="27"/>
      <c r="B8881" s="110"/>
      <c r="D8881" s="444" t="s">
        <v>45</v>
      </c>
      <c r="E8881" s="445" t="s">
        <v>46</v>
      </c>
      <c r="F8881" s="446"/>
      <c r="G8881" s="447"/>
      <c r="H8881" s="448"/>
      <c r="I8881" s="449"/>
      <c r="J8881" s="450"/>
    </row>
    <row r="8882" spans="1:10" ht="13" hidden="1">
      <c r="A8882" s="27"/>
      <c r="B8882" s="110"/>
      <c r="D8882" s="409"/>
      <c r="E8882" s="13" t="s">
        <v>47</v>
      </c>
      <c r="F8882" s="13" t="s">
        <v>1918</v>
      </c>
      <c r="G8882" s="543" t="s">
        <v>48</v>
      </c>
      <c r="H8882" s="548">
        <v>1.8180000000000001</v>
      </c>
      <c r="I8882" s="412">
        <f>IF(AND(E8882&lt;&gt;"",G8882&lt;&gt;""),IF(D8882="",IF(G8882="OH",VLOOKUP(F8882,UPAH!$B$4:$H$101,7,0),VLOOKUP(F8882,#REF!,4,0)),0),0)</f>
        <v>0</v>
      </c>
      <c r="J8882" s="16">
        <f>H8882*I8882</f>
        <v>0</v>
      </c>
    </row>
    <row r="8883" spans="1:10" ht="13" hidden="1">
      <c r="A8883" s="27"/>
      <c r="B8883" s="110"/>
      <c r="D8883" s="409"/>
      <c r="E8883" s="13" t="s">
        <v>283</v>
      </c>
      <c r="F8883" s="13" t="s">
        <v>1913</v>
      </c>
      <c r="G8883" s="543" t="s">
        <v>48</v>
      </c>
      <c r="H8883" s="548">
        <v>0.90900000000000003</v>
      </c>
      <c r="I8883" s="412">
        <f>IF(AND(E8883&lt;&gt;"",G8883&lt;&gt;""),IF(D8883="",IF(G8883="OH",VLOOKUP(F8883,UPAH!$B$4:$H$101,7,0),VLOOKUP(F8883,#REF!,4,0)),0),0)</f>
        <v>0</v>
      </c>
      <c r="J8883" s="16">
        <f>H8883*I8883</f>
        <v>0</v>
      </c>
    </row>
    <row r="8884" spans="1:10" ht="13" hidden="1">
      <c r="A8884" s="27"/>
      <c r="B8884" s="110"/>
      <c r="D8884" s="409"/>
      <c r="E8884" s="13" t="s">
        <v>51</v>
      </c>
      <c r="F8884" s="13" t="s">
        <v>1929</v>
      </c>
      <c r="G8884" s="543" t="s">
        <v>48</v>
      </c>
      <c r="H8884" s="548">
        <v>0.182</v>
      </c>
      <c r="I8884" s="412">
        <f>IF(AND(E8884&lt;&gt;"",G8884&lt;&gt;""),IF(D8884="",IF(G8884="OH",VLOOKUP(F8884,UPAH!$B$4:$H$101,7,0),VLOOKUP(F8884,#REF!,4,0)),0),0)</f>
        <v>0</v>
      </c>
      <c r="J8884" s="16">
        <f>H8884*I8884</f>
        <v>0</v>
      </c>
    </row>
    <row r="8885" spans="1:10" ht="13.5" hidden="1" thickBot="1">
      <c r="A8885" s="27"/>
      <c r="B8885" s="110"/>
      <c r="D8885" s="417"/>
      <c r="E8885" s="418"/>
      <c r="F8885" s="418"/>
      <c r="G8885" s="419"/>
      <c r="H8885" s="420" t="s">
        <v>52</v>
      </c>
      <c r="I8885" s="421"/>
      <c r="J8885" s="396">
        <f>SUM(J8881:J8884)</f>
        <v>0</v>
      </c>
    </row>
    <row r="8886" spans="1:10" ht="13" hidden="1">
      <c r="A8886" s="27"/>
      <c r="B8886" s="110"/>
      <c r="D8886" s="406" t="s">
        <v>53</v>
      </c>
      <c r="E8886" s="13" t="s">
        <v>54</v>
      </c>
      <c r="F8886" s="14"/>
      <c r="G8886" s="15"/>
      <c r="H8886" s="451"/>
      <c r="I8886" s="412"/>
      <c r="J8886" s="16"/>
    </row>
    <row r="8887" spans="1:10" ht="13" hidden="1">
      <c r="A8887" s="27"/>
      <c r="B8887" s="110"/>
      <c r="D8887" s="409"/>
      <c r="E8887" s="13" t="s">
        <v>312</v>
      </c>
      <c r="F8887" s="14"/>
      <c r="G8887" s="543" t="s">
        <v>113</v>
      </c>
      <c r="H8887" s="548">
        <v>1</v>
      </c>
      <c r="I8887" s="412" t="s">
        <v>3187</v>
      </c>
      <c r="J8887" s="16" t="e">
        <f>H8887*I8887</f>
        <v>#VALUE!</v>
      </c>
    </row>
    <row r="8888" spans="1:10" ht="13.5" hidden="1" thickBot="1">
      <c r="A8888" s="27"/>
      <c r="B8888" s="110"/>
      <c r="D8888" s="417"/>
      <c r="E8888" s="418"/>
      <c r="F8888" s="418"/>
      <c r="G8888" s="419"/>
      <c r="H8888" s="420" t="s">
        <v>64</v>
      </c>
      <c r="I8888" s="421"/>
      <c r="J8888" s="396" t="e">
        <f>SUM(J8887)</f>
        <v>#VALUE!</v>
      </c>
    </row>
    <row r="8889" spans="1:10" ht="13" hidden="1">
      <c r="A8889" s="27"/>
      <c r="B8889" s="110"/>
      <c r="D8889" s="406" t="s">
        <v>65</v>
      </c>
      <c r="E8889" s="13" t="s">
        <v>66</v>
      </c>
      <c r="F8889" s="14"/>
      <c r="G8889" s="15"/>
      <c r="H8889" s="451"/>
      <c r="I8889" s="412"/>
      <c r="J8889" s="16"/>
    </row>
    <row r="8890" spans="1:10" ht="13" hidden="1">
      <c r="A8890" s="27"/>
      <c r="B8890" s="110"/>
      <c r="D8890" s="409"/>
      <c r="E8890" s="13" t="s">
        <v>446</v>
      </c>
      <c r="F8890" s="14"/>
      <c r="G8890" s="543" t="s">
        <v>285</v>
      </c>
      <c r="H8890" s="548">
        <v>1.2050000000000001</v>
      </c>
      <c r="I8890" s="412">
        <f>Alat!H102</f>
        <v>0</v>
      </c>
      <c r="J8890" s="16">
        <f>H8890*I8890</f>
        <v>0</v>
      </c>
    </row>
    <row r="8891" spans="1:10" ht="13.5" hidden="1" thickBot="1">
      <c r="A8891" s="27"/>
      <c r="B8891" s="110"/>
      <c r="D8891" s="417"/>
      <c r="E8891" s="418"/>
      <c r="F8891" s="418"/>
      <c r="G8891" s="419"/>
      <c r="H8891" s="420" t="s">
        <v>67</v>
      </c>
      <c r="I8891" s="421"/>
      <c r="J8891" s="396">
        <f>J8890</f>
        <v>0</v>
      </c>
    </row>
    <row r="8892" spans="1:10" ht="13" hidden="1">
      <c r="A8892" s="27"/>
      <c r="B8892" s="110"/>
      <c r="D8892" s="444" t="s">
        <v>68</v>
      </c>
      <c r="E8892" s="445" t="s">
        <v>69</v>
      </c>
      <c r="F8892" s="446"/>
      <c r="G8892" s="447"/>
      <c r="H8892" s="448"/>
      <c r="I8892" s="449">
        <f>IF(AND(E8892&lt;&gt;"",G8892&lt;&gt;""),IF(D8892="",IF(G8892="OH",VLOOKUP(E8892,UPAH!$C$4:$H$31,7,0),VLOOKUP(E8892,#REF!,4,0)),0),0)</f>
        <v>0</v>
      </c>
      <c r="J8892" s="16" t="e">
        <f>SUM(J8881:J8891)/2</f>
        <v>#VALUE!</v>
      </c>
    </row>
    <row r="8893" spans="1:10" ht="13" hidden="1">
      <c r="A8893" s="27"/>
      <c r="B8893" s="110"/>
      <c r="D8893" s="431" t="s">
        <v>70</v>
      </c>
      <c r="E8893" s="432" t="s">
        <v>477</v>
      </c>
      <c r="F8893" s="433"/>
      <c r="G8893" s="434"/>
      <c r="H8893" s="22">
        <v>0.1</v>
      </c>
      <c r="I8893" s="436"/>
      <c r="J8893" s="430" t="e">
        <f>H8893*J8892</f>
        <v>#VALUE!</v>
      </c>
    </row>
    <row r="8894" spans="1:10" ht="13.5" hidden="1" thickBot="1">
      <c r="A8894" s="27"/>
      <c r="B8894" s="110"/>
      <c r="D8894" s="401" t="s">
        <v>71</v>
      </c>
      <c r="E8894" s="402" t="s">
        <v>72</v>
      </c>
      <c r="F8894" s="418"/>
      <c r="G8894" s="419"/>
      <c r="H8894" s="442"/>
      <c r="I8894" s="421">
        <f>IF(AND(E8894&lt;&gt;"",G8894&lt;&gt;""),IF(D8894="",IF(G8894="OH",VLOOKUP(E8894,UPAH!$C$4:$H$31,7,0),VLOOKUP(E8894,#REF!,4,0)),0),0)</f>
        <v>0</v>
      </c>
      <c r="J8894" s="396" t="e">
        <f>ROUNDDOWN(J8892+J8893,0)</f>
        <v>#VALUE!</v>
      </c>
    </row>
    <row r="8895" spans="1:10" ht="13" hidden="1">
      <c r="A8895" s="27"/>
      <c r="B8895" s="110"/>
      <c r="D8895" s="11"/>
      <c r="E8895" s="11"/>
      <c r="H8895" s="443"/>
      <c r="I8895" s="17"/>
      <c r="J8895" s="18"/>
    </row>
    <row r="8896" spans="1:10" ht="13" hidden="1">
      <c r="A8896" s="27"/>
      <c r="B8896" s="110"/>
      <c r="C8896" s="11" t="s">
        <v>1454</v>
      </c>
      <c r="D8896" s="10" t="s">
        <v>1487</v>
      </c>
      <c r="H8896" s="443"/>
    </row>
    <row r="8897" spans="1:10" ht="13.5" hidden="1" thickBot="1">
      <c r="A8897" s="27"/>
      <c r="B8897" s="110"/>
      <c r="D8897" s="401" t="s">
        <v>40</v>
      </c>
      <c r="E8897" s="402" t="s">
        <v>41</v>
      </c>
      <c r="F8897" s="402" t="s">
        <v>42</v>
      </c>
      <c r="G8897" s="403" t="s">
        <v>43</v>
      </c>
      <c r="H8897" s="404" t="s">
        <v>44</v>
      </c>
      <c r="I8897" s="402" t="s">
        <v>474</v>
      </c>
      <c r="J8897" s="405" t="s">
        <v>475</v>
      </c>
    </row>
    <row r="8898" spans="1:10" ht="13" hidden="1">
      <c r="A8898" s="27"/>
      <c r="B8898" s="110"/>
      <c r="D8898" s="444" t="s">
        <v>45</v>
      </c>
      <c r="E8898" s="445" t="s">
        <v>46</v>
      </c>
      <c r="F8898" s="446"/>
      <c r="G8898" s="447"/>
      <c r="H8898" s="448"/>
      <c r="I8898" s="449"/>
      <c r="J8898" s="450"/>
    </row>
    <row r="8899" spans="1:10" ht="13" hidden="1">
      <c r="A8899" s="27"/>
      <c r="B8899" s="110"/>
      <c r="D8899" s="409"/>
      <c r="E8899" s="13" t="s">
        <v>47</v>
      </c>
      <c r="F8899" s="13" t="s">
        <v>1918</v>
      </c>
      <c r="G8899" s="543" t="s">
        <v>48</v>
      </c>
      <c r="H8899" s="548">
        <v>2.37</v>
      </c>
      <c r="I8899" s="412">
        <f>IF(AND(E8899&lt;&gt;"",G8899&lt;&gt;""),IF(D8899="",IF(G8899="OH",VLOOKUP(F8899,UPAH!$B$4:$H$101,7,0),VLOOKUP(F8899,#REF!,4,0)),0),0)</f>
        <v>0</v>
      </c>
      <c r="J8899" s="16">
        <f>H8899*I8899</f>
        <v>0</v>
      </c>
    </row>
    <row r="8900" spans="1:10" ht="13" hidden="1">
      <c r="A8900" s="27"/>
      <c r="B8900" s="110"/>
      <c r="D8900" s="409"/>
      <c r="E8900" s="13" t="s">
        <v>283</v>
      </c>
      <c r="F8900" s="13" t="s">
        <v>1913</v>
      </c>
      <c r="G8900" s="543" t="s">
        <v>48</v>
      </c>
      <c r="H8900" s="548">
        <v>1.1850000000000001</v>
      </c>
      <c r="I8900" s="412">
        <f>IF(AND(E8900&lt;&gt;"",G8900&lt;&gt;""),IF(D8900="",IF(G8900="OH",VLOOKUP(F8900,UPAH!$B$4:$H$101,7,0),VLOOKUP(F8900,#REF!,4,0)),0),0)</f>
        <v>0</v>
      </c>
      <c r="J8900" s="16">
        <f>H8900*I8900</f>
        <v>0</v>
      </c>
    </row>
    <row r="8901" spans="1:10" ht="13" hidden="1">
      <c r="A8901" s="27"/>
      <c r="B8901" s="110"/>
      <c r="D8901" s="409"/>
      <c r="E8901" s="13" t="s">
        <v>51</v>
      </c>
      <c r="F8901" s="13" t="s">
        <v>1929</v>
      </c>
      <c r="G8901" s="543" t="s">
        <v>48</v>
      </c>
      <c r="H8901" s="548">
        <v>0.23699999999999999</v>
      </c>
      <c r="I8901" s="412">
        <f>IF(AND(E8901&lt;&gt;"",G8901&lt;&gt;""),IF(D8901="",IF(G8901="OH",VLOOKUP(F8901,UPAH!$B$4:$H$101,7,0),VLOOKUP(F8901,#REF!,4,0)),0),0)</f>
        <v>0</v>
      </c>
      <c r="J8901" s="16">
        <f>H8901*I8901</f>
        <v>0</v>
      </c>
    </row>
    <row r="8902" spans="1:10" ht="13.5" hidden="1" thickBot="1">
      <c r="A8902" s="27"/>
      <c r="B8902" s="110"/>
      <c r="D8902" s="417"/>
      <c r="E8902" s="418"/>
      <c r="F8902" s="418"/>
      <c r="G8902" s="419"/>
      <c r="H8902" s="420" t="s">
        <v>52</v>
      </c>
      <c r="I8902" s="421"/>
      <c r="J8902" s="396">
        <f>SUM(J8898:J8901)</f>
        <v>0</v>
      </c>
    </row>
    <row r="8903" spans="1:10" ht="13" hidden="1">
      <c r="A8903" s="27"/>
      <c r="B8903" s="110"/>
      <c r="D8903" s="406" t="s">
        <v>53</v>
      </c>
      <c r="E8903" s="13" t="s">
        <v>54</v>
      </c>
      <c r="F8903" s="14"/>
      <c r="G8903" s="15"/>
      <c r="H8903" s="451"/>
      <c r="I8903" s="412"/>
      <c r="J8903" s="16"/>
    </row>
    <row r="8904" spans="1:10" ht="13" hidden="1">
      <c r="A8904" s="27"/>
      <c r="B8904" s="110"/>
      <c r="D8904" s="409"/>
      <c r="E8904" s="13" t="s">
        <v>313</v>
      </c>
      <c r="F8904" s="14"/>
      <c r="G8904" s="543" t="s">
        <v>113</v>
      </c>
      <c r="H8904" s="548">
        <v>1</v>
      </c>
      <c r="I8904" s="412" t="s">
        <v>3187</v>
      </c>
      <c r="J8904" s="16" t="e">
        <f>H8904*I8904</f>
        <v>#VALUE!</v>
      </c>
    </row>
    <row r="8905" spans="1:10" ht="13.5" hidden="1" thickBot="1">
      <c r="A8905" s="27"/>
      <c r="B8905" s="110"/>
      <c r="D8905" s="417"/>
      <c r="E8905" s="418"/>
      <c r="F8905" s="418"/>
      <c r="G8905" s="419"/>
      <c r="H8905" s="420" t="s">
        <v>64</v>
      </c>
      <c r="I8905" s="421"/>
      <c r="J8905" s="396" t="e">
        <f>SUM(J8904)</f>
        <v>#VALUE!</v>
      </c>
    </row>
    <row r="8906" spans="1:10" ht="13" hidden="1">
      <c r="A8906" s="27"/>
      <c r="B8906" s="110"/>
      <c r="D8906" s="406" t="s">
        <v>65</v>
      </c>
      <c r="E8906" s="13" t="s">
        <v>66</v>
      </c>
      <c r="F8906" s="14"/>
      <c r="G8906" s="15"/>
      <c r="H8906" s="451"/>
      <c r="I8906" s="412"/>
      <c r="J8906" s="16"/>
    </row>
    <row r="8907" spans="1:10" ht="13" hidden="1">
      <c r="A8907" s="27"/>
      <c r="B8907" s="110"/>
      <c r="D8907" s="409"/>
      <c r="E8907" s="13" t="s">
        <v>446</v>
      </c>
      <c r="F8907" s="14"/>
      <c r="G8907" s="543" t="s">
        <v>285</v>
      </c>
      <c r="H8907" s="548">
        <v>1.5840000000000001</v>
      </c>
      <c r="I8907" s="412">
        <f>Alat!H102</f>
        <v>0</v>
      </c>
      <c r="J8907" s="16">
        <f>H8907*I8907</f>
        <v>0</v>
      </c>
    </row>
    <row r="8908" spans="1:10" ht="13.5" hidden="1" thickBot="1">
      <c r="A8908" s="27"/>
      <c r="B8908" s="110"/>
      <c r="D8908" s="417"/>
      <c r="E8908" s="418"/>
      <c r="F8908" s="418"/>
      <c r="G8908" s="419"/>
      <c r="H8908" s="420" t="s">
        <v>67</v>
      </c>
      <c r="I8908" s="421"/>
      <c r="J8908" s="396">
        <f>J8907</f>
        <v>0</v>
      </c>
    </row>
    <row r="8909" spans="1:10" ht="13" hidden="1">
      <c r="A8909" s="27"/>
      <c r="B8909" s="110"/>
      <c r="D8909" s="444" t="s">
        <v>68</v>
      </c>
      <c r="E8909" s="445" t="s">
        <v>69</v>
      </c>
      <c r="F8909" s="446"/>
      <c r="G8909" s="447"/>
      <c r="H8909" s="448"/>
      <c r="I8909" s="449">
        <f>IF(AND(E8909&lt;&gt;"",G8909&lt;&gt;""),IF(D8909="",IF(G8909="OH",VLOOKUP(E8909,UPAH!$C$4:$H$31,7,0),VLOOKUP(E8909,#REF!,4,0)),0),0)</f>
        <v>0</v>
      </c>
      <c r="J8909" s="16" t="e">
        <f>SUM(J8898:J8908)/2</f>
        <v>#VALUE!</v>
      </c>
    </row>
    <row r="8910" spans="1:10" ht="13" hidden="1">
      <c r="A8910" s="27"/>
      <c r="B8910" s="110"/>
      <c r="D8910" s="431" t="s">
        <v>70</v>
      </c>
      <c r="E8910" s="432" t="s">
        <v>477</v>
      </c>
      <c r="F8910" s="433"/>
      <c r="G8910" s="434"/>
      <c r="H8910" s="22">
        <v>0.1</v>
      </c>
      <c r="I8910" s="436"/>
      <c r="J8910" s="430" t="e">
        <f>H8910*J8909</f>
        <v>#VALUE!</v>
      </c>
    </row>
    <row r="8911" spans="1:10" ht="13.5" hidden="1" thickBot="1">
      <c r="A8911" s="27"/>
      <c r="B8911" s="110"/>
      <c r="D8911" s="401" t="s">
        <v>71</v>
      </c>
      <c r="E8911" s="402" t="s">
        <v>72</v>
      </c>
      <c r="F8911" s="418"/>
      <c r="G8911" s="419"/>
      <c r="H8911" s="442"/>
      <c r="I8911" s="421">
        <f>IF(AND(E8911&lt;&gt;"",G8911&lt;&gt;""),IF(D8911="",IF(G8911="OH",VLOOKUP(E8911,UPAH!$C$4:$H$31,7,0),VLOOKUP(E8911,#REF!,4,0)),0),0)</f>
        <v>0</v>
      </c>
      <c r="J8911" s="396" t="e">
        <f>ROUNDDOWN(J8909+J8910,0)</f>
        <v>#VALUE!</v>
      </c>
    </row>
    <row r="8912" spans="1:10" ht="13">
      <c r="A8912" s="27"/>
      <c r="B8912" s="110"/>
      <c r="D8912" s="11"/>
      <c r="E8912" s="11"/>
      <c r="H8912" s="443"/>
      <c r="I8912" s="17"/>
      <c r="J8912" s="18"/>
    </row>
    <row r="8913" spans="1:10" ht="13.5" thickBot="1">
      <c r="A8913" s="27"/>
      <c r="B8913" s="110"/>
      <c r="C8913" s="11" t="s">
        <v>1453</v>
      </c>
      <c r="D8913" s="10" t="s">
        <v>1488</v>
      </c>
      <c r="H8913" s="443"/>
    </row>
    <row r="8914" spans="1:10" ht="13.5" thickBot="1">
      <c r="A8914" s="27"/>
      <c r="B8914" s="110"/>
      <c r="D8914" s="401" t="s">
        <v>40</v>
      </c>
      <c r="E8914" s="402" t="s">
        <v>41</v>
      </c>
      <c r="F8914" s="402" t="s">
        <v>42</v>
      </c>
      <c r="G8914" s="403" t="s">
        <v>43</v>
      </c>
      <c r="H8914" s="404" t="s">
        <v>44</v>
      </c>
      <c r="I8914" s="402" t="s">
        <v>474</v>
      </c>
      <c r="J8914" s="405" t="s">
        <v>475</v>
      </c>
    </row>
    <row r="8915" spans="1:10" ht="13">
      <c r="A8915" s="27"/>
      <c r="B8915" s="110"/>
      <c r="D8915" s="444" t="s">
        <v>45</v>
      </c>
      <c r="E8915" s="445" t="s">
        <v>46</v>
      </c>
      <c r="F8915" s="446"/>
      <c r="G8915" s="447"/>
      <c r="H8915" s="448"/>
      <c r="I8915" s="449"/>
      <c r="J8915" s="450"/>
    </row>
    <row r="8916" spans="1:10" ht="13">
      <c r="A8916" s="27"/>
      <c r="B8916" s="110"/>
      <c r="D8916" s="409"/>
      <c r="E8916" s="13" t="s">
        <v>47</v>
      </c>
      <c r="F8916" s="13" t="s">
        <v>1918</v>
      </c>
      <c r="G8916" s="543" t="s">
        <v>48</v>
      </c>
      <c r="H8916" s="548">
        <v>0.34499999999999997</v>
      </c>
      <c r="I8916" s="412">
        <f>IF(AND(E8916&lt;&gt;"",G8916&lt;&gt;""),IF(D8916="",IF(G8916="OH",VLOOKUP(F8916,UPAH!$B$4:$H$101,7,0),VLOOKUP(F8916,#REF!,4,0)),0),0)</f>
        <v>0</v>
      </c>
      <c r="J8916" s="16">
        <f>H8916*I8916</f>
        <v>0</v>
      </c>
    </row>
    <row r="8917" spans="1:10" ht="13">
      <c r="A8917" s="27"/>
      <c r="B8917" s="110"/>
      <c r="D8917" s="409"/>
      <c r="E8917" s="13" t="s">
        <v>283</v>
      </c>
      <c r="F8917" s="13" t="s">
        <v>1913</v>
      </c>
      <c r="G8917" s="543" t="s">
        <v>48</v>
      </c>
      <c r="H8917" s="548">
        <v>0.17199999999999999</v>
      </c>
      <c r="I8917" s="412">
        <f>IF(AND(E8917&lt;&gt;"",G8917&lt;&gt;""),IF(D8917="",IF(G8917="OH",VLOOKUP(F8917,UPAH!$B$4:$H$101,7,0),VLOOKUP(F8917,#REF!,4,0)),0),0)</f>
        <v>0</v>
      </c>
      <c r="J8917" s="16">
        <f>H8917*I8917</f>
        <v>0</v>
      </c>
    </row>
    <row r="8918" spans="1:10" ht="13.5" thickBot="1">
      <c r="A8918" s="27"/>
      <c r="B8918" s="110"/>
      <c r="D8918" s="409"/>
      <c r="E8918" s="13" t="s">
        <v>51</v>
      </c>
      <c r="F8918" s="13" t="s">
        <v>1929</v>
      </c>
      <c r="G8918" s="543" t="s">
        <v>48</v>
      </c>
      <c r="H8918" s="548">
        <v>3.4000000000000002E-2</v>
      </c>
      <c r="I8918" s="412">
        <f>IF(AND(E8918&lt;&gt;"",G8918&lt;&gt;""),IF(D8918="",IF(G8918="OH",VLOOKUP(F8918,UPAH!$B$4:$H$101,7,0),VLOOKUP(F8918,#REF!,4,0)),0),0)</f>
        <v>0</v>
      </c>
      <c r="J8918" s="16">
        <f>H8918*I8918</f>
        <v>0</v>
      </c>
    </row>
    <row r="8919" spans="1:10" ht="13.5" thickBot="1">
      <c r="A8919" s="27"/>
      <c r="B8919" s="110"/>
      <c r="D8919" s="417"/>
      <c r="E8919" s="418"/>
      <c r="F8919" s="418"/>
      <c r="G8919" s="419"/>
      <c r="H8919" s="420" t="s">
        <v>52</v>
      </c>
      <c r="I8919" s="421"/>
      <c r="J8919" s="396">
        <f>SUM(J8915:J8918)</f>
        <v>0</v>
      </c>
    </row>
    <row r="8920" spans="1:10" ht="13">
      <c r="A8920" s="27"/>
      <c r="B8920" s="110"/>
      <c r="D8920" s="406" t="s">
        <v>53</v>
      </c>
      <c r="E8920" s="13" t="s">
        <v>54</v>
      </c>
      <c r="F8920" s="14"/>
      <c r="G8920" s="15"/>
      <c r="H8920" s="451"/>
      <c r="I8920" s="412"/>
      <c r="J8920" s="16"/>
    </row>
    <row r="8921" spans="1:10" ht="13.5" thickBot="1">
      <c r="A8921" s="27"/>
      <c r="B8921" s="110"/>
      <c r="D8921" s="409"/>
      <c r="E8921" s="13" t="s">
        <v>314</v>
      </c>
      <c r="F8921" s="14"/>
      <c r="G8921" s="543" t="s">
        <v>113</v>
      </c>
      <c r="H8921" s="548">
        <v>1</v>
      </c>
      <c r="I8921" s="412">
        <f>'BAHAN '!G363</f>
        <v>0</v>
      </c>
      <c r="J8921" s="16">
        <f>H8921*I8921</f>
        <v>0</v>
      </c>
    </row>
    <row r="8922" spans="1:10" ht="13.5" thickBot="1">
      <c r="A8922" s="27"/>
      <c r="B8922" s="110"/>
      <c r="D8922" s="417"/>
      <c r="E8922" s="418"/>
      <c r="F8922" s="418"/>
      <c r="G8922" s="419"/>
      <c r="H8922" s="420" t="s">
        <v>64</v>
      </c>
      <c r="I8922" s="421"/>
      <c r="J8922" s="396">
        <f>SUM(J8921)</f>
        <v>0</v>
      </c>
    </row>
    <row r="8923" spans="1:10" ht="13">
      <c r="A8923" s="27"/>
      <c r="B8923" s="110"/>
      <c r="D8923" s="406" t="s">
        <v>65</v>
      </c>
      <c r="E8923" s="13" t="s">
        <v>66</v>
      </c>
      <c r="F8923" s="14"/>
      <c r="G8923" s="15"/>
      <c r="H8923" s="451"/>
      <c r="I8923" s="412"/>
      <c r="J8923" s="16"/>
    </row>
    <row r="8924" spans="1:10" ht="13.5" thickBot="1">
      <c r="A8924" s="27"/>
      <c r="B8924" s="110"/>
      <c r="D8924" s="409"/>
      <c r="E8924" s="13" t="s">
        <v>446</v>
      </c>
      <c r="F8924" s="14"/>
      <c r="G8924" s="543" t="s">
        <v>285</v>
      </c>
      <c r="H8924" s="548">
        <v>3.7999999999999999E-2</v>
      </c>
      <c r="I8924" s="412">
        <f>Alat!H102</f>
        <v>0</v>
      </c>
      <c r="J8924" s="16">
        <f>H8924*I8924</f>
        <v>0</v>
      </c>
    </row>
    <row r="8925" spans="1:10" ht="13.5" thickBot="1">
      <c r="A8925" s="27"/>
      <c r="B8925" s="110"/>
      <c r="D8925" s="417"/>
      <c r="E8925" s="418"/>
      <c r="F8925" s="418"/>
      <c r="G8925" s="419"/>
      <c r="H8925" s="420" t="s">
        <v>67</v>
      </c>
      <c r="I8925" s="421"/>
      <c r="J8925" s="396">
        <f>J8924</f>
        <v>0</v>
      </c>
    </row>
    <row r="8926" spans="1:10" ht="13">
      <c r="A8926" s="27"/>
      <c r="B8926" s="110"/>
      <c r="D8926" s="444" t="s">
        <v>68</v>
      </c>
      <c r="E8926" s="445" t="s">
        <v>69</v>
      </c>
      <c r="F8926" s="446"/>
      <c r="G8926" s="447"/>
      <c r="H8926" s="448"/>
      <c r="I8926" s="449">
        <f>IF(AND(E8926&lt;&gt;"",G8926&lt;&gt;""),IF(D8926="",IF(G8926="OH",VLOOKUP(E8926,UPAH!$C$4:$H$31,7,0),VLOOKUP(E8926,#REF!,4,0)),0),0)</f>
        <v>0</v>
      </c>
      <c r="J8926" s="16">
        <f>SUM(J8915:J8925)/2</f>
        <v>0</v>
      </c>
    </row>
    <row r="8927" spans="1:10" ht="13.5" thickBot="1">
      <c r="A8927" s="27"/>
      <c r="B8927" s="110"/>
      <c r="D8927" s="431" t="s">
        <v>70</v>
      </c>
      <c r="E8927" s="432" t="s">
        <v>477</v>
      </c>
      <c r="F8927" s="433"/>
      <c r="G8927" s="434"/>
      <c r="H8927" s="22">
        <v>0.1</v>
      </c>
      <c r="I8927" s="436"/>
      <c r="J8927" s="430">
        <f>H8927*J8926</f>
        <v>0</v>
      </c>
    </row>
    <row r="8928" spans="1:10" ht="13.5" thickBot="1">
      <c r="A8928" s="27"/>
      <c r="B8928" s="110"/>
      <c r="D8928" s="401" t="s">
        <v>71</v>
      </c>
      <c r="E8928" s="402" t="s">
        <v>72</v>
      </c>
      <c r="F8928" s="418"/>
      <c r="G8928" s="419"/>
      <c r="H8928" s="442"/>
      <c r="I8928" s="421">
        <f>IF(AND(E8928&lt;&gt;"",G8928&lt;&gt;""),IF(D8928="",IF(G8928="OH",VLOOKUP(E8928,UPAH!$C$4:$H$31,7,0),VLOOKUP(E8928,#REF!,4,0)),0),0)</f>
        <v>0</v>
      </c>
      <c r="J8928" s="396">
        <f>ROUNDDOWN(J8926+J8927,0)</f>
        <v>0</v>
      </c>
    </row>
    <row r="8929" spans="1:10" ht="13">
      <c r="A8929" s="27"/>
      <c r="B8929" s="110"/>
      <c r="D8929" s="11"/>
      <c r="E8929" s="11"/>
      <c r="H8929" s="443"/>
      <c r="I8929" s="17"/>
      <c r="J8929" s="18"/>
    </row>
    <row r="8930" spans="1:10" ht="13.5" thickBot="1">
      <c r="A8930" s="27"/>
      <c r="B8930" s="110"/>
      <c r="C8930" s="11" t="s">
        <v>1452</v>
      </c>
      <c r="D8930" s="10" t="s">
        <v>1489</v>
      </c>
      <c r="H8930" s="443"/>
    </row>
    <row r="8931" spans="1:10" ht="13.5" thickBot="1">
      <c r="A8931" s="27"/>
      <c r="B8931" s="110"/>
      <c r="D8931" s="401" t="s">
        <v>40</v>
      </c>
      <c r="E8931" s="402" t="s">
        <v>41</v>
      </c>
      <c r="F8931" s="402" t="s">
        <v>42</v>
      </c>
      <c r="G8931" s="403" t="s">
        <v>43</v>
      </c>
      <c r="H8931" s="404" t="s">
        <v>44</v>
      </c>
      <c r="I8931" s="402" t="s">
        <v>474</v>
      </c>
      <c r="J8931" s="405" t="s">
        <v>475</v>
      </c>
    </row>
    <row r="8932" spans="1:10" ht="13">
      <c r="A8932" s="27"/>
      <c r="B8932" s="110"/>
      <c r="D8932" s="444" t="s">
        <v>45</v>
      </c>
      <c r="E8932" s="445" t="s">
        <v>46</v>
      </c>
      <c r="F8932" s="446"/>
      <c r="G8932" s="447"/>
      <c r="H8932" s="448"/>
      <c r="I8932" s="449"/>
      <c r="J8932" s="450"/>
    </row>
    <row r="8933" spans="1:10" ht="13">
      <c r="A8933" s="27"/>
      <c r="B8933" s="110"/>
      <c r="D8933" s="409"/>
      <c r="E8933" s="13" t="s">
        <v>47</v>
      </c>
      <c r="F8933" s="13" t="s">
        <v>1918</v>
      </c>
      <c r="G8933" s="543" t="s">
        <v>48</v>
      </c>
      <c r="H8933" s="548">
        <v>0.4</v>
      </c>
      <c r="I8933" s="412">
        <f>IF(AND(E8933&lt;&gt;"",G8933&lt;&gt;""),IF(D8933="",IF(G8933="OH",VLOOKUP(F8933,UPAH!$B$4:$H$101,7,0),VLOOKUP(F8933,#REF!,4,0)),0),0)</f>
        <v>0</v>
      </c>
      <c r="J8933" s="16">
        <f>H8933*I8933</f>
        <v>0</v>
      </c>
    </row>
    <row r="8934" spans="1:10" ht="13">
      <c r="A8934" s="27"/>
      <c r="B8934" s="110"/>
      <c r="D8934" s="409"/>
      <c r="E8934" s="13" t="s">
        <v>283</v>
      </c>
      <c r="F8934" s="13" t="s">
        <v>1913</v>
      </c>
      <c r="G8934" s="543" t="s">
        <v>48</v>
      </c>
      <c r="H8934" s="548">
        <v>0.2</v>
      </c>
      <c r="I8934" s="412">
        <f>IF(AND(E8934&lt;&gt;"",G8934&lt;&gt;""),IF(D8934="",IF(G8934="OH",VLOOKUP(F8934,UPAH!$B$4:$H$101,7,0),VLOOKUP(F8934,#REF!,4,0)),0),0)</f>
        <v>0</v>
      </c>
      <c r="J8934" s="16">
        <f>H8934*I8934</f>
        <v>0</v>
      </c>
    </row>
    <row r="8935" spans="1:10" ht="13.5" thickBot="1">
      <c r="A8935" s="27"/>
      <c r="B8935" s="110"/>
      <c r="D8935" s="409"/>
      <c r="E8935" s="13" t="s">
        <v>51</v>
      </c>
      <c r="F8935" s="13" t="s">
        <v>1929</v>
      </c>
      <c r="G8935" s="543" t="s">
        <v>48</v>
      </c>
      <c r="H8935" s="548">
        <v>0.04</v>
      </c>
      <c r="I8935" s="412">
        <f>IF(AND(E8935&lt;&gt;"",G8935&lt;&gt;""),IF(D8935="",IF(G8935="OH",VLOOKUP(F8935,UPAH!$B$4:$H$101,7,0),VLOOKUP(F8935,#REF!,4,0)),0),0)</f>
        <v>0</v>
      </c>
      <c r="J8935" s="16">
        <f>H8935*I8935</f>
        <v>0</v>
      </c>
    </row>
    <row r="8936" spans="1:10" ht="13.5" thickBot="1">
      <c r="A8936" s="27"/>
      <c r="B8936" s="110"/>
      <c r="D8936" s="417"/>
      <c r="E8936" s="418"/>
      <c r="F8936" s="418"/>
      <c r="G8936" s="419"/>
      <c r="H8936" s="420" t="s">
        <v>52</v>
      </c>
      <c r="I8936" s="421"/>
      <c r="J8936" s="396">
        <f>SUM(J8932:J8935)</f>
        <v>0</v>
      </c>
    </row>
    <row r="8937" spans="1:10" ht="13">
      <c r="A8937" s="27"/>
      <c r="B8937" s="110"/>
      <c r="D8937" s="406" t="s">
        <v>53</v>
      </c>
      <c r="E8937" s="13" t="s">
        <v>54</v>
      </c>
      <c r="F8937" s="14"/>
      <c r="G8937" s="15"/>
      <c r="H8937" s="451"/>
      <c r="I8937" s="412"/>
      <c r="J8937" s="16"/>
    </row>
    <row r="8938" spans="1:10" ht="13.5" thickBot="1">
      <c r="A8938" s="27"/>
      <c r="B8938" s="110"/>
      <c r="D8938" s="409"/>
      <c r="E8938" s="13" t="s">
        <v>315</v>
      </c>
      <c r="F8938" s="14"/>
      <c r="G8938" s="543" t="s">
        <v>113</v>
      </c>
      <c r="H8938" s="548">
        <v>1</v>
      </c>
      <c r="I8938" s="412">
        <f>'BAHAN '!G363</f>
        <v>0</v>
      </c>
      <c r="J8938" s="16">
        <f>H8938*I8938</f>
        <v>0</v>
      </c>
    </row>
    <row r="8939" spans="1:10" ht="13.5" thickBot="1">
      <c r="A8939" s="27"/>
      <c r="B8939" s="110"/>
      <c r="D8939" s="417"/>
      <c r="E8939" s="418"/>
      <c r="F8939" s="418"/>
      <c r="G8939" s="419"/>
      <c r="H8939" s="420" t="s">
        <v>64</v>
      </c>
      <c r="I8939" s="421"/>
      <c r="J8939" s="396">
        <f>SUM(J8938)</f>
        <v>0</v>
      </c>
    </row>
    <row r="8940" spans="1:10" ht="13">
      <c r="A8940" s="27"/>
      <c r="B8940" s="110"/>
      <c r="D8940" s="406" t="s">
        <v>65</v>
      </c>
      <c r="E8940" s="13" t="s">
        <v>66</v>
      </c>
      <c r="F8940" s="14"/>
      <c r="G8940" s="15"/>
      <c r="H8940" s="451"/>
      <c r="I8940" s="412"/>
      <c r="J8940" s="16"/>
    </row>
    <row r="8941" spans="1:10" ht="13.5" thickBot="1">
      <c r="A8941" s="27"/>
      <c r="B8941" s="110"/>
      <c r="D8941" s="409"/>
      <c r="E8941" s="13" t="s">
        <v>446</v>
      </c>
      <c r="F8941" s="14"/>
      <c r="G8941" s="543" t="s">
        <v>285</v>
      </c>
      <c r="H8941" s="548">
        <v>3.7999999999999999E-2</v>
      </c>
      <c r="I8941" s="412">
        <f>Alat!H102</f>
        <v>0</v>
      </c>
      <c r="J8941" s="16">
        <f>H8941*I8941</f>
        <v>0</v>
      </c>
    </row>
    <row r="8942" spans="1:10" ht="13.5" thickBot="1">
      <c r="A8942" s="27"/>
      <c r="B8942" s="110"/>
      <c r="D8942" s="417"/>
      <c r="E8942" s="418"/>
      <c r="F8942" s="418"/>
      <c r="G8942" s="419"/>
      <c r="H8942" s="420" t="s">
        <v>67</v>
      </c>
      <c r="I8942" s="421"/>
      <c r="J8942" s="396">
        <f>J8941</f>
        <v>0</v>
      </c>
    </row>
    <row r="8943" spans="1:10" ht="13">
      <c r="A8943" s="27"/>
      <c r="B8943" s="110"/>
      <c r="D8943" s="444" t="s">
        <v>68</v>
      </c>
      <c r="E8943" s="445" t="s">
        <v>69</v>
      </c>
      <c r="F8943" s="446"/>
      <c r="G8943" s="447"/>
      <c r="H8943" s="448"/>
      <c r="I8943" s="449">
        <f>IF(AND(E8943&lt;&gt;"",G8943&lt;&gt;""),IF(D8943="",IF(G8943="OH",VLOOKUP(E8943,UPAH!$C$4:$H$31,7,0),VLOOKUP(E8943,#REF!,4,0)),0),0)</f>
        <v>0</v>
      </c>
      <c r="J8943" s="16">
        <f>SUM(J8932:J8942)/2</f>
        <v>0</v>
      </c>
    </row>
    <row r="8944" spans="1:10" ht="13.5" thickBot="1">
      <c r="A8944" s="27"/>
      <c r="B8944" s="110"/>
      <c r="D8944" s="431" t="s">
        <v>70</v>
      </c>
      <c r="E8944" s="432" t="s">
        <v>477</v>
      </c>
      <c r="F8944" s="433"/>
      <c r="G8944" s="434"/>
      <c r="H8944" s="22">
        <v>0.1</v>
      </c>
      <c r="I8944" s="436"/>
      <c r="J8944" s="430">
        <f>H8944*J8943</f>
        <v>0</v>
      </c>
    </row>
    <row r="8945" spans="1:10" ht="13.5" thickBot="1">
      <c r="A8945" s="27"/>
      <c r="B8945" s="110"/>
      <c r="D8945" s="401" t="s">
        <v>71</v>
      </c>
      <c r="E8945" s="402" t="s">
        <v>72</v>
      </c>
      <c r="F8945" s="418"/>
      <c r="G8945" s="419"/>
      <c r="H8945" s="442"/>
      <c r="I8945" s="421">
        <f>IF(AND(E8945&lt;&gt;"",G8945&lt;&gt;""),IF(D8945="",IF(G8945="OH",VLOOKUP(E8945,UPAH!$C$4:$H$31,7,0),VLOOKUP(E8945,#REF!,4,0)),0),0)</f>
        <v>0</v>
      </c>
      <c r="J8945" s="396">
        <f>ROUNDDOWN(J8943+J8944,0)</f>
        <v>0</v>
      </c>
    </row>
    <row r="8946" spans="1:10" ht="13">
      <c r="A8946" s="27"/>
      <c r="B8946" s="110"/>
      <c r="D8946" s="11"/>
      <c r="E8946" s="11"/>
      <c r="H8946" s="443"/>
      <c r="I8946" s="17"/>
      <c r="J8946" s="18"/>
    </row>
    <row r="8947" spans="1:10" ht="13.5" thickBot="1">
      <c r="A8947" s="27"/>
      <c r="B8947" s="110"/>
      <c r="C8947" s="11" t="s">
        <v>1451</v>
      </c>
      <c r="D8947" s="10" t="s">
        <v>1490</v>
      </c>
      <c r="H8947" s="443"/>
    </row>
    <row r="8948" spans="1:10" ht="13.5" thickBot="1">
      <c r="A8948" s="27"/>
      <c r="B8948" s="110"/>
      <c r="D8948" s="401" t="s">
        <v>40</v>
      </c>
      <c r="E8948" s="402" t="s">
        <v>41</v>
      </c>
      <c r="F8948" s="402" t="s">
        <v>42</v>
      </c>
      <c r="G8948" s="403" t="s">
        <v>43</v>
      </c>
      <c r="H8948" s="404" t="s">
        <v>44</v>
      </c>
      <c r="I8948" s="402" t="s">
        <v>474</v>
      </c>
      <c r="J8948" s="405" t="s">
        <v>475</v>
      </c>
    </row>
    <row r="8949" spans="1:10" ht="13">
      <c r="A8949" s="27"/>
      <c r="B8949" s="110"/>
      <c r="D8949" s="444" t="s">
        <v>45</v>
      </c>
      <c r="E8949" s="445" t="s">
        <v>46</v>
      </c>
      <c r="F8949" s="446"/>
      <c r="G8949" s="447"/>
      <c r="H8949" s="448"/>
      <c r="I8949" s="449"/>
      <c r="J8949" s="450"/>
    </row>
    <row r="8950" spans="1:10" ht="13">
      <c r="A8950" s="27"/>
      <c r="B8950" s="110"/>
      <c r="D8950" s="409"/>
      <c r="E8950" s="13" t="s">
        <v>47</v>
      </c>
      <c r="F8950" s="13" t="s">
        <v>1918</v>
      </c>
      <c r="G8950" s="543" t="s">
        <v>48</v>
      </c>
      <c r="H8950" s="548">
        <v>0.44800000000000001</v>
      </c>
      <c r="I8950" s="412">
        <f>IF(AND(E8950&lt;&gt;"",G8950&lt;&gt;""),IF(D8950="",IF(G8950="OH",VLOOKUP(F8950,UPAH!$B$4:$H$101,7,0),VLOOKUP(F8950,#REF!,4,0)),0),0)</f>
        <v>0</v>
      </c>
      <c r="J8950" s="16">
        <f>H8950*I8950</f>
        <v>0</v>
      </c>
    </row>
    <row r="8951" spans="1:10" ht="13">
      <c r="A8951" s="27"/>
      <c r="B8951" s="110"/>
      <c r="D8951" s="409"/>
      <c r="E8951" s="13" t="s">
        <v>283</v>
      </c>
      <c r="F8951" s="13" t="s">
        <v>1913</v>
      </c>
      <c r="G8951" s="543" t="s">
        <v>48</v>
      </c>
      <c r="H8951" s="548">
        <v>0.224</v>
      </c>
      <c r="I8951" s="412">
        <f>IF(AND(E8951&lt;&gt;"",G8951&lt;&gt;""),IF(D8951="",IF(G8951="OH",VLOOKUP(F8951,UPAH!$B$4:$H$101,7,0),VLOOKUP(F8951,#REF!,4,0)),0),0)</f>
        <v>0</v>
      </c>
      <c r="J8951" s="16">
        <f>H8951*I8951</f>
        <v>0</v>
      </c>
    </row>
    <row r="8952" spans="1:10" ht="13.5" thickBot="1">
      <c r="A8952" s="27"/>
      <c r="B8952" s="110"/>
      <c r="D8952" s="409"/>
      <c r="E8952" s="13" t="s">
        <v>51</v>
      </c>
      <c r="F8952" s="13" t="s">
        <v>1929</v>
      </c>
      <c r="G8952" s="543" t="s">
        <v>48</v>
      </c>
      <c r="H8952" s="548">
        <v>4.4999999999999998E-2</v>
      </c>
      <c r="I8952" s="412">
        <f>IF(AND(E8952&lt;&gt;"",G8952&lt;&gt;""),IF(D8952="",IF(G8952="OH",VLOOKUP(F8952,UPAH!$B$4:$H$101,7,0),VLOOKUP(F8952,#REF!,4,0)),0),0)</f>
        <v>0</v>
      </c>
      <c r="J8952" s="16">
        <f>H8952*I8952</f>
        <v>0</v>
      </c>
    </row>
    <row r="8953" spans="1:10" ht="13.5" thickBot="1">
      <c r="A8953" s="27"/>
      <c r="B8953" s="110"/>
      <c r="D8953" s="417"/>
      <c r="E8953" s="418"/>
      <c r="F8953" s="418"/>
      <c r="G8953" s="419"/>
      <c r="H8953" s="420" t="s">
        <v>52</v>
      </c>
      <c r="I8953" s="421"/>
      <c r="J8953" s="396">
        <f>SUM(J8949:J8952)</f>
        <v>0</v>
      </c>
    </row>
    <row r="8954" spans="1:10" ht="13">
      <c r="A8954" s="27"/>
      <c r="B8954" s="110"/>
      <c r="D8954" s="406" t="s">
        <v>53</v>
      </c>
      <c r="E8954" s="13" t="s">
        <v>54</v>
      </c>
      <c r="F8954" s="14"/>
      <c r="G8954" s="15"/>
      <c r="H8954" s="451"/>
      <c r="I8954" s="412"/>
      <c r="J8954" s="16"/>
    </row>
    <row r="8955" spans="1:10" ht="13.5" thickBot="1">
      <c r="A8955" s="27"/>
      <c r="B8955" s="110"/>
      <c r="D8955" s="409"/>
      <c r="E8955" s="13" t="s">
        <v>316</v>
      </c>
      <c r="F8955" s="14"/>
      <c r="G8955" s="543" t="s">
        <v>113</v>
      </c>
      <c r="H8955" s="548">
        <v>1</v>
      </c>
      <c r="I8955" s="412">
        <f>'BAHAN '!G362</f>
        <v>0</v>
      </c>
      <c r="J8955" s="16">
        <f>H8955*I8955</f>
        <v>0</v>
      </c>
    </row>
    <row r="8956" spans="1:10" ht="13.5" thickBot="1">
      <c r="A8956" s="27"/>
      <c r="B8956" s="110"/>
      <c r="D8956" s="417"/>
      <c r="E8956" s="418"/>
      <c r="F8956" s="418"/>
      <c r="G8956" s="419"/>
      <c r="H8956" s="420" t="s">
        <v>64</v>
      </c>
      <c r="I8956" s="421"/>
      <c r="J8956" s="396">
        <f>SUM(J8955)</f>
        <v>0</v>
      </c>
    </row>
    <row r="8957" spans="1:10" ht="13">
      <c r="A8957" s="27"/>
      <c r="B8957" s="110"/>
      <c r="D8957" s="406" t="s">
        <v>65</v>
      </c>
      <c r="E8957" s="13" t="s">
        <v>66</v>
      </c>
      <c r="F8957" s="14"/>
      <c r="G8957" s="15"/>
      <c r="H8957" s="451"/>
      <c r="I8957" s="412"/>
      <c r="J8957" s="16"/>
    </row>
    <row r="8958" spans="1:10" ht="13.5" thickBot="1">
      <c r="A8958" s="27"/>
      <c r="B8958" s="110"/>
      <c r="D8958" s="409"/>
      <c r="E8958" s="13" t="s">
        <v>446</v>
      </c>
      <c r="F8958" s="14"/>
      <c r="G8958" s="543" t="s">
        <v>285</v>
      </c>
      <c r="H8958" s="548">
        <v>3.7999999999999999E-2</v>
      </c>
      <c r="I8958" s="412">
        <f>Alat!H102</f>
        <v>0</v>
      </c>
      <c r="J8958" s="16">
        <f>H8958*I8958</f>
        <v>0</v>
      </c>
    </row>
    <row r="8959" spans="1:10" ht="13.5" thickBot="1">
      <c r="A8959" s="27"/>
      <c r="B8959" s="110"/>
      <c r="D8959" s="417"/>
      <c r="E8959" s="418"/>
      <c r="F8959" s="418"/>
      <c r="G8959" s="419"/>
      <c r="H8959" s="420" t="s">
        <v>67</v>
      </c>
      <c r="I8959" s="421"/>
      <c r="J8959" s="396">
        <f>J8958</f>
        <v>0</v>
      </c>
    </row>
    <row r="8960" spans="1:10" ht="13">
      <c r="A8960" s="27"/>
      <c r="B8960" s="110"/>
      <c r="D8960" s="444" t="s">
        <v>68</v>
      </c>
      <c r="E8960" s="445" t="s">
        <v>69</v>
      </c>
      <c r="F8960" s="446"/>
      <c r="G8960" s="447"/>
      <c r="H8960" s="448"/>
      <c r="I8960" s="449">
        <f>IF(AND(E8960&lt;&gt;"",G8960&lt;&gt;""),IF(D8960="",IF(G8960="OH",VLOOKUP(E8960,UPAH!$C$4:$H$31,7,0),VLOOKUP(E8960,#REF!,4,0)),0),0)</f>
        <v>0</v>
      </c>
      <c r="J8960" s="16">
        <f>SUM(J8949:J8959)/2</f>
        <v>0</v>
      </c>
    </row>
    <row r="8961" spans="1:10" ht="13.5" thickBot="1">
      <c r="A8961" s="27"/>
      <c r="B8961" s="110"/>
      <c r="D8961" s="431" t="s">
        <v>70</v>
      </c>
      <c r="E8961" s="432" t="s">
        <v>477</v>
      </c>
      <c r="F8961" s="433"/>
      <c r="G8961" s="434"/>
      <c r="H8961" s="22">
        <v>0.1</v>
      </c>
      <c r="I8961" s="436"/>
      <c r="J8961" s="430">
        <f>H8961*J8960</f>
        <v>0</v>
      </c>
    </row>
    <row r="8962" spans="1:10" ht="13.5" thickBot="1">
      <c r="A8962" s="27"/>
      <c r="B8962" s="110"/>
      <c r="D8962" s="401" t="s">
        <v>71</v>
      </c>
      <c r="E8962" s="402" t="s">
        <v>72</v>
      </c>
      <c r="F8962" s="418"/>
      <c r="G8962" s="419"/>
      <c r="H8962" s="442"/>
      <c r="I8962" s="421">
        <f>IF(AND(E8962&lt;&gt;"",G8962&lt;&gt;""),IF(D8962="",IF(G8962="OH",VLOOKUP(E8962,UPAH!$C$4:$H$31,7,0),VLOOKUP(E8962,#REF!,4,0)),0),0)</f>
        <v>0</v>
      </c>
      <c r="J8962" s="396">
        <f>ROUNDDOWN(J8960+J8961,0)</f>
        <v>0</v>
      </c>
    </row>
    <row r="8963" spans="1:10" ht="13">
      <c r="A8963" s="27"/>
      <c r="B8963" s="110"/>
      <c r="D8963" s="11"/>
      <c r="E8963" s="11"/>
      <c r="H8963" s="443"/>
      <c r="I8963" s="17"/>
      <c r="J8963" s="18"/>
    </row>
    <row r="8964" spans="1:10" ht="13.5" thickBot="1">
      <c r="A8964" s="27"/>
      <c r="B8964" s="110"/>
      <c r="C8964" s="11" t="s">
        <v>1450</v>
      </c>
      <c r="D8964" s="10" t="s">
        <v>1491</v>
      </c>
      <c r="H8964" s="443"/>
    </row>
    <row r="8965" spans="1:10" ht="13.5" thickBot="1">
      <c r="A8965" s="27"/>
      <c r="B8965" s="110"/>
      <c r="D8965" s="401" t="s">
        <v>40</v>
      </c>
      <c r="E8965" s="402" t="s">
        <v>41</v>
      </c>
      <c r="F8965" s="402" t="s">
        <v>42</v>
      </c>
      <c r="G8965" s="403" t="s">
        <v>43</v>
      </c>
      <c r="H8965" s="404" t="s">
        <v>44</v>
      </c>
      <c r="I8965" s="402" t="s">
        <v>474</v>
      </c>
      <c r="J8965" s="405" t="s">
        <v>475</v>
      </c>
    </row>
    <row r="8966" spans="1:10" ht="13">
      <c r="A8966" s="27"/>
      <c r="B8966" s="110"/>
      <c r="D8966" s="444" t="s">
        <v>45</v>
      </c>
      <c r="E8966" s="445" t="s">
        <v>46</v>
      </c>
      <c r="F8966" s="446"/>
      <c r="G8966" s="447"/>
      <c r="H8966" s="448"/>
      <c r="I8966" s="449"/>
      <c r="J8966" s="450"/>
    </row>
    <row r="8967" spans="1:10" ht="13">
      <c r="A8967" s="27"/>
      <c r="B8967" s="110"/>
      <c r="D8967" s="409"/>
      <c r="E8967" s="13" t="s">
        <v>47</v>
      </c>
      <c r="F8967" s="13" t="s">
        <v>1918</v>
      </c>
      <c r="G8967" s="543" t="s">
        <v>48</v>
      </c>
      <c r="H8967" s="548">
        <v>0.50600000000000001</v>
      </c>
      <c r="I8967" s="412">
        <f>IF(AND(E8967&lt;&gt;"",G8967&lt;&gt;""),IF(D8967="",IF(G8967="OH",VLOOKUP(F8967,UPAH!$B$4:$H$101,7,0),VLOOKUP(F8967,#REF!,4,0)),0),0)</f>
        <v>0</v>
      </c>
      <c r="J8967" s="16">
        <f>H8967*I8967</f>
        <v>0</v>
      </c>
    </row>
    <row r="8968" spans="1:10" ht="13">
      <c r="A8968" s="27"/>
      <c r="B8968" s="110"/>
      <c r="D8968" s="409"/>
      <c r="E8968" s="13" t="s">
        <v>283</v>
      </c>
      <c r="F8968" s="13" t="s">
        <v>1913</v>
      </c>
      <c r="G8968" s="543" t="s">
        <v>48</v>
      </c>
      <c r="H8968" s="548">
        <v>0.253</v>
      </c>
      <c r="I8968" s="412">
        <f>IF(AND(E8968&lt;&gt;"",G8968&lt;&gt;""),IF(D8968="",IF(G8968="OH",VLOOKUP(F8968,UPAH!$B$4:$H$101,7,0),VLOOKUP(F8968,#REF!,4,0)),0),0)</f>
        <v>0</v>
      </c>
      <c r="J8968" s="16">
        <f>H8968*I8968</f>
        <v>0</v>
      </c>
    </row>
    <row r="8969" spans="1:10" ht="13.5" thickBot="1">
      <c r="A8969" s="27"/>
      <c r="B8969" s="110"/>
      <c r="D8969" s="409"/>
      <c r="E8969" s="13" t="s">
        <v>51</v>
      </c>
      <c r="F8969" s="13" t="s">
        <v>1929</v>
      </c>
      <c r="G8969" s="543" t="s">
        <v>48</v>
      </c>
      <c r="H8969" s="548">
        <v>5.0999999999999997E-2</v>
      </c>
      <c r="I8969" s="412">
        <f>IF(AND(E8969&lt;&gt;"",G8969&lt;&gt;""),IF(D8969="",IF(G8969="OH",VLOOKUP(F8969,UPAH!$B$4:$H$101,7,0),VLOOKUP(F8969,#REF!,4,0)),0),0)</f>
        <v>0</v>
      </c>
      <c r="J8969" s="16">
        <f>H8969*I8969</f>
        <v>0</v>
      </c>
    </row>
    <row r="8970" spans="1:10" ht="13.5" thickBot="1">
      <c r="A8970" s="27"/>
      <c r="B8970" s="110"/>
      <c r="D8970" s="417"/>
      <c r="E8970" s="418"/>
      <c r="F8970" s="418"/>
      <c r="G8970" s="419"/>
      <c r="H8970" s="420" t="s">
        <v>52</v>
      </c>
      <c r="I8970" s="421"/>
      <c r="J8970" s="396">
        <f>SUM(J8966:J8969)</f>
        <v>0</v>
      </c>
    </row>
    <row r="8971" spans="1:10" ht="13">
      <c r="A8971" s="27"/>
      <c r="B8971" s="110"/>
      <c r="D8971" s="406" t="s">
        <v>53</v>
      </c>
      <c r="E8971" s="13" t="s">
        <v>54</v>
      </c>
      <c r="F8971" s="14"/>
      <c r="G8971" s="15"/>
      <c r="H8971" s="451"/>
      <c r="I8971" s="412"/>
      <c r="J8971" s="16"/>
    </row>
    <row r="8972" spans="1:10" ht="13.5" thickBot="1">
      <c r="A8972" s="27"/>
      <c r="B8972" s="110"/>
      <c r="D8972" s="409"/>
      <c r="E8972" s="13" t="s">
        <v>317</v>
      </c>
      <c r="F8972" s="14"/>
      <c r="G8972" s="543" t="s">
        <v>113</v>
      </c>
      <c r="H8972" s="548">
        <v>1</v>
      </c>
      <c r="I8972" s="412">
        <f>'BAHAN '!G361</f>
        <v>0</v>
      </c>
      <c r="J8972" s="16">
        <f>H8972*I8972</f>
        <v>0</v>
      </c>
    </row>
    <row r="8973" spans="1:10" ht="13.5" thickBot="1">
      <c r="A8973" s="27"/>
      <c r="B8973" s="110"/>
      <c r="D8973" s="417"/>
      <c r="E8973" s="418"/>
      <c r="F8973" s="418"/>
      <c r="G8973" s="419"/>
      <c r="H8973" s="420" t="s">
        <v>64</v>
      </c>
      <c r="I8973" s="421"/>
      <c r="J8973" s="396">
        <f>SUM(J8972)</f>
        <v>0</v>
      </c>
    </row>
    <row r="8974" spans="1:10" ht="13">
      <c r="A8974" s="27"/>
      <c r="B8974" s="110"/>
      <c r="D8974" s="406" t="s">
        <v>65</v>
      </c>
      <c r="E8974" s="13" t="s">
        <v>66</v>
      </c>
      <c r="F8974" s="14"/>
      <c r="G8974" s="15"/>
      <c r="H8974" s="451"/>
      <c r="I8974" s="412"/>
      <c r="J8974" s="16"/>
    </row>
    <row r="8975" spans="1:10" ht="13.5" thickBot="1">
      <c r="A8975" s="27"/>
      <c r="B8975" s="110"/>
      <c r="D8975" s="409"/>
      <c r="E8975" s="13" t="s">
        <v>446</v>
      </c>
      <c r="F8975" s="14"/>
      <c r="G8975" s="543" t="s">
        <v>285</v>
      </c>
      <c r="H8975" s="548">
        <v>4.2000000000000003E-2</v>
      </c>
      <c r="I8975" s="412">
        <f>Alat!H102</f>
        <v>0</v>
      </c>
      <c r="J8975" s="16">
        <f>H8975*I8975</f>
        <v>0</v>
      </c>
    </row>
    <row r="8976" spans="1:10" ht="13.5" thickBot="1">
      <c r="A8976" s="27"/>
      <c r="B8976" s="110"/>
      <c r="D8976" s="417"/>
      <c r="E8976" s="418"/>
      <c r="F8976" s="418"/>
      <c r="G8976" s="419"/>
      <c r="H8976" s="420" t="s">
        <v>67</v>
      </c>
      <c r="I8976" s="421"/>
      <c r="J8976" s="396">
        <f>J8975</f>
        <v>0</v>
      </c>
    </row>
    <row r="8977" spans="1:10" ht="13">
      <c r="A8977" s="27"/>
      <c r="B8977" s="110"/>
      <c r="D8977" s="444" t="s">
        <v>68</v>
      </c>
      <c r="E8977" s="445" t="s">
        <v>69</v>
      </c>
      <c r="F8977" s="446"/>
      <c r="G8977" s="447"/>
      <c r="H8977" s="448"/>
      <c r="I8977" s="449">
        <f>IF(AND(E8977&lt;&gt;"",G8977&lt;&gt;""),IF(D8977="",IF(G8977="OH",VLOOKUP(E8977,UPAH!$C$4:$H$31,7,0),VLOOKUP(E8977,#REF!,4,0)),0),0)</f>
        <v>0</v>
      </c>
      <c r="J8977" s="16">
        <f>SUM(J8966:J8976)/2</f>
        <v>0</v>
      </c>
    </row>
    <row r="8978" spans="1:10" ht="13.5" thickBot="1">
      <c r="A8978" s="27"/>
      <c r="B8978" s="110"/>
      <c r="D8978" s="431" t="s">
        <v>70</v>
      </c>
      <c r="E8978" s="432" t="s">
        <v>477</v>
      </c>
      <c r="F8978" s="433"/>
      <c r="G8978" s="434"/>
      <c r="H8978" s="22">
        <v>0.1</v>
      </c>
      <c r="I8978" s="436"/>
      <c r="J8978" s="430">
        <f>H8978*J8977</f>
        <v>0</v>
      </c>
    </row>
    <row r="8979" spans="1:10" ht="13.5" thickBot="1">
      <c r="A8979" s="27"/>
      <c r="B8979" s="110"/>
      <c r="D8979" s="401" t="s">
        <v>71</v>
      </c>
      <c r="E8979" s="402" t="s">
        <v>72</v>
      </c>
      <c r="F8979" s="418"/>
      <c r="G8979" s="419"/>
      <c r="H8979" s="442"/>
      <c r="I8979" s="421">
        <f>IF(AND(E8979&lt;&gt;"",G8979&lt;&gt;""),IF(D8979="",IF(G8979="OH",VLOOKUP(E8979,UPAH!$C$4:$H$31,7,0),VLOOKUP(E8979,#REF!,4,0)),0),0)</f>
        <v>0</v>
      </c>
      <c r="J8979" s="396">
        <f>ROUNDDOWN(J8977+J8978,0)</f>
        <v>0</v>
      </c>
    </row>
    <row r="8980" spans="1:10" ht="13">
      <c r="A8980" s="27"/>
      <c r="B8980" s="110"/>
      <c r="D8980" s="11"/>
      <c r="E8980" s="11"/>
      <c r="H8980" s="443"/>
      <c r="I8980" s="17"/>
      <c r="J8980" s="18"/>
    </row>
    <row r="8981" spans="1:10" ht="13.5" thickBot="1">
      <c r="A8981" s="27"/>
      <c r="B8981" s="110"/>
      <c r="C8981" s="11" t="s">
        <v>1449</v>
      </c>
      <c r="D8981" s="10" t="s">
        <v>1492</v>
      </c>
      <c r="H8981" s="443"/>
    </row>
    <row r="8982" spans="1:10" ht="13.5" thickBot="1">
      <c r="A8982" s="27"/>
      <c r="B8982" s="110"/>
      <c r="D8982" s="401" t="s">
        <v>40</v>
      </c>
      <c r="E8982" s="402" t="s">
        <v>41</v>
      </c>
      <c r="F8982" s="402" t="s">
        <v>42</v>
      </c>
      <c r="G8982" s="403" t="s">
        <v>43</v>
      </c>
      <c r="H8982" s="404" t="s">
        <v>44</v>
      </c>
      <c r="I8982" s="402" t="s">
        <v>474</v>
      </c>
      <c r="J8982" s="405" t="s">
        <v>475</v>
      </c>
    </row>
    <row r="8983" spans="1:10" ht="13">
      <c r="A8983" s="27"/>
      <c r="B8983" s="110"/>
      <c r="D8983" s="444" t="s">
        <v>45</v>
      </c>
      <c r="E8983" s="445" t="s">
        <v>46</v>
      </c>
      <c r="F8983" s="446"/>
      <c r="G8983" s="447"/>
      <c r="H8983" s="448"/>
      <c r="I8983" s="449"/>
      <c r="J8983" s="450"/>
    </row>
    <row r="8984" spans="1:10" ht="13">
      <c r="A8984" s="27"/>
      <c r="B8984" s="110"/>
      <c r="D8984" s="409"/>
      <c r="E8984" s="13" t="s">
        <v>47</v>
      </c>
      <c r="F8984" s="13" t="s">
        <v>1918</v>
      </c>
      <c r="G8984" s="543" t="s">
        <v>48</v>
      </c>
      <c r="H8984" s="548">
        <v>0.79600000000000004</v>
      </c>
      <c r="I8984" s="412">
        <f>IF(AND(E8984&lt;&gt;"",G8984&lt;&gt;""),IF(D8984="",IF(G8984="OH",VLOOKUP(F8984,UPAH!$B$4:$H$101,7,0),VLOOKUP(F8984,#REF!,4,0)),0),0)</f>
        <v>0</v>
      </c>
      <c r="J8984" s="16">
        <f>H8984*I8984</f>
        <v>0</v>
      </c>
    </row>
    <row r="8985" spans="1:10" ht="13">
      <c r="A8985" s="27"/>
      <c r="B8985" s="110"/>
      <c r="D8985" s="409"/>
      <c r="E8985" s="13" t="s">
        <v>283</v>
      </c>
      <c r="F8985" s="13" t="s">
        <v>1913</v>
      </c>
      <c r="G8985" s="543" t="s">
        <v>48</v>
      </c>
      <c r="H8985" s="548">
        <v>0.39800000000000002</v>
      </c>
      <c r="I8985" s="412">
        <f>IF(AND(E8985&lt;&gt;"",G8985&lt;&gt;""),IF(D8985="",IF(G8985="OH",VLOOKUP(F8985,UPAH!$B$4:$H$101,7,0),VLOOKUP(F8985,#REF!,4,0)),0),0)</f>
        <v>0</v>
      </c>
      <c r="J8985" s="16">
        <f>H8985*I8985</f>
        <v>0</v>
      </c>
    </row>
    <row r="8986" spans="1:10" ht="13.5" thickBot="1">
      <c r="A8986" s="27"/>
      <c r="B8986" s="110"/>
      <c r="D8986" s="409"/>
      <c r="E8986" s="13" t="s">
        <v>51</v>
      </c>
      <c r="F8986" s="13" t="s">
        <v>1929</v>
      </c>
      <c r="G8986" s="543" t="s">
        <v>48</v>
      </c>
      <c r="H8986" s="548">
        <v>0.08</v>
      </c>
      <c r="I8986" s="412">
        <f>IF(AND(E8986&lt;&gt;"",G8986&lt;&gt;""),IF(D8986="",IF(G8986="OH",VLOOKUP(F8986,UPAH!$B$4:$H$101,7,0),VLOOKUP(F8986,#REF!,4,0)),0),0)</f>
        <v>0</v>
      </c>
      <c r="J8986" s="16">
        <f>H8986*I8986</f>
        <v>0</v>
      </c>
    </row>
    <row r="8987" spans="1:10" ht="13.5" thickBot="1">
      <c r="A8987" s="27"/>
      <c r="B8987" s="110"/>
      <c r="D8987" s="417"/>
      <c r="E8987" s="418"/>
      <c r="F8987" s="418"/>
      <c r="G8987" s="419"/>
      <c r="H8987" s="420" t="s">
        <v>52</v>
      </c>
      <c r="I8987" s="421"/>
      <c r="J8987" s="396">
        <f>SUM(J8983:J8986)</f>
        <v>0</v>
      </c>
    </row>
    <row r="8988" spans="1:10" ht="13">
      <c r="A8988" s="27"/>
      <c r="B8988" s="110"/>
      <c r="D8988" s="406" t="s">
        <v>53</v>
      </c>
      <c r="E8988" s="13" t="s">
        <v>54</v>
      </c>
      <c r="F8988" s="14"/>
      <c r="G8988" s="15"/>
      <c r="H8988" s="451"/>
      <c r="I8988" s="412"/>
      <c r="J8988" s="16"/>
    </row>
    <row r="8989" spans="1:10" ht="13.5" thickBot="1">
      <c r="A8989" s="27"/>
      <c r="B8989" s="110"/>
      <c r="D8989" s="409"/>
      <c r="E8989" s="13" t="s">
        <v>318</v>
      </c>
      <c r="F8989" s="14"/>
      <c r="G8989" s="543" t="s">
        <v>113</v>
      </c>
      <c r="H8989" s="548">
        <v>1</v>
      </c>
      <c r="I8989" s="412">
        <f>'BAHAN '!G360</f>
        <v>0</v>
      </c>
      <c r="J8989" s="16">
        <f>H8989*I8989</f>
        <v>0</v>
      </c>
    </row>
    <row r="8990" spans="1:10" ht="13.5" thickBot="1">
      <c r="A8990" s="27"/>
      <c r="B8990" s="110"/>
      <c r="D8990" s="417"/>
      <c r="E8990" s="418"/>
      <c r="F8990" s="418"/>
      <c r="G8990" s="419"/>
      <c r="H8990" s="420" t="s">
        <v>64</v>
      </c>
      <c r="I8990" s="421"/>
      <c r="J8990" s="396">
        <f>SUM(J8989)</f>
        <v>0</v>
      </c>
    </row>
    <row r="8991" spans="1:10" ht="13">
      <c r="A8991" s="27"/>
      <c r="B8991" s="110"/>
      <c r="D8991" s="406" t="s">
        <v>65</v>
      </c>
      <c r="E8991" s="13" t="s">
        <v>66</v>
      </c>
      <c r="F8991" s="14"/>
      <c r="G8991" s="15"/>
      <c r="H8991" s="451"/>
      <c r="I8991" s="412"/>
      <c r="J8991" s="16"/>
    </row>
    <row r="8992" spans="1:10" ht="13.5" thickBot="1">
      <c r="A8992" s="27"/>
      <c r="B8992" s="110"/>
      <c r="D8992" s="409"/>
      <c r="E8992" s="13" t="s">
        <v>446</v>
      </c>
      <c r="F8992" s="14"/>
      <c r="G8992" s="543" t="s">
        <v>285</v>
      </c>
      <c r="H8992" s="548">
        <v>4.2000000000000003E-2</v>
      </c>
      <c r="I8992" s="412">
        <f>Alat!H102</f>
        <v>0</v>
      </c>
      <c r="J8992" s="16">
        <f>H8992*I8992</f>
        <v>0</v>
      </c>
    </row>
    <row r="8993" spans="1:10" ht="13.5" thickBot="1">
      <c r="A8993" s="27"/>
      <c r="B8993" s="110"/>
      <c r="D8993" s="417"/>
      <c r="E8993" s="418"/>
      <c r="F8993" s="418"/>
      <c r="G8993" s="419"/>
      <c r="H8993" s="420" t="s">
        <v>67</v>
      </c>
      <c r="I8993" s="421"/>
      <c r="J8993" s="396">
        <f>J8992</f>
        <v>0</v>
      </c>
    </row>
    <row r="8994" spans="1:10" ht="13">
      <c r="A8994" s="27"/>
      <c r="B8994" s="110"/>
      <c r="D8994" s="444" t="s">
        <v>68</v>
      </c>
      <c r="E8994" s="445" t="s">
        <v>69</v>
      </c>
      <c r="F8994" s="446"/>
      <c r="G8994" s="447"/>
      <c r="H8994" s="448"/>
      <c r="I8994" s="449">
        <f>IF(AND(E8994&lt;&gt;"",G8994&lt;&gt;""),IF(D8994="",IF(G8994="OH",VLOOKUP(E8994,UPAH!$C$4:$H$31,7,0),VLOOKUP(E8994,#REF!,4,0)),0),0)</f>
        <v>0</v>
      </c>
      <c r="J8994" s="16">
        <f>SUM(J8983:J8993)/2</f>
        <v>0</v>
      </c>
    </row>
    <row r="8995" spans="1:10" ht="13.5" thickBot="1">
      <c r="A8995" s="27"/>
      <c r="B8995" s="110"/>
      <c r="D8995" s="431" t="s">
        <v>70</v>
      </c>
      <c r="E8995" s="432" t="s">
        <v>477</v>
      </c>
      <c r="F8995" s="433"/>
      <c r="G8995" s="434"/>
      <c r="H8995" s="22">
        <v>0.1</v>
      </c>
      <c r="I8995" s="436"/>
      <c r="J8995" s="430">
        <f>H8995*J8994</f>
        <v>0</v>
      </c>
    </row>
    <row r="8996" spans="1:10" ht="13.5" thickBot="1">
      <c r="A8996" s="27"/>
      <c r="B8996" s="110"/>
      <c r="D8996" s="401" t="s">
        <v>71</v>
      </c>
      <c r="E8996" s="402" t="s">
        <v>72</v>
      </c>
      <c r="F8996" s="418"/>
      <c r="G8996" s="419"/>
      <c r="H8996" s="442"/>
      <c r="I8996" s="421">
        <f>IF(AND(E8996&lt;&gt;"",G8996&lt;&gt;""),IF(D8996="",IF(G8996="OH",VLOOKUP(E8996,UPAH!$C$4:$H$31,7,0),VLOOKUP(E8996,#REF!,4,0)),0),0)</f>
        <v>0</v>
      </c>
      <c r="J8996" s="396">
        <f>ROUNDDOWN(J8994+J8995,0)</f>
        <v>0</v>
      </c>
    </row>
    <row r="8997" spans="1:10" ht="13">
      <c r="A8997" s="27"/>
      <c r="B8997" s="110"/>
      <c r="D8997" s="11"/>
      <c r="E8997" s="11"/>
      <c r="H8997" s="443"/>
      <c r="I8997" s="17"/>
      <c r="J8997" s="18"/>
    </row>
    <row r="8998" spans="1:10" ht="13.5" thickBot="1">
      <c r="A8998" s="27"/>
      <c r="B8998" s="110"/>
      <c r="C8998" s="11" t="s">
        <v>1448</v>
      </c>
      <c r="D8998" s="10" t="s">
        <v>1493</v>
      </c>
      <c r="H8998" s="443"/>
    </row>
    <row r="8999" spans="1:10" ht="13.5" thickBot="1">
      <c r="A8999" s="27"/>
      <c r="B8999" s="110"/>
      <c r="D8999" s="401" t="s">
        <v>40</v>
      </c>
      <c r="E8999" s="402" t="s">
        <v>41</v>
      </c>
      <c r="F8999" s="402" t="s">
        <v>42</v>
      </c>
      <c r="G8999" s="403" t="s">
        <v>43</v>
      </c>
      <c r="H8999" s="404" t="s">
        <v>44</v>
      </c>
      <c r="I8999" s="402" t="s">
        <v>474</v>
      </c>
      <c r="J8999" s="405" t="s">
        <v>475</v>
      </c>
    </row>
    <row r="9000" spans="1:10" ht="13">
      <c r="A9000" s="27"/>
      <c r="B9000" s="110"/>
      <c r="D9000" s="444" t="s">
        <v>45</v>
      </c>
      <c r="E9000" s="445" t="s">
        <v>46</v>
      </c>
      <c r="F9000" s="446"/>
      <c r="G9000" s="447"/>
      <c r="H9000" s="448"/>
      <c r="I9000" s="449"/>
      <c r="J9000" s="450"/>
    </row>
    <row r="9001" spans="1:10" ht="13">
      <c r="A9001" s="27"/>
      <c r="B9001" s="110"/>
      <c r="D9001" s="409"/>
      <c r="E9001" s="13" t="s">
        <v>47</v>
      </c>
      <c r="F9001" s="13" t="s">
        <v>1918</v>
      </c>
      <c r="G9001" s="543" t="s">
        <v>48</v>
      </c>
      <c r="H9001" s="548">
        <v>0.94899999999999995</v>
      </c>
      <c r="I9001" s="412">
        <f>IF(AND(E9001&lt;&gt;"",G9001&lt;&gt;""),IF(D9001="",IF(G9001="OH",VLOOKUP(F9001,UPAH!$B$4:$H$101,7,0),VLOOKUP(F9001,#REF!,4,0)),0),0)</f>
        <v>0</v>
      </c>
      <c r="J9001" s="16">
        <f>H9001*I9001</f>
        <v>0</v>
      </c>
    </row>
    <row r="9002" spans="1:10" ht="13">
      <c r="A9002" s="27"/>
      <c r="B9002" s="110"/>
      <c r="D9002" s="409"/>
      <c r="E9002" s="13" t="s">
        <v>283</v>
      </c>
      <c r="F9002" s="13" t="s">
        <v>1913</v>
      </c>
      <c r="G9002" s="543" t="s">
        <v>48</v>
      </c>
      <c r="H9002" s="548">
        <v>0.47499999999999998</v>
      </c>
      <c r="I9002" s="412">
        <f>IF(AND(E9002&lt;&gt;"",G9002&lt;&gt;""),IF(D9002="",IF(G9002="OH",VLOOKUP(F9002,UPAH!$B$4:$H$101,7,0),VLOOKUP(F9002,#REF!,4,0)),0),0)</f>
        <v>0</v>
      </c>
      <c r="J9002" s="16">
        <f>H9002*I9002</f>
        <v>0</v>
      </c>
    </row>
    <row r="9003" spans="1:10" ht="13.5" thickBot="1">
      <c r="A9003" s="27"/>
      <c r="B9003" s="110"/>
      <c r="D9003" s="409"/>
      <c r="E9003" s="13" t="s">
        <v>51</v>
      </c>
      <c r="F9003" s="13" t="s">
        <v>1929</v>
      </c>
      <c r="G9003" s="543" t="s">
        <v>48</v>
      </c>
      <c r="H9003" s="548">
        <v>9.5000000000000001E-2</v>
      </c>
      <c r="I9003" s="412">
        <f>IF(AND(E9003&lt;&gt;"",G9003&lt;&gt;""),IF(D9003="",IF(G9003="OH",VLOOKUP(F9003,UPAH!$B$4:$H$101,7,0),VLOOKUP(F9003,#REF!,4,0)),0),0)</f>
        <v>0</v>
      </c>
      <c r="J9003" s="16">
        <f>H9003*I9003</f>
        <v>0</v>
      </c>
    </row>
    <row r="9004" spans="1:10" ht="13.5" thickBot="1">
      <c r="A9004" s="27"/>
      <c r="B9004" s="110"/>
      <c r="D9004" s="417"/>
      <c r="E9004" s="418"/>
      <c r="F9004" s="418"/>
      <c r="G9004" s="419"/>
      <c r="H9004" s="420" t="s">
        <v>52</v>
      </c>
      <c r="I9004" s="421"/>
      <c r="J9004" s="396">
        <f>SUM(J9000:J9003)</f>
        <v>0</v>
      </c>
    </row>
    <row r="9005" spans="1:10" ht="13">
      <c r="A9005" s="27"/>
      <c r="B9005" s="110"/>
      <c r="D9005" s="406" t="s">
        <v>53</v>
      </c>
      <c r="E9005" s="13" t="s">
        <v>54</v>
      </c>
      <c r="F9005" s="14"/>
      <c r="G9005" s="15"/>
      <c r="H9005" s="451"/>
      <c r="I9005" s="412"/>
      <c r="J9005" s="16"/>
    </row>
    <row r="9006" spans="1:10" ht="13.5" thickBot="1">
      <c r="A9006" s="27"/>
      <c r="B9006" s="110"/>
      <c r="D9006" s="409"/>
      <c r="E9006" s="13" t="s">
        <v>319</v>
      </c>
      <c r="F9006" s="14"/>
      <c r="G9006" s="543" t="s">
        <v>113</v>
      </c>
      <c r="H9006" s="548">
        <v>1</v>
      </c>
      <c r="I9006" s="412">
        <f>'BAHAN '!G359</f>
        <v>0</v>
      </c>
      <c r="J9006" s="16">
        <f>H9006*I9006</f>
        <v>0</v>
      </c>
    </row>
    <row r="9007" spans="1:10" ht="13.5" thickBot="1">
      <c r="A9007" s="27"/>
      <c r="B9007" s="110"/>
      <c r="D9007" s="417"/>
      <c r="E9007" s="418"/>
      <c r="F9007" s="418"/>
      <c r="G9007" s="419"/>
      <c r="H9007" s="420" t="s">
        <v>64</v>
      </c>
      <c r="I9007" s="421"/>
      <c r="J9007" s="396">
        <f>SUM(J9006)</f>
        <v>0</v>
      </c>
    </row>
    <row r="9008" spans="1:10" ht="13">
      <c r="A9008" s="27"/>
      <c r="B9008" s="110"/>
      <c r="D9008" s="406" t="s">
        <v>65</v>
      </c>
      <c r="E9008" s="13" t="s">
        <v>66</v>
      </c>
      <c r="F9008" s="14"/>
      <c r="G9008" s="15"/>
      <c r="H9008" s="451"/>
      <c r="I9008" s="412"/>
      <c r="J9008" s="16"/>
    </row>
    <row r="9009" spans="1:10" ht="13.5" thickBot="1">
      <c r="A9009" s="27"/>
      <c r="B9009" s="110"/>
      <c r="D9009" s="409"/>
      <c r="E9009" s="13" t="s">
        <v>446</v>
      </c>
      <c r="F9009" s="14"/>
      <c r="G9009" s="543" t="s">
        <v>285</v>
      </c>
      <c r="H9009" s="548">
        <v>4.2000000000000003E-2</v>
      </c>
      <c r="I9009" s="412">
        <f>Alat!H102</f>
        <v>0</v>
      </c>
      <c r="J9009" s="16">
        <f>H9009*I9009</f>
        <v>0</v>
      </c>
    </row>
    <row r="9010" spans="1:10" ht="13.5" thickBot="1">
      <c r="A9010" s="27"/>
      <c r="B9010" s="110"/>
      <c r="D9010" s="417"/>
      <c r="E9010" s="418"/>
      <c r="F9010" s="418"/>
      <c r="G9010" s="419"/>
      <c r="H9010" s="420" t="s">
        <v>67</v>
      </c>
      <c r="I9010" s="421"/>
      <c r="J9010" s="396">
        <f>J9009</f>
        <v>0</v>
      </c>
    </row>
    <row r="9011" spans="1:10" ht="13">
      <c r="A9011" s="27"/>
      <c r="B9011" s="110"/>
      <c r="D9011" s="444" t="s">
        <v>68</v>
      </c>
      <c r="E9011" s="445" t="s">
        <v>69</v>
      </c>
      <c r="F9011" s="446"/>
      <c r="G9011" s="447"/>
      <c r="H9011" s="448"/>
      <c r="I9011" s="449">
        <f>IF(AND(E9011&lt;&gt;"",G9011&lt;&gt;""),IF(D9011="",IF(G9011="OH",VLOOKUP(E9011,UPAH!$C$4:$H$31,7,0),VLOOKUP(E9011,#REF!,4,0)),0),0)</f>
        <v>0</v>
      </c>
      <c r="J9011" s="16">
        <f>SUM(J9000:J9010)/2</f>
        <v>0</v>
      </c>
    </row>
    <row r="9012" spans="1:10" ht="13.5" thickBot="1">
      <c r="A9012" s="27"/>
      <c r="B9012" s="110"/>
      <c r="D9012" s="431" t="s">
        <v>70</v>
      </c>
      <c r="E9012" s="432" t="s">
        <v>477</v>
      </c>
      <c r="F9012" s="433"/>
      <c r="G9012" s="434"/>
      <c r="H9012" s="22">
        <v>0.1</v>
      </c>
      <c r="I9012" s="436"/>
      <c r="J9012" s="430">
        <f>H9012*J9011</f>
        <v>0</v>
      </c>
    </row>
    <row r="9013" spans="1:10" ht="13.5" thickBot="1">
      <c r="A9013" s="27"/>
      <c r="B9013" s="110"/>
      <c r="D9013" s="401" t="s">
        <v>71</v>
      </c>
      <c r="E9013" s="402" t="s">
        <v>72</v>
      </c>
      <c r="F9013" s="418"/>
      <c r="G9013" s="419"/>
      <c r="H9013" s="442"/>
      <c r="I9013" s="421">
        <f>IF(AND(E9013&lt;&gt;"",G9013&lt;&gt;""),IF(D9013="",IF(G9013="OH",VLOOKUP(E9013,UPAH!$C$4:$H$31,7,0),VLOOKUP(E9013,#REF!,4,0)),0),0)</f>
        <v>0</v>
      </c>
      <c r="J9013" s="396">
        <f>ROUNDDOWN(J9011+J9012,0)</f>
        <v>0</v>
      </c>
    </row>
    <row r="9014" spans="1:10" ht="13">
      <c r="A9014" s="27"/>
      <c r="B9014" s="110"/>
      <c r="D9014" s="11"/>
      <c r="E9014" s="11"/>
      <c r="H9014" s="443"/>
      <c r="I9014" s="17"/>
      <c r="J9014" s="18"/>
    </row>
    <row r="9015" spans="1:10" ht="13.5" thickBot="1">
      <c r="A9015" s="27"/>
      <c r="B9015" s="110"/>
      <c r="C9015" s="11" t="s">
        <v>1447</v>
      </c>
      <c r="D9015" s="10" t="s">
        <v>1494</v>
      </c>
      <c r="H9015" s="443"/>
    </row>
    <row r="9016" spans="1:10" ht="13.5" thickBot="1">
      <c r="A9016" s="27"/>
      <c r="B9016" s="110"/>
      <c r="D9016" s="401" t="s">
        <v>40</v>
      </c>
      <c r="E9016" s="402" t="s">
        <v>41</v>
      </c>
      <c r="F9016" s="402" t="s">
        <v>42</v>
      </c>
      <c r="G9016" s="403" t="s">
        <v>43</v>
      </c>
      <c r="H9016" s="404" t="s">
        <v>44</v>
      </c>
      <c r="I9016" s="402" t="s">
        <v>474</v>
      </c>
      <c r="J9016" s="405" t="s">
        <v>475</v>
      </c>
    </row>
    <row r="9017" spans="1:10" ht="13">
      <c r="A9017" s="27"/>
      <c r="B9017" s="110"/>
      <c r="D9017" s="444" t="s">
        <v>45</v>
      </c>
      <c r="E9017" s="445" t="s">
        <v>46</v>
      </c>
      <c r="F9017" s="446"/>
      <c r="G9017" s="447"/>
      <c r="H9017" s="448"/>
      <c r="I9017" s="449"/>
      <c r="J9017" s="450"/>
    </row>
    <row r="9018" spans="1:10" ht="13">
      <c r="A9018" s="27"/>
      <c r="B9018" s="110"/>
      <c r="D9018" s="409"/>
      <c r="E9018" s="13" t="s">
        <v>47</v>
      </c>
      <c r="F9018" s="13" t="s">
        <v>1918</v>
      </c>
      <c r="G9018" s="543" t="s">
        <v>48</v>
      </c>
      <c r="H9018" s="548">
        <v>0.95799999999999996</v>
      </c>
      <c r="I9018" s="412">
        <f>IF(AND(E9018&lt;&gt;"",G9018&lt;&gt;""),IF(D9018="",IF(G9018="OH",VLOOKUP(F9018,UPAH!$B$4:$H$101,7,0),VLOOKUP(F9018,#REF!,4,0)),0),0)</f>
        <v>0</v>
      </c>
      <c r="J9018" s="16">
        <f>H9018*I9018</f>
        <v>0</v>
      </c>
    </row>
    <row r="9019" spans="1:10" ht="13">
      <c r="A9019" s="27"/>
      <c r="B9019" s="110"/>
      <c r="D9019" s="409"/>
      <c r="E9019" s="13" t="s">
        <v>283</v>
      </c>
      <c r="F9019" s="13" t="s">
        <v>1913</v>
      </c>
      <c r="G9019" s="543" t="s">
        <v>48</v>
      </c>
      <c r="H9019" s="548">
        <v>0.47899999999999998</v>
      </c>
      <c r="I9019" s="412">
        <f>IF(AND(E9019&lt;&gt;"",G9019&lt;&gt;""),IF(D9019="",IF(G9019="OH",VLOOKUP(F9019,UPAH!$B$4:$H$101,7,0),VLOOKUP(F9019,#REF!,4,0)),0),0)</f>
        <v>0</v>
      </c>
      <c r="J9019" s="16">
        <f>H9019*I9019</f>
        <v>0</v>
      </c>
    </row>
    <row r="9020" spans="1:10" ht="13.5" thickBot="1">
      <c r="A9020" s="27"/>
      <c r="B9020" s="110"/>
      <c r="D9020" s="409"/>
      <c r="E9020" s="13" t="s">
        <v>51</v>
      </c>
      <c r="F9020" s="13" t="s">
        <v>1929</v>
      </c>
      <c r="G9020" s="543" t="s">
        <v>48</v>
      </c>
      <c r="H9020" s="548">
        <v>9.6000000000000002E-2</v>
      </c>
      <c r="I9020" s="412">
        <f>IF(AND(E9020&lt;&gt;"",G9020&lt;&gt;""),IF(D9020="",IF(G9020="OH",VLOOKUP(F9020,UPAH!$B$4:$H$101,7,0),VLOOKUP(F9020,#REF!,4,0)),0),0)</f>
        <v>0</v>
      </c>
      <c r="J9020" s="16">
        <f>H9020*I9020</f>
        <v>0</v>
      </c>
    </row>
    <row r="9021" spans="1:10" ht="13.5" thickBot="1">
      <c r="A9021" s="27"/>
      <c r="B9021" s="110"/>
      <c r="D9021" s="417"/>
      <c r="E9021" s="418"/>
      <c r="F9021" s="418"/>
      <c r="G9021" s="419"/>
      <c r="H9021" s="420" t="s">
        <v>52</v>
      </c>
      <c r="I9021" s="421"/>
      <c r="J9021" s="396">
        <f>SUM(J9017:J9020)</f>
        <v>0</v>
      </c>
    </row>
    <row r="9022" spans="1:10" ht="13">
      <c r="A9022" s="27"/>
      <c r="B9022" s="110"/>
      <c r="D9022" s="406" t="s">
        <v>53</v>
      </c>
      <c r="E9022" s="13" t="s">
        <v>54</v>
      </c>
      <c r="F9022" s="14"/>
      <c r="G9022" s="15"/>
      <c r="H9022" s="451"/>
      <c r="I9022" s="412"/>
      <c r="J9022" s="16"/>
    </row>
    <row r="9023" spans="1:10" ht="13.5" thickBot="1">
      <c r="A9023" s="27"/>
      <c r="B9023" s="110"/>
      <c r="D9023" s="409"/>
      <c r="E9023" s="13" t="s">
        <v>320</v>
      </c>
      <c r="F9023" s="14"/>
      <c r="G9023" s="543" t="s">
        <v>113</v>
      </c>
      <c r="H9023" s="548">
        <v>1</v>
      </c>
      <c r="I9023" s="412">
        <f>'BAHAN '!G358</f>
        <v>0</v>
      </c>
      <c r="J9023" s="16">
        <f>H9023*I9023</f>
        <v>0</v>
      </c>
    </row>
    <row r="9024" spans="1:10" ht="13.5" thickBot="1">
      <c r="A9024" s="27"/>
      <c r="B9024" s="110"/>
      <c r="D9024" s="417"/>
      <c r="E9024" s="418"/>
      <c r="F9024" s="418"/>
      <c r="G9024" s="419"/>
      <c r="H9024" s="420" t="s">
        <v>64</v>
      </c>
      <c r="I9024" s="421"/>
      <c r="J9024" s="396">
        <f>SUM(J9023)</f>
        <v>0</v>
      </c>
    </row>
    <row r="9025" spans="1:10" ht="13">
      <c r="A9025" s="27"/>
      <c r="B9025" s="110"/>
      <c r="D9025" s="406" t="s">
        <v>65</v>
      </c>
      <c r="E9025" s="13" t="s">
        <v>66</v>
      </c>
      <c r="F9025" s="14"/>
      <c r="G9025" s="15"/>
      <c r="H9025" s="451"/>
      <c r="I9025" s="412"/>
      <c r="J9025" s="16"/>
    </row>
    <row r="9026" spans="1:10" ht="13.5" thickBot="1">
      <c r="A9026" s="27"/>
      <c r="B9026" s="110"/>
      <c r="D9026" s="409"/>
      <c r="E9026" s="13" t="s">
        <v>446</v>
      </c>
      <c r="F9026" s="14"/>
      <c r="G9026" s="543" t="s">
        <v>285</v>
      </c>
      <c r="H9026" s="548">
        <v>4.2000000000000003E-2</v>
      </c>
      <c r="I9026" s="412">
        <f>Alat!H102</f>
        <v>0</v>
      </c>
      <c r="J9026" s="16">
        <f>H9026*I9026</f>
        <v>0</v>
      </c>
    </row>
    <row r="9027" spans="1:10" ht="13.5" thickBot="1">
      <c r="A9027" s="27"/>
      <c r="B9027" s="110"/>
      <c r="D9027" s="417"/>
      <c r="E9027" s="418"/>
      <c r="F9027" s="418"/>
      <c r="G9027" s="419"/>
      <c r="H9027" s="420" t="s">
        <v>67</v>
      </c>
      <c r="I9027" s="421"/>
      <c r="J9027" s="396">
        <f>J9026</f>
        <v>0</v>
      </c>
    </row>
    <row r="9028" spans="1:10" ht="13">
      <c r="A9028" s="27"/>
      <c r="B9028" s="110"/>
      <c r="D9028" s="444" t="s">
        <v>68</v>
      </c>
      <c r="E9028" s="445" t="s">
        <v>69</v>
      </c>
      <c r="F9028" s="446"/>
      <c r="G9028" s="447"/>
      <c r="H9028" s="448"/>
      <c r="I9028" s="449">
        <f>IF(AND(E9028&lt;&gt;"",G9028&lt;&gt;""),IF(D9028="",IF(G9028="OH",VLOOKUP(E9028,UPAH!$C$4:$H$31,7,0),VLOOKUP(E9028,#REF!,4,0)),0),0)</f>
        <v>0</v>
      </c>
      <c r="J9028" s="16">
        <f>SUM(J9017:J9027)/2</f>
        <v>0</v>
      </c>
    </row>
    <row r="9029" spans="1:10" ht="13.5" thickBot="1">
      <c r="A9029" s="27"/>
      <c r="B9029" s="110"/>
      <c r="D9029" s="431" t="s">
        <v>70</v>
      </c>
      <c r="E9029" s="432" t="s">
        <v>477</v>
      </c>
      <c r="F9029" s="433"/>
      <c r="G9029" s="434"/>
      <c r="H9029" s="22">
        <v>0.1</v>
      </c>
      <c r="I9029" s="436"/>
      <c r="J9029" s="430">
        <f>H9029*J9028</f>
        <v>0</v>
      </c>
    </row>
    <row r="9030" spans="1:10" ht="13.5" thickBot="1">
      <c r="A9030" s="27"/>
      <c r="B9030" s="110"/>
      <c r="D9030" s="401" t="s">
        <v>71</v>
      </c>
      <c r="E9030" s="402" t="s">
        <v>72</v>
      </c>
      <c r="F9030" s="418"/>
      <c r="G9030" s="419"/>
      <c r="H9030" s="442"/>
      <c r="I9030" s="421">
        <f>IF(AND(E9030&lt;&gt;"",G9030&lt;&gt;""),IF(D9030="",IF(G9030="OH",VLOOKUP(E9030,UPAH!$C$4:$H$31,7,0),VLOOKUP(E9030,#REF!,4,0)),0),0)</f>
        <v>0</v>
      </c>
      <c r="J9030" s="396">
        <f>ROUNDDOWN(J9028+J9029,0)</f>
        <v>0</v>
      </c>
    </row>
    <row r="9031" spans="1:10" ht="13">
      <c r="A9031" s="27"/>
      <c r="B9031" s="110"/>
      <c r="D9031" s="11"/>
      <c r="E9031" s="11"/>
      <c r="H9031" s="443"/>
      <c r="I9031" s="17"/>
      <c r="J9031" s="18"/>
    </row>
    <row r="9032" spans="1:10" ht="13" hidden="1">
      <c r="A9032" s="27"/>
      <c r="B9032" s="110"/>
      <c r="C9032" s="11" t="s">
        <v>1446</v>
      </c>
      <c r="D9032" s="10" t="s">
        <v>1495</v>
      </c>
      <c r="H9032" s="443"/>
    </row>
    <row r="9033" spans="1:10" ht="13.5" hidden="1" thickBot="1">
      <c r="A9033" s="27"/>
      <c r="B9033" s="110"/>
      <c r="D9033" s="401" t="s">
        <v>40</v>
      </c>
      <c r="E9033" s="402" t="s">
        <v>41</v>
      </c>
      <c r="F9033" s="402" t="s">
        <v>42</v>
      </c>
      <c r="G9033" s="403" t="s">
        <v>43</v>
      </c>
      <c r="H9033" s="404" t="s">
        <v>44</v>
      </c>
      <c r="I9033" s="402" t="s">
        <v>474</v>
      </c>
      <c r="J9033" s="405" t="s">
        <v>475</v>
      </c>
    </row>
    <row r="9034" spans="1:10" ht="13" hidden="1">
      <c r="A9034" s="27"/>
      <c r="B9034" s="110"/>
      <c r="D9034" s="444" t="s">
        <v>45</v>
      </c>
      <c r="E9034" s="445" t="s">
        <v>46</v>
      </c>
      <c r="F9034" s="446"/>
      <c r="G9034" s="447"/>
      <c r="H9034" s="448"/>
      <c r="I9034" s="412">
        <f>IF(AND(E9034&lt;&gt;"",G9034&lt;&gt;""),IF(D9034="",IF(G9034="OH",VLOOKUP(F9034,UPAH!$B$4:$H$101,7,0),VLOOKUP(F9034,#REF!,4,0)),0),0)</f>
        <v>0</v>
      </c>
      <c r="J9034" s="450"/>
    </row>
    <row r="9035" spans="1:10" ht="13" hidden="1">
      <c r="A9035" s="27"/>
      <c r="B9035" s="110"/>
      <c r="D9035" s="409"/>
      <c r="E9035" s="13" t="s">
        <v>47</v>
      </c>
      <c r="F9035" s="13" t="s">
        <v>1918</v>
      </c>
      <c r="G9035" s="543" t="s">
        <v>48</v>
      </c>
      <c r="H9035" s="548">
        <v>1.212</v>
      </c>
      <c r="I9035" s="412">
        <f>IF(AND(E9035&lt;&gt;"",G9035&lt;&gt;""),IF(D9035="",IF(G9035="OH",VLOOKUP(F9035,UPAH!$B$4:$H$101,7,0),VLOOKUP(F9035,#REF!,4,0)),0),0)</f>
        <v>0</v>
      </c>
      <c r="J9035" s="16">
        <f>H9035*I9035</f>
        <v>0</v>
      </c>
    </row>
    <row r="9036" spans="1:10" ht="13" hidden="1">
      <c r="A9036" s="27"/>
      <c r="B9036" s="110"/>
      <c r="D9036" s="409"/>
      <c r="E9036" s="13" t="s">
        <v>283</v>
      </c>
      <c r="F9036" s="13" t="s">
        <v>1913</v>
      </c>
      <c r="G9036" s="543" t="s">
        <v>48</v>
      </c>
      <c r="H9036" s="548">
        <v>0.60599999999999998</v>
      </c>
      <c r="I9036" s="412">
        <f>IF(AND(E9036&lt;&gt;"",G9036&lt;&gt;""),IF(D9036="",IF(G9036="OH",VLOOKUP(F9036,UPAH!$B$4:$H$101,7,0),VLOOKUP(F9036,#REF!,4,0)),0),0)</f>
        <v>0</v>
      </c>
      <c r="J9036" s="16">
        <f>H9036*I9036</f>
        <v>0</v>
      </c>
    </row>
    <row r="9037" spans="1:10" ht="13" hidden="1">
      <c r="A9037" s="27"/>
      <c r="B9037" s="110"/>
      <c r="D9037" s="409"/>
      <c r="E9037" s="13" t="s">
        <v>51</v>
      </c>
      <c r="F9037" s="13" t="s">
        <v>1929</v>
      </c>
      <c r="G9037" s="543" t="s">
        <v>48</v>
      </c>
      <c r="H9037" s="548">
        <v>0.121</v>
      </c>
      <c r="I9037" s="412">
        <f>IF(AND(E9037&lt;&gt;"",G9037&lt;&gt;""),IF(D9037="",IF(G9037="OH",VLOOKUP(F9037,UPAH!$B$4:$H$101,7,0),VLOOKUP(F9037,#REF!,4,0)),0),0)</f>
        <v>0</v>
      </c>
      <c r="J9037" s="16">
        <f>H9037*I9037</f>
        <v>0</v>
      </c>
    </row>
    <row r="9038" spans="1:10" ht="13.5" hidden="1" thickBot="1">
      <c r="A9038" s="27"/>
      <c r="B9038" s="110"/>
      <c r="D9038" s="417"/>
      <c r="E9038" s="418"/>
      <c r="F9038" s="418"/>
      <c r="G9038" s="419"/>
      <c r="H9038" s="420" t="s">
        <v>52</v>
      </c>
      <c r="I9038" s="421"/>
      <c r="J9038" s="396">
        <f>SUM(J9034:J9037)</f>
        <v>0</v>
      </c>
    </row>
    <row r="9039" spans="1:10" ht="13" hidden="1">
      <c r="A9039" s="27"/>
      <c r="B9039" s="110"/>
      <c r="D9039" s="406" t="s">
        <v>53</v>
      </c>
      <c r="E9039" s="13" t="s">
        <v>54</v>
      </c>
      <c r="F9039" s="14"/>
      <c r="G9039" s="15"/>
      <c r="H9039" s="451"/>
      <c r="I9039" s="412"/>
      <c r="J9039" s="16"/>
    </row>
    <row r="9040" spans="1:10" ht="13" hidden="1">
      <c r="A9040" s="27"/>
      <c r="B9040" s="110"/>
      <c r="D9040" s="409"/>
      <c r="E9040" s="13" t="s">
        <v>321</v>
      </c>
      <c r="F9040" s="14"/>
      <c r="G9040" s="543" t="s">
        <v>113</v>
      </c>
      <c r="H9040" s="548">
        <v>1</v>
      </c>
      <c r="I9040" s="412" t="s">
        <v>3187</v>
      </c>
      <c r="J9040" s="16" t="e">
        <f>H9040*I9040</f>
        <v>#VALUE!</v>
      </c>
    </row>
    <row r="9041" spans="1:10" ht="13.5" hidden="1" thickBot="1">
      <c r="A9041" s="27"/>
      <c r="B9041" s="110"/>
      <c r="D9041" s="417"/>
      <c r="E9041" s="418"/>
      <c r="F9041" s="418"/>
      <c r="G9041" s="419"/>
      <c r="H9041" s="420" t="s">
        <v>64</v>
      </c>
      <c r="I9041" s="421"/>
      <c r="J9041" s="396" t="e">
        <f>SUM(J9040)</f>
        <v>#VALUE!</v>
      </c>
    </row>
    <row r="9042" spans="1:10" ht="13" hidden="1">
      <c r="A9042" s="27"/>
      <c r="B9042" s="110"/>
      <c r="D9042" s="406" t="s">
        <v>65</v>
      </c>
      <c r="E9042" s="13" t="s">
        <v>66</v>
      </c>
      <c r="F9042" s="14"/>
      <c r="G9042" s="15"/>
      <c r="H9042" s="451"/>
      <c r="I9042" s="412"/>
      <c r="J9042" s="16"/>
    </row>
    <row r="9043" spans="1:10" ht="13" hidden="1">
      <c r="A9043" s="27"/>
      <c r="B9043" s="110"/>
      <c r="D9043" s="409"/>
      <c r="E9043" s="13" t="s">
        <v>446</v>
      </c>
      <c r="F9043" s="14"/>
      <c r="G9043" s="543" t="s">
        <v>285</v>
      </c>
      <c r="H9043" s="548">
        <v>5.7500000000000002E-2</v>
      </c>
      <c r="I9043" s="412">
        <f>Alat!H102</f>
        <v>0</v>
      </c>
      <c r="J9043" s="16">
        <f>H9043*I9043</f>
        <v>0</v>
      </c>
    </row>
    <row r="9044" spans="1:10" ht="13.5" hidden="1" thickBot="1">
      <c r="A9044" s="27"/>
      <c r="B9044" s="110"/>
      <c r="D9044" s="417"/>
      <c r="E9044" s="418"/>
      <c r="F9044" s="418"/>
      <c r="G9044" s="419"/>
      <c r="H9044" s="420" t="s">
        <v>67</v>
      </c>
      <c r="I9044" s="421"/>
      <c r="J9044" s="396">
        <f>J9043</f>
        <v>0</v>
      </c>
    </row>
    <row r="9045" spans="1:10" ht="13" hidden="1">
      <c r="A9045" s="27"/>
      <c r="B9045" s="110"/>
      <c r="D9045" s="444" t="s">
        <v>68</v>
      </c>
      <c r="E9045" s="445" t="s">
        <v>69</v>
      </c>
      <c r="F9045" s="446"/>
      <c r="G9045" s="447"/>
      <c r="H9045" s="448"/>
      <c r="I9045" s="449">
        <f>IF(AND(E9045&lt;&gt;"",G9045&lt;&gt;""),IF(D9045="",IF(G9045="OH",VLOOKUP(E9045,UPAH!$C$4:$H$31,7,0),VLOOKUP(E9045,#REF!,4,0)),0),0)</f>
        <v>0</v>
      </c>
      <c r="J9045" s="16" t="e">
        <f>SUM(J9034:J9044)/2</f>
        <v>#VALUE!</v>
      </c>
    </row>
    <row r="9046" spans="1:10" ht="13" hidden="1">
      <c r="A9046" s="27"/>
      <c r="B9046" s="110"/>
      <c r="D9046" s="431" t="s">
        <v>70</v>
      </c>
      <c r="E9046" s="432" t="s">
        <v>477</v>
      </c>
      <c r="F9046" s="433"/>
      <c r="G9046" s="434"/>
      <c r="H9046" s="22">
        <v>0.1</v>
      </c>
      <c r="I9046" s="436"/>
      <c r="J9046" s="430" t="e">
        <f>H9046*J9045</f>
        <v>#VALUE!</v>
      </c>
    </row>
    <row r="9047" spans="1:10" ht="13.5" hidden="1" thickBot="1">
      <c r="A9047" s="27"/>
      <c r="B9047" s="110"/>
      <c r="D9047" s="401" t="s">
        <v>71</v>
      </c>
      <c r="E9047" s="402" t="s">
        <v>72</v>
      </c>
      <c r="F9047" s="418"/>
      <c r="G9047" s="419"/>
      <c r="H9047" s="442"/>
      <c r="I9047" s="421">
        <f>IF(AND(E9047&lt;&gt;"",G9047&lt;&gt;""),IF(D9047="",IF(G9047="OH",VLOOKUP(E9047,UPAH!$C$4:$H$31,7,0),VLOOKUP(E9047,#REF!,4,0)),0),0)</f>
        <v>0</v>
      </c>
      <c r="J9047" s="396" t="e">
        <f>ROUNDDOWN(J9045+J9046,0)</f>
        <v>#VALUE!</v>
      </c>
    </row>
    <row r="9048" spans="1:10" ht="13" hidden="1">
      <c r="A9048" s="27"/>
      <c r="B9048" s="110"/>
      <c r="D9048" s="11"/>
      <c r="E9048" s="11"/>
      <c r="H9048" s="443"/>
      <c r="I9048" s="17"/>
      <c r="J9048" s="18"/>
    </row>
    <row r="9049" spans="1:10" ht="13" hidden="1">
      <c r="A9049" s="27"/>
      <c r="B9049" s="110"/>
      <c r="C9049" s="11" t="s">
        <v>1445</v>
      </c>
      <c r="D9049" s="10" t="s">
        <v>1496</v>
      </c>
      <c r="H9049" s="443"/>
    </row>
    <row r="9050" spans="1:10" ht="13.5" hidden="1" thickBot="1">
      <c r="A9050" s="27"/>
      <c r="B9050" s="110"/>
      <c r="D9050" s="401" t="s">
        <v>40</v>
      </c>
      <c r="E9050" s="402" t="s">
        <v>41</v>
      </c>
      <c r="F9050" s="402" t="s">
        <v>42</v>
      </c>
      <c r="G9050" s="403" t="s">
        <v>43</v>
      </c>
      <c r="H9050" s="404" t="s">
        <v>44</v>
      </c>
      <c r="I9050" s="402" t="s">
        <v>474</v>
      </c>
      <c r="J9050" s="405" t="s">
        <v>475</v>
      </c>
    </row>
    <row r="9051" spans="1:10" ht="13" hidden="1">
      <c r="A9051" s="27"/>
      <c r="B9051" s="110"/>
      <c r="D9051" s="444" t="s">
        <v>45</v>
      </c>
      <c r="E9051" s="445" t="s">
        <v>46</v>
      </c>
      <c r="F9051" s="446"/>
      <c r="G9051" s="447"/>
      <c r="H9051" s="448"/>
      <c r="I9051" s="449"/>
      <c r="J9051" s="450"/>
    </row>
    <row r="9052" spans="1:10" ht="13" hidden="1">
      <c r="A9052" s="27"/>
      <c r="B9052" s="110"/>
      <c r="D9052" s="409"/>
      <c r="E9052" s="13" t="s">
        <v>47</v>
      </c>
      <c r="F9052" s="13" t="s">
        <v>1918</v>
      </c>
      <c r="G9052" s="543" t="s">
        <v>48</v>
      </c>
      <c r="H9052" s="548">
        <v>1.353</v>
      </c>
      <c r="I9052" s="412">
        <f>IF(AND(E9052&lt;&gt;"",G9052&lt;&gt;""),IF(D9052="",IF(G9052="OH",VLOOKUP(F9052,UPAH!$B$4:$H$101,7,0),VLOOKUP(F9052,#REF!,4,0)),0),0)</f>
        <v>0</v>
      </c>
      <c r="J9052" s="16">
        <f>H9052*I9052</f>
        <v>0</v>
      </c>
    </row>
    <row r="9053" spans="1:10" ht="13" hidden="1">
      <c r="A9053" s="27"/>
      <c r="B9053" s="110"/>
      <c r="D9053" s="409"/>
      <c r="E9053" s="13" t="s">
        <v>283</v>
      </c>
      <c r="F9053" s="13" t="s">
        <v>1913</v>
      </c>
      <c r="G9053" s="543" t="s">
        <v>48</v>
      </c>
      <c r="H9053" s="548">
        <v>0.67600000000000005</v>
      </c>
      <c r="I9053" s="412">
        <f>IF(AND(E9053&lt;&gt;"",G9053&lt;&gt;""),IF(D9053="",IF(G9053="OH",VLOOKUP(F9053,UPAH!$B$4:$H$101,7,0),VLOOKUP(F9053,#REF!,4,0)),0),0)</f>
        <v>0</v>
      </c>
      <c r="J9053" s="16">
        <f>H9053*I9053</f>
        <v>0</v>
      </c>
    </row>
    <row r="9054" spans="1:10" ht="13" hidden="1">
      <c r="A9054" s="27"/>
      <c r="B9054" s="110"/>
      <c r="D9054" s="409"/>
      <c r="E9054" s="13" t="s">
        <v>51</v>
      </c>
      <c r="F9054" s="13" t="s">
        <v>1929</v>
      </c>
      <c r="G9054" s="543" t="s">
        <v>48</v>
      </c>
      <c r="H9054" s="548">
        <v>0.13500000000000001</v>
      </c>
      <c r="I9054" s="412">
        <f>IF(AND(E9054&lt;&gt;"",G9054&lt;&gt;""),IF(D9054="",IF(G9054="OH",VLOOKUP(F9054,UPAH!$B$4:$H$101,7,0),VLOOKUP(F9054,#REF!,4,0)),0),0)</f>
        <v>0</v>
      </c>
      <c r="J9054" s="16">
        <f>H9054*I9054</f>
        <v>0</v>
      </c>
    </row>
    <row r="9055" spans="1:10" ht="13.5" hidden="1" thickBot="1">
      <c r="A9055" s="27"/>
      <c r="B9055" s="110"/>
      <c r="D9055" s="417"/>
      <c r="E9055" s="418"/>
      <c r="F9055" s="418"/>
      <c r="G9055" s="419"/>
      <c r="H9055" s="420" t="s">
        <v>52</v>
      </c>
      <c r="I9055" s="421"/>
      <c r="J9055" s="396">
        <f>SUM(J9051:J9054)</f>
        <v>0</v>
      </c>
    </row>
    <row r="9056" spans="1:10" ht="13" hidden="1">
      <c r="A9056" s="27"/>
      <c r="B9056" s="110"/>
      <c r="D9056" s="406" t="s">
        <v>53</v>
      </c>
      <c r="E9056" s="13" t="s">
        <v>54</v>
      </c>
      <c r="F9056" s="14"/>
      <c r="G9056" s="15"/>
      <c r="H9056" s="451"/>
      <c r="I9056" s="412"/>
      <c r="J9056" s="16"/>
    </row>
    <row r="9057" spans="1:10" ht="13" hidden="1">
      <c r="A9057" s="27"/>
      <c r="B9057" s="110"/>
      <c r="D9057" s="409"/>
      <c r="E9057" s="13" t="s">
        <v>322</v>
      </c>
      <c r="F9057" s="14"/>
      <c r="G9057" s="543" t="s">
        <v>113</v>
      </c>
      <c r="H9057" s="548">
        <v>1</v>
      </c>
      <c r="I9057" s="412" t="s">
        <v>3187</v>
      </c>
      <c r="J9057" s="16" t="e">
        <f>H9057*I9057</f>
        <v>#VALUE!</v>
      </c>
    </row>
    <row r="9058" spans="1:10" ht="13.5" hidden="1" thickBot="1">
      <c r="A9058" s="27"/>
      <c r="B9058" s="110"/>
      <c r="D9058" s="417"/>
      <c r="E9058" s="418"/>
      <c r="F9058" s="418"/>
      <c r="G9058" s="419"/>
      <c r="H9058" s="420" t="s">
        <v>64</v>
      </c>
      <c r="I9058" s="421"/>
      <c r="J9058" s="396" t="e">
        <f>SUM(J9057)</f>
        <v>#VALUE!</v>
      </c>
    </row>
    <row r="9059" spans="1:10" ht="13" hidden="1">
      <c r="A9059" s="27"/>
      <c r="B9059" s="110"/>
      <c r="D9059" s="406" t="s">
        <v>65</v>
      </c>
      <c r="E9059" s="13" t="s">
        <v>66</v>
      </c>
      <c r="F9059" s="14"/>
      <c r="G9059" s="15"/>
      <c r="H9059" s="451"/>
      <c r="I9059" s="412"/>
      <c r="J9059" s="16"/>
    </row>
    <row r="9060" spans="1:10" ht="13" hidden="1">
      <c r="A9060" s="27"/>
      <c r="B9060" s="110"/>
      <c r="D9060" s="409"/>
      <c r="E9060" s="13" t="s">
        <v>446</v>
      </c>
      <c r="F9060" s="14"/>
      <c r="G9060" s="543" t="s">
        <v>285</v>
      </c>
      <c r="H9060" s="548">
        <v>5.7500000000000002E-2</v>
      </c>
      <c r="I9060" s="412">
        <f>Alat!H102</f>
        <v>0</v>
      </c>
      <c r="J9060" s="16">
        <f>H9060*I9060</f>
        <v>0</v>
      </c>
    </row>
    <row r="9061" spans="1:10" ht="13.5" hidden="1" thickBot="1">
      <c r="A9061" s="27"/>
      <c r="B9061" s="110"/>
      <c r="D9061" s="417"/>
      <c r="E9061" s="418"/>
      <c r="F9061" s="418"/>
      <c r="G9061" s="419"/>
      <c r="H9061" s="420" t="s">
        <v>67</v>
      </c>
      <c r="I9061" s="421"/>
      <c r="J9061" s="396">
        <f>J9060</f>
        <v>0</v>
      </c>
    </row>
    <row r="9062" spans="1:10" ht="13" hidden="1">
      <c r="A9062" s="27"/>
      <c r="B9062" s="110"/>
      <c r="D9062" s="444" t="s">
        <v>68</v>
      </c>
      <c r="E9062" s="445" t="s">
        <v>69</v>
      </c>
      <c r="F9062" s="446"/>
      <c r="G9062" s="447"/>
      <c r="H9062" s="448"/>
      <c r="I9062" s="449">
        <f>IF(AND(E9062&lt;&gt;"",G9062&lt;&gt;""),IF(D9062="",IF(G9062="OH",VLOOKUP(E9062,UPAH!$C$4:$H$31,7,0),VLOOKUP(E9062,#REF!,4,0)),0),0)</f>
        <v>0</v>
      </c>
      <c r="J9062" s="16" t="e">
        <f>SUM(J9051:J9061)/2</f>
        <v>#VALUE!</v>
      </c>
    </row>
    <row r="9063" spans="1:10" ht="13" hidden="1">
      <c r="A9063" s="27"/>
      <c r="B9063" s="110"/>
      <c r="D9063" s="431" t="s">
        <v>70</v>
      </c>
      <c r="E9063" s="432" t="s">
        <v>477</v>
      </c>
      <c r="F9063" s="433"/>
      <c r="G9063" s="434"/>
      <c r="H9063" s="22">
        <v>0.1</v>
      </c>
      <c r="I9063" s="436"/>
      <c r="J9063" s="430" t="e">
        <f>H9063*J9062</f>
        <v>#VALUE!</v>
      </c>
    </row>
    <row r="9064" spans="1:10" ht="13.5" hidden="1" thickBot="1">
      <c r="A9064" s="27"/>
      <c r="B9064" s="110"/>
      <c r="D9064" s="401" t="s">
        <v>71</v>
      </c>
      <c r="E9064" s="402" t="s">
        <v>72</v>
      </c>
      <c r="F9064" s="418"/>
      <c r="G9064" s="419"/>
      <c r="H9064" s="442"/>
      <c r="I9064" s="421">
        <f>IF(AND(E9064&lt;&gt;"",G9064&lt;&gt;""),IF(D9064="",IF(G9064="OH",VLOOKUP(E9064,UPAH!$C$4:$H$31,7,0),VLOOKUP(E9064,#REF!,4,0)),0),0)</f>
        <v>0</v>
      </c>
      <c r="J9064" s="396" t="e">
        <f>ROUNDDOWN(J9062+J9063,0)</f>
        <v>#VALUE!</v>
      </c>
    </row>
    <row r="9065" spans="1:10" ht="13" hidden="1">
      <c r="A9065" s="27"/>
      <c r="B9065" s="110"/>
      <c r="D9065" s="11"/>
      <c r="E9065" s="11"/>
      <c r="H9065" s="443"/>
      <c r="I9065" s="17"/>
      <c r="J9065" s="18"/>
    </row>
    <row r="9066" spans="1:10" ht="13" hidden="1">
      <c r="A9066" s="27"/>
      <c r="B9066" s="110"/>
      <c r="C9066" s="11" t="s">
        <v>1444</v>
      </c>
      <c r="D9066" s="10" t="s">
        <v>1497</v>
      </c>
      <c r="H9066" s="443"/>
    </row>
    <row r="9067" spans="1:10" ht="13.5" hidden="1" thickBot="1">
      <c r="A9067" s="27"/>
      <c r="B9067" s="110"/>
      <c r="D9067" s="401" t="s">
        <v>40</v>
      </c>
      <c r="E9067" s="402" t="s">
        <v>41</v>
      </c>
      <c r="F9067" s="402" t="s">
        <v>42</v>
      </c>
      <c r="G9067" s="403" t="s">
        <v>43</v>
      </c>
      <c r="H9067" s="404" t="s">
        <v>44</v>
      </c>
      <c r="I9067" s="402" t="s">
        <v>474</v>
      </c>
      <c r="J9067" s="405" t="s">
        <v>475</v>
      </c>
    </row>
    <row r="9068" spans="1:10" ht="13" hidden="1">
      <c r="A9068" s="27"/>
      <c r="B9068" s="110"/>
      <c r="D9068" s="444" t="s">
        <v>45</v>
      </c>
      <c r="E9068" s="445" t="s">
        <v>46</v>
      </c>
      <c r="F9068" s="446"/>
      <c r="G9068" s="447"/>
      <c r="H9068" s="448"/>
      <c r="I9068" s="449"/>
      <c r="J9068" s="450"/>
    </row>
    <row r="9069" spans="1:10" ht="13" hidden="1">
      <c r="A9069" s="27"/>
      <c r="B9069" s="110"/>
      <c r="D9069" s="409"/>
      <c r="E9069" s="13" t="s">
        <v>47</v>
      </c>
      <c r="F9069" s="13" t="s">
        <v>1918</v>
      </c>
      <c r="G9069" s="543" t="s">
        <v>48</v>
      </c>
      <c r="H9069" s="548">
        <v>1.4690000000000001</v>
      </c>
      <c r="I9069" s="412">
        <f>IF(AND(E9069&lt;&gt;"",G9069&lt;&gt;""),IF(D9069="",IF(G9069="OH",VLOOKUP(F9069,UPAH!$B$4:$H$101,7,0),VLOOKUP(F9069,#REF!,4,0)),0),0)</f>
        <v>0</v>
      </c>
      <c r="J9069" s="16">
        <f>H9069*I9069</f>
        <v>0</v>
      </c>
    </row>
    <row r="9070" spans="1:10" ht="13" hidden="1">
      <c r="A9070" s="27"/>
      <c r="B9070" s="110"/>
      <c r="D9070" s="409"/>
      <c r="E9070" s="13" t="s">
        <v>283</v>
      </c>
      <c r="F9070" s="13" t="s">
        <v>1913</v>
      </c>
      <c r="G9070" s="543" t="s">
        <v>48</v>
      </c>
      <c r="H9070" s="548">
        <v>0.73499999999999999</v>
      </c>
      <c r="I9070" s="412">
        <f>IF(AND(E9070&lt;&gt;"",G9070&lt;&gt;""),IF(D9070="",IF(G9070="OH",VLOOKUP(F9070,UPAH!$B$4:$H$101,7,0),VLOOKUP(F9070,#REF!,4,0)),0),0)</f>
        <v>0</v>
      </c>
      <c r="J9070" s="16">
        <f>H9070*I9070</f>
        <v>0</v>
      </c>
    </row>
    <row r="9071" spans="1:10" ht="13" hidden="1">
      <c r="A9071" s="27"/>
      <c r="B9071" s="110"/>
      <c r="D9071" s="409"/>
      <c r="E9071" s="13" t="s">
        <v>51</v>
      </c>
      <c r="F9071" s="13" t="s">
        <v>1929</v>
      </c>
      <c r="G9071" s="543" t="s">
        <v>48</v>
      </c>
      <c r="H9071" s="548">
        <v>0.14699999999999999</v>
      </c>
      <c r="I9071" s="412">
        <f>IF(AND(E9071&lt;&gt;"",G9071&lt;&gt;""),IF(D9071="",IF(G9071="OH",VLOOKUP(F9071,UPAH!$B$4:$H$101,7,0),VLOOKUP(F9071,#REF!,4,0)),0),0)</f>
        <v>0</v>
      </c>
      <c r="J9071" s="16">
        <f>H9071*I9071</f>
        <v>0</v>
      </c>
    </row>
    <row r="9072" spans="1:10" ht="13.5" hidden="1" thickBot="1">
      <c r="A9072" s="27"/>
      <c r="B9072" s="110"/>
      <c r="D9072" s="417"/>
      <c r="E9072" s="418"/>
      <c r="F9072" s="418"/>
      <c r="G9072" s="419"/>
      <c r="H9072" s="420" t="s">
        <v>52</v>
      </c>
      <c r="I9072" s="421"/>
      <c r="J9072" s="396">
        <f>SUM(J9068:J9071)</f>
        <v>0</v>
      </c>
    </row>
    <row r="9073" spans="1:10" ht="13" hidden="1">
      <c r="A9073" s="27"/>
      <c r="B9073" s="110"/>
      <c r="D9073" s="406" t="s">
        <v>53</v>
      </c>
      <c r="E9073" s="13" t="s">
        <v>54</v>
      </c>
      <c r="F9073" s="14"/>
      <c r="G9073" s="15"/>
      <c r="H9073" s="451"/>
      <c r="I9073" s="412"/>
      <c r="J9073" s="16"/>
    </row>
    <row r="9074" spans="1:10" ht="13" hidden="1">
      <c r="A9074" s="27"/>
      <c r="B9074" s="110"/>
      <c r="D9074" s="409"/>
      <c r="E9074" s="13" t="s">
        <v>323</v>
      </c>
      <c r="F9074" s="14"/>
      <c r="G9074" s="543" t="s">
        <v>113</v>
      </c>
      <c r="H9074" s="548">
        <v>1</v>
      </c>
      <c r="I9074" s="412" t="s">
        <v>3187</v>
      </c>
      <c r="J9074" s="16" t="e">
        <f>H9074*I9074</f>
        <v>#VALUE!</v>
      </c>
    </row>
    <row r="9075" spans="1:10" ht="13.5" hidden="1" thickBot="1">
      <c r="A9075" s="27"/>
      <c r="B9075" s="110"/>
      <c r="D9075" s="417"/>
      <c r="E9075" s="418"/>
      <c r="F9075" s="418"/>
      <c r="G9075" s="419"/>
      <c r="H9075" s="420" t="s">
        <v>64</v>
      </c>
      <c r="I9075" s="421"/>
      <c r="J9075" s="396" t="e">
        <f>SUM(J9074)</f>
        <v>#VALUE!</v>
      </c>
    </row>
    <row r="9076" spans="1:10" ht="13" hidden="1">
      <c r="A9076" s="27"/>
      <c r="B9076" s="110"/>
      <c r="D9076" s="406" t="s">
        <v>65</v>
      </c>
      <c r="E9076" s="13" t="s">
        <v>66</v>
      </c>
      <c r="F9076" s="14"/>
      <c r="G9076" s="15"/>
      <c r="H9076" s="451"/>
      <c r="I9076" s="412"/>
      <c r="J9076" s="16"/>
    </row>
    <row r="9077" spans="1:10" ht="13" hidden="1">
      <c r="A9077" s="27"/>
      <c r="B9077" s="110"/>
      <c r="D9077" s="409"/>
      <c r="E9077" s="13" t="s">
        <v>446</v>
      </c>
      <c r="F9077" s="14"/>
      <c r="G9077" s="543" t="s">
        <v>285</v>
      </c>
      <c r="H9077" s="548">
        <f>0.0575/3*4</f>
        <v>7.6666666666666675E-2</v>
      </c>
      <c r="I9077" s="412">
        <f>Alat!H102</f>
        <v>0</v>
      </c>
      <c r="J9077" s="16">
        <f>H9077*I9077</f>
        <v>0</v>
      </c>
    </row>
    <row r="9078" spans="1:10" ht="13.5" hidden="1" thickBot="1">
      <c r="A9078" s="27"/>
      <c r="B9078" s="110"/>
      <c r="D9078" s="417"/>
      <c r="E9078" s="418"/>
      <c r="F9078" s="418"/>
      <c r="G9078" s="419"/>
      <c r="H9078" s="420" t="s">
        <v>67</v>
      </c>
      <c r="I9078" s="421"/>
      <c r="J9078" s="396">
        <f>J9077</f>
        <v>0</v>
      </c>
    </row>
    <row r="9079" spans="1:10" ht="13" hidden="1">
      <c r="A9079" s="27"/>
      <c r="B9079" s="110"/>
      <c r="D9079" s="444" t="s">
        <v>68</v>
      </c>
      <c r="E9079" s="445" t="s">
        <v>69</v>
      </c>
      <c r="F9079" s="446"/>
      <c r="G9079" s="447"/>
      <c r="H9079" s="448"/>
      <c r="I9079" s="449">
        <f>IF(AND(E9079&lt;&gt;"",G9079&lt;&gt;""),IF(D9079="",IF(G9079="OH",VLOOKUP(E9079,UPAH!$C$4:$H$31,7,0),VLOOKUP(E9079,#REF!,4,0)),0),0)</f>
        <v>0</v>
      </c>
      <c r="J9079" s="16" t="e">
        <f>SUM(J9068:J9078)/2</f>
        <v>#VALUE!</v>
      </c>
    </row>
    <row r="9080" spans="1:10" ht="13" hidden="1">
      <c r="A9080" s="27"/>
      <c r="B9080" s="110"/>
      <c r="D9080" s="431" t="s">
        <v>70</v>
      </c>
      <c r="E9080" s="432" t="s">
        <v>477</v>
      </c>
      <c r="F9080" s="433"/>
      <c r="G9080" s="434"/>
      <c r="H9080" s="22">
        <v>0.1</v>
      </c>
      <c r="I9080" s="436"/>
      <c r="J9080" s="430" t="e">
        <f>H9080*J9079</f>
        <v>#VALUE!</v>
      </c>
    </row>
    <row r="9081" spans="1:10" ht="13.5" hidden="1" thickBot="1">
      <c r="A9081" s="27"/>
      <c r="B9081" s="110"/>
      <c r="D9081" s="401" t="s">
        <v>71</v>
      </c>
      <c r="E9081" s="402" t="s">
        <v>72</v>
      </c>
      <c r="F9081" s="418"/>
      <c r="G9081" s="419"/>
      <c r="H9081" s="442"/>
      <c r="I9081" s="421">
        <f>IF(AND(E9081&lt;&gt;"",G9081&lt;&gt;""),IF(D9081="",IF(G9081="OH",VLOOKUP(E9081,UPAH!$C$4:$H$31,7,0),VLOOKUP(E9081,#REF!,4,0)),0),0)</f>
        <v>0</v>
      </c>
      <c r="J9081" s="396" t="e">
        <f>ROUNDDOWN(J9079+J9080,0)</f>
        <v>#VALUE!</v>
      </c>
    </row>
    <row r="9082" spans="1:10" ht="13" hidden="1">
      <c r="A9082" s="27"/>
      <c r="B9082" s="110"/>
      <c r="D9082" s="11"/>
      <c r="E9082" s="11"/>
      <c r="H9082" s="443"/>
      <c r="I9082" s="17"/>
      <c r="J9082" s="18"/>
    </row>
    <row r="9083" spans="1:10" ht="13" hidden="1">
      <c r="A9083" s="27"/>
      <c r="B9083" s="110"/>
      <c r="C9083" s="11" t="s">
        <v>1443</v>
      </c>
      <c r="D9083" s="10" t="s">
        <v>3</v>
      </c>
      <c r="H9083" s="443"/>
    </row>
    <row r="9084" spans="1:10" ht="13.5" hidden="1" thickBot="1">
      <c r="A9084" s="27"/>
      <c r="B9084" s="110"/>
      <c r="D9084" s="401" t="s">
        <v>40</v>
      </c>
      <c r="E9084" s="402" t="s">
        <v>41</v>
      </c>
      <c r="F9084" s="402" t="s">
        <v>42</v>
      </c>
      <c r="G9084" s="403" t="s">
        <v>43</v>
      </c>
      <c r="H9084" s="404" t="s">
        <v>44</v>
      </c>
      <c r="I9084" s="402" t="s">
        <v>474</v>
      </c>
      <c r="J9084" s="405" t="s">
        <v>475</v>
      </c>
    </row>
    <row r="9085" spans="1:10" ht="13" hidden="1">
      <c r="A9085" s="27"/>
      <c r="B9085" s="110"/>
      <c r="D9085" s="406" t="s">
        <v>45</v>
      </c>
      <c r="E9085" s="13" t="s">
        <v>46</v>
      </c>
      <c r="F9085" s="14"/>
      <c r="G9085" s="15"/>
      <c r="H9085" s="451"/>
      <c r="I9085" s="412"/>
      <c r="J9085" s="16"/>
    </row>
    <row r="9086" spans="1:10" ht="13" hidden="1">
      <c r="A9086" s="27"/>
      <c r="B9086" s="110"/>
      <c r="D9086" s="409"/>
      <c r="E9086" s="13" t="s">
        <v>47</v>
      </c>
      <c r="F9086" s="13" t="s">
        <v>1918</v>
      </c>
      <c r="G9086" s="543" t="s">
        <v>48</v>
      </c>
      <c r="H9086" s="548">
        <v>1.327</v>
      </c>
      <c r="I9086" s="412">
        <f>IF(AND(E9086&lt;&gt;"",G9086&lt;&gt;""),IF(D9086="",IF(G9086="OH",VLOOKUP(F9086,UPAH!$B$4:$H$101,7,0),VLOOKUP(F9086,#REF!,4,0)),0),0)</f>
        <v>0</v>
      </c>
      <c r="J9086" s="16">
        <f>H9086*I9086</f>
        <v>0</v>
      </c>
    </row>
    <row r="9087" spans="1:10" ht="13" hidden="1">
      <c r="A9087" s="27"/>
      <c r="B9087" s="110"/>
      <c r="D9087" s="409"/>
      <c r="E9087" s="13" t="s">
        <v>283</v>
      </c>
      <c r="F9087" s="13" t="s">
        <v>1913</v>
      </c>
      <c r="G9087" s="543" t="s">
        <v>48</v>
      </c>
      <c r="H9087" s="548">
        <v>0.66400000000000003</v>
      </c>
      <c r="I9087" s="412">
        <f>IF(AND(E9087&lt;&gt;"",G9087&lt;&gt;""),IF(D9087="",IF(G9087="OH",VLOOKUP(F9087,UPAH!$B$4:$H$101,7,0),VLOOKUP(F9087,#REF!,4,0)),0),0)</f>
        <v>0</v>
      </c>
      <c r="J9087" s="16">
        <f>H9087*I9087</f>
        <v>0</v>
      </c>
    </row>
    <row r="9088" spans="1:10" ht="13" hidden="1">
      <c r="A9088" s="27"/>
      <c r="B9088" s="110"/>
      <c r="D9088" s="409"/>
      <c r="E9088" s="13" t="s">
        <v>51</v>
      </c>
      <c r="F9088" s="13" t="s">
        <v>1929</v>
      </c>
      <c r="G9088" s="543" t="s">
        <v>48</v>
      </c>
      <c r="H9088" s="548">
        <v>0.13300000000000001</v>
      </c>
      <c r="I9088" s="412">
        <f>IF(AND(E9088&lt;&gt;"",G9088&lt;&gt;""),IF(D9088="",IF(G9088="OH",VLOOKUP(F9088,UPAH!$B$4:$H$101,7,0),VLOOKUP(F9088,#REF!,4,0)),0),0)</f>
        <v>0</v>
      </c>
      <c r="J9088" s="16">
        <f>H9088*I9088</f>
        <v>0</v>
      </c>
    </row>
    <row r="9089" spans="1:10" ht="13.5" hidden="1" thickBot="1">
      <c r="A9089" s="27"/>
      <c r="B9089" s="110"/>
      <c r="D9089" s="417"/>
      <c r="E9089" s="418"/>
      <c r="F9089" s="418"/>
      <c r="G9089" s="419"/>
      <c r="H9089" s="420" t="s">
        <v>52</v>
      </c>
      <c r="I9089" s="421"/>
      <c r="J9089" s="396">
        <f>SUM(J9085:J9088)</f>
        <v>0</v>
      </c>
    </row>
    <row r="9090" spans="1:10" ht="13" hidden="1">
      <c r="A9090" s="27"/>
      <c r="B9090" s="110"/>
      <c r="D9090" s="406" t="s">
        <v>53</v>
      </c>
      <c r="E9090" s="13" t="s">
        <v>54</v>
      </c>
      <c r="F9090" s="14"/>
      <c r="G9090" s="15"/>
      <c r="H9090" s="451"/>
      <c r="I9090" s="412"/>
      <c r="J9090" s="16"/>
    </row>
    <row r="9091" spans="1:10" ht="13" hidden="1">
      <c r="A9091" s="27"/>
      <c r="B9091" s="110"/>
      <c r="D9091" s="409"/>
      <c r="E9091" s="13" t="s">
        <v>324</v>
      </c>
      <c r="F9091" s="14"/>
      <c r="G9091" s="543" t="s">
        <v>113</v>
      </c>
      <c r="H9091" s="548">
        <v>1</v>
      </c>
      <c r="I9091" s="412" t="s">
        <v>3187</v>
      </c>
      <c r="J9091" s="16" t="e">
        <f>H9091*I9091</f>
        <v>#VALUE!</v>
      </c>
    </row>
    <row r="9092" spans="1:10" ht="13.5" hidden="1" thickBot="1">
      <c r="A9092" s="27"/>
      <c r="B9092" s="110"/>
      <c r="D9092" s="417"/>
      <c r="E9092" s="418"/>
      <c r="F9092" s="418"/>
      <c r="G9092" s="419"/>
      <c r="H9092" s="420" t="s">
        <v>64</v>
      </c>
      <c r="I9092" s="421"/>
      <c r="J9092" s="396" t="e">
        <f>SUM(J9091)</f>
        <v>#VALUE!</v>
      </c>
    </row>
    <row r="9093" spans="1:10" ht="13" hidden="1">
      <c r="A9093" s="27"/>
      <c r="B9093" s="110"/>
      <c r="D9093" s="406" t="s">
        <v>65</v>
      </c>
      <c r="E9093" s="13" t="s">
        <v>66</v>
      </c>
      <c r="F9093" s="14"/>
      <c r="G9093" s="15"/>
      <c r="H9093" s="451"/>
      <c r="I9093" s="412"/>
      <c r="J9093" s="16"/>
    </row>
    <row r="9094" spans="1:10" ht="13" hidden="1">
      <c r="A9094" s="27"/>
      <c r="B9094" s="110"/>
      <c r="D9094" s="409"/>
      <c r="E9094" s="13" t="s">
        <v>446</v>
      </c>
      <c r="F9094" s="14"/>
      <c r="G9094" s="543" t="s">
        <v>285</v>
      </c>
      <c r="H9094" s="548">
        <f>0.0575/3*4</f>
        <v>7.6666666666666675E-2</v>
      </c>
      <c r="I9094" s="412">
        <f>Alat!H102</f>
        <v>0</v>
      </c>
      <c r="J9094" s="16">
        <f>H9094*I9094</f>
        <v>0</v>
      </c>
    </row>
    <row r="9095" spans="1:10" ht="13.5" hidden="1" thickBot="1">
      <c r="A9095" s="27"/>
      <c r="B9095" s="110"/>
      <c r="D9095" s="417"/>
      <c r="E9095" s="418"/>
      <c r="F9095" s="418"/>
      <c r="G9095" s="419"/>
      <c r="H9095" s="420" t="s">
        <v>67</v>
      </c>
      <c r="I9095" s="421"/>
      <c r="J9095" s="396">
        <f>J9094</f>
        <v>0</v>
      </c>
    </row>
    <row r="9096" spans="1:10" ht="13" hidden="1">
      <c r="A9096" s="27"/>
      <c r="B9096" s="110"/>
      <c r="D9096" s="444" t="s">
        <v>68</v>
      </c>
      <c r="E9096" s="445" t="s">
        <v>69</v>
      </c>
      <c r="F9096" s="446"/>
      <c r="G9096" s="447"/>
      <c r="H9096" s="448"/>
      <c r="I9096" s="449">
        <f>IF(AND(E9096&lt;&gt;"",G9096&lt;&gt;""),IF(D9096="",IF(G9096="OH",VLOOKUP(E9096,UPAH!$C$4:$H$31,7,0),VLOOKUP(E9096,#REF!,4,0)),0),0)</f>
        <v>0</v>
      </c>
      <c r="J9096" s="16" t="e">
        <f>SUM(J9085:J9095)/2</f>
        <v>#VALUE!</v>
      </c>
    </row>
    <row r="9097" spans="1:10" ht="13" hidden="1">
      <c r="A9097" s="27"/>
      <c r="B9097" s="110"/>
      <c r="D9097" s="431" t="s">
        <v>70</v>
      </c>
      <c r="E9097" s="432" t="s">
        <v>477</v>
      </c>
      <c r="F9097" s="433"/>
      <c r="G9097" s="434"/>
      <c r="H9097" s="22">
        <v>0.1</v>
      </c>
      <c r="I9097" s="436"/>
      <c r="J9097" s="430" t="e">
        <f>H9097*J9096</f>
        <v>#VALUE!</v>
      </c>
    </row>
    <row r="9098" spans="1:10" ht="13.5" hidden="1" thickBot="1">
      <c r="A9098" s="27"/>
      <c r="B9098" s="110"/>
      <c r="D9098" s="401" t="s">
        <v>71</v>
      </c>
      <c r="E9098" s="402" t="s">
        <v>72</v>
      </c>
      <c r="F9098" s="418"/>
      <c r="G9098" s="419"/>
      <c r="H9098" s="442"/>
      <c r="I9098" s="421">
        <f>IF(AND(E9098&lt;&gt;"",G9098&lt;&gt;""),IF(D9098="",IF(G9098="OH",VLOOKUP(E9098,UPAH!$C$4:$H$31,7,0),VLOOKUP(E9098,#REF!,4,0)),0),0)</f>
        <v>0</v>
      </c>
      <c r="J9098" s="396" t="e">
        <f>ROUNDDOWN(J9096+J9097,0)</f>
        <v>#VALUE!</v>
      </c>
    </row>
    <row r="9099" spans="1:10" ht="13" hidden="1">
      <c r="A9099" s="27"/>
      <c r="B9099" s="110"/>
      <c r="D9099" s="11"/>
      <c r="E9099" s="11"/>
      <c r="H9099" s="443"/>
      <c r="I9099" s="17"/>
      <c r="J9099" s="18"/>
    </row>
    <row r="9100" spans="1:10" ht="13" hidden="1">
      <c r="A9100" s="27"/>
      <c r="B9100" s="110"/>
      <c r="C9100" s="11" t="s">
        <v>1442</v>
      </c>
      <c r="D9100" s="10" t="s">
        <v>1498</v>
      </c>
      <c r="H9100" s="443"/>
    </row>
    <row r="9101" spans="1:10" ht="13.5" hidden="1" thickBot="1">
      <c r="A9101" s="27"/>
      <c r="B9101" s="110"/>
      <c r="D9101" s="401" t="s">
        <v>40</v>
      </c>
      <c r="E9101" s="402" t="s">
        <v>41</v>
      </c>
      <c r="F9101" s="402" t="s">
        <v>42</v>
      </c>
      <c r="G9101" s="403" t="s">
        <v>43</v>
      </c>
      <c r="H9101" s="404" t="s">
        <v>44</v>
      </c>
      <c r="I9101" s="402" t="s">
        <v>474</v>
      </c>
      <c r="J9101" s="405" t="s">
        <v>475</v>
      </c>
    </row>
    <row r="9102" spans="1:10" ht="13" hidden="1">
      <c r="A9102" s="27"/>
      <c r="B9102" s="110"/>
      <c r="D9102" s="444" t="s">
        <v>45</v>
      </c>
      <c r="E9102" s="445" t="s">
        <v>46</v>
      </c>
      <c r="F9102" s="446"/>
      <c r="G9102" s="447"/>
      <c r="H9102" s="448"/>
      <c r="I9102" s="449"/>
      <c r="J9102" s="450"/>
    </row>
    <row r="9103" spans="1:10" ht="13" hidden="1">
      <c r="A9103" s="27"/>
      <c r="B9103" s="110"/>
      <c r="D9103" s="409"/>
      <c r="E9103" s="13" t="s">
        <v>47</v>
      </c>
      <c r="F9103" s="13" t="s">
        <v>1918</v>
      </c>
      <c r="G9103" s="543" t="s">
        <v>48</v>
      </c>
      <c r="H9103" s="548">
        <v>2.327</v>
      </c>
      <c r="I9103" s="412">
        <f>IF(AND(E9103&lt;&gt;"",G9103&lt;&gt;""),IF(D9103="",IF(G9103="OH",VLOOKUP(F9103,UPAH!$B$4:$H$101,7,0),VLOOKUP(F9103,#REF!,4,0)),0),0)</f>
        <v>0</v>
      </c>
      <c r="J9103" s="16">
        <f>H9103*I9103</f>
        <v>0</v>
      </c>
    </row>
    <row r="9104" spans="1:10" ht="13" hidden="1">
      <c r="A9104" s="27"/>
      <c r="B9104" s="110"/>
      <c r="D9104" s="409"/>
      <c r="E9104" s="13" t="s">
        <v>283</v>
      </c>
      <c r="F9104" s="13" t="s">
        <v>1913</v>
      </c>
      <c r="G9104" s="543" t="s">
        <v>48</v>
      </c>
      <c r="H9104" s="548">
        <v>1.163</v>
      </c>
      <c r="I9104" s="412">
        <f>IF(AND(E9104&lt;&gt;"",G9104&lt;&gt;""),IF(D9104="",IF(G9104="OH",VLOOKUP(F9104,UPAH!$B$4:$H$101,7,0),VLOOKUP(F9104,#REF!,4,0)),0),0)</f>
        <v>0</v>
      </c>
      <c r="J9104" s="16">
        <f>H9104*I9104</f>
        <v>0</v>
      </c>
    </row>
    <row r="9105" spans="1:10" ht="13" hidden="1">
      <c r="A9105" s="27"/>
      <c r="B9105" s="110"/>
      <c r="D9105" s="409"/>
      <c r="E9105" s="13" t="s">
        <v>51</v>
      </c>
      <c r="F9105" s="13" t="s">
        <v>1929</v>
      </c>
      <c r="G9105" s="543" t="s">
        <v>48</v>
      </c>
      <c r="H9105" s="548">
        <v>0.23300000000000001</v>
      </c>
      <c r="I9105" s="412">
        <f>IF(AND(E9105&lt;&gt;"",G9105&lt;&gt;""),IF(D9105="",IF(G9105="OH",VLOOKUP(F9105,UPAH!$B$4:$H$101,7,0),VLOOKUP(F9105,#REF!,4,0)),0),0)</f>
        <v>0</v>
      </c>
      <c r="J9105" s="16">
        <f>H9105*I9105</f>
        <v>0</v>
      </c>
    </row>
    <row r="9106" spans="1:10" ht="13.5" hidden="1" thickBot="1">
      <c r="A9106" s="27"/>
      <c r="B9106" s="110"/>
      <c r="D9106" s="417"/>
      <c r="E9106" s="418"/>
      <c r="F9106" s="418"/>
      <c r="G9106" s="419"/>
      <c r="H9106" s="420" t="s">
        <v>52</v>
      </c>
      <c r="I9106" s="421"/>
      <c r="J9106" s="396">
        <f>SUM(J9102:J9105)</f>
        <v>0</v>
      </c>
    </row>
    <row r="9107" spans="1:10" ht="13" hidden="1">
      <c r="A9107" s="27"/>
      <c r="B9107" s="110"/>
      <c r="D9107" s="406" t="s">
        <v>53</v>
      </c>
      <c r="E9107" s="13" t="s">
        <v>54</v>
      </c>
      <c r="F9107" s="14"/>
      <c r="G9107" s="15"/>
      <c r="H9107" s="451"/>
      <c r="I9107" s="412"/>
      <c r="J9107" s="16"/>
    </row>
    <row r="9108" spans="1:10" ht="13" hidden="1">
      <c r="A9108" s="27"/>
      <c r="B9108" s="110"/>
      <c r="D9108" s="409"/>
      <c r="E9108" s="13" t="s">
        <v>325</v>
      </c>
      <c r="F9108" s="14"/>
      <c r="G9108" s="543" t="s">
        <v>113</v>
      </c>
      <c r="H9108" s="548">
        <v>1</v>
      </c>
      <c r="I9108" s="412" t="s">
        <v>3187</v>
      </c>
      <c r="J9108" s="16" t="e">
        <f>H9108*I9108</f>
        <v>#VALUE!</v>
      </c>
    </row>
    <row r="9109" spans="1:10" ht="13.5" hidden="1" thickBot="1">
      <c r="A9109" s="27"/>
      <c r="B9109" s="110"/>
      <c r="D9109" s="417"/>
      <c r="E9109" s="418"/>
      <c r="F9109" s="418"/>
      <c r="G9109" s="419"/>
      <c r="H9109" s="420" t="s">
        <v>64</v>
      </c>
      <c r="I9109" s="421"/>
      <c r="J9109" s="396" t="e">
        <f>SUM(J9108)</f>
        <v>#VALUE!</v>
      </c>
    </row>
    <row r="9110" spans="1:10" ht="13" hidden="1">
      <c r="A9110" s="27"/>
      <c r="B9110" s="110"/>
      <c r="D9110" s="406" t="s">
        <v>65</v>
      </c>
      <c r="E9110" s="13" t="s">
        <v>66</v>
      </c>
      <c r="F9110" s="14"/>
      <c r="G9110" s="15"/>
      <c r="H9110" s="451"/>
      <c r="I9110" s="412"/>
      <c r="J9110" s="16"/>
    </row>
    <row r="9111" spans="1:10" ht="13" hidden="1">
      <c r="A9111" s="27"/>
      <c r="B9111" s="110"/>
      <c r="D9111" s="409"/>
      <c r="E9111" s="13" t="s">
        <v>446</v>
      </c>
      <c r="F9111" s="14"/>
      <c r="G9111" s="543" t="s">
        <v>285</v>
      </c>
      <c r="H9111" s="548">
        <f>0.0575*1.5</f>
        <v>8.6250000000000007E-2</v>
      </c>
      <c r="I9111" s="412">
        <f>Alat!H102</f>
        <v>0</v>
      </c>
      <c r="J9111" s="16">
        <f>H9111*I9111</f>
        <v>0</v>
      </c>
    </row>
    <row r="9112" spans="1:10" ht="13.5" hidden="1" thickBot="1">
      <c r="A9112" s="27"/>
      <c r="B9112" s="110"/>
      <c r="D9112" s="417"/>
      <c r="E9112" s="418"/>
      <c r="F9112" s="418"/>
      <c r="G9112" s="419"/>
      <c r="H9112" s="420" t="s">
        <v>67</v>
      </c>
      <c r="I9112" s="421"/>
      <c r="J9112" s="396">
        <f>J9111</f>
        <v>0</v>
      </c>
    </row>
    <row r="9113" spans="1:10" ht="13" hidden="1">
      <c r="A9113" s="27"/>
      <c r="B9113" s="110"/>
      <c r="D9113" s="444" t="s">
        <v>68</v>
      </c>
      <c r="E9113" s="445" t="s">
        <v>69</v>
      </c>
      <c r="F9113" s="446"/>
      <c r="G9113" s="447"/>
      <c r="H9113" s="448"/>
      <c r="I9113" s="449">
        <f>IF(AND(E9113&lt;&gt;"",G9113&lt;&gt;""),IF(D9113="",IF(G9113="OH",VLOOKUP(E9113,UPAH!$C$4:$H$31,7,0),VLOOKUP(E9113,#REF!,4,0)),0),0)</f>
        <v>0</v>
      </c>
      <c r="J9113" s="16" t="e">
        <f>SUM(J9102:J9112)/2</f>
        <v>#VALUE!</v>
      </c>
    </row>
    <row r="9114" spans="1:10" ht="13" hidden="1">
      <c r="A9114" s="27"/>
      <c r="B9114" s="110"/>
      <c r="D9114" s="431" t="s">
        <v>70</v>
      </c>
      <c r="E9114" s="432" t="s">
        <v>477</v>
      </c>
      <c r="F9114" s="433"/>
      <c r="G9114" s="434"/>
      <c r="H9114" s="22">
        <v>0.1</v>
      </c>
      <c r="I9114" s="436"/>
      <c r="J9114" s="430" t="e">
        <f>H9114*J9113</f>
        <v>#VALUE!</v>
      </c>
    </row>
    <row r="9115" spans="1:10" ht="13.5" hidden="1" thickBot="1">
      <c r="A9115" s="27"/>
      <c r="B9115" s="110"/>
      <c r="D9115" s="401" t="s">
        <v>71</v>
      </c>
      <c r="E9115" s="402" t="s">
        <v>72</v>
      </c>
      <c r="F9115" s="418"/>
      <c r="G9115" s="419"/>
      <c r="H9115" s="442"/>
      <c r="I9115" s="421">
        <f>IF(AND(E9115&lt;&gt;"",G9115&lt;&gt;""),IF(D9115="",IF(G9115="OH",VLOOKUP(E9115,UPAH!$C$4:$H$31,7,0),VLOOKUP(E9115,#REF!,4,0)),0),0)</f>
        <v>0</v>
      </c>
      <c r="J9115" s="396" t="e">
        <f>ROUNDDOWN(J9113+J9114,0)</f>
        <v>#VALUE!</v>
      </c>
    </row>
    <row r="9116" spans="1:10" ht="13" hidden="1">
      <c r="A9116" s="27"/>
      <c r="B9116" s="110"/>
      <c r="D9116" s="11"/>
      <c r="E9116" s="11"/>
      <c r="H9116" s="443"/>
      <c r="I9116" s="17"/>
      <c r="J9116" s="18"/>
    </row>
    <row r="9117" spans="1:10" ht="13" hidden="1">
      <c r="A9117" s="27"/>
      <c r="B9117" s="110"/>
      <c r="C9117" s="11" t="s">
        <v>1441</v>
      </c>
      <c r="D9117" s="10" t="s">
        <v>1499</v>
      </c>
      <c r="H9117" s="443"/>
    </row>
    <row r="9118" spans="1:10" ht="13.5" hidden="1" thickBot="1">
      <c r="A9118" s="27"/>
      <c r="B9118" s="110"/>
      <c r="D9118" s="401" t="s">
        <v>40</v>
      </c>
      <c r="E9118" s="402" t="s">
        <v>41</v>
      </c>
      <c r="F9118" s="402" t="s">
        <v>42</v>
      </c>
      <c r="G9118" s="403" t="s">
        <v>43</v>
      </c>
      <c r="H9118" s="404" t="s">
        <v>44</v>
      </c>
      <c r="I9118" s="402" t="s">
        <v>474</v>
      </c>
      <c r="J9118" s="405" t="s">
        <v>475</v>
      </c>
    </row>
    <row r="9119" spans="1:10" ht="13" hidden="1">
      <c r="A9119" s="27"/>
      <c r="B9119" s="110"/>
      <c r="D9119" s="444" t="s">
        <v>45</v>
      </c>
      <c r="E9119" s="445" t="s">
        <v>46</v>
      </c>
      <c r="F9119" s="446"/>
      <c r="G9119" s="447"/>
      <c r="H9119" s="448"/>
      <c r="I9119" s="449"/>
      <c r="J9119" s="450"/>
    </row>
    <row r="9120" spans="1:10" ht="13" hidden="1">
      <c r="A9120" s="27"/>
      <c r="B9120" s="110"/>
      <c r="D9120" s="409"/>
      <c r="E9120" s="13" t="s">
        <v>47</v>
      </c>
      <c r="F9120" s="13" t="s">
        <v>1918</v>
      </c>
      <c r="G9120" s="543" t="s">
        <v>48</v>
      </c>
      <c r="H9120" s="548">
        <v>2.6230000000000002</v>
      </c>
      <c r="I9120" s="412">
        <f>IF(AND(E9120&lt;&gt;"",G9120&lt;&gt;""),IF(D9120="",IF(G9120="OH",VLOOKUP(F9120,UPAH!$B$4:$H$101,7,0),VLOOKUP(F9120,#REF!,4,0)),0),0)</f>
        <v>0</v>
      </c>
      <c r="J9120" s="16">
        <f>H9120*I9120</f>
        <v>0</v>
      </c>
    </row>
    <row r="9121" spans="1:10" ht="13" hidden="1">
      <c r="A9121" s="27"/>
      <c r="B9121" s="110"/>
      <c r="D9121" s="409"/>
      <c r="E9121" s="13" t="s">
        <v>283</v>
      </c>
      <c r="F9121" s="13" t="s">
        <v>1913</v>
      </c>
      <c r="G9121" s="543" t="s">
        <v>48</v>
      </c>
      <c r="H9121" s="548">
        <v>1.3120000000000001</v>
      </c>
      <c r="I9121" s="412">
        <f>IF(AND(E9121&lt;&gt;"",G9121&lt;&gt;""),IF(D9121="",IF(G9121="OH",VLOOKUP(F9121,UPAH!$B$4:$H$101,7,0),VLOOKUP(F9121,#REF!,4,0)),0),0)</f>
        <v>0</v>
      </c>
      <c r="J9121" s="16">
        <f>H9121*I9121</f>
        <v>0</v>
      </c>
    </row>
    <row r="9122" spans="1:10" ht="13" hidden="1">
      <c r="A9122" s="27"/>
      <c r="B9122" s="110"/>
      <c r="D9122" s="409"/>
      <c r="E9122" s="13" t="s">
        <v>51</v>
      </c>
      <c r="F9122" s="13" t="s">
        <v>1929</v>
      </c>
      <c r="G9122" s="543" t="s">
        <v>48</v>
      </c>
      <c r="H9122" s="548">
        <v>0.26200000000000001</v>
      </c>
      <c r="I9122" s="412">
        <f>IF(AND(E9122&lt;&gt;"",G9122&lt;&gt;""),IF(D9122="",IF(G9122="OH",VLOOKUP(F9122,UPAH!$B$4:$H$101,7,0),VLOOKUP(F9122,#REF!,4,0)),0),0)</f>
        <v>0</v>
      </c>
      <c r="J9122" s="16">
        <f>H9122*I9122</f>
        <v>0</v>
      </c>
    </row>
    <row r="9123" spans="1:10" ht="13.5" hidden="1" thickBot="1">
      <c r="A9123" s="27"/>
      <c r="B9123" s="110"/>
      <c r="D9123" s="417"/>
      <c r="E9123" s="418"/>
      <c r="F9123" s="418"/>
      <c r="G9123" s="419"/>
      <c r="H9123" s="420" t="s">
        <v>52</v>
      </c>
      <c r="I9123" s="421"/>
      <c r="J9123" s="396">
        <f>SUM(J9119:J9122)</f>
        <v>0</v>
      </c>
    </row>
    <row r="9124" spans="1:10" ht="13" hidden="1">
      <c r="A9124" s="27"/>
      <c r="B9124" s="110"/>
      <c r="D9124" s="406" t="s">
        <v>53</v>
      </c>
      <c r="E9124" s="13" t="s">
        <v>54</v>
      </c>
      <c r="F9124" s="14"/>
      <c r="G9124" s="15"/>
      <c r="H9124" s="451"/>
      <c r="I9124" s="412"/>
      <c r="J9124" s="16"/>
    </row>
    <row r="9125" spans="1:10" ht="13" hidden="1">
      <c r="A9125" s="27"/>
      <c r="B9125" s="110"/>
      <c r="D9125" s="409"/>
      <c r="E9125" s="13" t="s">
        <v>326</v>
      </c>
      <c r="F9125" s="14"/>
      <c r="G9125" s="543" t="s">
        <v>113</v>
      </c>
      <c r="H9125" s="548">
        <v>1</v>
      </c>
      <c r="I9125" s="412" t="s">
        <v>3187</v>
      </c>
      <c r="J9125" s="16" t="e">
        <f>H9125*I9125</f>
        <v>#VALUE!</v>
      </c>
    </row>
    <row r="9126" spans="1:10" ht="13.5" hidden="1" thickBot="1">
      <c r="A9126" s="27"/>
      <c r="B9126" s="110"/>
      <c r="D9126" s="417"/>
      <c r="E9126" s="418"/>
      <c r="F9126" s="418"/>
      <c r="G9126" s="419"/>
      <c r="H9126" s="420" t="s">
        <v>64</v>
      </c>
      <c r="I9126" s="421"/>
      <c r="J9126" s="396" t="e">
        <f>SUM(J9125)</f>
        <v>#VALUE!</v>
      </c>
    </row>
    <row r="9127" spans="1:10" ht="13" hidden="1">
      <c r="A9127" s="27"/>
      <c r="B9127" s="110"/>
      <c r="D9127" s="406" t="s">
        <v>65</v>
      </c>
      <c r="E9127" s="13" t="s">
        <v>66</v>
      </c>
      <c r="F9127" s="14"/>
      <c r="G9127" s="15"/>
      <c r="H9127" s="451"/>
      <c r="I9127" s="412"/>
      <c r="J9127" s="16"/>
    </row>
    <row r="9128" spans="1:10" ht="13" hidden="1">
      <c r="A9128" s="27"/>
      <c r="B9128" s="110"/>
      <c r="D9128" s="409"/>
      <c r="E9128" s="13" t="s">
        <v>446</v>
      </c>
      <c r="F9128" s="14"/>
      <c r="G9128" s="543" t="s">
        <v>285</v>
      </c>
      <c r="H9128" s="548">
        <f>0.0575*1.5</f>
        <v>8.6250000000000007E-2</v>
      </c>
      <c r="I9128" s="412">
        <f>Alat!H102</f>
        <v>0</v>
      </c>
      <c r="J9128" s="16">
        <f>H9128*I9128</f>
        <v>0</v>
      </c>
    </row>
    <row r="9129" spans="1:10" ht="13.5" hidden="1" thickBot="1">
      <c r="A9129" s="27"/>
      <c r="B9129" s="110"/>
      <c r="D9129" s="417"/>
      <c r="E9129" s="418"/>
      <c r="F9129" s="418"/>
      <c r="G9129" s="419"/>
      <c r="H9129" s="420" t="s">
        <v>67</v>
      </c>
      <c r="I9129" s="421"/>
      <c r="J9129" s="396">
        <f>J9128</f>
        <v>0</v>
      </c>
    </row>
    <row r="9130" spans="1:10" ht="13" hidden="1">
      <c r="A9130" s="27"/>
      <c r="B9130" s="110"/>
      <c r="D9130" s="444" t="s">
        <v>68</v>
      </c>
      <c r="E9130" s="445" t="s">
        <v>69</v>
      </c>
      <c r="F9130" s="446"/>
      <c r="G9130" s="447"/>
      <c r="H9130" s="448"/>
      <c r="I9130" s="449">
        <f>IF(AND(E9130&lt;&gt;"",G9130&lt;&gt;""),IF(D9130="",IF(G9130="OH",VLOOKUP(E9130,UPAH!$C$4:$H$31,7,0),VLOOKUP(E9130,#REF!,4,0)),0),0)</f>
        <v>0</v>
      </c>
      <c r="J9130" s="16" t="e">
        <f>SUM(J9119:J9129)/2</f>
        <v>#VALUE!</v>
      </c>
    </row>
    <row r="9131" spans="1:10" ht="13" hidden="1">
      <c r="A9131" s="27"/>
      <c r="B9131" s="110"/>
      <c r="D9131" s="431" t="s">
        <v>70</v>
      </c>
      <c r="E9131" s="432" t="s">
        <v>477</v>
      </c>
      <c r="F9131" s="433"/>
      <c r="G9131" s="434"/>
      <c r="H9131" s="22">
        <v>0.1</v>
      </c>
      <c r="I9131" s="436"/>
      <c r="J9131" s="430" t="e">
        <f>H9131*J9130</f>
        <v>#VALUE!</v>
      </c>
    </row>
    <row r="9132" spans="1:10" ht="13.5" hidden="1" thickBot="1">
      <c r="A9132" s="27"/>
      <c r="B9132" s="110"/>
      <c r="D9132" s="401" t="s">
        <v>71</v>
      </c>
      <c r="E9132" s="402" t="s">
        <v>72</v>
      </c>
      <c r="F9132" s="418"/>
      <c r="G9132" s="419"/>
      <c r="H9132" s="442"/>
      <c r="I9132" s="421">
        <f>IF(AND(E9132&lt;&gt;"",G9132&lt;&gt;""),IF(D9132="",IF(G9132="OH",VLOOKUP(E9132,UPAH!$C$4:$H$31,7,0),VLOOKUP(E9132,#REF!,4,0)),0),0)</f>
        <v>0</v>
      </c>
      <c r="J9132" s="396" t="e">
        <f>ROUNDDOWN(J9130+J9131,0)</f>
        <v>#VALUE!</v>
      </c>
    </row>
    <row r="9133" spans="1:10" ht="13" hidden="1">
      <c r="A9133" s="27"/>
      <c r="B9133" s="110"/>
      <c r="D9133" s="11"/>
      <c r="E9133" s="11"/>
      <c r="H9133" s="443"/>
      <c r="I9133" s="17"/>
      <c r="J9133" s="18"/>
    </row>
    <row r="9134" spans="1:10" ht="13" hidden="1">
      <c r="A9134" s="27"/>
      <c r="B9134" s="110"/>
      <c r="C9134" s="11" t="s">
        <v>1440</v>
      </c>
      <c r="D9134" s="10" t="s">
        <v>1500</v>
      </c>
      <c r="H9134" s="443"/>
    </row>
    <row r="9135" spans="1:10" ht="13.5" hidden="1" thickBot="1">
      <c r="A9135" s="27"/>
      <c r="B9135" s="110"/>
      <c r="D9135" s="401" t="s">
        <v>40</v>
      </c>
      <c r="E9135" s="402" t="s">
        <v>41</v>
      </c>
      <c r="F9135" s="402" t="s">
        <v>42</v>
      </c>
      <c r="G9135" s="403" t="s">
        <v>43</v>
      </c>
      <c r="H9135" s="404" t="s">
        <v>44</v>
      </c>
      <c r="I9135" s="402" t="s">
        <v>474</v>
      </c>
      <c r="J9135" s="405" t="s">
        <v>475</v>
      </c>
    </row>
    <row r="9136" spans="1:10" ht="13" hidden="1">
      <c r="A9136" s="27"/>
      <c r="B9136" s="110"/>
      <c r="D9136" s="444" t="s">
        <v>45</v>
      </c>
      <c r="E9136" s="445" t="s">
        <v>46</v>
      </c>
      <c r="F9136" s="446"/>
      <c r="G9136" s="447"/>
      <c r="H9136" s="448"/>
      <c r="I9136" s="449"/>
      <c r="J9136" s="450"/>
    </row>
    <row r="9137" spans="1:10" ht="13" hidden="1">
      <c r="A9137" s="27"/>
      <c r="B9137" s="110"/>
      <c r="D9137" s="409"/>
      <c r="E9137" s="13" t="s">
        <v>47</v>
      </c>
      <c r="F9137" s="13" t="s">
        <v>1918</v>
      </c>
      <c r="G9137" s="543" t="s">
        <v>48</v>
      </c>
      <c r="H9137" s="548">
        <v>2.911</v>
      </c>
      <c r="I9137" s="412">
        <f>IF(AND(E9137&lt;&gt;"",G9137&lt;&gt;""),IF(D9137="",IF(G9137="OH",VLOOKUP(F9137,UPAH!$B$4:$H$101,7,0),VLOOKUP(F9137,#REF!,4,0)),0),0)</f>
        <v>0</v>
      </c>
      <c r="J9137" s="16">
        <f>H9137*I9137</f>
        <v>0</v>
      </c>
    </row>
    <row r="9138" spans="1:10" ht="13" hidden="1">
      <c r="A9138" s="27"/>
      <c r="B9138" s="110"/>
      <c r="D9138" s="409"/>
      <c r="E9138" s="13" t="s">
        <v>283</v>
      </c>
      <c r="F9138" s="13" t="s">
        <v>1913</v>
      </c>
      <c r="G9138" s="543" t="s">
        <v>48</v>
      </c>
      <c r="H9138" s="548">
        <v>1.456</v>
      </c>
      <c r="I9138" s="412">
        <f>IF(AND(E9138&lt;&gt;"",G9138&lt;&gt;""),IF(D9138="",IF(G9138="OH",VLOOKUP(F9138,UPAH!$B$4:$H$101,7,0),VLOOKUP(F9138,#REF!,4,0)),0),0)</f>
        <v>0</v>
      </c>
      <c r="J9138" s="16">
        <f>H9138*I9138</f>
        <v>0</v>
      </c>
    </row>
    <row r="9139" spans="1:10" ht="13" hidden="1">
      <c r="A9139" s="27"/>
      <c r="B9139" s="110"/>
      <c r="D9139" s="409"/>
      <c r="E9139" s="13" t="s">
        <v>51</v>
      </c>
      <c r="F9139" s="13" t="s">
        <v>1929</v>
      </c>
      <c r="G9139" s="543" t="s">
        <v>48</v>
      </c>
      <c r="H9139" s="548">
        <v>0.29099999999999998</v>
      </c>
      <c r="I9139" s="412">
        <f>IF(AND(E9139&lt;&gt;"",G9139&lt;&gt;""),IF(D9139="",IF(G9139="OH",VLOOKUP(F9139,UPAH!$B$4:$H$101,7,0),VLOOKUP(F9139,#REF!,4,0)),0),0)</f>
        <v>0</v>
      </c>
      <c r="J9139" s="16">
        <f>H9139*I9139</f>
        <v>0</v>
      </c>
    </row>
    <row r="9140" spans="1:10" ht="13.5" hidden="1" thickBot="1">
      <c r="A9140" s="27"/>
      <c r="B9140" s="110"/>
      <c r="D9140" s="417"/>
      <c r="E9140" s="418"/>
      <c r="F9140" s="418"/>
      <c r="G9140" s="419"/>
      <c r="H9140" s="420" t="s">
        <v>52</v>
      </c>
      <c r="I9140" s="421"/>
      <c r="J9140" s="396">
        <f>SUM(J9136:J9139)</f>
        <v>0</v>
      </c>
    </row>
    <row r="9141" spans="1:10" ht="13" hidden="1">
      <c r="A9141" s="27"/>
      <c r="B9141" s="110"/>
      <c r="D9141" s="406" t="s">
        <v>53</v>
      </c>
      <c r="E9141" s="13" t="s">
        <v>54</v>
      </c>
      <c r="F9141" s="14"/>
      <c r="G9141" s="15"/>
      <c r="H9141" s="451"/>
      <c r="I9141" s="412"/>
      <c r="J9141" s="16"/>
    </row>
    <row r="9142" spans="1:10" ht="13" hidden="1">
      <c r="A9142" s="27"/>
      <c r="B9142" s="110"/>
      <c r="D9142" s="409"/>
      <c r="E9142" s="13" t="s">
        <v>327</v>
      </c>
      <c r="F9142" s="14"/>
      <c r="G9142" s="543" t="s">
        <v>113</v>
      </c>
      <c r="H9142" s="548">
        <v>1</v>
      </c>
      <c r="I9142" s="412" t="s">
        <v>3187</v>
      </c>
      <c r="J9142" s="16" t="e">
        <f>H9142*I9142</f>
        <v>#VALUE!</v>
      </c>
    </row>
    <row r="9143" spans="1:10" ht="13.5" hidden="1" thickBot="1">
      <c r="A9143" s="27"/>
      <c r="B9143" s="110"/>
      <c r="D9143" s="417"/>
      <c r="E9143" s="418"/>
      <c r="F9143" s="418"/>
      <c r="G9143" s="419"/>
      <c r="H9143" s="420" t="s">
        <v>64</v>
      </c>
      <c r="I9143" s="421"/>
      <c r="J9143" s="396" t="e">
        <f>SUM(J9142)</f>
        <v>#VALUE!</v>
      </c>
    </row>
    <row r="9144" spans="1:10" ht="13" hidden="1">
      <c r="A9144" s="27"/>
      <c r="B9144" s="110"/>
      <c r="D9144" s="406" t="s">
        <v>65</v>
      </c>
      <c r="E9144" s="13" t="s">
        <v>66</v>
      </c>
      <c r="F9144" s="14"/>
      <c r="G9144" s="15"/>
      <c r="H9144" s="451"/>
      <c r="I9144" s="412"/>
      <c r="J9144" s="16"/>
    </row>
    <row r="9145" spans="1:10" ht="13" hidden="1">
      <c r="A9145" s="27"/>
      <c r="B9145" s="110"/>
      <c r="D9145" s="409"/>
      <c r="E9145" s="13" t="s">
        <v>446</v>
      </c>
      <c r="F9145" s="14"/>
      <c r="G9145" s="543" t="s">
        <v>285</v>
      </c>
      <c r="H9145" s="548">
        <f>0.0575*1.5</f>
        <v>8.6250000000000007E-2</v>
      </c>
      <c r="I9145" s="412">
        <f>Alat!H102</f>
        <v>0</v>
      </c>
      <c r="J9145" s="16">
        <f>H9145*I9145</f>
        <v>0</v>
      </c>
    </row>
    <row r="9146" spans="1:10" ht="13.5" hidden="1" thickBot="1">
      <c r="A9146" s="27"/>
      <c r="B9146" s="110"/>
      <c r="D9146" s="417"/>
      <c r="E9146" s="418"/>
      <c r="F9146" s="418"/>
      <c r="G9146" s="419"/>
      <c r="H9146" s="420" t="s">
        <v>67</v>
      </c>
      <c r="I9146" s="421"/>
      <c r="J9146" s="396">
        <f>J9145</f>
        <v>0</v>
      </c>
    </row>
    <row r="9147" spans="1:10" ht="13" hidden="1">
      <c r="A9147" s="27"/>
      <c r="B9147" s="110"/>
      <c r="D9147" s="444" t="s">
        <v>68</v>
      </c>
      <c r="E9147" s="445" t="s">
        <v>69</v>
      </c>
      <c r="F9147" s="446"/>
      <c r="G9147" s="447"/>
      <c r="H9147" s="448"/>
      <c r="I9147" s="449">
        <f>IF(AND(E9147&lt;&gt;"",G9147&lt;&gt;""),IF(D9147="",IF(G9147="OH",VLOOKUP(E9147,UPAH!$C$4:$H$31,7,0),VLOOKUP(E9147,#REF!,4,0)),0),0)</f>
        <v>0</v>
      </c>
      <c r="J9147" s="16" t="e">
        <f>SUM(J9136:J9146)/2</f>
        <v>#VALUE!</v>
      </c>
    </row>
    <row r="9148" spans="1:10" ht="13" hidden="1">
      <c r="A9148" s="27"/>
      <c r="B9148" s="110"/>
      <c r="D9148" s="431" t="s">
        <v>70</v>
      </c>
      <c r="E9148" s="432" t="s">
        <v>477</v>
      </c>
      <c r="F9148" s="433"/>
      <c r="G9148" s="434"/>
      <c r="H9148" s="22">
        <v>0.1</v>
      </c>
      <c r="I9148" s="436"/>
      <c r="J9148" s="430" t="e">
        <f>H9148*J9147</f>
        <v>#VALUE!</v>
      </c>
    </row>
    <row r="9149" spans="1:10" ht="13.5" hidden="1" thickBot="1">
      <c r="A9149" s="27"/>
      <c r="B9149" s="110"/>
      <c r="D9149" s="401" t="s">
        <v>71</v>
      </c>
      <c r="E9149" s="402" t="s">
        <v>72</v>
      </c>
      <c r="F9149" s="418"/>
      <c r="G9149" s="419"/>
      <c r="H9149" s="442"/>
      <c r="I9149" s="421">
        <f>IF(AND(E9149&lt;&gt;"",G9149&lt;&gt;""),IF(D9149="",IF(G9149="OH",VLOOKUP(E9149,UPAH!$C$4:$H$31,7,0),VLOOKUP(E9149,#REF!,4,0)),0),0)</f>
        <v>0</v>
      </c>
      <c r="J9149" s="396" t="e">
        <f>ROUNDDOWN(J9147+J9148,0)</f>
        <v>#VALUE!</v>
      </c>
    </row>
    <row r="9150" spans="1:10" ht="13" hidden="1">
      <c r="A9150" s="27"/>
      <c r="B9150" s="110"/>
      <c r="D9150" s="11"/>
      <c r="E9150" s="11"/>
      <c r="H9150" s="443"/>
      <c r="I9150" s="17"/>
      <c r="J9150" s="18"/>
    </row>
    <row r="9151" spans="1:10" ht="13" hidden="1">
      <c r="A9151" s="27"/>
      <c r="B9151" s="110"/>
      <c r="C9151" s="11" t="s">
        <v>1439</v>
      </c>
      <c r="D9151" s="10" t="s">
        <v>1501</v>
      </c>
      <c r="H9151" s="443"/>
    </row>
    <row r="9152" spans="1:10" ht="13.5" hidden="1" thickBot="1">
      <c r="A9152" s="27"/>
      <c r="B9152" s="110"/>
      <c r="D9152" s="401" t="s">
        <v>40</v>
      </c>
      <c r="E9152" s="402" t="s">
        <v>41</v>
      </c>
      <c r="F9152" s="402" t="s">
        <v>42</v>
      </c>
      <c r="G9152" s="403" t="s">
        <v>43</v>
      </c>
      <c r="H9152" s="404" t="s">
        <v>44</v>
      </c>
      <c r="I9152" s="402" t="s">
        <v>474</v>
      </c>
      <c r="J9152" s="405" t="s">
        <v>475</v>
      </c>
    </row>
    <row r="9153" spans="1:10" ht="13" hidden="1">
      <c r="A9153" s="27"/>
      <c r="B9153" s="110"/>
      <c r="D9153" s="444" t="s">
        <v>45</v>
      </c>
      <c r="E9153" s="445" t="s">
        <v>46</v>
      </c>
      <c r="F9153" s="446"/>
      <c r="G9153" s="447"/>
      <c r="H9153" s="448"/>
      <c r="I9153" s="449"/>
      <c r="J9153" s="450"/>
    </row>
    <row r="9154" spans="1:10" ht="13" hidden="1">
      <c r="A9154" s="27"/>
      <c r="B9154" s="110"/>
      <c r="D9154" s="409"/>
      <c r="E9154" s="13" t="s">
        <v>47</v>
      </c>
      <c r="F9154" s="13" t="s">
        <v>1918</v>
      </c>
      <c r="G9154" s="543" t="s">
        <v>48</v>
      </c>
      <c r="H9154" s="548">
        <v>3.2</v>
      </c>
      <c r="I9154" s="412">
        <f>IF(AND(E9154&lt;&gt;"",G9154&lt;&gt;""),IF(D9154="",IF(G9154="OH",VLOOKUP(F9154,UPAH!$B$4:$H$101,7,0),VLOOKUP(F9154,#REF!,4,0)),0),0)</f>
        <v>0</v>
      </c>
      <c r="J9154" s="16">
        <f>H9154*I9154</f>
        <v>0</v>
      </c>
    </row>
    <row r="9155" spans="1:10" ht="13" hidden="1">
      <c r="A9155" s="27"/>
      <c r="B9155" s="110"/>
      <c r="D9155" s="409"/>
      <c r="E9155" s="13" t="s">
        <v>283</v>
      </c>
      <c r="F9155" s="13" t="s">
        <v>1913</v>
      </c>
      <c r="G9155" s="543" t="s">
        <v>48</v>
      </c>
      <c r="H9155" s="548">
        <v>1.6</v>
      </c>
      <c r="I9155" s="412">
        <f>IF(AND(E9155&lt;&gt;"",G9155&lt;&gt;""),IF(D9155="",IF(G9155="OH",VLOOKUP(F9155,UPAH!$B$4:$H$101,7,0),VLOOKUP(F9155,#REF!,4,0)),0),0)</f>
        <v>0</v>
      </c>
      <c r="J9155" s="16">
        <f>H9155*I9155</f>
        <v>0</v>
      </c>
    </row>
    <row r="9156" spans="1:10" ht="13" hidden="1">
      <c r="A9156" s="27"/>
      <c r="B9156" s="110"/>
      <c r="D9156" s="409"/>
      <c r="E9156" s="13" t="s">
        <v>51</v>
      </c>
      <c r="F9156" s="13" t="s">
        <v>1929</v>
      </c>
      <c r="G9156" s="543" t="s">
        <v>48</v>
      </c>
      <c r="H9156" s="548">
        <v>0.32</v>
      </c>
      <c r="I9156" s="412">
        <f>IF(AND(E9156&lt;&gt;"",G9156&lt;&gt;""),IF(D9156="",IF(G9156="OH",VLOOKUP(F9156,UPAH!$B$4:$H$101,7,0),VLOOKUP(F9156,#REF!,4,0)),0),0)</f>
        <v>0</v>
      </c>
      <c r="J9156" s="16">
        <f>H9156*I9156</f>
        <v>0</v>
      </c>
    </row>
    <row r="9157" spans="1:10" ht="13.5" hidden="1" thickBot="1">
      <c r="A9157" s="27"/>
      <c r="B9157" s="110"/>
      <c r="D9157" s="417"/>
      <c r="E9157" s="418"/>
      <c r="F9157" s="418"/>
      <c r="G9157" s="419"/>
      <c r="H9157" s="420" t="s">
        <v>52</v>
      </c>
      <c r="I9157" s="421"/>
      <c r="J9157" s="396">
        <f>SUM(J9153:J9156)</f>
        <v>0</v>
      </c>
    </row>
    <row r="9158" spans="1:10" ht="13" hidden="1">
      <c r="A9158" s="27"/>
      <c r="B9158" s="110"/>
      <c r="D9158" s="406" t="s">
        <v>53</v>
      </c>
      <c r="E9158" s="13" t="s">
        <v>54</v>
      </c>
      <c r="F9158" s="14"/>
      <c r="G9158" s="15"/>
      <c r="H9158" s="451"/>
      <c r="I9158" s="412"/>
      <c r="J9158" s="16"/>
    </row>
    <row r="9159" spans="1:10" ht="13" hidden="1">
      <c r="A9159" s="27"/>
      <c r="B9159" s="110"/>
      <c r="D9159" s="409"/>
      <c r="E9159" s="13" t="s">
        <v>328</v>
      </c>
      <c r="F9159" s="14"/>
      <c r="G9159" s="543" t="s">
        <v>113</v>
      </c>
      <c r="H9159" s="548">
        <v>1</v>
      </c>
      <c r="I9159" s="412" t="s">
        <v>3187</v>
      </c>
      <c r="J9159" s="16" t="e">
        <f>H9159*I9159</f>
        <v>#VALUE!</v>
      </c>
    </row>
    <row r="9160" spans="1:10" ht="13.5" hidden="1" thickBot="1">
      <c r="A9160" s="27"/>
      <c r="B9160" s="110"/>
      <c r="D9160" s="417"/>
      <c r="E9160" s="418"/>
      <c r="F9160" s="418"/>
      <c r="G9160" s="419"/>
      <c r="H9160" s="420" t="s">
        <v>64</v>
      </c>
      <c r="I9160" s="421"/>
      <c r="J9160" s="396" t="e">
        <f>SUM(J9159)</f>
        <v>#VALUE!</v>
      </c>
    </row>
    <row r="9161" spans="1:10" ht="13" hidden="1">
      <c r="A9161" s="27"/>
      <c r="B9161" s="110"/>
      <c r="D9161" s="406" t="s">
        <v>65</v>
      </c>
      <c r="E9161" s="13" t="s">
        <v>66</v>
      </c>
      <c r="F9161" s="14"/>
      <c r="G9161" s="15"/>
      <c r="H9161" s="451"/>
      <c r="I9161" s="412"/>
      <c r="J9161" s="16"/>
    </row>
    <row r="9162" spans="1:10" ht="13" hidden="1">
      <c r="A9162" s="27"/>
      <c r="B9162" s="110"/>
      <c r="D9162" s="409"/>
      <c r="E9162" s="13" t="s">
        <v>446</v>
      </c>
      <c r="F9162" s="14"/>
      <c r="G9162" s="543" t="s">
        <v>285</v>
      </c>
      <c r="H9162" s="548">
        <f>0.0575*1.5</f>
        <v>8.6250000000000007E-2</v>
      </c>
      <c r="I9162" s="412">
        <f>Alat!H102</f>
        <v>0</v>
      </c>
      <c r="J9162" s="16">
        <f>H9162*I9162</f>
        <v>0</v>
      </c>
    </row>
    <row r="9163" spans="1:10" ht="13.5" hidden="1" thickBot="1">
      <c r="A9163" s="27"/>
      <c r="B9163" s="110"/>
      <c r="D9163" s="417"/>
      <c r="E9163" s="418"/>
      <c r="F9163" s="418"/>
      <c r="G9163" s="419"/>
      <c r="H9163" s="420" t="s">
        <v>67</v>
      </c>
      <c r="I9163" s="421"/>
      <c r="J9163" s="396">
        <f>J9162</f>
        <v>0</v>
      </c>
    </row>
    <row r="9164" spans="1:10" ht="13" hidden="1">
      <c r="A9164" s="27"/>
      <c r="B9164" s="110"/>
      <c r="D9164" s="444" t="s">
        <v>68</v>
      </c>
      <c r="E9164" s="445" t="s">
        <v>69</v>
      </c>
      <c r="F9164" s="446"/>
      <c r="G9164" s="447"/>
      <c r="H9164" s="448"/>
      <c r="I9164" s="449">
        <f>IF(AND(E9164&lt;&gt;"",G9164&lt;&gt;""),IF(D9164="",IF(G9164="OH",VLOOKUP(E9164,UPAH!$C$4:$H$31,7,0),VLOOKUP(E9164,#REF!,4,0)),0),0)</f>
        <v>0</v>
      </c>
      <c r="J9164" s="16" t="e">
        <f>SUM(J9153:J9163)/2</f>
        <v>#VALUE!</v>
      </c>
    </row>
    <row r="9165" spans="1:10" ht="13.5" hidden="1" thickBot="1">
      <c r="A9165" s="27"/>
      <c r="B9165" s="110"/>
      <c r="D9165" s="478" t="s">
        <v>70</v>
      </c>
      <c r="E9165" s="479" t="s">
        <v>477</v>
      </c>
      <c r="F9165" s="480"/>
      <c r="G9165" s="481"/>
      <c r="H9165" s="512">
        <v>0.1</v>
      </c>
      <c r="I9165" s="483"/>
      <c r="J9165" s="465" t="e">
        <f>H9165*J9164</f>
        <v>#VALUE!</v>
      </c>
    </row>
    <row r="9166" spans="1:10" ht="13.5" hidden="1" thickBot="1">
      <c r="A9166" s="27"/>
      <c r="B9166" s="110"/>
      <c r="D9166" s="401" t="s">
        <v>71</v>
      </c>
      <c r="E9166" s="402" t="s">
        <v>72</v>
      </c>
      <c r="F9166" s="418"/>
      <c r="G9166" s="419"/>
      <c r="H9166" s="442"/>
      <c r="I9166" s="421">
        <f>IF(AND(E9166&lt;&gt;"",G9166&lt;&gt;""),IF(D9166="",IF(G9166="OH",VLOOKUP(E9166,UPAH!$C$4:$H$31,7,0),VLOOKUP(E9166,#REF!,4,0)),0),0)</f>
        <v>0</v>
      </c>
      <c r="J9166" s="396" t="e">
        <f>ROUNDDOWN(J9164+J9165,0)</f>
        <v>#VALUE!</v>
      </c>
    </row>
    <row r="9167" spans="1:10" ht="13" hidden="1">
      <c r="A9167" s="27"/>
      <c r="B9167" s="110"/>
      <c r="D9167" s="11"/>
      <c r="E9167" s="11"/>
      <c r="H9167" s="443"/>
      <c r="I9167" s="17"/>
      <c r="J9167" s="18"/>
    </row>
    <row r="9168" spans="1:10" ht="13" hidden="1">
      <c r="A9168" s="27"/>
      <c r="B9168" s="110"/>
      <c r="C9168" s="11" t="s">
        <v>1438</v>
      </c>
      <c r="D9168" s="10" t="s">
        <v>1502</v>
      </c>
      <c r="H9168" s="443"/>
    </row>
    <row r="9169" spans="1:10" ht="13.5" hidden="1" thickBot="1">
      <c r="A9169" s="27"/>
      <c r="B9169" s="110"/>
      <c r="D9169" s="401" t="s">
        <v>40</v>
      </c>
      <c r="E9169" s="402" t="s">
        <v>41</v>
      </c>
      <c r="F9169" s="402" t="s">
        <v>42</v>
      </c>
      <c r="G9169" s="403" t="s">
        <v>43</v>
      </c>
      <c r="H9169" s="404" t="s">
        <v>44</v>
      </c>
      <c r="I9169" s="402" t="s">
        <v>474</v>
      </c>
      <c r="J9169" s="405" t="s">
        <v>475</v>
      </c>
    </row>
    <row r="9170" spans="1:10" ht="13" hidden="1">
      <c r="A9170" s="27"/>
      <c r="B9170" s="110"/>
      <c r="D9170" s="444" t="s">
        <v>45</v>
      </c>
      <c r="E9170" s="445" t="s">
        <v>46</v>
      </c>
      <c r="F9170" s="446"/>
      <c r="G9170" s="447"/>
      <c r="H9170" s="448"/>
      <c r="I9170" s="449"/>
      <c r="J9170" s="450"/>
    </row>
    <row r="9171" spans="1:10" ht="13" hidden="1">
      <c r="A9171" s="27"/>
      <c r="B9171" s="110"/>
      <c r="D9171" s="409"/>
      <c r="E9171" s="13" t="s">
        <v>47</v>
      </c>
      <c r="F9171" s="13" t="s">
        <v>1918</v>
      </c>
      <c r="G9171" s="543" t="s">
        <v>48</v>
      </c>
      <c r="H9171" s="548">
        <v>0.3488</v>
      </c>
      <c r="I9171" s="412">
        <f>IF(AND(E9171&lt;&gt;"",G9171&lt;&gt;""),IF(D9171="",IF(G9171="OH",VLOOKUP(F9171,UPAH!$B$4:$H$101,7,0),VLOOKUP(F9171,#REF!,4,0)),0),0)</f>
        <v>0</v>
      </c>
      <c r="J9171" s="16">
        <f>H9171*I9171</f>
        <v>0</v>
      </c>
    </row>
    <row r="9172" spans="1:10" ht="13" hidden="1">
      <c r="A9172" s="27"/>
      <c r="B9172" s="110"/>
      <c r="D9172" s="409"/>
      <c r="E9172" s="13" t="s">
        <v>283</v>
      </c>
      <c r="F9172" s="13" t="s">
        <v>1913</v>
      </c>
      <c r="G9172" s="543" t="s">
        <v>48</v>
      </c>
      <c r="H9172" s="548">
        <v>1.744</v>
      </c>
      <c r="I9172" s="412">
        <f>IF(AND(E9172&lt;&gt;"",G9172&lt;&gt;""),IF(D9172="",IF(G9172="OH",VLOOKUP(F9172,UPAH!$B$4:$H$101,7,0),VLOOKUP(F9172,#REF!,4,0)),0),0)</f>
        <v>0</v>
      </c>
      <c r="J9172" s="16">
        <f>H9172*I9172</f>
        <v>0</v>
      </c>
    </row>
    <row r="9173" spans="1:10" ht="13" hidden="1">
      <c r="A9173" s="27"/>
      <c r="B9173" s="110"/>
      <c r="D9173" s="409"/>
      <c r="E9173" s="13" t="s">
        <v>51</v>
      </c>
      <c r="F9173" s="13" t="s">
        <v>1929</v>
      </c>
      <c r="G9173" s="543" t="s">
        <v>48</v>
      </c>
      <c r="H9173" s="548">
        <v>0.34899999999999998</v>
      </c>
      <c r="I9173" s="412">
        <f>IF(AND(E9173&lt;&gt;"",G9173&lt;&gt;""),IF(D9173="",IF(G9173="OH",VLOOKUP(F9173,UPAH!$B$4:$H$101,7,0),VLOOKUP(F9173,#REF!,4,0)),0),0)</f>
        <v>0</v>
      </c>
      <c r="J9173" s="16">
        <f>H9173*I9173</f>
        <v>0</v>
      </c>
    </row>
    <row r="9174" spans="1:10" ht="13.5" hidden="1" thickBot="1">
      <c r="A9174" s="27"/>
      <c r="B9174" s="110"/>
      <c r="D9174" s="417"/>
      <c r="E9174" s="418"/>
      <c r="F9174" s="418"/>
      <c r="G9174" s="419"/>
      <c r="H9174" s="420" t="s">
        <v>52</v>
      </c>
      <c r="I9174" s="421"/>
      <c r="J9174" s="396">
        <f>SUM(J9170:J9173)</f>
        <v>0</v>
      </c>
    </row>
    <row r="9175" spans="1:10" ht="13" hidden="1">
      <c r="A9175" s="27"/>
      <c r="B9175" s="110"/>
      <c r="D9175" s="406" t="s">
        <v>53</v>
      </c>
      <c r="E9175" s="13" t="s">
        <v>54</v>
      </c>
      <c r="F9175" s="14"/>
      <c r="G9175" s="15"/>
      <c r="H9175" s="451"/>
      <c r="I9175" s="412"/>
      <c r="J9175" s="16"/>
    </row>
    <row r="9176" spans="1:10" ht="13" hidden="1">
      <c r="A9176" s="27"/>
      <c r="B9176" s="110"/>
      <c r="D9176" s="409"/>
      <c r="E9176" s="13" t="s">
        <v>329</v>
      </c>
      <c r="F9176" s="14"/>
      <c r="G9176" s="543" t="s">
        <v>113</v>
      </c>
      <c r="H9176" s="548">
        <v>1</v>
      </c>
      <c r="I9176" s="412" t="s">
        <v>3187</v>
      </c>
      <c r="J9176" s="16" t="e">
        <f>H9176*I9176</f>
        <v>#VALUE!</v>
      </c>
    </row>
    <row r="9177" spans="1:10" ht="13.5" hidden="1" thickBot="1">
      <c r="A9177" s="27"/>
      <c r="B9177" s="110"/>
      <c r="D9177" s="417"/>
      <c r="E9177" s="418"/>
      <c r="F9177" s="418"/>
      <c r="G9177" s="419"/>
      <c r="H9177" s="420" t="s">
        <v>64</v>
      </c>
      <c r="I9177" s="421"/>
      <c r="J9177" s="396" t="e">
        <f>SUM(J9176)</f>
        <v>#VALUE!</v>
      </c>
    </row>
    <row r="9178" spans="1:10" ht="13" hidden="1">
      <c r="A9178" s="27"/>
      <c r="B9178" s="110"/>
      <c r="D9178" s="406" t="s">
        <v>65</v>
      </c>
      <c r="E9178" s="13" t="s">
        <v>66</v>
      </c>
      <c r="F9178" s="14"/>
      <c r="G9178" s="15"/>
      <c r="H9178" s="451"/>
      <c r="I9178" s="412"/>
      <c r="J9178" s="16"/>
    </row>
    <row r="9179" spans="1:10" ht="13" hidden="1">
      <c r="A9179" s="27"/>
      <c r="B9179" s="110"/>
      <c r="D9179" s="409"/>
      <c r="E9179" s="13" t="s">
        <v>446</v>
      </c>
      <c r="F9179" s="14"/>
      <c r="G9179" s="543" t="s">
        <v>285</v>
      </c>
      <c r="H9179" s="548">
        <f>0.0575*1.5</f>
        <v>8.6250000000000007E-2</v>
      </c>
      <c r="I9179" s="412">
        <f>Alat!H102</f>
        <v>0</v>
      </c>
      <c r="J9179" s="16">
        <f>H9179*I9179</f>
        <v>0</v>
      </c>
    </row>
    <row r="9180" spans="1:10" ht="13.5" hidden="1" thickBot="1">
      <c r="A9180" s="27"/>
      <c r="B9180" s="110"/>
      <c r="D9180" s="417"/>
      <c r="E9180" s="418"/>
      <c r="F9180" s="418"/>
      <c r="G9180" s="419"/>
      <c r="H9180" s="420" t="s">
        <v>67</v>
      </c>
      <c r="I9180" s="421"/>
      <c r="J9180" s="396">
        <f>J9179</f>
        <v>0</v>
      </c>
    </row>
    <row r="9181" spans="1:10" ht="13" hidden="1">
      <c r="A9181" s="27"/>
      <c r="B9181" s="110"/>
      <c r="D9181" s="444" t="s">
        <v>68</v>
      </c>
      <c r="E9181" s="445" t="s">
        <v>69</v>
      </c>
      <c r="F9181" s="446"/>
      <c r="G9181" s="447"/>
      <c r="H9181" s="448"/>
      <c r="I9181" s="449">
        <f>IF(AND(E9181&lt;&gt;"",G9181&lt;&gt;""),IF(D9181="",IF(G9181="OH",VLOOKUP(E9181,UPAH!$C$4:$H$31,7,0),VLOOKUP(E9181,#REF!,4,0)),0),0)</f>
        <v>0</v>
      </c>
      <c r="J9181" s="16" t="e">
        <f>SUM(J9170:J9180)/2</f>
        <v>#VALUE!</v>
      </c>
    </row>
    <row r="9182" spans="1:10" ht="13" hidden="1">
      <c r="A9182" s="27"/>
      <c r="B9182" s="110"/>
      <c r="D9182" s="431" t="s">
        <v>70</v>
      </c>
      <c r="E9182" s="432" t="s">
        <v>477</v>
      </c>
      <c r="F9182" s="433"/>
      <c r="G9182" s="434"/>
      <c r="H9182" s="22">
        <v>0.1</v>
      </c>
      <c r="I9182" s="436"/>
      <c r="J9182" s="430" t="e">
        <f>H9182*J9181</f>
        <v>#VALUE!</v>
      </c>
    </row>
    <row r="9183" spans="1:10" ht="13.5" hidden="1" thickBot="1">
      <c r="A9183" s="27"/>
      <c r="B9183" s="110"/>
      <c r="D9183" s="401" t="s">
        <v>71</v>
      </c>
      <c r="E9183" s="402" t="s">
        <v>72</v>
      </c>
      <c r="F9183" s="418"/>
      <c r="G9183" s="419"/>
      <c r="H9183" s="442"/>
      <c r="I9183" s="421">
        <f>IF(AND(E9183&lt;&gt;"",G9183&lt;&gt;""),IF(D9183="",IF(G9183="OH",VLOOKUP(E9183,UPAH!$C$4:$H$31,7,0),VLOOKUP(E9183,#REF!,4,0)),0),0)</f>
        <v>0</v>
      </c>
      <c r="J9183" s="396" t="e">
        <f>ROUNDDOWN(J9181+J9182,0)</f>
        <v>#VALUE!</v>
      </c>
    </row>
    <row r="9184" spans="1:10" ht="13">
      <c r="A9184" s="27"/>
      <c r="B9184" s="110"/>
      <c r="D9184" s="11"/>
      <c r="E9184" s="11"/>
      <c r="H9184" s="443"/>
      <c r="I9184" s="17"/>
      <c r="J9184" s="18"/>
    </row>
    <row r="9185" spans="1:10" ht="13.5" thickBot="1">
      <c r="A9185" s="27"/>
      <c r="B9185" s="110"/>
      <c r="C9185" s="11" t="s">
        <v>1437</v>
      </c>
      <c r="D9185" s="10" t="s">
        <v>1503</v>
      </c>
      <c r="H9185" s="443"/>
    </row>
    <row r="9186" spans="1:10" ht="13.5" thickBot="1">
      <c r="A9186" s="27"/>
      <c r="B9186" s="110"/>
      <c r="D9186" s="401" t="s">
        <v>40</v>
      </c>
      <c r="E9186" s="402" t="s">
        <v>41</v>
      </c>
      <c r="F9186" s="402" t="s">
        <v>42</v>
      </c>
      <c r="G9186" s="403" t="s">
        <v>43</v>
      </c>
      <c r="H9186" s="404" t="s">
        <v>44</v>
      </c>
      <c r="I9186" s="402" t="s">
        <v>474</v>
      </c>
      <c r="J9186" s="405" t="s">
        <v>475</v>
      </c>
    </row>
    <row r="9187" spans="1:10" ht="13">
      <c r="A9187" s="27"/>
      <c r="B9187" s="110"/>
      <c r="D9187" s="406" t="s">
        <v>45</v>
      </c>
      <c r="E9187" s="13" t="s">
        <v>46</v>
      </c>
      <c r="F9187" s="14"/>
      <c r="G9187" s="15"/>
      <c r="H9187" s="451"/>
      <c r="I9187" s="412"/>
      <c r="J9187" s="16"/>
    </row>
    <row r="9188" spans="1:10" ht="13">
      <c r="A9188" s="27"/>
      <c r="B9188" s="110"/>
      <c r="D9188" s="409"/>
      <c r="E9188" s="13" t="s">
        <v>47</v>
      </c>
      <c r="F9188" s="13" t="s">
        <v>1918</v>
      </c>
      <c r="G9188" s="543" t="s">
        <v>48</v>
      </c>
      <c r="H9188" s="548">
        <v>0.48899999999999999</v>
      </c>
      <c r="I9188" s="412">
        <f>IF(AND(E9188&lt;&gt;"",G9188&lt;&gt;""),IF(D9188="",IF(G9188="OH",VLOOKUP(F9188,UPAH!$B$4:$H$101,7,0),VLOOKUP(F9188,#REF!,4,0)),0),0)</f>
        <v>0</v>
      </c>
      <c r="J9188" s="16">
        <f>H9188*I9188</f>
        <v>0</v>
      </c>
    </row>
    <row r="9189" spans="1:10" ht="13">
      <c r="A9189" s="27"/>
      <c r="B9189" s="110"/>
      <c r="D9189" s="409"/>
      <c r="E9189" s="13" t="s">
        <v>283</v>
      </c>
      <c r="F9189" s="13" t="s">
        <v>1913</v>
      </c>
      <c r="G9189" s="543" t="s">
        <v>48</v>
      </c>
      <c r="H9189" s="548">
        <v>9.8000000000000004E-2</v>
      </c>
      <c r="I9189" s="412">
        <f>IF(AND(E9189&lt;&gt;"",G9189&lt;&gt;""),IF(D9189="",IF(G9189="OH",VLOOKUP(F9189,UPAH!$B$4:$H$101,7,0),VLOOKUP(F9189,#REF!,4,0)),0),0)</f>
        <v>0</v>
      </c>
      <c r="J9189" s="16">
        <f>H9189*I9189</f>
        <v>0</v>
      </c>
    </row>
    <row r="9190" spans="1:10" ht="13.5" thickBot="1">
      <c r="A9190" s="27"/>
      <c r="B9190" s="110"/>
      <c r="D9190" s="409"/>
      <c r="E9190" s="13" t="s">
        <v>51</v>
      </c>
      <c r="F9190" s="13" t="s">
        <v>1929</v>
      </c>
      <c r="G9190" s="543" t="s">
        <v>48</v>
      </c>
      <c r="H9190" s="548">
        <v>4.9000000000000002E-2</v>
      </c>
      <c r="I9190" s="412">
        <f>IF(AND(E9190&lt;&gt;"",G9190&lt;&gt;""),IF(D9190="",IF(G9190="OH",VLOOKUP(F9190,UPAH!$B$4:$H$101,7,0),VLOOKUP(F9190,#REF!,4,0)),0),0)</f>
        <v>0</v>
      </c>
      <c r="J9190" s="16">
        <f>H9190*I9190</f>
        <v>0</v>
      </c>
    </row>
    <row r="9191" spans="1:10" ht="13.5" thickBot="1">
      <c r="A9191" s="27"/>
      <c r="B9191" s="110"/>
      <c r="D9191" s="417"/>
      <c r="E9191" s="418"/>
      <c r="F9191" s="418"/>
      <c r="G9191" s="419"/>
      <c r="H9191" s="420" t="s">
        <v>52</v>
      </c>
      <c r="I9191" s="421"/>
      <c r="J9191" s="396">
        <f>SUM(J9187:J9190)</f>
        <v>0</v>
      </c>
    </row>
    <row r="9192" spans="1:10" ht="13">
      <c r="A9192" s="27"/>
      <c r="B9192" s="110"/>
      <c r="D9192" s="406" t="s">
        <v>53</v>
      </c>
      <c r="E9192" s="13" t="s">
        <v>54</v>
      </c>
      <c r="F9192" s="14"/>
      <c r="G9192" s="15"/>
      <c r="H9192" s="451"/>
      <c r="I9192" s="412"/>
      <c r="J9192" s="16"/>
    </row>
    <row r="9193" spans="1:10" ht="13.5" thickBot="1">
      <c r="A9193" s="27"/>
      <c r="B9193" s="110"/>
      <c r="D9193" s="409"/>
      <c r="E9193" s="13" t="s">
        <v>330</v>
      </c>
      <c r="F9193" s="14"/>
      <c r="G9193" s="543" t="s">
        <v>113</v>
      </c>
      <c r="H9193" s="548">
        <v>1</v>
      </c>
      <c r="I9193" s="412">
        <f>'BAHAN '!G1010</f>
        <v>0</v>
      </c>
      <c r="J9193" s="16">
        <f>H9193*I9193</f>
        <v>0</v>
      </c>
    </row>
    <row r="9194" spans="1:10" ht="13.5" thickBot="1">
      <c r="A9194" s="27"/>
      <c r="B9194" s="110"/>
      <c r="D9194" s="417"/>
      <c r="E9194" s="418"/>
      <c r="F9194" s="418"/>
      <c r="G9194" s="419"/>
      <c r="H9194" s="420" t="s">
        <v>64</v>
      </c>
      <c r="I9194" s="421"/>
      <c r="J9194" s="396">
        <f>SUM(J9193)</f>
        <v>0</v>
      </c>
    </row>
    <row r="9195" spans="1:10" ht="13">
      <c r="A9195" s="27"/>
      <c r="B9195" s="110"/>
      <c r="D9195" s="406" t="s">
        <v>65</v>
      </c>
      <c r="E9195" s="13" t="s">
        <v>66</v>
      </c>
      <c r="F9195" s="14"/>
      <c r="G9195" s="15"/>
      <c r="H9195" s="451"/>
      <c r="I9195" s="412"/>
      <c r="J9195" s="16"/>
    </row>
    <row r="9196" spans="1:10" ht="13.5" thickBot="1">
      <c r="A9196" s="27"/>
      <c r="B9196" s="110"/>
      <c r="D9196" s="409"/>
      <c r="E9196" s="13" t="s">
        <v>446</v>
      </c>
      <c r="F9196" s="14"/>
      <c r="G9196" s="543" t="s">
        <v>285</v>
      </c>
      <c r="H9196" s="548">
        <v>0.38</v>
      </c>
      <c r="I9196" s="412">
        <f>Alat!H102</f>
        <v>0</v>
      </c>
      <c r="J9196" s="16">
        <f>H9196*I9196</f>
        <v>0</v>
      </c>
    </row>
    <row r="9197" spans="1:10" ht="13.5" thickBot="1">
      <c r="A9197" s="27"/>
      <c r="B9197" s="110"/>
      <c r="D9197" s="417"/>
      <c r="E9197" s="418"/>
      <c r="F9197" s="418"/>
      <c r="G9197" s="419"/>
      <c r="H9197" s="420" t="s">
        <v>67</v>
      </c>
      <c r="I9197" s="421"/>
      <c r="J9197" s="396">
        <f>J9196</f>
        <v>0</v>
      </c>
    </row>
    <row r="9198" spans="1:10" ht="13">
      <c r="A9198" s="27"/>
      <c r="B9198" s="110"/>
      <c r="D9198" s="444" t="s">
        <v>68</v>
      </c>
      <c r="E9198" s="445" t="s">
        <v>69</v>
      </c>
      <c r="F9198" s="446"/>
      <c r="G9198" s="447"/>
      <c r="H9198" s="448"/>
      <c r="I9198" s="449">
        <f>IF(AND(E9198&lt;&gt;"",G9198&lt;&gt;""),IF(D9198="",IF(G9198="OH",VLOOKUP(E9198,UPAH!$C$4:$H$31,7,0),VLOOKUP(E9198,#REF!,4,0)),0),0)</f>
        <v>0</v>
      </c>
      <c r="J9198" s="16">
        <f>SUM(J9187:J9197)/2</f>
        <v>0</v>
      </c>
    </row>
    <row r="9199" spans="1:10" ht="13.5" thickBot="1">
      <c r="A9199" s="27"/>
      <c r="B9199" s="110"/>
      <c r="D9199" s="431" t="s">
        <v>70</v>
      </c>
      <c r="E9199" s="432" t="s">
        <v>477</v>
      </c>
      <c r="F9199" s="433"/>
      <c r="G9199" s="434"/>
      <c r="H9199" s="22">
        <v>0.1</v>
      </c>
      <c r="I9199" s="436"/>
      <c r="J9199" s="430">
        <f>H9199*J9198</f>
        <v>0</v>
      </c>
    </row>
    <row r="9200" spans="1:10" ht="13.5" thickBot="1">
      <c r="A9200" s="27"/>
      <c r="B9200" s="110"/>
      <c r="D9200" s="401" t="s">
        <v>71</v>
      </c>
      <c r="E9200" s="402" t="s">
        <v>72</v>
      </c>
      <c r="F9200" s="418"/>
      <c r="G9200" s="419"/>
      <c r="H9200" s="442"/>
      <c r="I9200" s="421">
        <f>IF(AND(E9200&lt;&gt;"",G9200&lt;&gt;""),IF(D9200="",IF(G9200="OH",VLOOKUP(E9200,UPAH!$C$4:$H$31,7,0),VLOOKUP(E9200,#REF!,4,0)),0),0)</f>
        <v>0</v>
      </c>
      <c r="J9200" s="396">
        <f>ROUNDDOWN(J9198+J9199,0)</f>
        <v>0</v>
      </c>
    </row>
    <row r="9201" spans="1:10" ht="13">
      <c r="A9201" s="27"/>
      <c r="B9201" s="110"/>
      <c r="D9201" s="11"/>
      <c r="E9201" s="11"/>
      <c r="H9201" s="443"/>
      <c r="I9201" s="17"/>
      <c r="J9201" s="18"/>
    </row>
    <row r="9202" spans="1:10" ht="13.5" thickBot="1">
      <c r="A9202" s="27"/>
      <c r="B9202" s="110"/>
      <c r="C9202" s="11" t="s">
        <v>1436</v>
      </c>
      <c r="D9202" s="10" t="s">
        <v>1504</v>
      </c>
      <c r="H9202" s="443"/>
    </row>
    <row r="9203" spans="1:10" ht="13.5" thickBot="1">
      <c r="A9203" s="27"/>
      <c r="B9203" s="110"/>
      <c r="D9203" s="401" t="s">
        <v>40</v>
      </c>
      <c r="E9203" s="402" t="s">
        <v>41</v>
      </c>
      <c r="F9203" s="402" t="s">
        <v>42</v>
      </c>
      <c r="G9203" s="403" t="s">
        <v>43</v>
      </c>
      <c r="H9203" s="404" t="s">
        <v>44</v>
      </c>
      <c r="I9203" s="402" t="s">
        <v>474</v>
      </c>
      <c r="J9203" s="405" t="s">
        <v>475</v>
      </c>
    </row>
    <row r="9204" spans="1:10" ht="13">
      <c r="A9204" s="27"/>
      <c r="B9204" s="110"/>
      <c r="D9204" s="406" t="s">
        <v>45</v>
      </c>
      <c r="E9204" s="13" t="s">
        <v>46</v>
      </c>
      <c r="F9204" s="14"/>
      <c r="G9204" s="15"/>
      <c r="H9204" s="451"/>
      <c r="I9204" s="412"/>
      <c r="J9204" s="16"/>
    </row>
    <row r="9205" spans="1:10" ht="13">
      <c r="A9205" s="27"/>
      <c r="B9205" s="110"/>
      <c r="D9205" s="409"/>
      <c r="E9205" s="13" t="s">
        <v>47</v>
      </c>
      <c r="F9205" s="13" t="s">
        <v>1918</v>
      </c>
      <c r="G9205" s="543" t="s">
        <v>48</v>
      </c>
      <c r="H9205" s="548">
        <v>0.54700000000000004</v>
      </c>
      <c r="I9205" s="412">
        <f>IF(AND(E9205&lt;&gt;"",G9205&lt;&gt;""),IF(D9205="",IF(G9205="OH",VLOOKUP(F9205,UPAH!$B$4:$H$101,7,0),VLOOKUP(F9205,#REF!,4,0)),0),0)</f>
        <v>0</v>
      </c>
      <c r="J9205" s="16">
        <f>H9205*I9205</f>
        <v>0</v>
      </c>
    </row>
    <row r="9206" spans="1:10" ht="13">
      <c r="A9206" s="27"/>
      <c r="B9206" s="110"/>
      <c r="D9206" s="409"/>
      <c r="E9206" s="13" t="s">
        <v>283</v>
      </c>
      <c r="F9206" s="13" t="s">
        <v>1913</v>
      </c>
      <c r="G9206" s="543" t="s">
        <v>48</v>
      </c>
      <c r="H9206" s="548">
        <v>0.109</v>
      </c>
      <c r="I9206" s="412">
        <f>IF(AND(E9206&lt;&gt;"",G9206&lt;&gt;""),IF(D9206="",IF(G9206="OH",VLOOKUP(F9206,UPAH!$B$4:$H$101,7,0),VLOOKUP(F9206,#REF!,4,0)),0),0)</f>
        <v>0</v>
      </c>
      <c r="J9206" s="16">
        <f>H9206*I9206</f>
        <v>0</v>
      </c>
    </row>
    <row r="9207" spans="1:10" ht="13.5" thickBot="1">
      <c r="A9207" s="27"/>
      <c r="B9207" s="110"/>
      <c r="D9207" s="409"/>
      <c r="E9207" s="13" t="s">
        <v>51</v>
      </c>
      <c r="F9207" s="13" t="s">
        <v>1929</v>
      </c>
      <c r="G9207" s="543" t="s">
        <v>48</v>
      </c>
      <c r="H9207" s="548">
        <v>5.5E-2</v>
      </c>
      <c r="I9207" s="412">
        <f>IF(AND(E9207&lt;&gt;"",G9207&lt;&gt;""),IF(D9207="",IF(G9207="OH",VLOOKUP(F9207,UPAH!$B$4:$H$101,7,0),VLOOKUP(F9207,#REF!,4,0)),0),0)</f>
        <v>0</v>
      </c>
      <c r="J9207" s="16">
        <f>H9207*I9207</f>
        <v>0</v>
      </c>
    </row>
    <row r="9208" spans="1:10" ht="13.5" thickBot="1">
      <c r="A9208" s="27"/>
      <c r="B9208" s="110"/>
      <c r="D9208" s="417"/>
      <c r="E9208" s="418"/>
      <c r="F9208" s="418"/>
      <c r="G9208" s="419"/>
      <c r="H9208" s="420" t="s">
        <v>52</v>
      </c>
      <c r="I9208" s="421"/>
      <c r="J9208" s="396">
        <f>SUM(J9204:J9207)</f>
        <v>0</v>
      </c>
    </row>
    <row r="9209" spans="1:10" ht="13">
      <c r="A9209" s="27"/>
      <c r="B9209" s="110"/>
      <c r="D9209" s="406" t="s">
        <v>53</v>
      </c>
      <c r="E9209" s="13" t="s">
        <v>54</v>
      </c>
      <c r="F9209" s="14"/>
      <c r="G9209" s="15"/>
      <c r="H9209" s="451"/>
      <c r="I9209" s="412"/>
      <c r="J9209" s="16"/>
    </row>
    <row r="9210" spans="1:10" ht="13.5" thickBot="1">
      <c r="A9210" s="27"/>
      <c r="B9210" s="110"/>
      <c r="D9210" s="409"/>
      <c r="E9210" s="13" t="s">
        <v>331</v>
      </c>
      <c r="F9210" s="14"/>
      <c r="G9210" s="543" t="s">
        <v>113</v>
      </c>
      <c r="H9210" s="548">
        <v>1</v>
      </c>
      <c r="I9210" s="412">
        <f>'BAHAN '!G1011</f>
        <v>0</v>
      </c>
      <c r="J9210" s="16">
        <f>H9210*I9210</f>
        <v>0</v>
      </c>
    </row>
    <row r="9211" spans="1:10" ht="13.5" thickBot="1">
      <c r="A9211" s="27"/>
      <c r="B9211" s="110"/>
      <c r="D9211" s="417"/>
      <c r="E9211" s="418"/>
      <c r="F9211" s="418"/>
      <c r="G9211" s="419"/>
      <c r="H9211" s="420" t="s">
        <v>64</v>
      </c>
      <c r="I9211" s="421"/>
      <c r="J9211" s="396">
        <f>SUM(J9210)</f>
        <v>0</v>
      </c>
    </row>
    <row r="9212" spans="1:10" ht="13">
      <c r="A9212" s="27"/>
      <c r="B9212" s="110"/>
      <c r="D9212" s="406" t="s">
        <v>65</v>
      </c>
      <c r="E9212" s="13" t="s">
        <v>66</v>
      </c>
      <c r="F9212" s="14"/>
      <c r="G9212" s="15"/>
      <c r="H9212" s="451"/>
      <c r="I9212" s="412"/>
      <c r="J9212" s="16"/>
    </row>
    <row r="9213" spans="1:10" ht="13.5" thickBot="1">
      <c r="A9213" s="27"/>
      <c r="B9213" s="110"/>
      <c r="D9213" s="409"/>
      <c r="E9213" s="13" t="s">
        <v>446</v>
      </c>
      <c r="F9213" s="14"/>
      <c r="G9213" s="543" t="s">
        <v>285</v>
      </c>
      <c r="H9213" s="548">
        <v>0.38</v>
      </c>
      <c r="I9213" s="412">
        <f>Alat!H102</f>
        <v>0</v>
      </c>
      <c r="J9213" s="16">
        <f>H9213*I9213</f>
        <v>0</v>
      </c>
    </row>
    <row r="9214" spans="1:10" ht="13.5" thickBot="1">
      <c r="A9214" s="27"/>
      <c r="B9214" s="110"/>
      <c r="D9214" s="417"/>
      <c r="E9214" s="418"/>
      <c r="F9214" s="418"/>
      <c r="G9214" s="419"/>
      <c r="H9214" s="420" t="s">
        <v>67</v>
      </c>
      <c r="I9214" s="421"/>
      <c r="J9214" s="396">
        <f>J9213</f>
        <v>0</v>
      </c>
    </row>
    <row r="9215" spans="1:10" ht="13">
      <c r="A9215" s="27"/>
      <c r="B9215" s="110"/>
      <c r="D9215" s="444" t="s">
        <v>68</v>
      </c>
      <c r="E9215" s="445" t="s">
        <v>69</v>
      </c>
      <c r="F9215" s="446"/>
      <c r="G9215" s="447"/>
      <c r="H9215" s="448"/>
      <c r="I9215" s="449">
        <f>IF(AND(E9215&lt;&gt;"",G9215&lt;&gt;""),IF(D9215="",IF(G9215="OH",VLOOKUP(E9215,UPAH!$C$4:$H$31,7,0),VLOOKUP(E9215,#REF!,4,0)),0),0)</f>
        <v>0</v>
      </c>
      <c r="J9215" s="16">
        <f>SUM(J9204:J9214)/2</f>
        <v>0</v>
      </c>
    </row>
    <row r="9216" spans="1:10" ht="13.5" thickBot="1">
      <c r="A9216" s="27"/>
      <c r="B9216" s="110"/>
      <c r="D9216" s="431" t="s">
        <v>70</v>
      </c>
      <c r="E9216" s="432" t="s">
        <v>477</v>
      </c>
      <c r="F9216" s="433"/>
      <c r="G9216" s="434"/>
      <c r="H9216" s="22">
        <v>0.1</v>
      </c>
      <c r="I9216" s="436"/>
      <c r="J9216" s="430">
        <f>H9216*J9215</f>
        <v>0</v>
      </c>
    </row>
    <row r="9217" spans="1:10" ht="13.5" thickBot="1">
      <c r="A9217" s="27"/>
      <c r="B9217" s="110"/>
      <c r="D9217" s="401" t="s">
        <v>71</v>
      </c>
      <c r="E9217" s="402" t="s">
        <v>72</v>
      </c>
      <c r="F9217" s="418"/>
      <c r="G9217" s="419"/>
      <c r="H9217" s="442"/>
      <c r="I9217" s="421">
        <f>IF(AND(E9217&lt;&gt;"",G9217&lt;&gt;""),IF(D9217="",IF(G9217="OH",VLOOKUP(E9217,UPAH!$C$4:$H$31,7,0),VLOOKUP(E9217,#REF!,4,0)),0),0)</f>
        <v>0</v>
      </c>
      <c r="J9217" s="396">
        <f>ROUNDDOWN(J9215+J9216,0)</f>
        <v>0</v>
      </c>
    </row>
    <row r="9218" spans="1:10" ht="13">
      <c r="A9218" s="27"/>
      <c r="B9218" s="110"/>
      <c r="D9218" s="11"/>
      <c r="E9218" s="11"/>
      <c r="H9218" s="443"/>
      <c r="I9218" s="17"/>
      <c r="J9218" s="18"/>
    </row>
    <row r="9219" spans="1:10" ht="13.5" thickBot="1">
      <c r="A9219" s="27"/>
      <c r="B9219" s="110"/>
      <c r="C9219" s="11" t="s">
        <v>1435</v>
      </c>
      <c r="D9219" s="10" t="s">
        <v>1505</v>
      </c>
      <c r="H9219" s="443"/>
    </row>
    <row r="9220" spans="1:10" ht="13.5" thickBot="1">
      <c r="A9220" s="27"/>
      <c r="B9220" s="110"/>
      <c r="D9220" s="401" t="s">
        <v>40</v>
      </c>
      <c r="E9220" s="402" t="s">
        <v>41</v>
      </c>
      <c r="F9220" s="402" t="s">
        <v>42</v>
      </c>
      <c r="G9220" s="403" t="s">
        <v>43</v>
      </c>
      <c r="H9220" s="404" t="s">
        <v>44</v>
      </c>
      <c r="I9220" s="402" t="s">
        <v>474</v>
      </c>
      <c r="J9220" s="405" t="s">
        <v>475</v>
      </c>
    </row>
    <row r="9221" spans="1:10" ht="13">
      <c r="A9221" s="27"/>
      <c r="B9221" s="110"/>
      <c r="D9221" s="444" t="s">
        <v>45</v>
      </c>
      <c r="E9221" s="445" t="s">
        <v>46</v>
      </c>
      <c r="F9221" s="446"/>
      <c r="G9221" s="447"/>
      <c r="H9221" s="448"/>
      <c r="I9221" s="449"/>
      <c r="J9221" s="450"/>
    </row>
    <row r="9222" spans="1:10" ht="13">
      <c r="A9222" s="27"/>
      <c r="B9222" s="110"/>
      <c r="D9222" s="409"/>
      <c r="E9222" s="13" t="s">
        <v>47</v>
      </c>
      <c r="F9222" s="13" t="s">
        <v>1918</v>
      </c>
      <c r="G9222" s="543" t="s">
        <v>48</v>
      </c>
      <c r="H9222" s="548">
        <v>0.61299999999999999</v>
      </c>
      <c r="I9222" s="412">
        <f>IF(AND(E9222&lt;&gt;"",G9222&lt;&gt;""),IF(D9222="",IF(G9222="OH",VLOOKUP(F9222,UPAH!$B$4:$H$101,7,0),VLOOKUP(F9222,#REF!,4,0)),0),0)</f>
        <v>0</v>
      </c>
      <c r="J9222" s="16">
        <f>H9222*I9222</f>
        <v>0</v>
      </c>
    </row>
    <row r="9223" spans="1:10" ht="13">
      <c r="A9223" s="27"/>
      <c r="B9223" s="110"/>
      <c r="D9223" s="409"/>
      <c r="E9223" s="13" t="s">
        <v>283</v>
      </c>
      <c r="F9223" s="13" t="s">
        <v>1913</v>
      </c>
      <c r="G9223" s="543" t="s">
        <v>48</v>
      </c>
      <c r="H9223" s="548">
        <v>0.123</v>
      </c>
      <c r="I9223" s="412">
        <f>IF(AND(E9223&lt;&gt;"",G9223&lt;&gt;""),IF(D9223="",IF(G9223="OH",VLOOKUP(F9223,UPAH!$B$4:$H$101,7,0),VLOOKUP(F9223,#REF!,4,0)),0),0)</f>
        <v>0</v>
      </c>
      <c r="J9223" s="16">
        <f>H9223*I9223</f>
        <v>0</v>
      </c>
    </row>
    <row r="9224" spans="1:10" ht="13.5" thickBot="1">
      <c r="A9224" s="27"/>
      <c r="B9224" s="110"/>
      <c r="D9224" s="409"/>
      <c r="E9224" s="13" t="s">
        <v>51</v>
      </c>
      <c r="F9224" s="13" t="s">
        <v>1929</v>
      </c>
      <c r="G9224" s="543" t="s">
        <v>48</v>
      </c>
      <c r="H9224" s="548">
        <v>6.0999999999999999E-2</v>
      </c>
      <c r="I9224" s="412">
        <f>IF(AND(E9224&lt;&gt;"",G9224&lt;&gt;""),IF(D9224="",IF(G9224="OH",VLOOKUP(F9224,UPAH!$B$4:$H$101,7,0),VLOOKUP(F9224,#REF!,4,0)),0),0)</f>
        <v>0</v>
      </c>
      <c r="J9224" s="16">
        <f>H9224*I9224</f>
        <v>0</v>
      </c>
    </row>
    <row r="9225" spans="1:10" ht="13.5" thickBot="1">
      <c r="A9225" s="27"/>
      <c r="B9225" s="110"/>
      <c r="D9225" s="417"/>
      <c r="E9225" s="418"/>
      <c r="F9225" s="418"/>
      <c r="G9225" s="419"/>
      <c r="H9225" s="420" t="s">
        <v>52</v>
      </c>
      <c r="I9225" s="421"/>
      <c r="J9225" s="396">
        <f>SUM(J9221:J9224)</f>
        <v>0</v>
      </c>
    </row>
    <row r="9226" spans="1:10" ht="13">
      <c r="A9226" s="27"/>
      <c r="B9226" s="110"/>
      <c r="D9226" s="406" t="s">
        <v>53</v>
      </c>
      <c r="E9226" s="13" t="s">
        <v>54</v>
      </c>
      <c r="F9226" s="14"/>
      <c r="G9226" s="15"/>
      <c r="H9226" s="451"/>
      <c r="I9226" s="412"/>
      <c r="J9226" s="16"/>
    </row>
    <row r="9227" spans="1:10" ht="13.5" thickBot="1">
      <c r="A9227" s="27"/>
      <c r="B9227" s="110"/>
      <c r="D9227" s="409"/>
      <c r="E9227" s="13" t="s">
        <v>332</v>
      </c>
      <c r="F9227" s="14"/>
      <c r="G9227" s="543" t="s">
        <v>113</v>
      </c>
      <c r="H9227" s="548">
        <v>1</v>
      </c>
      <c r="I9227" s="412">
        <f>'BAHAN '!G1012</f>
        <v>0</v>
      </c>
      <c r="J9227" s="16">
        <f>H9227*I9227</f>
        <v>0</v>
      </c>
    </row>
    <row r="9228" spans="1:10" ht="13.5" thickBot="1">
      <c r="A9228" s="27"/>
      <c r="B9228" s="110"/>
      <c r="D9228" s="417"/>
      <c r="E9228" s="418"/>
      <c r="F9228" s="418"/>
      <c r="G9228" s="419"/>
      <c r="H9228" s="420" t="s">
        <v>64</v>
      </c>
      <c r="I9228" s="421"/>
      <c r="J9228" s="396">
        <f>SUM(J9227)</f>
        <v>0</v>
      </c>
    </row>
    <row r="9229" spans="1:10" ht="13">
      <c r="A9229" s="27"/>
      <c r="B9229" s="110"/>
      <c r="D9229" s="406" t="s">
        <v>65</v>
      </c>
      <c r="E9229" s="13" t="s">
        <v>66</v>
      </c>
      <c r="F9229" s="14"/>
      <c r="G9229" s="15"/>
      <c r="H9229" s="451"/>
      <c r="I9229" s="412"/>
      <c r="J9229" s="16"/>
    </row>
    <row r="9230" spans="1:10" ht="13.5" thickBot="1">
      <c r="A9230" s="27"/>
      <c r="B9230" s="110"/>
      <c r="D9230" s="409"/>
      <c r="E9230" s="13" t="s">
        <v>446</v>
      </c>
      <c r="F9230" s="14"/>
      <c r="G9230" s="543" t="s">
        <v>285</v>
      </c>
      <c r="H9230" s="548">
        <v>0.38</v>
      </c>
      <c r="I9230" s="412">
        <f>Alat!H102</f>
        <v>0</v>
      </c>
      <c r="J9230" s="16">
        <f>H9230*I9230</f>
        <v>0</v>
      </c>
    </row>
    <row r="9231" spans="1:10" ht="13.5" thickBot="1">
      <c r="A9231" s="27"/>
      <c r="B9231" s="110"/>
      <c r="D9231" s="417"/>
      <c r="E9231" s="418"/>
      <c r="F9231" s="418"/>
      <c r="G9231" s="419"/>
      <c r="H9231" s="420" t="s">
        <v>67</v>
      </c>
      <c r="I9231" s="421"/>
      <c r="J9231" s="396">
        <f>J9230</f>
        <v>0</v>
      </c>
    </row>
    <row r="9232" spans="1:10" ht="13">
      <c r="A9232" s="27"/>
      <c r="B9232" s="110"/>
      <c r="D9232" s="444" t="s">
        <v>68</v>
      </c>
      <c r="E9232" s="445" t="s">
        <v>69</v>
      </c>
      <c r="F9232" s="446"/>
      <c r="G9232" s="447"/>
      <c r="H9232" s="448"/>
      <c r="I9232" s="449">
        <f>IF(AND(E9232&lt;&gt;"",G9232&lt;&gt;""),IF(D9232="",IF(G9232="OH",VLOOKUP(E9232,UPAH!$C$4:$H$31,7,0),VLOOKUP(E9232,#REF!,4,0)),0),0)</f>
        <v>0</v>
      </c>
      <c r="J9232" s="16">
        <f>SUM(J9221:J9231)/2</f>
        <v>0</v>
      </c>
    </row>
    <row r="9233" spans="1:10" ht="13.5" thickBot="1">
      <c r="A9233" s="27"/>
      <c r="B9233" s="110"/>
      <c r="D9233" s="431" t="s">
        <v>70</v>
      </c>
      <c r="E9233" s="432" t="s">
        <v>477</v>
      </c>
      <c r="F9233" s="433"/>
      <c r="G9233" s="434"/>
      <c r="H9233" s="22">
        <v>0.1</v>
      </c>
      <c r="I9233" s="436"/>
      <c r="J9233" s="430">
        <f>H9233*J9232</f>
        <v>0</v>
      </c>
    </row>
    <row r="9234" spans="1:10" ht="13.5" thickBot="1">
      <c r="A9234" s="27"/>
      <c r="B9234" s="110"/>
      <c r="D9234" s="401" t="s">
        <v>71</v>
      </c>
      <c r="E9234" s="402" t="s">
        <v>72</v>
      </c>
      <c r="F9234" s="418"/>
      <c r="G9234" s="419"/>
      <c r="H9234" s="442"/>
      <c r="I9234" s="421">
        <f>IF(AND(E9234&lt;&gt;"",G9234&lt;&gt;""),IF(D9234="",IF(G9234="OH",VLOOKUP(E9234,UPAH!$C$4:$H$31,7,0),VLOOKUP(E9234,#REF!,4,0)),0),0)</f>
        <v>0</v>
      </c>
      <c r="J9234" s="396">
        <f>ROUNDDOWN(J9232+J9233,0)</f>
        <v>0</v>
      </c>
    </row>
    <row r="9235" spans="1:10" ht="13">
      <c r="A9235" s="27"/>
      <c r="B9235" s="110"/>
      <c r="D9235" s="11"/>
      <c r="E9235" s="11"/>
      <c r="H9235" s="443"/>
      <c r="I9235" s="17"/>
      <c r="J9235" s="18"/>
    </row>
    <row r="9236" spans="1:10" ht="13.5" thickBot="1">
      <c r="A9236" s="27"/>
      <c r="B9236" s="110"/>
      <c r="C9236" s="11" t="s">
        <v>1434</v>
      </c>
      <c r="D9236" s="10" t="s">
        <v>1506</v>
      </c>
      <c r="H9236" s="443"/>
    </row>
    <row r="9237" spans="1:10" ht="13.5" thickBot="1">
      <c r="A9237" s="27"/>
      <c r="B9237" s="110"/>
      <c r="D9237" s="401" t="s">
        <v>40</v>
      </c>
      <c r="E9237" s="402" t="s">
        <v>41</v>
      </c>
      <c r="F9237" s="402" t="s">
        <v>42</v>
      </c>
      <c r="G9237" s="403" t="s">
        <v>43</v>
      </c>
      <c r="H9237" s="404" t="s">
        <v>44</v>
      </c>
      <c r="I9237" s="402" t="s">
        <v>474</v>
      </c>
      <c r="J9237" s="405" t="s">
        <v>475</v>
      </c>
    </row>
    <row r="9238" spans="1:10" ht="13">
      <c r="A9238" s="27"/>
      <c r="B9238" s="110"/>
      <c r="D9238" s="444" t="s">
        <v>45</v>
      </c>
      <c r="E9238" s="445" t="s">
        <v>46</v>
      </c>
      <c r="F9238" s="446"/>
      <c r="G9238" s="447"/>
      <c r="H9238" s="448"/>
      <c r="I9238" s="449"/>
      <c r="J9238" s="450"/>
    </row>
    <row r="9239" spans="1:10" ht="13">
      <c r="A9239" s="27"/>
      <c r="B9239" s="110"/>
      <c r="D9239" s="409"/>
      <c r="E9239" s="13" t="s">
        <v>47</v>
      </c>
      <c r="F9239" s="13" t="s">
        <v>1918</v>
      </c>
      <c r="G9239" s="543" t="s">
        <v>48</v>
      </c>
      <c r="H9239" s="548">
        <v>0.85499999999999998</v>
      </c>
      <c r="I9239" s="412">
        <f>IF(AND(E9239&lt;&gt;"",G9239&lt;&gt;""),IF(D9239="",IF(G9239="OH",VLOOKUP(F9239,UPAH!$B$4:$H$101,7,0),VLOOKUP(F9239,#REF!,4,0)),0),0)</f>
        <v>0</v>
      </c>
      <c r="J9239" s="16">
        <f>H9239*I9239</f>
        <v>0</v>
      </c>
    </row>
    <row r="9240" spans="1:10" ht="13">
      <c r="A9240" s="27"/>
      <c r="B9240" s="110"/>
      <c r="D9240" s="409"/>
      <c r="E9240" s="13" t="s">
        <v>283</v>
      </c>
      <c r="F9240" s="13" t="s">
        <v>1913</v>
      </c>
      <c r="G9240" s="543" t="s">
        <v>48</v>
      </c>
      <c r="H9240" s="548">
        <v>0.17100000000000001</v>
      </c>
      <c r="I9240" s="412">
        <f>IF(AND(E9240&lt;&gt;"",G9240&lt;&gt;""),IF(D9240="",IF(G9240="OH",VLOOKUP(F9240,UPAH!$B$4:$H$101,7,0),VLOOKUP(F9240,#REF!,4,0)),0),0)</f>
        <v>0</v>
      </c>
      <c r="J9240" s="16">
        <f>H9240*I9240</f>
        <v>0</v>
      </c>
    </row>
    <row r="9241" spans="1:10" ht="13.5" thickBot="1">
      <c r="A9241" s="27"/>
      <c r="B9241" s="110"/>
      <c r="D9241" s="409"/>
      <c r="E9241" s="13" t="s">
        <v>51</v>
      </c>
      <c r="F9241" s="13" t="s">
        <v>1929</v>
      </c>
      <c r="G9241" s="543" t="s">
        <v>48</v>
      </c>
      <c r="H9241" s="548">
        <v>8.5000000000000006E-2</v>
      </c>
      <c r="I9241" s="412">
        <f>IF(AND(E9241&lt;&gt;"",G9241&lt;&gt;""),IF(D9241="",IF(G9241="OH",VLOOKUP(F9241,UPAH!$B$4:$H$101,7,0),VLOOKUP(F9241,#REF!,4,0)),0),0)</f>
        <v>0</v>
      </c>
      <c r="J9241" s="16">
        <f>H9241*I9241</f>
        <v>0</v>
      </c>
    </row>
    <row r="9242" spans="1:10" ht="13.5" thickBot="1">
      <c r="A9242" s="27"/>
      <c r="B9242" s="110"/>
      <c r="D9242" s="417"/>
      <c r="E9242" s="418"/>
      <c r="F9242" s="418"/>
      <c r="G9242" s="419"/>
      <c r="H9242" s="420" t="s">
        <v>52</v>
      </c>
      <c r="I9242" s="421"/>
      <c r="J9242" s="396">
        <f>SUM(J9238:J9241)</f>
        <v>0</v>
      </c>
    </row>
    <row r="9243" spans="1:10" ht="13">
      <c r="A9243" s="27"/>
      <c r="B9243" s="110"/>
      <c r="D9243" s="406" t="s">
        <v>53</v>
      </c>
      <c r="E9243" s="13" t="s">
        <v>54</v>
      </c>
      <c r="F9243" s="14"/>
      <c r="G9243" s="15"/>
      <c r="H9243" s="451"/>
      <c r="I9243" s="412"/>
      <c r="J9243" s="16"/>
    </row>
    <row r="9244" spans="1:10" ht="13.5" thickBot="1">
      <c r="A9244" s="27"/>
      <c r="B9244" s="110"/>
      <c r="D9244" s="409"/>
      <c r="E9244" s="13" t="s">
        <v>333</v>
      </c>
      <c r="F9244" s="14"/>
      <c r="G9244" s="543" t="s">
        <v>268</v>
      </c>
      <c r="H9244" s="548">
        <v>1</v>
      </c>
      <c r="I9244" s="412">
        <f>'BAHAN '!G1013</f>
        <v>0</v>
      </c>
      <c r="J9244" s="16">
        <f>H9244*I9244</f>
        <v>0</v>
      </c>
    </row>
    <row r="9245" spans="1:10" ht="13.5" thickBot="1">
      <c r="A9245" s="27"/>
      <c r="B9245" s="110"/>
      <c r="D9245" s="417"/>
      <c r="E9245" s="418"/>
      <c r="F9245" s="418"/>
      <c r="G9245" s="419"/>
      <c r="H9245" s="420" t="s">
        <v>64</v>
      </c>
      <c r="I9245" s="421"/>
      <c r="J9245" s="396">
        <f>SUM(J9244)</f>
        <v>0</v>
      </c>
    </row>
    <row r="9246" spans="1:10" ht="13">
      <c r="A9246" s="27"/>
      <c r="B9246" s="110"/>
      <c r="D9246" s="406" t="s">
        <v>65</v>
      </c>
      <c r="E9246" s="13" t="s">
        <v>66</v>
      </c>
      <c r="F9246" s="14"/>
      <c r="G9246" s="15"/>
      <c r="H9246" s="451"/>
      <c r="I9246" s="412"/>
      <c r="J9246" s="16"/>
    </row>
    <row r="9247" spans="1:10" ht="13.5" thickBot="1">
      <c r="A9247" s="27"/>
      <c r="B9247" s="110"/>
      <c r="D9247" s="409"/>
      <c r="E9247" s="13" t="s">
        <v>446</v>
      </c>
      <c r="F9247" s="14"/>
      <c r="G9247" s="543" t="s">
        <v>285</v>
      </c>
      <c r="H9247" s="548">
        <v>0.38</v>
      </c>
      <c r="I9247" s="412">
        <f>Alat!H102</f>
        <v>0</v>
      </c>
      <c r="J9247" s="16">
        <f>H9247*I9247</f>
        <v>0</v>
      </c>
    </row>
    <row r="9248" spans="1:10" ht="13.5" thickBot="1">
      <c r="A9248" s="27"/>
      <c r="B9248" s="110"/>
      <c r="D9248" s="417"/>
      <c r="E9248" s="418"/>
      <c r="F9248" s="418"/>
      <c r="G9248" s="419"/>
      <c r="H9248" s="420" t="s">
        <v>67</v>
      </c>
      <c r="I9248" s="421"/>
      <c r="J9248" s="396">
        <f>J9247</f>
        <v>0</v>
      </c>
    </row>
    <row r="9249" spans="1:10" ht="13">
      <c r="A9249" s="27"/>
      <c r="B9249" s="110"/>
      <c r="D9249" s="444" t="s">
        <v>68</v>
      </c>
      <c r="E9249" s="445" t="s">
        <v>69</v>
      </c>
      <c r="F9249" s="446"/>
      <c r="G9249" s="447"/>
      <c r="H9249" s="448"/>
      <c r="I9249" s="449">
        <f>IF(AND(E9249&lt;&gt;"",G9249&lt;&gt;""),IF(D9249="",IF(G9249="OH",VLOOKUP(E9249,UPAH!$C$4:$H$31,7,0),VLOOKUP(E9249,#REF!,4,0)),0),0)</f>
        <v>0</v>
      </c>
      <c r="J9249" s="16">
        <f>SUM(J9238:J9248)/2</f>
        <v>0</v>
      </c>
    </row>
    <row r="9250" spans="1:10" ht="13.5" thickBot="1">
      <c r="A9250" s="27"/>
      <c r="B9250" s="110"/>
      <c r="D9250" s="431" t="s">
        <v>70</v>
      </c>
      <c r="E9250" s="432" t="s">
        <v>477</v>
      </c>
      <c r="F9250" s="433"/>
      <c r="G9250" s="434"/>
      <c r="H9250" s="22">
        <v>0.1</v>
      </c>
      <c r="I9250" s="436"/>
      <c r="J9250" s="430">
        <f>H9250*J9249</f>
        <v>0</v>
      </c>
    </row>
    <row r="9251" spans="1:10" ht="13.5" thickBot="1">
      <c r="A9251" s="27"/>
      <c r="B9251" s="110"/>
      <c r="D9251" s="401" t="s">
        <v>71</v>
      </c>
      <c r="E9251" s="402" t="s">
        <v>72</v>
      </c>
      <c r="F9251" s="418"/>
      <c r="G9251" s="419"/>
      <c r="H9251" s="442"/>
      <c r="I9251" s="421">
        <f>IF(AND(E9251&lt;&gt;"",G9251&lt;&gt;""),IF(D9251="",IF(G9251="OH",VLOOKUP(E9251,UPAH!$C$4:$H$31,7,0),VLOOKUP(E9251,#REF!,4,0)),0),0)</f>
        <v>0</v>
      </c>
      <c r="J9251" s="396">
        <f>ROUNDDOWN(J9249+J9250,0)</f>
        <v>0</v>
      </c>
    </row>
    <row r="9252" spans="1:10" ht="13">
      <c r="A9252" s="27"/>
      <c r="B9252" s="110"/>
      <c r="D9252" s="11"/>
      <c r="E9252" s="11"/>
      <c r="H9252" s="443"/>
      <c r="I9252" s="17"/>
      <c r="J9252" s="18"/>
    </row>
    <row r="9253" spans="1:10" ht="13.5" thickBot="1">
      <c r="A9253" s="27"/>
      <c r="B9253" s="110"/>
      <c r="C9253" s="11" t="s">
        <v>1433</v>
      </c>
      <c r="D9253" s="10" t="s">
        <v>1507</v>
      </c>
      <c r="H9253" s="443"/>
    </row>
    <row r="9254" spans="1:10" ht="13.5" thickBot="1">
      <c r="A9254" s="27"/>
      <c r="B9254" s="110"/>
      <c r="D9254" s="401" t="s">
        <v>40</v>
      </c>
      <c r="E9254" s="402" t="s">
        <v>41</v>
      </c>
      <c r="F9254" s="402" t="s">
        <v>42</v>
      </c>
      <c r="G9254" s="403" t="s">
        <v>43</v>
      </c>
      <c r="H9254" s="404" t="s">
        <v>44</v>
      </c>
      <c r="I9254" s="402" t="s">
        <v>474</v>
      </c>
      <c r="J9254" s="405" t="s">
        <v>475</v>
      </c>
    </row>
    <row r="9255" spans="1:10" ht="13">
      <c r="A9255" s="27"/>
      <c r="B9255" s="110"/>
      <c r="D9255" s="444" t="s">
        <v>45</v>
      </c>
      <c r="E9255" s="445" t="s">
        <v>46</v>
      </c>
      <c r="F9255" s="446"/>
      <c r="G9255" s="447"/>
      <c r="H9255" s="448"/>
      <c r="I9255" s="449"/>
      <c r="J9255" s="450"/>
    </row>
    <row r="9256" spans="1:10" ht="13">
      <c r="A9256" s="27"/>
      <c r="B9256" s="110"/>
      <c r="D9256" s="409"/>
      <c r="E9256" s="13" t="s">
        <v>47</v>
      </c>
      <c r="F9256" s="13" t="s">
        <v>1918</v>
      </c>
      <c r="G9256" s="543" t="s">
        <v>48</v>
      </c>
      <c r="H9256" s="548">
        <v>0.95099999999999996</v>
      </c>
      <c r="I9256" s="412">
        <f>IF(AND(E9256&lt;&gt;"",G9256&lt;&gt;""),IF(D9256="",IF(G9256="OH",VLOOKUP(F9256,UPAH!$B$4:$H$101,7,0),VLOOKUP(F9256,#REF!,4,0)),0),0)</f>
        <v>0</v>
      </c>
      <c r="J9256" s="16">
        <f>H9256*I9256</f>
        <v>0</v>
      </c>
    </row>
    <row r="9257" spans="1:10" ht="13">
      <c r="A9257" s="27"/>
      <c r="B9257" s="110"/>
      <c r="D9257" s="409"/>
      <c r="E9257" s="13" t="s">
        <v>283</v>
      </c>
      <c r="F9257" s="13" t="s">
        <v>1913</v>
      </c>
      <c r="G9257" s="543" t="s">
        <v>48</v>
      </c>
      <c r="H9257" s="548">
        <v>0.19</v>
      </c>
      <c r="I9257" s="412">
        <f>IF(AND(E9257&lt;&gt;"",G9257&lt;&gt;""),IF(D9257="",IF(G9257="OH",VLOOKUP(F9257,UPAH!$B$4:$H$101,7,0),VLOOKUP(F9257,#REF!,4,0)),0),0)</f>
        <v>0</v>
      </c>
      <c r="J9257" s="16">
        <f>H9257*I9257</f>
        <v>0</v>
      </c>
    </row>
    <row r="9258" spans="1:10" ht="13.5" thickBot="1">
      <c r="A9258" s="27"/>
      <c r="B9258" s="110"/>
      <c r="D9258" s="409"/>
      <c r="E9258" s="13" t="s">
        <v>51</v>
      </c>
      <c r="F9258" s="13" t="s">
        <v>1929</v>
      </c>
      <c r="G9258" s="543" t="s">
        <v>48</v>
      </c>
      <c r="H9258" s="548">
        <v>9.5000000000000001E-2</v>
      </c>
      <c r="I9258" s="412">
        <f>IF(AND(E9258&lt;&gt;"",G9258&lt;&gt;""),IF(D9258="",IF(G9258="OH",VLOOKUP(F9258,UPAH!$B$4:$H$101,7,0),VLOOKUP(F9258,#REF!,4,0)),0),0)</f>
        <v>0</v>
      </c>
      <c r="J9258" s="16">
        <f>H9258*I9258</f>
        <v>0</v>
      </c>
    </row>
    <row r="9259" spans="1:10" ht="13.5" thickBot="1">
      <c r="A9259" s="27"/>
      <c r="B9259" s="110"/>
      <c r="D9259" s="417"/>
      <c r="E9259" s="418"/>
      <c r="F9259" s="418"/>
      <c r="G9259" s="419"/>
      <c r="H9259" s="420" t="s">
        <v>52</v>
      </c>
      <c r="I9259" s="421"/>
      <c r="J9259" s="396">
        <f>SUM(J9255:J9258)</f>
        <v>0</v>
      </c>
    </row>
    <row r="9260" spans="1:10" ht="13">
      <c r="A9260" s="27"/>
      <c r="B9260" s="110"/>
      <c r="D9260" s="406" t="s">
        <v>53</v>
      </c>
      <c r="E9260" s="13" t="s">
        <v>54</v>
      </c>
      <c r="F9260" s="14"/>
      <c r="G9260" s="15"/>
      <c r="H9260" s="451"/>
      <c r="I9260" s="412"/>
      <c r="J9260" s="16"/>
    </row>
    <row r="9261" spans="1:10" ht="13.5" thickBot="1">
      <c r="A9261" s="27"/>
      <c r="B9261" s="110"/>
      <c r="D9261" s="409"/>
      <c r="E9261" s="13" t="s">
        <v>334</v>
      </c>
      <c r="F9261" s="14"/>
      <c r="G9261" s="543" t="s">
        <v>268</v>
      </c>
      <c r="H9261" s="548">
        <v>1</v>
      </c>
      <c r="I9261" s="412">
        <f>'BAHAN '!G1014</f>
        <v>0</v>
      </c>
      <c r="J9261" s="16">
        <f>H9261*I9261</f>
        <v>0</v>
      </c>
    </row>
    <row r="9262" spans="1:10" ht="13.5" thickBot="1">
      <c r="A9262" s="27"/>
      <c r="B9262" s="110"/>
      <c r="D9262" s="417"/>
      <c r="E9262" s="418"/>
      <c r="F9262" s="418"/>
      <c r="G9262" s="419"/>
      <c r="H9262" s="420" t="s">
        <v>64</v>
      </c>
      <c r="I9262" s="421"/>
      <c r="J9262" s="396">
        <f>SUM(J9261)</f>
        <v>0</v>
      </c>
    </row>
    <row r="9263" spans="1:10" ht="13">
      <c r="A9263" s="27"/>
      <c r="B9263" s="110"/>
      <c r="D9263" s="406" t="s">
        <v>65</v>
      </c>
      <c r="E9263" s="13" t="s">
        <v>66</v>
      </c>
      <c r="F9263" s="14"/>
      <c r="G9263" s="15"/>
      <c r="H9263" s="451"/>
      <c r="I9263" s="412"/>
      <c r="J9263" s="16"/>
    </row>
    <row r="9264" spans="1:10" ht="13.5" thickBot="1">
      <c r="A9264" s="27"/>
      <c r="B9264" s="110"/>
      <c r="D9264" s="409"/>
      <c r="E9264" s="13" t="s">
        <v>446</v>
      </c>
      <c r="F9264" s="14"/>
      <c r="G9264" s="543" t="s">
        <v>285</v>
      </c>
      <c r="H9264" s="548">
        <v>0.05</v>
      </c>
      <c r="I9264" s="412">
        <f>Alat!H102</f>
        <v>0</v>
      </c>
      <c r="J9264" s="16">
        <f>H9264*I9264</f>
        <v>0</v>
      </c>
    </row>
    <row r="9265" spans="1:10" ht="13.5" thickBot="1">
      <c r="A9265" s="27"/>
      <c r="B9265" s="110"/>
      <c r="D9265" s="417"/>
      <c r="E9265" s="418"/>
      <c r="F9265" s="418"/>
      <c r="G9265" s="419"/>
      <c r="H9265" s="420" t="s">
        <v>67</v>
      </c>
      <c r="I9265" s="421"/>
      <c r="J9265" s="396">
        <f>J9264</f>
        <v>0</v>
      </c>
    </row>
    <row r="9266" spans="1:10" ht="13">
      <c r="A9266" s="27"/>
      <c r="B9266" s="110"/>
      <c r="D9266" s="444" t="s">
        <v>68</v>
      </c>
      <c r="E9266" s="445" t="s">
        <v>69</v>
      </c>
      <c r="F9266" s="446"/>
      <c r="G9266" s="447"/>
      <c r="H9266" s="448"/>
      <c r="I9266" s="449">
        <f>IF(AND(E9266&lt;&gt;"",G9266&lt;&gt;""),IF(D9266="",IF(G9266="OH",VLOOKUP(E9266,UPAH!$C$4:$H$31,7,0),VLOOKUP(E9266,#REF!,4,0)),0),0)</f>
        <v>0</v>
      </c>
      <c r="J9266" s="16">
        <f>SUM(J9255:J9265)/2</f>
        <v>0</v>
      </c>
    </row>
    <row r="9267" spans="1:10" ht="13.5" thickBot="1">
      <c r="A9267" s="27"/>
      <c r="B9267" s="110"/>
      <c r="D9267" s="431" t="s">
        <v>70</v>
      </c>
      <c r="E9267" s="432" t="s">
        <v>477</v>
      </c>
      <c r="F9267" s="433"/>
      <c r="G9267" s="434"/>
      <c r="H9267" s="22">
        <v>0.1</v>
      </c>
      <c r="I9267" s="436"/>
      <c r="J9267" s="430">
        <f>H9267*J9266</f>
        <v>0</v>
      </c>
    </row>
    <row r="9268" spans="1:10" ht="13.5" thickBot="1">
      <c r="A9268" s="27"/>
      <c r="B9268" s="110"/>
      <c r="D9268" s="401" t="s">
        <v>71</v>
      </c>
      <c r="E9268" s="402" t="s">
        <v>72</v>
      </c>
      <c r="F9268" s="418"/>
      <c r="G9268" s="419"/>
      <c r="H9268" s="442"/>
      <c r="I9268" s="421">
        <f>IF(AND(E9268&lt;&gt;"",G9268&lt;&gt;""),IF(D9268="",IF(G9268="OH",VLOOKUP(E9268,UPAH!$C$4:$H$31,7,0),VLOOKUP(E9268,#REF!,4,0)),0),0)</f>
        <v>0</v>
      </c>
      <c r="J9268" s="396">
        <f>ROUNDDOWN(J9266+J9267,0)</f>
        <v>0</v>
      </c>
    </row>
    <row r="9269" spans="1:10" ht="13">
      <c r="A9269" s="27"/>
      <c r="B9269" s="110"/>
      <c r="D9269" s="11"/>
      <c r="E9269" s="11"/>
      <c r="H9269" s="443"/>
      <c r="I9269" s="17"/>
      <c r="J9269" s="18"/>
    </row>
    <row r="9270" spans="1:10" ht="13.5" thickBot="1">
      <c r="A9270" s="27"/>
      <c r="B9270" s="110"/>
      <c r="C9270" s="11" t="s">
        <v>1432</v>
      </c>
      <c r="D9270" s="10" t="s">
        <v>1508</v>
      </c>
      <c r="H9270" s="443"/>
    </row>
    <row r="9271" spans="1:10" ht="13.5" thickBot="1">
      <c r="A9271" s="27"/>
      <c r="B9271" s="110"/>
      <c r="D9271" s="401" t="s">
        <v>40</v>
      </c>
      <c r="E9271" s="402" t="s">
        <v>41</v>
      </c>
      <c r="F9271" s="402" t="s">
        <v>42</v>
      </c>
      <c r="G9271" s="403" t="s">
        <v>43</v>
      </c>
      <c r="H9271" s="404" t="s">
        <v>44</v>
      </c>
      <c r="I9271" s="402" t="s">
        <v>474</v>
      </c>
      <c r="J9271" s="405" t="s">
        <v>475</v>
      </c>
    </row>
    <row r="9272" spans="1:10" ht="13">
      <c r="A9272" s="27"/>
      <c r="B9272" s="110"/>
      <c r="D9272" s="444" t="s">
        <v>45</v>
      </c>
      <c r="E9272" s="445" t="s">
        <v>46</v>
      </c>
      <c r="F9272" s="446"/>
      <c r="G9272" s="447"/>
      <c r="H9272" s="448"/>
      <c r="I9272" s="449"/>
      <c r="J9272" s="450"/>
    </row>
    <row r="9273" spans="1:10" ht="13">
      <c r="A9273" s="27"/>
      <c r="B9273" s="110"/>
      <c r="D9273" s="409"/>
      <c r="E9273" s="13" t="s">
        <v>47</v>
      </c>
      <c r="F9273" s="13" t="s">
        <v>1918</v>
      </c>
      <c r="G9273" s="543" t="s">
        <v>48</v>
      </c>
      <c r="H9273" s="548">
        <v>0.97299999999999998</v>
      </c>
      <c r="I9273" s="412">
        <f>IF(AND(E9273&lt;&gt;"",G9273&lt;&gt;""),IF(D9273="",IF(G9273="OH",VLOOKUP(F9273,UPAH!$B$4:$H$101,7,0),VLOOKUP(F9273,#REF!,4,0)),0),0)</f>
        <v>0</v>
      </c>
      <c r="J9273" s="16">
        <f>H9273*I9273</f>
        <v>0</v>
      </c>
    </row>
    <row r="9274" spans="1:10" ht="13">
      <c r="A9274" s="27"/>
      <c r="B9274" s="110"/>
      <c r="D9274" s="409"/>
      <c r="E9274" s="13" t="s">
        <v>283</v>
      </c>
      <c r="F9274" s="13" t="s">
        <v>1913</v>
      </c>
      <c r="G9274" s="543" t="s">
        <v>48</v>
      </c>
      <c r="H9274" s="548">
        <v>0.19500000000000001</v>
      </c>
      <c r="I9274" s="412">
        <f>IF(AND(E9274&lt;&gt;"",G9274&lt;&gt;""),IF(D9274="",IF(G9274="OH",VLOOKUP(F9274,UPAH!$B$4:$H$101,7,0),VLOOKUP(F9274,#REF!,4,0)),0),0)</f>
        <v>0</v>
      </c>
      <c r="J9274" s="16">
        <f>H9274*I9274</f>
        <v>0</v>
      </c>
    </row>
    <row r="9275" spans="1:10" ht="13.5" thickBot="1">
      <c r="A9275" s="27"/>
      <c r="B9275" s="110"/>
      <c r="D9275" s="409"/>
      <c r="E9275" s="13" t="s">
        <v>51</v>
      </c>
      <c r="F9275" s="13" t="s">
        <v>1929</v>
      </c>
      <c r="G9275" s="543" t="s">
        <v>48</v>
      </c>
      <c r="H9275" s="548">
        <v>9.7000000000000003E-2</v>
      </c>
      <c r="I9275" s="412">
        <f>IF(AND(E9275&lt;&gt;"",G9275&lt;&gt;""),IF(D9275="",IF(G9275="OH",VLOOKUP(F9275,UPAH!$B$4:$H$101,7,0),VLOOKUP(F9275,#REF!,4,0)),0),0)</f>
        <v>0</v>
      </c>
      <c r="J9275" s="16">
        <f>H9275*I9275</f>
        <v>0</v>
      </c>
    </row>
    <row r="9276" spans="1:10" ht="13.5" thickBot="1">
      <c r="A9276" s="27"/>
      <c r="B9276" s="110"/>
      <c r="D9276" s="417"/>
      <c r="E9276" s="418"/>
      <c r="F9276" s="418"/>
      <c r="G9276" s="419"/>
      <c r="H9276" s="420" t="s">
        <v>52</v>
      </c>
      <c r="I9276" s="421"/>
      <c r="J9276" s="396">
        <f>SUM(J9272:J9275)</f>
        <v>0</v>
      </c>
    </row>
    <row r="9277" spans="1:10" ht="13">
      <c r="A9277" s="27"/>
      <c r="B9277" s="110"/>
      <c r="D9277" s="406" t="s">
        <v>53</v>
      </c>
      <c r="E9277" s="13" t="s">
        <v>54</v>
      </c>
      <c r="F9277" s="14"/>
      <c r="G9277" s="15"/>
      <c r="H9277" s="451"/>
      <c r="I9277" s="412"/>
      <c r="J9277" s="16"/>
    </row>
    <row r="9278" spans="1:10" ht="13.5" thickBot="1">
      <c r="A9278" s="27"/>
      <c r="B9278" s="110"/>
      <c r="D9278" s="409"/>
      <c r="E9278" s="13" t="s">
        <v>335</v>
      </c>
      <c r="F9278" s="14"/>
      <c r="G9278" s="543" t="s">
        <v>113</v>
      </c>
      <c r="H9278" s="548">
        <v>1</v>
      </c>
      <c r="I9278" s="412">
        <f>'BAHAN '!G1015</f>
        <v>0</v>
      </c>
      <c r="J9278" s="16">
        <f>H9278*I9278</f>
        <v>0</v>
      </c>
    </row>
    <row r="9279" spans="1:10" ht="13.5" thickBot="1">
      <c r="A9279" s="27"/>
      <c r="B9279" s="110"/>
      <c r="D9279" s="417"/>
      <c r="E9279" s="418"/>
      <c r="F9279" s="418"/>
      <c r="G9279" s="419"/>
      <c r="H9279" s="420" t="s">
        <v>64</v>
      </c>
      <c r="I9279" s="421"/>
      <c r="J9279" s="396">
        <f>SUM(J9278)</f>
        <v>0</v>
      </c>
    </row>
    <row r="9280" spans="1:10" ht="13">
      <c r="A9280" s="27"/>
      <c r="B9280" s="110"/>
      <c r="D9280" s="406" t="s">
        <v>65</v>
      </c>
      <c r="E9280" s="13" t="s">
        <v>66</v>
      </c>
      <c r="F9280" s="14"/>
      <c r="G9280" s="15"/>
      <c r="H9280" s="451"/>
      <c r="I9280" s="412"/>
      <c r="J9280" s="16"/>
    </row>
    <row r="9281" spans="1:10" ht="13.5" thickBot="1">
      <c r="A9281" s="27"/>
      <c r="B9281" s="110"/>
      <c r="D9281" s="409"/>
      <c r="E9281" s="13" t="s">
        <v>446</v>
      </c>
      <c r="F9281" s="14"/>
      <c r="G9281" s="543" t="s">
        <v>285</v>
      </c>
      <c r="H9281" s="548">
        <v>7.0999999999999994E-2</v>
      </c>
      <c r="I9281" s="412">
        <f>Alat!H102</f>
        <v>0</v>
      </c>
      <c r="J9281" s="16">
        <f>H9281*I9281</f>
        <v>0</v>
      </c>
    </row>
    <row r="9282" spans="1:10" ht="13.5" thickBot="1">
      <c r="A9282" s="27"/>
      <c r="B9282" s="110"/>
      <c r="D9282" s="417"/>
      <c r="E9282" s="418"/>
      <c r="F9282" s="418"/>
      <c r="G9282" s="419"/>
      <c r="H9282" s="420" t="s">
        <v>67</v>
      </c>
      <c r="I9282" s="421"/>
      <c r="J9282" s="396">
        <f>J9281</f>
        <v>0</v>
      </c>
    </row>
    <row r="9283" spans="1:10" ht="13">
      <c r="A9283" s="27"/>
      <c r="B9283" s="110"/>
      <c r="D9283" s="444" t="s">
        <v>68</v>
      </c>
      <c r="E9283" s="445" t="s">
        <v>69</v>
      </c>
      <c r="F9283" s="446"/>
      <c r="G9283" s="447"/>
      <c r="H9283" s="448"/>
      <c r="I9283" s="449">
        <f>IF(AND(E9283&lt;&gt;"",G9283&lt;&gt;""),IF(D9283="",IF(G9283="OH",VLOOKUP(E9283,UPAH!$C$4:$H$31,7,0),VLOOKUP(E9283,#REF!,4,0)),0),0)</f>
        <v>0</v>
      </c>
      <c r="J9283" s="16">
        <f>SUM(J9272:J9282)/2</f>
        <v>0</v>
      </c>
    </row>
    <row r="9284" spans="1:10" ht="13.5" thickBot="1">
      <c r="A9284" s="27"/>
      <c r="B9284" s="110"/>
      <c r="D9284" s="431" t="s">
        <v>70</v>
      </c>
      <c r="E9284" s="432" t="s">
        <v>477</v>
      </c>
      <c r="F9284" s="433"/>
      <c r="G9284" s="434"/>
      <c r="H9284" s="22">
        <v>0.1</v>
      </c>
      <c r="I9284" s="436"/>
      <c r="J9284" s="430">
        <f>H9284*J9283</f>
        <v>0</v>
      </c>
    </row>
    <row r="9285" spans="1:10" ht="13.5" thickBot="1">
      <c r="A9285" s="27"/>
      <c r="B9285" s="110"/>
      <c r="D9285" s="401" t="s">
        <v>71</v>
      </c>
      <c r="E9285" s="402" t="s">
        <v>72</v>
      </c>
      <c r="F9285" s="418"/>
      <c r="G9285" s="419"/>
      <c r="H9285" s="442"/>
      <c r="I9285" s="421">
        <f>IF(AND(E9285&lt;&gt;"",G9285&lt;&gt;""),IF(D9285="",IF(G9285="OH",VLOOKUP(E9285,UPAH!$C$4:$H$31,7,0),VLOOKUP(E9285,#REF!,4,0)),0),0)</f>
        <v>0</v>
      </c>
      <c r="J9285" s="396">
        <f>ROUNDDOWN(J9283+J9284,0)</f>
        <v>0</v>
      </c>
    </row>
    <row r="9286" spans="1:10" ht="13">
      <c r="A9286" s="27"/>
      <c r="B9286" s="110"/>
      <c r="D9286" s="11"/>
      <c r="E9286" s="11"/>
      <c r="H9286" s="443"/>
      <c r="I9286" s="17"/>
      <c r="J9286" s="18"/>
    </row>
    <row r="9287" spans="1:10" ht="13.5" thickBot="1">
      <c r="A9287" s="27"/>
      <c r="B9287" s="110"/>
      <c r="C9287" s="11" t="s">
        <v>1431</v>
      </c>
      <c r="D9287" s="10" t="s">
        <v>1509</v>
      </c>
      <c r="H9287" s="443"/>
    </row>
    <row r="9288" spans="1:10" ht="13.5" thickBot="1">
      <c r="A9288" s="27"/>
      <c r="B9288" s="110"/>
      <c r="D9288" s="401" t="s">
        <v>40</v>
      </c>
      <c r="E9288" s="402" t="s">
        <v>41</v>
      </c>
      <c r="F9288" s="402" t="s">
        <v>42</v>
      </c>
      <c r="G9288" s="403" t="s">
        <v>43</v>
      </c>
      <c r="H9288" s="404" t="s">
        <v>44</v>
      </c>
      <c r="I9288" s="402" t="s">
        <v>474</v>
      </c>
      <c r="J9288" s="405" t="s">
        <v>475</v>
      </c>
    </row>
    <row r="9289" spans="1:10" ht="13">
      <c r="A9289" s="27"/>
      <c r="B9289" s="110"/>
      <c r="D9289" s="444" t="s">
        <v>45</v>
      </c>
      <c r="E9289" s="445" t="s">
        <v>46</v>
      </c>
      <c r="F9289" s="446"/>
      <c r="G9289" s="447"/>
      <c r="H9289" s="448"/>
      <c r="I9289" s="449"/>
      <c r="J9289" s="450"/>
    </row>
    <row r="9290" spans="1:10" ht="13">
      <c r="A9290" s="27"/>
      <c r="B9290" s="110"/>
      <c r="D9290" s="409"/>
      <c r="E9290" s="13" t="s">
        <v>47</v>
      </c>
      <c r="F9290" s="13" t="s">
        <v>1918</v>
      </c>
      <c r="G9290" s="543" t="s">
        <v>48</v>
      </c>
      <c r="H9290" s="548">
        <v>1.5449999999999999</v>
      </c>
      <c r="I9290" s="412">
        <f>IF(AND(E9290&lt;&gt;"",G9290&lt;&gt;""),IF(D9290="",IF(G9290="OH",VLOOKUP(F9290,UPAH!$B$4:$H$101,7,0),VLOOKUP(F9290,#REF!,4,0)),0),0)</f>
        <v>0</v>
      </c>
      <c r="J9290" s="16">
        <f>H9290*I9290</f>
        <v>0</v>
      </c>
    </row>
    <row r="9291" spans="1:10" ht="13">
      <c r="A9291" s="27"/>
      <c r="B9291" s="110"/>
      <c r="D9291" s="409"/>
      <c r="E9291" s="13" t="s">
        <v>283</v>
      </c>
      <c r="F9291" s="13" t="s">
        <v>1913</v>
      </c>
      <c r="G9291" s="543" t="s">
        <v>48</v>
      </c>
      <c r="H9291" s="548">
        <v>0.309</v>
      </c>
      <c r="I9291" s="412">
        <f>IF(AND(E9291&lt;&gt;"",G9291&lt;&gt;""),IF(D9291="",IF(G9291="OH",VLOOKUP(F9291,UPAH!$B$4:$H$101,7,0),VLOOKUP(F9291,#REF!,4,0)),0),0)</f>
        <v>0</v>
      </c>
      <c r="J9291" s="16">
        <f>H9291*I9291</f>
        <v>0</v>
      </c>
    </row>
    <row r="9292" spans="1:10" ht="13">
      <c r="A9292" s="27"/>
      <c r="B9292" s="110"/>
      <c r="D9292" s="409"/>
      <c r="E9292" s="13" t="s">
        <v>336</v>
      </c>
      <c r="F9292" s="13" t="s">
        <v>1930</v>
      </c>
      <c r="G9292" s="543" t="s">
        <v>48</v>
      </c>
      <c r="H9292" s="548">
        <v>9.2999999999999999E-2</v>
      </c>
      <c r="I9292" s="412">
        <f>IF(AND(E9292&lt;&gt;"",G9292&lt;&gt;""),IF(D9292="",IF(G9292="OH",VLOOKUP(F9292,UPAH!$B$4:$H$101,7,0),VLOOKUP(F9292,#REF!,4,0)),0),0)</f>
        <v>0</v>
      </c>
      <c r="J9292" s="16">
        <f>H9292*I9292</f>
        <v>0</v>
      </c>
    </row>
    <row r="9293" spans="1:10" ht="13.5" thickBot="1">
      <c r="A9293" s="27"/>
      <c r="B9293" s="110"/>
      <c r="D9293" s="409"/>
      <c r="E9293" s="13" t="s">
        <v>51</v>
      </c>
      <c r="F9293" s="13" t="s">
        <v>1929</v>
      </c>
      <c r="G9293" s="543" t="s">
        <v>48</v>
      </c>
      <c r="H9293" s="548">
        <v>0.154</v>
      </c>
      <c r="I9293" s="412">
        <f>IF(AND(E9293&lt;&gt;"",G9293&lt;&gt;""),IF(D9293="",IF(G9293="OH",VLOOKUP(F9293,UPAH!$B$4:$H$101,7,0),VLOOKUP(F9293,#REF!,4,0)),0),0)</f>
        <v>0</v>
      </c>
      <c r="J9293" s="16">
        <f>H9293*I9293</f>
        <v>0</v>
      </c>
    </row>
    <row r="9294" spans="1:10" ht="13.5" thickBot="1">
      <c r="A9294" s="27"/>
      <c r="B9294" s="110"/>
      <c r="D9294" s="417"/>
      <c r="E9294" s="418"/>
      <c r="F9294" s="418"/>
      <c r="G9294" s="419"/>
      <c r="H9294" s="420" t="s">
        <v>52</v>
      </c>
      <c r="I9294" s="421"/>
      <c r="J9294" s="396">
        <f>SUM(J9290:J9293)</f>
        <v>0</v>
      </c>
    </row>
    <row r="9295" spans="1:10" ht="13">
      <c r="A9295" s="27"/>
      <c r="B9295" s="110"/>
      <c r="D9295" s="406" t="s">
        <v>53</v>
      </c>
      <c r="E9295" s="13" t="s">
        <v>54</v>
      </c>
      <c r="F9295" s="14"/>
      <c r="G9295" s="15"/>
      <c r="H9295" s="451"/>
      <c r="I9295" s="412"/>
      <c r="J9295" s="16"/>
    </row>
    <row r="9296" spans="1:10" ht="13.5" thickBot="1">
      <c r="A9296" s="27"/>
      <c r="B9296" s="110"/>
      <c r="D9296" s="409"/>
      <c r="E9296" s="13" t="s">
        <v>337</v>
      </c>
      <c r="F9296" s="14"/>
      <c r="G9296" s="543" t="s">
        <v>113</v>
      </c>
      <c r="H9296" s="548">
        <v>1</v>
      </c>
      <c r="I9296" s="412">
        <f>'BAHAN '!G1016</f>
        <v>0</v>
      </c>
      <c r="J9296" s="16">
        <f>H9296*I9296</f>
        <v>0</v>
      </c>
    </row>
    <row r="9297" spans="1:10" ht="13.5" thickBot="1">
      <c r="A9297" s="27"/>
      <c r="B9297" s="110"/>
      <c r="D9297" s="417"/>
      <c r="E9297" s="418"/>
      <c r="F9297" s="418"/>
      <c r="G9297" s="419"/>
      <c r="H9297" s="420" t="s">
        <v>64</v>
      </c>
      <c r="I9297" s="421"/>
      <c r="J9297" s="396">
        <f>SUM(J9296)</f>
        <v>0</v>
      </c>
    </row>
    <row r="9298" spans="1:10" ht="13">
      <c r="A9298" s="27"/>
      <c r="B9298" s="110"/>
      <c r="D9298" s="406" t="s">
        <v>65</v>
      </c>
      <c r="E9298" s="13" t="s">
        <v>66</v>
      </c>
      <c r="F9298" s="14"/>
      <c r="G9298" s="15"/>
      <c r="H9298" s="451"/>
      <c r="I9298" s="412"/>
      <c r="J9298" s="16"/>
    </row>
    <row r="9299" spans="1:10" ht="13">
      <c r="A9299" s="27"/>
      <c r="B9299" s="110"/>
      <c r="D9299" s="409"/>
      <c r="E9299" s="13" t="s">
        <v>444</v>
      </c>
      <c r="F9299" s="14"/>
      <c r="G9299" s="543" t="s">
        <v>285</v>
      </c>
      <c r="H9299" s="548">
        <v>2.3E-2</v>
      </c>
      <c r="I9299" s="412">
        <f>Alat!H40*8</f>
        <v>0</v>
      </c>
      <c r="J9299" s="16">
        <f>H9299*I9299</f>
        <v>0</v>
      </c>
    </row>
    <row r="9300" spans="1:10" ht="13.5" thickBot="1">
      <c r="A9300" s="27"/>
      <c r="B9300" s="110"/>
      <c r="D9300" s="409"/>
      <c r="E9300" s="13" t="s">
        <v>446</v>
      </c>
      <c r="F9300" s="14"/>
      <c r="G9300" s="543" t="s">
        <v>285</v>
      </c>
      <c r="H9300" s="548">
        <v>3.1E-2</v>
      </c>
      <c r="I9300" s="412">
        <f>Alat!H102</f>
        <v>0</v>
      </c>
      <c r="J9300" s="16">
        <f>H9300*I9300</f>
        <v>0</v>
      </c>
    </row>
    <row r="9301" spans="1:10" ht="13.5" thickBot="1">
      <c r="A9301" s="27"/>
      <c r="B9301" s="110"/>
      <c r="D9301" s="417"/>
      <c r="E9301" s="418"/>
      <c r="F9301" s="418"/>
      <c r="G9301" s="419"/>
      <c r="H9301" s="420" t="s">
        <v>67</v>
      </c>
      <c r="I9301" s="421"/>
      <c r="J9301" s="396">
        <f>SUM(J9299:J9300)</f>
        <v>0</v>
      </c>
    </row>
    <row r="9302" spans="1:10" ht="13">
      <c r="A9302" s="27"/>
      <c r="B9302" s="110"/>
      <c r="D9302" s="444" t="s">
        <v>68</v>
      </c>
      <c r="E9302" s="445" t="s">
        <v>69</v>
      </c>
      <c r="F9302" s="446"/>
      <c r="G9302" s="447"/>
      <c r="H9302" s="448"/>
      <c r="I9302" s="449">
        <f>IF(AND(E9302&lt;&gt;"",G9302&lt;&gt;""),IF(D9302="",IF(G9302="OH",VLOOKUP(E9302,UPAH!$C$4:$H$31,7,0),VLOOKUP(E9302,#REF!,4,0)),0),0)</f>
        <v>0</v>
      </c>
      <c r="J9302" s="16">
        <f>SUM(J9291:J9301)/2</f>
        <v>0</v>
      </c>
    </row>
    <row r="9303" spans="1:10" ht="13.5" thickBot="1">
      <c r="A9303" s="27"/>
      <c r="B9303" s="110"/>
      <c r="D9303" s="431" t="s">
        <v>70</v>
      </c>
      <c r="E9303" s="432" t="s">
        <v>477</v>
      </c>
      <c r="F9303" s="433"/>
      <c r="G9303" s="434"/>
      <c r="H9303" s="22">
        <v>0.1</v>
      </c>
      <c r="I9303" s="436"/>
      <c r="J9303" s="430">
        <f>H9303*J9302</f>
        <v>0</v>
      </c>
    </row>
    <row r="9304" spans="1:10" ht="13.5" thickBot="1">
      <c r="A9304" s="27"/>
      <c r="B9304" s="110"/>
      <c r="D9304" s="401" t="s">
        <v>71</v>
      </c>
      <c r="E9304" s="402" t="s">
        <v>72</v>
      </c>
      <c r="F9304" s="418"/>
      <c r="G9304" s="419"/>
      <c r="H9304" s="442"/>
      <c r="I9304" s="421">
        <f>IF(AND(E9304&lt;&gt;"",G9304&lt;&gt;""),IF(D9304="",IF(G9304="OH",VLOOKUP(E9304,UPAH!$C$4:$H$31,7,0),VLOOKUP(E9304,#REF!,4,0)),0),0)</f>
        <v>0</v>
      </c>
      <c r="J9304" s="396">
        <f>ROUNDDOWN(J9302+J9303,0)</f>
        <v>0</v>
      </c>
    </row>
    <row r="9305" spans="1:10" ht="13">
      <c r="A9305" s="27"/>
      <c r="B9305" s="110"/>
      <c r="D9305" s="11"/>
      <c r="E9305" s="11"/>
      <c r="H9305" s="443"/>
      <c r="I9305" s="17"/>
      <c r="J9305" s="18"/>
    </row>
    <row r="9306" spans="1:10" ht="13.5" thickBot="1">
      <c r="A9306" s="27"/>
      <c r="B9306" s="110"/>
      <c r="C9306" s="11" t="s">
        <v>1430</v>
      </c>
      <c r="D9306" s="10" t="s">
        <v>1510</v>
      </c>
      <c r="H9306" s="443"/>
    </row>
    <row r="9307" spans="1:10" ht="13.5" thickBot="1">
      <c r="A9307" s="27"/>
      <c r="B9307" s="110"/>
      <c r="D9307" s="401" t="s">
        <v>40</v>
      </c>
      <c r="E9307" s="402" t="s">
        <v>41</v>
      </c>
      <c r="F9307" s="402" t="s">
        <v>42</v>
      </c>
      <c r="G9307" s="403" t="s">
        <v>43</v>
      </c>
      <c r="H9307" s="404" t="s">
        <v>44</v>
      </c>
      <c r="I9307" s="402" t="s">
        <v>474</v>
      </c>
      <c r="J9307" s="405" t="s">
        <v>475</v>
      </c>
    </row>
    <row r="9308" spans="1:10" ht="13">
      <c r="A9308" s="27"/>
      <c r="B9308" s="110"/>
      <c r="D9308" s="444" t="s">
        <v>45</v>
      </c>
      <c r="E9308" s="445" t="s">
        <v>46</v>
      </c>
      <c r="F9308" s="446"/>
      <c r="G9308" s="447"/>
      <c r="H9308" s="448"/>
      <c r="I9308" s="449"/>
      <c r="J9308" s="450"/>
    </row>
    <row r="9309" spans="1:10" ht="13">
      <c r="A9309" s="27"/>
      <c r="B9309" s="110"/>
      <c r="D9309" s="409"/>
      <c r="E9309" s="13" t="s">
        <v>47</v>
      </c>
      <c r="F9309" s="13" t="s">
        <v>1918</v>
      </c>
      <c r="G9309" s="543" t="s">
        <v>48</v>
      </c>
      <c r="H9309" s="548">
        <v>1.8129999999999999</v>
      </c>
      <c r="I9309" s="412">
        <f>IF(AND(E9309&lt;&gt;"",G9309&lt;&gt;""),IF(D9309="",IF(G9309="OH",VLOOKUP(F9309,UPAH!$B$4:$H$101,7,0),VLOOKUP(F9309,#REF!,4,0)),0),0)</f>
        <v>0</v>
      </c>
      <c r="J9309" s="16">
        <f>H9309*I9309</f>
        <v>0</v>
      </c>
    </row>
    <row r="9310" spans="1:10" ht="13">
      <c r="A9310" s="27"/>
      <c r="B9310" s="110"/>
      <c r="D9310" s="409"/>
      <c r="E9310" s="13" t="s">
        <v>283</v>
      </c>
      <c r="F9310" s="13" t="s">
        <v>1913</v>
      </c>
      <c r="G9310" s="543" t="s">
        <v>48</v>
      </c>
      <c r="H9310" s="548">
        <v>0.36299999999999999</v>
      </c>
      <c r="I9310" s="412">
        <f>IF(AND(E9310&lt;&gt;"",G9310&lt;&gt;""),IF(D9310="",IF(G9310="OH",VLOOKUP(F9310,UPAH!$B$4:$H$101,7,0),VLOOKUP(F9310,#REF!,4,0)),0),0)</f>
        <v>0</v>
      </c>
      <c r="J9310" s="16">
        <f>H9310*I9310</f>
        <v>0</v>
      </c>
    </row>
    <row r="9311" spans="1:10" ht="13">
      <c r="A9311" s="27"/>
      <c r="B9311" s="110"/>
      <c r="D9311" s="409"/>
      <c r="E9311" s="13" t="s">
        <v>336</v>
      </c>
      <c r="F9311" s="13" t="s">
        <v>1930</v>
      </c>
      <c r="G9311" s="543" t="s">
        <v>48</v>
      </c>
      <c r="H9311" s="548">
        <v>0.14299999999999999</v>
      </c>
      <c r="I9311" s="412">
        <f>IF(AND(E9311&lt;&gt;"",G9311&lt;&gt;""),IF(D9311="",IF(G9311="OH",VLOOKUP(F9311,UPAH!$B$4:$H$101,7,0),VLOOKUP(F9311,#REF!,4,0)),0),0)</f>
        <v>0</v>
      </c>
      <c r="J9311" s="16">
        <f>H9311*I9311</f>
        <v>0</v>
      </c>
    </row>
    <row r="9312" spans="1:10" ht="13.5" thickBot="1">
      <c r="A9312" s="27"/>
      <c r="B9312" s="110"/>
      <c r="D9312" s="409"/>
      <c r="E9312" s="13" t="s">
        <v>51</v>
      </c>
      <c r="F9312" s="13" t="s">
        <v>1929</v>
      </c>
      <c r="G9312" s="543" t="s">
        <v>48</v>
      </c>
      <c r="H9312" s="548">
        <v>0.18099999999999999</v>
      </c>
      <c r="I9312" s="412">
        <f>IF(AND(E9312&lt;&gt;"",G9312&lt;&gt;""),IF(D9312="",IF(G9312="OH",VLOOKUP(F9312,UPAH!$B$4:$H$101,7,0),VLOOKUP(F9312,#REF!,4,0)),0),0)</f>
        <v>0</v>
      </c>
      <c r="J9312" s="16">
        <f>H9312*I9312</f>
        <v>0</v>
      </c>
    </row>
    <row r="9313" spans="1:10" ht="13.5" thickBot="1">
      <c r="A9313" s="27"/>
      <c r="B9313" s="110"/>
      <c r="D9313" s="417"/>
      <c r="E9313" s="418"/>
      <c r="F9313" s="418"/>
      <c r="G9313" s="419"/>
      <c r="H9313" s="420" t="s">
        <v>52</v>
      </c>
      <c r="I9313" s="421"/>
      <c r="J9313" s="396">
        <f>SUM(J9309:J9312)</f>
        <v>0</v>
      </c>
    </row>
    <row r="9314" spans="1:10" ht="13">
      <c r="A9314" s="27"/>
      <c r="B9314" s="110"/>
      <c r="D9314" s="406" t="s">
        <v>53</v>
      </c>
      <c r="E9314" s="13" t="s">
        <v>54</v>
      </c>
      <c r="F9314" s="14"/>
      <c r="G9314" s="15"/>
      <c r="H9314" s="451"/>
      <c r="I9314" s="412"/>
      <c r="J9314" s="16"/>
    </row>
    <row r="9315" spans="1:10" ht="13.5" thickBot="1">
      <c r="A9315" s="27"/>
      <c r="B9315" s="110"/>
      <c r="D9315" s="409"/>
      <c r="E9315" s="13" t="s">
        <v>338</v>
      </c>
      <c r="F9315" s="14"/>
      <c r="G9315" s="543" t="s">
        <v>113</v>
      </c>
      <c r="H9315" s="548">
        <v>1</v>
      </c>
      <c r="I9315" s="412">
        <f>'BAHAN '!G1017</f>
        <v>0</v>
      </c>
      <c r="J9315" s="16">
        <f>H9315*I9315</f>
        <v>0</v>
      </c>
    </row>
    <row r="9316" spans="1:10" ht="13.5" thickBot="1">
      <c r="A9316" s="27"/>
      <c r="B9316" s="110"/>
      <c r="D9316" s="417"/>
      <c r="E9316" s="418"/>
      <c r="F9316" s="418"/>
      <c r="G9316" s="419"/>
      <c r="H9316" s="420" t="s">
        <v>64</v>
      </c>
      <c r="I9316" s="421"/>
      <c r="J9316" s="396">
        <f>SUM(J9315)</f>
        <v>0</v>
      </c>
    </row>
    <row r="9317" spans="1:10" ht="13">
      <c r="A9317" s="27"/>
      <c r="B9317" s="110"/>
      <c r="D9317" s="406" t="s">
        <v>65</v>
      </c>
      <c r="E9317" s="13" t="s">
        <v>66</v>
      </c>
      <c r="F9317" s="14"/>
      <c r="G9317" s="15"/>
      <c r="H9317" s="451"/>
      <c r="I9317" s="412"/>
      <c r="J9317" s="16"/>
    </row>
    <row r="9318" spans="1:10" ht="13">
      <c r="A9318" s="27"/>
      <c r="B9318" s="110"/>
      <c r="D9318" s="409"/>
      <c r="E9318" s="13" t="s">
        <v>444</v>
      </c>
      <c r="F9318" s="14"/>
      <c r="G9318" s="543" t="s">
        <v>285</v>
      </c>
      <c r="H9318" s="548">
        <v>2.9000000000000001E-2</v>
      </c>
      <c r="I9318" s="412">
        <f>Alat!H40*8</f>
        <v>0</v>
      </c>
      <c r="J9318" s="16">
        <f>H9318*I9318</f>
        <v>0</v>
      </c>
    </row>
    <row r="9319" spans="1:10" ht="13.5" thickBot="1">
      <c r="A9319" s="27"/>
      <c r="B9319" s="110"/>
      <c r="D9319" s="409"/>
      <c r="E9319" s="13" t="s">
        <v>446</v>
      </c>
      <c r="F9319" s="14"/>
      <c r="G9319" s="543" t="s">
        <v>285</v>
      </c>
      <c r="H9319" s="548">
        <v>3.9E-2</v>
      </c>
      <c r="I9319" s="412">
        <f>Alat!H102</f>
        <v>0</v>
      </c>
      <c r="J9319" s="16">
        <f>H9319*I9319</f>
        <v>0</v>
      </c>
    </row>
    <row r="9320" spans="1:10" ht="13.5" thickBot="1">
      <c r="A9320" s="27"/>
      <c r="B9320" s="110"/>
      <c r="D9320" s="417"/>
      <c r="E9320" s="418"/>
      <c r="F9320" s="418"/>
      <c r="G9320" s="419"/>
      <c r="H9320" s="420" t="s">
        <v>67</v>
      </c>
      <c r="I9320" s="421"/>
      <c r="J9320" s="396">
        <f>SUM(J9318:J9319)</f>
        <v>0</v>
      </c>
    </row>
    <row r="9321" spans="1:10" ht="13">
      <c r="A9321" s="27"/>
      <c r="B9321" s="110"/>
      <c r="D9321" s="444" t="s">
        <v>68</v>
      </c>
      <c r="E9321" s="445" t="s">
        <v>69</v>
      </c>
      <c r="F9321" s="446"/>
      <c r="G9321" s="447"/>
      <c r="H9321" s="448"/>
      <c r="I9321" s="449">
        <f>IF(AND(E9321&lt;&gt;"",G9321&lt;&gt;""),IF(D9321="",IF(G9321="OH",VLOOKUP(E9321,UPAH!$C$4:$H$31,7,0),VLOOKUP(E9321,#REF!,4,0)),0),0)</f>
        <v>0</v>
      </c>
      <c r="J9321" s="16">
        <f>SUM(J9310:J9320)/2</f>
        <v>0</v>
      </c>
    </row>
    <row r="9322" spans="1:10" ht="13.5" thickBot="1">
      <c r="A9322" s="27"/>
      <c r="B9322" s="110"/>
      <c r="D9322" s="431" t="s">
        <v>70</v>
      </c>
      <c r="E9322" s="432" t="s">
        <v>477</v>
      </c>
      <c r="F9322" s="433"/>
      <c r="G9322" s="434"/>
      <c r="H9322" s="22">
        <v>0.1</v>
      </c>
      <c r="I9322" s="436"/>
      <c r="J9322" s="430">
        <f>H9322*J9321</f>
        <v>0</v>
      </c>
    </row>
    <row r="9323" spans="1:10" ht="13.5" thickBot="1">
      <c r="A9323" s="27"/>
      <c r="B9323" s="110"/>
      <c r="D9323" s="401" t="s">
        <v>71</v>
      </c>
      <c r="E9323" s="402" t="s">
        <v>72</v>
      </c>
      <c r="F9323" s="418"/>
      <c r="G9323" s="419"/>
      <c r="H9323" s="442"/>
      <c r="I9323" s="421">
        <f>IF(AND(E9323&lt;&gt;"",G9323&lt;&gt;""),IF(D9323="",IF(G9323="OH",VLOOKUP(E9323,UPAH!$C$4:$H$31,7,0),VLOOKUP(E9323,#REF!,4,0)),0),0)</f>
        <v>0</v>
      </c>
      <c r="J9323" s="396">
        <f>ROUNDDOWN(J9321+J9322,0)</f>
        <v>0</v>
      </c>
    </row>
    <row r="9324" spans="1:10" ht="13">
      <c r="A9324" s="27"/>
      <c r="B9324" s="110"/>
      <c r="D9324" s="11"/>
      <c r="E9324" s="11"/>
      <c r="H9324" s="443"/>
      <c r="I9324" s="17"/>
      <c r="J9324" s="18"/>
    </row>
    <row r="9325" spans="1:10" ht="13.5" thickBot="1">
      <c r="A9325" s="27"/>
      <c r="B9325" s="110"/>
      <c r="C9325" s="11" t="s">
        <v>1429</v>
      </c>
      <c r="D9325" s="10" t="s">
        <v>1511</v>
      </c>
      <c r="H9325" s="443"/>
    </row>
    <row r="9326" spans="1:10" ht="13.5" thickBot="1">
      <c r="A9326" s="27"/>
      <c r="B9326" s="110"/>
      <c r="D9326" s="401" t="s">
        <v>40</v>
      </c>
      <c r="E9326" s="402" t="s">
        <v>41</v>
      </c>
      <c r="F9326" s="402" t="s">
        <v>42</v>
      </c>
      <c r="G9326" s="403" t="s">
        <v>43</v>
      </c>
      <c r="H9326" s="404" t="s">
        <v>44</v>
      </c>
      <c r="I9326" s="402" t="s">
        <v>474</v>
      </c>
      <c r="J9326" s="405" t="s">
        <v>475</v>
      </c>
    </row>
    <row r="9327" spans="1:10" ht="13">
      <c r="A9327" s="27"/>
      <c r="B9327" s="110"/>
      <c r="D9327" s="444" t="s">
        <v>45</v>
      </c>
      <c r="E9327" s="445" t="s">
        <v>46</v>
      </c>
      <c r="F9327" s="446"/>
      <c r="G9327" s="447"/>
      <c r="H9327" s="448"/>
      <c r="I9327" s="449"/>
      <c r="J9327" s="450"/>
    </row>
    <row r="9328" spans="1:10" ht="13">
      <c r="A9328" s="27"/>
      <c r="B9328" s="110"/>
      <c r="D9328" s="409"/>
      <c r="E9328" s="13" t="s">
        <v>47</v>
      </c>
      <c r="F9328" s="13" t="s">
        <v>1918</v>
      </c>
      <c r="G9328" s="543" t="s">
        <v>48</v>
      </c>
      <c r="H9328" s="548">
        <v>2.0470000000000002</v>
      </c>
      <c r="I9328" s="412">
        <f>IF(AND(E9328&lt;&gt;"",G9328&lt;&gt;""),IF(D9328="",IF(G9328="OH",VLOOKUP(F9328,UPAH!$B$4:$H$101,7,0),VLOOKUP(F9328,#REF!,4,0)),0),0)</f>
        <v>0</v>
      </c>
      <c r="J9328" s="16">
        <f>H9328*I9328</f>
        <v>0</v>
      </c>
    </row>
    <row r="9329" spans="1:10" ht="13">
      <c r="A9329" s="27"/>
      <c r="B9329" s="110"/>
      <c r="D9329" s="409"/>
      <c r="E9329" s="13" t="s">
        <v>283</v>
      </c>
      <c r="F9329" s="13" t="s">
        <v>1913</v>
      </c>
      <c r="G9329" s="543" t="s">
        <v>48</v>
      </c>
      <c r="H9329" s="548">
        <v>0.40899999999999997</v>
      </c>
      <c r="I9329" s="412">
        <f>IF(AND(E9329&lt;&gt;"",G9329&lt;&gt;""),IF(D9329="",IF(G9329="OH",VLOOKUP(F9329,UPAH!$B$4:$H$101,7,0),VLOOKUP(F9329,#REF!,4,0)),0),0)</f>
        <v>0</v>
      </c>
      <c r="J9329" s="16">
        <f>H9329*I9329</f>
        <v>0</v>
      </c>
    </row>
    <row r="9330" spans="1:10" ht="13">
      <c r="A9330" s="27"/>
      <c r="B9330" s="110"/>
      <c r="D9330" s="409"/>
      <c r="E9330" s="13" t="s">
        <v>336</v>
      </c>
      <c r="F9330" s="13" t="s">
        <v>1930</v>
      </c>
      <c r="G9330" s="543" t="s">
        <v>48</v>
      </c>
      <c r="H9330" s="548">
        <v>0.193</v>
      </c>
      <c r="I9330" s="412">
        <f>IF(AND(E9330&lt;&gt;"",G9330&lt;&gt;""),IF(D9330="",IF(G9330="OH",VLOOKUP(F9330,UPAH!$B$4:$H$101,7,0),VLOOKUP(F9330,#REF!,4,0)),0),0)</f>
        <v>0</v>
      </c>
      <c r="J9330" s="16">
        <f>H9330*I9330</f>
        <v>0</v>
      </c>
    </row>
    <row r="9331" spans="1:10" ht="13.5" thickBot="1">
      <c r="A9331" s="27"/>
      <c r="B9331" s="110"/>
      <c r="D9331" s="409"/>
      <c r="E9331" s="13" t="s">
        <v>51</v>
      </c>
      <c r="F9331" s="13" t="s">
        <v>1929</v>
      </c>
      <c r="G9331" s="543" t="s">
        <v>48</v>
      </c>
      <c r="H9331" s="548">
        <v>0.20499999999999999</v>
      </c>
      <c r="I9331" s="412">
        <f>IF(AND(E9331&lt;&gt;"",G9331&lt;&gt;""),IF(D9331="",IF(G9331="OH",VLOOKUP(F9331,UPAH!$B$4:$H$101,7,0),VLOOKUP(F9331,#REF!,4,0)),0),0)</f>
        <v>0</v>
      </c>
      <c r="J9331" s="16">
        <f>H9331*I9331</f>
        <v>0</v>
      </c>
    </row>
    <row r="9332" spans="1:10" ht="13.5" thickBot="1">
      <c r="A9332" s="27"/>
      <c r="B9332" s="110"/>
      <c r="D9332" s="417"/>
      <c r="E9332" s="418"/>
      <c r="F9332" s="418"/>
      <c r="G9332" s="419"/>
      <c r="H9332" s="420" t="s">
        <v>52</v>
      </c>
      <c r="I9332" s="421"/>
      <c r="J9332" s="396">
        <f>SUM(J9328:J9331)</f>
        <v>0</v>
      </c>
    </row>
    <row r="9333" spans="1:10" ht="13">
      <c r="A9333" s="27"/>
      <c r="B9333" s="110"/>
      <c r="D9333" s="406" t="s">
        <v>53</v>
      </c>
      <c r="E9333" s="13" t="s">
        <v>54</v>
      </c>
      <c r="F9333" s="14"/>
      <c r="G9333" s="15"/>
      <c r="H9333" s="451"/>
      <c r="I9333" s="412"/>
      <c r="J9333" s="16"/>
    </row>
    <row r="9334" spans="1:10" ht="13.5" thickBot="1">
      <c r="A9334" s="27"/>
      <c r="B9334" s="110"/>
      <c r="D9334" s="409"/>
      <c r="E9334" s="13" t="s">
        <v>339</v>
      </c>
      <c r="F9334" s="14"/>
      <c r="G9334" s="543" t="s">
        <v>113</v>
      </c>
      <c r="H9334" s="548">
        <v>1</v>
      </c>
      <c r="I9334" s="412">
        <f>'BAHAN '!G1018</f>
        <v>0</v>
      </c>
      <c r="J9334" s="16">
        <f>H9334*I9334</f>
        <v>0</v>
      </c>
    </row>
    <row r="9335" spans="1:10" ht="13.5" thickBot="1">
      <c r="A9335" s="27"/>
      <c r="B9335" s="110"/>
      <c r="D9335" s="417"/>
      <c r="E9335" s="418"/>
      <c r="F9335" s="418"/>
      <c r="G9335" s="419"/>
      <c r="H9335" s="420" t="s">
        <v>64</v>
      </c>
      <c r="I9335" s="421"/>
      <c r="J9335" s="396">
        <f>SUM(J9334)</f>
        <v>0</v>
      </c>
    </row>
    <row r="9336" spans="1:10" ht="13">
      <c r="A9336" s="27"/>
      <c r="B9336" s="110"/>
      <c r="D9336" s="406" t="s">
        <v>65</v>
      </c>
      <c r="E9336" s="13" t="s">
        <v>66</v>
      </c>
      <c r="F9336" s="14"/>
      <c r="G9336" s="15"/>
      <c r="H9336" s="451"/>
      <c r="I9336" s="412"/>
      <c r="J9336" s="16"/>
    </row>
    <row r="9337" spans="1:10" ht="13">
      <c r="A9337" s="27"/>
      <c r="B9337" s="110"/>
      <c r="D9337" s="409"/>
      <c r="E9337" s="13" t="s">
        <v>444</v>
      </c>
      <c r="F9337" s="14"/>
      <c r="G9337" s="543" t="s">
        <v>285</v>
      </c>
      <c r="H9337" s="548">
        <v>3.4000000000000002E-2</v>
      </c>
      <c r="I9337" s="412">
        <f>Alat!H40*8</f>
        <v>0</v>
      </c>
      <c r="J9337" s="16">
        <f>H9337*I9337</f>
        <v>0</v>
      </c>
    </row>
    <row r="9338" spans="1:10" ht="13.5" thickBot="1">
      <c r="A9338" s="27"/>
      <c r="B9338" s="110"/>
      <c r="D9338" s="409"/>
      <c r="E9338" s="13" t="s">
        <v>446</v>
      </c>
      <c r="F9338" s="14"/>
      <c r="G9338" s="543" t="s">
        <v>285</v>
      </c>
      <c r="H9338" s="548">
        <v>4.4999999999999998E-2</v>
      </c>
      <c r="I9338" s="412">
        <f>Alat!H102</f>
        <v>0</v>
      </c>
      <c r="J9338" s="16">
        <f>H9338*I9338</f>
        <v>0</v>
      </c>
    </row>
    <row r="9339" spans="1:10" ht="13.5" thickBot="1">
      <c r="A9339" s="27"/>
      <c r="B9339" s="110"/>
      <c r="D9339" s="417"/>
      <c r="E9339" s="418"/>
      <c r="F9339" s="418"/>
      <c r="G9339" s="419"/>
      <c r="H9339" s="420" t="s">
        <v>67</v>
      </c>
      <c r="I9339" s="421"/>
      <c r="J9339" s="396">
        <f>SUM(J9337:J9338)</f>
        <v>0</v>
      </c>
    </row>
    <row r="9340" spans="1:10" ht="13">
      <c r="A9340" s="27"/>
      <c r="B9340" s="110"/>
      <c r="D9340" s="444" t="s">
        <v>68</v>
      </c>
      <c r="E9340" s="445" t="s">
        <v>69</v>
      </c>
      <c r="F9340" s="446"/>
      <c r="G9340" s="447"/>
      <c r="H9340" s="448"/>
      <c r="I9340" s="449">
        <f>IF(AND(E9340&lt;&gt;"",G9340&lt;&gt;""),IF(D9340="",IF(G9340="OH",VLOOKUP(E9340,UPAH!$C$4:$H$31,7,0),VLOOKUP(E9340,#REF!,4,0)),0),0)</f>
        <v>0</v>
      </c>
      <c r="J9340" s="16">
        <f>SUM(J9329:J9339)/2</f>
        <v>0</v>
      </c>
    </row>
    <row r="9341" spans="1:10" ht="13.5" thickBot="1">
      <c r="A9341" s="27"/>
      <c r="B9341" s="110"/>
      <c r="D9341" s="431" t="s">
        <v>70</v>
      </c>
      <c r="E9341" s="432" t="s">
        <v>477</v>
      </c>
      <c r="F9341" s="433"/>
      <c r="G9341" s="434"/>
      <c r="H9341" s="22">
        <v>0.1</v>
      </c>
      <c r="I9341" s="436"/>
      <c r="J9341" s="430">
        <f>H9341*J9340</f>
        <v>0</v>
      </c>
    </row>
    <row r="9342" spans="1:10" ht="13.5" thickBot="1">
      <c r="A9342" s="27"/>
      <c r="B9342" s="110"/>
      <c r="D9342" s="401" t="s">
        <v>71</v>
      </c>
      <c r="E9342" s="402" t="s">
        <v>72</v>
      </c>
      <c r="F9342" s="418"/>
      <c r="G9342" s="419"/>
      <c r="H9342" s="442"/>
      <c r="I9342" s="421">
        <f>IF(AND(E9342&lt;&gt;"",G9342&lt;&gt;""),IF(D9342="",IF(G9342="OH",VLOOKUP(E9342,UPAH!$C$4:$H$31,7,0),VLOOKUP(E9342,#REF!,4,0)),0),0)</f>
        <v>0</v>
      </c>
      <c r="J9342" s="396">
        <f>ROUNDDOWN(J9340+J9341,0)</f>
        <v>0</v>
      </c>
    </row>
    <row r="9343" spans="1:10" ht="13">
      <c r="A9343" s="27"/>
      <c r="B9343" s="110"/>
      <c r="D9343" s="11"/>
      <c r="E9343" s="11"/>
      <c r="H9343" s="443"/>
      <c r="I9343" s="17"/>
      <c r="J9343" s="18"/>
    </row>
    <row r="9344" spans="1:10" ht="13.5" thickBot="1">
      <c r="A9344" s="27"/>
      <c r="B9344" s="110"/>
      <c r="C9344" s="11" t="s">
        <v>1428</v>
      </c>
      <c r="D9344" s="10" t="s">
        <v>1512</v>
      </c>
      <c r="H9344" s="443"/>
    </row>
    <row r="9345" spans="1:10" ht="13.5" thickBot="1">
      <c r="A9345" s="27"/>
      <c r="B9345" s="110"/>
      <c r="D9345" s="401" t="s">
        <v>40</v>
      </c>
      <c r="E9345" s="402" t="s">
        <v>41</v>
      </c>
      <c r="F9345" s="402" t="s">
        <v>42</v>
      </c>
      <c r="G9345" s="403" t="s">
        <v>43</v>
      </c>
      <c r="H9345" s="404" t="s">
        <v>44</v>
      </c>
      <c r="I9345" s="402" t="s">
        <v>474</v>
      </c>
      <c r="J9345" s="405" t="s">
        <v>475</v>
      </c>
    </row>
    <row r="9346" spans="1:10" ht="13">
      <c r="A9346" s="27"/>
      <c r="B9346" s="110"/>
      <c r="D9346" s="406" t="s">
        <v>45</v>
      </c>
      <c r="E9346" s="13" t="s">
        <v>46</v>
      </c>
      <c r="F9346" s="14"/>
      <c r="G9346" s="15"/>
      <c r="H9346" s="451"/>
      <c r="I9346" s="412"/>
      <c r="J9346" s="16"/>
    </row>
    <row r="9347" spans="1:10" ht="13">
      <c r="A9347" s="27"/>
      <c r="B9347" s="110"/>
      <c r="D9347" s="409"/>
      <c r="E9347" s="13" t="s">
        <v>47</v>
      </c>
      <c r="F9347" s="13" t="s">
        <v>1918</v>
      </c>
      <c r="G9347" s="543" t="s">
        <v>48</v>
      </c>
      <c r="H9347" s="548">
        <v>2.0110000000000001</v>
      </c>
      <c r="I9347" s="412">
        <f>IF(AND(E9347&lt;&gt;"",G9347&lt;&gt;""),IF(D9347="",IF(G9347="OH",VLOOKUP(F9347,UPAH!$B$4:$H$101,7,0),VLOOKUP(F9347,#REF!,4,0)),0),0)</f>
        <v>0</v>
      </c>
      <c r="J9347" s="16">
        <f>H9347*I9347</f>
        <v>0</v>
      </c>
    </row>
    <row r="9348" spans="1:10" ht="13">
      <c r="A9348" s="27"/>
      <c r="B9348" s="110"/>
      <c r="D9348" s="409"/>
      <c r="E9348" s="13" t="s">
        <v>283</v>
      </c>
      <c r="F9348" s="13" t="s">
        <v>1913</v>
      </c>
      <c r="G9348" s="543" t="s">
        <v>48</v>
      </c>
      <c r="H9348" s="548">
        <v>0.40200000000000002</v>
      </c>
      <c r="I9348" s="412">
        <f>IF(AND(E9348&lt;&gt;"",G9348&lt;&gt;""),IF(D9348="",IF(G9348="OH",VLOOKUP(F9348,UPAH!$B$4:$H$101,7,0),VLOOKUP(F9348,#REF!,4,0)),0),0)</f>
        <v>0</v>
      </c>
      <c r="J9348" s="16">
        <f>H9348*I9348</f>
        <v>0</v>
      </c>
    </row>
    <row r="9349" spans="1:10" ht="13">
      <c r="A9349" s="27"/>
      <c r="B9349" s="110"/>
      <c r="D9349" s="409"/>
      <c r="E9349" s="13" t="s">
        <v>336</v>
      </c>
      <c r="F9349" s="13" t="s">
        <v>1930</v>
      </c>
      <c r="G9349" s="543" t="s">
        <v>48</v>
      </c>
      <c r="H9349" s="548">
        <v>0.29299999999999998</v>
      </c>
      <c r="I9349" s="412">
        <f>IF(AND(E9349&lt;&gt;"",G9349&lt;&gt;""),IF(D9349="",IF(G9349="OH",VLOOKUP(F9349,UPAH!$B$4:$H$101,7,0),VLOOKUP(F9349,#REF!,4,0)),0),0)</f>
        <v>0</v>
      </c>
      <c r="J9349" s="16">
        <f>H9349*I9349</f>
        <v>0</v>
      </c>
    </row>
    <row r="9350" spans="1:10" ht="13.5" thickBot="1">
      <c r="A9350" s="27"/>
      <c r="B9350" s="110"/>
      <c r="D9350" s="409"/>
      <c r="E9350" s="13" t="s">
        <v>51</v>
      </c>
      <c r="F9350" s="13" t="s">
        <v>1929</v>
      </c>
      <c r="G9350" s="543" t="s">
        <v>48</v>
      </c>
      <c r="H9350" s="548">
        <v>0.20100000000000001</v>
      </c>
      <c r="I9350" s="412">
        <f>IF(AND(E9350&lt;&gt;"",G9350&lt;&gt;""),IF(D9350="",IF(G9350="OH",VLOOKUP(F9350,UPAH!$B$4:$H$101,7,0),VLOOKUP(F9350,#REF!,4,0)),0),0)</f>
        <v>0</v>
      </c>
      <c r="J9350" s="16">
        <f>H9350*I9350</f>
        <v>0</v>
      </c>
    </row>
    <row r="9351" spans="1:10" ht="13.5" thickBot="1">
      <c r="A9351" s="27"/>
      <c r="B9351" s="110"/>
      <c r="D9351" s="417"/>
      <c r="E9351" s="418"/>
      <c r="F9351" s="418"/>
      <c r="G9351" s="419"/>
      <c r="H9351" s="420" t="s">
        <v>52</v>
      </c>
      <c r="I9351" s="421"/>
      <c r="J9351" s="396">
        <f>SUM(J9347:J9350)</f>
        <v>0</v>
      </c>
    </row>
    <row r="9352" spans="1:10" ht="13">
      <c r="A9352" s="27"/>
      <c r="B9352" s="110"/>
      <c r="D9352" s="406" t="s">
        <v>53</v>
      </c>
      <c r="E9352" s="13" t="s">
        <v>54</v>
      </c>
      <c r="F9352" s="14"/>
      <c r="G9352" s="15"/>
      <c r="H9352" s="451"/>
      <c r="I9352" s="412"/>
      <c r="J9352" s="16"/>
    </row>
    <row r="9353" spans="1:10" ht="13.5" thickBot="1">
      <c r="A9353" s="27"/>
      <c r="B9353" s="110"/>
      <c r="D9353" s="409"/>
      <c r="E9353" s="13" t="s">
        <v>340</v>
      </c>
      <c r="F9353" s="14"/>
      <c r="G9353" s="543" t="s">
        <v>113</v>
      </c>
      <c r="H9353" s="548">
        <v>1</v>
      </c>
      <c r="I9353" s="412">
        <f>'BAHAN '!G1019</f>
        <v>0</v>
      </c>
      <c r="J9353" s="16">
        <f>H9353*I9353</f>
        <v>0</v>
      </c>
    </row>
    <row r="9354" spans="1:10" ht="13.5" thickBot="1">
      <c r="A9354" s="27"/>
      <c r="B9354" s="110"/>
      <c r="D9354" s="417"/>
      <c r="E9354" s="418"/>
      <c r="F9354" s="418"/>
      <c r="G9354" s="419"/>
      <c r="H9354" s="420" t="s">
        <v>64</v>
      </c>
      <c r="I9354" s="421"/>
      <c r="J9354" s="396">
        <f>SUM(J9353)</f>
        <v>0</v>
      </c>
    </row>
    <row r="9355" spans="1:10" ht="13">
      <c r="A9355" s="27"/>
      <c r="B9355" s="110"/>
      <c r="D9355" s="406" t="s">
        <v>65</v>
      </c>
      <c r="E9355" s="13" t="s">
        <v>66</v>
      </c>
      <c r="F9355" s="14"/>
      <c r="G9355" s="15"/>
      <c r="H9355" s="451"/>
      <c r="I9355" s="412"/>
      <c r="J9355" s="16"/>
    </row>
    <row r="9356" spans="1:10" ht="13">
      <c r="A9356" s="27"/>
      <c r="B9356" s="110"/>
      <c r="D9356" s="409"/>
      <c r="E9356" s="13" t="s">
        <v>444</v>
      </c>
      <c r="F9356" s="14"/>
      <c r="G9356" s="543" t="s">
        <v>285</v>
      </c>
      <c r="H9356" s="548">
        <v>5.8000000000000003E-2</v>
      </c>
      <c r="I9356" s="412">
        <f>Alat!H40*8</f>
        <v>0</v>
      </c>
      <c r="J9356" s="16">
        <f>H9356*I9356</f>
        <v>0</v>
      </c>
    </row>
    <row r="9357" spans="1:10" ht="13.5" thickBot="1">
      <c r="A9357" s="27"/>
      <c r="B9357" s="110"/>
      <c r="D9357" s="409"/>
      <c r="E9357" s="13" t="s">
        <v>446</v>
      </c>
      <c r="F9357" s="14"/>
      <c r="G9357" s="543" t="s">
        <v>285</v>
      </c>
      <c r="H9357" s="548">
        <v>7.6999999999999999E-2</v>
      </c>
      <c r="I9357" s="412">
        <f>Alat!H102</f>
        <v>0</v>
      </c>
      <c r="J9357" s="16">
        <f>H9357*I9357</f>
        <v>0</v>
      </c>
    </row>
    <row r="9358" spans="1:10" ht="13.5" thickBot="1">
      <c r="A9358" s="27"/>
      <c r="B9358" s="110"/>
      <c r="D9358" s="417"/>
      <c r="E9358" s="418"/>
      <c r="F9358" s="418"/>
      <c r="G9358" s="419"/>
      <c r="H9358" s="420" t="s">
        <v>67</v>
      </c>
      <c r="I9358" s="421"/>
      <c r="J9358" s="396">
        <f>SUM(J9356:J9357)</f>
        <v>0</v>
      </c>
    </row>
    <row r="9359" spans="1:10" ht="13">
      <c r="A9359" s="27"/>
      <c r="B9359" s="110"/>
      <c r="D9359" s="444" t="s">
        <v>68</v>
      </c>
      <c r="E9359" s="445" t="s">
        <v>69</v>
      </c>
      <c r="F9359" s="446"/>
      <c r="G9359" s="447"/>
      <c r="H9359" s="448"/>
      <c r="I9359" s="449">
        <f>IF(AND(E9359&lt;&gt;"",G9359&lt;&gt;""),IF(D9359="",IF(G9359="OH",VLOOKUP(E9359,UPAH!$C$4:$H$31,7,0),VLOOKUP(E9359,#REF!,4,0)),0),0)</f>
        <v>0</v>
      </c>
      <c r="J9359" s="16">
        <f>SUM(J9348:J9358)/2</f>
        <v>0</v>
      </c>
    </row>
    <row r="9360" spans="1:10" ht="13.5" thickBot="1">
      <c r="A9360" s="27"/>
      <c r="B9360" s="110"/>
      <c r="D9360" s="431" t="s">
        <v>70</v>
      </c>
      <c r="E9360" s="432" t="s">
        <v>477</v>
      </c>
      <c r="F9360" s="433"/>
      <c r="G9360" s="434"/>
      <c r="H9360" s="22">
        <v>0.1</v>
      </c>
      <c r="I9360" s="436"/>
      <c r="J9360" s="430">
        <f>H9360*J9359</f>
        <v>0</v>
      </c>
    </row>
    <row r="9361" spans="1:10" ht="13.5" thickBot="1">
      <c r="A9361" s="27"/>
      <c r="B9361" s="110"/>
      <c r="D9361" s="401" t="s">
        <v>71</v>
      </c>
      <c r="E9361" s="402" t="s">
        <v>72</v>
      </c>
      <c r="F9361" s="418"/>
      <c r="G9361" s="419"/>
      <c r="H9361" s="442"/>
      <c r="I9361" s="421">
        <f>IF(AND(E9361&lt;&gt;"",G9361&lt;&gt;""),IF(D9361="",IF(G9361="OH",VLOOKUP(E9361,UPAH!$C$4:$H$31,7,0),VLOOKUP(E9361,#REF!,4,0)),0),0)</f>
        <v>0</v>
      </c>
      <c r="J9361" s="396">
        <f>ROUNDDOWN(J9359+J9360,0)</f>
        <v>0</v>
      </c>
    </row>
    <row r="9362" spans="1:10" ht="13">
      <c r="A9362" s="27"/>
      <c r="B9362" s="110"/>
      <c r="D9362" s="11"/>
      <c r="E9362" s="11"/>
      <c r="H9362" s="443"/>
      <c r="I9362" s="17"/>
      <c r="J9362" s="18"/>
    </row>
    <row r="9363" spans="1:10" ht="13.5" thickBot="1">
      <c r="A9363" s="27"/>
      <c r="B9363" s="110"/>
      <c r="C9363" s="11" t="s">
        <v>1427</v>
      </c>
      <c r="D9363" s="10" t="s">
        <v>1513</v>
      </c>
      <c r="H9363" s="443"/>
    </row>
    <row r="9364" spans="1:10" ht="13.5" thickBot="1">
      <c r="A9364" s="27"/>
      <c r="B9364" s="110"/>
      <c r="D9364" s="401" t="s">
        <v>40</v>
      </c>
      <c r="E9364" s="402" t="s">
        <v>41</v>
      </c>
      <c r="F9364" s="402" t="s">
        <v>42</v>
      </c>
      <c r="G9364" s="403" t="s">
        <v>43</v>
      </c>
      <c r="H9364" s="404" t="s">
        <v>44</v>
      </c>
      <c r="I9364" s="402" t="s">
        <v>474</v>
      </c>
      <c r="J9364" s="405" t="s">
        <v>475</v>
      </c>
    </row>
    <row r="9365" spans="1:10" ht="13">
      <c r="A9365" s="27"/>
      <c r="B9365" s="110"/>
      <c r="D9365" s="406" t="s">
        <v>45</v>
      </c>
      <c r="E9365" s="13" t="s">
        <v>46</v>
      </c>
      <c r="F9365" s="14"/>
      <c r="G9365" s="15"/>
      <c r="H9365" s="451"/>
      <c r="I9365" s="412"/>
      <c r="J9365" s="16"/>
    </row>
    <row r="9366" spans="1:10" ht="13">
      <c r="A9366" s="27"/>
      <c r="B9366" s="110"/>
      <c r="D9366" s="409"/>
      <c r="E9366" s="13" t="s">
        <v>47</v>
      </c>
      <c r="F9366" s="13" t="s">
        <v>1918</v>
      </c>
      <c r="G9366" s="543" t="s">
        <v>48</v>
      </c>
      <c r="H9366" s="548">
        <v>3.859</v>
      </c>
      <c r="I9366" s="412">
        <f>IF(AND(E9366&lt;&gt;"",G9366&lt;&gt;""),IF(D9366="",IF(G9366="OH",VLOOKUP(F9366,UPAH!$B$4:$H$101,7,0),VLOOKUP(F9366,#REF!,4,0)),0),0)</f>
        <v>0</v>
      </c>
      <c r="J9366" s="16">
        <f>H9366*I9366</f>
        <v>0</v>
      </c>
    </row>
    <row r="9367" spans="1:10" ht="13">
      <c r="A9367" s="27"/>
      <c r="B9367" s="110"/>
      <c r="D9367" s="409"/>
      <c r="E9367" s="13" t="s">
        <v>283</v>
      </c>
      <c r="F9367" s="13" t="s">
        <v>1913</v>
      </c>
      <c r="G9367" s="543" t="s">
        <v>48</v>
      </c>
      <c r="H9367" s="548">
        <v>0.77200000000000002</v>
      </c>
      <c r="I9367" s="412">
        <f>IF(AND(E9367&lt;&gt;"",G9367&lt;&gt;""),IF(D9367="",IF(G9367="OH",VLOOKUP(F9367,UPAH!$B$4:$H$101,7,0),VLOOKUP(F9367,#REF!,4,0)),0),0)</f>
        <v>0</v>
      </c>
      <c r="J9367" s="16">
        <f>H9367*I9367</f>
        <v>0</v>
      </c>
    </row>
    <row r="9368" spans="1:10" ht="13">
      <c r="A9368" s="27"/>
      <c r="B9368" s="110"/>
      <c r="D9368" s="409"/>
      <c r="E9368" s="13" t="s">
        <v>336</v>
      </c>
      <c r="F9368" s="13" t="s">
        <v>1930</v>
      </c>
      <c r="G9368" s="543" t="s">
        <v>48</v>
      </c>
      <c r="H9368" s="548">
        <v>0.49299999999999999</v>
      </c>
      <c r="I9368" s="412">
        <f>IF(AND(E9368&lt;&gt;"",G9368&lt;&gt;""),IF(D9368="",IF(G9368="OH",VLOOKUP(F9368,UPAH!$B$4:$H$101,7,0),VLOOKUP(F9368,#REF!,4,0)),0),0)</f>
        <v>0</v>
      </c>
      <c r="J9368" s="16">
        <f>H9368*I9368</f>
        <v>0</v>
      </c>
    </row>
    <row r="9369" spans="1:10" ht="13.5" thickBot="1">
      <c r="A9369" s="27"/>
      <c r="B9369" s="110"/>
      <c r="D9369" s="409"/>
      <c r="E9369" s="13" t="s">
        <v>51</v>
      </c>
      <c r="F9369" s="13" t="s">
        <v>1929</v>
      </c>
      <c r="G9369" s="543" t="s">
        <v>48</v>
      </c>
      <c r="H9369" s="548">
        <v>0.38600000000000001</v>
      </c>
      <c r="I9369" s="412">
        <f>IF(AND(E9369&lt;&gt;"",G9369&lt;&gt;""),IF(D9369="",IF(G9369="OH",VLOOKUP(F9369,UPAH!$B$4:$H$101,7,0),VLOOKUP(F9369,#REF!,4,0)),0),0)</f>
        <v>0</v>
      </c>
      <c r="J9369" s="16">
        <f>H9369*I9369</f>
        <v>0</v>
      </c>
    </row>
    <row r="9370" spans="1:10" ht="13.5" thickBot="1">
      <c r="A9370" s="27"/>
      <c r="B9370" s="110"/>
      <c r="D9370" s="417"/>
      <c r="E9370" s="418"/>
      <c r="F9370" s="418"/>
      <c r="G9370" s="419"/>
      <c r="H9370" s="420" t="s">
        <v>52</v>
      </c>
      <c r="I9370" s="421"/>
      <c r="J9370" s="396">
        <f>SUM(J9366:J9369)</f>
        <v>0</v>
      </c>
    </row>
    <row r="9371" spans="1:10" ht="13">
      <c r="A9371" s="27"/>
      <c r="B9371" s="110"/>
      <c r="D9371" s="406" t="s">
        <v>53</v>
      </c>
      <c r="E9371" s="13" t="s">
        <v>54</v>
      </c>
      <c r="F9371" s="14"/>
      <c r="G9371" s="15"/>
      <c r="H9371" s="451"/>
      <c r="I9371" s="412"/>
      <c r="J9371" s="16"/>
    </row>
    <row r="9372" spans="1:10" ht="13.5" thickBot="1">
      <c r="A9372" s="27"/>
      <c r="B9372" s="110"/>
      <c r="D9372" s="409"/>
      <c r="E9372" s="13" t="s">
        <v>341</v>
      </c>
      <c r="F9372" s="14"/>
      <c r="G9372" s="543" t="s">
        <v>113</v>
      </c>
      <c r="H9372" s="548">
        <v>1</v>
      </c>
      <c r="I9372" s="412">
        <f>'BAHAN '!G1020</f>
        <v>0</v>
      </c>
      <c r="J9372" s="16">
        <f>H9372*I9372</f>
        <v>0</v>
      </c>
    </row>
    <row r="9373" spans="1:10" ht="13.5" thickBot="1">
      <c r="A9373" s="27"/>
      <c r="B9373" s="110"/>
      <c r="D9373" s="417"/>
      <c r="E9373" s="418"/>
      <c r="F9373" s="418"/>
      <c r="G9373" s="419"/>
      <c r="H9373" s="420" t="s">
        <v>64</v>
      </c>
      <c r="I9373" s="421"/>
      <c r="J9373" s="396">
        <f>SUM(J9372)</f>
        <v>0</v>
      </c>
    </row>
    <row r="9374" spans="1:10" ht="13">
      <c r="A9374" s="27"/>
      <c r="B9374" s="110"/>
      <c r="D9374" s="406" t="s">
        <v>65</v>
      </c>
      <c r="E9374" s="13" t="s">
        <v>66</v>
      </c>
      <c r="F9374" s="14"/>
      <c r="G9374" s="15"/>
      <c r="H9374" s="451"/>
      <c r="I9374" s="412"/>
      <c r="J9374" s="16"/>
    </row>
    <row r="9375" spans="1:10" ht="13">
      <c r="A9375" s="27"/>
      <c r="B9375" s="110"/>
      <c r="D9375" s="409"/>
      <c r="E9375" s="13" t="s">
        <v>444</v>
      </c>
      <c r="F9375" s="14"/>
      <c r="G9375" s="543" t="s">
        <v>285</v>
      </c>
      <c r="H9375" s="548">
        <v>8.4000000000000005E-2</v>
      </c>
      <c r="I9375" s="412">
        <f>Alat!H40*8</f>
        <v>0</v>
      </c>
      <c r="J9375" s="16">
        <f>H9375*I9375</f>
        <v>0</v>
      </c>
    </row>
    <row r="9376" spans="1:10" ht="13.5" thickBot="1">
      <c r="A9376" s="27"/>
      <c r="B9376" s="110"/>
      <c r="D9376" s="409"/>
      <c r="E9376" s="13" t="s">
        <v>446</v>
      </c>
      <c r="F9376" s="14"/>
      <c r="G9376" s="543" t="s">
        <v>285</v>
      </c>
      <c r="H9376" s="548">
        <v>0.22500000000000001</v>
      </c>
      <c r="I9376" s="412">
        <f>Alat!H102</f>
        <v>0</v>
      </c>
      <c r="J9376" s="16">
        <f>H9376*I9376</f>
        <v>0</v>
      </c>
    </row>
    <row r="9377" spans="1:10" ht="13.5" thickBot="1">
      <c r="A9377" s="27"/>
      <c r="B9377" s="110"/>
      <c r="D9377" s="417"/>
      <c r="E9377" s="418"/>
      <c r="F9377" s="418"/>
      <c r="G9377" s="419"/>
      <c r="H9377" s="420" t="s">
        <v>67</v>
      </c>
      <c r="I9377" s="421"/>
      <c r="J9377" s="396">
        <f>SUM(J9375:J9376)</f>
        <v>0</v>
      </c>
    </row>
    <row r="9378" spans="1:10" ht="13">
      <c r="A9378" s="27"/>
      <c r="B9378" s="110"/>
      <c r="D9378" s="444" t="s">
        <v>68</v>
      </c>
      <c r="E9378" s="445" t="s">
        <v>69</v>
      </c>
      <c r="F9378" s="446"/>
      <c r="G9378" s="447"/>
      <c r="H9378" s="448"/>
      <c r="I9378" s="449">
        <f>IF(AND(E9378&lt;&gt;"",G9378&lt;&gt;""),IF(D9378="",IF(G9378="OH",VLOOKUP(E9378,UPAH!$C$4:$H$31,7,0),VLOOKUP(E9378,#REF!,4,0)),0),0)</f>
        <v>0</v>
      </c>
      <c r="J9378" s="16">
        <f>SUM(J9367:J9377)/2</f>
        <v>0</v>
      </c>
    </row>
    <row r="9379" spans="1:10" ht="13.5" thickBot="1">
      <c r="A9379" s="27"/>
      <c r="B9379" s="110"/>
      <c r="D9379" s="431" t="s">
        <v>70</v>
      </c>
      <c r="E9379" s="432" t="s">
        <v>477</v>
      </c>
      <c r="F9379" s="433"/>
      <c r="G9379" s="434"/>
      <c r="H9379" s="22">
        <v>0.1</v>
      </c>
      <c r="I9379" s="436"/>
      <c r="J9379" s="430">
        <f>H9379*J9378</f>
        <v>0</v>
      </c>
    </row>
    <row r="9380" spans="1:10" ht="13.5" thickBot="1">
      <c r="A9380" s="27"/>
      <c r="B9380" s="110"/>
      <c r="D9380" s="401" t="s">
        <v>71</v>
      </c>
      <c r="E9380" s="402" t="s">
        <v>72</v>
      </c>
      <c r="F9380" s="418"/>
      <c r="G9380" s="419"/>
      <c r="H9380" s="442"/>
      <c r="I9380" s="421">
        <f>IF(AND(E9380&lt;&gt;"",G9380&lt;&gt;""),IF(D9380="",IF(G9380="OH",VLOOKUP(E9380,UPAH!$C$4:$H$31,7,0),VLOOKUP(E9380,#REF!,4,0)),0),0)</f>
        <v>0</v>
      </c>
      <c r="J9380" s="396">
        <f>ROUNDDOWN(J9378+J9379,0)</f>
        <v>0</v>
      </c>
    </row>
    <row r="9381" spans="1:10" ht="13">
      <c r="A9381" s="27"/>
      <c r="B9381" s="110"/>
      <c r="D9381" s="11"/>
      <c r="E9381" s="11"/>
      <c r="H9381" s="443"/>
      <c r="I9381" s="17"/>
      <c r="J9381" s="18"/>
    </row>
    <row r="9382" spans="1:10" ht="13.5" thickBot="1">
      <c r="A9382" s="27"/>
      <c r="B9382" s="110"/>
      <c r="C9382" s="11" t="s">
        <v>1426</v>
      </c>
      <c r="D9382" s="10" t="s">
        <v>1514</v>
      </c>
      <c r="H9382" s="443"/>
    </row>
    <row r="9383" spans="1:10" ht="13.5" thickBot="1">
      <c r="A9383" s="27"/>
      <c r="B9383" s="110"/>
      <c r="D9383" s="401" t="s">
        <v>40</v>
      </c>
      <c r="E9383" s="402" t="s">
        <v>41</v>
      </c>
      <c r="F9383" s="402" t="s">
        <v>42</v>
      </c>
      <c r="G9383" s="403" t="s">
        <v>43</v>
      </c>
      <c r="H9383" s="404" t="s">
        <v>44</v>
      </c>
      <c r="I9383" s="402" t="s">
        <v>474</v>
      </c>
      <c r="J9383" s="405" t="s">
        <v>475</v>
      </c>
    </row>
    <row r="9384" spans="1:10" ht="13">
      <c r="A9384" s="27"/>
      <c r="B9384" s="110"/>
      <c r="D9384" s="406" t="s">
        <v>45</v>
      </c>
      <c r="E9384" s="13" t="s">
        <v>46</v>
      </c>
      <c r="F9384" s="14"/>
      <c r="G9384" s="15"/>
      <c r="H9384" s="451"/>
      <c r="I9384" s="412"/>
      <c r="J9384" s="16"/>
    </row>
    <row r="9385" spans="1:10" ht="13">
      <c r="A9385" s="27"/>
      <c r="B9385" s="110"/>
      <c r="D9385" s="409"/>
      <c r="E9385" s="13" t="s">
        <v>47</v>
      </c>
      <c r="F9385" s="13" t="s">
        <v>1918</v>
      </c>
      <c r="G9385" s="543" t="s">
        <v>48</v>
      </c>
      <c r="H9385" s="548">
        <v>4.9950000000000001</v>
      </c>
      <c r="I9385" s="412">
        <f>IF(AND(E9385&lt;&gt;"",G9385&lt;&gt;""),IF(D9385="",IF(G9385="OH",VLOOKUP(F9385,UPAH!$B$4:$H$101,7,0),VLOOKUP(F9385,#REF!,4,0)),0),0)</f>
        <v>0</v>
      </c>
      <c r="J9385" s="16">
        <f>H9385*I9385</f>
        <v>0</v>
      </c>
    </row>
    <row r="9386" spans="1:10" ht="13">
      <c r="A9386" s="27"/>
      <c r="B9386" s="110"/>
      <c r="D9386" s="409"/>
      <c r="E9386" s="13" t="s">
        <v>283</v>
      </c>
      <c r="F9386" s="13" t="s">
        <v>1913</v>
      </c>
      <c r="G9386" s="543" t="s">
        <v>48</v>
      </c>
      <c r="H9386" s="548">
        <v>0.999</v>
      </c>
      <c r="I9386" s="412">
        <f>IF(AND(E9386&lt;&gt;"",G9386&lt;&gt;""),IF(D9386="",IF(G9386="OH",VLOOKUP(F9386,UPAH!$B$4:$H$101,7,0),VLOOKUP(F9386,#REF!,4,0)),0),0)</f>
        <v>0</v>
      </c>
      <c r="J9386" s="16">
        <f>H9386*I9386</f>
        <v>0</v>
      </c>
    </row>
    <row r="9387" spans="1:10" ht="13">
      <c r="A9387" s="27"/>
      <c r="B9387" s="110"/>
      <c r="D9387" s="409"/>
      <c r="E9387" s="13" t="s">
        <v>336</v>
      </c>
      <c r="F9387" s="13" t="s">
        <v>1930</v>
      </c>
      <c r="G9387" s="543" t="s">
        <v>48</v>
      </c>
      <c r="H9387" s="548">
        <v>0.59299999999999997</v>
      </c>
      <c r="I9387" s="412">
        <f>IF(AND(E9387&lt;&gt;"",G9387&lt;&gt;""),IF(D9387="",IF(G9387="OH",VLOOKUP(F9387,UPAH!$B$4:$H$101,7,0),VLOOKUP(F9387,#REF!,4,0)),0),0)</f>
        <v>0</v>
      </c>
      <c r="J9387" s="16">
        <f>H9387*I9387</f>
        <v>0</v>
      </c>
    </row>
    <row r="9388" spans="1:10" ht="13.5" thickBot="1">
      <c r="A9388" s="27"/>
      <c r="B9388" s="110"/>
      <c r="D9388" s="409"/>
      <c r="E9388" s="13" t="s">
        <v>51</v>
      </c>
      <c r="F9388" s="13" t="s">
        <v>1929</v>
      </c>
      <c r="G9388" s="543" t="s">
        <v>48</v>
      </c>
      <c r="H9388" s="548">
        <v>0.499</v>
      </c>
      <c r="I9388" s="412">
        <f>IF(AND(E9388&lt;&gt;"",G9388&lt;&gt;""),IF(D9388="",IF(G9388="OH",VLOOKUP(F9388,UPAH!$B$4:$H$101,7,0),VLOOKUP(F9388,#REF!,4,0)),0),0)</f>
        <v>0</v>
      </c>
      <c r="J9388" s="16">
        <f>H9388*I9388</f>
        <v>0</v>
      </c>
    </row>
    <row r="9389" spans="1:10" ht="13.5" thickBot="1">
      <c r="A9389" s="27"/>
      <c r="B9389" s="110"/>
      <c r="D9389" s="417"/>
      <c r="E9389" s="418"/>
      <c r="F9389" s="418"/>
      <c r="G9389" s="419"/>
      <c r="H9389" s="420" t="s">
        <v>52</v>
      </c>
      <c r="I9389" s="421"/>
      <c r="J9389" s="396">
        <f>SUM(J9385:J9388)</f>
        <v>0</v>
      </c>
    </row>
    <row r="9390" spans="1:10" ht="13">
      <c r="A9390" s="27"/>
      <c r="B9390" s="110"/>
      <c r="D9390" s="406" t="s">
        <v>53</v>
      </c>
      <c r="E9390" s="13" t="s">
        <v>54</v>
      </c>
      <c r="F9390" s="14"/>
      <c r="G9390" s="15"/>
      <c r="H9390" s="451"/>
      <c r="I9390" s="412"/>
      <c r="J9390" s="16"/>
    </row>
    <row r="9391" spans="1:10" ht="13.5" thickBot="1">
      <c r="A9391" s="27"/>
      <c r="B9391" s="110"/>
      <c r="D9391" s="409"/>
      <c r="E9391" s="13" t="s">
        <v>342</v>
      </c>
      <c r="F9391" s="14"/>
      <c r="G9391" s="543" t="s">
        <v>113</v>
      </c>
      <c r="H9391" s="548">
        <v>1</v>
      </c>
      <c r="I9391" s="412">
        <f>'BAHAN '!G1021</f>
        <v>0</v>
      </c>
      <c r="J9391" s="16">
        <f>H9391*I9391</f>
        <v>0</v>
      </c>
    </row>
    <row r="9392" spans="1:10" ht="13.5" thickBot="1">
      <c r="A9392" s="27"/>
      <c r="B9392" s="110"/>
      <c r="D9392" s="417"/>
      <c r="E9392" s="418"/>
      <c r="F9392" s="418"/>
      <c r="G9392" s="419"/>
      <c r="H9392" s="420" t="s">
        <v>64</v>
      </c>
      <c r="I9392" s="421"/>
      <c r="J9392" s="396">
        <f>SUM(J9391)</f>
        <v>0</v>
      </c>
    </row>
    <row r="9393" spans="1:10" ht="13">
      <c r="A9393" s="27"/>
      <c r="B9393" s="110"/>
      <c r="D9393" s="406" t="s">
        <v>65</v>
      </c>
      <c r="E9393" s="13" t="s">
        <v>66</v>
      </c>
      <c r="F9393" s="14"/>
      <c r="G9393" s="15"/>
      <c r="H9393" s="451"/>
      <c r="I9393" s="412"/>
      <c r="J9393" s="16"/>
    </row>
    <row r="9394" spans="1:10" ht="13">
      <c r="A9394" s="27"/>
      <c r="B9394" s="110"/>
      <c r="D9394" s="409"/>
      <c r="E9394" s="13" t="s">
        <v>444</v>
      </c>
      <c r="F9394" s="14"/>
      <c r="G9394" s="543" t="s">
        <v>285</v>
      </c>
      <c r="H9394" s="548">
        <v>9.2999999999999999E-2</v>
      </c>
      <c r="I9394" s="412">
        <f>Alat!H40*8</f>
        <v>0</v>
      </c>
      <c r="J9394" s="16">
        <f>H9394*I9394</f>
        <v>0</v>
      </c>
    </row>
    <row r="9395" spans="1:10" ht="13.5" thickBot="1">
      <c r="A9395" s="27"/>
      <c r="B9395" s="110"/>
      <c r="D9395" s="409"/>
      <c r="E9395" s="13" t="s">
        <v>446</v>
      </c>
      <c r="F9395" s="14"/>
      <c r="G9395" s="543" t="s">
        <v>285</v>
      </c>
      <c r="H9395" s="548">
        <v>0.248</v>
      </c>
      <c r="I9395" s="412">
        <f>Alat!H102</f>
        <v>0</v>
      </c>
      <c r="J9395" s="16">
        <f>H9395*I9395</f>
        <v>0</v>
      </c>
    </row>
    <row r="9396" spans="1:10" ht="13.5" thickBot="1">
      <c r="A9396" s="27"/>
      <c r="B9396" s="110"/>
      <c r="D9396" s="417"/>
      <c r="E9396" s="418"/>
      <c r="F9396" s="418"/>
      <c r="G9396" s="419"/>
      <c r="H9396" s="420" t="s">
        <v>67</v>
      </c>
      <c r="I9396" s="421"/>
      <c r="J9396" s="396">
        <f>SUM(J9394:J9395)</f>
        <v>0</v>
      </c>
    </row>
    <row r="9397" spans="1:10" ht="13">
      <c r="A9397" s="27"/>
      <c r="B9397" s="110"/>
      <c r="D9397" s="444" t="s">
        <v>68</v>
      </c>
      <c r="E9397" s="445" t="s">
        <v>69</v>
      </c>
      <c r="F9397" s="446"/>
      <c r="G9397" s="447"/>
      <c r="H9397" s="448"/>
      <c r="I9397" s="449">
        <f>IF(AND(E9397&lt;&gt;"",G9397&lt;&gt;""),IF(D9397="",IF(G9397="OH",VLOOKUP(E9397,UPAH!$C$4:$H$31,7,0),VLOOKUP(E9397,#REF!,4,0)),0),0)</f>
        <v>0</v>
      </c>
      <c r="J9397" s="16">
        <f>SUM(J9386:J9396)/2</f>
        <v>0</v>
      </c>
    </row>
    <row r="9398" spans="1:10" ht="13.5" thickBot="1">
      <c r="A9398" s="27"/>
      <c r="B9398" s="110"/>
      <c r="D9398" s="431" t="s">
        <v>70</v>
      </c>
      <c r="E9398" s="432" t="s">
        <v>477</v>
      </c>
      <c r="F9398" s="433"/>
      <c r="G9398" s="434"/>
      <c r="H9398" s="22">
        <v>0.1</v>
      </c>
      <c r="I9398" s="436"/>
      <c r="J9398" s="430">
        <f>H9398*J9397</f>
        <v>0</v>
      </c>
    </row>
    <row r="9399" spans="1:10" ht="13.5" thickBot="1">
      <c r="A9399" s="27"/>
      <c r="B9399" s="110"/>
      <c r="D9399" s="401" t="s">
        <v>71</v>
      </c>
      <c r="E9399" s="402" t="s">
        <v>72</v>
      </c>
      <c r="F9399" s="418"/>
      <c r="G9399" s="419"/>
      <c r="H9399" s="442"/>
      <c r="I9399" s="421">
        <f>IF(AND(E9399&lt;&gt;"",G9399&lt;&gt;""),IF(D9399="",IF(G9399="OH",VLOOKUP(E9399,UPAH!$C$4:$H$31,7,0),VLOOKUP(E9399,#REF!,4,0)),0),0)</f>
        <v>0</v>
      </c>
      <c r="J9399" s="396">
        <f>ROUNDDOWN(J9397+J9398,0)</f>
        <v>0</v>
      </c>
    </row>
    <row r="9400" spans="1:10" ht="13">
      <c r="A9400" s="27"/>
      <c r="B9400" s="110"/>
      <c r="D9400" s="11"/>
      <c r="E9400" s="11"/>
      <c r="H9400" s="443"/>
      <c r="I9400" s="17"/>
      <c r="J9400" s="18"/>
    </row>
    <row r="9401" spans="1:10" ht="13.5" thickBot="1">
      <c r="A9401" s="27"/>
      <c r="B9401" s="110"/>
      <c r="C9401" s="11" t="s">
        <v>1425</v>
      </c>
      <c r="D9401" s="10" t="s">
        <v>1515</v>
      </c>
      <c r="H9401" s="443"/>
    </row>
    <row r="9402" spans="1:10" ht="13.5" thickBot="1">
      <c r="A9402" s="27"/>
      <c r="B9402" s="110"/>
      <c r="D9402" s="401" t="s">
        <v>40</v>
      </c>
      <c r="E9402" s="402" t="s">
        <v>41</v>
      </c>
      <c r="F9402" s="402" t="s">
        <v>42</v>
      </c>
      <c r="G9402" s="403" t="s">
        <v>43</v>
      </c>
      <c r="H9402" s="404" t="s">
        <v>44</v>
      </c>
      <c r="I9402" s="402" t="s">
        <v>474</v>
      </c>
      <c r="J9402" s="405" t="s">
        <v>475</v>
      </c>
    </row>
    <row r="9403" spans="1:10" ht="13">
      <c r="A9403" s="27"/>
      <c r="B9403" s="110"/>
      <c r="D9403" s="406" t="s">
        <v>45</v>
      </c>
      <c r="E9403" s="13" t="s">
        <v>46</v>
      </c>
      <c r="F9403" s="14"/>
      <c r="G9403" s="15"/>
      <c r="H9403" s="451"/>
      <c r="I9403" s="412"/>
      <c r="J9403" s="16"/>
    </row>
    <row r="9404" spans="1:10" ht="13">
      <c r="A9404" s="27"/>
      <c r="B9404" s="110"/>
      <c r="D9404" s="409"/>
      <c r="E9404" s="13" t="s">
        <v>47</v>
      </c>
      <c r="F9404" s="13" t="s">
        <v>1918</v>
      </c>
      <c r="G9404" s="543" t="s">
        <v>48</v>
      </c>
      <c r="H9404" s="548">
        <v>5.931</v>
      </c>
      <c r="I9404" s="412">
        <f>IF(AND(E9404&lt;&gt;"",G9404&lt;&gt;""),IF(D9404="",IF(G9404="OH",VLOOKUP(F9404,UPAH!$B$4:$H$101,7,0),VLOOKUP(F9404,#REF!,4,0)),0),0)</f>
        <v>0</v>
      </c>
      <c r="J9404" s="16">
        <f>H9404*I9404</f>
        <v>0</v>
      </c>
    </row>
    <row r="9405" spans="1:10" ht="13">
      <c r="A9405" s="27"/>
      <c r="B9405" s="110"/>
      <c r="D9405" s="409"/>
      <c r="E9405" s="13" t="s">
        <v>283</v>
      </c>
      <c r="F9405" s="13" t="s">
        <v>1913</v>
      </c>
      <c r="G9405" s="543" t="s">
        <v>48</v>
      </c>
      <c r="H9405" s="548">
        <v>1.1859999999999999</v>
      </c>
      <c r="I9405" s="412">
        <f>IF(AND(E9405&lt;&gt;"",G9405&lt;&gt;""),IF(D9405="",IF(G9405="OH",VLOOKUP(F9405,UPAH!$B$4:$H$101,7,0),VLOOKUP(F9405,#REF!,4,0)),0),0)</f>
        <v>0</v>
      </c>
      <c r="J9405" s="16">
        <f>H9405*I9405</f>
        <v>0</v>
      </c>
    </row>
    <row r="9406" spans="1:10" ht="13">
      <c r="A9406" s="27"/>
      <c r="B9406" s="110"/>
      <c r="D9406" s="409"/>
      <c r="E9406" s="13" t="s">
        <v>336</v>
      </c>
      <c r="F9406" s="13" t="s">
        <v>1930</v>
      </c>
      <c r="G9406" s="543" t="s">
        <v>48</v>
      </c>
      <c r="H9406" s="548">
        <v>0.79300000000000004</v>
      </c>
      <c r="I9406" s="412">
        <f>IF(AND(E9406&lt;&gt;"",G9406&lt;&gt;""),IF(D9406="",IF(G9406="OH",VLOOKUP(F9406,UPAH!$B$4:$H$101,7,0),VLOOKUP(F9406,#REF!,4,0)),0),0)</f>
        <v>0</v>
      </c>
      <c r="J9406" s="16">
        <f>H9406*I9406</f>
        <v>0</v>
      </c>
    </row>
    <row r="9407" spans="1:10" ht="13.5" thickBot="1">
      <c r="A9407" s="27"/>
      <c r="B9407" s="110"/>
      <c r="D9407" s="409"/>
      <c r="E9407" s="13" t="s">
        <v>51</v>
      </c>
      <c r="F9407" s="13" t="s">
        <v>1929</v>
      </c>
      <c r="G9407" s="543" t="s">
        <v>48</v>
      </c>
      <c r="H9407" s="548">
        <v>0.69299999999999995</v>
      </c>
      <c r="I9407" s="412">
        <f>IF(AND(E9407&lt;&gt;"",G9407&lt;&gt;""),IF(D9407="",IF(G9407="OH",VLOOKUP(F9407,UPAH!$B$4:$H$101,7,0),VLOOKUP(F9407,#REF!,4,0)),0),0)</f>
        <v>0</v>
      </c>
      <c r="J9407" s="16">
        <f>H9407*I9407</f>
        <v>0</v>
      </c>
    </row>
    <row r="9408" spans="1:10" ht="13.5" thickBot="1">
      <c r="A9408" s="27"/>
      <c r="B9408" s="110"/>
      <c r="D9408" s="417"/>
      <c r="E9408" s="418"/>
      <c r="F9408" s="418"/>
      <c r="G9408" s="419"/>
      <c r="H9408" s="420" t="s">
        <v>52</v>
      </c>
      <c r="I9408" s="421"/>
      <c r="J9408" s="396">
        <f>SUM(J9404:J9407)</f>
        <v>0</v>
      </c>
    </row>
    <row r="9409" spans="1:10" ht="13">
      <c r="A9409" s="27"/>
      <c r="B9409" s="110"/>
      <c r="D9409" s="406" t="s">
        <v>53</v>
      </c>
      <c r="E9409" s="13" t="s">
        <v>54</v>
      </c>
      <c r="F9409" s="14"/>
      <c r="G9409" s="15"/>
      <c r="H9409" s="451"/>
      <c r="I9409" s="412"/>
      <c r="J9409" s="16"/>
    </row>
    <row r="9410" spans="1:10" ht="13.5" thickBot="1">
      <c r="A9410" s="27"/>
      <c r="B9410" s="110"/>
      <c r="D9410" s="409"/>
      <c r="E9410" s="13" t="s">
        <v>343</v>
      </c>
      <c r="F9410" s="14"/>
      <c r="G9410" s="543" t="s">
        <v>113</v>
      </c>
      <c r="H9410" s="548">
        <v>1</v>
      </c>
      <c r="I9410" s="412">
        <f>'BAHAN '!G1022</f>
        <v>0</v>
      </c>
      <c r="J9410" s="16">
        <f>H9410*I9410</f>
        <v>0</v>
      </c>
    </row>
    <row r="9411" spans="1:10" ht="13.5" thickBot="1">
      <c r="A9411" s="27"/>
      <c r="B9411" s="110"/>
      <c r="D9411" s="417"/>
      <c r="E9411" s="418"/>
      <c r="F9411" s="418"/>
      <c r="G9411" s="419"/>
      <c r="H9411" s="420" t="s">
        <v>64</v>
      </c>
      <c r="I9411" s="421"/>
      <c r="J9411" s="396">
        <f>SUM(J9410)</f>
        <v>0</v>
      </c>
    </row>
    <row r="9412" spans="1:10" ht="13">
      <c r="A9412" s="27"/>
      <c r="B9412" s="110"/>
      <c r="D9412" s="406" t="s">
        <v>65</v>
      </c>
      <c r="E9412" s="13" t="s">
        <v>66</v>
      </c>
      <c r="F9412" s="14"/>
      <c r="G9412" s="15"/>
      <c r="H9412" s="451"/>
      <c r="I9412" s="412"/>
      <c r="J9412" s="16"/>
    </row>
    <row r="9413" spans="1:10" ht="13">
      <c r="A9413" s="27"/>
      <c r="B9413" s="110"/>
      <c r="D9413" s="409"/>
      <c r="E9413" s="13" t="s">
        <v>444</v>
      </c>
      <c r="F9413" s="14"/>
      <c r="G9413" s="543" t="s">
        <v>285</v>
      </c>
      <c r="H9413" s="548">
        <v>0.112</v>
      </c>
      <c r="I9413" s="412">
        <f>Alat!H40*8</f>
        <v>0</v>
      </c>
      <c r="J9413" s="16">
        <f>H9413*I9413</f>
        <v>0</v>
      </c>
    </row>
    <row r="9414" spans="1:10" ht="13.5" thickBot="1">
      <c r="A9414" s="27"/>
      <c r="B9414" s="110"/>
      <c r="D9414" s="409"/>
      <c r="E9414" s="13" t="s">
        <v>446</v>
      </c>
      <c r="F9414" s="14"/>
      <c r="G9414" s="543" t="s">
        <v>285</v>
      </c>
      <c r="H9414" s="548">
        <v>0.29799999999999999</v>
      </c>
      <c r="I9414" s="412">
        <f>Alat!H102</f>
        <v>0</v>
      </c>
      <c r="J9414" s="16">
        <f>H9414*I9414</f>
        <v>0</v>
      </c>
    </row>
    <row r="9415" spans="1:10" ht="13.5" thickBot="1">
      <c r="A9415" s="27"/>
      <c r="B9415" s="110"/>
      <c r="D9415" s="417"/>
      <c r="E9415" s="418"/>
      <c r="F9415" s="418"/>
      <c r="G9415" s="419"/>
      <c r="H9415" s="420" t="s">
        <v>67</v>
      </c>
      <c r="I9415" s="421"/>
      <c r="J9415" s="396">
        <f>SUM(J9413:J9414)</f>
        <v>0</v>
      </c>
    </row>
    <row r="9416" spans="1:10" ht="13">
      <c r="A9416" s="27"/>
      <c r="B9416" s="110"/>
      <c r="D9416" s="444" t="s">
        <v>68</v>
      </c>
      <c r="E9416" s="445" t="s">
        <v>69</v>
      </c>
      <c r="F9416" s="446"/>
      <c r="G9416" s="447"/>
      <c r="H9416" s="448"/>
      <c r="I9416" s="449">
        <f>IF(AND(E9416&lt;&gt;"",G9416&lt;&gt;""),IF(D9416="",IF(G9416="OH",VLOOKUP(E9416,UPAH!$C$4:$H$31,7,0),VLOOKUP(E9416,#REF!,4,0)),0),0)</f>
        <v>0</v>
      </c>
      <c r="J9416" s="16">
        <f>SUM(J9405:J9415)/2</f>
        <v>0</v>
      </c>
    </row>
    <row r="9417" spans="1:10" ht="13.5" thickBot="1">
      <c r="A9417" s="27"/>
      <c r="B9417" s="110"/>
      <c r="D9417" s="431" t="s">
        <v>70</v>
      </c>
      <c r="E9417" s="432" t="s">
        <v>477</v>
      </c>
      <c r="F9417" s="433"/>
      <c r="G9417" s="434"/>
      <c r="H9417" s="22">
        <v>0.1</v>
      </c>
      <c r="I9417" s="436"/>
      <c r="J9417" s="430">
        <f>H9417*J9416</f>
        <v>0</v>
      </c>
    </row>
    <row r="9418" spans="1:10" ht="13.5" thickBot="1">
      <c r="A9418" s="27"/>
      <c r="B9418" s="110"/>
      <c r="D9418" s="401" t="s">
        <v>71</v>
      </c>
      <c r="E9418" s="402" t="s">
        <v>72</v>
      </c>
      <c r="F9418" s="418"/>
      <c r="G9418" s="419"/>
      <c r="H9418" s="442"/>
      <c r="I9418" s="421">
        <f>IF(AND(E9418&lt;&gt;"",G9418&lt;&gt;""),IF(D9418="",IF(G9418="OH",VLOOKUP(E9418,UPAH!$C$4:$H$31,7,0),VLOOKUP(E9418,#REF!,4,0)),0),0)</f>
        <v>0</v>
      </c>
      <c r="J9418" s="396">
        <f>ROUNDDOWN(J9416+J9417,0)</f>
        <v>0</v>
      </c>
    </row>
    <row r="9419" spans="1:10" ht="13">
      <c r="A9419" s="27"/>
      <c r="B9419" s="110"/>
      <c r="D9419" s="11"/>
      <c r="E9419" s="11"/>
      <c r="H9419" s="443"/>
      <c r="I9419" s="17"/>
      <c r="J9419" s="18"/>
    </row>
    <row r="9420" spans="1:10" ht="13.5" thickBot="1">
      <c r="A9420" s="27"/>
      <c r="B9420" s="110"/>
      <c r="C9420" s="11" t="s">
        <v>1424</v>
      </c>
      <c r="D9420" s="10" t="s">
        <v>1516</v>
      </c>
      <c r="H9420" s="443"/>
    </row>
    <row r="9421" spans="1:10" ht="13.5" thickBot="1">
      <c r="A9421" s="27"/>
      <c r="B9421" s="110"/>
      <c r="D9421" s="401" t="s">
        <v>40</v>
      </c>
      <c r="E9421" s="402" t="s">
        <v>41</v>
      </c>
      <c r="F9421" s="402" t="s">
        <v>42</v>
      </c>
      <c r="G9421" s="403" t="s">
        <v>43</v>
      </c>
      <c r="H9421" s="404" t="s">
        <v>44</v>
      </c>
      <c r="I9421" s="402" t="s">
        <v>474</v>
      </c>
      <c r="J9421" s="405" t="s">
        <v>475</v>
      </c>
    </row>
    <row r="9422" spans="1:10" ht="13">
      <c r="A9422" s="27"/>
      <c r="B9422" s="110"/>
      <c r="D9422" s="444" t="s">
        <v>45</v>
      </c>
      <c r="E9422" s="445" t="s">
        <v>46</v>
      </c>
      <c r="F9422" s="446"/>
      <c r="G9422" s="447"/>
      <c r="H9422" s="448"/>
      <c r="I9422" s="449"/>
      <c r="J9422" s="450"/>
    </row>
    <row r="9423" spans="1:10" ht="13">
      <c r="A9423" s="27"/>
      <c r="B9423" s="110"/>
      <c r="D9423" s="409"/>
      <c r="E9423" s="13" t="s">
        <v>47</v>
      </c>
      <c r="F9423" s="13" t="s">
        <v>1918</v>
      </c>
      <c r="G9423" s="543" t="s">
        <v>48</v>
      </c>
      <c r="H9423" s="548">
        <v>6.9489999999999998</v>
      </c>
      <c r="I9423" s="412">
        <f>IF(AND(E9423&lt;&gt;"",G9423&lt;&gt;""),IF(D9423="",IF(G9423="OH",VLOOKUP(F9423,UPAH!$B$4:$H$101,7,0),VLOOKUP(F9423,#REF!,4,0)),0),0)</f>
        <v>0</v>
      </c>
      <c r="J9423" s="16">
        <f>H9423*I9423</f>
        <v>0</v>
      </c>
    </row>
    <row r="9424" spans="1:10" ht="13">
      <c r="A9424" s="27"/>
      <c r="B9424" s="110"/>
      <c r="D9424" s="409"/>
      <c r="E9424" s="13" t="s">
        <v>283</v>
      </c>
      <c r="F9424" s="13" t="s">
        <v>1913</v>
      </c>
      <c r="G9424" s="543" t="s">
        <v>48</v>
      </c>
      <c r="H9424" s="548">
        <v>1.39</v>
      </c>
      <c r="I9424" s="412">
        <f>IF(AND(E9424&lt;&gt;"",G9424&lt;&gt;""),IF(D9424="",IF(G9424="OH",VLOOKUP(F9424,UPAH!$B$4:$H$101,7,0),VLOOKUP(F9424,#REF!,4,0)),0),0)</f>
        <v>0</v>
      </c>
      <c r="J9424" s="16">
        <f>H9424*I9424</f>
        <v>0</v>
      </c>
    </row>
    <row r="9425" spans="1:10" ht="13">
      <c r="A9425" s="27"/>
      <c r="B9425" s="110"/>
      <c r="D9425" s="409"/>
      <c r="E9425" s="13" t="s">
        <v>336</v>
      </c>
      <c r="F9425" s="13" t="s">
        <v>1930</v>
      </c>
      <c r="G9425" s="543" t="s">
        <v>48</v>
      </c>
      <c r="H9425" s="548">
        <v>0.79300000000000004</v>
      </c>
      <c r="I9425" s="412">
        <f>IF(AND(E9425&lt;&gt;"",G9425&lt;&gt;""),IF(D9425="",IF(G9425="OH",VLOOKUP(F9425,UPAH!$B$4:$H$101,7,0),VLOOKUP(F9425,#REF!,4,0)),0),0)</f>
        <v>0</v>
      </c>
      <c r="J9425" s="16">
        <f>H9425*I9425</f>
        <v>0</v>
      </c>
    </row>
    <row r="9426" spans="1:10" ht="13.5" thickBot="1">
      <c r="A9426" s="27"/>
      <c r="B9426" s="110"/>
      <c r="D9426" s="409"/>
      <c r="E9426" s="13" t="s">
        <v>51</v>
      </c>
      <c r="F9426" s="13" t="s">
        <v>1929</v>
      </c>
      <c r="G9426" s="543" t="s">
        <v>48</v>
      </c>
      <c r="H9426" s="548">
        <v>0.69499999999999995</v>
      </c>
      <c r="I9426" s="412">
        <f>IF(AND(E9426&lt;&gt;"",G9426&lt;&gt;""),IF(D9426="",IF(G9426="OH",VLOOKUP(F9426,UPAH!$B$4:$H$101,7,0),VLOOKUP(F9426,#REF!,4,0)),0),0)</f>
        <v>0</v>
      </c>
      <c r="J9426" s="16">
        <f>H9426*I9426</f>
        <v>0</v>
      </c>
    </row>
    <row r="9427" spans="1:10" ht="13.5" thickBot="1">
      <c r="A9427" s="27"/>
      <c r="B9427" s="110"/>
      <c r="D9427" s="417"/>
      <c r="E9427" s="418"/>
      <c r="F9427" s="418"/>
      <c r="G9427" s="419"/>
      <c r="H9427" s="420" t="s">
        <v>52</v>
      </c>
      <c r="I9427" s="421"/>
      <c r="J9427" s="396">
        <f>SUM(J9423:J9426)</f>
        <v>0</v>
      </c>
    </row>
    <row r="9428" spans="1:10" ht="13">
      <c r="A9428" s="27"/>
      <c r="B9428" s="110"/>
      <c r="D9428" s="406" t="s">
        <v>53</v>
      </c>
      <c r="E9428" s="13" t="s">
        <v>54</v>
      </c>
      <c r="F9428" s="14"/>
      <c r="G9428" s="15"/>
      <c r="H9428" s="451"/>
      <c r="I9428" s="412"/>
      <c r="J9428" s="16"/>
    </row>
    <row r="9429" spans="1:10" ht="13.5" thickBot="1">
      <c r="A9429" s="27"/>
      <c r="B9429" s="110"/>
      <c r="D9429" s="409"/>
      <c r="E9429" s="13" t="s">
        <v>344</v>
      </c>
      <c r="F9429" s="14"/>
      <c r="G9429" s="543" t="s">
        <v>113</v>
      </c>
      <c r="H9429" s="548">
        <v>1</v>
      </c>
      <c r="I9429" s="412">
        <f>'BAHAN '!G1023</f>
        <v>0</v>
      </c>
      <c r="J9429" s="16">
        <f>H9429*I9429</f>
        <v>0</v>
      </c>
    </row>
    <row r="9430" spans="1:10" ht="13.5" thickBot="1">
      <c r="A9430" s="27"/>
      <c r="B9430" s="110"/>
      <c r="D9430" s="417"/>
      <c r="E9430" s="418"/>
      <c r="F9430" s="418"/>
      <c r="G9430" s="419"/>
      <c r="H9430" s="420" t="s">
        <v>64</v>
      </c>
      <c r="I9430" s="421"/>
      <c r="J9430" s="396">
        <f>SUM(J9429)</f>
        <v>0</v>
      </c>
    </row>
    <row r="9431" spans="1:10" ht="13">
      <c r="A9431" s="27"/>
      <c r="B9431" s="110"/>
      <c r="D9431" s="406" t="s">
        <v>65</v>
      </c>
      <c r="E9431" s="13" t="s">
        <v>66</v>
      </c>
      <c r="F9431" s="14"/>
      <c r="G9431" s="15"/>
      <c r="H9431" s="451"/>
      <c r="I9431" s="412"/>
      <c r="J9431" s="16"/>
    </row>
    <row r="9432" spans="1:10" ht="13">
      <c r="A9432" s="27"/>
      <c r="B9432" s="110"/>
      <c r="D9432" s="409"/>
      <c r="E9432" s="13" t="s">
        <v>444</v>
      </c>
      <c r="F9432" s="14"/>
      <c r="G9432" s="543" t="s">
        <v>285</v>
      </c>
      <c r="H9432" s="548">
        <v>0.152</v>
      </c>
      <c r="I9432" s="412">
        <f>Alat!H40*8</f>
        <v>0</v>
      </c>
      <c r="J9432" s="16">
        <f>H9432*I9432</f>
        <v>0</v>
      </c>
    </row>
    <row r="9433" spans="1:10" ht="13.5" thickBot="1">
      <c r="A9433" s="27"/>
      <c r="B9433" s="110"/>
      <c r="D9433" s="409"/>
      <c r="E9433" s="13" t="s">
        <v>446</v>
      </c>
      <c r="F9433" s="14"/>
      <c r="G9433" s="543" t="s">
        <v>285</v>
      </c>
      <c r="H9433" s="548">
        <v>0.30399999999999999</v>
      </c>
      <c r="I9433" s="412">
        <f>Alat!H102</f>
        <v>0</v>
      </c>
      <c r="J9433" s="16">
        <f>H9433*I9433</f>
        <v>0</v>
      </c>
    </row>
    <row r="9434" spans="1:10" ht="13.5" thickBot="1">
      <c r="A9434" s="27"/>
      <c r="B9434" s="110"/>
      <c r="D9434" s="417"/>
      <c r="E9434" s="418"/>
      <c r="F9434" s="418"/>
      <c r="G9434" s="419"/>
      <c r="H9434" s="420" t="s">
        <v>67</v>
      </c>
      <c r="I9434" s="421"/>
      <c r="J9434" s="396">
        <f>SUM(J9432:J9433)</f>
        <v>0</v>
      </c>
    </row>
    <row r="9435" spans="1:10" ht="13">
      <c r="A9435" s="27"/>
      <c r="B9435" s="110"/>
      <c r="D9435" s="444" t="s">
        <v>68</v>
      </c>
      <c r="E9435" s="445" t="s">
        <v>69</v>
      </c>
      <c r="F9435" s="446"/>
      <c r="G9435" s="447"/>
      <c r="H9435" s="448"/>
      <c r="I9435" s="449">
        <f>IF(AND(E9435&lt;&gt;"",G9435&lt;&gt;""),IF(D9435="",IF(G9435="OH",VLOOKUP(E9435,UPAH!$C$4:$H$31,7,0),VLOOKUP(E9435,#REF!,4,0)),0),0)</f>
        <v>0</v>
      </c>
      <c r="J9435" s="16">
        <f>SUM(J9424:J9434)/2</f>
        <v>0</v>
      </c>
    </row>
    <row r="9436" spans="1:10" ht="13.5" thickBot="1">
      <c r="A9436" s="27"/>
      <c r="B9436" s="110"/>
      <c r="D9436" s="431" t="s">
        <v>70</v>
      </c>
      <c r="E9436" s="432" t="s">
        <v>477</v>
      </c>
      <c r="F9436" s="433"/>
      <c r="G9436" s="434"/>
      <c r="H9436" s="22">
        <v>0.1</v>
      </c>
      <c r="I9436" s="436"/>
      <c r="J9436" s="430">
        <f>H9436*J9435</f>
        <v>0</v>
      </c>
    </row>
    <row r="9437" spans="1:10" ht="13.5" thickBot="1">
      <c r="A9437" s="27"/>
      <c r="B9437" s="110"/>
      <c r="D9437" s="401" t="s">
        <v>71</v>
      </c>
      <c r="E9437" s="402" t="s">
        <v>72</v>
      </c>
      <c r="F9437" s="418"/>
      <c r="G9437" s="419"/>
      <c r="H9437" s="442"/>
      <c r="I9437" s="421">
        <f>IF(AND(E9437&lt;&gt;"",G9437&lt;&gt;""),IF(D9437="",IF(G9437="OH",VLOOKUP(E9437,UPAH!$C$4:$H$31,7,0),VLOOKUP(E9437,#REF!,4,0)),0),0)</f>
        <v>0</v>
      </c>
      <c r="J9437" s="396">
        <f>ROUNDDOWN(J9435+J9436,0)</f>
        <v>0</v>
      </c>
    </row>
    <row r="9438" spans="1:10" ht="13">
      <c r="A9438" s="27"/>
      <c r="B9438" s="110"/>
      <c r="D9438" s="11"/>
      <c r="E9438" s="11"/>
      <c r="H9438" s="443"/>
      <c r="I9438" s="17"/>
      <c r="J9438" s="18"/>
    </row>
    <row r="9439" spans="1:10" ht="13.5" thickBot="1">
      <c r="A9439" s="27"/>
      <c r="B9439" s="110"/>
      <c r="C9439" s="11" t="s">
        <v>1423</v>
      </c>
      <c r="D9439" s="10" t="s">
        <v>1517</v>
      </c>
      <c r="H9439" s="443"/>
    </row>
    <row r="9440" spans="1:10" ht="13.5" thickBot="1">
      <c r="A9440" s="27"/>
      <c r="B9440" s="110"/>
      <c r="D9440" s="401" t="s">
        <v>40</v>
      </c>
      <c r="E9440" s="402" t="s">
        <v>41</v>
      </c>
      <c r="F9440" s="402" t="s">
        <v>42</v>
      </c>
      <c r="G9440" s="403" t="s">
        <v>43</v>
      </c>
      <c r="H9440" s="404" t="s">
        <v>44</v>
      </c>
      <c r="I9440" s="402" t="s">
        <v>474</v>
      </c>
      <c r="J9440" s="405" t="s">
        <v>475</v>
      </c>
    </row>
    <row r="9441" spans="1:10" ht="13">
      <c r="A9441" s="27"/>
      <c r="B9441" s="110"/>
      <c r="D9441" s="444" t="s">
        <v>45</v>
      </c>
      <c r="E9441" s="445" t="s">
        <v>46</v>
      </c>
      <c r="F9441" s="446"/>
      <c r="G9441" s="447"/>
      <c r="H9441" s="448"/>
      <c r="I9441" s="449"/>
      <c r="J9441" s="450"/>
    </row>
    <row r="9442" spans="1:10" ht="13">
      <c r="A9442" s="27"/>
      <c r="B9442" s="110"/>
      <c r="D9442" s="409"/>
      <c r="E9442" s="13" t="s">
        <v>47</v>
      </c>
      <c r="F9442" s="13" t="s">
        <v>1918</v>
      </c>
      <c r="G9442" s="543" t="s">
        <v>48</v>
      </c>
      <c r="H9442" s="548">
        <v>8.0559999999999992</v>
      </c>
      <c r="I9442" s="412">
        <f>IF(AND(E9442&lt;&gt;"",G9442&lt;&gt;""),IF(D9442="",IF(G9442="OH",VLOOKUP(F9442,UPAH!$B$4:$H$101,7,0),VLOOKUP(F9442,#REF!,4,0)),0),0)</f>
        <v>0</v>
      </c>
      <c r="J9442" s="16">
        <f>H9442*I9442</f>
        <v>0</v>
      </c>
    </row>
    <row r="9443" spans="1:10" ht="13">
      <c r="A9443" s="27"/>
      <c r="B9443" s="110"/>
      <c r="D9443" s="409"/>
      <c r="E9443" s="13" t="s">
        <v>283</v>
      </c>
      <c r="F9443" s="13" t="s">
        <v>1913</v>
      </c>
      <c r="G9443" s="543" t="s">
        <v>48</v>
      </c>
      <c r="H9443" s="548">
        <v>1.611</v>
      </c>
      <c r="I9443" s="412">
        <f>IF(AND(E9443&lt;&gt;"",G9443&lt;&gt;""),IF(D9443="",IF(G9443="OH",VLOOKUP(F9443,UPAH!$B$4:$H$101,7,0),VLOOKUP(F9443,#REF!,4,0)),0),0)</f>
        <v>0</v>
      </c>
      <c r="J9443" s="16">
        <f>H9443*I9443</f>
        <v>0</v>
      </c>
    </row>
    <row r="9444" spans="1:10" ht="13">
      <c r="A9444" s="27"/>
      <c r="B9444" s="110"/>
      <c r="D9444" s="409"/>
      <c r="E9444" s="13" t="s">
        <v>336</v>
      </c>
      <c r="F9444" s="13" t="s">
        <v>1930</v>
      </c>
      <c r="G9444" s="543" t="s">
        <v>48</v>
      </c>
      <c r="H9444" s="548">
        <v>0.89300000000000002</v>
      </c>
      <c r="I9444" s="412">
        <f>IF(AND(E9444&lt;&gt;"",G9444&lt;&gt;""),IF(D9444="",IF(G9444="OH",VLOOKUP(F9444,UPAH!$B$4:$H$101,7,0),VLOOKUP(F9444,#REF!,4,0)),0),0)</f>
        <v>0</v>
      </c>
      <c r="J9444" s="16">
        <f>H9444*I9444</f>
        <v>0</v>
      </c>
    </row>
    <row r="9445" spans="1:10" ht="13.5" thickBot="1">
      <c r="A9445" s="27"/>
      <c r="B9445" s="110"/>
      <c r="D9445" s="409"/>
      <c r="E9445" s="13" t="s">
        <v>51</v>
      </c>
      <c r="F9445" s="13" t="s">
        <v>1929</v>
      </c>
      <c r="G9445" s="543" t="s">
        <v>48</v>
      </c>
      <c r="H9445" s="548">
        <v>0.80600000000000005</v>
      </c>
      <c r="I9445" s="412">
        <f>IF(AND(E9445&lt;&gt;"",G9445&lt;&gt;""),IF(D9445="",IF(G9445="OH",VLOOKUP(F9445,UPAH!$B$4:$H$101,7,0),VLOOKUP(F9445,#REF!,4,0)),0),0)</f>
        <v>0</v>
      </c>
      <c r="J9445" s="16">
        <f>H9445*I9445</f>
        <v>0</v>
      </c>
    </row>
    <row r="9446" spans="1:10" ht="13.5" thickBot="1">
      <c r="A9446" s="27"/>
      <c r="B9446" s="110"/>
      <c r="D9446" s="417"/>
      <c r="E9446" s="418"/>
      <c r="F9446" s="418"/>
      <c r="G9446" s="419"/>
      <c r="H9446" s="420" t="s">
        <v>52</v>
      </c>
      <c r="I9446" s="421"/>
      <c r="J9446" s="396">
        <f>SUM(J9442:J9445)</f>
        <v>0</v>
      </c>
    </row>
    <row r="9447" spans="1:10" ht="13">
      <c r="A9447" s="27"/>
      <c r="B9447" s="110"/>
      <c r="D9447" s="406" t="s">
        <v>53</v>
      </c>
      <c r="E9447" s="13" t="s">
        <v>54</v>
      </c>
      <c r="F9447" s="14"/>
      <c r="G9447" s="15"/>
      <c r="H9447" s="451"/>
      <c r="I9447" s="412"/>
      <c r="J9447" s="16"/>
    </row>
    <row r="9448" spans="1:10" ht="13.5" thickBot="1">
      <c r="A9448" s="27"/>
      <c r="B9448" s="110"/>
      <c r="D9448" s="409"/>
      <c r="E9448" s="13" t="s">
        <v>345</v>
      </c>
      <c r="F9448" s="14"/>
      <c r="G9448" s="543" t="s">
        <v>113</v>
      </c>
      <c r="H9448" s="548">
        <v>1</v>
      </c>
      <c r="I9448" s="412">
        <f>'BAHAN '!G1024</f>
        <v>0</v>
      </c>
      <c r="J9448" s="16">
        <f>H9448*I9448</f>
        <v>0</v>
      </c>
    </row>
    <row r="9449" spans="1:10" ht="13.5" thickBot="1">
      <c r="A9449" s="27"/>
      <c r="B9449" s="110"/>
      <c r="D9449" s="417"/>
      <c r="E9449" s="418"/>
      <c r="F9449" s="418"/>
      <c r="G9449" s="419"/>
      <c r="H9449" s="420" t="s">
        <v>64</v>
      </c>
      <c r="I9449" s="421"/>
      <c r="J9449" s="396">
        <f>SUM(J9448)</f>
        <v>0</v>
      </c>
    </row>
    <row r="9450" spans="1:10" ht="13">
      <c r="A9450" s="27"/>
      <c r="B9450" s="110"/>
      <c r="D9450" s="406" t="s">
        <v>65</v>
      </c>
      <c r="E9450" s="13" t="s">
        <v>66</v>
      </c>
      <c r="F9450" s="14"/>
      <c r="G9450" s="15"/>
      <c r="H9450" s="451"/>
      <c r="I9450" s="412"/>
      <c r="J9450" s="16"/>
    </row>
    <row r="9451" spans="1:10" ht="13">
      <c r="A9451" s="27"/>
      <c r="B9451" s="110"/>
      <c r="D9451" s="409"/>
      <c r="E9451" s="13" t="s">
        <v>444</v>
      </c>
      <c r="F9451" s="14"/>
      <c r="G9451" s="543" t="s">
        <v>285</v>
      </c>
      <c r="H9451" s="548">
        <v>0.18</v>
      </c>
      <c r="I9451" s="412">
        <f>Alat!H40*8</f>
        <v>0</v>
      </c>
      <c r="J9451" s="16">
        <f>H9451*I9451</f>
        <v>0</v>
      </c>
    </row>
    <row r="9452" spans="1:10" ht="13.5" thickBot="1">
      <c r="A9452" s="27"/>
      <c r="B9452" s="110"/>
      <c r="D9452" s="409"/>
      <c r="E9452" s="13" t="s">
        <v>446</v>
      </c>
      <c r="F9452" s="14"/>
      <c r="G9452" s="543" t="s">
        <v>285</v>
      </c>
      <c r="H9452" s="548">
        <v>0.36</v>
      </c>
      <c r="I9452" s="412">
        <f>Alat!H102</f>
        <v>0</v>
      </c>
      <c r="J9452" s="16">
        <f>H9452*I9452</f>
        <v>0</v>
      </c>
    </row>
    <row r="9453" spans="1:10" ht="13.5" thickBot="1">
      <c r="A9453" s="27"/>
      <c r="B9453" s="110"/>
      <c r="D9453" s="417"/>
      <c r="E9453" s="418"/>
      <c r="F9453" s="418"/>
      <c r="G9453" s="419"/>
      <c r="H9453" s="420" t="s">
        <v>67</v>
      </c>
      <c r="I9453" s="421"/>
      <c r="J9453" s="396">
        <f>SUM(J9451:J9452)</f>
        <v>0</v>
      </c>
    </row>
    <row r="9454" spans="1:10" ht="13">
      <c r="A9454" s="27"/>
      <c r="B9454" s="110"/>
      <c r="D9454" s="444" t="s">
        <v>68</v>
      </c>
      <c r="E9454" s="445" t="s">
        <v>69</v>
      </c>
      <c r="F9454" s="446"/>
      <c r="G9454" s="447"/>
      <c r="H9454" s="448"/>
      <c r="I9454" s="449">
        <f>IF(AND(E9454&lt;&gt;"",G9454&lt;&gt;""),IF(D9454="",IF(G9454="OH",VLOOKUP(E9454,UPAH!$C$4:$H$31,7,0),VLOOKUP(E9454,#REF!,4,0)),0),0)</f>
        <v>0</v>
      </c>
      <c r="J9454" s="16">
        <f>SUM(J9443:J9453)/2</f>
        <v>0</v>
      </c>
    </row>
    <row r="9455" spans="1:10" ht="13.5" thickBot="1">
      <c r="A9455" s="27"/>
      <c r="B9455" s="110"/>
      <c r="D9455" s="431" t="s">
        <v>70</v>
      </c>
      <c r="E9455" s="432" t="s">
        <v>477</v>
      </c>
      <c r="F9455" s="433"/>
      <c r="G9455" s="434"/>
      <c r="H9455" s="22">
        <v>0.1</v>
      </c>
      <c r="I9455" s="436"/>
      <c r="J9455" s="430">
        <f>H9455*J9454</f>
        <v>0</v>
      </c>
    </row>
    <row r="9456" spans="1:10" ht="13.5" thickBot="1">
      <c r="A9456" s="27"/>
      <c r="B9456" s="110"/>
      <c r="D9456" s="401" t="s">
        <v>71</v>
      </c>
      <c r="E9456" s="402" t="s">
        <v>72</v>
      </c>
      <c r="F9456" s="418"/>
      <c r="G9456" s="419"/>
      <c r="H9456" s="442"/>
      <c r="I9456" s="421">
        <f>IF(AND(E9456&lt;&gt;"",G9456&lt;&gt;""),IF(D9456="",IF(G9456="OH",VLOOKUP(E9456,UPAH!$C$4:$H$31,7,0),VLOOKUP(E9456,#REF!,4,0)),0),0)</f>
        <v>0</v>
      </c>
      <c r="J9456" s="396">
        <f>ROUNDDOWN(J9454+J9455,0)</f>
        <v>0</v>
      </c>
    </row>
    <row r="9457" spans="1:10" ht="13">
      <c r="A9457" s="27"/>
      <c r="B9457" s="110"/>
      <c r="D9457" s="11"/>
      <c r="E9457" s="11"/>
      <c r="H9457" s="443"/>
      <c r="I9457" s="17"/>
      <c r="J9457" s="18"/>
    </row>
    <row r="9458" spans="1:10" ht="13.5" thickBot="1">
      <c r="A9458" s="27"/>
      <c r="B9458" s="110"/>
      <c r="C9458" s="11" t="s">
        <v>1422</v>
      </c>
      <c r="D9458" s="10" t="s">
        <v>1518</v>
      </c>
      <c r="H9458" s="443"/>
    </row>
    <row r="9459" spans="1:10" ht="13.5" thickBot="1">
      <c r="A9459" s="27"/>
      <c r="B9459" s="110"/>
      <c r="D9459" s="401" t="s">
        <v>40</v>
      </c>
      <c r="E9459" s="402" t="s">
        <v>41</v>
      </c>
      <c r="F9459" s="402" t="s">
        <v>42</v>
      </c>
      <c r="G9459" s="403" t="s">
        <v>43</v>
      </c>
      <c r="H9459" s="404" t="s">
        <v>44</v>
      </c>
      <c r="I9459" s="402" t="s">
        <v>474</v>
      </c>
      <c r="J9459" s="405" t="s">
        <v>475</v>
      </c>
    </row>
    <row r="9460" spans="1:10" ht="13">
      <c r="A9460" s="27"/>
      <c r="B9460" s="110"/>
      <c r="D9460" s="444" t="s">
        <v>45</v>
      </c>
      <c r="E9460" s="445" t="s">
        <v>46</v>
      </c>
      <c r="F9460" s="446"/>
      <c r="G9460" s="447"/>
      <c r="H9460" s="448"/>
      <c r="I9460" s="449"/>
      <c r="J9460" s="450"/>
    </row>
    <row r="9461" spans="1:10" ht="13">
      <c r="A9461" s="27"/>
      <c r="B9461" s="110"/>
      <c r="D9461" s="409"/>
      <c r="E9461" s="13" t="s">
        <v>47</v>
      </c>
      <c r="F9461" s="13" t="s">
        <v>1918</v>
      </c>
      <c r="G9461" s="543" t="s">
        <v>48</v>
      </c>
      <c r="H9461" s="548">
        <v>0.499</v>
      </c>
      <c r="I9461" s="412">
        <f>IF(AND(E9461&lt;&gt;"",G9461&lt;&gt;""),IF(D9461="",IF(G9461="OH",VLOOKUP(F9461,UPAH!$B$4:$H$101,7,0),VLOOKUP(F9461,#REF!,4,0)),0),0)</f>
        <v>0</v>
      </c>
      <c r="J9461" s="16">
        <f>H9461*I9461</f>
        <v>0</v>
      </c>
    </row>
    <row r="9462" spans="1:10" ht="13">
      <c r="A9462" s="27"/>
      <c r="B9462" s="110"/>
      <c r="D9462" s="409"/>
      <c r="E9462" s="13" t="s">
        <v>283</v>
      </c>
      <c r="F9462" s="13" t="s">
        <v>1913</v>
      </c>
      <c r="G9462" s="543" t="s">
        <v>48</v>
      </c>
      <c r="H9462" s="548">
        <v>0.1</v>
      </c>
      <c r="I9462" s="412">
        <f>IF(AND(E9462&lt;&gt;"",G9462&lt;&gt;""),IF(D9462="",IF(G9462="OH",VLOOKUP(F9462,UPAH!$B$4:$H$101,7,0),VLOOKUP(F9462,#REF!,4,0)),0),0)</f>
        <v>0</v>
      </c>
      <c r="J9462" s="16">
        <f>H9462*I9462</f>
        <v>0</v>
      </c>
    </row>
    <row r="9463" spans="1:10" ht="13.5" thickBot="1">
      <c r="A9463" s="27"/>
      <c r="B9463" s="110"/>
      <c r="D9463" s="409"/>
      <c r="E9463" s="13" t="s">
        <v>51</v>
      </c>
      <c r="F9463" s="13" t="s">
        <v>1929</v>
      </c>
      <c r="G9463" s="543" t="s">
        <v>48</v>
      </c>
      <c r="H9463" s="548">
        <v>0.05</v>
      </c>
      <c r="I9463" s="412">
        <f>IF(AND(E9463&lt;&gt;"",G9463&lt;&gt;""),IF(D9463="",IF(G9463="OH",VLOOKUP(F9463,UPAH!$B$4:$H$101,7,0),VLOOKUP(F9463,#REF!,4,0)),0),0)</f>
        <v>0</v>
      </c>
      <c r="J9463" s="16">
        <f>H9463*I9463</f>
        <v>0</v>
      </c>
    </row>
    <row r="9464" spans="1:10" ht="13.5" thickBot="1">
      <c r="A9464" s="27"/>
      <c r="B9464" s="110"/>
      <c r="D9464" s="417"/>
      <c r="E9464" s="418"/>
      <c r="F9464" s="418"/>
      <c r="G9464" s="419"/>
      <c r="H9464" s="420" t="s">
        <v>52</v>
      </c>
      <c r="I9464" s="421"/>
      <c r="J9464" s="396">
        <f>SUM(J9460:J9463)</f>
        <v>0</v>
      </c>
    </row>
    <row r="9465" spans="1:10" ht="13">
      <c r="A9465" s="27"/>
      <c r="B9465" s="110"/>
      <c r="D9465" s="406" t="s">
        <v>53</v>
      </c>
      <c r="E9465" s="13" t="s">
        <v>54</v>
      </c>
      <c r="F9465" s="14"/>
      <c r="G9465" s="15"/>
      <c r="H9465" s="451"/>
      <c r="I9465" s="412"/>
      <c r="J9465" s="16"/>
    </row>
    <row r="9466" spans="1:10" ht="13.5" thickBot="1">
      <c r="A9466" s="27"/>
      <c r="B9466" s="110"/>
      <c r="D9466" s="409"/>
      <c r="E9466" s="13" t="s">
        <v>426</v>
      </c>
      <c r="F9466" s="14"/>
      <c r="G9466" s="543" t="s">
        <v>113</v>
      </c>
      <c r="H9466" s="548">
        <v>1</v>
      </c>
      <c r="I9466" s="412">
        <f>'BAHAN '!G364</f>
        <v>0</v>
      </c>
      <c r="J9466" s="16">
        <f>H9466*I9466</f>
        <v>0</v>
      </c>
    </row>
    <row r="9467" spans="1:10" ht="13.5" thickBot="1">
      <c r="A9467" s="27"/>
      <c r="B9467" s="110"/>
      <c r="D9467" s="417"/>
      <c r="E9467" s="418"/>
      <c r="F9467" s="418"/>
      <c r="G9467" s="419"/>
      <c r="H9467" s="420" t="s">
        <v>64</v>
      </c>
      <c r="I9467" s="421"/>
      <c r="J9467" s="396">
        <f>SUM(J9466)</f>
        <v>0</v>
      </c>
    </row>
    <row r="9468" spans="1:10" ht="13">
      <c r="A9468" s="27"/>
      <c r="B9468" s="110"/>
      <c r="D9468" s="406" t="s">
        <v>65</v>
      </c>
      <c r="E9468" s="13" t="s">
        <v>66</v>
      </c>
      <c r="F9468" s="14"/>
      <c r="G9468" s="15"/>
      <c r="H9468" s="451"/>
      <c r="I9468" s="412"/>
      <c r="J9468" s="16"/>
    </row>
    <row r="9469" spans="1:10" ht="13.5" thickBot="1">
      <c r="A9469" s="27"/>
      <c r="B9469" s="110"/>
      <c r="D9469" s="409"/>
      <c r="E9469" s="13" t="s">
        <v>446</v>
      </c>
      <c r="F9469" s="14"/>
      <c r="G9469" s="543" t="s">
        <v>285</v>
      </c>
      <c r="H9469" s="548">
        <v>4.0000000000000001E-3</v>
      </c>
      <c r="I9469" s="412">
        <f>Alat!H102</f>
        <v>0</v>
      </c>
      <c r="J9469" s="16">
        <f>H9469*I9469</f>
        <v>0</v>
      </c>
    </row>
    <row r="9470" spans="1:10" ht="13.5" thickBot="1">
      <c r="A9470" s="27"/>
      <c r="B9470" s="110"/>
      <c r="D9470" s="417"/>
      <c r="E9470" s="418"/>
      <c r="F9470" s="418"/>
      <c r="G9470" s="419"/>
      <c r="H9470" s="420" t="s">
        <v>67</v>
      </c>
      <c r="I9470" s="421"/>
      <c r="J9470" s="396">
        <f>J9469</f>
        <v>0</v>
      </c>
    </row>
    <row r="9471" spans="1:10" ht="13">
      <c r="A9471" s="27"/>
      <c r="B9471" s="110"/>
      <c r="D9471" s="444" t="s">
        <v>68</v>
      </c>
      <c r="E9471" s="445" t="s">
        <v>69</v>
      </c>
      <c r="F9471" s="446"/>
      <c r="G9471" s="447"/>
      <c r="H9471" s="448"/>
      <c r="I9471" s="449">
        <f>IF(AND(E9471&lt;&gt;"",G9471&lt;&gt;""),IF(D9471="",IF(G9471="OH",VLOOKUP(E9471,UPAH!$C$4:$H$31,7,0),VLOOKUP(E9471,#REF!,4,0)),0),0)</f>
        <v>0</v>
      </c>
      <c r="J9471" s="16">
        <f>SUM(J9460:J9470)/2</f>
        <v>0</v>
      </c>
    </row>
    <row r="9472" spans="1:10" ht="13.5" thickBot="1">
      <c r="A9472" s="27"/>
      <c r="B9472" s="110"/>
      <c r="D9472" s="431" t="s">
        <v>70</v>
      </c>
      <c r="E9472" s="432" t="s">
        <v>477</v>
      </c>
      <c r="F9472" s="433"/>
      <c r="G9472" s="434"/>
      <c r="H9472" s="22">
        <v>0.1</v>
      </c>
      <c r="I9472" s="436"/>
      <c r="J9472" s="430">
        <f>H9472*J9471</f>
        <v>0</v>
      </c>
    </row>
    <row r="9473" spans="1:10" ht="13.5" thickBot="1">
      <c r="A9473" s="27"/>
      <c r="B9473" s="110"/>
      <c r="D9473" s="401" t="s">
        <v>71</v>
      </c>
      <c r="E9473" s="402" t="s">
        <v>72</v>
      </c>
      <c r="F9473" s="418"/>
      <c r="G9473" s="419"/>
      <c r="H9473" s="442"/>
      <c r="I9473" s="421">
        <f>IF(AND(E9473&lt;&gt;"",G9473&lt;&gt;""),IF(D9473="",IF(G9473="OH",VLOOKUP(E9473,UPAH!$C$4:$H$31,7,0),VLOOKUP(E9473,#REF!,4,0)),0),0)</f>
        <v>0</v>
      </c>
      <c r="J9473" s="396">
        <f>ROUNDDOWN(J9471+J9472,0)</f>
        <v>0</v>
      </c>
    </row>
    <row r="9474" spans="1:10" ht="13">
      <c r="A9474" s="27"/>
      <c r="B9474" s="110"/>
      <c r="D9474" s="11"/>
      <c r="E9474" s="11"/>
      <c r="H9474" s="443"/>
      <c r="I9474" s="17"/>
      <c r="J9474" s="18"/>
    </row>
    <row r="9475" spans="1:10" ht="13.5" thickBot="1">
      <c r="A9475" s="27"/>
      <c r="B9475" s="110"/>
      <c r="C9475" s="11" t="s">
        <v>1421</v>
      </c>
      <c r="D9475" s="10" t="s">
        <v>1519</v>
      </c>
      <c r="H9475" s="443"/>
    </row>
    <row r="9476" spans="1:10" ht="13.5" thickBot="1">
      <c r="A9476" s="27"/>
      <c r="B9476" s="110"/>
      <c r="D9476" s="401" t="s">
        <v>40</v>
      </c>
      <c r="E9476" s="402" t="s">
        <v>41</v>
      </c>
      <c r="F9476" s="402" t="s">
        <v>42</v>
      </c>
      <c r="G9476" s="403" t="s">
        <v>43</v>
      </c>
      <c r="H9476" s="404" t="s">
        <v>44</v>
      </c>
      <c r="I9476" s="402" t="s">
        <v>474</v>
      </c>
      <c r="J9476" s="405" t="s">
        <v>475</v>
      </c>
    </row>
    <row r="9477" spans="1:10" ht="13">
      <c r="A9477" s="27"/>
      <c r="B9477" s="110"/>
      <c r="D9477" s="444" t="s">
        <v>45</v>
      </c>
      <c r="E9477" s="445" t="s">
        <v>46</v>
      </c>
      <c r="F9477" s="446"/>
      <c r="G9477" s="447"/>
      <c r="H9477" s="448"/>
      <c r="I9477" s="449"/>
      <c r="J9477" s="450"/>
    </row>
    <row r="9478" spans="1:10" ht="13">
      <c r="A9478" s="27"/>
      <c r="B9478" s="110"/>
      <c r="D9478" s="409"/>
      <c r="E9478" s="13" t="s">
        <v>47</v>
      </c>
      <c r="F9478" s="13" t="s">
        <v>1918</v>
      </c>
      <c r="G9478" s="543" t="s">
        <v>48</v>
      </c>
      <c r="H9478" s="548">
        <v>0.57899999999999996</v>
      </c>
      <c r="I9478" s="412">
        <f>IF(AND(E9478&lt;&gt;"",G9478&lt;&gt;""),IF(D9478="",IF(G9478="OH",VLOOKUP(F9478,UPAH!$B$4:$H$101,7,0),VLOOKUP(F9478,#REF!,4,0)),0),0)</f>
        <v>0</v>
      </c>
      <c r="J9478" s="16">
        <f>H9478*I9478</f>
        <v>0</v>
      </c>
    </row>
    <row r="9479" spans="1:10" ht="13">
      <c r="A9479" s="27"/>
      <c r="B9479" s="110"/>
      <c r="D9479" s="409"/>
      <c r="E9479" s="13" t="s">
        <v>283</v>
      </c>
      <c r="F9479" s="13" t="s">
        <v>1913</v>
      </c>
      <c r="G9479" s="543" t="s">
        <v>48</v>
      </c>
      <c r="H9479" s="548">
        <v>0.11600000000000001</v>
      </c>
      <c r="I9479" s="412">
        <f>IF(AND(E9479&lt;&gt;"",G9479&lt;&gt;""),IF(D9479="",IF(G9479="OH",VLOOKUP(F9479,UPAH!$B$4:$H$101,7,0),VLOOKUP(F9479,#REF!,4,0)),0),0)</f>
        <v>0</v>
      </c>
      <c r="J9479" s="16">
        <f>H9479*I9479</f>
        <v>0</v>
      </c>
    </row>
    <row r="9480" spans="1:10" ht="13.5" thickBot="1">
      <c r="A9480" s="27"/>
      <c r="B9480" s="110"/>
      <c r="D9480" s="409"/>
      <c r="E9480" s="13" t="s">
        <v>51</v>
      </c>
      <c r="F9480" s="13" t="s">
        <v>1929</v>
      </c>
      <c r="G9480" s="543" t="s">
        <v>48</v>
      </c>
      <c r="H9480" s="548">
        <v>5.8000000000000003E-2</v>
      </c>
      <c r="I9480" s="412">
        <f>IF(AND(E9480&lt;&gt;"",G9480&lt;&gt;""),IF(D9480="",IF(G9480="OH",VLOOKUP(F9480,UPAH!$B$4:$H$101,7,0),VLOOKUP(F9480,#REF!,4,0)),0),0)</f>
        <v>0</v>
      </c>
      <c r="J9480" s="16">
        <f>H9480*I9480</f>
        <v>0</v>
      </c>
    </row>
    <row r="9481" spans="1:10" ht="13.5" thickBot="1">
      <c r="A9481" s="27"/>
      <c r="B9481" s="110"/>
      <c r="D9481" s="417"/>
      <c r="E9481" s="418"/>
      <c r="F9481" s="418"/>
      <c r="G9481" s="419"/>
      <c r="H9481" s="420" t="s">
        <v>52</v>
      </c>
      <c r="I9481" s="421"/>
      <c r="J9481" s="396">
        <f>SUM(J9477:J9480)</f>
        <v>0</v>
      </c>
    </row>
    <row r="9482" spans="1:10" ht="13">
      <c r="A9482" s="27"/>
      <c r="B9482" s="110"/>
      <c r="D9482" s="406" t="s">
        <v>53</v>
      </c>
      <c r="E9482" s="13" t="s">
        <v>54</v>
      </c>
      <c r="F9482" s="14"/>
      <c r="G9482" s="15"/>
      <c r="H9482" s="451"/>
      <c r="I9482" s="412"/>
      <c r="J9482" s="16"/>
    </row>
    <row r="9483" spans="1:10" ht="13.5" thickBot="1">
      <c r="A9483" s="27"/>
      <c r="B9483" s="110"/>
      <c r="D9483" s="409"/>
      <c r="E9483" s="13" t="s">
        <v>413</v>
      </c>
      <c r="F9483" s="14"/>
      <c r="G9483" s="543" t="s">
        <v>113</v>
      </c>
      <c r="H9483" s="548">
        <v>1</v>
      </c>
      <c r="I9483" s="412">
        <f>'BAHAN '!G363</f>
        <v>0</v>
      </c>
      <c r="J9483" s="16">
        <f>H9483*I9483</f>
        <v>0</v>
      </c>
    </row>
    <row r="9484" spans="1:10" ht="13.5" thickBot="1">
      <c r="A9484" s="27"/>
      <c r="B9484" s="110"/>
      <c r="D9484" s="417"/>
      <c r="E9484" s="418"/>
      <c r="F9484" s="418"/>
      <c r="G9484" s="419"/>
      <c r="H9484" s="420" t="s">
        <v>64</v>
      </c>
      <c r="I9484" s="421"/>
      <c r="J9484" s="396">
        <f>SUM(J9483)</f>
        <v>0</v>
      </c>
    </row>
    <row r="9485" spans="1:10" ht="13">
      <c r="A9485" s="27"/>
      <c r="B9485" s="110"/>
      <c r="D9485" s="406" t="s">
        <v>65</v>
      </c>
      <c r="E9485" s="13" t="s">
        <v>66</v>
      </c>
      <c r="F9485" s="14"/>
      <c r="G9485" s="15"/>
      <c r="H9485" s="451"/>
      <c r="I9485" s="412"/>
      <c r="J9485" s="16"/>
    </row>
    <row r="9486" spans="1:10" ht="13.5" thickBot="1">
      <c r="A9486" s="27"/>
      <c r="B9486" s="110"/>
      <c r="D9486" s="409"/>
      <c r="E9486" s="13" t="s">
        <v>446</v>
      </c>
      <c r="F9486" s="14"/>
      <c r="G9486" s="543" t="s">
        <v>285</v>
      </c>
      <c r="H9486" s="548">
        <v>4.0000000000000001E-3</v>
      </c>
      <c r="I9486" s="412">
        <f>Alat!H102</f>
        <v>0</v>
      </c>
      <c r="J9486" s="16">
        <f>H9486*I9486</f>
        <v>0</v>
      </c>
    </row>
    <row r="9487" spans="1:10" ht="13.5" thickBot="1">
      <c r="A9487" s="27"/>
      <c r="B9487" s="110"/>
      <c r="D9487" s="417"/>
      <c r="E9487" s="418"/>
      <c r="F9487" s="418"/>
      <c r="G9487" s="419"/>
      <c r="H9487" s="420" t="s">
        <v>67</v>
      </c>
      <c r="I9487" s="421"/>
      <c r="J9487" s="396">
        <f>J9486</f>
        <v>0</v>
      </c>
    </row>
    <row r="9488" spans="1:10" ht="13">
      <c r="A9488" s="27"/>
      <c r="B9488" s="110"/>
      <c r="D9488" s="444" t="s">
        <v>68</v>
      </c>
      <c r="E9488" s="445" t="s">
        <v>69</v>
      </c>
      <c r="F9488" s="446"/>
      <c r="G9488" s="447"/>
      <c r="H9488" s="448"/>
      <c r="I9488" s="449">
        <f>IF(AND(E9488&lt;&gt;"",G9488&lt;&gt;""),IF(D9488="",IF(G9488="OH",VLOOKUP(E9488,UPAH!$C$4:$H$31,7,0),VLOOKUP(E9488,#REF!,4,0)),0),0)</f>
        <v>0</v>
      </c>
      <c r="J9488" s="16">
        <f>SUM(J9477:J9487)/2</f>
        <v>0</v>
      </c>
    </row>
    <row r="9489" spans="1:10" ht="13.5" thickBot="1">
      <c r="A9489" s="27"/>
      <c r="B9489" s="110"/>
      <c r="D9489" s="431" t="s">
        <v>70</v>
      </c>
      <c r="E9489" s="432" t="s">
        <v>477</v>
      </c>
      <c r="F9489" s="433"/>
      <c r="G9489" s="434"/>
      <c r="H9489" s="22">
        <v>0.1</v>
      </c>
      <c r="I9489" s="436"/>
      <c r="J9489" s="430">
        <f>H9489*J9488</f>
        <v>0</v>
      </c>
    </row>
    <row r="9490" spans="1:10" ht="13.5" thickBot="1">
      <c r="A9490" s="27"/>
      <c r="B9490" s="110"/>
      <c r="D9490" s="401" t="s">
        <v>71</v>
      </c>
      <c r="E9490" s="402" t="s">
        <v>72</v>
      </c>
      <c r="F9490" s="418"/>
      <c r="G9490" s="419"/>
      <c r="H9490" s="442"/>
      <c r="I9490" s="421">
        <f>IF(AND(E9490&lt;&gt;"",G9490&lt;&gt;""),IF(D9490="",IF(G9490="OH",VLOOKUP(E9490,UPAH!$C$4:$H$31,7,0),VLOOKUP(E9490,#REF!,4,0)),0),0)</f>
        <v>0</v>
      </c>
      <c r="J9490" s="396">
        <f>ROUNDDOWN(J9488+J9489,0)</f>
        <v>0</v>
      </c>
    </row>
    <row r="9491" spans="1:10" ht="13">
      <c r="A9491" s="27"/>
      <c r="B9491" s="110"/>
      <c r="D9491" s="11"/>
      <c r="E9491" s="11"/>
      <c r="H9491" s="443"/>
      <c r="I9491" s="17"/>
      <c r="J9491" s="18"/>
    </row>
    <row r="9492" spans="1:10" ht="13.5" thickBot="1">
      <c r="A9492" s="27"/>
      <c r="B9492" s="110"/>
      <c r="C9492" s="11" t="s">
        <v>1420</v>
      </c>
      <c r="D9492" s="10" t="s">
        <v>1520</v>
      </c>
      <c r="H9492" s="443"/>
    </row>
    <row r="9493" spans="1:10" ht="13.5" thickBot="1">
      <c r="A9493" s="27"/>
      <c r="B9493" s="110"/>
      <c r="D9493" s="401" t="s">
        <v>40</v>
      </c>
      <c r="E9493" s="402" t="s">
        <v>41</v>
      </c>
      <c r="F9493" s="402" t="s">
        <v>42</v>
      </c>
      <c r="G9493" s="403" t="s">
        <v>43</v>
      </c>
      <c r="H9493" s="404" t="s">
        <v>44</v>
      </c>
      <c r="I9493" s="402" t="s">
        <v>474</v>
      </c>
      <c r="J9493" s="405" t="s">
        <v>475</v>
      </c>
    </row>
    <row r="9494" spans="1:10" ht="13">
      <c r="A9494" s="27"/>
      <c r="B9494" s="110"/>
      <c r="D9494" s="444" t="s">
        <v>45</v>
      </c>
      <c r="E9494" s="445" t="s">
        <v>46</v>
      </c>
      <c r="F9494" s="446"/>
      <c r="G9494" s="447"/>
      <c r="H9494" s="448"/>
      <c r="I9494" s="449"/>
      <c r="J9494" s="450"/>
    </row>
    <row r="9495" spans="1:10" ht="13">
      <c r="A9495" s="27"/>
      <c r="B9495" s="110"/>
      <c r="D9495" s="409"/>
      <c r="E9495" s="13" t="s">
        <v>47</v>
      </c>
      <c r="F9495" s="13" t="s">
        <v>1918</v>
      </c>
      <c r="G9495" s="543" t="s">
        <v>48</v>
      </c>
      <c r="H9495" s="548">
        <v>0.64800000000000002</v>
      </c>
      <c r="I9495" s="412">
        <f>IF(AND(E9495&lt;&gt;"",G9495&lt;&gt;""),IF(D9495="",IF(G9495="OH",VLOOKUP(F9495,UPAH!$B$4:$H$101,7,0),VLOOKUP(F9495,#REF!,4,0)),0),0)</f>
        <v>0</v>
      </c>
      <c r="J9495" s="16">
        <f>H9495*I9495</f>
        <v>0</v>
      </c>
    </row>
    <row r="9496" spans="1:10" ht="13">
      <c r="A9496" s="27"/>
      <c r="B9496" s="110"/>
      <c r="D9496" s="409"/>
      <c r="E9496" s="13" t="s">
        <v>283</v>
      </c>
      <c r="F9496" s="13" t="s">
        <v>1913</v>
      </c>
      <c r="G9496" s="543" t="s">
        <v>48</v>
      </c>
      <c r="H9496" s="548">
        <v>0.13</v>
      </c>
      <c r="I9496" s="412">
        <f>IF(AND(E9496&lt;&gt;"",G9496&lt;&gt;""),IF(D9496="",IF(G9496="OH",VLOOKUP(F9496,UPAH!$B$4:$H$101,7,0),VLOOKUP(F9496,#REF!,4,0)),0),0)</f>
        <v>0</v>
      </c>
      <c r="J9496" s="16">
        <f>H9496*I9496</f>
        <v>0</v>
      </c>
    </row>
    <row r="9497" spans="1:10" ht="13.5" thickBot="1">
      <c r="A9497" s="27"/>
      <c r="B9497" s="110"/>
      <c r="D9497" s="409"/>
      <c r="E9497" s="13" t="s">
        <v>51</v>
      </c>
      <c r="F9497" s="13" t="s">
        <v>1929</v>
      </c>
      <c r="G9497" s="543" t="s">
        <v>48</v>
      </c>
      <c r="H9497" s="548">
        <v>6.5000000000000002E-2</v>
      </c>
      <c r="I9497" s="412">
        <f>IF(AND(E9497&lt;&gt;"",G9497&lt;&gt;""),IF(D9497="",IF(G9497="OH",VLOOKUP(F9497,UPAH!$B$4:$H$101,7,0),VLOOKUP(F9497,#REF!,4,0)),0),0)</f>
        <v>0</v>
      </c>
      <c r="J9497" s="16">
        <f>H9497*I9497</f>
        <v>0</v>
      </c>
    </row>
    <row r="9498" spans="1:10" ht="13.5" thickBot="1">
      <c r="A9498" s="27"/>
      <c r="B9498" s="110"/>
      <c r="D9498" s="417"/>
      <c r="E9498" s="418"/>
      <c r="F9498" s="418"/>
      <c r="G9498" s="419"/>
      <c r="H9498" s="420" t="s">
        <v>52</v>
      </c>
      <c r="I9498" s="421"/>
      <c r="J9498" s="396">
        <f>SUM(J9494:J9497)</f>
        <v>0</v>
      </c>
    </row>
    <row r="9499" spans="1:10" ht="13">
      <c r="A9499" s="27"/>
      <c r="B9499" s="110"/>
      <c r="D9499" s="406" t="s">
        <v>53</v>
      </c>
      <c r="E9499" s="13" t="s">
        <v>54</v>
      </c>
      <c r="F9499" s="14"/>
      <c r="G9499" s="15"/>
      <c r="H9499" s="451"/>
      <c r="I9499" s="412"/>
      <c r="J9499" s="16"/>
    </row>
    <row r="9500" spans="1:10" ht="13.5" thickBot="1">
      <c r="A9500" s="27"/>
      <c r="B9500" s="110"/>
      <c r="D9500" s="409"/>
      <c r="E9500" s="13" t="s">
        <v>417</v>
      </c>
      <c r="F9500" s="14"/>
      <c r="G9500" s="543" t="s">
        <v>113</v>
      </c>
      <c r="H9500" s="548">
        <v>1</v>
      </c>
      <c r="I9500" s="412">
        <f>'BAHAN '!G362</f>
        <v>0</v>
      </c>
      <c r="J9500" s="16">
        <f>H9500*I9500</f>
        <v>0</v>
      </c>
    </row>
    <row r="9501" spans="1:10" ht="13.5" thickBot="1">
      <c r="A9501" s="27"/>
      <c r="B9501" s="110"/>
      <c r="D9501" s="417"/>
      <c r="E9501" s="418"/>
      <c r="F9501" s="418"/>
      <c r="G9501" s="419"/>
      <c r="H9501" s="420" t="s">
        <v>64</v>
      </c>
      <c r="I9501" s="421"/>
      <c r="J9501" s="396">
        <f>SUM(J9500)</f>
        <v>0</v>
      </c>
    </row>
    <row r="9502" spans="1:10" ht="13">
      <c r="A9502" s="27"/>
      <c r="B9502" s="110"/>
      <c r="D9502" s="406" t="s">
        <v>65</v>
      </c>
      <c r="E9502" s="13" t="s">
        <v>66</v>
      </c>
      <c r="F9502" s="14"/>
      <c r="G9502" s="15"/>
      <c r="H9502" s="451"/>
      <c r="I9502" s="412"/>
      <c r="J9502" s="16"/>
    </row>
    <row r="9503" spans="1:10" ht="13.5" thickBot="1">
      <c r="A9503" s="27"/>
      <c r="B9503" s="110"/>
      <c r="D9503" s="409"/>
      <c r="E9503" s="13" t="s">
        <v>446</v>
      </c>
      <c r="F9503" s="14"/>
      <c r="G9503" s="543" t="s">
        <v>285</v>
      </c>
      <c r="H9503" s="548">
        <v>4.0000000000000001E-3</v>
      </c>
      <c r="I9503" s="412">
        <f>Alat!H102</f>
        <v>0</v>
      </c>
      <c r="J9503" s="16">
        <f>H9503*I9503</f>
        <v>0</v>
      </c>
    </row>
    <row r="9504" spans="1:10" ht="13.5" thickBot="1">
      <c r="A9504" s="27"/>
      <c r="B9504" s="110"/>
      <c r="D9504" s="417"/>
      <c r="E9504" s="418"/>
      <c r="F9504" s="418"/>
      <c r="G9504" s="419"/>
      <c r="H9504" s="420" t="s">
        <v>67</v>
      </c>
      <c r="I9504" s="421"/>
      <c r="J9504" s="396">
        <f>J9503</f>
        <v>0</v>
      </c>
    </row>
    <row r="9505" spans="1:10" ht="13">
      <c r="A9505" s="27"/>
      <c r="B9505" s="110"/>
      <c r="D9505" s="444" t="s">
        <v>68</v>
      </c>
      <c r="E9505" s="445" t="s">
        <v>69</v>
      </c>
      <c r="F9505" s="446"/>
      <c r="G9505" s="447"/>
      <c r="H9505" s="448"/>
      <c r="I9505" s="449">
        <f>IF(AND(E9505&lt;&gt;"",G9505&lt;&gt;""),IF(D9505="",IF(G9505="OH",VLOOKUP(E9505,UPAH!$C$4:$H$31,7,0),VLOOKUP(E9505,#REF!,4,0)),0),0)</f>
        <v>0</v>
      </c>
      <c r="J9505" s="16">
        <f>SUM(J9494:J9504)/2</f>
        <v>0</v>
      </c>
    </row>
    <row r="9506" spans="1:10" ht="13.5" thickBot="1">
      <c r="A9506" s="27"/>
      <c r="B9506" s="110"/>
      <c r="D9506" s="431" t="s">
        <v>70</v>
      </c>
      <c r="E9506" s="432" t="s">
        <v>477</v>
      </c>
      <c r="F9506" s="433"/>
      <c r="G9506" s="434"/>
      <c r="H9506" s="22">
        <v>0.1</v>
      </c>
      <c r="I9506" s="436"/>
      <c r="J9506" s="430">
        <f>H9506*J9505</f>
        <v>0</v>
      </c>
    </row>
    <row r="9507" spans="1:10" ht="13.5" thickBot="1">
      <c r="A9507" s="27"/>
      <c r="B9507" s="110"/>
      <c r="D9507" s="401" t="s">
        <v>71</v>
      </c>
      <c r="E9507" s="402" t="s">
        <v>72</v>
      </c>
      <c r="F9507" s="418"/>
      <c r="G9507" s="419"/>
      <c r="H9507" s="442"/>
      <c r="I9507" s="421">
        <f>IF(AND(E9507&lt;&gt;"",G9507&lt;&gt;""),IF(D9507="",IF(G9507="OH",VLOOKUP(E9507,UPAH!$C$4:$H$31,7,0),VLOOKUP(E9507,#REF!,4,0)),0),0)</f>
        <v>0</v>
      </c>
      <c r="J9507" s="396">
        <f>ROUNDDOWN(J9505+J9506,0)</f>
        <v>0</v>
      </c>
    </row>
    <row r="9508" spans="1:10" ht="13">
      <c r="A9508" s="27"/>
      <c r="B9508" s="110"/>
      <c r="D9508" s="11"/>
      <c r="E9508" s="11"/>
      <c r="H9508" s="443"/>
      <c r="I9508" s="17"/>
      <c r="J9508" s="18"/>
    </row>
    <row r="9509" spans="1:10" ht="13.5" thickBot="1">
      <c r="A9509" s="27"/>
      <c r="B9509" s="110"/>
      <c r="C9509" s="11" t="s">
        <v>1419</v>
      </c>
      <c r="D9509" s="10" t="s">
        <v>1521</v>
      </c>
      <c r="H9509" s="443"/>
    </row>
    <row r="9510" spans="1:10" ht="13.5" thickBot="1">
      <c r="A9510" s="27"/>
      <c r="B9510" s="110"/>
      <c r="D9510" s="401" t="s">
        <v>40</v>
      </c>
      <c r="E9510" s="402" t="s">
        <v>41</v>
      </c>
      <c r="F9510" s="402" t="s">
        <v>42</v>
      </c>
      <c r="G9510" s="403" t="s">
        <v>43</v>
      </c>
      <c r="H9510" s="404" t="s">
        <v>44</v>
      </c>
      <c r="I9510" s="402" t="s">
        <v>474</v>
      </c>
      <c r="J9510" s="405" t="s">
        <v>475</v>
      </c>
    </row>
    <row r="9511" spans="1:10" ht="13">
      <c r="A9511" s="27"/>
      <c r="B9511" s="110"/>
      <c r="D9511" s="444" t="s">
        <v>45</v>
      </c>
      <c r="E9511" s="445" t="s">
        <v>46</v>
      </c>
      <c r="F9511" s="446"/>
      <c r="G9511" s="447"/>
      <c r="H9511" s="448"/>
      <c r="I9511" s="449"/>
      <c r="J9511" s="450"/>
    </row>
    <row r="9512" spans="1:10" ht="13">
      <c r="A9512" s="27"/>
      <c r="B9512" s="110"/>
      <c r="D9512" s="409"/>
      <c r="E9512" s="13" t="s">
        <v>47</v>
      </c>
      <c r="F9512" s="13" t="s">
        <v>1918</v>
      </c>
      <c r="G9512" s="543" t="s">
        <v>48</v>
      </c>
      <c r="H9512" s="548">
        <v>0.70799999999999996</v>
      </c>
      <c r="I9512" s="412">
        <f>IF(AND(E9512&lt;&gt;"",G9512&lt;&gt;""),IF(D9512="",IF(G9512="OH",VLOOKUP(F9512,UPAH!$B$4:$H$101,7,0),VLOOKUP(F9512,#REF!,4,0)),0),0)</f>
        <v>0</v>
      </c>
      <c r="J9512" s="16">
        <f>H9512*I9512</f>
        <v>0</v>
      </c>
    </row>
    <row r="9513" spans="1:10" ht="13">
      <c r="A9513" s="27"/>
      <c r="B9513" s="110"/>
      <c r="D9513" s="409"/>
      <c r="E9513" s="13" t="s">
        <v>283</v>
      </c>
      <c r="F9513" s="13" t="s">
        <v>1913</v>
      </c>
      <c r="G9513" s="543" t="s">
        <v>48</v>
      </c>
      <c r="H9513" s="548">
        <v>0.14199999999999999</v>
      </c>
      <c r="I9513" s="412">
        <f>IF(AND(E9513&lt;&gt;"",G9513&lt;&gt;""),IF(D9513="",IF(G9513="OH",VLOOKUP(F9513,UPAH!$B$4:$H$101,7,0),VLOOKUP(F9513,#REF!,4,0)),0),0)</f>
        <v>0</v>
      </c>
      <c r="J9513" s="16">
        <f>H9513*I9513</f>
        <v>0</v>
      </c>
    </row>
    <row r="9514" spans="1:10" ht="13.5" thickBot="1">
      <c r="A9514" s="27"/>
      <c r="B9514" s="110"/>
      <c r="D9514" s="409"/>
      <c r="E9514" s="13" t="s">
        <v>51</v>
      </c>
      <c r="F9514" s="13" t="s">
        <v>1929</v>
      </c>
      <c r="G9514" s="543" t="s">
        <v>48</v>
      </c>
      <c r="H9514" s="548">
        <v>7.0999999999999994E-2</v>
      </c>
      <c r="I9514" s="412">
        <f>IF(AND(E9514&lt;&gt;"",G9514&lt;&gt;""),IF(D9514="",IF(G9514="OH",VLOOKUP(F9514,UPAH!$B$4:$H$101,7,0),VLOOKUP(F9514,#REF!,4,0)),0),0)</f>
        <v>0</v>
      </c>
      <c r="J9514" s="16">
        <f>H9514*I9514</f>
        <v>0</v>
      </c>
    </row>
    <row r="9515" spans="1:10" ht="13.5" thickBot="1">
      <c r="A9515" s="27"/>
      <c r="B9515" s="110"/>
      <c r="D9515" s="417"/>
      <c r="E9515" s="418"/>
      <c r="F9515" s="418"/>
      <c r="G9515" s="419"/>
      <c r="H9515" s="420" t="s">
        <v>52</v>
      </c>
      <c r="I9515" s="421"/>
      <c r="J9515" s="396">
        <f>SUM(J9511:J9514)</f>
        <v>0</v>
      </c>
    </row>
    <row r="9516" spans="1:10" ht="13">
      <c r="A9516" s="27"/>
      <c r="B9516" s="110"/>
      <c r="D9516" s="406" t="s">
        <v>53</v>
      </c>
      <c r="E9516" s="13" t="s">
        <v>54</v>
      </c>
      <c r="F9516" s="14"/>
      <c r="G9516" s="15"/>
      <c r="H9516" s="451"/>
      <c r="I9516" s="412"/>
      <c r="J9516" s="16"/>
    </row>
    <row r="9517" spans="1:10" ht="13.5" thickBot="1">
      <c r="A9517" s="27"/>
      <c r="B9517" s="110"/>
      <c r="D9517" s="409"/>
      <c r="E9517" s="13" t="s">
        <v>418</v>
      </c>
      <c r="F9517" s="14"/>
      <c r="G9517" s="543" t="s">
        <v>113</v>
      </c>
      <c r="H9517" s="548">
        <v>1</v>
      </c>
      <c r="I9517" s="412">
        <f>'BAHAN '!G361</f>
        <v>0</v>
      </c>
      <c r="J9517" s="16">
        <f>H9517*I9517</f>
        <v>0</v>
      </c>
    </row>
    <row r="9518" spans="1:10" ht="13.5" thickBot="1">
      <c r="A9518" s="27"/>
      <c r="B9518" s="110"/>
      <c r="D9518" s="417"/>
      <c r="E9518" s="418"/>
      <c r="F9518" s="418"/>
      <c r="G9518" s="419"/>
      <c r="H9518" s="420" t="s">
        <v>64</v>
      </c>
      <c r="I9518" s="421"/>
      <c r="J9518" s="396">
        <f>SUM(J9517)</f>
        <v>0</v>
      </c>
    </row>
    <row r="9519" spans="1:10" ht="13">
      <c r="A9519" s="27"/>
      <c r="B9519" s="110"/>
      <c r="D9519" s="406" t="s">
        <v>65</v>
      </c>
      <c r="E9519" s="13" t="s">
        <v>66</v>
      </c>
      <c r="F9519" s="14"/>
      <c r="G9519" s="15"/>
      <c r="H9519" s="451"/>
      <c r="I9519" s="412"/>
      <c r="J9519" s="16"/>
    </row>
    <row r="9520" spans="1:10" ht="13.5" thickBot="1">
      <c r="A9520" s="27"/>
      <c r="B9520" s="110"/>
      <c r="D9520" s="409"/>
      <c r="E9520" s="13" t="s">
        <v>446</v>
      </c>
      <c r="F9520" s="14"/>
      <c r="G9520" s="543" t="s">
        <v>285</v>
      </c>
      <c r="H9520" s="548">
        <v>4.0000000000000001E-3</v>
      </c>
      <c r="I9520" s="412">
        <f>Alat!H102</f>
        <v>0</v>
      </c>
      <c r="J9520" s="16">
        <f>H9520*I9520</f>
        <v>0</v>
      </c>
    </row>
    <row r="9521" spans="1:10" ht="13.5" thickBot="1">
      <c r="A9521" s="27"/>
      <c r="B9521" s="110"/>
      <c r="D9521" s="417"/>
      <c r="E9521" s="418"/>
      <c r="F9521" s="418"/>
      <c r="G9521" s="419"/>
      <c r="H9521" s="420" t="s">
        <v>67</v>
      </c>
      <c r="I9521" s="421"/>
      <c r="J9521" s="396">
        <f>J9520</f>
        <v>0</v>
      </c>
    </row>
    <row r="9522" spans="1:10" ht="13">
      <c r="A9522" s="27"/>
      <c r="B9522" s="110"/>
      <c r="D9522" s="444" t="s">
        <v>68</v>
      </c>
      <c r="E9522" s="445" t="s">
        <v>69</v>
      </c>
      <c r="F9522" s="446"/>
      <c r="G9522" s="447"/>
      <c r="H9522" s="448"/>
      <c r="I9522" s="449">
        <f>IF(AND(E9522&lt;&gt;"",G9522&lt;&gt;""),IF(D9522="",IF(G9522="OH",VLOOKUP(E9522,UPAH!$C$4:$H$31,7,0),VLOOKUP(E9522,#REF!,4,0)),0),0)</f>
        <v>0</v>
      </c>
      <c r="J9522" s="16">
        <f>SUM(J9511:J9521)/2</f>
        <v>0</v>
      </c>
    </row>
    <row r="9523" spans="1:10" ht="13.5" thickBot="1">
      <c r="A9523" s="27"/>
      <c r="B9523" s="110"/>
      <c r="D9523" s="431" t="s">
        <v>70</v>
      </c>
      <c r="E9523" s="432" t="s">
        <v>477</v>
      </c>
      <c r="F9523" s="433"/>
      <c r="G9523" s="434"/>
      <c r="H9523" s="22">
        <v>0.1</v>
      </c>
      <c r="I9523" s="436"/>
      <c r="J9523" s="430">
        <f>H9523*J9522</f>
        <v>0</v>
      </c>
    </row>
    <row r="9524" spans="1:10" ht="13.5" thickBot="1">
      <c r="A9524" s="27"/>
      <c r="B9524" s="110"/>
      <c r="D9524" s="401" t="s">
        <v>71</v>
      </c>
      <c r="E9524" s="402" t="s">
        <v>72</v>
      </c>
      <c r="F9524" s="418"/>
      <c r="G9524" s="419"/>
      <c r="H9524" s="442"/>
      <c r="I9524" s="421">
        <f>IF(AND(E9524&lt;&gt;"",G9524&lt;&gt;""),IF(D9524="",IF(G9524="OH",VLOOKUP(E9524,UPAH!$C$4:$H$31,7,0),VLOOKUP(E9524,#REF!,4,0)),0),0)</f>
        <v>0</v>
      </c>
      <c r="J9524" s="396">
        <f>ROUNDDOWN(J9522+J9523,0)</f>
        <v>0</v>
      </c>
    </row>
    <row r="9525" spans="1:10" ht="13">
      <c r="A9525" s="27"/>
      <c r="B9525" s="110"/>
      <c r="D9525" s="11"/>
      <c r="E9525" s="11"/>
      <c r="H9525" s="443"/>
      <c r="I9525" s="17"/>
      <c r="J9525" s="18"/>
    </row>
    <row r="9526" spans="1:10" ht="13.5" thickBot="1">
      <c r="A9526" s="27"/>
      <c r="B9526" s="110"/>
      <c r="C9526" s="11" t="s">
        <v>1418</v>
      </c>
      <c r="D9526" s="10" t="s">
        <v>1522</v>
      </c>
      <c r="H9526" s="443"/>
    </row>
    <row r="9527" spans="1:10" ht="13.5" thickBot="1">
      <c r="A9527" s="27"/>
      <c r="B9527" s="110"/>
      <c r="D9527" s="401" t="s">
        <v>40</v>
      </c>
      <c r="E9527" s="402" t="s">
        <v>41</v>
      </c>
      <c r="F9527" s="402" t="s">
        <v>42</v>
      </c>
      <c r="G9527" s="403" t="s">
        <v>43</v>
      </c>
      <c r="H9527" s="404" t="s">
        <v>44</v>
      </c>
      <c r="I9527" s="402" t="s">
        <v>474</v>
      </c>
      <c r="J9527" s="405" t="s">
        <v>475</v>
      </c>
    </row>
    <row r="9528" spans="1:10" ht="13">
      <c r="A9528" s="27"/>
      <c r="B9528" s="110"/>
      <c r="D9528" s="444" t="s">
        <v>45</v>
      </c>
      <c r="E9528" s="445" t="s">
        <v>46</v>
      </c>
      <c r="F9528" s="446"/>
      <c r="G9528" s="447"/>
      <c r="H9528" s="448"/>
      <c r="I9528" s="449"/>
      <c r="J9528" s="450"/>
    </row>
    <row r="9529" spans="1:10" ht="13">
      <c r="A9529" s="27"/>
      <c r="B9529" s="110"/>
      <c r="D9529" s="409"/>
      <c r="E9529" s="13" t="s">
        <v>47</v>
      </c>
      <c r="F9529" s="13" t="s">
        <v>1918</v>
      </c>
      <c r="G9529" s="543" t="s">
        <v>48</v>
      </c>
      <c r="H9529" s="548">
        <v>1.113</v>
      </c>
      <c r="I9529" s="412">
        <f>IF(AND(E9529&lt;&gt;"",G9529&lt;&gt;""),IF(D9529="",IF(G9529="OH",VLOOKUP(F9529,UPAH!$B$4:$H$101,7,0),VLOOKUP(F9529,#REF!,4,0)),0),0)</f>
        <v>0</v>
      </c>
      <c r="J9529" s="16">
        <f>H9529*I9529</f>
        <v>0</v>
      </c>
    </row>
    <row r="9530" spans="1:10" ht="13">
      <c r="A9530" s="27"/>
      <c r="B9530" s="110"/>
      <c r="D9530" s="409"/>
      <c r="E9530" s="13" t="s">
        <v>283</v>
      </c>
      <c r="F9530" s="13" t="s">
        <v>1913</v>
      </c>
      <c r="G9530" s="543" t="s">
        <v>48</v>
      </c>
      <c r="H9530" s="548">
        <v>0.223</v>
      </c>
      <c r="I9530" s="412">
        <f>IF(AND(E9530&lt;&gt;"",G9530&lt;&gt;""),IF(D9530="",IF(G9530="OH",VLOOKUP(F9530,UPAH!$B$4:$H$101,7,0),VLOOKUP(F9530,#REF!,4,0)),0),0)</f>
        <v>0</v>
      </c>
      <c r="J9530" s="16">
        <f>H9530*I9530</f>
        <v>0</v>
      </c>
    </row>
    <row r="9531" spans="1:10" ht="13.5" thickBot="1">
      <c r="A9531" s="27"/>
      <c r="B9531" s="110"/>
      <c r="D9531" s="409"/>
      <c r="E9531" s="13" t="s">
        <v>51</v>
      </c>
      <c r="F9531" s="13" t="s">
        <v>1929</v>
      </c>
      <c r="G9531" s="543" t="s">
        <v>48</v>
      </c>
      <c r="H9531" s="548">
        <v>0.111</v>
      </c>
      <c r="I9531" s="412">
        <f>IF(AND(E9531&lt;&gt;"",G9531&lt;&gt;""),IF(D9531="",IF(G9531="OH",VLOOKUP(F9531,UPAH!$B$4:$H$101,7,0),VLOOKUP(F9531,#REF!,4,0)),0),0)</f>
        <v>0</v>
      </c>
      <c r="J9531" s="16">
        <f>H9531*I9531</f>
        <v>0</v>
      </c>
    </row>
    <row r="9532" spans="1:10" ht="13.5" thickBot="1">
      <c r="A9532" s="27"/>
      <c r="B9532" s="110"/>
      <c r="D9532" s="417"/>
      <c r="E9532" s="418"/>
      <c r="F9532" s="418"/>
      <c r="G9532" s="419"/>
      <c r="H9532" s="420" t="s">
        <v>52</v>
      </c>
      <c r="I9532" s="421"/>
      <c r="J9532" s="396">
        <f>SUM(J9528:J9531)</f>
        <v>0</v>
      </c>
    </row>
    <row r="9533" spans="1:10" ht="13">
      <c r="A9533" s="27"/>
      <c r="B9533" s="110"/>
      <c r="D9533" s="406" t="s">
        <v>53</v>
      </c>
      <c r="E9533" s="13" t="s">
        <v>54</v>
      </c>
      <c r="F9533" s="14"/>
      <c r="G9533" s="15"/>
      <c r="H9533" s="451"/>
      <c r="I9533" s="412"/>
      <c r="J9533" s="16"/>
    </row>
    <row r="9534" spans="1:10" ht="13.5" thickBot="1">
      <c r="A9534" s="27"/>
      <c r="B9534" s="110"/>
      <c r="D9534" s="409"/>
      <c r="E9534" s="13" t="s">
        <v>419</v>
      </c>
      <c r="F9534" s="14"/>
      <c r="G9534" s="543" t="s">
        <v>113</v>
      </c>
      <c r="H9534" s="548">
        <v>1</v>
      </c>
      <c r="I9534" s="412">
        <f>'BAHAN '!G360</f>
        <v>0</v>
      </c>
      <c r="J9534" s="16">
        <f>H9534*I9534</f>
        <v>0</v>
      </c>
    </row>
    <row r="9535" spans="1:10" ht="13.5" thickBot="1">
      <c r="A9535" s="27"/>
      <c r="B9535" s="110"/>
      <c r="D9535" s="417"/>
      <c r="E9535" s="418"/>
      <c r="F9535" s="418"/>
      <c r="G9535" s="419"/>
      <c r="H9535" s="420" t="s">
        <v>64</v>
      </c>
      <c r="I9535" s="421"/>
      <c r="J9535" s="396">
        <f>SUM(J9534)</f>
        <v>0</v>
      </c>
    </row>
    <row r="9536" spans="1:10" ht="13">
      <c r="A9536" s="27"/>
      <c r="B9536" s="110"/>
      <c r="D9536" s="406" t="s">
        <v>65</v>
      </c>
      <c r="E9536" s="13" t="s">
        <v>66</v>
      </c>
      <c r="F9536" s="14"/>
      <c r="G9536" s="15"/>
      <c r="H9536" s="451"/>
      <c r="I9536" s="412"/>
      <c r="J9536" s="16"/>
    </row>
    <row r="9537" spans="1:10" ht="13.5" thickBot="1">
      <c r="A9537" s="27"/>
      <c r="B9537" s="110"/>
      <c r="D9537" s="409"/>
      <c r="E9537" s="13" t="s">
        <v>446</v>
      </c>
      <c r="F9537" s="14"/>
      <c r="G9537" s="543" t="s">
        <v>285</v>
      </c>
      <c r="H9537" s="548">
        <v>4.0000000000000001E-3</v>
      </c>
      <c r="I9537" s="412">
        <f>Alat!H102</f>
        <v>0</v>
      </c>
      <c r="J9537" s="16">
        <f>H9537*I9537</f>
        <v>0</v>
      </c>
    </row>
    <row r="9538" spans="1:10" ht="13.5" thickBot="1">
      <c r="A9538" s="27"/>
      <c r="B9538" s="110"/>
      <c r="D9538" s="417"/>
      <c r="E9538" s="418"/>
      <c r="F9538" s="418"/>
      <c r="G9538" s="419"/>
      <c r="H9538" s="420" t="s">
        <v>67</v>
      </c>
      <c r="I9538" s="421"/>
      <c r="J9538" s="396">
        <f>J9537</f>
        <v>0</v>
      </c>
    </row>
    <row r="9539" spans="1:10" ht="13">
      <c r="A9539" s="27"/>
      <c r="B9539" s="110"/>
      <c r="D9539" s="444" t="s">
        <v>68</v>
      </c>
      <c r="E9539" s="445" t="s">
        <v>69</v>
      </c>
      <c r="F9539" s="446"/>
      <c r="G9539" s="447"/>
      <c r="H9539" s="448"/>
      <c r="I9539" s="449">
        <f>IF(AND(E9539&lt;&gt;"",G9539&lt;&gt;""),IF(D9539="",IF(G9539="OH",VLOOKUP(E9539,UPAH!$C$4:$H$31,7,0),VLOOKUP(E9539,#REF!,4,0)),0),0)</f>
        <v>0</v>
      </c>
      <c r="J9539" s="16">
        <f>SUM(J9528:J9538)/2</f>
        <v>0</v>
      </c>
    </row>
    <row r="9540" spans="1:10" ht="13.5" thickBot="1">
      <c r="A9540" s="27"/>
      <c r="B9540" s="110"/>
      <c r="D9540" s="431" t="s">
        <v>70</v>
      </c>
      <c r="E9540" s="432" t="s">
        <v>477</v>
      </c>
      <c r="F9540" s="433"/>
      <c r="G9540" s="434"/>
      <c r="H9540" s="22">
        <v>0.1</v>
      </c>
      <c r="I9540" s="436"/>
      <c r="J9540" s="430">
        <f>H9540*J9539</f>
        <v>0</v>
      </c>
    </row>
    <row r="9541" spans="1:10" ht="13.5" thickBot="1">
      <c r="A9541" s="27"/>
      <c r="B9541" s="110"/>
      <c r="D9541" s="401" t="s">
        <v>71</v>
      </c>
      <c r="E9541" s="402" t="s">
        <v>72</v>
      </c>
      <c r="F9541" s="418"/>
      <c r="G9541" s="419"/>
      <c r="H9541" s="442"/>
      <c r="I9541" s="421">
        <f>IF(AND(E9541&lt;&gt;"",G9541&lt;&gt;""),IF(D9541="",IF(G9541="OH",VLOOKUP(E9541,UPAH!$C$4:$H$31,7,0),VLOOKUP(E9541,#REF!,4,0)),0),0)</f>
        <v>0</v>
      </c>
      <c r="J9541" s="396">
        <f>ROUNDDOWN(J9539+J9540,0)</f>
        <v>0</v>
      </c>
    </row>
    <row r="9542" spans="1:10" ht="13">
      <c r="A9542" s="27"/>
      <c r="B9542" s="110"/>
      <c r="D9542" s="11"/>
      <c r="E9542" s="11"/>
      <c r="H9542" s="443"/>
      <c r="I9542" s="17"/>
      <c r="J9542" s="18"/>
    </row>
    <row r="9543" spans="1:10" ht="13.5" thickBot="1">
      <c r="A9543" s="27"/>
      <c r="B9543" s="110"/>
      <c r="C9543" s="11" t="s">
        <v>1417</v>
      </c>
      <c r="D9543" s="10" t="s">
        <v>1523</v>
      </c>
      <c r="H9543" s="443"/>
    </row>
    <row r="9544" spans="1:10" ht="13.5" thickBot="1">
      <c r="A9544" s="27"/>
      <c r="B9544" s="110"/>
      <c r="D9544" s="401" t="s">
        <v>40</v>
      </c>
      <c r="E9544" s="402" t="s">
        <v>41</v>
      </c>
      <c r="F9544" s="402" t="s">
        <v>42</v>
      </c>
      <c r="G9544" s="403" t="s">
        <v>43</v>
      </c>
      <c r="H9544" s="404" t="s">
        <v>44</v>
      </c>
      <c r="I9544" s="402" t="s">
        <v>474</v>
      </c>
      <c r="J9544" s="405" t="s">
        <v>475</v>
      </c>
    </row>
    <row r="9545" spans="1:10" ht="13">
      <c r="A9545" s="27"/>
      <c r="B9545" s="110"/>
      <c r="D9545" s="444" t="s">
        <v>45</v>
      </c>
      <c r="E9545" s="445" t="s">
        <v>46</v>
      </c>
      <c r="F9545" s="446"/>
      <c r="G9545" s="447"/>
      <c r="H9545" s="448"/>
      <c r="I9545" s="449"/>
      <c r="J9545" s="450"/>
    </row>
    <row r="9546" spans="1:10" ht="13">
      <c r="A9546" s="27"/>
      <c r="B9546" s="110"/>
      <c r="D9546" s="409"/>
      <c r="E9546" s="13" t="s">
        <v>47</v>
      </c>
      <c r="F9546" s="13" t="s">
        <v>1918</v>
      </c>
      <c r="G9546" s="543" t="s">
        <v>48</v>
      </c>
      <c r="H9546" s="548">
        <v>1.325</v>
      </c>
      <c r="I9546" s="412">
        <f>IF(AND(E9546&lt;&gt;"",G9546&lt;&gt;""),IF(D9546="",IF(G9546="OH",VLOOKUP(F9546,UPAH!$B$4:$H$101,7,0),VLOOKUP(F9546,#REF!,4,0)),0),0)</f>
        <v>0</v>
      </c>
      <c r="J9546" s="16">
        <f>H9546*I9546</f>
        <v>0</v>
      </c>
    </row>
    <row r="9547" spans="1:10" ht="13">
      <c r="A9547" s="27"/>
      <c r="B9547" s="110"/>
      <c r="D9547" s="409"/>
      <c r="E9547" s="13" t="s">
        <v>283</v>
      </c>
      <c r="F9547" s="13" t="s">
        <v>1913</v>
      </c>
      <c r="G9547" s="543" t="s">
        <v>48</v>
      </c>
      <c r="H9547" s="548">
        <v>0.26500000000000001</v>
      </c>
      <c r="I9547" s="412">
        <f>IF(AND(E9547&lt;&gt;"",G9547&lt;&gt;""),IF(D9547="",IF(G9547="OH",VLOOKUP(F9547,UPAH!$B$4:$H$101,7,0),VLOOKUP(F9547,#REF!,4,0)),0),0)</f>
        <v>0</v>
      </c>
      <c r="J9547" s="16">
        <f>H9547*I9547</f>
        <v>0</v>
      </c>
    </row>
    <row r="9548" spans="1:10" ht="13.5" thickBot="1">
      <c r="A9548" s="27"/>
      <c r="B9548" s="110"/>
      <c r="D9548" s="409"/>
      <c r="E9548" s="13" t="s">
        <v>51</v>
      </c>
      <c r="F9548" s="13" t="s">
        <v>1929</v>
      </c>
      <c r="G9548" s="543" t="s">
        <v>48</v>
      </c>
      <c r="H9548" s="548">
        <v>0.13300000000000001</v>
      </c>
      <c r="I9548" s="412">
        <f>IF(AND(E9548&lt;&gt;"",G9548&lt;&gt;""),IF(D9548="",IF(G9548="OH",VLOOKUP(F9548,UPAH!$B$4:$H$101,7,0),VLOOKUP(F9548,#REF!,4,0)),0),0)</f>
        <v>0</v>
      </c>
      <c r="J9548" s="16">
        <f>H9548*I9548</f>
        <v>0</v>
      </c>
    </row>
    <row r="9549" spans="1:10" ht="13.5" thickBot="1">
      <c r="A9549" s="27"/>
      <c r="B9549" s="110"/>
      <c r="D9549" s="417"/>
      <c r="E9549" s="418"/>
      <c r="F9549" s="418"/>
      <c r="G9549" s="419"/>
      <c r="H9549" s="420" t="s">
        <v>52</v>
      </c>
      <c r="I9549" s="421"/>
      <c r="J9549" s="396">
        <f>SUM(J9545:J9548)</f>
        <v>0</v>
      </c>
    </row>
    <row r="9550" spans="1:10" ht="13">
      <c r="A9550" s="27"/>
      <c r="B9550" s="110"/>
      <c r="D9550" s="406" t="s">
        <v>53</v>
      </c>
      <c r="E9550" s="13" t="s">
        <v>54</v>
      </c>
      <c r="F9550" s="14"/>
      <c r="G9550" s="15"/>
      <c r="H9550" s="451"/>
      <c r="I9550" s="412"/>
      <c r="J9550" s="16"/>
    </row>
    <row r="9551" spans="1:10" ht="13.5" thickBot="1">
      <c r="A9551" s="27"/>
      <c r="B9551" s="110"/>
      <c r="D9551" s="409"/>
      <c r="E9551" s="13" t="s">
        <v>420</v>
      </c>
      <c r="F9551" s="14"/>
      <c r="G9551" s="543" t="s">
        <v>113</v>
      </c>
      <c r="H9551" s="548">
        <v>1</v>
      </c>
      <c r="I9551" s="412">
        <f>'BAHAN '!G359</f>
        <v>0</v>
      </c>
      <c r="J9551" s="16">
        <f>H9551*I9551</f>
        <v>0</v>
      </c>
    </row>
    <row r="9552" spans="1:10" ht="13.5" thickBot="1">
      <c r="A9552" s="27"/>
      <c r="B9552" s="110"/>
      <c r="D9552" s="417"/>
      <c r="E9552" s="418"/>
      <c r="F9552" s="418"/>
      <c r="G9552" s="419"/>
      <c r="H9552" s="420" t="s">
        <v>64</v>
      </c>
      <c r="I9552" s="421"/>
      <c r="J9552" s="396">
        <f>SUM(J9551)</f>
        <v>0</v>
      </c>
    </row>
    <row r="9553" spans="1:10" ht="13">
      <c r="A9553" s="27"/>
      <c r="B9553" s="110"/>
      <c r="D9553" s="406" t="s">
        <v>65</v>
      </c>
      <c r="E9553" s="13" t="s">
        <v>66</v>
      </c>
      <c r="F9553" s="14"/>
      <c r="G9553" s="15"/>
      <c r="H9553" s="451"/>
      <c r="I9553" s="412"/>
      <c r="J9553" s="16"/>
    </row>
    <row r="9554" spans="1:10" ht="13.5" thickBot="1">
      <c r="A9554" s="27"/>
      <c r="B9554" s="110"/>
      <c r="D9554" s="409"/>
      <c r="E9554" s="13" t="s">
        <v>446</v>
      </c>
      <c r="F9554" s="14"/>
      <c r="G9554" s="543" t="s">
        <v>285</v>
      </c>
      <c r="H9554" s="548">
        <v>4.0000000000000001E-3</v>
      </c>
      <c r="I9554" s="412">
        <f>Alat!H102</f>
        <v>0</v>
      </c>
      <c r="J9554" s="16">
        <f>H9554*I9554</f>
        <v>0</v>
      </c>
    </row>
    <row r="9555" spans="1:10" ht="13.5" thickBot="1">
      <c r="A9555" s="27"/>
      <c r="B9555" s="110"/>
      <c r="D9555" s="417"/>
      <c r="E9555" s="418"/>
      <c r="F9555" s="418"/>
      <c r="G9555" s="419"/>
      <c r="H9555" s="420" t="s">
        <v>67</v>
      </c>
      <c r="I9555" s="421"/>
      <c r="J9555" s="396">
        <f>J9554</f>
        <v>0</v>
      </c>
    </row>
    <row r="9556" spans="1:10" ht="13">
      <c r="A9556" s="27"/>
      <c r="B9556" s="110"/>
      <c r="D9556" s="444" t="s">
        <v>68</v>
      </c>
      <c r="E9556" s="445" t="s">
        <v>69</v>
      </c>
      <c r="F9556" s="446"/>
      <c r="G9556" s="447"/>
      <c r="H9556" s="448"/>
      <c r="I9556" s="449">
        <f>IF(AND(E9556&lt;&gt;"",G9556&lt;&gt;""),IF(D9556="",IF(G9556="OH",VLOOKUP(E9556,UPAH!$C$4:$H$31,7,0),VLOOKUP(E9556,#REF!,4,0)),0),0)</f>
        <v>0</v>
      </c>
      <c r="J9556" s="16">
        <f>SUM(J9545:J9555)/2</f>
        <v>0</v>
      </c>
    </row>
    <row r="9557" spans="1:10" ht="13.5" thickBot="1">
      <c r="A9557" s="27"/>
      <c r="B9557" s="110"/>
      <c r="D9557" s="431" t="s">
        <v>70</v>
      </c>
      <c r="E9557" s="432" t="s">
        <v>477</v>
      </c>
      <c r="F9557" s="433"/>
      <c r="G9557" s="434"/>
      <c r="H9557" s="22">
        <v>0.1</v>
      </c>
      <c r="I9557" s="436"/>
      <c r="J9557" s="430">
        <f>H9557*J9556</f>
        <v>0</v>
      </c>
    </row>
    <row r="9558" spans="1:10" ht="13.5" thickBot="1">
      <c r="A9558" s="27"/>
      <c r="B9558" s="110"/>
      <c r="D9558" s="401" t="s">
        <v>71</v>
      </c>
      <c r="E9558" s="402" t="s">
        <v>72</v>
      </c>
      <c r="F9558" s="418"/>
      <c r="G9558" s="419"/>
      <c r="H9558" s="442"/>
      <c r="I9558" s="421">
        <f>IF(AND(E9558&lt;&gt;"",G9558&lt;&gt;""),IF(D9558="",IF(G9558="OH",VLOOKUP(E9558,UPAH!$C$4:$H$31,7,0),VLOOKUP(E9558,#REF!,4,0)),0),0)</f>
        <v>0</v>
      </c>
      <c r="J9558" s="396">
        <f>ROUNDDOWN(J9556+J9557,0)</f>
        <v>0</v>
      </c>
    </row>
    <row r="9559" spans="1:10" ht="13">
      <c r="A9559" s="27"/>
      <c r="B9559" s="110"/>
      <c r="D9559" s="11"/>
      <c r="E9559" s="11"/>
      <c r="H9559" s="443"/>
      <c r="I9559" s="17"/>
      <c r="J9559" s="18"/>
    </row>
    <row r="9560" spans="1:10" ht="13.5" thickBot="1">
      <c r="A9560" s="27"/>
      <c r="B9560" s="110"/>
      <c r="C9560" s="11" t="s">
        <v>1416</v>
      </c>
      <c r="D9560" s="10" t="s">
        <v>1524</v>
      </c>
      <c r="H9560" s="443"/>
    </row>
    <row r="9561" spans="1:10" ht="13.5" thickBot="1">
      <c r="A9561" s="27"/>
      <c r="B9561" s="110"/>
      <c r="D9561" s="401" t="s">
        <v>40</v>
      </c>
      <c r="E9561" s="402" t="s">
        <v>41</v>
      </c>
      <c r="F9561" s="402" t="s">
        <v>42</v>
      </c>
      <c r="G9561" s="403" t="s">
        <v>43</v>
      </c>
      <c r="H9561" s="404" t="s">
        <v>44</v>
      </c>
      <c r="I9561" s="402" t="s">
        <v>474</v>
      </c>
      <c r="J9561" s="405" t="s">
        <v>475</v>
      </c>
    </row>
    <row r="9562" spans="1:10" ht="13">
      <c r="A9562" s="27"/>
      <c r="B9562" s="110"/>
      <c r="D9562" s="444" t="s">
        <v>45</v>
      </c>
      <c r="E9562" s="445" t="s">
        <v>46</v>
      </c>
      <c r="F9562" s="446"/>
      <c r="G9562" s="447"/>
      <c r="H9562" s="448"/>
      <c r="I9562" s="449"/>
      <c r="J9562" s="450"/>
    </row>
    <row r="9563" spans="1:10" ht="13">
      <c r="A9563" s="27"/>
      <c r="B9563" s="110"/>
      <c r="D9563" s="409"/>
      <c r="E9563" s="13" t="s">
        <v>47</v>
      </c>
      <c r="F9563" s="13" t="s">
        <v>1918</v>
      </c>
      <c r="G9563" s="543" t="s">
        <v>48</v>
      </c>
      <c r="H9563" s="548">
        <v>1.415</v>
      </c>
      <c r="I9563" s="412">
        <f>IF(AND(E9563&lt;&gt;"",G9563&lt;&gt;""),IF(D9563="",IF(G9563="OH",VLOOKUP(F9563,UPAH!$B$4:$H$101,7,0),VLOOKUP(F9563,#REF!,4,0)),0),0)</f>
        <v>0</v>
      </c>
      <c r="J9563" s="16">
        <f>H9563*I9563</f>
        <v>0</v>
      </c>
    </row>
    <row r="9564" spans="1:10" ht="13">
      <c r="A9564" s="27"/>
      <c r="B9564" s="110"/>
      <c r="D9564" s="409"/>
      <c r="E9564" s="13" t="s">
        <v>283</v>
      </c>
      <c r="F9564" s="13" t="s">
        <v>1913</v>
      </c>
      <c r="G9564" s="543" t="s">
        <v>48</v>
      </c>
      <c r="H9564" s="548">
        <v>0.28299999999999997</v>
      </c>
      <c r="I9564" s="412">
        <f>IF(AND(E9564&lt;&gt;"",G9564&lt;&gt;""),IF(D9564="",IF(G9564="OH",VLOOKUP(F9564,UPAH!$B$4:$H$101,7,0),VLOOKUP(F9564,#REF!,4,0)),0),0)</f>
        <v>0</v>
      </c>
      <c r="J9564" s="16">
        <f>H9564*I9564</f>
        <v>0</v>
      </c>
    </row>
    <row r="9565" spans="1:10" ht="13.5" thickBot="1">
      <c r="A9565" s="27"/>
      <c r="B9565" s="110"/>
      <c r="D9565" s="409"/>
      <c r="E9565" s="13" t="s">
        <v>51</v>
      </c>
      <c r="F9565" s="13" t="s">
        <v>1929</v>
      </c>
      <c r="G9565" s="543" t="s">
        <v>48</v>
      </c>
      <c r="H9565" s="548">
        <v>0.14099999999999999</v>
      </c>
      <c r="I9565" s="412">
        <f>IF(AND(E9565&lt;&gt;"",G9565&lt;&gt;""),IF(D9565="",IF(G9565="OH",VLOOKUP(F9565,UPAH!$B$4:$H$101,7,0),VLOOKUP(F9565,#REF!,4,0)),0),0)</f>
        <v>0</v>
      </c>
      <c r="J9565" s="16">
        <f>H9565*I9565</f>
        <v>0</v>
      </c>
    </row>
    <row r="9566" spans="1:10" ht="13.5" thickBot="1">
      <c r="A9566" s="27"/>
      <c r="B9566" s="110"/>
      <c r="D9566" s="417"/>
      <c r="E9566" s="418"/>
      <c r="F9566" s="418"/>
      <c r="G9566" s="419"/>
      <c r="H9566" s="420" t="s">
        <v>52</v>
      </c>
      <c r="I9566" s="421"/>
      <c r="J9566" s="396">
        <f>SUM(J9562:J9565)</f>
        <v>0</v>
      </c>
    </row>
    <row r="9567" spans="1:10" ht="13">
      <c r="A9567" s="27"/>
      <c r="B9567" s="110"/>
      <c r="D9567" s="406" t="s">
        <v>53</v>
      </c>
      <c r="E9567" s="13" t="s">
        <v>54</v>
      </c>
      <c r="F9567" s="14"/>
      <c r="G9567" s="15"/>
      <c r="H9567" s="451"/>
      <c r="I9567" s="412"/>
      <c r="J9567" s="16"/>
    </row>
    <row r="9568" spans="1:10" ht="13.5" thickBot="1">
      <c r="A9568" s="27"/>
      <c r="B9568" s="110"/>
      <c r="D9568" s="409"/>
      <c r="E9568" s="13" t="s">
        <v>421</v>
      </c>
      <c r="F9568" s="14"/>
      <c r="G9568" s="543" t="s">
        <v>113</v>
      </c>
      <c r="H9568" s="548">
        <v>1</v>
      </c>
      <c r="I9568" s="412">
        <f>'BAHAN '!G358</f>
        <v>0</v>
      </c>
      <c r="J9568" s="16">
        <f>H9568*I9568</f>
        <v>0</v>
      </c>
    </row>
    <row r="9569" spans="1:10" ht="13.5" thickBot="1">
      <c r="A9569" s="27"/>
      <c r="B9569" s="110"/>
      <c r="D9569" s="417"/>
      <c r="E9569" s="418"/>
      <c r="F9569" s="418"/>
      <c r="G9569" s="419"/>
      <c r="H9569" s="420" t="s">
        <v>64</v>
      </c>
      <c r="I9569" s="421"/>
      <c r="J9569" s="396">
        <f>SUM(J9568)</f>
        <v>0</v>
      </c>
    </row>
    <row r="9570" spans="1:10" ht="13">
      <c r="A9570" s="27"/>
      <c r="B9570" s="110"/>
      <c r="D9570" s="406" t="s">
        <v>65</v>
      </c>
      <c r="E9570" s="13" t="s">
        <v>66</v>
      </c>
      <c r="F9570" s="14"/>
      <c r="G9570" s="15"/>
      <c r="H9570" s="451"/>
      <c r="I9570" s="412"/>
      <c r="J9570" s="16"/>
    </row>
    <row r="9571" spans="1:10" ht="13.5" thickBot="1">
      <c r="A9571" s="27"/>
      <c r="B9571" s="110"/>
      <c r="D9571" s="409"/>
      <c r="E9571" s="13" t="s">
        <v>446</v>
      </c>
      <c r="F9571" s="14"/>
      <c r="G9571" s="543" t="s">
        <v>285</v>
      </c>
      <c r="H9571" s="548">
        <v>4.0000000000000001E-3</v>
      </c>
      <c r="I9571" s="412">
        <f>Alat!H102</f>
        <v>0</v>
      </c>
      <c r="J9571" s="16">
        <f>H9571*I9571</f>
        <v>0</v>
      </c>
    </row>
    <row r="9572" spans="1:10" ht="13.5" thickBot="1">
      <c r="A9572" s="27"/>
      <c r="B9572" s="110"/>
      <c r="D9572" s="417"/>
      <c r="E9572" s="418"/>
      <c r="F9572" s="418"/>
      <c r="G9572" s="419"/>
      <c r="H9572" s="420" t="s">
        <v>67</v>
      </c>
      <c r="I9572" s="421"/>
      <c r="J9572" s="396">
        <f>J9571</f>
        <v>0</v>
      </c>
    </row>
    <row r="9573" spans="1:10" ht="13">
      <c r="A9573" s="27"/>
      <c r="B9573" s="110"/>
      <c r="D9573" s="444" t="s">
        <v>68</v>
      </c>
      <c r="E9573" s="445" t="s">
        <v>69</v>
      </c>
      <c r="F9573" s="446"/>
      <c r="G9573" s="447"/>
      <c r="H9573" s="448"/>
      <c r="I9573" s="449">
        <f>IF(AND(E9573&lt;&gt;"",G9573&lt;&gt;""),IF(D9573="",IF(G9573="OH",VLOOKUP(E9573,UPAH!$C$4:$H$31,7,0),VLOOKUP(E9573,#REF!,4,0)),0),0)</f>
        <v>0</v>
      </c>
      <c r="J9573" s="16">
        <f>SUM(J9562:J9572)/2</f>
        <v>0</v>
      </c>
    </row>
    <row r="9574" spans="1:10" ht="13.5" thickBot="1">
      <c r="A9574" s="27"/>
      <c r="B9574" s="110"/>
      <c r="D9574" s="431" t="s">
        <v>70</v>
      </c>
      <c r="E9574" s="432" t="s">
        <v>477</v>
      </c>
      <c r="F9574" s="433"/>
      <c r="G9574" s="434"/>
      <c r="H9574" s="22">
        <v>0.1</v>
      </c>
      <c r="I9574" s="436"/>
      <c r="J9574" s="430">
        <f>H9574*J9573</f>
        <v>0</v>
      </c>
    </row>
    <row r="9575" spans="1:10" ht="13.5" thickBot="1">
      <c r="A9575" s="27"/>
      <c r="B9575" s="110"/>
      <c r="D9575" s="401" t="s">
        <v>71</v>
      </c>
      <c r="E9575" s="402" t="s">
        <v>72</v>
      </c>
      <c r="F9575" s="418"/>
      <c r="G9575" s="419"/>
      <c r="H9575" s="442"/>
      <c r="I9575" s="421">
        <f>IF(AND(E9575&lt;&gt;"",G9575&lt;&gt;""),IF(D9575="",IF(G9575="OH",VLOOKUP(E9575,UPAH!$C$4:$H$31,7,0),VLOOKUP(E9575,#REF!,4,0)),0),0)</f>
        <v>0</v>
      </c>
      <c r="J9575" s="396">
        <f>ROUNDDOWN(J9573+J9574,0)</f>
        <v>0</v>
      </c>
    </row>
    <row r="9576" spans="1:10" ht="13">
      <c r="A9576" s="27"/>
      <c r="B9576" s="110"/>
      <c r="D9576" s="11"/>
      <c r="E9576" s="11"/>
      <c r="H9576" s="443"/>
      <c r="I9576" s="17"/>
      <c r="J9576" s="18"/>
    </row>
    <row r="9577" spans="1:10" ht="13" hidden="1">
      <c r="A9577" s="27"/>
      <c r="B9577" s="110"/>
      <c r="C9577" s="11" t="s">
        <v>1415</v>
      </c>
      <c r="D9577" s="10" t="s">
        <v>1525</v>
      </c>
      <c r="H9577" s="443"/>
    </row>
    <row r="9578" spans="1:10" ht="13.5" hidden="1" thickBot="1">
      <c r="A9578" s="27"/>
      <c r="B9578" s="110"/>
      <c r="D9578" s="401" t="s">
        <v>40</v>
      </c>
      <c r="E9578" s="402" t="s">
        <v>41</v>
      </c>
      <c r="F9578" s="402" t="s">
        <v>42</v>
      </c>
      <c r="G9578" s="403" t="s">
        <v>43</v>
      </c>
      <c r="H9578" s="404" t="s">
        <v>44</v>
      </c>
      <c r="I9578" s="402" t="s">
        <v>474</v>
      </c>
      <c r="J9578" s="405" t="s">
        <v>475</v>
      </c>
    </row>
    <row r="9579" spans="1:10" ht="13" hidden="1">
      <c r="A9579" s="27"/>
      <c r="B9579" s="110"/>
      <c r="D9579" s="444" t="s">
        <v>45</v>
      </c>
      <c r="E9579" s="445" t="s">
        <v>46</v>
      </c>
      <c r="F9579" s="446"/>
      <c r="G9579" s="447"/>
      <c r="H9579" s="448"/>
      <c r="I9579" s="449"/>
      <c r="J9579" s="450"/>
    </row>
    <row r="9580" spans="1:10" ht="13" hidden="1">
      <c r="A9580" s="27"/>
      <c r="B9580" s="110"/>
      <c r="D9580" s="409"/>
      <c r="E9580" s="13" t="s">
        <v>47</v>
      </c>
      <c r="F9580" s="13" t="s">
        <v>1918</v>
      </c>
      <c r="G9580" s="543" t="s">
        <v>48</v>
      </c>
      <c r="H9580" s="548">
        <v>2.3660000000000001</v>
      </c>
      <c r="I9580" s="412">
        <f>IF(AND(E9580&lt;&gt;"",G9580&lt;&gt;""),IF(D9580="",IF(G9580="OH",VLOOKUP(F9580,UPAH!$B$4:$H$101,7,0),VLOOKUP(F9580,#REF!,4,0)),0),0)</f>
        <v>0</v>
      </c>
      <c r="J9580" s="16">
        <f>H9580*I9580</f>
        <v>0</v>
      </c>
    </row>
    <row r="9581" spans="1:10" ht="13" hidden="1">
      <c r="A9581" s="27"/>
      <c r="B9581" s="110"/>
      <c r="D9581" s="409"/>
      <c r="E9581" s="13" t="s">
        <v>283</v>
      </c>
      <c r="F9581" s="13" t="s">
        <v>1913</v>
      </c>
      <c r="G9581" s="543" t="s">
        <v>48</v>
      </c>
      <c r="H9581" s="548">
        <v>0.47299999999999998</v>
      </c>
      <c r="I9581" s="412">
        <f>IF(AND(E9581&lt;&gt;"",G9581&lt;&gt;""),IF(D9581="",IF(G9581="OH",VLOOKUP(F9581,UPAH!$B$4:$H$101,7,0),VLOOKUP(F9581,#REF!,4,0)),0),0)</f>
        <v>0</v>
      </c>
      <c r="J9581" s="16">
        <f>H9581*I9581</f>
        <v>0</v>
      </c>
    </row>
    <row r="9582" spans="1:10" ht="13" hidden="1">
      <c r="A9582" s="27"/>
      <c r="B9582" s="110"/>
      <c r="D9582" s="409"/>
      <c r="E9582" s="13" t="s">
        <v>51</v>
      </c>
      <c r="F9582" s="13" t="s">
        <v>1929</v>
      </c>
      <c r="G9582" s="543" t="s">
        <v>48</v>
      </c>
      <c r="H9582" s="548">
        <v>0.23699999999999999</v>
      </c>
      <c r="I9582" s="412">
        <f>IF(AND(E9582&lt;&gt;"",G9582&lt;&gt;""),IF(D9582="",IF(G9582="OH",VLOOKUP(F9582,UPAH!$B$4:$H$101,7,0),VLOOKUP(F9582,#REF!,4,0)),0),0)</f>
        <v>0</v>
      </c>
      <c r="J9582" s="16">
        <f>H9582*I9582</f>
        <v>0</v>
      </c>
    </row>
    <row r="9583" spans="1:10" ht="13.5" hidden="1" thickBot="1">
      <c r="A9583" s="27"/>
      <c r="B9583" s="110"/>
      <c r="D9583" s="417"/>
      <c r="E9583" s="418"/>
      <c r="F9583" s="418"/>
      <c r="G9583" s="419"/>
      <c r="H9583" s="420" t="s">
        <v>52</v>
      </c>
      <c r="I9583" s="421"/>
      <c r="J9583" s="396">
        <f>SUM(J9579:J9582)</f>
        <v>0</v>
      </c>
    </row>
    <row r="9584" spans="1:10" ht="13" hidden="1">
      <c r="A9584" s="27"/>
      <c r="B9584" s="110"/>
      <c r="D9584" s="406" t="s">
        <v>53</v>
      </c>
      <c r="E9584" s="13" t="s">
        <v>54</v>
      </c>
      <c r="F9584" s="14"/>
      <c r="G9584" s="15"/>
      <c r="H9584" s="451"/>
      <c r="I9584" s="412"/>
      <c r="J9584" s="16"/>
    </row>
    <row r="9585" spans="1:10" ht="13" hidden="1">
      <c r="A9585" s="27"/>
      <c r="B9585" s="110"/>
      <c r="D9585" s="409"/>
      <c r="E9585" s="13" t="s">
        <v>422</v>
      </c>
      <c r="F9585" s="14"/>
      <c r="G9585" s="543" t="s">
        <v>113</v>
      </c>
      <c r="H9585" s="548">
        <v>1</v>
      </c>
      <c r="I9585" s="412" t="s">
        <v>3187</v>
      </c>
      <c r="J9585" s="16" t="e">
        <f>H9585*I9585</f>
        <v>#VALUE!</v>
      </c>
    </row>
    <row r="9586" spans="1:10" ht="13.5" hidden="1" thickBot="1">
      <c r="A9586" s="27"/>
      <c r="B9586" s="110"/>
      <c r="D9586" s="417"/>
      <c r="E9586" s="418"/>
      <c r="F9586" s="418"/>
      <c r="G9586" s="419"/>
      <c r="H9586" s="420" t="s">
        <v>64</v>
      </c>
      <c r="I9586" s="421"/>
      <c r="J9586" s="396" t="e">
        <f>SUM(J9585)</f>
        <v>#VALUE!</v>
      </c>
    </row>
    <row r="9587" spans="1:10" ht="13" hidden="1">
      <c r="A9587" s="27"/>
      <c r="B9587" s="110"/>
      <c r="D9587" s="406" t="s">
        <v>65</v>
      </c>
      <c r="E9587" s="13" t="s">
        <v>66</v>
      </c>
      <c r="F9587" s="14"/>
      <c r="G9587" s="15"/>
      <c r="H9587" s="451"/>
      <c r="I9587" s="412"/>
      <c r="J9587" s="16"/>
    </row>
    <row r="9588" spans="1:10" ht="13" hidden="1">
      <c r="A9588" s="27"/>
      <c r="B9588" s="110"/>
      <c r="D9588" s="409"/>
      <c r="E9588" s="13" t="s">
        <v>444</v>
      </c>
      <c r="F9588" s="14"/>
      <c r="G9588" s="543" t="s">
        <v>285</v>
      </c>
      <c r="H9588" s="548">
        <v>2.7E-2</v>
      </c>
      <c r="I9588" s="412">
        <f>Alat!H40</f>
        <v>0</v>
      </c>
      <c r="J9588" s="16">
        <f>H9588*I9588</f>
        <v>0</v>
      </c>
    </row>
    <row r="9589" spans="1:10" ht="13" hidden="1">
      <c r="A9589" s="27"/>
      <c r="B9589" s="110"/>
      <c r="D9589" s="409"/>
      <c r="E9589" s="13" t="s">
        <v>446</v>
      </c>
      <c r="F9589" s="14"/>
      <c r="G9589" s="543" t="s">
        <v>285</v>
      </c>
      <c r="H9589" s="548">
        <v>3.9E-2</v>
      </c>
      <c r="I9589" s="412">
        <f>Alat!H102</f>
        <v>0</v>
      </c>
      <c r="J9589" s="16">
        <f>H9589*I9589</f>
        <v>0</v>
      </c>
    </row>
    <row r="9590" spans="1:10" ht="13.5" hidden="1" thickBot="1">
      <c r="A9590" s="27"/>
      <c r="B9590" s="110"/>
      <c r="D9590" s="417"/>
      <c r="E9590" s="418"/>
      <c r="F9590" s="418"/>
      <c r="G9590" s="419"/>
      <c r="H9590" s="420" t="s">
        <v>67</v>
      </c>
      <c r="I9590" s="421"/>
      <c r="J9590" s="396">
        <f>SUM(J9588:J9589)</f>
        <v>0</v>
      </c>
    </row>
    <row r="9591" spans="1:10" ht="13" hidden="1">
      <c r="A9591" s="27"/>
      <c r="B9591" s="110"/>
      <c r="D9591" s="444" t="s">
        <v>68</v>
      </c>
      <c r="E9591" s="445" t="s">
        <v>69</v>
      </c>
      <c r="F9591" s="446"/>
      <c r="G9591" s="447"/>
      <c r="H9591" s="448"/>
      <c r="I9591" s="449">
        <f>IF(AND(E9591&lt;&gt;"",G9591&lt;&gt;""),IF(D9591="",IF(G9591="OH",VLOOKUP(E9591,UPAH!$C$4:$H$31,7,0),VLOOKUP(E9591,#REF!,4,0)),0),0)</f>
        <v>0</v>
      </c>
      <c r="J9591" s="16" t="e">
        <f>SUM(J9580:J9590)/2</f>
        <v>#VALUE!</v>
      </c>
    </row>
    <row r="9592" spans="1:10" ht="13" hidden="1">
      <c r="A9592" s="27"/>
      <c r="B9592" s="110"/>
      <c r="D9592" s="431" t="s">
        <v>70</v>
      </c>
      <c r="E9592" s="432" t="s">
        <v>477</v>
      </c>
      <c r="F9592" s="433"/>
      <c r="G9592" s="434"/>
      <c r="H9592" s="22">
        <v>0.1</v>
      </c>
      <c r="I9592" s="436"/>
      <c r="J9592" s="430" t="e">
        <f>H9592*J9591</f>
        <v>#VALUE!</v>
      </c>
    </row>
    <row r="9593" spans="1:10" ht="13.5" hidden="1" thickBot="1">
      <c r="A9593" s="27"/>
      <c r="B9593" s="110"/>
      <c r="D9593" s="401" t="s">
        <v>71</v>
      </c>
      <c r="E9593" s="402" t="s">
        <v>72</v>
      </c>
      <c r="F9593" s="418"/>
      <c r="G9593" s="419"/>
      <c r="H9593" s="442"/>
      <c r="I9593" s="421">
        <f>IF(AND(E9593&lt;&gt;"",G9593&lt;&gt;""),IF(D9593="",IF(G9593="OH",VLOOKUP(E9593,UPAH!$C$4:$H$31,7,0),VLOOKUP(E9593,#REF!,4,0)),0),0)</f>
        <v>0</v>
      </c>
      <c r="J9593" s="396" t="e">
        <f>ROUNDDOWN(J9591+J9592,0)</f>
        <v>#VALUE!</v>
      </c>
    </row>
    <row r="9594" spans="1:10" ht="13" hidden="1">
      <c r="A9594" s="27"/>
      <c r="B9594" s="110"/>
      <c r="D9594" s="11"/>
      <c r="E9594" s="11"/>
      <c r="H9594" s="443"/>
      <c r="I9594" s="17"/>
      <c r="J9594" s="18"/>
    </row>
    <row r="9595" spans="1:10" ht="13" hidden="1">
      <c r="A9595" s="27"/>
      <c r="B9595" s="110"/>
      <c r="C9595" s="11" t="s">
        <v>1414</v>
      </c>
      <c r="D9595" s="10" t="s">
        <v>1526</v>
      </c>
      <c r="H9595" s="443"/>
    </row>
    <row r="9596" spans="1:10" ht="13.5" hidden="1" thickBot="1">
      <c r="A9596" s="27"/>
      <c r="B9596" s="110"/>
      <c r="D9596" s="401" t="s">
        <v>40</v>
      </c>
      <c r="E9596" s="402" t="s">
        <v>41</v>
      </c>
      <c r="F9596" s="402" t="s">
        <v>42</v>
      </c>
      <c r="G9596" s="403" t="s">
        <v>43</v>
      </c>
      <c r="H9596" s="404" t="s">
        <v>44</v>
      </c>
      <c r="I9596" s="402" t="s">
        <v>474</v>
      </c>
      <c r="J9596" s="405" t="s">
        <v>475</v>
      </c>
    </row>
    <row r="9597" spans="1:10" ht="13" hidden="1">
      <c r="A9597" s="27"/>
      <c r="B9597" s="110"/>
      <c r="D9597" s="444" t="s">
        <v>45</v>
      </c>
      <c r="E9597" s="445" t="s">
        <v>46</v>
      </c>
      <c r="F9597" s="446"/>
      <c r="G9597" s="447"/>
      <c r="H9597" s="448"/>
      <c r="I9597" s="449"/>
      <c r="J9597" s="450"/>
    </row>
    <row r="9598" spans="1:10" ht="13" hidden="1">
      <c r="A9598" s="27"/>
      <c r="B9598" s="110"/>
      <c r="D9598" s="409"/>
      <c r="E9598" s="13" t="s">
        <v>47</v>
      </c>
      <c r="F9598" s="13" t="s">
        <v>1918</v>
      </c>
      <c r="G9598" s="543" t="s">
        <v>48</v>
      </c>
      <c r="H9598" s="548">
        <v>2.2309999999999999</v>
      </c>
      <c r="I9598" s="412">
        <f>IF(AND(E9598&lt;&gt;"",G9598&lt;&gt;""),IF(D9598="",IF(G9598="OH",VLOOKUP(F9598,UPAH!$B$4:$H$101,7,0),VLOOKUP(F9598,#REF!,4,0)),0),0)</f>
        <v>0</v>
      </c>
      <c r="J9598" s="16">
        <f>H9598*I9598</f>
        <v>0</v>
      </c>
    </row>
    <row r="9599" spans="1:10" ht="13" hidden="1">
      <c r="A9599" s="27"/>
      <c r="B9599" s="110"/>
      <c r="D9599" s="409"/>
      <c r="E9599" s="13" t="s">
        <v>283</v>
      </c>
      <c r="F9599" s="13" t="s">
        <v>1913</v>
      </c>
      <c r="G9599" s="543" t="s">
        <v>48</v>
      </c>
      <c r="H9599" s="548">
        <v>0.44600000000000001</v>
      </c>
      <c r="I9599" s="412">
        <f>IF(AND(E9599&lt;&gt;"",G9599&lt;&gt;""),IF(D9599="",IF(G9599="OH",VLOOKUP(F9599,UPAH!$B$4:$H$101,7,0),VLOOKUP(F9599,#REF!,4,0)),0),0)</f>
        <v>0</v>
      </c>
      <c r="J9599" s="16">
        <f>H9599*I9599</f>
        <v>0</v>
      </c>
    </row>
    <row r="9600" spans="1:10" ht="13" hidden="1">
      <c r="A9600" s="27"/>
      <c r="B9600" s="110"/>
      <c r="D9600" s="409"/>
      <c r="E9600" s="13" t="s">
        <v>51</v>
      </c>
      <c r="F9600" s="13" t="s">
        <v>1929</v>
      </c>
      <c r="G9600" s="543" t="s">
        <v>48</v>
      </c>
      <c r="H9600" s="548">
        <v>0.223</v>
      </c>
      <c r="I9600" s="412">
        <f>IF(AND(E9600&lt;&gt;"",G9600&lt;&gt;""),IF(D9600="",IF(G9600="OH",VLOOKUP(F9600,UPAH!$B$4:$H$101,7,0),VLOOKUP(F9600,#REF!,4,0)),0),0)</f>
        <v>0</v>
      </c>
      <c r="J9600" s="16">
        <f>H9600*I9600</f>
        <v>0</v>
      </c>
    </row>
    <row r="9601" spans="1:10" ht="13.5" hidden="1" thickBot="1">
      <c r="A9601" s="27"/>
      <c r="B9601" s="110"/>
      <c r="D9601" s="417"/>
      <c r="E9601" s="418"/>
      <c r="F9601" s="418"/>
      <c r="G9601" s="419"/>
      <c r="H9601" s="420" t="s">
        <v>52</v>
      </c>
      <c r="I9601" s="421"/>
      <c r="J9601" s="396">
        <f>SUM(J9597:J9600)</f>
        <v>0</v>
      </c>
    </row>
    <row r="9602" spans="1:10" ht="13" hidden="1">
      <c r="A9602" s="27"/>
      <c r="B9602" s="110"/>
      <c r="D9602" s="406" t="s">
        <v>53</v>
      </c>
      <c r="E9602" s="13" t="s">
        <v>54</v>
      </c>
      <c r="F9602" s="14"/>
      <c r="G9602" s="15"/>
      <c r="H9602" s="451"/>
      <c r="I9602" s="412"/>
      <c r="J9602" s="16"/>
    </row>
    <row r="9603" spans="1:10" ht="13" hidden="1">
      <c r="A9603" s="27"/>
      <c r="B9603" s="110"/>
      <c r="D9603" s="409"/>
      <c r="E9603" s="13" t="s">
        <v>423</v>
      </c>
      <c r="F9603" s="14"/>
      <c r="G9603" s="543" t="s">
        <v>113</v>
      </c>
      <c r="H9603" s="548">
        <v>1</v>
      </c>
      <c r="I9603" s="412" t="s">
        <v>3187</v>
      </c>
      <c r="J9603" s="16" t="e">
        <f>H9603*I9603</f>
        <v>#VALUE!</v>
      </c>
    </row>
    <row r="9604" spans="1:10" ht="13.5" hidden="1" thickBot="1">
      <c r="A9604" s="27"/>
      <c r="B9604" s="110"/>
      <c r="D9604" s="417"/>
      <c r="E9604" s="418"/>
      <c r="F9604" s="418"/>
      <c r="G9604" s="419"/>
      <c r="H9604" s="420" t="s">
        <v>64</v>
      </c>
      <c r="I9604" s="421"/>
      <c r="J9604" s="396" t="e">
        <f>SUM(J9603)</f>
        <v>#VALUE!</v>
      </c>
    </row>
    <row r="9605" spans="1:10" ht="13" hidden="1">
      <c r="A9605" s="27"/>
      <c r="B9605" s="110"/>
      <c r="D9605" s="406" t="s">
        <v>65</v>
      </c>
      <c r="E9605" s="13" t="s">
        <v>66</v>
      </c>
      <c r="F9605" s="14"/>
      <c r="G9605" s="15"/>
      <c r="H9605" s="451"/>
      <c r="I9605" s="412"/>
      <c r="J9605" s="16"/>
    </row>
    <row r="9606" spans="1:10" ht="13" hidden="1">
      <c r="A9606" s="27"/>
      <c r="B9606" s="110"/>
      <c r="D9606" s="409"/>
      <c r="E9606" s="13" t="s">
        <v>444</v>
      </c>
      <c r="F9606" s="14"/>
      <c r="G9606" s="543" t="s">
        <v>285</v>
      </c>
      <c r="H9606" s="548">
        <v>2.5999999999999999E-2</v>
      </c>
      <c r="I9606" s="412">
        <f>Alat!H40</f>
        <v>0</v>
      </c>
      <c r="J9606" s="16">
        <f>H9606*I9606</f>
        <v>0</v>
      </c>
    </row>
    <row r="9607" spans="1:10" ht="13" hidden="1">
      <c r="A9607" s="27"/>
      <c r="B9607" s="110"/>
      <c r="D9607" s="409"/>
      <c r="E9607" s="13" t="s">
        <v>446</v>
      </c>
      <c r="F9607" s="14"/>
      <c r="G9607" s="543" t="s">
        <v>285</v>
      </c>
      <c r="H9607" s="548">
        <v>3.6999999999999998E-2</v>
      </c>
      <c r="I9607" s="412">
        <f>Alat!H102</f>
        <v>0</v>
      </c>
      <c r="J9607" s="16">
        <f>H9607*I9607</f>
        <v>0</v>
      </c>
    </row>
    <row r="9608" spans="1:10" ht="13.5" hidden="1" thickBot="1">
      <c r="A9608" s="27"/>
      <c r="B9608" s="110"/>
      <c r="D9608" s="417"/>
      <c r="E9608" s="418"/>
      <c r="F9608" s="418"/>
      <c r="G9608" s="419"/>
      <c r="H9608" s="420" t="s">
        <v>67</v>
      </c>
      <c r="I9608" s="421"/>
      <c r="J9608" s="396">
        <f>SUM(J9606:J9607)</f>
        <v>0</v>
      </c>
    </row>
    <row r="9609" spans="1:10" ht="13" hidden="1">
      <c r="A9609" s="27"/>
      <c r="B9609" s="110"/>
      <c r="D9609" s="444" t="s">
        <v>68</v>
      </c>
      <c r="E9609" s="445" t="s">
        <v>69</v>
      </c>
      <c r="F9609" s="446"/>
      <c r="G9609" s="447"/>
      <c r="H9609" s="448"/>
      <c r="I9609" s="449">
        <f>IF(AND(E9609&lt;&gt;"",G9609&lt;&gt;""),IF(D9609="",IF(G9609="OH",VLOOKUP(E9609,UPAH!$C$4:$H$31,7,0),VLOOKUP(E9609,#REF!,4,0)),0),0)</f>
        <v>0</v>
      </c>
      <c r="J9609" s="16" t="e">
        <f>SUM(J9598:J9608)/2</f>
        <v>#VALUE!</v>
      </c>
    </row>
    <row r="9610" spans="1:10" ht="13" hidden="1">
      <c r="A9610" s="27"/>
      <c r="B9610" s="110"/>
      <c r="D9610" s="431" t="s">
        <v>70</v>
      </c>
      <c r="E9610" s="432" t="s">
        <v>477</v>
      </c>
      <c r="F9610" s="433"/>
      <c r="G9610" s="434"/>
      <c r="H9610" s="22">
        <v>0.1</v>
      </c>
      <c r="I9610" s="436"/>
      <c r="J9610" s="430" t="e">
        <f>H9610*J9609</f>
        <v>#VALUE!</v>
      </c>
    </row>
    <row r="9611" spans="1:10" ht="13.5" hidden="1" thickBot="1">
      <c r="A9611" s="27"/>
      <c r="B9611" s="110"/>
      <c r="D9611" s="401" t="s">
        <v>71</v>
      </c>
      <c r="E9611" s="402" t="s">
        <v>72</v>
      </c>
      <c r="F9611" s="418"/>
      <c r="G9611" s="419"/>
      <c r="H9611" s="442"/>
      <c r="I9611" s="421">
        <f>IF(AND(E9611&lt;&gt;"",G9611&lt;&gt;""),IF(D9611="",IF(G9611="OH",VLOOKUP(E9611,UPAH!$C$4:$H$31,7,0),VLOOKUP(E9611,#REF!,4,0)),0),0)</f>
        <v>0</v>
      </c>
      <c r="J9611" s="396" t="e">
        <f>ROUNDDOWN(J9609+J9610,0)</f>
        <v>#VALUE!</v>
      </c>
    </row>
    <row r="9612" spans="1:10" ht="13" hidden="1">
      <c r="A9612" s="27"/>
      <c r="B9612" s="110"/>
      <c r="D9612" s="11"/>
      <c r="E9612" s="11"/>
      <c r="H9612" s="443"/>
      <c r="I9612" s="17"/>
      <c r="J9612" s="18"/>
    </row>
    <row r="9613" spans="1:10" ht="13" hidden="1">
      <c r="A9613" s="27"/>
      <c r="B9613" s="110"/>
      <c r="C9613" s="11" t="s">
        <v>1413</v>
      </c>
      <c r="D9613" s="10" t="s">
        <v>1527</v>
      </c>
      <c r="H9613" s="443"/>
    </row>
    <row r="9614" spans="1:10" ht="13.5" hidden="1" thickBot="1">
      <c r="A9614" s="27"/>
      <c r="B9614" s="110"/>
      <c r="D9614" s="401" t="s">
        <v>40</v>
      </c>
      <c r="E9614" s="402" t="s">
        <v>41</v>
      </c>
      <c r="F9614" s="402" t="s">
        <v>42</v>
      </c>
      <c r="G9614" s="403" t="s">
        <v>43</v>
      </c>
      <c r="H9614" s="404" t="s">
        <v>44</v>
      </c>
      <c r="I9614" s="402" t="s">
        <v>474</v>
      </c>
      <c r="J9614" s="405" t="s">
        <v>475</v>
      </c>
    </row>
    <row r="9615" spans="1:10" ht="13" hidden="1">
      <c r="A9615" s="27"/>
      <c r="B9615" s="110"/>
      <c r="D9615" s="444" t="s">
        <v>45</v>
      </c>
      <c r="E9615" s="445" t="s">
        <v>46</v>
      </c>
      <c r="F9615" s="446"/>
      <c r="G9615" s="447"/>
      <c r="H9615" s="448"/>
      <c r="I9615" s="449"/>
      <c r="J9615" s="450"/>
    </row>
    <row r="9616" spans="1:10" ht="13" hidden="1">
      <c r="A9616" s="27"/>
      <c r="B9616" s="110"/>
      <c r="D9616" s="409"/>
      <c r="E9616" s="13" t="s">
        <v>47</v>
      </c>
      <c r="F9616" s="13" t="s">
        <v>1918</v>
      </c>
      <c r="G9616" s="543" t="s">
        <v>48</v>
      </c>
      <c r="H9616" s="548">
        <v>2.4319999999999999</v>
      </c>
      <c r="I9616" s="412">
        <f>IF(AND(E9616&lt;&gt;"",G9616&lt;&gt;""),IF(D9616="",IF(G9616="OH",VLOOKUP(F9616,UPAH!$B$4:$H$101,7,0),VLOOKUP(F9616,#REF!,4,0)),0),0)</f>
        <v>0</v>
      </c>
      <c r="J9616" s="16">
        <f>H9616*I9616</f>
        <v>0</v>
      </c>
    </row>
    <row r="9617" spans="1:10" ht="13" hidden="1">
      <c r="A9617" s="27"/>
      <c r="B9617" s="110"/>
      <c r="D9617" s="409"/>
      <c r="E9617" s="13" t="s">
        <v>283</v>
      </c>
      <c r="F9617" s="13" t="s">
        <v>1913</v>
      </c>
      <c r="G9617" s="543" t="s">
        <v>48</v>
      </c>
      <c r="H9617" s="548">
        <v>0.48599999999999999</v>
      </c>
      <c r="I9617" s="412">
        <f>IF(AND(E9617&lt;&gt;"",G9617&lt;&gt;""),IF(D9617="",IF(G9617="OH",VLOOKUP(F9617,UPAH!$B$4:$H$101,7,0),VLOOKUP(F9617,#REF!,4,0)),0),0)</f>
        <v>0</v>
      </c>
      <c r="J9617" s="16">
        <f>H9617*I9617</f>
        <v>0</v>
      </c>
    </row>
    <row r="9618" spans="1:10" ht="13" hidden="1">
      <c r="A9618" s="27"/>
      <c r="B9618" s="110"/>
      <c r="D9618" s="409"/>
      <c r="E9618" s="13" t="s">
        <v>51</v>
      </c>
      <c r="F9618" s="13" t="s">
        <v>1929</v>
      </c>
      <c r="G9618" s="543" t="s">
        <v>48</v>
      </c>
      <c r="H9618" s="548">
        <v>0.24299999999999999</v>
      </c>
      <c r="I9618" s="412">
        <f>IF(AND(E9618&lt;&gt;"",G9618&lt;&gt;""),IF(D9618="",IF(G9618="OH",VLOOKUP(F9618,UPAH!$B$4:$H$101,7,0),VLOOKUP(F9618,#REF!,4,0)),0),0)</f>
        <v>0</v>
      </c>
      <c r="J9618" s="16">
        <f>H9618*I9618</f>
        <v>0</v>
      </c>
    </row>
    <row r="9619" spans="1:10" ht="13.5" hidden="1" thickBot="1">
      <c r="A9619" s="27"/>
      <c r="B9619" s="110"/>
      <c r="D9619" s="417"/>
      <c r="E9619" s="418"/>
      <c r="F9619" s="418"/>
      <c r="G9619" s="419"/>
      <c r="H9619" s="420" t="s">
        <v>52</v>
      </c>
      <c r="I9619" s="421"/>
      <c r="J9619" s="396">
        <f>SUM(J9615:J9618)</f>
        <v>0</v>
      </c>
    </row>
    <row r="9620" spans="1:10" ht="13" hidden="1">
      <c r="A9620" s="27"/>
      <c r="B9620" s="110"/>
      <c r="D9620" s="406" t="s">
        <v>53</v>
      </c>
      <c r="E9620" s="13" t="s">
        <v>54</v>
      </c>
      <c r="F9620" s="14"/>
      <c r="G9620" s="15"/>
      <c r="H9620" s="451"/>
      <c r="I9620" s="412"/>
      <c r="J9620" s="16"/>
    </row>
    <row r="9621" spans="1:10" ht="13" hidden="1">
      <c r="A9621" s="27"/>
      <c r="B9621" s="110"/>
      <c r="D9621" s="409"/>
      <c r="E9621" s="13" t="s">
        <v>424</v>
      </c>
      <c r="F9621" s="14"/>
      <c r="G9621" s="543" t="s">
        <v>113</v>
      </c>
      <c r="H9621" s="548">
        <v>1</v>
      </c>
      <c r="I9621" s="412" t="s">
        <v>3187</v>
      </c>
      <c r="J9621" s="16" t="e">
        <f>H9621*I9621</f>
        <v>#VALUE!</v>
      </c>
    </row>
    <row r="9622" spans="1:10" ht="13.5" hidden="1" thickBot="1">
      <c r="A9622" s="27"/>
      <c r="B9622" s="110"/>
      <c r="D9622" s="417"/>
      <c r="E9622" s="418"/>
      <c r="F9622" s="418"/>
      <c r="G9622" s="419"/>
      <c r="H9622" s="420" t="s">
        <v>64</v>
      </c>
      <c r="I9622" s="421"/>
      <c r="J9622" s="396" t="e">
        <f>SUM(J9621)</f>
        <v>#VALUE!</v>
      </c>
    </row>
    <row r="9623" spans="1:10" ht="13" hidden="1">
      <c r="A9623" s="27"/>
      <c r="B9623" s="110"/>
      <c r="D9623" s="406" t="s">
        <v>65</v>
      </c>
      <c r="E9623" s="13" t="s">
        <v>66</v>
      </c>
      <c r="F9623" s="14"/>
      <c r="G9623" s="15"/>
      <c r="H9623" s="451"/>
      <c r="I9623" s="412"/>
      <c r="J9623" s="16"/>
    </row>
    <row r="9624" spans="1:10" ht="13" hidden="1">
      <c r="A9624" s="27"/>
      <c r="B9624" s="110"/>
      <c r="D9624" s="409"/>
      <c r="E9624" s="13" t="s">
        <v>444</v>
      </c>
      <c r="F9624" s="14"/>
      <c r="G9624" s="543" t="s">
        <v>285</v>
      </c>
      <c r="H9624" s="548">
        <v>2.9000000000000001E-2</v>
      </c>
      <c r="I9624" s="412">
        <f>Alat!H40</f>
        <v>0</v>
      </c>
      <c r="J9624" s="16">
        <f>H9624*I9624</f>
        <v>0</v>
      </c>
    </row>
    <row r="9625" spans="1:10" ht="13" hidden="1">
      <c r="A9625" s="27"/>
      <c r="B9625" s="110"/>
      <c r="D9625" s="409"/>
      <c r="E9625" s="13" t="s">
        <v>446</v>
      </c>
      <c r="F9625" s="14"/>
      <c r="G9625" s="543" t="s">
        <v>285</v>
      </c>
      <c r="H9625" s="548">
        <v>4.4999999999999998E-2</v>
      </c>
      <c r="I9625" s="412">
        <f>Alat!H102</f>
        <v>0</v>
      </c>
      <c r="J9625" s="16">
        <f>H9625*I9625</f>
        <v>0</v>
      </c>
    </row>
    <row r="9626" spans="1:10" ht="13.5" hidden="1" thickBot="1">
      <c r="A9626" s="27"/>
      <c r="B9626" s="110"/>
      <c r="D9626" s="417"/>
      <c r="E9626" s="418"/>
      <c r="F9626" s="418"/>
      <c r="G9626" s="419"/>
      <c r="H9626" s="420" t="s">
        <v>67</v>
      </c>
      <c r="I9626" s="421"/>
      <c r="J9626" s="396">
        <f>SUM(J9624:J9625)</f>
        <v>0</v>
      </c>
    </row>
    <row r="9627" spans="1:10" ht="13" hidden="1">
      <c r="A9627" s="27"/>
      <c r="B9627" s="110"/>
      <c r="D9627" s="444" t="s">
        <v>68</v>
      </c>
      <c r="E9627" s="445" t="s">
        <v>69</v>
      </c>
      <c r="F9627" s="446"/>
      <c r="G9627" s="447"/>
      <c r="H9627" s="448"/>
      <c r="I9627" s="449">
        <f>IF(AND(E9627&lt;&gt;"",G9627&lt;&gt;""),IF(D9627="",IF(G9627="OH",VLOOKUP(E9627,UPAH!$C$4:$H$31,7,0),VLOOKUP(E9627,#REF!,4,0)),0),0)</f>
        <v>0</v>
      </c>
      <c r="J9627" s="16" t="e">
        <f>SUM(J9616:J9626)/2</f>
        <v>#VALUE!</v>
      </c>
    </row>
    <row r="9628" spans="1:10" ht="13" hidden="1">
      <c r="A9628" s="27"/>
      <c r="B9628" s="110"/>
      <c r="D9628" s="431" t="s">
        <v>70</v>
      </c>
      <c r="E9628" s="432" t="s">
        <v>477</v>
      </c>
      <c r="F9628" s="433"/>
      <c r="G9628" s="434"/>
      <c r="H9628" s="22">
        <v>0.1</v>
      </c>
      <c r="I9628" s="436"/>
      <c r="J9628" s="430" t="e">
        <f>H9628*J9627</f>
        <v>#VALUE!</v>
      </c>
    </row>
    <row r="9629" spans="1:10" ht="13.5" hidden="1" thickBot="1">
      <c r="A9629" s="27"/>
      <c r="B9629" s="110"/>
      <c r="D9629" s="401" t="s">
        <v>71</v>
      </c>
      <c r="E9629" s="402" t="s">
        <v>72</v>
      </c>
      <c r="F9629" s="418"/>
      <c r="G9629" s="419"/>
      <c r="H9629" s="442"/>
      <c r="I9629" s="421">
        <f>IF(AND(E9629&lt;&gt;"",G9629&lt;&gt;""),IF(D9629="",IF(G9629="OH",VLOOKUP(E9629,UPAH!$C$4:$H$31,7,0),VLOOKUP(E9629,#REF!,4,0)),0),0)</f>
        <v>0</v>
      </c>
      <c r="J9629" s="396" t="e">
        <f>ROUNDDOWN(J9627+J9628,0)</f>
        <v>#VALUE!</v>
      </c>
    </row>
    <row r="9630" spans="1:10" ht="13" hidden="1">
      <c r="A9630" s="27"/>
      <c r="B9630" s="110"/>
      <c r="D9630" s="11"/>
      <c r="E9630" s="11"/>
      <c r="H9630" s="443"/>
      <c r="I9630" s="17"/>
      <c r="J9630" s="18"/>
    </row>
    <row r="9631" spans="1:10" ht="13" hidden="1">
      <c r="A9631" s="27"/>
      <c r="B9631" s="110"/>
      <c r="C9631" s="11" t="s">
        <v>1412</v>
      </c>
      <c r="D9631" s="10" t="s">
        <v>1528</v>
      </c>
      <c r="H9631" s="443"/>
    </row>
    <row r="9632" spans="1:10" ht="13.5" hidden="1" thickBot="1">
      <c r="A9632" s="27"/>
      <c r="B9632" s="110"/>
      <c r="D9632" s="401" t="s">
        <v>40</v>
      </c>
      <c r="E9632" s="402" t="s">
        <v>41</v>
      </c>
      <c r="F9632" s="402" t="s">
        <v>42</v>
      </c>
      <c r="G9632" s="403" t="s">
        <v>43</v>
      </c>
      <c r="H9632" s="404" t="s">
        <v>44</v>
      </c>
      <c r="I9632" s="402" t="s">
        <v>474</v>
      </c>
      <c r="J9632" s="405" t="s">
        <v>475</v>
      </c>
    </row>
    <row r="9633" spans="1:10" ht="13" hidden="1">
      <c r="A9633" s="27"/>
      <c r="B9633" s="110"/>
      <c r="D9633" s="444" t="s">
        <v>45</v>
      </c>
      <c r="E9633" s="445" t="s">
        <v>46</v>
      </c>
      <c r="F9633" s="446"/>
      <c r="G9633" s="447"/>
      <c r="H9633" s="448"/>
      <c r="I9633" s="449"/>
      <c r="J9633" s="450"/>
    </row>
    <row r="9634" spans="1:10" ht="13" hidden="1">
      <c r="A9634" s="27"/>
      <c r="B9634" s="110"/>
      <c r="D9634" s="409"/>
      <c r="E9634" s="13" t="s">
        <v>47</v>
      </c>
      <c r="F9634" s="13" t="s">
        <v>1918</v>
      </c>
      <c r="G9634" s="543" t="s">
        <v>48</v>
      </c>
      <c r="H9634" s="548">
        <v>2.2080000000000002</v>
      </c>
      <c r="I9634" s="412">
        <f>IF(AND(E9634&lt;&gt;"",G9634&lt;&gt;""),IF(D9634="",IF(G9634="OH",VLOOKUP(F9634,UPAH!$B$4:$H$101,7,0),VLOOKUP(F9634,#REF!,4,0)),0),0)</f>
        <v>0</v>
      </c>
      <c r="J9634" s="16">
        <f>H9634*I9634</f>
        <v>0</v>
      </c>
    </row>
    <row r="9635" spans="1:10" ht="13" hidden="1">
      <c r="A9635" s="27"/>
      <c r="B9635" s="110"/>
      <c r="D9635" s="409"/>
      <c r="E9635" s="13" t="s">
        <v>283</v>
      </c>
      <c r="F9635" s="13" t="s">
        <v>1913</v>
      </c>
      <c r="G9635" s="543" t="s">
        <v>48</v>
      </c>
      <c r="H9635" s="548">
        <v>0.442</v>
      </c>
      <c r="I9635" s="412">
        <f>IF(AND(E9635&lt;&gt;"",G9635&lt;&gt;""),IF(D9635="",IF(G9635="OH",VLOOKUP(F9635,UPAH!$B$4:$H$101,7,0),VLOOKUP(F9635,#REF!,4,0)),0),0)</f>
        <v>0</v>
      </c>
      <c r="J9635" s="16">
        <f>H9635*I9635</f>
        <v>0</v>
      </c>
    </row>
    <row r="9636" spans="1:10" ht="13" hidden="1">
      <c r="A9636" s="27"/>
      <c r="B9636" s="110"/>
      <c r="D9636" s="409"/>
      <c r="E9636" s="13" t="s">
        <v>51</v>
      </c>
      <c r="F9636" s="13" t="s">
        <v>1929</v>
      </c>
      <c r="G9636" s="543" t="s">
        <v>48</v>
      </c>
      <c r="H9636" s="548">
        <v>0.221</v>
      </c>
      <c r="I9636" s="412">
        <f>IF(AND(E9636&lt;&gt;"",G9636&lt;&gt;""),IF(D9636="",IF(G9636="OH",VLOOKUP(F9636,UPAH!$B$4:$H$101,7,0),VLOOKUP(F9636,#REF!,4,0)),0),0)</f>
        <v>0</v>
      </c>
      <c r="J9636" s="16">
        <f>H9636*I9636</f>
        <v>0</v>
      </c>
    </row>
    <row r="9637" spans="1:10" ht="13.5" hidden="1" thickBot="1">
      <c r="A9637" s="27"/>
      <c r="B9637" s="110"/>
      <c r="D9637" s="417"/>
      <c r="E9637" s="418"/>
      <c r="F9637" s="418"/>
      <c r="G9637" s="419"/>
      <c r="H9637" s="420" t="s">
        <v>52</v>
      </c>
      <c r="I9637" s="421"/>
      <c r="J9637" s="396">
        <f>SUM(J9633:J9636)</f>
        <v>0</v>
      </c>
    </row>
    <row r="9638" spans="1:10" ht="13" hidden="1">
      <c r="A9638" s="27"/>
      <c r="B9638" s="110"/>
      <c r="D9638" s="406" t="s">
        <v>53</v>
      </c>
      <c r="E9638" s="13" t="s">
        <v>54</v>
      </c>
      <c r="F9638" s="14"/>
      <c r="G9638" s="15"/>
      <c r="H9638" s="451"/>
      <c r="I9638" s="412"/>
      <c r="J9638" s="16"/>
    </row>
    <row r="9639" spans="1:10" ht="13" hidden="1">
      <c r="A9639" s="27"/>
      <c r="B9639" s="110"/>
      <c r="D9639" s="409"/>
      <c r="E9639" s="13" t="s">
        <v>425</v>
      </c>
      <c r="F9639" s="14"/>
      <c r="G9639" s="543" t="s">
        <v>113</v>
      </c>
      <c r="H9639" s="548">
        <v>1</v>
      </c>
      <c r="I9639" s="412" t="s">
        <v>3187</v>
      </c>
      <c r="J9639" s="16" t="e">
        <f>H9639*I9639</f>
        <v>#VALUE!</v>
      </c>
    </row>
    <row r="9640" spans="1:10" ht="13.5" hidden="1" thickBot="1">
      <c r="A9640" s="27"/>
      <c r="B9640" s="110"/>
      <c r="D9640" s="417"/>
      <c r="E9640" s="418"/>
      <c r="F9640" s="418"/>
      <c r="G9640" s="419"/>
      <c r="H9640" s="420" t="s">
        <v>64</v>
      </c>
      <c r="I9640" s="421"/>
      <c r="J9640" s="396" t="e">
        <f>SUM(J9639)</f>
        <v>#VALUE!</v>
      </c>
    </row>
    <row r="9641" spans="1:10" ht="13" hidden="1">
      <c r="A9641" s="27"/>
      <c r="B9641" s="110"/>
      <c r="D9641" s="406" t="s">
        <v>65</v>
      </c>
      <c r="E9641" s="13" t="s">
        <v>66</v>
      </c>
      <c r="F9641" s="14"/>
      <c r="G9641" s="15"/>
      <c r="H9641" s="451"/>
      <c r="I9641" s="412"/>
      <c r="J9641" s="16"/>
    </row>
    <row r="9642" spans="1:10" ht="13" hidden="1">
      <c r="A9642" s="27"/>
      <c r="B9642" s="110"/>
      <c r="D9642" s="409"/>
      <c r="E9642" s="13" t="s">
        <v>444</v>
      </c>
      <c r="F9642" s="14"/>
      <c r="G9642" s="543" t="s">
        <v>285</v>
      </c>
      <c r="H9642" s="548">
        <v>2.7E-2</v>
      </c>
      <c r="I9642" s="412">
        <f>Alat!H40</f>
        <v>0</v>
      </c>
      <c r="J9642" s="16">
        <f>H9642*I9642</f>
        <v>0</v>
      </c>
    </row>
    <row r="9643" spans="1:10" ht="13" hidden="1">
      <c r="A9643" s="27"/>
      <c r="B9643" s="110"/>
      <c r="D9643" s="409"/>
      <c r="E9643" s="13" t="s">
        <v>446</v>
      </c>
      <c r="F9643" s="14"/>
      <c r="G9643" s="543" t="s">
        <v>285</v>
      </c>
      <c r="H9643" s="548">
        <v>3.9E-2</v>
      </c>
      <c r="I9643" s="412">
        <f>Alat!H102</f>
        <v>0</v>
      </c>
      <c r="J9643" s="16">
        <f>H9643*I9643</f>
        <v>0</v>
      </c>
    </row>
    <row r="9644" spans="1:10" ht="13.5" hidden="1" thickBot="1">
      <c r="A9644" s="27"/>
      <c r="B9644" s="110"/>
      <c r="D9644" s="417"/>
      <c r="E9644" s="418"/>
      <c r="F9644" s="418"/>
      <c r="G9644" s="419"/>
      <c r="H9644" s="420" t="s">
        <v>67</v>
      </c>
      <c r="I9644" s="421"/>
      <c r="J9644" s="396">
        <f>SUM(J9642:J9643)</f>
        <v>0</v>
      </c>
    </row>
    <row r="9645" spans="1:10" ht="13" hidden="1">
      <c r="A9645" s="27"/>
      <c r="B9645" s="110"/>
      <c r="D9645" s="444" t="s">
        <v>68</v>
      </c>
      <c r="E9645" s="445" t="s">
        <v>69</v>
      </c>
      <c r="F9645" s="446"/>
      <c r="G9645" s="447"/>
      <c r="H9645" s="448"/>
      <c r="I9645" s="449">
        <f>IF(AND(E9645&lt;&gt;"",G9645&lt;&gt;""),IF(D9645="",IF(G9645="OH",VLOOKUP(E9645,UPAH!$C$4:$H$31,7,0),VLOOKUP(E9645,#REF!,4,0)),0),0)</f>
        <v>0</v>
      </c>
      <c r="J9645" s="16" t="e">
        <f>SUM(J9634:J9644)/2</f>
        <v>#VALUE!</v>
      </c>
    </row>
    <row r="9646" spans="1:10" ht="13" hidden="1">
      <c r="A9646" s="27"/>
      <c r="B9646" s="110"/>
      <c r="D9646" s="431" t="s">
        <v>70</v>
      </c>
      <c r="E9646" s="432" t="s">
        <v>477</v>
      </c>
      <c r="F9646" s="433"/>
      <c r="G9646" s="434"/>
      <c r="H9646" s="22">
        <v>0.1</v>
      </c>
      <c r="I9646" s="436"/>
      <c r="J9646" s="430" t="e">
        <f>H9646*J9645</f>
        <v>#VALUE!</v>
      </c>
    </row>
    <row r="9647" spans="1:10" ht="13.5" hidden="1" thickBot="1">
      <c r="A9647" s="27"/>
      <c r="B9647" s="110"/>
      <c r="D9647" s="401" t="s">
        <v>71</v>
      </c>
      <c r="E9647" s="402" t="s">
        <v>72</v>
      </c>
      <c r="F9647" s="418"/>
      <c r="G9647" s="419"/>
      <c r="H9647" s="442"/>
      <c r="I9647" s="421">
        <f>IF(AND(E9647&lt;&gt;"",G9647&lt;&gt;""),IF(D9647="",IF(G9647="OH",VLOOKUP(E9647,UPAH!$C$4:$H$31,7,0),VLOOKUP(E9647,#REF!,4,0)),0),0)</f>
        <v>0</v>
      </c>
      <c r="J9647" s="396" t="e">
        <f>ROUNDDOWN(J9645+J9646,0)</f>
        <v>#VALUE!</v>
      </c>
    </row>
    <row r="9648" spans="1:10" ht="13" hidden="1">
      <c r="A9648" s="27"/>
      <c r="B9648" s="110"/>
      <c r="D9648" s="11"/>
      <c r="E9648" s="11"/>
      <c r="H9648" s="443"/>
      <c r="I9648" s="17"/>
      <c r="J9648" s="18"/>
    </row>
    <row r="9649" spans="1:10" ht="13" hidden="1">
      <c r="A9649" s="27"/>
      <c r="B9649" s="110"/>
      <c r="C9649" s="11" t="s">
        <v>1411</v>
      </c>
      <c r="D9649" s="10" t="s">
        <v>1529</v>
      </c>
      <c r="H9649" s="443"/>
    </row>
    <row r="9650" spans="1:10" ht="13.5" hidden="1" thickBot="1">
      <c r="A9650" s="27"/>
      <c r="B9650" s="110"/>
      <c r="D9650" s="401" t="s">
        <v>40</v>
      </c>
      <c r="E9650" s="402" t="s">
        <v>41</v>
      </c>
      <c r="F9650" s="402" t="s">
        <v>42</v>
      </c>
      <c r="G9650" s="403" t="s">
        <v>43</v>
      </c>
      <c r="H9650" s="404" t="s">
        <v>44</v>
      </c>
      <c r="I9650" s="402" t="s">
        <v>474</v>
      </c>
      <c r="J9650" s="405" t="s">
        <v>475</v>
      </c>
    </row>
    <row r="9651" spans="1:10" ht="13" hidden="1">
      <c r="A9651" s="27"/>
      <c r="B9651" s="110"/>
      <c r="D9651" s="444" t="s">
        <v>45</v>
      </c>
      <c r="E9651" s="445" t="s">
        <v>46</v>
      </c>
      <c r="F9651" s="446"/>
      <c r="G9651" s="447"/>
      <c r="H9651" s="448"/>
      <c r="I9651" s="449"/>
      <c r="J9651" s="450"/>
    </row>
    <row r="9652" spans="1:10" ht="13" hidden="1">
      <c r="A9652" s="27"/>
      <c r="B9652" s="110"/>
      <c r="D9652" s="409"/>
      <c r="E9652" s="13" t="s">
        <v>47</v>
      </c>
      <c r="F9652" s="13" t="s">
        <v>1918</v>
      </c>
      <c r="G9652" s="543" t="s">
        <v>48</v>
      </c>
      <c r="H9652" s="548">
        <v>3.8969999999999998</v>
      </c>
      <c r="I9652" s="412">
        <f>IF(AND(E9652&lt;&gt;"",G9652&lt;&gt;""),IF(D9652="",IF(G9652="OH",VLOOKUP(F9652,UPAH!$B$4:$H$101,7,0),VLOOKUP(F9652,#REF!,4,0)),0),0)</f>
        <v>0</v>
      </c>
      <c r="J9652" s="16">
        <f>H9652*I9652</f>
        <v>0</v>
      </c>
    </row>
    <row r="9653" spans="1:10" ht="13" hidden="1">
      <c r="A9653" s="27"/>
      <c r="B9653" s="110"/>
      <c r="D9653" s="409"/>
      <c r="E9653" s="13" t="s">
        <v>283</v>
      </c>
      <c r="F9653" s="13" t="s">
        <v>1913</v>
      </c>
      <c r="G9653" s="543" t="s">
        <v>48</v>
      </c>
      <c r="H9653" s="548">
        <v>0.77900000000000003</v>
      </c>
      <c r="I9653" s="412">
        <f>IF(AND(E9653&lt;&gt;"",G9653&lt;&gt;""),IF(D9653="",IF(G9653="OH",VLOOKUP(F9653,UPAH!$B$4:$H$101,7,0),VLOOKUP(F9653,#REF!,4,0)),0),0)</f>
        <v>0</v>
      </c>
      <c r="J9653" s="16">
        <f>H9653*I9653</f>
        <v>0</v>
      </c>
    </row>
    <row r="9654" spans="1:10" ht="13" hidden="1">
      <c r="A9654" s="27"/>
      <c r="B9654" s="110"/>
      <c r="D9654" s="409"/>
      <c r="E9654" s="13" t="s">
        <v>51</v>
      </c>
      <c r="F9654" s="13" t="s">
        <v>1929</v>
      </c>
      <c r="G9654" s="543" t="s">
        <v>48</v>
      </c>
      <c r="H9654" s="548">
        <v>0.39</v>
      </c>
      <c r="I9654" s="412">
        <f>IF(AND(E9654&lt;&gt;"",G9654&lt;&gt;""),IF(D9654="",IF(G9654="OH",VLOOKUP(F9654,UPAH!$B$4:$H$101,7,0),VLOOKUP(F9654,#REF!,4,0)),0),0)</f>
        <v>0</v>
      </c>
      <c r="J9654" s="16">
        <f>H9654*I9654</f>
        <v>0</v>
      </c>
    </row>
    <row r="9655" spans="1:10" ht="13.5" hidden="1" thickBot="1">
      <c r="A9655" s="27"/>
      <c r="B9655" s="110"/>
      <c r="D9655" s="417"/>
      <c r="E9655" s="418"/>
      <c r="F9655" s="418"/>
      <c r="G9655" s="419"/>
      <c r="H9655" s="420" t="s">
        <v>52</v>
      </c>
      <c r="I9655" s="421"/>
      <c r="J9655" s="396">
        <f>SUM(J9651:J9654)</f>
        <v>0</v>
      </c>
    </row>
    <row r="9656" spans="1:10" ht="13" hidden="1">
      <c r="A9656" s="27"/>
      <c r="B9656" s="110"/>
      <c r="D9656" s="406" t="s">
        <v>53</v>
      </c>
      <c r="E9656" s="13" t="s">
        <v>54</v>
      </c>
      <c r="F9656" s="14"/>
      <c r="G9656" s="15"/>
      <c r="H9656" s="451"/>
      <c r="I9656" s="412"/>
      <c r="J9656" s="16"/>
    </row>
    <row r="9657" spans="1:10" ht="13" hidden="1">
      <c r="A9657" s="27"/>
      <c r="B9657" s="110"/>
      <c r="D9657" s="409"/>
      <c r="E9657" s="13" t="s">
        <v>427</v>
      </c>
      <c r="F9657" s="14"/>
      <c r="G9657" s="543" t="s">
        <v>113</v>
      </c>
      <c r="H9657" s="548">
        <v>1</v>
      </c>
      <c r="I9657" s="412" t="s">
        <v>3187</v>
      </c>
      <c r="J9657" s="16" t="e">
        <f>H9657*I9657</f>
        <v>#VALUE!</v>
      </c>
    </row>
    <row r="9658" spans="1:10" ht="13.5" hidden="1" thickBot="1">
      <c r="A9658" s="27"/>
      <c r="B9658" s="110"/>
      <c r="D9658" s="417"/>
      <c r="E9658" s="418"/>
      <c r="F9658" s="418"/>
      <c r="G9658" s="419"/>
      <c r="H9658" s="420" t="s">
        <v>64</v>
      </c>
      <c r="I9658" s="421"/>
      <c r="J9658" s="396" t="e">
        <f>SUM(J9657)</f>
        <v>#VALUE!</v>
      </c>
    </row>
    <row r="9659" spans="1:10" ht="13" hidden="1">
      <c r="A9659" s="27"/>
      <c r="B9659" s="110"/>
      <c r="D9659" s="406" t="s">
        <v>65</v>
      </c>
      <c r="E9659" s="13" t="s">
        <v>66</v>
      </c>
      <c r="F9659" s="14"/>
      <c r="G9659" s="15"/>
      <c r="H9659" s="451"/>
      <c r="I9659" s="412"/>
      <c r="J9659" s="16"/>
    </row>
    <row r="9660" spans="1:10" ht="13" hidden="1">
      <c r="A9660" s="27"/>
      <c r="B9660" s="110"/>
      <c r="D9660" s="409"/>
      <c r="E9660" s="13" t="s">
        <v>444</v>
      </c>
      <c r="F9660" s="14"/>
      <c r="G9660" s="543" t="s">
        <v>285</v>
      </c>
      <c r="H9660" s="548">
        <v>4.5999999999999999E-2</v>
      </c>
      <c r="I9660" s="412">
        <f>Alat!H40</f>
        <v>0</v>
      </c>
      <c r="J9660" s="16">
        <f>H9660*I9660</f>
        <v>0</v>
      </c>
    </row>
    <row r="9661" spans="1:10" ht="13" hidden="1">
      <c r="A9661" s="27"/>
      <c r="B9661" s="110"/>
      <c r="D9661" s="409"/>
      <c r="E9661" s="13" t="s">
        <v>446</v>
      </c>
      <c r="F9661" s="14"/>
      <c r="G9661" s="543" t="s">
        <v>285</v>
      </c>
      <c r="H9661" s="548">
        <v>9.8000000000000004E-2</v>
      </c>
      <c r="I9661" s="412">
        <f>Alat!H102</f>
        <v>0</v>
      </c>
      <c r="J9661" s="16">
        <f>H9661*I9661</f>
        <v>0</v>
      </c>
    </row>
    <row r="9662" spans="1:10" ht="13.5" hidden="1" thickBot="1">
      <c r="A9662" s="27"/>
      <c r="B9662" s="110"/>
      <c r="D9662" s="417"/>
      <c r="E9662" s="418"/>
      <c r="F9662" s="418"/>
      <c r="G9662" s="419"/>
      <c r="H9662" s="420" t="s">
        <v>67</v>
      </c>
      <c r="I9662" s="421"/>
      <c r="J9662" s="396">
        <f>SUM(J9660:J9661)</f>
        <v>0</v>
      </c>
    </row>
    <row r="9663" spans="1:10" ht="13" hidden="1">
      <c r="A9663" s="27"/>
      <c r="B9663" s="110"/>
      <c r="D9663" s="444" t="s">
        <v>68</v>
      </c>
      <c r="E9663" s="445" t="s">
        <v>69</v>
      </c>
      <c r="F9663" s="446"/>
      <c r="G9663" s="447"/>
      <c r="H9663" s="448"/>
      <c r="I9663" s="449">
        <f>IF(AND(E9663&lt;&gt;"",G9663&lt;&gt;""),IF(D9663="",IF(G9663="OH",VLOOKUP(E9663,UPAH!$C$4:$H$31,7,0),VLOOKUP(E9663,#REF!,4,0)),0),0)</f>
        <v>0</v>
      </c>
      <c r="J9663" s="16" t="e">
        <f>SUM(J9652:J9662)/2</f>
        <v>#VALUE!</v>
      </c>
    </row>
    <row r="9664" spans="1:10" ht="13" hidden="1">
      <c r="A9664" s="27"/>
      <c r="B9664" s="110"/>
      <c r="D9664" s="431" t="s">
        <v>70</v>
      </c>
      <c r="E9664" s="432" t="s">
        <v>477</v>
      </c>
      <c r="F9664" s="433"/>
      <c r="G9664" s="434"/>
      <c r="H9664" s="22">
        <v>0.1</v>
      </c>
      <c r="I9664" s="436"/>
      <c r="J9664" s="430" t="e">
        <f>H9664*J9663</f>
        <v>#VALUE!</v>
      </c>
    </row>
    <row r="9665" spans="1:10" ht="13.5" hidden="1" thickBot="1">
      <c r="A9665" s="27"/>
      <c r="B9665" s="110"/>
      <c r="D9665" s="401" t="s">
        <v>71</v>
      </c>
      <c r="E9665" s="402" t="s">
        <v>72</v>
      </c>
      <c r="F9665" s="418"/>
      <c r="G9665" s="419"/>
      <c r="H9665" s="442"/>
      <c r="I9665" s="421">
        <f>IF(AND(E9665&lt;&gt;"",G9665&lt;&gt;""),IF(D9665="",IF(G9665="OH",VLOOKUP(E9665,UPAH!$C$4:$H$31,7,0),VLOOKUP(E9665,#REF!,4,0)),0),0)</f>
        <v>0</v>
      </c>
      <c r="J9665" s="396" t="e">
        <f>ROUNDDOWN(J9663+J9664,0)</f>
        <v>#VALUE!</v>
      </c>
    </row>
    <row r="9666" spans="1:10" ht="13" hidden="1">
      <c r="A9666" s="27"/>
      <c r="B9666" s="110"/>
      <c r="D9666" s="11"/>
      <c r="E9666" s="11"/>
      <c r="H9666" s="443"/>
      <c r="I9666" s="17"/>
      <c r="J9666" s="18"/>
    </row>
    <row r="9667" spans="1:10" ht="13" hidden="1">
      <c r="A9667" s="27"/>
      <c r="B9667" s="110"/>
      <c r="C9667" s="11" t="s">
        <v>1410</v>
      </c>
      <c r="D9667" s="10" t="s">
        <v>1530</v>
      </c>
      <c r="H9667" s="443"/>
    </row>
    <row r="9668" spans="1:10" ht="13.5" hidden="1" thickBot="1">
      <c r="A9668" s="27"/>
      <c r="B9668" s="110"/>
      <c r="D9668" s="401" t="s">
        <v>40</v>
      </c>
      <c r="E9668" s="402" t="s">
        <v>41</v>
      </c>
      <c r="F9668" s="402" t="s">
        <v>42</v>
      </c>
      <c r="G9668" s="403" t="s">
        <v>43</v>
      </c>
      <c r="H9668" s="404" t="s">
        <v>44</v>
      </c>
      <c r="I9668" s="402" t="s">
        <v>474</v>
      </c>
      <c r="J9668" s="405" t="s">
        <v>475</v>
      </c>
    </row>
    <row r="9669" spans="1:10" ht="13" hidden="1">
      <c r="A9669" s="27"/>
      <c r="B9669" s="110"/>
      <c r="D9669" s="444" t="s">
        <v>45</v>
      </c>
      <c r="E9669" s="445" t="s">
        <v>46</v>
      </c>
      <c r="F9669" s="446"/>
      <c r="G9669" s="447"/>
      <c r="H9669" s="448"/>
      <c r="I9669" s="449"/>
      <c r="J9669" s="450"/>
    </row>
    <row r="9670" spans="1:10" ht="13" hidden="1">
      <c r="A9670" s="27"/>
      <c r="B9670" s="110"/>
      <c r="D9670" s="409"/>
      <c r="E9670" s="13" t="s">
        <v>47</v>
      </c>
      <c r="F9670" s="13" t="s">
        <v>1918</v>
      </c>
      <c r="G9670" s="543" t="s">
        <v>48</v>
      </c>
      <c r="H9670" s="548">
        <v>4.4029999999999996</v>
      </c>
      <c r="I9670" s="412">
        <f>IF(AND(E9670&lt;&gt;"",G9670&lt;&gt;""),IF(D9670="",IF(G9670="OH",VLOOKUP(F9670,UPAH!$B$4:$H$101,7,0),VLOOKUP(F9670,#REF!,4,0)),0),0)</f>
        <v>0</v>
      </c>
      <c r="J9670" s="16">
        <f>H9670*I9670</f>
        <v>0</v>
      </c>
    </row>
    <row r="9671" spans="1:10" ht="13" hidden="1">
      <c r="A9671" s="27"/>
      <c r="B9671" s="110"/>
      <c r="D9671" s="409"/>
      <c r="E9671" s="13" t="s">
        <v>283</v>
      </c>
      <c r="F9671" s="13" t="s">
        <v>1913</v>
      </c>
      <c r="G9671" s="543" t="s">
        <v>48</v>
      </c>
      <c r="H9671" s="548">
        <v>8.1000000000000003E-2</v>
      </c>
      <c r="I9671" s="412">
        <f>IF(AND(E9671&lt;&gt;"",G9671&lt;&gt;""),IF(D9671="",IF(G9671="OH",VLOOKUP(F9671,UPAH!$B$4:$H$101,7,0),VLOOKUP(F9671,#REF!,4,0)),0),0)</f>
        <v>0</v>
      </c>
      <c r="J9671" s="16">
        <f>H9671*I9671</f>
        <v>0</v>
      </c>
    </row>
    <row r="9672" spans="1:10" ht="13" hidden="1">
      <c r="A9672" s="27"/>
      <c r="B9672" s="110"/>
      <c r="D9672" s="409"/>
      <c r="E9672" s="13" t="s">
        <v>51</v>
      </c>
      <c r="F9672" s="13" t="s">
        <v>1929</v>
      </c>
      <c r="G9672" s="543" t="s">
        <v>48</v>
      </c>
      <c r="H9672" s="548">
        <v>0.44</v>
      </c>
      <c r="I9672" s="412">
        <f>IF(AND(E9672&lt;&gt;"",G9672&lt;&gt;""),IF(D9672="",IF(G9672="OH",VLOOKUP(F9672,UPAH!$B$4:$H$101,7,0),VLOOKUP(F9672,#REF!,4,0)),0),0)</f>
        <v>0</v>
      </c>
      <c r="J9672" s="16">
        <f>H9672*I9672</f>
        <v>0</v>
      </c>
    </row>
    <row r="9673" spans="1:10" ht="13.5" hidden="1" thickBot="1">
      <c r="A9673" s="27"/>
      <c r="B9673" s="110"/>
      <c r="D9673" s="417"/>
      <c r="E9673" s="418"/>
      <c r="F9673" s="418"/>
      <c r="G9673" s="419"/>
      <c r="H9673" s="420" t="s">
        <v>52</v>
      </c>
      <c r="I9673" s="421"/>
      <c r="J9673" s="396">
        <f>SUM(J9669:J9672)</f>
        <v>0</v>
      </c>
    </row>
    <row r="9674" spans="1:10" ht="13" hidden="1">
      <c r="A9674" s="27"/>
      <c r="B9674" s="110"/>
      <c r="D9674" s="406" t="s">
        <v>53</v>
      </c>
      <c r="E9674" s="13" t="s">
        <v>54</v>
      </c>
      <c r="F9674" s="14"/>
      <c r="G9674" s="15"/>
      <c r="H9674" s="451"/>
      <c r="I9674" s="412"/>
      <c r="J9674" s="16"/>
    </row>
    <row r="9675" spans="1:10" ht="13" hidden="1">
      <c r="A9675" s="27"/>
      <c r="B9675" s="110"/>
      <c r="D9675" s="409"/>
      <c r="E9675" s="13" t="s">
        <v>428</v>
      </c>
      <c r="F9675" s="14"/>
      <c r="G9675" s="543" t="s">
        <v>113</v>
      </c>
      <c r="H9675" s="548">
        <v>1</v>
      </c>
      <c r="I9675" s="412" t="s">
        <v>3187</v>
      </c>
      <c r="J9675" s="16" t="e">
        <f>H9675*I9675</f>
        <v>#VALUE!</v>
      </c>
    </row>
    <row r="9676" spans="1:10" ht="13.5" hidden="1" thickBot="1">
      <c r="A9676" s="27"/>
      <c r="B9676" s="110"/>
      <c r="D9676" s="417"/>
      <c r="E9676" s="418"/>
      <c r="F9676" s="418"/>
      <c r="G9676" s="419"/>
      <c r="H9676" s="420" t="s">
        <v>64</v>
      </c>
      <c r="I9676" s="421"/>
      <c r="J9676" s="396" t="e">
        <f>SUM(J9675)</f>
        <v>#VALUE!</v>
      </c>
    </row>
    <row r="9677" spans="1:10" ht="13" hidden="1">
      <c r="A9677" s="27"/>
      <c r="B9677" s="110"/>
      <c r="D9677" s="406" t="s">
        <v>65</v>
      </c>
      <c r="E9677" s="13" t="s">
        <v>66</v>
      </c>
      <c r="F9677" s="14"/>
      <c r="G9677" s="15"/>
      <c r="H9677" s="451"/>
      <c r="I9677" s="412"/>
      <c r="J9677" s="16"/>
    </row>
    <row r="9678" spans="1:10" ht="13" hidden="1">
      <c r="A9678" s="27"/>
      <c r="B9678" s="110"/>
      <c r="D9678" s="409"/>
      <c r="E9678" s="13" t="s">
        <v>444</v>
      </c>
      <c r="F9678" s="14"/>
      <c r="G9678" s="543" t="s">
        <v>285</v>
      </c>
      <c r="H9678" s="548">
        <v>5.1999999999999998E-2</v>
      </c>
      <c r="I9678" s="412">
        <f>Alat!H40</f>
        <v>0</v>
      </c>
      <c r="J9678" s="16">
        <f>H9678*I9678</f>
        <v>0</v>
      </c>
    </row>
    <row r="9679" spans="1:10" ht="13" hidden="1">
      <c r="A9679" s="27"/>
      <c r="B9679" s="110"/>
      <c r="D9679" s="409"/>
      <c r="E9679" s="13" t="s">
        <v>446</v>
      </c>
      <c r="F9679" s="14"/>
      <c r="G9679" s="543" t="s">
        <v>285</v>
      </c>
      <c r="H9679" s="548">
        <v>0.115</v>
      </c>
      <c r="I9679" s="412">
        <f>Alat!H102</f>
        <v>0</v>
      </c>
      <c r="J9679" s="16">
        <f>H9679*I9679</f>
        <v>0</v>
      </c>
    </row>
    <row r="9680" spans="1:10" ht="13.5" hidden="1" thickBot="1">
      <c r="A9680" s="27"/>
      <c r="B9680" s="110"/>
      <c r="D9680" s="417"/>
      <c r="E9680" s="418"/>
      <c r="F9680" s="418"/>
      <c r="G9680" s="419"/>
      <c r="H9680" s="420" t="s">
        <v>67</v>
      </c>
      <c r="I9680" s="421"/>
      <c r="J9680" s="396">
        <f>SUM(J9678:J9679)</f>
        <v>0</v>
      </c>
    </row>
    <row r="9681" spans="1:10" ht="13" hidden="1">
      <c r="A9681" s="27"/>
      <c r="B9681" s="110"/>
      <c r="D9681" s="444" t="s">
        <v>68</v>
      </c>
      <c r="E9681" s="445" t="s">
        <v>69</v>
      </c>
      <c r="F9681" s="446"/>
      <c r="G9681" s="447"/>
      <c r="H9681" s="448"/>
      <c r="I9681" s="449">
        <f>IF(AND(E9681&lt;&gt;"",G9681&lt;&gt;""),IF(D9681="",IF(G9681="OH",VLOOKUP(E9681,UPAH!$C$4:$H$31,7,0),VLOOKUP(E9681,#REF!,4,0)),0),0)</f>
        <v>0</v>
      </c>
      <c r="J9681" s="16" t="e">
        <f>SUM(J9670:J9680)/2</f>
        <v>#VALUE!</v>
      </c>
    </row>
    <row r="9682" spans="1:10" ht="13" hidden="1">
      <c r="A9682" s="27"/>
      <c r="B9682" s="110"/>
      <c r="D9682" s="431" t="s">
        <v>70</v>
      </c>
      <c r="E9682" s="432" t="s">
        <v>477</v>
      </c>
      <c r="F9682" s="433"/>
      <c r="G9682" s="434"/>
      <c r="H9682" s="22">
        <v>0.1</v>
      </c>
      <c r="I9682" s="436"/>
      <c r="J9682" s="430" t="e">
        <f>H9682*J9681</f>
        <v>#VALUE!</v>
      </c>
    </row>
    <row r="9683" spans="1:10" ht="13.5" hidden="1" thickBot="1">
      <c r="A9683" s="27"/>
      <c r="B9683" s="110"/>
      <c r="D9683" s="401" t="s">
        <v>71</v>
      </c>
      <c r="E9683" s="402" t="s">
        <v>72</v>
      </c>
      <c r="F9683" s="418"/>
      <c r="G9683" s="419"/>
      <c r="H9683" s="442"/>
      <c r="I9683" s="421">
        <f>IF(AND(E9683&lt;&gt;"",G9683&lt;&gt;""),IF(D9683="",IF(G9683="OH",VLOOKUP(E9683,UPAH!$C$4:$H$31,7,0),VLOOKUP(E9683,#REF!,4,0)),0),0)</f>
        <v>0</v>
      </c>
      <c r="J9683" s="396" t="e">
        <f>ROUNDDOWN(J9681+J9682,0)</f>
        <v>#VALUE!</v>
      </c>
    </row>
    <row r="9684" spans="1:10" ht="13" hidden="1">
      <c r="A9684" s="27"/>
      <c r="B9684" s="110"/>
      <c r="D9684" s="11"/>
      <c r="E9684" s="11"/>
      <c r="H9684" s="443"/>
      <c r="I9684" s="17"/>
      <c r="J9684" s="18"/>
    </row>
    <row r="9685" spans="1:10" ht="13" hidden="1">
      <c r="A9685" s="27"/>
      <c r="B9685" s="110"/>
      <c r="C9685" s="11" t="s">
        <v>1409</v>
      </c>
      <c r="D9685" s="10" t="s">
        <v>1531</v>
      </c>
      <c r="H9685" s="443"/>
    </row>
    <row r="9686" spans="1:10" ht="13.5" hidden="1" thickBot="1">
      <c r="A9686" s="27"/>
      <c r="B9686" s="110"/>
      <c r="D9686" s="401" t="s">
        <v>40</v>
      </c>
      <c r="E9686" s="402" t="s">
        <v>41</v>
      </c>
      <c r="F9686" s="402" t="s">
        <v>42</v>
      </c>
      <c r="G9686" s="403" t="s">
        <v>43</v>
      </c>
      <c r="H9686" s="404" t="s">
        <v>44</v>
      </c>
      <c r="I9686" s="402" t="s">
        <v>474</v>
      </c>
      <c r="J9686" s="405" t="s">
        <v>475</v>
      </c>
    </row>
    <row r="9687" spans="1:10" ht="13" hidden="1">
      <c r="A9687" s="27"/>
      <c r="B9687" s="110"/>
      <c r="D9687" s="444" t="s">
        <v>45</v>
      </c>
      <c r="E9687" s="445" t="s">
        <v>46</v>
      </c>
      <c r="F9687" s="446"/>
      <c r="G9687" s="447"/>
      <c r="H9687" s="448"/>
      <c r="I9687" s="449"/>
      <c r="J9687" s="450"/>
    </row>
    <row r="9688" spans="1:10" ht="13" hidden="1">
      <c r="A9688" s="27"/>
      <c r="B9688" s="110"/>
      <c r="D9688" s="409"/>
      <c r="E9688" s="13" t="s">
        <v>47</v>
      </c>
      <c r="F9688" s="13" t="s">
        <v>1918</v>
      </c>
      <c r="G9688" s="543" t="s">
        <v>48</v>
      </c>
      <c r="H9688" s="548">
        <v>4.8949999999999996</v>
      </c>
      <c r="I9688" s="412">
        <f>IF(AND(E9688&lt;&gt;"",G9688&lt;&gt;""),IF(D9688="",IF(G9688="OH",VLOOKUP(F9688,UPAH!$B$4:$H$101,7,0),VLOOKUP(F9688,#REF!,4,0)),0),0)</f>
        <v>0</v>
      </c>
      <c r="J9688" s="16">
        <f>H9688*I9688</f>
        <v>0</v>
      </c>
    </row>
    <row r="9689" spans="1:10" ht="13" hidden="1">
      <c r="A9689" s="27"/>
      <c r="B9689" s="110"/>
      <c r="D9689" s="409"/>
      <c r="E9689" s="13" t="s">
        <v>283</v>
      </c>
      <c r="F9689" s="13" t="s">
        <v>1913</v>
      </c>
      <c r="G9689" s="543" t="s">
        <v>48</v>
      </c>
      <c r="H9689" s="548">
        <v>0.97899999999999998</v>
      </c>
      <c r="I9689" s="412">
        <f>IF(AND(E9689&lt;&gt;"",G9689&lt;&gt;""),IF(D9689="",IF(G9689="OH",VLOOKUP(F9689,UPAH!$B$4:$H$101,7,0),VLOOKUP(F9689,#REF!,4,0)),0),0)</f>
        <v>0</v>
      </c>
      <c r="J9689" s="16">
        <f>H9689*I9689</f>
        <v>0</v>
      </c>
    </row>
    <row r="9690" spans="1:10" ht="13" hidden="1">
      <c r="A9690" s="27"/>
      <c r="B9690" s="110"/>
      <c r="D9690" s="409"/>
      <c r="E9690" s="13" t="s">
        <v>51</v>
      </c>
      <c r="F9690" s="13" t="s">
        <v>1929</v>
      </c>
      <c r="G9690" s="543" t="s">
        <v>48</v>
      </c>
      <c r="H9690" s="548">
        <v>0.48899999999999999</v>
      </c>
      <c r="I9690" s="412">
        <f>IF(AND(E9690&lt;&gt;"",G9690&lt;&gt;""),IF(D9690="",IF(G9690="OH",VLOOKUP(F9690,UPAH!$B$4:$H$101,7,0),VLOOKUP(F9690,#REF!,4,0)),0),0)</f>
        <v>0</v>
      </c>
      <c r="J9690" s="16">
        <f>H9690*I9690</f>
        <v>0</v>
      </c>
    </row>
    <row r="9691" spans="1:10" ht="13.5" hidden="1" thickBot="1">
      <c r="A9691" s="27"/>
      <c r="B9691" s="110"/>
      <c r="D9691" s="417"/>
      <c r="E9691" s="418"/>
      <c r="F9691" s="418"/>
      <c r="G9691" s="419"/>
      <c r="H9691" s="420" t="s">
        <v>52</v>
      </c>
      <c r="I9691" s="421"/>
      <c r="J9691" s="396">
        <f>SUM(J9687:J9690)</f>
        <v>0</v>
      </c>
    </row>
    <row r="9692" spans="1:10" ht="13" hidden="1">
      <c r="A9692" s="27"/>
      <c r="B9692" s="110"/>
      <c r="D9692" s="406" t="s">
        <v>53</v>
      </c>
      <c r="E9692" s="13" t="s">
        <v>54</v>
      </c>
      <c r="F9692" s="14"/>
      <c r="G9692" s="15"/>
      <c r="H9692" s="451"/>
      <c r="I9692" s="412"/>
      <c r="J9692" s="16"/>
    </row>
    <row r="9693" spans="1:10" ht="13" hidden="1">
      <c r="A9693" s="27"/>
      <c r="B9693" s="110"/>
      <c r="D9693" s="409"/>
      <c r="E9693" s="13" t="s">
        <v>414</v>
      </c>
      <c r="F9693" s="14"/>
      <c r="G9693" s="543" t="s">
        <v>113</v>
      </c>
      <c r="H9693" s="548">
        <v>1</v>
      </c>
      <c r="I9693" s="412" t="s">
        <v>3187</v>
      </c>
      <c r="J9693" s="16" t="e">
        <f>H9693*I9693</f>
        <v>#VALUE!</v>
      </c>
    </row>
    <row r="9694" spans="1:10" ht="13.5" hidden="1" thickBot="1">
      <c r="A9694" s="27"/>
      <c r="B9694" s="110"/>
      <c r="D9694" s="417"/>
      <c r="E9694" s="418"/>
      <c r="F9694" s="418"/>
      <c r="G9694" s="419"/>
      <c r="H9694" s="420" t="s">
        <v>64</v>
      </c>
      <c r="I9694" s="421"/>
      <c r="J9694" s="396" t="e">
        <f>SUM(J9693)</f>
        <v>#VALUE!</v>
      </c>
    </row>
    <row r="9695" spans="1:10" ht="13" hidden="1">
      <c r="A9695" s="27"/>
      <c r="B9695" s="110"/>
      <c r="D9695" s="406" t="s">
        <v>65</v>
      </c>
      <c r="E9695" s="13" t="s">
        <v>66</v>
      </c>
      <c r="F9695" s="14"/>
      <c r="G9695" s="15"/>
      <c r="H9695" s="451"/>
      <c r="I9695" s="412"/>
      <c r="J9695" s="16"/>
    </row>
    <row r="9696" spans="1:10" ht="13" hidden="1">
      <c r="A9696" s="27"/>
      <c r="B9696" s="110"/>
      <c r="D9696" s="409"/>
      <c r="E9696" s="13" t="s">
        <v>444</v>
      </c>
      <c r="F9696" s="14"/>
      <c r="G9696" s="543" t="s">
        <v>285</v>
      </c>
      <c r="H9696" s="548">
        <v>5.8000000000000003E-2</v>
      </c>
      <c r="I9696" s="412">
        <f>Alat!H40</f>
        <v>0</v>
      </c>
      <c r="J9696" s="16">
        <f>H9696*I9696</f>
        <v>0</v>
      </c>
    </row>
    <row r="9697" spans="1:10" ht="13" hidden="1">
      <c r="A9697" s="27"/>
      <c r="B9697" s="110"/>
      <c r="D9697" s="409"/>
      <c r="E9697" s="13" t="s">
        <v>446</v>
      </c>
      <c r="F9697" s="14"/>
      <c r="G9697" s="543" t="s">
        <v>285</v>
      </c>
      <c r="H9697" s="548">
        <v>0.13300000000000001</v>
      </c>
      <c r="I9697" s="412">
        <f>Alat!H102</f>
        <v>0</v>
      </c>
      <c r="J9697" s="16">
        <f>H9697*I9697</f>
        <v>0</v>
      </c>
    </row>
    <row r="9698" spans="1:10" ht="13.5" hidden="1" thickBot="1">
      <c r="A9698" s="27"/>
      <c r="B9698" s="110"/>
      <c r="D9698" s="417"/>
      <c r="E9698" s="418"/>
      <c r="F9698" s="418"/>
      <c r="G9698" s="419"/>
      <c r="H9698" s="420" t="s">
        <v>67</v>
      </c>
      <c r="I9698" s="421"/>
      <c r="J9698" s="396">
        <f>SUM(J9696:J9697)</f>
        <v>0</v>
      </c>
    </row>
    <row r="9699" spans="1:10" ht="13" hidden="1">
      <c r="A9699" s="27"/>
      <c r="B9699" s="110"/>
      <c r="D9699" s="444" t="s">
        <v>68</v>
      </c>
      <c r="E9699" s="445" t="s">
        <v>69</v>
      </c>
      <c r="F9699" s="446"/>
      <c r="G9699" s="447"/>
      <c r="H9699" s="448"/>
      <c r="I9699" s="449">
        <f>IF(AND(E9699&lt;&gt;"",G9699&lt;&gt;""),IF(D9699="",IF(G9699="OH",VLOOKUP(E9699,UPAH!$C$4:$H$31,7,0),VLOOKUP(E9699,#REF!,4,0)),0),0)</f>
        <v>0</v>
      </c>
      <c r="J9699" s="16" t="e">
        <f>SUM(J9688:J9698)/2</f>
        <v>#VALUE!</v>
      </c>
    </row>
    <row r="9700" spans="1:10" ht="13" hidden="1">
      <c r="A9700" s="27"/>
      <c r="B9700" s="110"/>
      <c r="D9700" s="431" t="s">
        <v>70</v>
      </c>
      <c r="E9700" s="432" t="s">
        <v>477</v>
      </c>
      <c r="F9700" s="433"/>
      <c r="G9700" s="434"/>
      <c r="H9700" s="22">
        <v>0.1</v>
      </c>
      <c r="I9700" s="436"/>
      <c r="J9700" s="430" t="e">
        <f>H9700*J9699</f>
        <v>#VALUE!</v>
      </c>
    </row>
    <row r="9701" spans="1:10" ht="13.5" hidden="1" thickBot="1">
      <c r="A9701" s="27"/>
      <c r="B9701" s="110"/>
      <c r="D9701" s="401" t="s">
        <v>71</v>
      </c>
      <c r="E9701" s="402" t="s">
        <v>72</v>
      </c>
      <c r="F9701" s="418"/>
      <c r="G9701" s="419"/>
      <c r="H9701" s="442"/>
      <c r="I9701" s="421">
        <f>IF(AND(E9701&lt;&gt;"",G9701&lt;&gt;""),IF(D9701="",IF(G9701="OH",VLOOKUP(E9701,UPAH!$C$4:$H$31,7,0),VLOOKUP(E9701,#REF!,4,0)),0),0)</f>
        <v>0</v>
      </c>
      <c r="J9701" s="396" t="e">
        <f>ROUNDDOWN(J9699+J9700,0)</f>
        <v>#VALUE!</v>
      </c>
    </row>
    <row r="9702" spans="1:10" ht="13" hidden="1">
      <c r="A9702" s="27"/>
      <c r="B9702" s="110"/>
      <c r="D9702" s="11"/>
      <c r="E9702" s="11"/>
      <c r="H9702" s="443"/>
      <c r="I9702" s="17"/>
      <c r="J9702" s="18"/>
    </row>
    <row r="9703" spans="1:10" ht="13" hidden="1">
      <c r="A9703" s="27"/>
      <c r="B9703" s="110"/>
      <c r="C9703" s="11" t="s">
        <v>1408</v>
      </c>
      <c r="D9703" s="10" t="s">
        <v>1532</v>
      </c>
      <c r="H9703" s="443"/>
    </row>
    <row r="9704" spans="1:10" ht="13.5" hidden="1" thickBot="1">
      <c r="A9704" s="27"/>
      <c r="B9704" s="110"/>
      <c r="D9704" s="401" t="s">
        <v>40</v>
      </c>
      <c r="E9704" s="402" t="s">
        <v>41</v>
      </c>
      <c r="F9704" s="402" t="s">
        <v>42</v>
      </c>
      <c r="G9704" s="403" t="s">
        <v>43</v>
      </c>
      <c r="H9704" s="404" t="s">
        <v>44</v>
      </c>
      <c r="I9704" s="402" t="s">
        <v>474</v>
      </c>
      <c r="J9704" s="405" t="s">
        <v>475</v>
      </c>
    </row>
    <row r="9705" spans="1:10" ht="13" hidden="1">
      <c r="A9705" s="27"/>
      <c r="B9705" s="110"/>
      <c r="D9705" s="444" t="s">
        <v>45</v>
      </c>
      <c r="E9705" s="445" t="s">
        <v>46</v>
      </c>
      <c r="F9705" s="446"/>
      <c r="G9705" s="447"/>
      <c r="H9705" s="448"/>
      <c r="I9705" s="449"/>
      <c r="J9705" s="450"/>
    </row>
    <row r="9706" spans="1:10" ht="13" hidden="1">
      <c r="A9706" s="27"/>
      <c r="B9706" s="110"/>
      <c r="D9706" s="409"/>
      <c r="E9706" s="13" t="s">
        <v>47</v>
      </c>
      <c r="F9706" s="13" t="s">
        <v>1918</v>
      </c>
      <c r="G9706" s="543" t="s">
        <v>48</v>
      </c>
      <c r="H9706" s="548">
        <v>5.3869999999999996</v>
      </c>
      <c r="I9706" s="412">
        <f>IF(AND(E9706&lt;&gt;"",G9706&lt;&gt;""),IF(D9706="",IF(G9706="OH",VLOOKUP(F9706,UPAH!$B$4:$H$101,7,0),VLOOKUP(F9706,#REF!,4,0)),0),0)</f>
        <v>0</v>
      </c>
      <c r="J9706" s="16">
        <f>H9706*I9706</f>
        <v>0</v>
      </c>
    </row>
    <row r="9707" spans="1:10" ht="13" hidden="1">
      <c r="A9707" s="27"/>
      <c r="B9707" s="110"/>
      <c r="D9707" s="409"/>
      <c r="E9707" s="13" t="s">
        <v>283</v>
      </c>
      <c r="F9707" s="13" t="s">
        <v>1913</v>
      </c>
      <c r="G9707" s="543" t="s">
        <v>48</v>
      </c>
      <c r="H9707" s="548">
        <v>1.077</v>
      </c>
      <c r="I9707" s="412">
        <f>IF(AND(E9707&lt;&gt;"",G9707&lt;&gt;""),IF(D9707="",IF(G9707="OH",VLOOKUP(F9707,UPAH!$B$4:$H$101,7,0),VLOOKUP(F9707,#REF!,4,0)),0),0)</f>
        <v>0</v>
      </c>
      <c r="J9707" s="16">
        <f>H9707*I9707</f>
        <v>0</v>
      </c>
    </row>
    <row r="9708" spans="1:10" ht="13" hidden="1">
      <c r="A9708" s="27"/>
      <c r="B9708" s="110"/>
      <c r="D9708" s="409"/>
      <c r="E9708" s="13" t="s">
        <v>51</v>
      </c>
      <c r="F9708" s="13" t="s">
        <v>1929</v>
      </c>
      <c r="G9708" s="543" t="s">
        <v>48</v>
      </c>
      <c r="H9708" s="548">
        <v>0.53900000000000003</v>
      </c>
      <c r="I9708" s="412">
        <f>IF(AND(E9708&lt;&gt;"",G9708&lt;&gt;""),IF(D9708="",IF(G9708="OH",VLOOKUP(F9708,UPAH!$B$4:$H$101,7,0),VLOOKUP(F9708,#REF!,4,0)),0),0)</f>
        <v>0</v>
      </c>
      <c r="J9708" s="16">
        <f>H9708*I9708</f>
        <v>0</v>
      </c>
    </row>
    <row r="9709" spans="1:10" ht="13.5" hidden="1" thickBot="1">
      <c r="A9709" s="27"/>
      <c r="B9709" s="110"/>
      <c r="D9709" s="417"/>
      <c r="E9709" s="418"/>
      <c r="F9709" s="418"/>
      <c r="G9709" s="419"/>
      <c r="H9709" s="420" t="s">
        <v>52</v>
      </c>
      <c r="I9709" s="421"/>
      <c r="J9709" s="396">
        <f>SUM(J9705:J9708)</f>
        <v>0</v>
      </c>
    </row>
    <row r="9710" spans="1:10" ht="13" hidden="1">
      <c r="A9710" s="27"/>
      <c r="B9710" s="110"/>
      <c r="D9710" s="406" t="s">
        <v>53</v>
      </c>
      <c r="E9710" s="13" t="s">
        <v>54</v>
      </c>
      <c r="F9710" s="14"/>
      <c r="G9710" s="15"/>
      <c r="H9710" s="451"/>
      <c r="I9710" s="412"/>
      <c r="J9710" s="16"/>
    </row>
    <row r="9711" spans="1:10" ht="13" hidden="1">
      <c r="A9711" s="27"/>
      <c r="B9711" s="110"/>
      <c r="D9711" s="409"/>
      <c r="E9711" s="13" t="s">
        <v>415</v>
      </c>
      <c r="F9711" s="14"/>
      <c r="G9711" s="543" t="s">
        <v>113</v>
      </c>
      <c r="H9711" s="548">
        <v>1</v>
      </c>
      <c r="I9711" s="412" t="s">
        <v>3187</v>
      </c>
      <c r="J9711" s="16" t="e">
        <f>H9711*I9711</f>
        <v>#VALUE!</v>
      </c>
    </row>
    <row r="9712" spans="1:10" ht="13.5" hidden="1" thickBot="1">
      <c r="A9712" s="27"/>
      <c r="B9712" s="110"/>
      <c r="D9712" s="417"/>
      <c r="E9712" s="418"/>
      <c r="F9712" s="418"/>
      <c r="G9712" s="419"/>
      <c r="H9712" s="420" t="s">
        <v>64</v>
      </c>
      <c r="I9712" s="421"/>
      <c r="J9712" s="396" t="e">
        <f>SUM(J9711)</f>
        <v>#VALUE!</v>
      </c>
    </row>
    <row r="9713" spans="1:10" ht="13" hidden="1">
      <c r="A9713" s="27"/>
      <c r="B9713" s="110"/>
      <c r="D9713" s="406" t="s">
        <v>65</v>
      </c>
      <c r="E9713" s="13" t="s">
        <v>66</v>
      </c>
      <c r="F9713" s="14"/>
      <c r="G9713" s="15"/>
      <c r="H9713" s="451"/>
      <c r="I9713" s="412"/>
      <c r="J9713" s="16"/>
    </row>
    <row r="9714" spans="1:10" ht="13" hidden="1">
      <c r="A9714" s="27"/>
      <c r="B9714" s="110"/>
      <c r="D9714" s="409"/>
      <c r="E9714" s="13" t="s">
        <v>444</v>
      </c>
      <c r="F9714" s="14"/>
      <c r="G9714" s="543" t="s">
        <v>285</v>
      </c>
      <c r="H9714" s="548">
        <v>6.4000000000000001E-2</v>
      </c>
      <c r="I9714" s="412">
        <f>Alat!H40</f>
        <v>0</v>
      </c>
      <c r="J9714" s="16">
        <f>H9714*I9714</f>
        <v>0</v>
      </c>
    </row>
    <row r="9715" spans="1:10" ht="13" hidden="1">
      <c r="A9715" s="27"/>
      <c r="B9715" s="110"/>
      <c r="D9715" s="409"/>
      <c r="E9715" s="13" t="s">
        <v>446</v>
      </c>
      <c r="F9715" s="14"/>
      <c r="G9715" s="543" t="s">
        <v>285</v>
      </c>
      <c r="H9715" s="548">
        <v>0.15</v>
      </c>
      <c r="I9715" s="412">
        <f>Alat!H102</f>
        <v>0</v>
      </c>
      <c r="J9715" s="16">
        <f>H9715*I9715</f>
        <v>0</v>
      </c>
    </row>
    <row r="9716" spans="1:10" ht="13.5" hidden="1" thickBot="1">
      <c r="A9716" s="27"/>
      <c r="B9716" s="110"/>
      <c r="D9716" s="417"/>
      <c r="E9716" s="418"/>
      <c r="F9716" s="418"/>
      <c r="G9716" s="419"/>
      <c r="H9716" s="420" t="s">
        <v>67</v>
      </c>
      <c r="I9716" s="421"/>
      <c r="J9716" s="396">
        <f>SUM(J9714:J9715)</f>
        <v>0</v>
      </c>
    </row>
    <row r="9717" spans="1:10" ht="13" hidden="1">
      <c r="A9717" s="27"/>
      <c r="B9717" s="110"/>
      <c r="D9717" s="444" t="s">
        <v>68</v>
      </c>
      <c r="E9717" s="445" t="s">
        <v>69</v>
      </c>
      <c r="F9717" s="446"/>
      <c r="G9717" s="447"/>
      <c r="H9717" s="448"/>
      <c r="I9717" s="449">
        <f>IF(AND(E9717&lt;&gt;"",G9717&lt;&gt;""),IF(D9717="",IF(G9717="OH",VLOOKUP(E9717,UPAH!$C$4:$H$31,7,0),VLOOKUP(E9717,#REF!,4,0)),0),0)</f>
        <v>0</v>
      </c>
      <c r="J9717" s="16" t="e">
        <f>SUM(J9706:J9716)/2</f>
        <v>#VALUE!</v>
      </c>
    </row>
    <row r="9718" spans="1:10" ht="13" hidden="1">
      <c r="A9718" s="27"/>
      <c r="B9718" s="110"/>
      <c r="D9718" s="431" t="s">
        <v>70</v>
      </c>
      <c r="E9718" s="432" t="s">
        <v>477</v>
      </c>
      <c r="F9718" s="433"/>
      <c r="G9718" s="434"/>
      <c r="H9718" s="22">
        <v>0.1</v>
      </c>
      <c r="I9718" s="436"/>
      <c r="J9718" s="430" t="e">
        <f>H9718*J9717</f>
        <v>#VALUE!</v>
      </c>
    </row>
    <row r="9719" spans="1:10" ht="13.5" hidden="1" thickBot="1">
      <c r="A9719" s="27"/>
      <c r="B9719" s="110"/>
      <c r="D9719" s="401" t="s">
        <v>71</v>
      </c>
      <c r="E9719" s="402" t="s">
        <v>72</v>
      </c>
      <c r="F9719" s="418"/>
      <c r="G9719" s="419"/>
      <c r="H9719" s="442"/>
      <c r="I9719" s="421">
        <f>IF(AND(E9719&lt;&gt;"",G9719&lt;&gt;""),IF(D9719="",IF(G9719="OH",VLOOKUP(E9719,UPAH!$C$4:$H$31,7,0),VLOOKUP(E9719,#REF!,4,0)),0),0)</f>
        <v>0</v>
      </c>
      <c r="J9719" s="396" t="e">
        <f>ROUNDDOWN(J9717+J9718,0)</f>
        <v>#VALUE!</v>
      </c>
    </row>
    <row r="9720" spans="1:10" ht="13" hidden="1">
      <c r="A9720" s="27"/>
      <c r="B9720" s="110"/>
      <c r="D9720" s="11"/>
      <c r="E9720" s="11"/>
      <c r="H9720" s="443"/>
      <c r="I9720" s="17"/>
      <c r="J9720" s="18"/>
    </row>
    <row r="9721" spans="1:10" ht="13" hidden="1">
      <c r="A9721" s="27"/>
      <c r="B9721" s="110"/>
      <c r="C9721" s="11" t="s">
        <v>1407</v>
      </c>
      <c r="D9721" s="10" t="s">
        <v>1533</v>
      </c>
      <c r="H9721" s="443"/>
    </row>
    <row r="9722" spans="1:10" ht="13.5" hidden="1" thickBot="1">
      <c r="A9722" s="27"/>
      <c r="B9722" s="110"/>
      <c r="D9722" s="401" t="s">
        <v>40</v>
      </c>
      <c r="E9722" s="402" t="s">
        <v>41</v>
      </c>
      <c r="F9722" s="402" t="s">
        <v>42</v>
      </c>
      <c r="G9722" s="403" t="s">
        <v>43</v>
      </c>
      <c r="H9722" s="404" t="s">
        <v>44</v>
      </c>
      <c r="I9722" s="402" t="s">
        <v>474</v>
      </c>
      <c r="J9722" s="405" t="s">
        <v>475</v>
      </c>
    </row>
    <row r="9723" spans="1:10" ht="13" hidden="1">
      <c r="A9723" s="27"/>
      <c r="B9723" s="110"/>
      <c r="D9723" s="444" t="s">
        <v>45</v>
      </c>
      <c r="E9723" s="445" t="s">
        <v>46</v>
      </c>
      <c r="F9723" s="446"/>
      <c r="G9723" s="447"/>
      <c r="H9723" s="448"/>
      <c r="I9723" s="449"/>
      <c r="J9723" s="450"/>
    </row>
    <row r="9724" spans="1:10" ht="13" hidden="1">
      <c r="A9724" s="27"/>
      <c r="B9724" s="110"/>
      <c r="D9724" s="409"/>
      <c r="E9724" s="13" t="s">
        <v>47</v>
      </c>
      <c r="F9724" s="13" t="s">
        <v>1918</v>
      </c>
      <c r="G9724" s="543" t="s">
        <v>48</v>
      </c>
      <c r="H9724" s="548">
        <v>5.8970000000000002</v>
      </c>
      <c r="I9724" s="412">
        <f>IF(AND(E9724&lt;&gt;"",G9724&lt;&gt;""),IF(D9724="",IF(G9724="OH",VLOOKUP(F9724,UPAH!$B$4:$H$101,7,0),VLOOKUP(F9724,#REF!,4,0)),0),0)</f>
        <v>0</v>
      </c>
      <c r="J9724" s="16">
        <f>H9724*I9724</f>
        <v>0</v>
      </c>
    </row>
    <row r="9725" spans="1:10" ht="13" hidden="1">
      <c r="A9725" s="27"/>
      <c r="B9725" s="110"/>
      <c r="D9725" s="409"/>
      <c r="E9725" s="13" t="s">
        <v>283</v>
      </c>
      <c r="F9725" s="13" t="s">
        <v>1913</v>
      </c>
      <c r="G9725" s="543" t="s">
        <v>48</v>
      </c>
      <c r="H9725" s="548">
        <v>1.1759999999999999</v>
      </c>
      <c r="I9725" s="412">
        <f>IF(AND(E9725&lt;&gt;"",G9725&lt;&gt;""),IF(D9725="",IF(G9725="OH",VLOOKUP(F9725,UPAH!$B$4:$H$101,7,0),VLOOKUP(F9725,#REF!,4,0)),0),0)</f>
        <v>0</v>
      </c>
      <c r="J9725" s="16">
        <f>H9725*I9725</f>
        <v>0</v>
      </c>
    </row>
    <row r="9726" spans="1:10" ht="13" hidden="1">
      <c r="A9726" s="27"/>
      <c r="B9726" s="110"/>
      <c r="D9726" s="409"/>
      <c r="E9726" s="13" t="s">
        <v>51</v>
      </c>
      <c r="F9726" s="13" t="s">
        <v>1929</v>
      </c>
      <c r="G9726" s="543" t="s">
        <v>48</v>
      </c>
      <c r="H9726" s="548">
        <v>0.58799999999999997</v>
      </c>
      <c r="I9726" s="412">
        <f>IF(AND(E9726&lt;&gt;"",G9726&lt;&gt;""),IF(D9726="",IF(G9726="OH",VLOOKUP(F9726,UPAH!$B$4:$H$101,7,0),VLOOKUP(F9726,#REF!,4,0)),0),0)</f>
        <v>0</v>
      </c>
      <c r="J9726" s="16">
        <f>H9726*I9726</f>
        <v>0</v>
      </c>
    </row>
    <row r="9727" spans="1:10" ht="13.5" hidden="1" thickBot="1">
      <c r="A9727" s="27"/>
      <c r="B9727" s="110"/>
      <c r="D9727" s="417"/>
      <c r="E9727" s="418"/>
      <c r="F9727" s="418"/>
      <c r="G9727" s="419"/>
      <c r="H9727" s="420" t="s">
        <v>52</v>
      </c>
      <c r="I9727" s="421"/>
      <c r="J9727" s="396">
        <f>SUM(J9723:J9726)</f>
        <v>0</v>
      </c>
    </row>
    <row r="9728" spans="1:10" ht="13" hidden="1">
      <c r="A9728" s="27"/>
      <c r="B9728" s="110"/>
      <c r="D9728" s="406" t="s">
        <v>53</v>
      </c>
      <c r="E9728" s="13" t="s">
        <v>54</v>
      </c>
      <c r="F9728" s="14"/>
      <c r="G9728" s="15"/>
      <c r="H9728" s="451"/>
      <c r="I9728" s="412"/>
      <c r="J9728" s="16"/>
    </row>
    <row r="9729" spans="1:10" ht="13" hidden="1">
      <c r="A9729" s="27"/>
      <c r="B9729" s="110"/>
      <c r="D9729" s="409"/>
      <c r="E9729" s="13" t="s">
        <v>416</v>
      </c>
      <c r="F9729" s="14"/>
      <c r="G9729" s="543" t="s">
        <v>113</v>
      </c>
      <c r="H9729" s="548">
        <v>1</v>
      </c>
      <c r="I9729" s="412" t="s">
        <v>3187</v>
      </c>
      <c r="J9729" s="16" t="e">
        <f>H9729*I9729</f>
        <v>#VALUE!</v>
      </c>
    </row>
    <row r="9730" spans="1:10" ht="13.5" hidden="1" thickBot="1">
      <c r="A9730" s="27"/>
      <c r="B9730" s="110"/>
      <c r="D9730" s="417"/>
      <c r="E9730" s="418"/>
      <c r="F9730" s="418"/>
      <c r="G9730" s="419"/>
      <c r="H9730" s="420" t="s">
        <v>64</v>
      </c>
      <c r="I9730" s="421"/>
      <c r="J9730" s="396" t="e">
        <f>SUM(J9729)</f>
        <v>#VALUE!</v>
      </c>
    </row>
    <row r="9731" spans="1:10" ht="13" hidden="1">
      <c r="A9731" s="27"/>
      <c r="B9731" s="110"/>
      <c r="D9731" s="406" t="s">
        <v>65</v>
      </c>
      <c r="E9731" s="13" t="s">
        <v>66</v>
      </c>
      <c r="F9731" s="14"/>
      <c r="G9731" s="15"/>
      <c r="H9731" s="451"/>
      <c r="I9731" s="412"/>
      <c r="J9731" s="16"/>
    </row>
    <row r="9732" spans="1:10" ht="13" hidden="1">
      <c r="A9732" s="27"/>
      <c r="B9732" s="110"/>
      <c r="D9732" s="409"/>
      <c r="E9732" s="13" t="s">
        <v>444</v>
      </c>
      <c r="F9732" s="14"/>
      <c r="G9732" s="543" t="s">
        <v>285</v>
      </c>
      <c r="H9732" s="548">
        <v>7.0000000000000007E-2</v>
      </c>
      <c r="I9732" s="412">
        <f>Alat!H40</f>
        <v>0</v>
      </c>
      <c r="J9732" s="16">
        <f>H9732*I9732</f>
        <v>0</v>
      </c>
    </row>
    <row r="9733" spans="1:10" ht="13" hidden="1">
      <c r="A9733" s="27"/>
      <c r="B9733" s="110"/>
      <c r="D9733" s="409"/>
      <c r="E9733" s="13" t="s">
        <v>446</v>
      </c>
      <c r="F9733" s="14"/>
      <c r="G9733" s="543" t="s">
        <v>285</v>
      </c>
      <c r="H9733" s="548">
        <v>0.16700000000000001</v>
      </c>
      <c r="I9733" s="412">
        <f>Alat!H102</f>
        <v>0</v>
      </c>
      <c r="J9733" s="16">
        <f>H9733*I9733</f>
        <v>0</v>
      </c>
    </row>
    <row r="9734" spans="1:10" ht="13.5" hidden="1" thickBot="1">
      <c r="A9734" s="27"/>
      <c r="B9734" s="110"/>
      <c r="D9734" s="417"/>
      <c r="E9734" s="418"/>
      <c r="F9734" s="418"/>
      <c r="G9734" s="419"/>
      <c r="H9734" s="420" t="s">
        <v>67</v>
      </c>
      <c r="I9734" s="421"/>
      <c r="J9734" s="396">
        <f>SUM(J9732:J9733)</f>
        <v>0</v>
      </c>
    </row>
    <row r="9735" spans="1:10" ht="13" hidden="1">
      <c r="A9735" s="27"/>
      <c r="B9735" s="110"/>
      <c r="D9735" s="444" t="s">
        <v>68</v>
      </c>
      <c r="E9735" s="445" t="s">
        <v>69</v>
      </c>
      <c r="F9735" s="446"/>
      <c r="G9735" s="447"/>
      <c r="H9735" s="448"/>
      <c r="I9735" s="449">
        <f>IF(AND(E9735&lt;&gt;"",G9735&lt;&gt;""),IF(D9735="",IF(G9735="OH",VLOOKUP(E9735,UPAH!$C$4:$H$31,7,0),VLOOKUP(E9735,#REF!,4,0)),0),0)</f>
        <v>0</v>
      </c>
      <c r="J9735" s="16" t="e">
        <f>SUM(J9724:J9734)/2</f>
        <v>#VALUE!</v>
      </c>
    </row>
    <row r="9736" spans="1:10" ht="13" hidden="1">
      <c r="A9736" s="27"/>
      <c r="B9736" s="110"/>
      <c r="D9736" s="431" t="s">
        <v>70</v>
      </c>
      <c r="E9736" s="432" t="s">
        <v>477</v>
      </c>
      <c r="F9736" s="433"/>
      <c r="G9736" s="434"/>
      <c r="H9736" s="22">
        <v>0.1</v>
      </c>
      <c r="I9736" s="436"/>
      <c r="J9736" s="430" t="e">
        <f>H9736*J9735</f>
        <v>#VALUE!</v>
      </c>
    </row>
    <row r="9737" spans="1:10" ht="13.5" hidden="1" thickBot="1">
      <c r="A9737" s="27"/>
      <c r="B9737" s="110"/>
      <c r="D9737" s="401" t="s">
        <v>71</v>
      </c>
      <c r="E9737" s="402" t="s">
        <v>72</v>
      </c>
      <c r="F9737" s="418"/>
      <c r="G9737" s="419"/>
      <c r="H9737" s="442"/>
      <c r="I9737" s="421">
        <f>IF(AND(E9737&lt;&gt;"",G9737&lt;&gt;""),IF(D9737="",IF(G9737="OH",VLOOKUP(E9737,UPAH!$C$4:$H$31,7,0),VLOOKUP(E9737,#REF!,4,0)),0),0)</f>
        <v>0</v>
      </c>
      <c r="J9737" s="396" t="e">
        <f>ROUNDDOWN(J9735+J9736,0)</f>
        <v>#VALUE!</v>
      </c>
    </row>
    <row r="9738" spans="1:10" ht="13" hidden="1">
      <c r="A9738" s="27"/>
      <c r="B9738" s="110"/>
      <c r="D9738" s="11"/>
      <c r="E9738" s="11"/>
      <c r="H9738" s="443"/>
    </row>
    <row r="9739" spans="1:10" s="27" customFormat="1" ht="13">
      <c r="B9739" s="110"/>
      <c r="C9739" s="452" t="s">
        <v>528</v>
      </c>
      <c r="G9739" s="399"/>
      <c r="H9739" s="453"/>
    </row>
    <row r="9740" spans="1:10" ht="13.5" thickBot="1">
      <c r="A9740" s="27"/>
      <c r="B9740" s="110"/>
      <c r="C9740" s="11" t="s">
        <v>1406</v>
      </c>
      <c r="D9740" s="10" t="s">
        <v>1534</v>
      </c>
      <c r="H9740" s="443"/>
    </row>
    <row r="9741" spans="1:10" ht="13.5" thickBot="1">
      <c r="A9741" s="27"/>
      <c r="B9741" s="110"/>
      <c r="D9741" s="401" t="s">
        <v>40</v>
      </c>
      <c r="E9741" s="402" t="s">
        <v>41</v>
      </c>
      <c r="F9741" s="402" t="s">
        <v>42</v>
      </c>
      <c r="G9741" s="403" t="s">
        <v>43</v>
      </c>
      <c r="H9741" s="404" t="s">
        <v>44</v>
      </c>
      <c r="I9741" s="402" t="s">
        <v>474</v>
      </c>
      <c r="J9741" s="405" t="s">
        <v>475</v>
      </c>
    </row>
    <row r="9742" spans="1:10" ht="13">
      <c r="A9742" s="27"/>
      <c r="B9742" s="110"/>
      <c r="D9742" s="444" t="s">
        <v>45</v>
      </c>
      <c r="E9742" s="445" t="s">
        <v>46</v>
      </c>
      <c r="F9742" s="446"/>
      <c r="G9742" s="447"/>
      <c r="H9742" s="448"/>
      <c r="I9742" s="449"/>
      <c r="J9742" s="450"/>
    </row>
    <row r="9743" spans="1:10" ht="13">
      <c r="A9743" s="27"/>
      <c r="B9743" s="110"/>
      <c r="D9743" s="409"/>
      <c r="E9743" s="13" t="s">
        <v>47</v>
      </c>
      <c r="F9743" s="13" t="s">
        <v>1918</v>
      </c>
      <c r="G9743" s="543" t="s">
        <v>48</v>
      </c>
      <c r="H9743" s="548">
        <v>5.0000000000000001E-3</v>
      </c>
      <c r="I9743" s="412">
        <f>IF(AND(E9743&lt;&gt;"",G9743&lt;&gt;""),IF(D9743="",IF(G9743="OH",VLOOKUP(F9743,UPAH!$B$4:$H$101,7,0),VLOOKUP(F9743,#REF!,4,0)),0),0)</f>
        <v>0</v>
      </c>
      <c r="J9743" s="16">
        <f>H9743*I9743</f>
        <v>0</v>
      </c>
    </row>
    <row r="9744" spans="1:10" ht="13">
      <c r="A9744" s="27"/>
      <c r="B9744" s="110"/>
      <c r="D9744" s="409"/>
      <c r="E9744" s="13" t="s">
        <v>283</v>
      </c>
      <c r="F9744" s="13" t="s">
        <v>1913</v>
      </c>
      <c r="G9744" s="543" t="s">
        <v>48</v>
      </c>
      <c r="H9744" s="548">
        <v>2E-3</v>
      </c>
      <c r="I9744" s="412">
        <f>IF(AND(E9744&lt;&gt;"",G9744&lt;&gt;""),IF(D9744="",IF(G9744="OH",VLOOKUP(F9744,UPAH!$B$4:$H$101,7,0),VLOOKUP(F9744,#REF!,4,0)),0),0)</f>
        <v>0</v>
      </c>
      <c r="J9744" s="16">
        <f>H9744*I9744</f>
        <v>0</v>
      </c>
    </row>
    <row r="9745" spans="1:10" ht="13.5" thickBot="1">
      <c r="A9745" s="27"/>
      <c r="B9745" s="110"/>
      <c r="D9745" s="409"/>
      <c r="E9745" s="13" t="s">
        <v>51</v>
      </c>
      <c r="F9745" s="13" t="s">
        <v>1929</v>
      </c>
      <c r="G9745" s="543" t="s">
        <v>48</v>
      </c>
      <c r="H9745" s="548">
        <v>5.0000000000000001E-4</v>
      </c>
      <c r="I9745" s="412">
        <f>IF(AND(E9745&lt;&gt;"",G9745&lt;&gt;""),IF(D9745="",IF(G9745="OH",VLOOKUP(F9745,UPAH!$B$4:$H$101,7,0),VLOOKUP(F9745,#REF!,4,0)),0),0)</f>
        <v>0</v>
      </c>
      <c r="J9745" s="16">
        <f>H9745*I9745</f>
        <v>0</v>
      </c>
    </row>
    <row r="9746" spans="1:10" ht="13.5" thickBot="1">
      <c r="A9746" s="27"/>
      <c r="B9746" s="110"/>
      <c r="D9746" s="417"/>
      <c r="E9746" s="418"/>
      <c r="F9746" s="418"/>
      <c r="G9746" s="419"/>
      <c r="H9746" s="420" t="s">
        <v>52</v>
      </c>
      <c r="I9746" s="421"/>
      <c r="J9746" s="396">
        <f>SUM(J9742:J9745)</f>
        <v>0</v>
      </c>
    </row>
    <row r="9747" spans="1:10" ht="13">
      <c r="A9747" s="27"/>
      <c r="B9747" s="110"/>
      <c r="D9747" s="406" t="s">
        <v>53</v>
      </c>
      <c r="E9747" s="13" t="s">
        <v>54</v>
      </c>
      <c r="F9747" s="14"/>
      <c r="G9747" s="15"/>
      <c r="H9747" s="451"/>
      <c r="I9747" s="412"/>
      <c r="J9747" s="16"/>
    </row>
    <row r="9748" spans="1:10" ht="13.5" thickBot="1">
      <c r="A9748" s="27"/>
      <c r="B9748" s="110"/>
      <c r="D9748" s="409"/>
      <c r="E9748" s="13" t="s">
        <v>284</v>
      </c>
      <c r="F9748" s="14"/>
      <c r="G9748" s="543" t="s">
        <v>259</v>
      </c>
      <c r="H9748" s="548">
        <v>1</v>
      </c>
      <c r="I9748" s="412">
        <f>'BAHAN '!G382</f>
        <v>0</v>
      </c>
      <c r="J9748" s="16">
        <f>H9748*I9748</f>
        <v>0</v>
      </c>
    </row>
    <row r="9749" spans="1:10" ht="13.5" thickBot="1">
      <c r="A9749" s="27"/>
      <c r="B9749" s="110"/>
      <c r="D9749" s="417"/>
      <c r="E9749" s="418"/>
      <c r="F9749" s="418"/>
      <c r="G9749" s="419"/>
      <c r="H9749" s="420" t="s">
        <v>64</v>
      </c>
      <c r="I9749" s="421"/>
      <c r="J9749" s="396">
        <f>SUM(J9748)</f>
        <v>0</v>
      </c>
    </row>
    <row r="9750" spans="1:10" ht="13">
      <c r="A9750" s="27"/>
      <c r="B9750" s="110"/>
      <c r="D9750" s="406" t="s">
        <v>65</v>
      </c>
      <c r="E9750" s="13" t="s">
        <v>66</v>
      </c>
      <c r="F9750" s="14"/>
      <c r="G9750" s="15"/>
      <c r="H9750" s="451"/>
      <c r="I9750" s="412"/>
      <c r="J9750" s="16"/>
    </row>
    <row r="9751" spans="1:10" ht="13.5" thickBot="1">
      <c r="A9751" s="27"/>
      <c r="B9751" s="110"/>
      <c r="D9751" s="409"/>
      <c r="E9751" s="13" t="s">
        <v>410</v>
      </c>
      <c r="F9751" s="14"/>
      <c r="G9751" s="543" t="s">
        <v>285</v>
      </c>
      <c r="H9751" s="548">
        <v>3.0000000000000001E-3</v>
      </c>
      <c r="I9751" s="412">
        <f>Alat!H26</f>
        <v>0</v>
      </c>
      <c r="J9751" s="16">
        <f>H9751*I9751</f>
        <v>0</v>
      </c>
    </row>
    <row r="9752" spans="1:10" ht="13.5" thickBot="1">
      <c r="A9752" s="27"/>
      <c r="B9752" s="110"/>
      <c r="D9752" s="417"/>
      <c r="E9752" s="418"/>
      <c r="F9752" s="418"/>
      <c r="G9752" s="419"/>
      <c r="H9752" s="420" t="s">
        <v>67</v>
      </c>
      <c r="I9752" s="421"/>
      <c r="J9752" s="396">
        <f>J9751</f>
        <v>0</v>
      </c>
    </row>
    <row r="9753" spans="1:10" ht="13">
      <c r="A9753" s="27"/>
      <c r="B9753" s="110"/>
      <c r="D9753" s="444" t="s">
        <v>68</v>
      </c>
      <c r="E9753" s="445" t="s">
        <v>69</v>
      </c>
      <c r="F9753" s="446"/>
      <c r="G9753" s="447"/>
      <c r="H9753" s="448"/>
      <c r="I9753" s="449">
        <f>IF(AND(E9753&lt;&gt;"",G9753&lt;&gt;""),IF(D9753="",IF(G9753="OH",VLOOKUP(E9753,UPAH!$C$4:$H$31,7,0),VLOOKUP(E9753,#REF!,4,0)),0),0)</f>
        <v>0</v>
      </c>
      <c r="J9753" s="16">
        <f>SUM(J9742:J9752)/2</f>
        <v>0</v>
      </c>
    </row>
    <row r="9754" spans="1:10" ht="13.5" thickBot="1">
      <c r="A9754" s="27"/>
      <c r="B9754" s="110"/>
      <c r="D9754" s="431" t="s">
        <v>70</v>
      </c>
      <c r="E9754" s="432" t="s">
        <v>477</v>
      </c>
      <c r="F9754" s="433"/>
      <c r="G9754" s="434"/>
      <c r="H9754" s="22">
        <v>0.1</v>
      </c>
      <c r="I9754" s="436"/>
      <c r="J9754" s="430">
        <f>H9754*J9753</f>
        <v>0</v>
      </c>
    </row>
    <row r="9755" spans="1:10" ht="13.5" thickBot="1">
      <c r="A9755" s="27"/>
      <c r="B9755" s="110"/>
      <c r="D9755" s="401" t="s">
        <v>71</v>
      </c>
      <c r="E9755" s="402" t="s">
        <v>72</v>
      </c>
      <c r="F9755" s="418"/>
      <c r="G9755" s="419"/>
      <c r="H9755" s="442"/>
      <c r="I9755" s="421">
        <f>IF(AND(E9755&lt;&gt;"",G9755&lt;&gt;""),IF(D9755="",IF(G9755="OH",VLOOKUP(E9755,UPAH!$C$4:$H$31,7,0),VLOOKUP(E9755,#REF!,4,0)),0),0)</f>
        <v>0</v>
      </c>
      <c r="J9755" s="396">
        <f>ROUNDDOWN(J9753+J9754,0)</f>
        <v>0</v>
      </c>
    </row>
    <row r="9756" spans="1:10" ht="13">
      <c r="A9756" s="27"/>
      <c r="B9756" s="110"/>
      <c r="D9756" s="11"/>
      <c r="E9756" s="11"/>
      <c r="H9756" s="443"/>
      <c r="I9756" s="17"/>
      <c r="J9756" s="18"/>
    </row>
    <row r="9757" spans="1:10" ht="13.5" thickBot="1">
      <c r="A9757" s="27"/>
      <c r="B9757" s="110"/>
      <c r="C9757" s="11" t="s">
        <v>1535</v>
      </c>
      <c r="D9757" s="10" t="s">
        <v>1552</v>
      </c>
      <c r="H9757" s="443"/>
    </row>
    <row r="9758" spans="1:10" ht="13.5" thickBot="1">
      <c r="A9758" s="27"/>
      <c r="B9758" s="110"/>
      <c r="D9758" s="401" t="s">
        <v>40</v>
      </c>
      <c r="E9758" s="402" t="s">
        <v>41</v>
      </c>
      <c r="F9758" s="402" t="s">
        <v>42</v>
      </c>
      <c r="G9758" s="403" t="s">
        <v>43</v>
      </c>
      <c r="H9758" s="404" t="s">
        <v>44</v>
      </c>
      <c r="I9758" s="402" t="s">
        <v>474</v>
      </c>
      <c r="J9758" s="405" t="s">
        <v>475</v>
      </c>
    </row>
    <row r="9759" spans="1:10" ht="13">
      <c r="A9759" s="27"/>
      <c r="B9759" s="110"/>
      <c r="D9759" s="444" t="s">
        <v>45</v>
      </c>
      <c r="E9759" s="445" t="s">
        <v>46</v>
      </c>
      <c r="F9759" s="446"/>
      <c r="G9759" s="447"/>
      <c r="H9759" s="448"/>
      <c r="I9759" s="449"/>
      <c r="J9759" s="450"/>
    </row>
    <row r="9760" spans="1:10" ht="13">
      <c r="A9760" s="27"/>
      <c r="B9760" s="110"/>
      <c r="D9760" s="409"/>
      <c r="E9760" s="13" t="s">
        <v>47</v>
      </c>
      <c r="F9760" s="13" t="s">
        <v>1918</v>
      </c>
      <c r="G9760" s="543" t="s">
        <v>48</v>
      </c>
      <c r="H9760" s="548">
        <v>1.4E-2</v>
      </c>
      <c r="I9760" s="412">
        <f>IF(AND(E9760&lt;&gt;"",G9760&lt;&gt;""),IF(D9760="",IF(G9760="OH",VLOOKUP(F9760,UPAH!$B$4:$H$101,7,0),VLOOKUP(F9760,#REF!,4,0)),0),0)</f>
        <v>0</v>
      </c>
      <c r="J9760" s="16">
        <f>H9760*I9760</f>
        <v>0</v>
      </c>
    </row>
    <row r="9761" spans="1:10" ht="13">
      <c r="A9761" s="27"/>
      <c r="B9761" s="110"/>
      <c r="D9761" s="409"/>
      <c r="E9761" s="13" t="s">
        <v>283</v>
      </c>
      <c r="F9761" s="13" t="s">
        <v>1913</v>
      </c>
      <c r="G9761" s="543" t="s">
        <v>48</v>
      </c>
      <c r="H9761" s="548">
        <v>7.0000000000000001E-3</v>
      </c>
      <c r="I9761" s="412">
        <f>IF(AND(E9761&lt;&gt;"",G9761&lt;&gt;""),IF(D9761="",IF(G9761="OH",VLOOKUP(F9761,UPAH!$B$4:$H$101,7,0),VLOOKUP(F9761,#REF!,4,0)),0),0)</f>
        <v>0</v>
      </c>
      <c r="J9761" s="16">
        <f>H9761*I9761</f>
        <v>0</v>
      </c>
    </row>
    <row r="9762" spans="1:10" ht="13.5" thickBot="1">
      <c r="A9762" s="27"/>
      <c r="B9762" s="110"/>
      <c r="D9762" s="409"/>
      <c r="E9762" s="13" t="s">
        <v>51</v>
      </c>
      <c r="F9762" s="13" t="s">
        <v>1929</v>
      </c>
      <c r="G9762" s="543" t="s">
        <v>48</v>
      </c>
      <c r="H9762" s="548">
        <v>1E-3</v>
      </c>
      <c r="I9762" s="412">
        <f>IF(AND(E9762&lt;&gt;"",G9762&lt;&gt;""),IF(D9762="",IF(G9762="OH",VLOOKUP(F9762,UPAH!$B$4:$H$101,7,0),VLOOKUP(F9762,#REF!,4,0)),0),0)</f>
        <v>0</v>
      </c>
      <c r="J9762" s="16">
        <f>H9762*I9762</f>
        <v>0</v>
      </c>
    </row>
    <row r="9763" spans="1:10" ht="13.5" thickBot="1">
      <c r="A9763" s="27"/>
      <c r="B9763" s="110"/>
      <c r="D9763" s="417"/>
      <c r="E9763" s="418"/>
      <c r="F9763" s="418"/>
      <c r="G9763" s="419"/>
      <c r="H9763" s="420" t="s">
        <v>52</v>
      </c>
      <c r="I9763" s="421"/>
      <c r="J9763" s="396">
        <f>SUM(J9759:J9762)</f>
        <v>0</v>
      </c>
    </row>
    <row r="9764" spans="1:10" ht="13">
      <c r="A9764" s="27"/>
      <c r="B9764" s="110"/>
      <c r="D9764" s="406" t="s">
        <v>53</v>
      </c>
      <c r="E9764" s="13" t="s">
        <v>54</v>
      </c>
      <c r="F9764" s="14"/>
      <c r="G9764" s="15"/>
      <c r="H9764" s="451"/>
      <c r="I9764" s="412"/>
      <c r="J9764" s="16"/>
    </row>
    <row r="9765" spans="1:10" ht="13.5" thickBot="1">
      <c r="A9765" s="27"/>
      <c r="B9765" s="110"/>
      <c r="D9765" s="409"/>
      <c r="E9765" s="13" t="s">
        <v>286</v>
      </c>
      <c r="F9765" s="14"/>
      <c r="G9765" s="543" t="s">
        <v>259</v>
      </c>
      <c r="H9765" s="548">
        <v>1</v>
      </c>
      <c r="I9765" s="412">
        <f>'BAHAN '!G381</f>
        <v>0</v>
      </c>
      <c r="J9765" s="16">
        <f>H9765*I9765</f>
        <v>0</v>
      </c>
    </row>
    <row r="9766" spans="1:10" ht="13.5" thickBot="1">
      <c r="A9766" s="27"/>
      <c r="B9766" s="110"/>
      <c r="D9766" s="417"/>
      <c r="E9766" s="418"/>
      <c r="F9766" s="418"/>
      <c r="G9766" s="419"/>
      <c r="H9766" s="420" t="s">
        <v>64</v>
      </c>
      <c r="I9766" s="421"/>
      <c r="J9766" s="396">
        <f>SUM(J9765)</f>
        <v>0</v>
      </c>
    </row>
    <row r="9767" spans="1:10" ht="13">
      <c r="A9767" s="27"/>
      <c r="B9767" s="110"/>
      <c r="D9767" s="406" t="s">
        <v>65</v>
      </c>
      <c r="E9767" s="13" t="s">
        <v>66</v>
      </c>
      <c r="F9767" s="14"/>
      <c r="G9767" s="15"/>
      <c r="H9767" s="451"/>
      <c r="I9767" s="412"/>
      <c r="J9767" s="16"/>
    </row>
    <row r="9768" spans="1:10" ht="13.5" thickBot="1">
      <c r="A9768" s="27"/>
      <c r="B9768" s="110"/>
      <c r="D9768" s="409"/>
      <c r="E9768" s="13" t="s">
        <v>410</v>
      </c>
      <c r="F9768" s="14"/>
      <c r="G9768" s="543" t="s">
        <v>285</v>
      </c>
      <c r="H9768" s="548">
        <v>3.0000000000000001E-3</v>
      </c>
      <c r="I9768" s="412">
        <f>Alat!H26</f>
        <v>0</v>
      </c>
      <c r="J9768" s="16">
        <f>H9768*I9768</f>
        <v>0</v>
      </c>
    </row>
    <row r="9769" spans="1:10" ht="13.5" thickBot="1">
      <c r="A9769" s="27"/>
      <c r="B9769" s="110"/>
      <c r="D9769" s="417"/>
      <c r="E9769" s="418"/>
      <c r="F9769" s="418"/>
      <c r="G9769" s="419"/>
      <c r="H9769" s="420" t="s">
        <v>67</v>
      </c>
      <c r="I9769" s="421"/>
      <c r="J9769" s="396">
        <f>J9768</f>
        <v>0</v>
      </c>
    </row>
    <row r="9770" spans="1:10" ht="13">
      <c r="A9770" s="27"/>
      <c r="B9770" s="110"/>
      <c r="D9770" s="444" t="s">
        <v>68</v>
      </c>
      <c r="E9770" s="445" t="s">
        <v>69</v>
      </c>
      <c r="F9770" s="446"/>
      <c r="G9770" s="447"/>
      <c r="H9770" s="448"/>
      <c r="I9770" s="449">
        <f>IF(AND(E9770&lt;&gt;"",G9770&lt;&gt;""),IF(D9770="",IF(G9770="OH",VLOOKUP(E9770,UPAH!$C$4:$H$31,7,0),VLOOKUP(E9770,#REF!,4,0)),0),0)</f>
        <v>0</v>
      </c>
      <c r="J9770" s="16">
        <f>SUM(J9759:J9769)/2</f>
        <v>0</v>
      </c>
    </row>
    <row r="9771" spans="1:10" ht="13.5" thickBot="1">
      <c r="A9771" s="27"/>
      <c r="B9771" s="110"/>
      <c r="D9771" s="431" t="s">
        <v>70</v>
      </c>
      <c r="E9771" s="432" t="s">
        <v>477</v>
      </c>
      <c r="F9771" s="433"/>
      <c r="G9771" s="434"/>
      <c r="H9771" s="22">
        <v>0.1</v>
      </c>
      <c r="I9771" s="436"/>
      <c r="J9771" s="430">
        <f>H9771*J9770</f>
        <v>0</v>
      </c>
    </row>
    <row r="9772" spans="1:10" ht="13.5" thickBot="1">
      <c r="A9772" s="27"/>
      <c r="B9772" s="110"/>
      <c r="D9772" s="401" t="s">
        <v>71</v>
      </c>
      <c r="E9772" s="402" t="s">
        <v>72</v>
      </c>
      <c r="F9772" s="418"/>
      <c r="G9772" s="419"/>
      <c r="H9772" s="442"/>
      <c r="I9772" s="421">
        <f>IF(AND(E9772&lt;&gt;"",G9772&lt;&gt;""),IF(D9772="",IF(G9772="OH",VLOOKUP(E9772,UPAH!$C$4:$H$31,7,0),VLOOKUP(E9772,#REF!,4,0)),0),0)</f>
        <v>0</v>
      </c>
      <c r="J9772" s="396">
        <f>ROUNDDOWN(J9770+J9771,0)</f>
        <v>0</v>
      </c>
    </row>
    <row r="9773" spans="1:10" ht="13">
      <c r="A9773" s="27"/>
      <c r="B9773" s="110"/>
      <c r="D9773" s="11"/>
      <c r="E9773" s="11"/>
      <c r="H9773" s="443"/>
      <c r="I9773" s="17"/>
      <c r="J9773" s="18"/>
    </row>
    <row r="9774" spans="1:10" ht="13.5" thickBot="1">
      <c r="A9774" s="27"/>
      <c r="B9774" s="110"/>
      <c r="C9774" s="11" t="s">
        <v>1536</v>
      </c>
      <c r="D9774" s="10" t="s">
        <v>1551</v>
      </c>
      <c r="H9774" s="443"/>
    </row>
    <row r="9775" spans="1:10" ht="13.5" thickBot="1">
      <c r="A9775" s="27"/>
      <c r="B9775" s="110"/>
      <c r="D9775" s="401" t="s">
        <v>40</v>
      </c>
      <c r="E9775" s="402" t="s">
        <v>41</v>
      </c>
      <c r="F9775" s="402" t="s">
        <v>42</v>
      </c>
      <c r="G9775" s="403" t="s">
        <v>43</v>
      </c>
      <c r="H9775" s="404" t="s">
        <v>44</v>
      </c>
      <c r="I9775" s="402" t="s">
        <v>474</v>
      </c>
      <c r="J9775" s="405" t="s">
        <v>475</v>
      </c>
    </row>
    <row r="9776" spans="1:10" ht="13">
      <c r="A9776" s="27"/>
      <c r="B9776" s="110"/>
      <c r="D9776" s="444" t="s">
        <v>45</v>
      </c>
      <c r="E9776" s="445" t="s">
        <v>46</v>
      </c>
      <c r="F9776" s="446"/>
      <c r="G9776" s="447"/>
      <c r="H9776" s="448"/>
      <c r="I9776" s="449"/>
      <c r="J9776" s="450"/>
    </row>
    <row r="9777" spans="1:10" ht="13">
      <c r="A9777" s="27"/>
      <c r="B9777" s="110"/>
      <c r="D9777" s="409"/>
      <c r="E9777" s="13" t="s">
        <v>47</v>
      </c>
      <c r="F9777" s="13" t="s">
        <v>1918</v>
      </c>
      <c r="G9777" s="543" t="s">
        <v>48</v>
      </c>
      <c r="H9777" s="548">
        <v>2.1999999999999999E-2</v>
      </c>
      <c r="I9777" s="412">
        <f>IF(AND(E9777&lt;&gt;"",G9777&lt;&gt;""),IF(D9777="",IF(G9777="OH",VLOOKUP(F9777,UPAH!$B$4:$H$101,7,0),VLOOKUP(F9777,#REF!,4,0)),0),0)</f>
        <v>0</v>
      </c>
      <c r="J9777" s="16">
        <f>H9777*I9777</f>
        <v>0</v>
      </c>
    </row>
    <row r="9778" spans="1:10" ht="13">
      <c r="A9778" s="27"/>
      <c r="B9778" s="110"/>
      <c r="D9778" s="409"/>
      <c r="E9778" s="13" t="s">
        <v>283</v>
      </c>
      <c r="F9778" s="13" t="s">
        <v>1913</v>
      </c>
      <c r="G9778" s="543" t="s">
        <v>48</v>
      </c>
      <c r="H9778" s="548">
        <v>1.0999999999999999E-2</v>
      </c>
      <c r="I9778" s="412">
        <f>IF(AND(E9778&lt;&gt;"",G9778&lt;&gt;""),IF(D9778="",IF(G9778="OH",VLOOKUP(F9778,UPAH!$B$4:$H$101,7,0),VLOOKUP(F9778,#REF!,4,0)),0),0)</f>
        <v>0</v>
      </c>
      <c r="J9778" s="16">
        <f>H9778*I9778</f>
        <v>0</v>
      </c>
    </row>
    <row r="9779" spans="1:10" ht="13.5" thickBot="1">
      <c r="A9779" s="27"/>
      <c r="B9779" s="110"/>
      <c r="D9779" s="409"/>
      <c r="E9779" s="13" t="s">
        <v>51</v>
      </c>
      <c r="F9779" s="13" t="s">
        <v>1929</v>
      </c>
      <c r="G9779" s="543" t="s">
        <v>48</v>
      </c>
      <c r="H9779" s="548">
        <v>2E-3</v>
      </c>
      <c r="I9779" s="412">
        <f>IF(AND(E9779&lt;&gt;"",G9779&lt;&gt;""),IF(D9779="",IF(G9779="OH",VLOOKUP(F9779,UPAH!$B$4:$H$101,7,0),VLOOKUP(F9779,#REF!,4,0)),0),0)</f>
        <v>0</v>
      </c>
      <c r="J9779" s="16">
        <f>H9779*I9779</f>
        <v>0</v>
      </c>
    </row>
    <row r="9780" spans="1:10" ht="13.5" thickBot="1">
      <c r="A9780" s="27"/>
      <c r="B9780" s="110"/>
      <c r="D9780" s="417"/>
      <c r="E9780" s="418"/>
      <c r="F9780" s="418"/>
      <c r="G9780" s="419"/>
      <c r="H9780" s="420" t="s">
        <v>52</v>
      </c>
      <c r="I9780" s="421"/>
      <c r="J9780" s="396">
        <f>SUM(J9776:J9779)</f>
        <v>0</v>
      </c>
    </row>
    <row r="9781" spans="1:10" ht="13">
      <c r="A9781" s="27"/>
      <c r="B9781" s="110"/>
      <c r="D9781" s="406" t="s">
        <v>53</v>
      </c>
      <c r="E9781" s="13" t="s">
        <v>54</v>
      </c>
      <c r="F9781" s="14"/>
      <c r="G9781" s="15"/>
      <c r="H9781" s="451"/>
      <c r="I9781" s="412"/>
      <c r="J9781" s="16"/>
    </row>
    <row r="9782" spans="1:10" ht="13.5" thickBot="1">
      <c r="A9782" s="27"/>
      <c r="B9782" s="110"/>
      <c r="D9782" s="409"/>
      <c r="E9782" s="13" t="s">
        <v>287</v>
      </c>
      <c r="F9782" s="14"/>
      <c r="G9782" s="543" t="s">
        <v>259</v>
      </c>
      <c r="H9782" s="548">
        <v>1</v>
      </c>
      <c r="I9782" s="412">
        <f>'BAHAN '!G380</f>
        <v>0</v>
      </c>
      <c r="J9782" s="16">
        <f>H9782*I9782</f>
        <v>0</v>
      </c>
    </row>
    <row r="9783" spans="1:10" ht="13.5" thickBot="1">
      <c r="A9783" s="27"/>
      <c r="B9783" s="110"/>
      <c r="D9783" s="417"/>
      <c r="E9783" s="418"/>
      <c r="F9783" s="418"/>
      <c r="G9783" s="419"/>
      <c r="H9783" s="420" t="s">
        <v>64</v>
      </c>
      <c r="I9783" s="421"/>
      <c r="J9783" s="396">
        <f>SUM(J9782)</f>
        <v>0</v>
      </c>
    </row>
    <row r="9784" spans="1:10" ht="13">
      <c r="A9784" s="27"/>
      <c r="B9784" s="110"/>
      <c r="D9784" s="406" t="s">
        <v>65</v>
      </c>
      <c r="E9784" s="13" t="s">
        <v>66</v>
      </c>
      <c r="F9784" s="14"/>
      <c r="G9784" s="15"/>
      <c r="H9784" s="451"/>
      <c r="I9784" s="412"/>
      <c r="J9784" s="16"/>
    </row>
    <row r="9785" spans="1:10" ht="13.5" thickBot="1">
      <c r="A9785" s="27"/>
      <c r="B9785" s="110"/>
      <c r="D9785" s="409"/>
      <c r="E9785" s="13" t="s">
        <v>410</v>
      </c>
      <c r="F9785" s="14"/>
      <c r="G9785" s="543" t="s">
        <v>285</v>
      </c>
      <c r="H9785" s="548">
        <v>3.0000000000000001E-3</v>
      </c>
      <c r="I9785" s="412">
        <f>Alat!H26</f>
        <v>0</v>
      </c>
      <c r="J9785" s="16">
        <f>H9785*I9785</f>
        <v>0</v>
      </c>
    </row>
    <row r="9786" spans="1:10" ht="13.5" thickBot="1">
      <c r="A9786" s="27"/>
      <c r="B9786" s="110"/>
      <c r="D9786" s="417"/>
      <c r="E9786" s="418"/>
      <c r="F9786" s="418"/>
      <c r="G9786" s="419"/>
      <c r="H9786" s="420" t="s">
        <v>67</v>
      </c>
      <c r="I9786" s="421"/>
      <c r="J9786" s="396">
        <f>J9785</f>
        <v>0</v>
      </c>
    </row>
    <row r="9787" spans="1:10" ht="13">
      <c r="A9787" s="27"/>
      <c r="B9787" s="110"/>
      <c r="D9787" s="444" t="s">
        <v>68</v>
      </c>
      <c r="E9787" s="445" t="s">
        <v>69</v>
      </c>
      <c r="F9787" s="446"/>
      <c r="G9787" s="447"/>
      <c r="H9787" s="448"/>
      <c r="I9787" s="449">
        <f>IF(AND(E9787&lt;&gt;"",G9787&lt;&gt;""),IF(D9787="",IF(G9787="OH",VLOOKUP(E9787,UPAH!$C$4:$H$31,7,0),VLOOKUP(E9787,#REF!,4,0)),0),0)</f>
        <v>0</v>
      </c>
      <c r="J9787" s="16">
        <f>SUM(J9776:J9786)/2</f>
        <v>0</v>
      </c>
    </row>
    <row r="9788" spans="1:10" ht="13.5" thickBot="1">
      <c r="A9788" s="27"/>
      <c r="B9788" s="110"/>
      <c r="D9788" s="431" t="s">
        <v>70</v>
      </c>
      <c r="E9788" s="432" t="s">
        <v>477</v>
      </c>
      <c r="F9788" s="433"/>
      <c r="G9788" s="434"/>
      <c r="H9788" s="22">
        <v>0.1</v>
      </c>
      <c r="I9788" s="436"/>
      <c r="J9788" s="430">
        <f>H9788*J9787</f>
        <v>0</v>
      </c>
    </row>
    <row r="9789" spans="1:10" ht="13.5" thickBot="1">
      <c r="A9789" s="27"/>
      <c r="B9789" s="110"/>
      <c r="D9789" s="401" t="s">
        <v>71</v>
      </c>
      <c r="E9789" s="402" t="s">
        <v>72</v>
      </c>
      <c r="F9789" s="418"/>
      <c r="G9789" s="419"/>
      <c r="H9789" s="442"/>
      <c r="I9789" s="421">
        <f>IF(AND(E9789&lt;&gt;"",G9789&lt;&gt;""),IF(D9789="",IF(G9789="OH",VLOOKUP(E9789,UPAH!$C$4:$H$31,7,0),VLOOKUP(E9789,#REF!,4,0)),0),0)</f>
        <v>0</v>
      </c>
      <c r="J9789" s="396">
        <f>ROUNDDOWN(J9787+J9788,0)</f>
        <v>0</v>
      </c>
    </row>
    <row r="9790" spans="1:10" ht="13">
      <c r="A9790" s="27"/>
      <c r="B9790" s="110"/>
      <c r="D9790" s="11"/>
      <c r="E9790" s="11"/>
      <c r="H9790" s="443"/>
      <c r="I9790" s="17"/>
      <c r="J9790" s="18"/>
    </row>
    <row r="9791" spans="1:10" ht="13.5" thickBot="1">
      <c r="A9791" s="27"/>
      <c r="B9791" s="110"/>
      <c r="C9791" s="11" t="s">
        <v>1537</v>
      </c>
      <c r="D9791" s="10" t="s">
        <v>1550</v>
      </c>
      <c r="H9791" s="443"/>
    </row>
    <row r="9792" spans="1:10" ht="13.5" thickBot="1">
      <c r="A9792" s="27"/>
      <c r="B9792" s="110"/>
      <c r="D9792" s="401" t="s">
        <v>40</v>
      </c>
      <c r="E9792" s="402" t="s">
        <v>41</v>
      </c>
      <c r="F9792" s="402" t="s">
        <v>42</v>
      </c>
      <c r="G9792" s="403" t="s">
        <v>43</v>
      </c>
      <c r="H9792" s="404" t="s">
        <v>44</v>
      </c>
      <c r="I9792" s="402" t="s">
        <v>474</v>
      </c>
      <c r="J9792" s="405" t="s">
        <v>475</v>
      </c>
    </row>
    <row r="9793" spans="1:10" ht="13">
      <c r="A9793" s="27"/>
      <c r="B9793" s="110"/>
      <c r="D9793" s="444" t="s">
        <v>45</v>
      </c>
      <c r="E9793" s="445" t="s">
        <v>46</v>
      </c>
      <c r="F9793" s="446"/>
      <c r="G9793" s="447"/>
      <c r="H9793" s="448"/>
      <c r="I9793" s="449"/>
      <c r="J9793" s="450"/>
    </row>
    <row r="9794" spans="1:10" ht="13">
      <c r="A9794" s="27"/>
      <c r="B9794" s="110"/>
      <c r="D9794" s="409"/>
      <c r="E9794" s="13" t="s">
        <v>47</v>
      </c>
      <c r="F9794" s="13" t="s">
        <v>1918</v>
      </c>
      <c r="G9794" s="543" t="s">
        <v>48</v>
      </c>
      <c r="H9794" s="548">
        <v>3.1E-2</v>
      </c>
      <c r="I9794" s="412">
        <f>IF(AND(E9794&lt;&gt;"",G9794&lt;&gt;""),IF(D9794="",IF(G9794="OH",VLOOKUP(F9794,UPAH!$B$4:$H$101,7,0),VLOOKUP(F9794,#REF!,4,0)),0),0)</f>
        <v>0</v>
      </c>
      <c r="J9794" s="16">
        <f>H9794*I9794</f>
        <v>0</v>
      </c>
    </row>
    <row r="9795" spans="1:10" ht="13">
      <c r="A9795" s="27"/>
      <c r="B9795" s="110"/>
      <c r="D9795" s="409"/>
      <c r="E9795" s="13" t="s">
        <v>283</v>
      </c>
      <c r="F9795" s="13" t="s">
        <v>1913</v>
      </c>
      <c r="G9795" s="543" t="s">
        <v>48</v>
      </c>
      <c r="H9795" s="548">
        <v>1.4999999999999999E-2</v>
      </c>
      <c r="I9795" s="412">
        <f>IF(AND(E9795&lt;&gt;"",G9795&lt;&gt;""),IF(D9795="",IF(G9795="OH",VLOOKUP(F9795,UPAH!$B$4:$H$101,7,0),VLOOKUP(F9795,#REF!,4,0)),0),0)</f>
        <v>0</v>
      </c>
      <c r="J9795" s="16">
        <f>H9795*I9795</f>
        <v>0</v>
      </c>
    </row>
    <row r="9796" spans="1:10" ht="13.5" thickBot="1">
      <c r="A9796" s="27"/>
      <c r="B9796" s="110"/>
      <c r="D9796" s="409"/>
      <c r="E9796" s="13" t="s">
        <v>51</v>
      </c>
      <c r="F9796" s="13" t="s">
        <v>1929</v>
      </c>
      <c r="G9796" s="543" t="s">
        <v>48</v>
      </c>
      <c r="H9796" s="548">
        <v>3.0000000000000001E-3</v>
      </c>
      <c r="I9796" s="412">
        <f>IF(AND(E9796&lt;&gt;"",G9796&lt;&gt;""),IF(D9796="",IF(G9796="OH",VLOOKUP(F9796,UPAH!$B$4:$H$101,7,0),VLOOKUP(F9796,#REF!,4,0)),0),0)</f>
        <v>0</v>
      </c>
      <c r="J9796" s="16">
        <f>H9796*I9796</f>
        <v>0</v>
      </c>
    </row>
    <row r="9797" spans="1:10" ht="13.5" thickBot="1">
      <c r="A9797" s="27"/>
      <c r="B9797" s="110"/>
      <c r="D9797" s="417"/>
      <c r="E9797" s="418"/>
      <c r="F9797" s="418"/>
      <c r="G9797" s="419"/>
      <c r="H9797" s="420" t="s">
        <v>52</v>
      </c>
      <c r="I9797" s="421"/>
      <c r="J9797" s="396">
        <f>SUM(J9793:J9796)</f>
        <v>0</v>
      </c>
    </row>
    <row r="9798" spans="1:10" ht="13">
      <c r="A9798" s="27"/>
      <c r="B9798" s="110"/>
      <c r="D9798" s="406" t="s">
        <v>53</v>
      </c>
      <c r="E9798" s="13" t="s">
        <v>54</v>
      </c>
      <c r="F9798" s="14"/>
      <c r="G9798" s="15"/>
      <c r="H9798" s="451"/>
      <c r="I9798" s="412"/>
      <c r="J9798" s="16"/>
    </row>
    <row r="9799" spans="1:10" ht="13.5" thickBot="1">
      <c r="A9799" s="27"/>
      <c r="B9799" s="110"/>
      <c r="D9799" s="409"/>
      <c r="E9799" s="13" t="s">
        <v>346</v>
      </c>
      <c r="F9799" s="14"/>
      <c r="G9799" s="543" t="s">
        <v>259</v>
      </c>
      <c r="H9799" s="548">
        <v>1</v>
      </c>
      <c r="I9799" s="412">
        <f>'BAHAN '!G379</f>
        <v>0</v>
      </c>
      <c r="J9799" s="16">
        <f>H9799*I9799</f>
        <v>0</v>
      </c>
    </row>
    <row r="9800" spans="1:10" ht="13.5" thickBot="1">
      <c r="A9800" s="27"/>
      <c r="B9800" s="110"/>
      <c r="D9800" s="417"/>
      <c r="E9800" s="418"/>
      <c r="F9800" s="418"/>
      <c r="G9800" s="419"/>
      <c r="H9800" s="420" t="s">
        <v>64</v>
      </c>
      <c r="I9800" s="421"/>
      <c r="J9800" s="396">
        <f>SUM(J9799)</f>
        <v>0</v>
      </c>
    </row>
    <row r="9801" spans="1:10" ht="13">
      <c r="A9801" s="27"/>
      <c r="B9801" s="110"/>
      <c r="D9801" s="406" t="s">
        <v>65</v>
      </c>
      <c r="E9801" s="13" t="s">
        <v>66</v>
      </c>
      <c r="F9801" s="14"/>
      <c r="G9801" s="15"/>
      <c r="H9801" s="451"/>
      <c r="I9801" s="412"/>
      <c r="J9801" s="16"/>
    </row>
    <row r="9802" spans="1:10" ht="13.5" thickBot="1">
      <c r="A9802" s="27"/>
      <c r="B9802" s="110"/>
      <c r="D9802" s="409"/>
      <c r="E9802" s="13" t="s">
        <v>410</v>
      </c>
      <c r="F9802" s="14"/>
      <c r="G9802" s="543" t="s">
        <v>285</v>
      </c>
      <c r="H9802" s="548">
        <v>3.0000000000000001E-3</v>
      </c>
      <c r="I9802" s="412">
        <f>Alat!H26</f>
        <v>0</v>
      </c>
      <c r="J9802" s="16">
        <f>H9802*I9802</f>
        <v>0</v>
      </c>
    </row>
    <row r="9803" spans="1:10" ht="13.5" thickBot="1">
      <c r="A9803" s="27"/>
      <c r="B9803" s="110"/>
      <c r="D9803" s="417"/>
      <c r="E9803" s="418"/>
      <c r="F9803" s="418"/>
      <c r="G9803" s="419"/>
      <c r="H9803" s="420" t="s">
        <v>67</v>
      </c>
      <c r="I9803" s="421"/>
      <c r="J9803" s="396">
        <f>J9802</f>
        <v>0</v>
      </c>
    </row>
    <row r="9804" spans="1:10" ht="13">
      <c r="A9804" s="27"/>
      <c r="B9804" s="110"/>
      <c r="D9804" s="444" t="s">
        <v>68</v>
      </c>
      <c r="E9804" s="445" t="s">
        <v>69</v>
      </c>
      <c r="F9804" s="446"/>
      <c r="G9804" s="447"/>
      <c r="H9804" s="448"/>
      <c r="I9804" s="449">
        <f>IF(AND(E9804&lt;&gt;"",G9804&lt;&gt;""),IF(D9804="",IF(G9804="OH",VLOOKUP(E9804,UPAH!$C$4:$H$31,7,0),VLOOKUP(E9804,#REF!,4,0)),0),0)</f>
        <v>0</v>
      </c>
      <c r="J9804" s="16">
        <f>SUM(J9793:J9803)/2</f>
        <v>0</v>
      </c>
    </row>
    <row r="9805" spans="1:10" ht="13.5" thickBot="1">
      <c r="A9805" s="27"/>
      <c r="B9805" s="110"/>
      <c r="D9805" s="431" t="s">
        <v>70</v>
      </c>
      <c r="E9805" s="432" t="s">
        <v>477</v>
      </c>
      <c r="F9805" s="433"/>
      <c r="G9805" s="434"/>
      <c r="H9805" s="22">
        <v>0.1</v>
      </c>
      <c r="I9805" s="436"/>
      <c r="J9805" s="430">
        <f>H9805*J9804</f>
        <v>0</v>
      </c>
    </row>
    <row r="9806" spans="1:10" ht="13.5" thickBot="1">
      <c r="A9806" s="27"/>
      <c r="B9806" s="110"/>
      <c r="D9806" s="401" t="s">
        <v>71</v>
      </c>
      <c r="E9806" s="402" t="s">
        <v>72</v>
      </c>
      <c r="F9806" s="418"/>
      <c r="G9806" s="419"/>
      <c r="H9806" s="442"/>
      <c r="I9806" s="421">
        <f>IF(AND(E9806&lt;&gt;"",G9806&lt;&gt;""),IF(D9806="",IF(G9806="OH",VLOOKUP(E9806,UPAH!$C$4:$H$31,7,0),VLOOKUP(E9806,#REF!,4,0)),0),0)</f>
        <v>0</v>
      </c>
      <c r="J9806" s="396">
        <f>ROUNDDOWN(J9804+J9805,0)</f>
        <v>0</v>
      </c>
    </row>
    <row r="9807" spans="1:10" ht="13">
      <c r="A9807" s="27"/>
      <c r="B9807" s="110"/>
      <c r="D9807" s="11"/>
      <c r="E9807" s="11"/>
      <c r="H9807" s="443"/>
      <c r="I9807" s="17"/>
      <c r="J9807" s="18"/>
    </row>
    <row r="9808" spans="1:10" ht="13.5" thickBot="1">
      <c r="A9808" s="27"/>
      <c r="B9808" s="110"/>
      <c r="C9808" s="11" t="s">
        <v>1538</v>
      </c>
      <c r="D9808" s="10" t="s">
        <v>1549</v>
      </c>
      <c r="H9808" s="443"/>
    </row>
    <row r="9809" spans="1:10" ht="13.5" thickBot="1">
      <c r="A9809" s="27"/>
      <c r="B9809" s="110"/>
      <c r="D9809" s="401" t="s">
        <v>40</v>
      </c>
      <c r="E9809" s="402" t="s">
        <v>41</v>
      </c>
      <c r="F9809" s="402" t="s">
        <v>42</v>
      </c>
      <c r="G9809" s="403" t="s">
        <v>43</v>
      </c>
      <c r="H9809" s="404" t="s">
        <v>44</v>
      </c>
      <c r="I9809" s="402" t="s">
        <v>474</v>
      </c>
      <c r="J9809" s="405" t="s">
        <v>475</v>
      </c>
    </row>
    <row r="9810" spans="1:10" ht="13">
      <c r="A9810" s="27"/>
      <c r="B9810" s="110"/>
      <c r="D9810" s="444" t="s">
        <v>45</v>
      </c>
      <c r="E9810" s="445" t="s">
        <v>46</v>
      </c>
      <c r="F9810" s="446"/>
      <c r="G9810" s="447"/>
      <c r="H9810" s="448"/>
      <c r="I9810" s="449"/>
      <c r="J9810" s="450"/>
    </row>
    <row r="9811" spans="1:10" ht="13">
      <c r="A9811" s="27"/>
      <c r="B9811" s="110"/>
      <c r="D9811" s="409"/>
      <c r="E9811" s="13" t="s">
        <v>47</v>
      </c>
      <c r="F9811" s="13" t="s">
        <v>1918</v>
      </c>
      <c r="G9811" s="543" t="s">
        <v>48</v>
      </c>
      <c r="H9811" s="548">
        <v>8.1000000000000003E-2</v>
      </c>
      <c r="I9811" s="412">
        <f>IF(AND(E9811&lt;&gt;"",G9811&lt;&gt;""),IF(D9811="",IF(G9811="OH",VLOOKUP(F9811,UPAH!$B$4:$H$101,7,0),VLOOKUP(F9811,#REF!,4,0)),0),0)</f>
        <v>0</v>
      </c>
      <c r="J9811" s="16">
        <f>H9811*I9811</f>
        <v>0</v>
      </c>
    </row>
    <row r="9812" spans="1:10" ht="13">
      <c r="A9812" s="27"/>
      <c r="B9812" s="110"/>
      <c r="D9812" s="409"/>
      <c r="E9812" s="13" t="s">
        <v>283</v>
      </c>
      <c r="F9812" s="13" t="s">
        <v>1913</v>
      </c>
      <c r="G9812" s="543" t="s">
        <v>48</v>
      </c>
      <c r="H9812" s="548">
        <v>0.04</v>
      </c>
      <c r="I9812" s="412">
        <f>IF(AND(E9812&lt;&gt;"",G9812&lt;&gt;""),IF(D9812="",IF(G9812="OH",VLOOKUP(F9812,UPAH!$B$4:$H$101,7,0),VLOOKUP(F9812,#REF!,4,0)),0),0)</f>
        <v>0</v>
      </c>
      <c r="J9812" s="16">
        <f>H9812*I9812</f>
        <v>0</v>
      </c>
    </row>
    <row r="9813" spans="1:10" ht="13.5" thickBot="1">
      <c r="A9813" s="27"/>
      <c r="B9813" s="110"/>
      <c r="D9813" s="409"/>
      <c r="E9813" s="13" t="s">
        <v>51</v>
      </c>
      <c r="F9813" s="13" t="s">
        <v>1929</v>
      </c>
      <c r="G9813" s="543" t="s">
        <v>48</v>
      </c>
      <c r="H9813" s="548">
        <v>8.0000000000000002E-3</v>
      </c>
      <c r="I9813" s="412">
        <f>IF(AND(E9813&lt;&gt;"",G9813&lt;&gt;""),IF(D9813="",IF(G9813="OH",VLOOKUP(F9813,UPAH!$B$4:$H$101,7,0),VLOOKUP(F9813,#REF!,4,0)),0),0)</f>
        <v>0</v>
      </c>
      <c r="J9813" s="16">
        <f>H9813*I9813</f>
        <v>0</v>
      </c>
    </row>
    <row r="9814" spans="1:10" ht="13.5" thickBot="1">
      <c r="A9814" s="27"/>
      <c r="B9814" s="110"/>
      <c r="D9814" s="417"/>
      <c r="E9814" s="418"/>
      <c r="F9814" s="418"/>
      <c r="G9814" s="419"/>
      <c r="H9814" s="420" t="s">
        <v>52</v>
      </c>
      <c r="I9814" s="421"/>
      <c r="J9814" s="396">
        <f>SUM(J9810:J9813)</f>
        <v>0</v>
      </c>
    </row>
    <row r="9815" spans="1:10" ht="13">
      <c r="A9815" s="27"/>
      <c r="B9815" s="110"/>
      <c r="D9815" s="406" t="s">
        <v>53</v>
      </c>
      <c r="E9815" s="13" t="s">
        <v>54</v>
      </c>
      <c r="F9815" s="14"/>
      <c r="G9815" s="15"/>
      <c r="H9815" s="451"/>
      <c r="I9815" s="412"/>
      <c r="J9815" s="16"/>
    </row>
    <row r="9816" spans="1:10" ht="13.5" thickBot="1">
      <c r="A9816" s="27"/>
      <c r="B9816" s="110"/>
      <c r="D9816" s="409"/>
      <c r="E9816" s="13" t="s">
        <v>288</v>
      </c>
      <c r="F9816" s="14"/>
      <c r="G9816" s="543" t="s">
        <v>259</v>
      </c>
      <c r="H9816" s="548">
        <v>1</v>
      </c>
      <c r="I9816" s="412">
        <f>'BAHAN '!G378</f>
        <v>0</v>
      </c>
      <c r="J9816" s="16">
        <f>H9816*I9816</f>
        <v>0</v>
      </c>
    </row>
    <row r="9817" spans="1:10" ht="13.5" thickBot="1">
      <c r="A9817" s="27"/>
      <c r="B9817" s="110"/>
      <c r="D9817" s="417"/>
      <c r="E9817" s="418"/>
      <c r="F9817" s="418"/>
      <c r="G9817" s="419"/>
      <c r="H9817" s="420" t="s">
        <v>64</v>
      </c>
      <c r="I9817" s="421"/>
      <c r="J9817" s="396">
        <f>SUM(J9816)</f>
        <v>0</v>
      </c>
    </row>
    <row r="9818" spans="1:10" ht="13">
      <c r="A9818" s="27"/>
      <c r="B9818" s="110"/>
      <c r="D9818" s="406" t="s">
        <v>65</v>
      </c>
      <c r="E9818" s="13" t="s">
        <v>66</v>
      </c>
      <c r="F9818" s="14"/>
      <c r="G9818" s="15"/>
      <c r="H9818" s="451"/>
      <c r="I9818" s="412"/>
      <c r="J9818" s="16"/>
    </row>
    <row r="9819" spans="1:10" ht="13.5" thickBot="1">
      <c r="A9819" s="27"/>
      <c r="B9819" s="110"/>
      <c r="D9819" s="409"/>
      <c r="E9819" s="13" t="s">
        <v>410</v>
      </c>
      <c r="F9819" s="14"/>
      <c r="G9819" s="543" t="s">
        <v>285</v>
      </c>
      <c r="H9819" s="548">
        <v>1.7000000000000001E-2</v>
      </c>
      <c r="I9819" s="412">
        <f>Alat!H26</f>
        <v>0</v>
      </c>
      <c r="J9819" s="16">
        <f>H9819*I9819</f>
        <v>0</v>
      </c>
    </row>
    <row r="9820" spans="1:10" ht="13.5" thickBot="1">
      <c r="A9820" s="27"/>
      <c r="B9820" s="110"/>
      <c r="D9820" s="417"/>
      <c r="E9820" s="418"/>
      <c r="F9820" s="418"/>
      <c r="G9820" s="419"/>
      <c r="H9820" s="420" t="s">
        <v>67</v>
      </c>
      <c r="I9820" s="421"/>
      <c r="J9820" s="396">
        <f>J9819</f>
        <v>0</v>
      </c>
    </row>
    <row r="9821" spans="1:10" ht="13">
      <c r="A9821" s="27"/>
      <c r="B9821" s="110"/>
      <c r="D9821" s="444" t="s">
        <v>68</v>
      </c>
      <c r="E9821" s="445" t="s">
        <v>69</v>
      </c>
      <c r="F9821" s="446"/>
      <c r="G9821" s="447"/>
      <c r="H9821" s="448"/>
      <c r="I9821" s="449">
        <f>IF(AND(E9821&lt;&gt;"",G9821&lt;&gt;""),IF(D9821="",IF(G9821="OH",VLOOKUP(E9821,UPAH!$C$4:$H$31,7,0),VLOOKUP(E9821,#REF!,4,0)),0),0)</f>
        <v>0</v>
      </c>
      <c r="J9821" s="16">
        <f>SUM(J9810:J9820)/2</f>
        <v>0</v>
      </c>
    </row>
    <row r="9822" spans="1:10" ht="13.5" thickBot="1">
      <c r="A9822" s="27"/>
      <c r="B9822" s="110"/>
      <c r="D9822" s="431" t="s">
        <v>70</v>
      </c>
      <c r="E9822" s="432" t="s">
        <v>477</v>
      </c>
      <c r="F9822" s="433"/>
      <c r="G9822" s="434"/>
      <c r="H9822" s="22">
        <v>0.1</v>
      </c>
      <c r="I9822" s="436"/>
      <c r="J9822" s="430">
        <f>H9822*J9821</f>
        <v>0</v>
      </c>
    </row>
    <row r="9823" spans="1:10" ht="13.5" thickBot="1">
      <c r="A9823" s="27"/>
      <c r="B9823" s="110"/>
      <c r="D9823" s="401" t="s">
        <v>71</v>
      </c>
      <c r="E9823" s="402" t="s">
        <v>72</v>
      </c>
      <c r="F9823" s="418"/>
      <c r="G9823" s="419"/>
      <c r="H9823" s="442"/>
      <c r="I9823" s="421">
        <f>IF(AND(E9823&lt;&gt;"",G9823&lt;&gt;""),IF(D9823="",IF(G9823="OH",VLOOKUP(E9823,UPAH!$C$4:$H$31,7,0),VLOOKUP(E9823,#REF!,4,0)),0),0)</f>
        <v>0</v>
      </c>
      <c r="J9823" s="396">
        <f>ROUNDDOWN(J9821+J9822,0)</f>
        <v>0</v>
      </c>
    </row>
    <row r="9824" spans="1:10" ht="13">
      <c r="A9824" s="27"/>
      <c r="B9824" s="110"/>
      <c r="D9824" s="11"/>
      <c r="E9824" s="11"/>
      <c r="H9824" s="443"/>
      <c r="I9824" s="17"/>
      <c r="J9824" s="18"/>
    </row>
    <row r="9825" spans="1:10" ht="13.5" thickBot="1">
      <c r="A9825" s="27"/>
      <c r="B9825" s="110"/>
      <c r="C9825" s="11" t="s">
        <v>1539</v>
      </c>
      <c r="D9825" s="10" t="s">
        <v>1548</v>
      </c>
      <c r="H9825" s="443"/>
    </row>
    <row r="9826" spans="1:10" ht="13.5" thickBot="1">
      <c r="A9826" s="27"/>
      <c r="B9826" s="110"/>
      <c r="D9826" s="401" t="s">
        <v>40</v>
      </c>
      <c r="E9826" s="402" t="s">
        <v>41</v>
      </c>
      <c r="F9826" s="402" t="s">
        <v>42</v>
      </c>
      <c r="G9826" s="403" t="s">
        <v>43</v>
      </c>
      <c r="H9826" s="404" t="s">
        <v>44</v>
      </c>
      <c r="I9826" s="402" t="s">
        <v>474</v>
      </c>
      <c r="J9826" s="405" t="s">
        <v>475</v>
      </c>
    </row>
    <row r="9827" spans="1:10" ht="13">
      <c r="A9827" s="27"/>
      <c r="B9827" s="110"/>
      <c r="D9827" s="444" t="s">
        <v>45</v>
      </c>
      <c r="E9827" s="445" t="s">
        <v>46</v>
      </c>
      <c r="F9827" s="446"/>
      <c r="G9827" s="447"/>
      <c r="H9827" s="448"/>
      <c r="I9827" s="449"/>
      <c r="J9827" s="450"/>
    </row>
    <row r="9828" spans="1:10" ht="13">
      <c r="A9828" s="27"/>
      <c r="B9828" s="110"/>
      <c r="D9828" s="409"/>
      <c r="E9828" s="13" t="s">
        <v>47</v>
      </c>
      <c r="F9828" s="13" t="s">
        <v>1918</v>
      </c>
      <c r="G9828" s="543" t="s">
        <v>48</v>
      </c>
      <c r="H9828" s="548">
        <v>0.128</v>
      </c>
      <c r="I9828" s="412">
        <f>IF(AND(E9828&lt;&gt;"",G9828&lt;&gt;""),IF(D9828="",IF(G9828="OH",VLOOKUP(F9828,UPAH!$B$4:$H$101,7,0),VLOOKUP(F9828,#REF!,4,0)),0),0)</f>
        <v>0</v>
      </c>
      <c r="J9828" s="16">
        <f>H9828*I9828</f>
        <v>0</v>
      </c>
    </row>
    <row r="9829" spans="1:10" ht="13">
      <c r="A9829" s="27"/>
      <c r="B9829" s="110"/>
      <c r="D9829" s="409"/>
      <c r="E9829" s="13" t="s">
        <v>283</v>
      </c>
      <c r="F9829" s="13" t="s">
        <v>1913</v>
      </c>
      <c r="G9829" s="543" t="s">
        <v>48</v>
      </c>
      <c r="H9829" s="548">
        <v>6.4000000000000001E-2</v>
      </c>
      <c r="I9829" s="412">
        <f>IF(AND(E9829&lt;&gt;"",G9829&lt;&gt;""),IF(D9829="",IF(G9829="OH",VLOOKUP(F9829,UPAH!$B$4:$H$101,7,0),VLOOKUP(F9829,#REF!,4,0)),0),0)</f>
        <v>0</v>
      </c>
      <c r="J9829" s="16">
        <f>H9829*I9829</f>
        <v>0</v>
      </c>
    </row>
    <row r="9830" spans="1:10" ht="13.5" thickBot="1">
      <c r="A9830" s="27"/>
      <c r="B9830" s="110"/>
      <c r="D9830" s="409"/>
      <c r="E9830" s="13" t="s">
        <v>51</v>
      </c>
      <c r="F9830" s="13" t="s">
        <v>1929</v>
      </c>
      <c r="G9830" s="543" t="s">
        <v>48</v>
      </c>
      <c r="H9830" s="548">
        <v>1.2999999999999999E-2</v>
      </c>
      <c r="I9830" s="412">
        <f>IF(AND(E9830&lt;&gt;"",G9830&lt;&gt;""),IF(D9830="",IF(G9830="OH",VLOOKUP(F9830,UPAH!$B$4:$H$101,7,0),VLOOKUP(F9830,#REF!,4,0)),0),0)</f>
        <v>0</v>
      </c>
      <c r="J9830" s="16">
        <f>H9830*I9830</f>
        <v>0</v>
      </c>
    </row>
    <row r="9831" spans="1:10" ht="13.5" thickBot="1">
      <c r="A9831" s="27"/>
      <c r="B9831" s="110"/>
      <c r="D9831" s="417"/>
      <c r="E9831" s="418"/>
      <c r="F9831" s="418"/>
      <c r="G9831" s="419"/>
      <c r="H9831" s="420" t="s">
        <v>52</v>
      </c>
      <c r="I9831" s="421"/>
      <c r="J9831" s="396">
        <f>SUM(J9827:J9830)</f>
        <v>0</v>
      </c>
    </row>
    <row r="9832" spans="1:10" ht="13">
      <c r="A9832" s="27"/>
      <c r="B9832" s="110"/>
      <c r="D9832" s="406" t="s">
        <v>53</v>
      </c>
      <c r="E9832" s="13" t="s">
        <v>54</v>
      </c>
      <c r="F9832" s="14"/>
      <c r="G9832" s="15"/>
      <c r="H9832" s="451"/>
      <c r="I9832" s="412"/>
      <c r="J9832" s="16"/>
    </row>
    <row r="9833" spans="1:10" ht="13.5" thickBot="1">
      <c r="A9833" s="27"/>
      <c r="B9833" s="110"/>
      <c r="D9833" s="409"/>
      <c r="E9833" s="13" t="s">
        <v>289</v>
      </c>
      <c r="F9833" s="14"/>
      <c r="G9833" s="543" t="s">
        <v>259</v>
      </c>
      <c r="H9833" s="548">
        <v>1</v>
      </c>
      <c r="I9833" s="412">
        <f>'BAHAN '!G377</f>
        <v>0</v>
      </c>
      <c r="J9833" s="16">
        <f>H9833*I9833</f>
        <v>0</v>
      </c>
    </row>
    <row r="9834" spans="1:10" ht="13.5" thickBot="1">
      <c r="A9834" s="27"/>
      <c r="B9834" s="110"/>
      <c r="D9834" s="417"/>
      <c r="E9834" s="418"/>
      <c r="F9834" s="418"/>
      <c r="G9834" s="419"/>
      <c r="H9834" s="420" t="s">
        <v>64</v>
      </c>
      <c r="I9834" s="421"/>
      <c r="J9834" s="396">
        <f>SUM(J9833)</f>
        <v>0</v>
      </c>
    </row>
    <row r="9835" spans="1:10" ht="13">
      <c r="A9835" s="27"/>
      <c r="B9835" s="110"/>
      <c r="D9835" s="406" t="s">
        <v>65</v>
      </c>
      <c r="E9835" s="13" t="s">
        <v>66</v>
      </c>
      <c r="F9835" s="14"/>
      <c r="G9835" s="15"/>
      <c r="H9835" s="451"/>
      <c r="I9835" s="412"/>
      <c r="J9835" s="16"/>
    </row>
    <row r="9836" spans="1:10" ht="13.5" thickBot="1">
      <c r="A9836" s="27"/>
      <c r="B9836" s="110"/>
      <c r="D9836" s="409"/>
      <c r="E9836" s="13" t="s">
        <v>410</v>
      </c>
      <c r="F9836" s="14"/>
      <c r="G9836" s="543" t="s">
        <v>285</v>
      </c>
      <c r="H9836" s="548">
        <v>0.03</v>
      </c>
      <c r="I9836" s="412">
        <f>Alat!H26</f>
        <v>0</v>
      </c>
      <c r="J9836" s="16">
        <f>H9836*I9836</f>
        <v>0</v>
      </c>
    </row>
    <row r="9837" spans="1:10" ht="13.5" thickBot="1">
      <c r="A9837" s="27"/>
      <c r="B9837" s="110"/>
      <c r="D9837" s="417"/>
      <c r="E9837" s="418"/>
      <c r="F9837" s="418"/>
      <c r="G9837" s="419"/>
      <c r="H9837" s="420" t="s">
        <v>67</v>
      </c>
      <c r="I9837" s="421"/>
      <c r="J9837" s="396">
        <f>J9836</f>
        <v>0</v>
      </c>
    </row>
    <row r="9838" spans="1:10" ht="13">
      <c r="A9838" s="27"/>
      <c r="B9838" s="110"/>
      <c r="D9838" s="444" t="s">
        <v>68</v>
      </c>
      <c r="E9838" s="445" t="s">
        <v>69</v>
      </c>
      <c r="F9838" s="446"/>
      <c r="G9838" s="447"/>
      <c r="H9838" s="448"/>
      <c r="I9838" s="449">
        <f>IF(AND(E9838&lt;&gt;"",G9838&lt;&gt;""),IF(D9838="",IF(G9838="OH",VLOOKUP(E9838,UPAH!$C$4:$H$31,7,0),VLOOKUP(E9838,#REF!,4,0)),0),0)</f>
        <v>0</v>
      </c>
      <c r="J9838" s="16">
        <f>SUM(J9827:J9837)/2</f>
        <v>0</v>
      </c>
    </row>
    <row r="9839" spans="1:10" ht="13.5" thickBot="1">
      <c r="A9839" s="27"/>
      <c r="B9839" s="110"/>
      <c r="D9839" s="431" t="s">
        <v>70</v>
      </c>
      <c r="E9839" s="432" t="s">
        <v>477</v>
      </c>
      <c r="F9839" s="433"/>
      <c r="G9839" s="434"/>
      <c r="H9839" s="22">
        <v>0.1</v>
      </c>
      <c r="I9839" s="436"/>
      <c r="J9839" s="430">
        <f>H9839*J9838</f>
        <v>0</v>
      </c>
    </row>
    <row r="9840" spans="1:10" ht="13.5" thickBot="1">
      <c r="A9840" s="27"/>
      <c r="B9840" s="110"/>
      <c r="D9840" s="401" t="s">
        <v>71</v>
      </c>
      <c r="E9840" s="402" t="s">
        <v>72</v>
      </c>
      <c r="F9840" s="418"/>
      <c r="G9840" s="419"/>
      <c r="H9840" s="442"/>
      <c r="I9840" s="421">
        <f>IF(AND(E9840&lt;&gt;"",G9840&lt;&gt;""),IF(D9840="",IF(G9840="OH",VLOOKUP(E9840,UPAH!$C$4:$H$31,7,0),VLOOKUP(E9840,#REF!,4,0)),0),0)</f>
        <v>0</v>
      </c>
      <c r="J9840" s="396">
        <f>ROUNDDOWN(J9838+J9839,0)</f>
        <v>0</v>
      </c>
    </row>
    <row r="9841" spans="1:10" ht="13">
      <c r="A9841" s="27"/>
      <c r="B9841" s="110"/>
      <c r="D9841" s="11"/>
      <c r="E9841" s="11"/>
      <c r="H9841" s="443"/>
      <c r="I9841" s="17"/>
      <c r="J9841" s="18"/>
    </row>
    <row r="9842" spans="1:10" ht="13.5" thickBot="1">
      <c r="A9842" s="27"/>
      <c r="B9842" s="110"/>
      <c r="C9842" s="11" t="s">
        <v>1540</v>
      </c>
      <c r="D9842" s="10" t="s">
        <v>1547</v>
      </c>
      <c r="H9842" s="443"/>
    </row>
    <row r="9843" spans="1:10" ht="13.5" thickBot="1">
      <c r="A9843" s="27"/>
      <c r="B9843" s="110"/>
      <c r="D9843" s="401" t="s">
        <v>40</v>
      </c>
      <c r="E9843" s="402" t="s">
        <v>41</v>
      </c>
      <c r="F9843" s="402" t="s">
        <v>42</v>
      </c>
      <c r="G9843" s="403" t="s">
        <v>43</v>
      </c>
      <c r="H9843" s="404" t="s">
        <v>44</v>
      </c>
      <c r="I9843" s="402" t="s">
        <v>474</v>
      </c>
      <c r="J9843" s="405" t="s">
        <v>475</v>
      </c>
    </row>
    <row r="9844" spans="1:10" ht="13">
      <c r="A9844" s="27"/>
      <c r="B9844" s="110"/>
      <c r="D9844" s="444" t="s">
        <v>45</v>
      </c>
      <c r="E9844" s="445" t="s">
        <v>46</v>
      </c>
      <c r="F9844" s="446"/>
      <c r="G9844" s="447"/>
      <c r="H9844" s="448"/>
      <c r="I9844" s="449"/>
      <c r="J9844" s="450"/>
    </row>
    <row r="9845" spans="1:10" ht="13">
      <c r="A9845" s="27"/>
      <c r="B9845" s="110"/>
      <c r="D9845" s="409"/>
      <c r="E9845" s="13" t="s">
        <v>47</v>
      </c>
      <c r="F9845" s="13" t="s">
        <v>1918</v>
      </c>
      <c r="G9845" s="543" t="s">
        <v>48</v>
      </c>
      <c r="H9845" s="548">
        <v>0.155</v>
      </c>
      <c r="I9845" s="412">
        <f>IF(AND(E9845&lt;&gt;"",G9845&lt;&gt;""),IF(D9845="",IF(G9845="OH",VLOOKUP(F9845,UPAH!$B$4:$H$101,7,0),VLOOKUP(F9845,#REF!,4,0)),0),0)</f>
        <v>0</v>
      </c>
      <c r="J9845" s="16">
        <f>H9845*I9845</f>
        <v>0</v>
      </c>
    </row>
    <row r="9846" spans="1:10" ht="13">
      <c r="A9846" s="27"/>
      <c r="B9846" s="110"/>
      <c r="D9846" s="409"/>
      <c r="E9846" s="13" t="s">
        <v>283</v>
      </c>
      <c r="F9846" s="13" t="s">
        <v>1913</v>
      </c>
      <c r="G9846" s="543" t="s">
        <v>48</v>
      </c>
      <c r="H9846" s="548">
        <v>7.6999999999999999E-2</v>
      </c>
      <c r="I9846" s="412">
        <f>IF(AND(E9846&lt;&gt;"",G9846&lt;&gt;""),IF(D9846="",IF(G9846="OH",VLOOKUP(F9846,UPAH!$B$4:$H$101,7,0),VLOOKUP(F9846,#REF!,4,0)),0),0)</f>
        <v>0</v>
      </c>
      <c r="J9846" s="16">
        <f>H9846*I9846</f>
        <v>0</v>
      </c>
    </row>
    <row r="9847" spans="1:10" ht="13.5" thickBot="1">
      <c r="A9847" s="27"/>
      <c r="B9847" s="110"/>
      <c r="D9847" s="409"/>
      <c r="E9847" s="13" t="s">
        <v>51</v>
      </c>
      <c r="F9847" s="13" t="s">
        <v>1929</v>
      </c>
      <c r="G9847" s="543" t="s">
        <v>48</v>
      </c>
      <c r="H9847" s="548">
        <v>1.4999999999999999E-2</v>
      </c>
      <c r="I9847" s="412">
        <f>IF(AND(E9847&lt;&gt;"",G9847&lt;&gt;""),IF(D9847="",IF(G9847="OH",VLOOKUP(F9847,UPAH!$B$4:$H$101,7,0),VLOOKUP(F9847,#REF!,4,0)),0),0)</f>
        <v>0</v>
      </c>
      <c r="J9847" s="16">
        <f>H9847*I9847</f>
        <v>0</v>
      </c>
    </row>
    <row r="9848" spans="1:10" ht="13.5" thickBot="1">
      <c r="A9848" s="27"/>
      <c r="B9848" s="110"/>
      <c r="D9848" s="417"/>
      <c r="E9848" s="418"/>
      <c r="F9848" s="418"/>
      <c r="G9848" s="419"/>
      <c r="H9848" s="420" t="s">
        <v>52</v>
      </c>
      <c r="I9848" s="421"/>
      <c r="J9848" s="396">
        <f>SUM(J9844:J9847)</f>
        <v>0</v>
      </c>
    </row>
    <row r="9849" spans="1:10" ht="13">
      <c r="A9849" s="27"/>
      <c r="B9849" s="110"/>
      <c r="D9849" s="406" t="s">
        <v>53</v>
      </c>
      <c r="E9849" s="13" t="s">
        <v>54</v>
      </c>
      <c r="F9849" s="14"/>
      <c r="G9849" s="15"/>
      <c r="H9849" s="451"/>
      <c r="I9849" s="412"/>
      <c r="J9849" s="16"/>
    </row>
    <row r="9850" spans="1:10" ht="13.5" thickBot="1">
      <c r="A9850" s="27"/>
      <c r="B9850" s="110"/>
      <c r="D9850" s="409"/>
      <c r="E9850" s="13" t="s">
        <v>290</v>
      </c>
      <c r="F9850" s="14"/>
      <c r="G9850" s="543" t="s">
        <v>259</v>
      </c>
      <c r="H9850" s="548">
        <v>1</v>
      </c>
      <c r="I9850" s="412">
        <f>'BAHAN '!G376</f>
        <v>0</v>
      </c>
      <c r="J9850" s="16">
        <f>H9850*I9850</f>
        <v>0</v>
      </c>
    </row>
    <row r="9851" spans="1:10" ht="13.5" thickBot="1">
      <c r="A9851" s="27"/>
      <c r="B9851" s="110"/>
      <c r="D9851" s="417"/>
      <c r="E9851" s="418"/>
      <c r="F9851" s="418"/>
      <c r="G9851" s="419"/>
      <c r="H9851" s="420" t="s">
        <v>64</v>
      </c>
      <c r="I9851" s="421"/>
      <c r="J9851" s="396">
        <f>SUM(J9850)</f>
        <v>0</v>
      </c>
    </row>
    <row r="9852" spans="1:10" ht="13">
      <c r="A9852" s="27"/>
      <c r="B9852" s="110"/>
      <c r="D9852" s="406" t="s">
        <v>65</v>
      </c>
      <c r="E9852" s="13" t="s">
        <v>66</v>
      </c>
      <c r="F9852" s="14"/>
      <c r="G9852" s="15"/>
      <c r="H9852" s="451"/>
      <c r="I9852" s="412"/>
      <c r="J9852" s="16"/>
    </row>
    <row r="9853" spans="1:10" ht="13.5" thickBot="1">
      <c r="A9853" s="27"/>
      <c r="B9853" s="110"/>
      <c r="D9853" s="409"/>
      <c r="E9853" s="13" t="s">
        <v>410</v>
      </c>
      <c r="F9853" s="14"/>
      <c r="G9853" s="543" t="s">
        <v>285</v>
      </c>
      <c r="H9853" s="548">
        <v>3.6999999999999998E-2</v>
      </c>
      <c r="I9853" s="412">
        <f>Alat!H26</f>
        <v>0</v>
      </c>
      <c r="J9853" s="16">
        <f>H9853*I9853</f>
        <v>0</v>
      </c>
    </row>
    <row r="9854" spans="1:10" ht="13.5" thickBot="1">
      <c r="A9854" s="27"/>
      <c r="B9854" s="110"/>
      <c r="D9854" s="417"/>
      <c r="E9854" s="418"/>
      <c r="F9854" s="418"/>
      <c r="G9854" s="419"/>
      <c r="H9854" s="420" t="s">
        <v>67</v>
      </c>
      <c r="I9854" s="421"/>
      <c r="J9854" s="396">
        <f>J9853</f>
        <v>0</v>
      </c>
    </row>
    <row r="9855" spans="1:10" ht="13">
      <c r="A9855" s="27"/>
      <c r="B9855" s="110"/>
      <c r="D9855" s="444" t="s">
        <v>68</v>
      </c>
      <c r="E9855" s="445" t="s">
        <v>69</v>
      </c>
      <c r="F9855" s="446"/>
      <c r="G9855" s="447"/>
      <c r="H9855" s="448"/>
      <c r="I9855" s="449">
        <f>IF(AND(E9855&lt;&gt;"",G9855&lt;&gt;""),IF(D9855="",IF(G9855="OH",VLOOKUP(E9855,UPAH!$C$4:$H$31,7,0),VLOOKUP(E9855,#REF!,4,0)),0),0)</f>
        <v>0</v>
      </c>
      <c r="J9855" s="16">
        <f>SUM(J9844:J9854)/2</f>
        <v>0</v>
      </c>
    </row>
    <row r="9856" spans="1:10" ht="13.5" thickBot="1">
      <c r="A9856" s="27"/>
      <c r="B9856" s="110"/>
      <c r="D9856" s="431" t="s">
        <v>70</v>
      </c>
      <c r="E9856" s="432" t="s">
        <v>477</v>
      </c>
      <c r="F9856" s="433"/>
      <c r="G9856" s="434"/>
      <c r="H9856" s="22">
        <v>0.1</v>
      </c>
      <c r="I9856" s="436"/>
      <c r="J9856" s="430">
        <f>H9856*J9855</f>
        <v>0</v>
      </c>
    </row>
    <row r="9857" spans="1:10" ht="13.5" thickBot="1">
      <c r="A9857" s="27"/>
      <c r="B9857" s="110"/>
      <c r="D9857" s="401" t="s">
        <v>71</v>
      </c>
      <c r="E9857" s="402" t="s">
        <v>72</v>
      </c>
      <c r="F9857" s="418"/>
      <c r="G9857" s="419"/>
      <c r="H9857" s="442"/>
      <c r="I9857" s="421">
        <f>IF(AND(E9857&lt;&gt;"",G9857&lt;&gt;""),IF(D9857="",IF(G9857="OH",VLOOKUP(E9857,UPAH!$C$4:$H$31,7,0),VLOOKUP(E9857,#REF!,4,0)),0),0)</f>
        <v>0</v>
      </c>
      <c r="J9857" s="396">
        <f>ROUNDDOWN(J9855+J9856,0)</f>
        <v>0</v>
      </c>
    </row>
    <row r="9858" spans="1:10" ht="13">
      <c r="A9858" s="27"/>
      <c r="B9858" s="110"/>
      <c r="D9858" s="11"/>
      <c r="E9858" s="11"/>
      <c r="H9858" s="443"/>
      <c r="I9858" s="17"/>
      <c r="J9858" s="18"/>
    </row>
    <row r="9859" spans="1:10" ht="13" hidden="1">
      <c r="A9859" s="27"/>
      <c r="B9859" s="110"/>
      <c r="C9859" s="11" t="s">
        <v>1541</v>
      </c>
      <c r="D9859" s="10" t="s">
        <v>1546</v>
      </c>
      <c r="H9859" s="443"/>
    </row>
    <row r="9860" spans="1:10" ht="13.5" hidden="1" thickBot="1">
      <c r="A9860" s="27"/>
      <c r="B9860" s="110"/>
      <c r="D9860" s="401" t="s">
        <v>40</v>
      </c>
      <c r="E9860" s="402" t="s">
        <v>41</v>
      </c>
      <c r="F9860" s="402" t="s">
        <v>42</v>
      </c>
      <c r="G9860" s="403" t="s">
        <v>43</v>
      </c>
      <c r="H9860" s="404" t="s">
        <v>44</v>
      </c>
      <c r="I9860" s="402" t="s">
        <v>474</v>
      </c>
      <c r="J9860" s="405" t="s">
        <v>475</v>
      </c>
    </row>
    <row r="9861" spans="1:10" ht="13" hidden="1">
      <c r="A9861" s="27"/>
      <c r="B9861" s="110"/>
      <c r="D9861" s="444" t="s">
        <v>45</v>
      </c>
      <c r="E9861" s="445" t="s">
        <v>46</v>
      </c>
      <c r="F9861" s="446"/>
      <c r="G9861" s="447"/>
      <c r="H9861" s="448"/>
      <c r="I9861" s="449"/>
      <c r="J9861" s="450"/>
    </row>
    <row r="9862" spans="1:10" ht="13" hidden="1">
      <c r="A9862" s="27"/>
      <c r="B9862" s="110"/>
      <c r="D9862" s="409"/>
      <c r="E9862" s="13" t="s">
        <v>47</v>
      </c>
      <c r="F9862" s="13" t="s">
        <v>1918</v>
      </c>
      <c r="G9862" s="543" t="s">
        <v>48</v>
      </c>
      <c r="H9862" s="548">
        <v>0.33100000000000002</v>
      </c>
      <c r="I9862" s="412">
        <f>IF(AND(E9862&lt;&gt;"",G9862&lt;&gt;""),IF(D9862="",IF(G9862="OH",VLOOKUP(F9862,UPAH!$B$4:$H$101,7,0),VLOOKUP(F9862,#REF!,4,0)),0),0)</f>
        <v>0</v>
      </c>
      <c r="J9862" s="16">
        <f>H9862*I9862</f>
        <v>0</v>
      </c>
    </row>
    <row r="9863" spans="1:10" ht="13" hidden="1">
      <c r="A9863" s="27"/>
      <c r="B9863" s="110"/>
      <c r="D9863" s="409"/>
      <c r="E9863" s="13" t="s">
        <v>283</v>
      </c>
      <c r="F9863" s="13" t="s">
        <v>1913</v>
      </c>
      <c r="G9863" s="543" t="s">
        <v>48</v>
      </c>
      <c r="H9863" s="548">
        <v>0.16600000000000001</v>
      </c>
      <c r="I9863" s="412">
        <f>IF(AND(E9863&lt;&gt;"",G9863&lt;&gt;""),IF(D9863="",IF(G9863="OH",VLOOKUP(F9863,UPAH!$B$4:$H$101,7,0),VLOOKUP(F9863,#REF!,4,0)),0),0)</f>
        <v>0</v>
      </c>
      <c r="J9863" s="16">
        <f>H9863*I9863</f>
        <v>0</v>
      </c>
    </row>
    <row r="9864" spans="1:10" ht="13" hidden="1">
      <c r="A9864" s="27"/>
      <c r="B9864" s="110"/>
      <c r="D9864" s="409"/>
      <c r="E9864" s="13" t="s">
        <v>51</v>
      </c>
      <c r="F9864" s="13" t="s">
        <v>1929</v>
      </c>
      <c r="G9864" s="543" t="s">
        <v>48</v>
      </c>
      <c r="H9864" s="548">
        <v>3.3000000000000002E-2</v>
      </c>
      <c r="I9864" s="412">
        <f>IF(AND(E9864&lt;&gt;"",G9864&lt;&gt;""),IF(D9864="",IF(G9864="OH",VLOOKUP(F9864,UPAH!$B$4:$H$101,7,0),VLOOKUP(F9864,#REF!,4,0)),0),0)</f>
        <v>0</v>
      </c>
      <c r="J9864" s="16">
        <f>H9864*I9864</f>
        <v>0</v>
      </c>
    </row>
    <row r="9865" spans="1:10" ht="13.5" hidden="1" thickBot="1">
      <c r="A9865" s="27"/>
      <c r="B9865" s="110"/>
      <c r="D9865" s="417"/>
      <c r="E9865" s="418"/>
      <c r="F9865" s="418"/>
      <c r="G9865" s="419"/>
      <c r="H9865" s="420" t="s">
        <v>52</v>
      </c>
      <c r="I9865" s="421"/>
      <c r="J9865" s="396">
        <f>SUM(J9861:J9864)</f>
        <v>0</v>
      </c>
    </row>
    <row r="9866" spans="1:10" ht="13" hidden="1">
      <c r="A9866" s="27"/>
      <c r="B9866" s="110"/>
      <c r="D9866" s="406" t="s">
        <v>53</v>
      </c>
      <c r="E9866" s="13" t="s">
        <v>54</v>
      </c>
      <c r="F9866" s="14"/>
      <c r="G9866" s="15"/>
      <c r="H9866" s="451"/>
      <c r="I9866" s="412"/>
      <c r="J9866" s="16"/>
    </row>
    <row r="9867" spans="1:10" ht="13" hidden="1">
      <c r="A9867" s="27"/>
      <c r="B9867" s="110"/>
      <c r="D9867" s="409"/>
      <c r="E9867" s="13" t="s">
        <v>291</v>
      </c>
      <c r="F9867" s="14"/>
      <c r="G9867" s="543" t="s">
        <v>259</v>
      </c>
      <c r="H9867" s="548">
        <v>1</v>
      </c>
      <c r="I9867" s="412" t="s">
        <v>3187</v>
      </c>
      <c r="J9867" s="16" t="e">
        <f>H9867*I9867</f>
        <v>#VALUE!</v>
      </c>
    </row>
    <row r="9868" spans="1:10" ht="13.5" hidden="1" thickBot="1">
      <c r="A9868" s="27"/>
      <c r="B9868" s="110"/>
      <c r="D9868" s="417"/>
      <c r="E9868" s="418"/>
      <c r="F9868" s="418"/>
      <c r="G9868" s="419"/>
      <c r="H9868" s="420" t="s">
        <v>64</v>
      </c>
      <c r="I9868" s="421"/>
      <c r="J9868" s="396" t="e">
        <f>SUM(J9867)</f>
        <v>#VALUE!</v>
      </c>
    </row>
    <row r="9869" spans="1:10" ht="13" hidden="1">
      <c r="A9869" s="27"/>
      <c r="B9869" s="110"/>
      <c r="D9869" s="406" t="s">
        <v>65</v>
      </c>
      <c r="E9869" s="13" t="s">
        <v>66</v>
      </c>
      <c r="F9869" s="14"/>
      <c r="G9869" s="15"/>
      <c r="H9869" s="451"/>
      <c r="I9869" s="412"/>
      <c r="J9869" s="16"/>
    </row>
    <row r="9870" spans="1:10" ht="13" hidden="1">
      <c r="A9870" s="27"/>
      <c r="B9870" s="110"/>
      <c r="D9870" s="409"/>
      <c r="E9870" s="13" t="s">
        <v>410</v>
      </c>
      <c r="F9870" s="14"/>
      <c r="G9870" s="543" t="s">
        <v>285</v>
      </c>
      <c r="H9870" s="548">
        <v>8.5999999999999993E-2</v>
      </c>
      <c r="I9870" s="412">
        <f>Alat!H26</f>
        <v>0</v>
      </c>
      <c r="J9870" s="16">
        <f>H9870*I9870</f>
        <v>0</v>
      </c>
    </row>
    <row r="9871" spans="1:10" ht="13.5" hidden="1" thickBot="1">
      <c r="A9871" s="27"/>
      <c r="B9871" s="110"/>
      <c r="D9871" s="417"/>
      <c r="E9871" s="418"/>
      <c r="F9871" s="418"/>
      <c r="G9871" s="419"/>
      <c r="H9871" s="420" t="s">
        <v>67</v>
      </c>
      <c r="I9871" s="421"/>
      <c r="J9871" s="396">
        <f>J9870</f>
        <v>0</v>
      </c>
    </row>
    <row r="9872" spans="1:10" ht="13" hidden="1">
      <c r="A9872" s="27"/>
      <c r="B9872" s="110"/>
      <c r="D9872" s="444" t="s">
        <v>68</v>
      </c>
      <c r="E9872" s="445" t="s">
        <v>69</v>
      </c>
      <c r="F9872" s="446"/>
      <c r="G9872" s="447"/>
      <c r="H9872" s="448"/>
      <c r="I9872" s="449">
        <f>IF(AND(E9872&lt;&gt;"",G9872&lt;&gt;""),IF(D9872="",IF(G9872="OH",VLOOKUP(E9872,UPAH!$C$4:$H$31,7,0),VLOOKUP(E9872,#REF!,4,0)),0),0)</f>
        <v>0</v>
      </c>
      <c r="J9872" s="16" t="e">
        <f>SUM(J9861:J9871)/2</f>
        <v>#VALUE!</v>
      </c>
    </row>
    <row r="9873" spans="1:10" ht="13" hidden="1">
      <c r="A9873" s="27"/>
      <c r="B9873" s="110"/>
      <c r="D9873" s="431" t="s">
        <v>70</v>
      </c>
      <c r="E9873" s="432" t="s">
        <v>477</v>
      </c>
      <c r="F9873" s="433"/>
      <c r="G9873" s="434"/>
      <c r="H9873" s="22">
        <v>0.1</v>
      </c>
      <c r="I9873" s="436"/>
      <c r="J9873" s="430" t="e">
        <f>H9873*J9872</f>
        <v>#VALUE!</v>
      </c>
    </row>
    <row r="9874" spans="1:10" ht="13.5" hidden="1" thickBot="1">
      <c r="A9874" s="27"/>
      <c r="B9874" s="110"/>
      <c r="D9874" s="401" t="s">
        <v>71</v>
      </c>
      <c r="E9874" s="402" t="s">
        <v>72</v>
      </c>
      <c r="F9874" s="418"/>
      <c r="G9874" s="419"/>
      <c r="H9874" s="442"/>
      <c r="I9874" s="421">
        <f>IF(AND(E9874&lt;&gt;"",G9874&lt;&gt;""),IF(D9874="",IF(G9874="OH",VLOOKUP(E9874,UPAH!$C$4:$H$31,7,0),VLOOKUP(E9874,#REF!,4,0)),0),0)</f>
        <v>0</v>
      </c>
      <c r="J9874" s="396" t="e">
        <f>ROUNDDOWN(J9872+J9873,0)</f>
        <v>#VALUE!</v>
      </c>
    </row>
    <row r="9875" spans="1:10" ht="13" hidden="1">
      <c r="A9875" s="27"/>
      <c r="B9875" s="110"/>
      <c r="D9875" s="11"/>
      <c r="E9875" s="11"/>
      <c r="H9875" s="443"/>
      <c r="I9875" s="17"/>
      <c r="J9875" s="18"/>
    </row>
    <row r="9876" spans="1:10" ht="13" hidden="1">
      <c r="A9876" s="27"/>
      <c r="B9876" s="110"/>
      <c r="C9876" s="11" t="s">
        <v>1542</v>
      </c>
      <c r="D9876" s="10" t="s">
        <v>1545</v>
      </c>
      <c r="H9876" s="443"/>
    </row>
    <row r="9877" spans="1:10" ht="13.5" hidden="1" thickBot="1">
      <c r="A9877" s="27"/>
      <c r="B9877" s="110"/>
      <c r="D9877" s="401" t="s">
        <v>40</v>
      </c>
      <c r="E9877" s="402" t="s">
        <v>41</v>
      </c>
      <c r="F9877" s="402" t="s">
        <v>42</v>
      </c>
      <c r="G9877" s="403" t="s">
        <v>43</v>
      </c>
      <c r="H9877" s="404" t="s">
        <v>44</v>
      </c>
      <c r="I9877" s="402" t="s">
        <v>474</v>
      </c>
      <c r="J9877" s="405" t="s">
        <v>475</v>
      </c>
    </row>
    <row r="9878" spans="1:10" ht="13" hidden="1">
      <c r="A9878" s="27"/>
      <c r="B9878" s="110"/>
      <c r="D9878" s="444" t="s">
        <v>45</v>
      </c>
      <c r="E9878" s="445" t="s">
        <v>46</v>
      </c>
      <c r="F9878" s="446"/>
      <c r="G9878" s="447"/>
      <c r="H9878" s="448"/>
      <c r="I9878" s="449"/>
      <c r="J9878" s="450"/>
    </row>
    <row r="9879" spans="1:10" ht="13" hidden="1">
      <c r="A9879" s="27"/>
      <c r="B9879" s="110"/>
      <c r="D9879" s="409"/>
      <c r="E9879" s="13" t="s">
        <v>47</v>
      </c>
      <c r="F9879" s="13" t="s">
        <v>1918</v>
      </c>
      <c r="G9879" s="543" t="s">
        <v>48</v>
      </c>
      <c r="H9879" s="548">
        <v>0.42</v>
      </c>
      <c r="I9879" s="412">
        <f>IF(AND(E9879&lt;&gt;"",G9879&lt;&gt;""),IF(D9879="",IF(G9879="OH",VLOOKUP(F9879,UPAH!$B$4:$H$101,7,0),VLOOKUP(F9879,#REF!,4,0)),0),0)</f>
        <v>0</v>
      </c>
      <c r="J9879" s="16">
        <f>H9879*I9879</f>
        <v>0</v>
      </c>
    </row>
    <row r="9880" spans="1:10" ht="13" hidden="1">
      <c r="A9880" s="27"/>
      <c r="B9880" s="110"/>
      <c r="D9880" s="409"/>
      <c r="E9880" s="13" t="s">
        <v>283</v>
      </c>
      <c r="F9880" s="13" t="s">
        <v>1913</v>
      </c>
      <c r="G9880" s="543" t="s">
        <v>48</v>
      </c>
      <c r="H9880" s="548">
        <v>0.21</v>
      </c>
      <c r="I9880" s="412">
        <f>IF(AND(E9880&lt;&gt;"",G9880&lt;&gt;""),IF(D9880="",IF(G9880="OH",VLOOKUP(F9880,UPAH!$B$4:$H$101,7,0),VLOOKUP(F9880,#REF!,4,0)),0),0)</f>
        <v>0</v>
      </c>
      <c r="J9880" s="16">
        <f>H9880*I9880</f>
        <v>0</v>
      </c>
    </row>
    <row r="9881" spans="1:10" ht="13" hidden="1">
      <c r="A9881" s="27"/>
      <c r="B9881" s="110"/>
      <c r="D9881" s="409"/>
      <c r="E9881" s="13" t="s">
        <v>51</v>
      </c>
      <c r="F9881" s="13" t="s">
        <v>1929</v>
      </c>
      <c r="G9881" s="543" t="s">
        <v>48</v>
      </c>
      <c r="H9881" s="548">
        <v>4.2000000000000003E-2</v>
      </c>
      <c r="I9881" s="412">
        <f>IF(AND(E9881&lt;&gt;"",G9881&lt;&gt;""),IF(D9881="",IF(G9881="OH",VLOOKUP(F9881,UPAH!$B$4:$H$101,7,0),VLOOKUP(F9881,#REF!,4,0)),0),0)</f>
        <v>0</v>
      </c>
      <c r="J9881" s="16">
        <f>H9881*I9881</f>
        <v>0</v>
      </c>
    </row>
    <row r="9882" spans="1:10" ht="13.5" hidden="1" thickBot="1">
      <c r="A9882" s="27"/>
      <c r="B9882" s="110"/>
      <c r="D9882" s="417"/>
      <c r="E9882" s="418"/>
      <c r="F9882" s="418"/>
      <c r="G9882" s="419"/>
      <c r="H9882" s="420" t="s">
        <v>52</v>
      </c>
      <c r="I9882" s="421"/>
      <c r="J9882" s="396">
        <f>SUM(J9878:J9881)</f>
        <v>0</v>
      </c>
    </row>
    <row r="9883" spans="1:10" ht="13" hidden="1">
      <c r="A9883" s="27"/>
      <c r="B9883" s="110"/>
      <c r="D9883" s="406" t="s">
        <v>53</v>
      </c>
      <c r="E9883" s="13" t="s">
        <v>54</v>
      </c>
      <c r="F9883" s="14"/>
      <c r="G9883" s="15"/>
      <c r="H9883" s="451"/>
      <c r="I9883" s="412"/>
      <c r="J9883" s="16"/>
    </row>
    <row r="9884" spans="1:10" ht="13" hidden="1">
      <c r="A9884" s="27"/>
      <c r="B9884" s="110"/>
      <c r="D9884" s="409"/>
      <c r="E9884" s="13" t="s">
        <v>292</v>
      </c>
      <c r="F9884" s="14"/>
      <c r="G9884" s="543" t="s">
        <v>259</v>
      </c>
      <c r="H9884" s="548">
        <v>1</v>
      </c>
      <c r="I9884" s="412" t="s">
        <v>3187</v>
      </c>
      <c r="J9884" s="16" t="e">
        <f>H9884*I9884</f>
        <v>#VALUE!</v>
      </c>
    </row>
    <row r="9885" spans="1:10" ht="13.5" hidden="1" thickBot="1">
      <c r="A9885" s="27"/>
      <c r="B9885" s="110"/>
      <c r="D9885" s="417"/>
      <c r="E9885" s="418"/>
      <c r="F9885" s="418"/>
      <c r="G9885" s="419"/>
      <c r="H9885" s="420" t="s">
        <v>64</v>
      </c>
      <c r="I9885" s="421"/>
      <c r="J9885" s="396" t="e">
        <f>SUM(J9884)</f>
        <v>#VALUE!</v>
      </c>
    </row>
    <row r="9886" spans="1:10" ht="13" hidden="1">
      <c r="A9886" s="27"/>
      <c r="B9886" s="110"/>
      <c r="D9886" s="406" t="s">
        <v>65</v>
      </c>
      <c r="E9886" s="13" t="s">
        <v>66</v>
      </c>
      <c r="F9886" s="14"/>
      <c r="G9886" s="15"/>
      <c r="H9886" s="451"/>
      <c r="I9886" s="412"/>
      <c r="J9886" s="16"/>
    </row>
    <row r="9887" spans="1:10" ht="13" hidden="1">
      <c r="A9887" s="27"/>
      <c r="B9887" s="110"/>
      <c r="D9887" s="409"/>
      <c r="E9887" s="13" t="s">
        <v>411</v>
      </c>
      <c r="F9887" s="14"/>
      <c r="G9887" s="543" t="s">
        <v>285</v>
      </c>
      <c r="H9887" s="548">
        <v>5.3999999999999999E-2</v>
      </c>
      <c r="I9887" s="412">
        <f>Alat!H26</f>
        <v>0</v>
      </c>
      <c r="J9887" s="16">
        <f>H9887*I9887</f>
        <v>0</v>
      </c>
    </row>
    <row r="9888" spans="1:10" ht="13.5" hidden="1" thickBot="1">
      <c r="A9888" s="27"/>
      <c r="B9888" s="110"/>
      <c r="D9888" s="417"/>
      <c r="E9888" s="418"/>
      <c r="F9888" s="418"/>
      <c r="G9888" s="419"/>
      <c r="H9888" s="420" t="s">
        <v>67</v>
      </c>
      <c r="I9888" s="421"/>
      <c r="J9888" s="396">
        <f>SUM(J9887)</f>
        <v>0</v>
      </c>
    </row>
    <row r="9889" spans="1:10" ht="13" hidden="1">
      <c r="A9889" s="27"/>
      <c r="B9889" s="110"/>
      <c r="D9889" s="444" t="s">
        <v>68</v>
      </c>
      <c r="E9889" s="445" t="s">
        <v>69</v>
      </c>
      <c r="F9889" s="446"/>
      <c r="G9889" s="447"/>
      <c r="H9889" s="448"/>
      <c r="I9889" s="449">
        <f>IF(AND(E9889&lt;&gt;"",G9889&lt;&gt;""),IF(D9889="",IF(G9889="OH",VLOOKUP(E9889,UPAH!$C$4:$H$31,7,0),VLOOKUP(E9889,#REF!,4,0)),0),0)</f>
        <v>0</v>
      </c>
      <c r="J9889" s="16" t="e">
        <f>SUM(J9880:J9888)/2</f>
        <v>#VALUE!</v>
      </c>
    </row>
    <row r="9890" spans="1:10" ht="13" hidden="1">
      <c r="A9890" s="27"/>
      <c r="B9890" s="110"/>
      <c r="D9890" s="431" t="s">
        <v>70</v>
      </c>
      <c r="E9890" s="432" t="s">
        <v>477</v>
      </c>
      <c r="F9890" s="433"/>
      <c r="G9890" s="434"/>
      <c r="H9890" s="22">
        <v>0.1</v>
      </c>
      <c r="I9890" s="436"/>
      <c r="J9890" s="430" t="e">
        <f>H9890*J9889</f>
        <v>#VALUE!</v>
      </c>
    </row>
    <row r="9891" spans="1:10" ht="13.5" hidden="1" thickBot="1">
      <c r="A9891" s="27"/>
      <c r="B9891" s="110"/>
      <c r="D9891" s="401" t="s">
        <v>71</v>
      </c>
      <c r="E9891" s="402" t="s">
        <v>72</v>
      </c>
      <c r="F9891" s="418"/>
      <c r="G9891" s="419"/>
      <c r="H9891" s="442"/>
      <c r="I9891" s="421">
        <f>IF(AND(E9891&lt;&gt;"",G9891&lt;&gt;""),IF(D9891="",IF(G9891="OH",VLOOKUP(E9891,UPAH!$C$4:$H$31,7,0),VLOOKUP(E9891,#REF!,4,0)),0),0)</f>
        <v>0</v>
      </c>
      <c r="J9891" s="396" t="e">
        <f>ROUNDDOWN(J9889+J9890,0)</f>
        <v>#VALUE!</v>
      </c>
    </row>
    <row r="9892" spans="1:10" ht="13" hidden="1">
      <c r="A9892" s="27"/>
      <c r="B9892" s="110"/>
      <c r="D9892" s="11"/>
      <c r="E9892" s="11"/>
      <c r="H9892" s="443"/>
      <c r="I9892" s="17"/>
      <c r="J9892" s="18"/>
    </row>
    <row r="9893" spans="1:10" ht="13" hidden="1">
      <c r="A9893" s="27"/>
      <c r="B9893" s="110"/>
      <c r="C9893" s="11" t="s">
        <v>1543</v>
      </c>
      <c r="D9893" s="10" t="s">
        <v>1544</v>
      </c>
      <c r="H9893" s="443"/>
    </row>
    <row r="9894" spans="1:10" ht="13.5" hidden="1" thickBot="1">
      <c r="A9894" s="27"/>
      <c r="B9894" s="110"/>
      <c r="D9894" s="401" t="s">
        <v>40</v>
      </c>
      <c r="E9894" s="402" t="s">
        <v>41</v>
      </c>
      <c r="F9894" s="402" t="s">
        <v>42</v>
      </c>
      <c r="G9894" s="403" t="s">
        <v>43</v>
      </c>
      <c r="H9894" s="404" t="s">
        <v>44</v>
      </c>
      <c r="I9894" s="402" t="s">
        <v>474</v>
      </c>
      <c r="J9894" s="405" t="s">
        <v>475</v>
      </c>
    </row>
    <row r="9895" spans="1:10" ht="13" hidden="1">
      <c r="A9895" s="27"/>
      <c r="B9895" s="110"/>
      <c r="D9895" s="444" t="s">
        <v>45</v>
      </c>
      <c r="E9895" s="445" t="s">
        <v>46</v>
      </c>
      <c r="F9895" s="446"/>
      <c r="G9895" s="447"/>
      <c r="H9895" s="448"/>
      <c r="I9895" s="449"/>
      <c r="J9895" s="450"/>
    </row>
    <row r="9896" spans="1:10" ht="13" hidden="1">
      <c r="A9896" s="27"/>
      <c r="B9896" s="110"/>
      <c r="D9896" s="409"/>
      <c r="E9896" s="13" t="s">
        <v>47</v>
      </c>
      <c r="F9896" s="13" t="s">
        <v>1918</v>
      </c>
      <c r="G9896" s="543" t="s">
        <v>48</v>
      </c>
      <c r="H9896" s="548">
        <v>0.51800000000000002</v>
      </c>
      <c r="I9896" s="412">
        <f>IF(AND(E9896&lt;&gt;"",G9896&lt;&gt;""),IF(D9896="",IF(G9896="OH",VLOOKUP(F9896,UPAH!$B$4:$H$101,7,0),VLOOKUP(F9896,#REF!,4,0)),0),0)</f>
        <v>0</v>
      </c>
      <c r="J9896" s="16">
        <f>H9896*I9896</f>
        <v>0</v>
      </c>
    </row>
    <row r="9897" spans="1:10" ht="13" hidden="1">
      <c r="A9897" s="27"/>
      <c r="B9897" s="110"/>
      <c r="D9897" s="409"/>
      <c r="E9897" s="13" t="s">
        <v>283</v>
      </c>
      <c r="F9897" s="13" t="s">
        <v>1913</v>
      </c>
      <c r="G9897" s="543" t="s">
        <v>48</v>
      </c>
      <c r="H9897" s="548">
        <v>0.25900000000000001</v>
      </c>
      <c r="I9897" s="412">
        <f>IF(AND(E9897&lt;&gt;"",G9897&lt;&gt;""),IF(D9897="",IF(G9897="OH",VLOOKUP(F9897,UPAH!$B$4:$H$101,7,0),VLOOKUP(F9897,#REF!,4,0)),0),0)</f>
        <v>0</v>
      </c>
      <c r="J9897" s="16">
        <f>H9897*I9897</f>
        <v>0</v>
      </c>
    </row>
    <row r="9898" spans="1:10" ht="13" hidden="1">
      <c r="A9898" s="27"/>
      <c r="B9898" s="110"/>
      <c r="D9898" s="409"/>
      <c r="E9898" s="13" t="s">
        <v>51</v>
      </c>
      <c r="F9898" s="13" t="s">
        <v>1929</v>
      </c>
      <c r="G9898" s="543" t="s">
        <v>48</v>
      </c>
      <c r="H9898" s="548">
        <v>5.1999999999999998E-2</v>
      </c>
      <c r="I9898" s="412">
        <f>IF(AND(E9898&lt;&gt;"",G9898&lt;&gt;""),IF(D9898="",IF(G9898="OH",VLOOKUP(F9898,UPAH!$B$4:$H$101,7,0),VLOOKUP(F9898,#REF!,4,0)),0),0)</f>
        <v>0</v>
      </c>
      <c r="J9898" s="16">
        <f>H9898*I9898</f>
        <v>0</v>
      </c>
    </row>
    <row r="9899" spans="1:10" ht="13.5" hidden="1" thickBot="1">
      <c r="A9899" s="27"/>
      <c r="B9899" s="110"/>
      <c r="D9899" s="417"/>
      <c r="E9899" s="418"/>
      <c r="F9899" s="418"/>
      <c r="G9899" s="419"/>
      <c r="H9899" s="420" t="s">
        <v>52</v>
      </c>
      <c r="I9899" s="421"/>
      <c r="J9899" s="396">
        <f>SUM(J9895:J9898)</f>
        <v>0</v>
      </c>
    </row>
    <row r="9900" spans="1:10" ht="13" hidden="1">
      <c r="A9900" s="27"/>
      <c r="B9900" s="110"/>
      <c r="D9900" s="406" t="s">
        <v>53</v>
      </c>
      <c r="E9900" s="13" t="s">
        <v>54</v>
      </c>
      <c r="F9900" s="14"/>
      <c r="G9900" s="15"/>
      <c r="H9900" s="451"/>
      <c r="I9900" s="412"/>
      <c r="J9900" s="16"/>
    </row>
    <row r="9901" spans="1:10" ht="13" hidden="1">
      <c r="A9901" s="27"/>
      <c r="B9901" s="110"/>
      <c r="D9901" s="409"/>
      <c r="E9901" s="13" t="s">
        <v>293</v>
      </c>
      <c r="F9901" s="14"/>
      <c r="G9901" s="543" t="s">
        <v>259</v>
      </c>
      <c r="H9901" s="548">
        <v>1</v>
      </c>
      <c r="I9901" s="412" t="s">
        <v>3187</v>
      </c>
      <c r="J9901" s="16" t="e">
        <f>H9901*I9901</f>
        <v>#VALUE!</v>
      </c>
    </row>
    <row r="9902" spans="1:10" ht="13.5" hidden="1" thickBot="1">
      <c r="A9902" s="27"/>
      <c r="B9902" s="110"/>
      <c r="D9902" s="417"/>
      <c r="E9902" s="418"/>
      <c r="F9902" s="418"/>
      <c r="G9902" s="419"/>
      <c r="H9902" s="420" t="s">
        <v>64</v>
      </c>
      <c r="I9902" s="421"/>
      <c r="J9902" s="396" t="e">
        <f>SUM(J9901)</f>
        <v>#VALUE!</v>
      </c>
    </row>
    <row r="9903" spans="1:10" ht="13" hidden="1">
      <c r="A9903" s="27"/>
      <c r="B9903" s="110"/>
      <c r="D9903" s="406" t="s">
        <v>65</v>
      </c>
      <c r="E9903" s="13" t="s">
        <v>66</v>
      </c>
      <c r="F9903" s="14"/>
      <c r="G9903" s="15"/>
      <c r="H9903" s="451"/>
      <c r="I9903" s="412"/>
      <c r="J9903" s="16"/>
    </row>
    <row r="9904" spans="1:10" ht="13" hidden="1">
      <c r="A9904" s="27"/>
      <c r="B9904" s="110"/>
      <c r="D9904" s="409"/>
      <c r="E9904" s="13" t="s">
        <v>411</v>
      </c>
      <c r="F9904" s="14"/>
      <c r="G9904" s="543" t="s">
        <v>285</v>
      </c>
      <c r="H9904" s="548">
        <v>6.9000000000000006E-2</v>
      </c>
      <c r="I9904" s="412">
        <f>Alat!H26</f>
        <v>0</v>
      </c>
      <c r="J9904" s="16">
        <f>H9904*I9904</f>
        <v>0</v>
      </c>
    </row>
    <row r="9905" spans="1:10" ht="13.5" hidden="1" thickBot="1">
      <c r="A9905" s="27"/>
      <c r="B9905" s="110"/>
      <c r="D9905" s="417"/>
      <c r="E9905" s="418"/>
      <c r="F9905" s="418"/>
      <c r="G9905" s="419"/>
      <c r="H9905" s="420" t="s">
        <v>67</v>
      </c>
      <c r="I9905" s="421"/>
      <c r="J9905" s="396">
        <f>J9904</f>
        <v>0</v>
      </c>
    </row>
    <row r="9906" spans="1:10" ht="13" hidden="1">
      <c r="A9906" s="27"/>
      <c r="B9906" s="110"/>
      <c r="D9906" s="444" t="s">
        <v>68</v>
      </c>
      <c r="E9906" s="445" t="s">
        <v>69</v>
      </c>
      <c r="F9906" s="446"/>
      <c r="G9906" s="447"/>
      <c r="H9906" s="448"/>
      <c r="I9906" s="449">
        <f>IF(AND(E9906&lt;&gt;"",G9906&lt;&gt;""),IF(D9906="",IF(G9906="OH",VLOOKUP(E9906,UPAH!$C$4:$H$31,7,0),VLOOKUP(E9906,#REF!,4,0)),0),0)</f>
        <v>0</v>
      </c>
      <c r="J9906" s="16" t="e">
        <f>SUM(J9895:J9905)/2</f>
        <v>#VALUE!</v>
      </c>
    </row>
    <row r="9907" spans="1:10" ht="13" hidden="1">
      <c r="A9907" s="27"/>
      <c r="B9907" s="110"/>
      <c r="D9907" s="431" t="s">
        <v>70</v>
      </c>
      <c r="E9907" s="432" t="s">
        <v>477</v>
      </c>
      <c r="F9907" s="433"/>
      <c r="G9907" s="434"/>
      <c r="H9907" s="22">
        <v>0.1</v>
      </c>
      <c r="I9907" s="436"/>
      <c r="J9907" s="430" t="e">
        <f>H9907*J9906</f>
        <v>#VALUE!</v>
      </c>
    </row>
    <row r="9908" spans="1:10" ht="13.5" hidden="1" thickBot="1">
      <c r="A9908" s="27"/>
      <c r="B9908" s="110"/>
      <c r="D9908" s="401" t="s">
        <v>71</v>
      </c>
      <c r="E9908" s="402" t="s">
        <v>72</v>
      </c>
      <c r="F9908" s="418"/>
      <c r="G9908" s="419"/>
      <c r="H9908" s="442"/>
      <c r="I9908" s="421">
        <f>IF(AND(E9908&lt;&gt;"",G9908&lt;&gt;""),IF(D9908="",IF(G9908="OH",VLOOKUP(E9908,UPAH!$C$4:$H$31,7,0),VLOOKUP(E9908,#REF!,4,0)),0),0)</f>
        <v>0</v>
      </c>
      <c r="J9908" s="396" t="e">
        <f>ROUNDDOWN(J9906+J9907,0)</f>
        <v>#VALUE!</v>
      </c>
    </row>
    <row r="9909" spans="1:10" ht="13" hidden="1">
      <c r="A9909" s="27"/>
      <c r="B9909" s="110"/>
      <c r="D9909" s="11"/>
      <c r="E9909" s="11"/>
      <c r="H9909" s="443"/>
      <c r="I9909" s="17"/>
      <c r="J9909" s="18"/>
    </row>
    <row r="9910" spans="1:10" ht="13" hidden="1">
      <c r="A9910" s="27"/>
      <c r="B9910" s="110"/>
      <c r="C9910" s="11" t="s">
        <v>1572</v>
      </c>
      <c r="D9910" s="10" t="s">
        <v>1573</v>
      </c>
      <c r="H9910" s="443"/>
    </row>
    <row r="9911" spans="1:10" ht="13.5" hidden="1" thickBot="1">
      <c r="A9911" s="27"/>
      <c r="B9911" s="110"/>
      <c r="D9911" s="401" t="s">
        <v>40</v>
      </c>
      <c r="E9911" s="402" t="s">
        <v>41</v>
      </c>
      <c r="F9911" s="402" t="s">
        <v>42</v>
      </c>
      <c r="G9911" s="403" t="s">
        <v>43</v>
      </c>
      <c r="H9911" s="404" t="s">
        <v>44</v>
      </c>
      <c r="I9911" s="402" t="s">
        <v>474</v>
      </c>
      <c r="J9911" s="405" t="s">
        <v>475</v>
      </c>
    </row>
    <row r="9912" spans="1:10" ht="13" hidden="1">
      <c r="A9912" s="27"/>
      <c r="B9912" s="110"/>
      <c r="D9912" s="444" t="s">
        <v>45</v>
      </c>
      <c r="E9912" s="445" t="s">
        <v>46</v>
      </c>
      <c r="F9912" s="446"/>
      <c r="G9912" s="447"/>
      <c r="H9912" s="448"/>
      <c r="I9912" s="449"/>
      <c r="J9912" s="450"/>
    </row>
    <row r="9913" spans="1:10" ht="13" hidden="1">
      <c r="A9913" s="27"/>
      <c r="B9913" s="110"/>
      <c r="D9913" s="409"/>
      <c r="E9913" s="13" t="s">
        <v>47</v>
      </c>
      <c r="F9913" s="13" t="s">
        <v>1918</v>
      </c>
      <c r="G9913" s="543" t="s">
        <v>48</v>
      </c>
      <c r="H9913" s="548">
        <v>0.623</v>
      </c>
      <c r="I9913" s="412">
        <f>IF(AND(E9913&lt;&gt;"",G9913&lt;&gt;""),IF(D9913="",IF(G9913="OH",VLOOKUP(F9913,UPAH!$B$4:$H$101,7,0),VLOOKUP(F9913,#REF!,4,0)),0),0)</f>
        <v>0</v>
      </c>
      <c r="J9913" s="16">
        <f>H9913*I9913</f>
        <v>0</v>
      </c>
    </row>
    <row r="9914" spans="1:10" ht="13" hidden="1">
      <c r="A9914" s="27"/>
      <c r="B9914" s="110"/>
      <c r="D9914" s="409"/>
      <c r="E9914" s="13" t="s">
        <v>283</v>
      </c>
      <c r="F9914" s="13" t="s">
        <v>1913</v>
      </c>
      <c r="G9914" s="543" t="s">
        <v>48</v>
      </c>
      <c r="H9914" s="548">
        <v>0.311</v>
      </c>
      <c r="I9914" s="412">
        <f>IF(AND(E9914&lt;&gt;"",G9914&lt;&gt;""),IF(D9914="",IF(G9914="OH",VLOOKUP(F9914,UPAH!$B$4:$H$101,7,0),VLOOKUP(F9914,#REF!,4,0)),0),0)</f>
        <v>0</v>
      </c>
      <c r="J9914" s="16">
        <f>H9914*I9914</f>
        <v>0</v>
      </c>
    </row>
    <row r="9915" spans="1:10" ht="13" hidden="1">
      <c r="A9915" s="27"/>
      <c r="B9915" s="110"/>
      <c r="D9915" s="409"/>
      <c r="E9915" s="13" t="s">
        <v>51</v>
      </c>
      <c r="F9915" s="13" t="s">
        <v>1929</v>
      </c>
      <c r="G9915" s="543" t="s">
        <v>48</v>
      </c>
      <c r="H9915" s="548">
        <v>6.2E-2</v>
      </c>
      <c r="I9915" s="412">
        <f>IF(AND(E9915&lt;&gt;"",G9915&lt;&gt;""),IF(D9915="",IF(G9915="OH",VLOOKUP(F9915,UPAH!$B$4:$H$101,7,0),VLOOKUP(F9915,#REF!,4,0)),0),0)</f>
        <v>0</v>
      </c>
      <c r="J9915" s="16">
        <f>H9915*I9915</f>
        <v>0</v>
      </c>
    </row>
    <row r="9916" spans="1:10" ht="13.5" hidden="1" thickBot="1">
      <c r="A9916" s="27"/>
      <c r="B9916" s="110"/>
      <c r="D9916" s="417"/>
      <c r="E9916" s="418"/>
      <c r="F9916" s="418"/>
      <c r="G9916" s="419"/>
      <c r="H9916" s="420" t="s">
        <v>52</v>
      </c>
      <c r="I9916" s="421"/>
      <c r="J9916" s="396">
        <f>SUM(J9912:J9915)</f>
        <v>0</v>
      </c>
    </row>
    <row r="9917" spans="1:10" ht="13" hidden="1">
      <c r="A9917" s="27"/>
      <c r="B9917" s="110"/>
      <c r="D9917" s="406" t="s">
        <v>53</v>
      </c>
      <c r="E9917" s="13" t="s">
        <v>54</v>
      </c>
      <c r="F9917" s="14"/>
      <c r="G9917" s="15"/>
      <c r="H9917" s="451"/>
      <c r="I9917" s="412"/>
      <c r="J9917" s="16"/>
    </row>
    <row r="9918" spans="1:10" ht="13" hidden="1">
      <c r="A9918" s="27"/>
      <c r="B9918" s="110"/>
      <c r="D9918" s="409"/>
      <c r="E9918" s="13" t="s">
        <v>294</v>
      </c>
      <c r="F9918" s="14"/>
      <c r="G9918" s="543" t="s">
        <v>259</v>
      </c>
      <c r="H9918" s="548">
        <v>1</v>
      </c>
      <c r="I9918" s="412" t="s">
        <v>3187</v>
      </c>
      <c r="J9918" s="16" t="e">
        <f>H9918*I9918</f>
        <v>#VALUE!</v>
      </c>
    </row>
    <row r="9919" spans="1:10" ht="13.5" hidden="1" thickBot="1">
      <c r="A9919" s="27"/>
      <c r="B9919" s="110"/>
      <c r="D9919" s="417"/>
      <c r="E9919" s="418"/>
      <c r="F9919" s="418"/>
      <c r="G9919" s="419"/>
      <c r="H9919" s="420" t="s">
        <v>64</v>
      </c>
      <c r="I9919" s="421"/>
      <c r="J9919" s="396" t="e">
        <f>SUM(J9918)</f>
        <v>#VALUE!</v>
      </c>
    </row>
    <row r="9920" spans="1:10" ht="13" hidden="1">
      <c r="A9920" s="27"/>
      <c r="B9920" s="110"/>
      <c r="D9920" s="406" t="s">
        <v>65</v>
      </c>
      <c r="E9920" s="13" t="s">
        <v>66</v>
      </c>
      <c r="F9920" s="14"/>
      <c r="G9920" s="15"/>
      <c r="H9920" s="451"/>
      <c r="I9920" s="412"/>
      <c r="J9920" s="16"/>
    </row>
    <row r="9921" spans="1:10" ht="13" hidden="1">
      <c r="A9921" s="27"/>
      <c r="B9921" s="110"/>
      <c r="D9921" s="409"/>
      <c r="E9921" s="13" t="s">
        <v>411</v>
      </c>
      <c r="F9921" s="14"/>
      <c r="G9921" s="543" t="s">
        <v>285</v>
      </c>
      <c r="H9921" s="548">
        <v>8.5999999999999993E-2</v>
      </c>
      <c r="I9921" s="412">
        <f>Alat!H26</f>
        <v>0</v>
      </c>
      <c r="J9921" s="16">
        <f>H9921*I9921</f>
        <v>0</v>
      </c>
    </row>
    <row r="9922" spans="1:10" ht="13.5" hidden="1" thickBot="1">
      <c r="A9922" s="27"/>
      <c r="B9922" s="110"/>
      <c r="D9922" s="417"/>
      <c r="E9922" s="418"/>
      <c r="F9922" s="418"/>
      <c r="G9922" s="419"/>
      <c r="H9922" s="420" t="s">
        <v>67</v>
      </c>
      <c r="I9922" s="421"/>
      <c r="J9922" s="396">
        <f>J9921</f>
        <v>0</v>
      </c>
    </row>
    <row r="9923" spans="1:10" ht="13" hidden="1">
      <c r="A9923" s="27"/>
      <c r="B9923" s="110"/>
      <c r="D9923" s="444" t="s">
        <v>68</v>
      </c>
      <c r="E9923" s="445" t="s">
        <v>69</v>
      </c>
      <c r="F9923" s="446"/>
      <c r="G9923" s="447"/>
      <c r="H9923" s="448"/>
      <c r="I9923" s="449">
        <f>IF(AND(E9923&lt;&gt;"",G9923&lt;&gt;""),IF(D9923="",IF(G9923="OH",VLOOKUP(E9923,UPAH!$C$4:$H$31,7,0),VLOOKUP(E9923,#REF!,4,0)),0),0)</f>
        <v>0</v>
      </c>
      <c r="J9923" s="16" t="e">
        <f>SUM(J9912:J9922)/2</f>
        <v>#VALUE!</v>
      </c>
    </row>
    <row r="9924" spans="1:10" ht="13" hidden="1">
      <c r="A9924" s="27"/>
      <c r="B9924" s="110"/>
      <c r="D9924" s="431" t="s">
        <v>70</v>
      </c>
      <c r="E9924" s="432" t="s">
        <v>477</v>
      </c>
      <c r="F9924" s="433"/>
      <c r="G9924" s="434"/>
      <c r="H9924" s="22">
        <v>0.1</v>
      </c>
      <c r="I9924" s="436"/>
      <c r="J9924" s="430" t="e">
        <f>H9924*J9923</f>
        <v>#VALUE!</v>
      </c>
    </row>
    <row r="9925" spans="1:10" ht="13.5" hidden="1" thickBot="1">
      <c r="A9925" s="27"/>
      <c r="B9925" s="110"/>
      <c r="D9925" s="401" t="s">
        <v>71</v>
      </c>
      <c r="E9925" s="402" t="s">
        <v>72</v>
      </c>
      <c r="F9925" s="418"/>
      <c r="G9925" s="419"/>
      <c r="H9925" s="442"/>
      <c r="I9925" s="421">
        <f>IF(AND(E9925&lt;&gt;"",G9925&lt;&gt;""),IF(D9925="",IF(G9925="OH",VLOOKUP(E9925,UPAH!$C$4:$H$31,7,0),VLOOKUP(E9925,#REF!,4,0)),0),0)</f>
        <v>0</v>
      </c>
      <c r="J9925" s="396" t="e">
        <f>ROUNDDOWN(J9923+J9924,0)</f>
        <v>#VALUE!</v>
      </c>
    </row>
    <row r="9926" spans="1:10" ht="13" hidden="1">
      <c r="A9926" s="27"/>
      <c r="B9926" s="110"/>
      <c r="D9926" s="11"/>
      <c r="E9926" s="11"/>
      <c r="H9926" s="443"/>
      <c r="I9926" s="17"/>
      <c r="J9926" s="18"/>
    </row>
    <row r="9927" spans="1:10" ht="13" hidden="1">
      <c r="A9927" s="27"/>
      <c r="B9927" s="110"/>
      <c r="C9927" s="11" t="s">
        <v>1571</v>
      </c>
      <c r="D9927" s="10" t="s">
        <v>1574</v>
      </c>
      <c r="H9927" s="443"/>
    </row>
    <row r="9928" spans="1:10" ht="13.5" hidden="1" thickBot="1">
      <c r="A9928" s="27"/>
      <c r="B9928" s="110"/>
      <c r="D9928" s="401" t="s">
        <v>40</v>
      </c>
      <c r="E9928" s="402" t="s">
        <v>41</v>
      </c>
      <c r="F9928" s="402" t="s">
        <v>42</v>
      </c>
      <c r="G9928" s="403" t="s">
        <v>43</v>
      </c>
      <c r="H9928" s="404" t="s">
        <v>44</v>
      </c>
      <c r="I9928" s="402" t="s">
        <v>474</v>
      </c>
      <c r="J9928" s="405" t="s">
        <v>475</v>
      </c>
    </row>
    <row r="9929" spans="1:10" ht="13" hidden="1">
      <c r="A9929" s="27"/>
      <c r="B9929" s="110"/>
      <c r="D9929" s="444" t="s">
        <v>45</v>
      </c>
      <c r="E9929" s="445" t="s">
        <v>46</v>
      </c>
      <c r="F9929" s="446"/>
      <c r="G9929" s="447"/>
      <c r="H9929" s="448"/>
      <c r="I9929" s="449"/>
      <c r="J9929" s="450"/>
    </row>
    <row r="9930" spans="1:10" ht="13" hidden="1">
      <c r="A9930" s="27"/>
      <c r="B9930" s="110"/>
      <c r="D9930" s="409"/>
      <c r="E9930" s="13" t="s">
        <v>47</v>
      </c>
      <c r="F9930" s="13" t="s">
        <v>1918</v>
      </c>
      <c r="G9930" s="543" t="s">
        <v>48</v>
      </c>
      <c r="H9930" s="548">
        <v>1.089</v>
      </c>
      <c r="I9930" s="412">
        <f>IF(AND(E9930&lt;&gt;"",G9930&lt;&gt;""),IF(D9930="",IF(G9930="OH",VLOOKUP(F9930,UPAH!$B$4:$H$101,7,0),VLOOKUP(F9930,#REF!,4,0)),0),0)</f>
        <v>0</v>
      </c>
      <c r="J9930" s="16">
        <f>H9930*I9930</f>
        <v>0</v>
      </c>
    </row>
    <row r="9931" spans="1:10" ht="13" hidden="1">
      <c r="A9931" s="27"/>
      <c r="B9931" s="110"/>
      <c r="D9931" s="409"/>
      <c r="E9931" s="13" t="s">
        <v>283</v>
      </c>
      <c r="F9931" s="13" t="s">
        <v>1913</v>
      </c>
      <c r="G9931" s="543" t="s">
        <v>48</v>
      </c>
      <c r="H9931" s="548">
        <v>0.54500000000000004</v>
      </c>
      <c r="I9931" s="412">
        <f>IF(AND(E9931&lt;&gt;"",G9931&lt;&gt;""),IF(D9931="",IF(G9931="OH",VLOOKUP(F9931,UPAH!$B$4:$H$101,7,0),VLOOKUP(F9931,#REF!,4,0)),0),0)</f>
        <v>0</v>
      </c>
      <c r="J9931" s="16">
        <f>H9931*I9931</f>
        <v>0</v>
      </c>
    </row>
    <row r="9932" spans="1:10" ht="13" hidden="1">
      <c r="A9932" s="27"/>
      <c r="B9932" s="110"/>
      <c r="D9932" s="409"/>
      <c r="E9932" s="13" t="s">
        <v>51</v>
      </c>
      <c r="F9932" s="13" t="s">
        <v>1929</v>
      </c>
      <c r="G9932" s="543" t="s">
        <v>48</v>
      </c>
      <c r="H9932" s="548">
        <v>0.109</v>
      </c>
      <c r="I9932" s="412">
        <f>IF(AND(E9932&lt;&gt;"",G9932&lt;&gt;""),IF(D9932="",IF(G9932="OH",VLOOKUP(F9932,UPAH!$B$4:$H$101,7,0),VLOOKUP(F9932,#REF!,4,0)),0),0)</f>
        <v>0</v>
      </c>
      <c r="J9932" s="16">
        <f>H9932*I9932</f>
        <v>0</v>
      </c>
    </row>
    <row r="9933" spans="1:10" ht="13.5" hidden="1" thickBot="1">
      <c r="A9933" s="27"/>
      <c r="B9933" s="110"/>
      <c r="D9933" s="417"/>
      <c r="E9933" s="418"/>
      <c r="F9933" s="418"/>
      <c r="G9933" s="419"/>
      <c r="H9933" s="420" t="s">
        <v>52</v>
      </c>
      <c r="I9933" s="421"/>
      <c r="J9933" s="396">
        <f>SUM(J9929:J9932)</f>
        <v>0</v>
      </c>
    </row>
    <row r="9934" spans="1:10" ht="13" hidden="1">
      <c r="A9934" s="27"/>
      <c r="B9934" s="110"/>
      <c r="D9934" s="406" t="s">
        <v>53</v>
      </c>
      <c r="E9934" s="13" t="s">
        <v>54</v>
      </c>
      <c r="F9934" s="14"/>
      <c r="G9934" s="15"/>
      <c r="H9934" s="451"/>
      <c r="I9934" s="412"/>
      <c r="J9934" s="16"/>
    </row>
    <row r="9935" spans="1:10" ht="13" hidden="1">
      <c r="A9935" s="27"/>
      <c r="B9935" s="110"/>
      <c r="D9935" s="409"/>
      <c r="E9935" s="13" t="s">
        <v>295</v>
      </c>
      <c r="F9935" s="14"/>
      <c r="G9935" s="543" t="s">
        <v>259</v>
      </c>
      <c r="H9935" s="548">
        <v>1</v>
      </c>
      <c r="I9935" s="412" t="s">
        <v>3187</v>
      </c>
      <c r="J9935" s="16" t="e">
        <f>H9935*I9935</f>
        <v>#VALUE!</v>
      </c>
    </row>
    <row r="9936" spans="1:10" ht="13.5" hidden="1" thickBot="1">
      <c r="A9936" s="27"/>
      <c r="B9936" s="110"/>
      <c r="D9936" s="417"/>
      <c r="E9936" s="418"/>
      <c r="F9936" s="418"/>
      <c r="G9936" s="419"/>
      <c r="H9936" s="420" t="s">
        <v>64</v>
      </c>
      <c r="I9936" s="421"/>
      <c r="J9936" s="396" t="e">
        <f>SUM(J9935)</f>
        <v>#VALUE!</v>
      </c>
    </row>
    <row r="9937" spans="1:10" ht="13" hidden="1">
      <c r="A9937" s="27"/>
      <c r="B9937" s="110"/>
      <c r="D9937" s="406" t="s">
        <v>65</v>
      </c>
      <c r="E9937" s="13" t="s">
        <v>66</v>
      </c>
      <c r="F9937" s="14"/>
      <c r="G9937" s="15"/>
      <c r="H9937" s="451"/>
      <c r="I9937" s="412"/>
      <c r="J9937" s="16"/>
    </row>
    <row r="9938" spans="1:10" ht="13" hidden="1">
      <c r="A9938" s="27"/>
      <c r="B9938" s="110"/>
      <c r="D9938" s="409"/>
      <c r="E9938" s="13" t="s">
        <v>411</v>
      </c>
      <c r="F9938" s="14"/>
      <c r="G9938" s="543" t="s">
        <v>285</v>
      </c>
      <c r="H9938" s="548">
        <v>0.16</v>
      </c>
      <c r="I9938" s="412">
        <f>Alat!H26</f>
        <v>0</v>
      </c>
      <c r="J9938" s="16">
        <f>H9938*I9938</f>
        <v>0</v>
      </c>
    </row>
    <row r="9939" spans="1:10" ht="13.5" hidden="1" thickBot="1">
      <c r="A9939" s="27"/>
      <c r="B9939" s="110"/>
      <c r="D9939" s="417"/>
      <c r="E9939" s="418"/>
      <c r="F9939" s="418"/>
      <c r="G9939" s="419"/>
      <c r="H9939" s="420" t="s">
        <v>67</v>
      </c>
      <c r="I9939" s="421"/>
      <c r="J9939" s="396">
        <f>J9938</f>
        <v>0</v>
      </c>
    </row>
    <row r="9940" spans="1:10" ht="13" hidden="1">
      <c r="A9940" s="27"/>
      <c r="B9940" s="110"/>
      <c r="D9940" s="444" t="s">
        <v>68</v>
      </c>
      <c r="E9940" s="445" t="s">
        <v>69</v>
      </c>
      <c r="F9940" s="446"/>
      <c r="G9940" s="447"/>
      <c r="H9940" s="448"/>
      <c r="I9940" s="449">
        <f>IF(AND(E9940&lt;&gt;"",G9940&lt;&gt;""),IF(D9940="",IF(G9940="OH",VLOOKUP(E9940,UPAH!$C$4:$H$31,7,0),VLOOKUP(E9940,#REF!,4,0)),0),0)</f>
        <v>0</v>
      </c>
      <c r="J9940" s="16" t="e">
        <f>SUM(J9929:J9939)/2</f>
        <v>#VALUE!</v>
      </c>
    </row>
    <row r="9941" spans="1:10" ht="13" hidden="1">
      <c r="A9941" s="27"/>
      <c r="B9941" s="110"/>
      <c r="D9941" s="431" t="s">
        <v>70</v>
      </c>
      <c r="E9941" s="432" t="s">
        <v>477</v>
      </c>
      <c r="F9941" s="433"/>
      <c r="G9941" s="434"/>
      <c r="H9941" s="22">
        <v>0.1</v>
      </c>
      <c r="I9941" s="436"/>
      <c r="J9941" s="430" t="e">
        <f>H9941*J9940</f>
        <v>#VALUE!</v>
      </c>
    </row>
    <row r="9942" spans="1:10" ht="13.5" hidden="1" thickBot="1">
      <c r="A9942" s="27"/>
      <c r="B9942" s="110"/>
      <c r="D9942" s="401" t="s">
        <v>71</v>
      </c>
      <c r="E9942" s="402" t="s">
        <v>72</v>
      </c>
      <c r="F9942" s="418"/>
      <c r="G9942" s="419"/>
      <c r="H9942" s="442"/>
      <c r="I9942" s="421">
        <f>IF(AND(E9942&lt;&gt;"",G9942&lt;&gt;""),IF(D9942="",IF(G9942="OH",VLOOKUP(E9942,UPAH!$C$4:$H$31,7,0),VLOOKUP(E9942,#REF!,4,0)),0),0)</f>
        <v>0</v>
      </c>
      <c r="J9942" s="396" t="e">
        <f>ROUNDDOWN(J9940+J9941,0)</f>
        <v>#VALUE!</v>
      </c>
    </row>
    <row r="9943" spans="1:10" ht="13" hidden="1">
      <c r="A9943" s="27"/>
      <c r="B9943" s="110"/>
      <c r="D9943" s="11"/>
      <c r="E9943" s="11"/>
      <c r="H9943" s="443"/>
      <c r="I9943" s="17"/>
      <c r="J9943" s="18"/>
    </row>
    <row r="9944" spans="1:10" ht="13" hidden="1">
      <c r="A9944" s="27"/>
      <c r="B9944" s="110"/>
      <c r="C9944" s="11" t="s">
        <v>1570</v>
      </c>
      <c r="D9944" s="10" t="s">
        <v>1575</v>
      </c>
      <c r="H9944" s="443"/>
    </row>
    <row r="9945" spans="1:10" ht="13.5" hidden="1" thickBot="1">
      <c r="A9945" s="27"/>
      <c r="B9945" s="110"/>
      <c r="D9945" s="401" t="s">
        <v>40</v>
      </c>
      <c r="E9945" s="402" t="s">
        <v>41</v>
      </c>
      <c r="F9945" s="402" t="s">
        <v>42</v>
      </c>
      <c r="G9945" s="403" t="s">
        <v>43</v>
      </c>
      <c r="H9945" s="404" t="s">
        <v>44</v>
      </c>
      <c r="I9945" s="402" t="s">
        <v>474</v>
      </c>
      <c r="J9945" s="405" t="s">
        <v>475</v>
      </c>
    </row>
    <row r="9946" spans="1:10" ht="13" hidden="1">
      <c r="A9946" s="27"/>
      <c r="B9946" s="110"/>
      <c r="D9946" s="444" t="s">
        <v>45</v>
      </c>
      <c r="E9946" s="445" t="s">
        <v>46</v>
      </c>
      <c r="F9946" s="446"/>
      <c r="G9946" s="447"/>
      <c r="H9946" s="448"/>
      <c r="I9946" s="449"/>
      <c r="J9946" s="450"/>
    </row>
    <row r="9947" spans="1:10" ht="13" hidden="1">
      <c r="A9947" s="27"/>
      <c r="B9947" s="110"/>
      <c r="D9947" s="409"/>
      <c r="E9947" s="13" t="s">
        <v>47</v>
      </c>
      <c r="F9947" s="13" t="s">
        <v>1918</v>
      </c>
      <c r="G9947" s="543" t="s">
        <v>48</v>
      </c>
      <c r="H9947" s="548">
        <v>1.141</v>
      </c>
      <c r="I9947" s="412">
        <f>IF(AND(E9947&lt;&gt;"",G9947&lt;&gt;""),IF(D9947="",IF(G9947="OH",VLOOKUP(F9947,UPAH!$B$4:$H$101,7,0),VLOOKUP(F9947,#REF!,4,0)),0),0)</f>
        <v>0</v>
      </c>
      <c r="J9947" s="16">
        <f>H9947*I9947</f>
        <v>0</v>
      </c>
    </row>
    <row r="9948" spans="1:10" ht="13" hidden="1">
      <c r="A9948" s="27"/>
      <c r="B9948" s="110"/>
      <c r="D9948" s="409"/>
      <c r="E9948" s="13" t="s">
        <v>283</v>
      </c>
      <c r="F9948" s="13" t="s">
        <v>1913</v>
      </c>
      <c r="G9948" s="543" t="s">
        <v>48</v>
      </c>
      <c r="H9948" s="548">
        <v>0.57099999999999995</v>
      </c>
      <c r="I9948" s="412">
        <f>IF(AND(E9948&lt;&gt;"",G9948&lt;&gt;""),IF(D9948="",IF(G9948="OH",VLOOKUP(F9948,UPAH!$B$4:$H$101,7,0),VLOOKUP(F9948,#REF!,4,0)),0),0)</f>
        <v>0</v>
      </c>
      <c r="J9948" s="16">
        <f>H9948*I9948</f>
        <v>0</v>
      </c>
    </row>
    <row r="9949" spans="1:10" ht="13" hidden="1">
      <c r="A9949" s="27"/>
      <c r="B9949" s="110"/>
      <c r="D9949" s="409"/>
      <c r="E9949" s="13" t="s">
        <v>51</v>
      </c>
      <c r="F9949" s="13" t="s">
        <v>1929</v>
      </c>
      <c r="G9949" s="543" t="s">
        <v>48</v>
      </c>
      <c r="H9949" s="548">
        <v>0.114</v>
      </c>
      <c r="I9949" s="412">
        <f>IF(AND(E9949&lt;&gt;"",G9949&lt;&gt;""),IF(D9949="",IF(G9949="OH",VLOOKUP(F9949,UPAH!$B$4:$H$101,7,0),VLOOKUP(F9949,#REF!,4,0)),0),0)</f>
        <v>0</v>
      </c>
      <c r="J9949" s="16">
        <f>H9949*I9949</f>
        <v>0</v>
      </c>
    </row>
    <row r="9950" spans="1:10" ht="13.5" hidden="1" thickBot="1">
      <c r="A9950" s="27"/>
      <c r="B9950" s="110"/>
      <c r="D9950" s="417"/>
      <c r="E9950" s="418"/>
      <c r="F9950" s="418"/>
      <c r="G9950" s="419"/>
      <c r="H9950" s="420" t="s">
        <v>52</v>
      </c>
      <c r="I9950" s="421"/>
      <c r="J9950" s="396">
        <f>SUM(J9946:J9949)</f>
        <v>0</v>
      </c>
    </row>
    <row r="9951" spans="1:10" ht="13" hidden="1">
      <c r="A9951" s="27"/>
      <c r="B9951" s="110"/>
      <c r="D9951" s="406" t="s">
        <v>53</v>
      </c>
      <c r="E9951" s="13" t="s">
        <v>54</v>
      </c>
      <c r="F9951" s="14"/>
      <c r="G9951" s="15"/>
      <c r="H9951" s="451"/>
      <c r="I9951" s="412"/>
      <c r="J9951" s="16"/>
    </row>
    <row r="9952" spans="1:10" ht="13" hidden="1">
      <c r="A9952" s="27"/>
      <c r="B9952" s="110"/>
      <c r="D9952" s="409"/>
      <c r="E9952" s="13" t="s">
        <v>296</v>
      </c>
      <c r="F9952" s="14"/>
      <c r="G9952" s="543" t="s">
        <v>259</v>
      </c>
      <c r="H9952" s="548">
        <v>1</v>
      </c>
      <c r="I9952" s="412" t="s">
        <v>3187</v>
      </c>
      <c r="J9952" s="16" t="e">
        <f>H9952*I9952</f>
        <v>#VALUE!</v>
      </c>
    </row>
    <row r="9953" spans="1:10" ht="13.5" hidden="1" thickBot="1">
      <c r="A9953" s="27"/>
      <c r="B9953" s="110"/>
      <c r="D9953" s="417"/>
      <c r="E9953" s="418"/>
      <c r="F9953" s="418"/>
      <c r="G9953" s="419"/>
      <c r="H9953" s="420" t="s">
        <v>64</v>
      </c>
      <c r="I9953" s="421"/>
      <c r="J9953" s="396" t="e">
        <f>SUM(J9952)</f>
        <v>#VALUE!</v>
      </c>
    </row>
    <row r="9954" spans="1:10" ht="13" hidden="1">
      <c r="A9954" s="27"/>
      <c r="B9954" s="110"/>
      <c r="D9954" s="406" t="s">
        <v>65</v>
      </c>
      <c r="E9954" s="13" t="s">
        <v>66</v>
      </c>
      <c r="F9954" s="14"/>
      <c r="G9954" s="15"/>
      <c r="H9954" s="451"/>
      <c r="I9954" s="412"/>
      <c r="J9954" s="16"/>
    </row>
    <row r="9955" spans="1:10" ht="13" hidden="1">
      <c r="A9955" s="27"/>
      <c r="B9955" s="110"/>
      <c r="D9955" s="409"/>
      <c r="E9955" s="13" t="s">
        <v>411</v>
      </c>
      <c r="F9955" s="14"/>
      <c r="G9955" s="543" t="s">
        <v>285</v>
      </c>
      <c r="H9955" s="548">
        <v>0.16800000000000001</v>
      </c>
      <c r="I9955" s="412">
        <f>Alat!H26</f>
        <v>0</v>
      </c>
      <c r="J9955" s="16">
        <f>H9955*I9955</f>
        <v>0</v>
      </c>
    </row>
    <row r="9956" spans="1:10" ht="13.5" hidden="1" thickBot="1">
      <c r="A9956" s="27"/>
      <c r="B9956" s="110"/>
      <c r="D9956" s="417"/>
      <c r="E9956" s="418"/>
      <c r="F9956" s="418"/>
      <c r="G9956" s="419"/>
      <c r="H9956" s="420" t="s">
        <v>67</v>
      </c>
      <c r="I9956" s="421"/>
      <c r="J9956" s="396">
        <f>J9955</f>
        <v>0</v>
      </c>
    </row>
    <row r="9957" spans="1:10" ht="13" hidden="1">
      <c r="A9957" s="27"/>
      <c r="B9957" s="110"/>
      <c r="D9957" s="444" t="s">
        <v>68</v>
      </c>
      <c r="E9957" s="445" t="s">
        <v>69</v>
      </c>
      <c r="F9957" s="446"/>
      <c r="G9957" s="447"/>
      <c r="H9957" s="448"/>
      <c r="I9957" s="449">
        <f>IF(AND(E9957&lt;&gt;"",G9957&lt;&gt;""),IF(D9957="",IF(G9957="OH",VLOOKUP(E9957,UPAH!$C$4:$H$31,7,0),VLOOKUP(E9957,#REF!,4,0)),0),0)</f>
        <v>0</v>
      </c>
      <c r="J9957" s="16" t="e">
        <f>SUM(J9946:J9956)/2</f>
        <v>#VALUE!</v>
      </c>
    </row>
    <row r="9958" spans="1:10" ht="13" hidden="1">
      <c r="A9958" s="27"/>
      <c r="B9958" s="110"/>
      <c r="D9958" s="431" t="s">
        <v>70</v>
      </c>
      <c r="E9958" s="432" t="s">
        <v>477</v>
      </c>
      <c r="F9958" s="433"/>
      <c r="G9958" s="434"/>
      <c r="H9958" s="22">
        <v>0.1</v>
      </c>
      <c r="I9958" s="436"/>
      <c r="J9958" s="430" t="e">
        <f>H9958*J9957</f>
        <v>#VALUE!</v>
      </c>
    </row>
    <row r="9959" spans="1:10" ht="13.5" hidden="1" thickBot="1">
      <c r="A9959" s="27"/>
      <c r="B9959" s="110"/>
      <c r="D9959" s="401" t="s">
        <v>71</v>
      </c>
      <c r="E9959" s="402" t="s">
        <v>72</v>
      </c>
      <c r="F9959" s="418"/>
      <c r="G9959" s="419"/>
      <c r="H9959" s="442"/>
      <c r="I9959" s="421">
        <f>IF(AND(E9959&lt;&gt;"",G9959&lt;&gt;""),IF(D9959="",IF(G9959="OH",VLOOKUP(E9959,UPAH!$C$4:$H$31,7,0),VLOOKUP(E9959,#REF!,4,0)),0),0)</f>
        <v>0</v>
      </c>
      <c r="J9959" s="396" t="e">
        <f>ROUNDDOWN(J9957+J9958,0)</f>
        <v>#VALUE!</v>
      </c>
    </row>
    <row r="9960" spans="1:10" ht="13" hidden="1">
      <c r="A9960" s="27"/>
      <c r="B9960" s="110"/>
      <c r="D9960" s="11"/>
      <c r="E9960" s="11"/>
      <c r="H9960" s="443"/>
      <c r="I9960" s="17"/>
      <c r="J9960" s="18"/>
    </row>
    <row r="9961" spans="1:10" ht="13" hidden="1">
      <c r="A9961" s="27"/>
      <c r="B9961" s="110"/>
      <c r="C9961" s="11" t="s">
        <v>1569</v>
      </c>
      <c r="D9961" s="10" t="s">
        <v>1576</v>
      </c>
      <c r="H9961" s="443"/>
    </row>
    <row r="9962" spans="1:10" ht="13.5" hidden="1" thickBot="1">
      <c r="A9962" s="27"/>
      <c r="B9962" s="110"/>
      <c r="D9962" s="401" t="s">
        <v>40</v>
      </c>
      <c r="E9962" s="402" t="s">
        <v>41</v>
      </c>
      <c r="F9962" s="402" t="s">
        <v>42</v>
      </c>
      <c r="G9962" s="403" t="s">
        <v>43</v>
      </c>
      <c r="H9962" s="404" t="s">
        <v>44</v>
      </c>
      <c r="I9962" s="402" t="s">
        <v>474</v>
      </c>
      <c r="J9962" s="405" t="s">
        <v>475</v>
      </c>
    </row>
    <row r="9963" spans="1:10" ht="13" hidden="1">
      <c r="A9963" s="27"/>
      <c r="B9963" s="110"/>
      <c r="D9963" s="444" t="s">
        <v>45</v>
      </c>
      <c r="E9963" s="445" t="s">
        <v>46</v>
      </c>
      <c r="F9963" s="446"/>
      <c r="G9963" s="447"/>
      <c r="H9963" s="448"/>
      <c r="I9963" s="449"/>
      <c r="J9963" s="450"/>
    </row>
    <row r="9964" spans="1:10" ht="13" hidden="1">
      <c r="A9964" s="27"/>
      <c r="B9964" s="110"/>
      <c r="D9964" s="409"/>
      <c r="E9964" s="13" t="s">
        <v>47</v>
      </c>
      <c r="F9964" s="13" t="s">
        <v>1918</v>
      </c>
      <c r="G9964" s="543" t="s">
        <v>48</v>
      </c>
      <c r="H9964" s="548">
        <v>1.2849999999999999</v>
      </c>
      <c r="I9964" s="412">
        <f>IF(AND(E9964&lt;&gt;"",G9964&lt;&gt;""),IF(D9964="",IF(G9964="OH",VLOOKUP(F9964,UPAH!$B$4:$H$101,7,0),VLOOKUP(F9964,#REF!,4,0)),0),0)</f>
        <v>0</v>
      </c>
      <c r="J9964" s="16">
        <f>H9964*I9964</f>
        <v>0</v>
      </c>
    </row>
    <row r="9965" spans="1:10" ht="13" hidden="1">
      <c r="A9965" s="27"/>
      <c r="B9965" s="110"/>
      <c r="D9965" s="409"/>
      <c r="E9965" s="13" t="s">
        <v>283</v>
      </c>
      <c r="F9965" s="13" t="s">
        <v>1913</v>
      </c>
      <c r="G9965" s="543" t="s">
        <v>48</v>
      </c>
      <c r="H9965" s="548">
        <v>0.64300000000000002</v>
      </c>
      <c r="I9965" s="412">
        <f>IF(AND(E9965&lt;&gt;"",G9965&lt;&gt;""),IF(D9965="",IF(G9965="OH",VLOOKUP(F9965,UPAH!$B$4:$H$101,7,0),VLOOKUP(F9965,#REF!,4,0)),0),0)</f>
        <v>0</v>
      </c>
      <c r="J9965" s="16">
        <f>H9965*I9965</f>
        <v>0</v>
      </c>
    </row>
    <row r="9966" spans="1:10" ht="13" hidden="1">
      <c r="A9966" s="27"/>
      <c r="B9966" s="110"/>
      <c r="D9966" s="409"/>
      <c r="E9966" s="13" t="s">
        <v>51</v>
      </c>
      <c r="F9966" s="13" t="s">
        <v>1929</v>
      </c>
      <c r="G9966" s="543" t="s">
        <v>48</v>
      </c>
      <c r="H9966" s="548">
        <v>0.129</v>
      </c>
      <c r="I9966" s="412">
        <f>IF(AND(E9966&lt;&gt;"",G9966&lt;&gt;""),IF(D9966="",IF(G9966="OH",VLOOKUP(F9966,UPAH!$B$4:$H$101,7,0),VLOOKUP(F9966,#REF!,4,0)),0),0)</f>
        <v>0</v>
      </c>
      <c r="J9966" s="16">
        <f>H9966*I9966</f>
        <v>0</v>
      </c>
    </row>
    <row r="9967" spans="1:10" ht="13.5" hidden="1" thickBot="1">
      <c r="A9967" s="27"/>
      <c r="B9967" s="110"/>
      <c r="D9967" s="417"/>
      <c r="E9967" s="418"/>
      <c r="F9967" s="418"/>
      <c r="G9967" s="419"/>
      <c r="H9967" s="420" t="s">
        <v>52</v>
      </c>
      <c r="I9967" s="421"/>
      <c r="J9967" s="396">
        <f>SUM(J9963:J9966)</f>
        <v>0</v>
      </c>
    </row>
    <row r="9968" spans="1:10" ht="13" hidden="1">
      <c r="A9968" s="27"/>
      <c r="B9968" s="110"/>
      <c r="D9968" s="406" t="s">
        <v>53</v>
      </c>
      <c r="E9968" s="13" t="s">
        <v>54</v>
      </c>
      <c r="F9968" s="14"/>
      <c r="G9968" s="15"/>
      <c r="H9968" s="451"/>
      <c r="I9968" s="412"/>
      <c r="J9968" s="16"/>
    </row>
    <row r="9969" spans="1:10" ht="13" hidden="1">
      <c r="A9969" s="27"/>
      <c r="B9969" s="110"/>
      <c r="D9969" s="409"/>
      <c r="E9969" s="13" t="s">
        <v>297</v>
      </c>
      <c r="F9969" s="14"/>
      <c r="G9969" s="543" t="s">
        <v>259</v>
      </c>
      <c r="H9969" s="548">
        <v>1</v>
      </c>
      <c r="I9969" s="412" t="s">
        <v>3187</v>
      </c>
      <c r="J9969" s="16" t="e">
        <f>H9969*I9969</f>
        <v>#VALUE!</v>
      </c>
    </row>
    <row r="9970" spans="1:10" ht="13.5" hidden="1" thickBot="1">
      <c r="A9970" s="27"/>
      <c r="B9970" s="110"/>
      <c r="D9970" s="417"/>
      <c r="E9970" s="418"/>
      <c r="F9970" s="418"/>
      <c r="G9970" s="419"/>
      <c r="H9970" s="420" t="s">
        <v>64</v>
      </c>
      <c r="I9970" s="421"/>
      <c r="J9970" s="396" t="e">
        <f>SUM(J9969)</f>
        <v>#VALUE!</v>
      </c>
    </row>
    <row r="9971" spans="1:10" ht="13" hidden="1">
      <c r="A9971" s="27"/>
      <c r="B9971" s="110"/>
      <c r="D9971" s="406" t="s">
        <v>65</v>
      </c>
      <c r="E9971" s="13" t="s">
        <v>66</v>
      </c>
      <c r="F9971" s="14"/>
      <c r="G9971" s="15"/>
      <c r="H9971" s="451"/>
      <c r="I9971" s="412"/>
      <c r="J9971" s="16"/>
    </row>
    <row r="9972" spans="1:10" ht="13" hidden="1">
      <c r="A9972" s="27"/>
      <c r="B9972" s="110"/>
      <c r="D9972" s="409"/>
      <c r="E9972" s="13" t="s">
        <v>411</v>
      </c>
      <c r="F9972" s="14"/>
      <c r="G9972" s="543" t="s">
        <v>285</v>
      </c>
      <c r="H9972" s="548">
        <v>0.191</v>
      </c>
      <c r="I9972" s="412">
        <f>Alat!H26</f>
        <v>0</v>
      </c>
      <c r="J9972" s="16">
        <f>H9972*I9972</f>
        <v>0</v>
      </c>
    </row>
    <row r="9973" spans="1:10" ht="13.5" hidden="1" thickBot="1">
      <c r="A9973" s="27"/>
      <c r="B9973" s="110"/>
      <c r="D9973" s="417"/>
      <c r="E9973" s="418"/>
      <c r="F9973" s="418"/>
      <c r="G9973" s="419"/>
      <c r="H9973" s="420" t="s">
        <v>67</v>
      </c>
      <c r="I9973" s="421"/>
      <c r="J9973" s="396">
        <f>J9972</f>
        <v>0</v>
      </c>
    </row>
    <row r="9974" spans="1:10" ht="13" hidden="1">
      <c r="A9974" s="27"/>
      <c r="B9974" s="110"/>
      <c r="D9974" s="444" t="s">
        <v>68</v>
      </c>
      <c r="E9974" s="445" t="s">
        <v>69</v>
      </c>
      <c r="F9974" s="446"/>
      <c r="G9974" s="447"/>
      <c r="H9974" s="448"/>
      <c r="I9974" s="449">
        <f>IF(AND(E9974&lt;&gt;"",G9974&lt;&gt;""),IF(D9974="",IF(G9974="OH",VLOOKUP(E9974,UPAH!$C$4:$H$31,7,0),VLOOKUP(E9974,#REF!,4,0)),0),0)</f>
        <v>0</v>
      </c>
      <c r="J9974" s="16" t="e">
        <f>SUM(J9963:J9973)/2</f>
        <v>#VALUE!</v>
      </c>
    </row>
    <row r="9975" spans="1:10" ht="13" hidden="1">
      <c r="A9975" s="27"/>
      <c r="B9975" s="110"/>
      <c r="D9975" s="431" t="s">
        <v>70</v>
      </c>
      <c r="E9975" s="432" t="s">
        <v>477</v>
      </c>
      <c r="F9975" s="433"/>
      <c r="G9975" s="434"/>
      <c r="H9975" s="22">
        <v>0.1</v>
      </c>
      <c r="I9975" s="436"/>
      <c r="J9975" s="430" t="e">
        <f>H9975*J9974</f>
        <v>#VALUE!</v>
      </c>
    </row>
    <row r="9976" spans="1:10" ht="13.5" hidden="1" thickBot="1">
      <c r="A9976" s="27"/>
      <c r="B9976" s="110"/>
      <c r="D9976" s="401" t="s">
        <v>71</v>
      </c>
      <c r="E9976" s="402" t="s">
        <v>72</v>
      </c>
      <c r="F9976" s="418"/>
      <c r="G9976" s="419"/>
      <c r="H9976" s="442"/>
      <c r="I9976" s="421">
        <f>IF(AND(E9976&lt;&gt;"",G9976&lt;&gt;""),IF(D9976="",IF(G9976="OH",VLOOKUP(E9976,UPAH!$C$4:$H$31,7,0),VLOOKUP(E9976,#REF!,4,0)),0),0)</f>
        <v>0</v>
      </c>
      <c r="J9976" s="396" t="e">
        <f>ROUNDDOWN(J9974+J9975,0)</f>
        <v>#VALUE!</v>
      </c>
    </row>
    <row r="9977" spans="1:10" ht="13" hidden="1">
      <c r="A9977" s="27"/>
      <c r="B9977" s="110"/>
      <c r="D9977" s="11"/>
      <c r="E9977" s="11"/>
      <c r="H9977" s="443"/>
      <c r="I9977" s="17"/>
      <c r="J9977" s="18"/>
    </row>
    <row r="9978" spans="1:10" ht="13" hidden="1">
      <c r="A9978" s="27"/>
      <c r="B9978" s="110"/>
      <c r="C9978" s="11" t="s">
        <v>1568</v>
      </c>
      <c r="D9978" s="10" t="s">
        <v>1577</v>
      </c>
      <c r="H9978" s="443"/>
    </row>
    <row r="9979" spans="1:10" ht="13.5" hidden="1" thickBot="1">
      <c r="A9979" s="27"/>
      <c r="B9979" s="110"/>
      <c r="D9979" s="401" t="s">
        <v>40</v>
      </c>
      <c r="E9979" s="402" t="s">
        <v>41</v>
      </c>
      <c r="F9979" s="402" t="s">
        <v>42</v>
      </c>
      <c r="G9979" s="403" t="s">
        <v>43</v>
      </c>
      <c r="H9979" s="404" t="s">
        <v>44</v>
      </c>
      <c r="I9979" s="402" t="s">
        <v>474</v>
      </c>
      <c r="J9979" s="405" t="s">
        <v>475</v>
      </c>
    </row>
    <row r="9980" spans="1:10" ht="13" hidden="1">
      <c r="A9980" s="27"/>
      <c r="B9980" s="110"/>
      <c r="D9980" s="444" t="s">
        <v>45</v>
      </c>
      <c r="E9980" s="445" t="s">
        <v>46</v>
      </c>
      <c r="F9980" s="446"/>
      <c r="G9980" s="447"/>
      <c r="H9980" s="448"/>
      <c r="I9980" s="449"/>
      <c r="J9980" s="450"/>
    </row>
    <row r="9981" spans="1:10" ht="13" hidden="1">
      <c r="A9981" s="27"/>
      <c r="B9981" s="110"/>
      <c r="D9981" s="409"/>
      <c r="E9981" s="13" t="s">
        <v>47</v>
      </c>
      <c r="F9981" s="13" t="s">
        <v>1918</v>
      </c>
      <c r="G9981" s="543" t="s">
        <v>48</v>
      </c>
      <c r="H9981" s="548">
        <v>1.429</v>
      </c>
      <c r="I9981" s="412">
        <f>IF(AND(E9981&lt;&gt;"",G9981&lt;&gt;""),IF(D9981="",IF(G9981="OH",VLOOKUP(F9981,UPAH!$B$4:$H$101,7,0),VLOOKUP(F9981,#REF!,4,0)),0),0)</f>
        <v>0</v>
      </c>
      <c r="J9981" s="16">
        <f>H9981*I9981</f>
        <v>0</v>
      </c>
    </row>
    <row r="9982" spans="1:10" ht="13" hidden="1">
      <c r="A9982" s="27"/>
      <c r="B9982" s="110"/>
      <c r="D9982" s="409"/>
      <c r="E9982" s="13" t="s">
        <v>283</v>
      </c>
      <c r="F9982" s="13" t="s">
        <v>1913</v>
      </c>
      <c r="G9982" s="543" t="s">
        <v>48</v>
      </c>
      <c r="H9982" s="548">
        <v>0.71499999999999997</v>
      </c>
      <c r="I9982" s="412">
        <f>IF(AND(E9982&lt;&gt;"",G9982&lt;&gt;""),IF(D9982="",IF(G9982="OH",VLOOKUP(F9982,UPAH!$B$4:$H$101,7,0),VLOOKUP(F9982,#REF!,4,0)),0),0)</f>
        <v>0</v>
      </c>
      <c r="J9982" s="16">
        <f>H9982*I9982</f>
        <v>0</v>
      </c>
    </row>
    <row r="9983" spans="1:10" ht="13" hidden="1">
      <c r="A9983" s="27"/>
      <c r="B9983" s="110"/>
      <c r="D9983" s="409"/>
      <c r="E9983" s="13" t="s">
        <v>51</v>
      </c>
      <c r="F9983" s="13" t="s">
        <v>1929</v>
      </c>
      <c r="G9983" s="543" t="s">
        <v>48</v>
      </c>
      <c r="H9983" s="548">
        <v>0.14299999999999999</v>
      </c>
      <c r="I9983" s="412">
        <f>IF(AND(E9983&lt;&gt;"",G9983&lt;&gt;""),IF(D9983="",IF(G9983="OH",VLOOKUP(F9983,UPAH!$B$4:$H$101,7,0),VLOOKUP(F9983,#REF!,4,0)),0),0)</f>
        <v>0</v>
      </c>
      <c r="J9983" s="16">
        <f>H9983*I9983</f>
        <v>0</v>
      </c>
    </row>
    <row r="9984" spans="1:10" ht="13.5" hidden="1" thickBot="1">
      <c r="A9984" s="27"/>
      <c r="B9984" s="110"/>
      <c r="D9984" s="417"/>
      <c r="E9984" s="418"/>
      <c r="F9984" s="418"/>
      <c r="G9984" s="419"/>
      <c r="H9984" s="420" t="s">
        <v>52</v>
      </c>
      <c r="I9984" s="421"/>
      <c r="J9984" s="396">
        <f>SUM(J9980:J9983)</f>
        <v>0</v>
      </c>
    </row>
    <row r="9985" spans="1:10" ht="13" hidden="1">
      <c r="A9985" s="27"/>
      <c r="B9985" s="110"/>
      <c r="D9985" s="406" t="s">
        <v>53</v>
      </c>
      <c r="E9985" s="13" t="s">
        <v>54</v>
      </c>
      <c r="F9985" s="14"/>
      <c r="G9985" s="15"/>
      <c r="H9985" s="451"/>
      <c r="I9985" s="412"/>
      <c r="J9985" s="16"/>
    </row>
    <row r="9986" spans="1:10" ht="13" hidden="1">
      <c r="A9986" s="27"/>
      <c r="B9986" s="110"/>
      <c r="D9986" s="409"/>
      <c r="E9986" s="13" t="s">
        <v>347</v>
      </c>
      <c r="F9986" s="14"/>
      <c r="G9986" s="543" t="s">
        <v>259</v>
      </c>
      <c r="H9986" s="548">
        <v>1</v>
      </c>
      <c r="I9986" s="412" t="s">
        <v>3187</v>
      </c>
      <c r="J9986" s="16" t="e">
        <f>H9986*I9986</f>
        <v>#VALUE!</v>
      </c>
    </row>
    <row r="9987" spans="1:10" ht="13.5" hidden="1" thickBot="1">
      <c r="A9987" s="27"/>
      <c r="B9987" s="110"/>
      <c r="D9987" s="417"/>
      <c r="E9987" s="418"/>
      <c r="F9987" s="418"/>
      <c r="G9987" s="419"/>
      <c r="H9987" s="420" t="s">
        <v>64</v>
      </c>
      <c r="I9987" s="421"/>
      <c r="J9987" s="396" t="e">
        <f>SUM(J9986)</f>
        <v>#VALUE!</v>
      </c>
    </row>
    <row r="9988" spans="1:10" ht="13" hidden="1">
      <c r="A9988" s="27"/>
      <c r="B9988" s="110"/>
      <c r="D9988" s="406" t="s">
        <v>65</v>
      </c>
      <c r="E9988" s="13" t="s">
        <v>66</v>
      </c>
      <c r="F9988" s="14"/>
      <c r="G9988" s="15"/>
      <c r="H9988" s="451"/>
      <c r="I9988" s="412"/>
      <c r="J9988" s="16"/>
    </row>
    <row r="9989" spans="1:10" ht="13" hidden="1">
      <c r="A9989" s="27"/>
      <c r="B9989" s="110"/>
      <c r="D9989" s="409"/>
      <c r="E9989" s="13" t="s">
        <v>411</v>
      </c>
      <c r="F9989" s="14"/>
      <c r="G9989" s="543" t="s">
        <v>285</v>
      </c>
      <c r="H9989" s="548">
        <v>0.21299999999999999</v>
      </c>
      <c r="I9989" s="412">
        <f>Alat!H26</f>
        <v>0</v>
      </c>
      <c r="J9989" s="16">
        <f>H9989*I9989</f>
        <v>0</v>
      </c>
    </row>
    <row r="9990" spans="1:10" ht="13.5" hidden="1" thickBot="1">
      <c r="A9990" s="27"/>
      <c r="B9990" s="110"/>
      <c r="D9990" s="417"/>
      <c r="E9990" s="418"/>
      <c r="F9990" s="418"/>
      <c r="G9990" s="419"/>
      <c r="H9990" s="420" t="s">
        <v>67</v>
      </c>
      <c r="I9990" s="421"/>
      <c r="J9990" s="396">
        <f>J9989</f>
        <v>0</v>
      </c>
    </row>
    <row r="9991" spans="1:10" ht="13" hidden="1">
      <c r="A9991" s="27"/>
      <c r="B9991" s="110"/>
      <c r="D9991" s="444" t="s">
        <v>68</v>
      </c>
      <c r="E9991" s="445" t="s">
        <v>69</v>
      </c>
      <c r="F9991" s="446"/>
      <c r="G9991" s="447"/>
      <c r="H9991" s="448"/>
      <c r="I9991" s="449">
        <f>IF(AND(E9991&lt;&gt;"",G9991&lt;&gt;""),IF(D9991="",IF(G9991="OH",VLOOKUP(E9991,UPAH!$C$4:$H$31,7,0),VLOOKUP(E9991,#REF!,4,0)),0),0)</f>
        <v>0</v>
      </c>
      <c r="J9991" s="16" t="e">
        <f>SUM(J9980:J9990)/2</f>
        <v>#VALUE!</v>
      </c>
    </row>
    <row r="9992" spans="1:10" ht="13" hidden="1">
      <c r="A9992" s="27"/>
      <c r="B9992" s="110"/>
      <c r="D9992" s="431" t="s">
        <v>70</v>
      </c>
      <c r="E9992" s="432" t="s">
        <v>477</v>
      </c>
      <c r="F9992" s="433"/>
      <c r="G9992" s="434"/>
      <c r="H9992" s="22">
        <v>0.1</v>
      </c>
      <c r="I9992" s="436"/>
      <c r="J9992" s="430" t="e">
        <f>H9992*J9991</f>
        <v>#VALUE!</v>
      </c>
    </row>
    <row r="9993" spans="1:10" ht="13.5" hidden="1" thickBot="1">
      <c r="A9993" s="27"/>
      <c r="B9993" s="110"/>
      <c r="D9993" s="401" t="s">
        <v>71</v>
      </c>
      <c r="E9993" s="402" t="s">
        <v>72</v>
      </c>
      <c r="F9993" s="418"/>
      <c r="G9993" s="419"/>
      <c r="H9993" s="442"/>
      <c r="I9993" s="421">
        <f>IF(AND(E9993&lt;&gt;"",G9993&lt;&gt;""),IF(D9993="",IF(G9993="OH",VLOOKUP(E9993,UPAH!$C$4:$H$31,7,0),VLOOKUP(E9993,#REF!,4,0)),0),0)</f>
        <v>0</v>
      </c>
      <c r="J9993" s="396" t="e">
        <f>ROUNDDOWN(J9991+J9992,0)</f>
        <v>#VALUE!</v>
      </c>
    </row>
    <row r="9994" spans="1:10" ht="13" hidden="1">
      <c r="A9994" s="27"/>
      <c r="B9994" s="110"/>
      <c r="D9994" s="11"/>
      <c r="E9994" s="11"/>
      <c r="H9994" s="443"/>
      <c r="I9994" s="17"/>
      <c r="J9994" s="18"/>
    </row>
    <row r="9995" spans="1:10" ht="13" hidden="1">
      <c r="A9995" s="27"/>
      <c r="B9995" s="110"/>
      <c r="C9995" s="11" t="s">
        <v>1567</v>
      </c>
      <c r="D9995" s="10" t="s">
        <v>1578</v>
      </c>
      <c r="H9995" s="443"/>
    </row>
    <row r="9996" spans="1:10" ht="13.5" hidden="1" thickBot="1">
      <c r="A9996" s="27"/>
      <c r="B9996" s="110"/>
      <c r="D9996" s="401" t="s">
        <v>40</v>
      </c>
      <c r="E9996" s="402" t="s">
        <v>41</v>
      </c>
      <c r="F9996" s="402" t="s">
        <v>42</v>
      </c>
      <c r="G9996" s="403" t="s">
        <v>43</v>
      </c>
      <c r="H9996" s="404" t="s">
        <v>44</v>
      </c>
      <c r="I9996" s="402" t="s">
        <v>474</v>
      </c>
      <c r="J9996" s="405" t="s">
        <v>475</v>
      </c>
    </row>
    <row r="9997" spans="1:10" ht="13" hidden="1">
      <c r="A9997" s="27"/>
      <c r="B9997" s="110"/>
      <c r="D9997" s="444" t="s">
        <v>45</v>
      </c>
      <c r="E9997" s="445" t="s">
        <v>46</v>
      </c>
      <c r="F9997" s="446"/>
      <c r="G9997" s="447"/>
      <c r="H9997" s="448"/>
      <c r="I9997" s="449"/>
      <c r="J9997" s="450"/>
    </row>
    <row r="9998" spans="1:10" ht="13" hidden="1">
      <c r="A9998" s="27"/>
      <c r="B9998" s="110"/>
      <c r="D9998" s="409"/>
      <c r="E9998" s="13" t="s">
        <v>47</v>
      </c>
      <c r="F9998" s="13" t="s">
        <v>1918</v>
      </c>
      <c r="G9998" s="543" t="s">
        <v>48</v>
      </c>
      <c r="H9998" s="548">
        <v>1.573</v>
      </c>
      <c r="I9998" s="412">
        <f>IF(AND(E9998&lt;&gt;"",G9998&lt;&gt;""),IF(D9998="",IF(G9998="OH",VLOOKUP(F9998,UPAH!$B$4:$H$101,7,0),VLOOKUP(F9998,#REF!,4,0)),0),0)</f>
        <v>0</v>
      </c>
      <c r="J9998" s="16">
        <f>H9998*I9998</f>
        <v>0</v>
      </c>
    </row>
    <row r="9999" spans="1:10" ht="13" hidden="1">
      <c r="A9999" s="27"/>
      <c r="B9999" s="110"/>
      <c r="D9999" s="409"/>
      <c r="E9999" s="13" t="s">
        <v>283</v>
      </c>
      <c r="F9999" s="13" t="s">
        <v>1913</v>
      </c>
      <c r="G9999" s="543" t="s">
        <v>48</v>
      </c>
      <c r="H9999" s="548">
        <v>0.78700000000000003</v>
      </c>
      <c r="I9999" s="412">
        <f>IF(AND(E9999&lt;&gt;"",G9999&lt;&gt;""),IF(D9999="",IF(G9999="OH",VLOOKUP(F9999,UPAH!$B$4:$H$101,7,0),VLOOKUP(F9999,#REF!,4,0)),0),0)</f>
        <v>0</v>
      </c>
      <c r="J9999" s="16">
        <f>H9999*I9999</f>
        <v>0</v>
      </c>
    </row>
    <row r="10000" spans="1:10" ht="13" hidden="1">
      <c r="A10000" s="27"/>
      <c r="B10000" s="110"/>
      <c r="D10000" s="409"/>
      <c r="E10000" s="13" t="s">
        <v>51</v>
      </c>
      <c r="F10000" s="13" t="s">
        <v>1929</v>
      </c>
      <c r="G10000" s="543" t="s">
        <v>48</v>
      </c>
      <c r="H10000" s="548">
        <v>0.157</v>
      </c>
      <c r="I10000" s="412">
        <f>IF(AND(E10000&lt;&gt;"",G10000&lt;&gt;""),IF(D10000="",IF(G10000="OH",VLOOKUP(F10000,UPAH!$B$4:$H$101,7,0),VLOOKUP(F10000,#REF!,4,0)),0),0)</f>
        <v>0</v>
      </c>
      <c r="J10000" s="16">
        <f>H10000*I10000</f>
        <v>0</v>
      </c>
    </row>
    <row r="10001" spans="1:10" ht="13.5" hidden="1" thickBot="1">
      <c r="A10001" s="27"/>
      <c r="B10001" s="110"/>
      <c r="D10001" s="417"/>
      <c r="E10001" s="418"/>
      <c r="F10001" s="418"/>
      <c r="G10001" s="419"/>
      <c r="H10001" s="420" t="s">
        <v>52</v>
      </c>
      <c r="I10001" s="421"/>
      <c r="J10001" s="396">
        <f>SUM(J9997:J10000)</f>
        <v>0</v>
      </c>
    </row>
    <row r="10002" spans="1:10" ht="13" hidden="1">
      <c r="A10002" s="27"/>
      <c r="B10002" s="110"/>
      <c r="D10002" s="406" t="s">
        <v>53</v>
      </c>
      <c r="E10002" s="13" t="s">
        <v>54</v>
      </c>
      <c r="F10002" s="14"/>
      <c r="G10002" s="15"/>
      <c r="H10002" s="451"/>
      <c r="I10002" s="412"/>
      <c r="J10002" s="16"/>
    </row>
    <row r="10003" spans="1:10" ht="13" hidden="1">
      <c r="A10003" s="27"/>
      <c r="B10003" s="110"/>
      <c r="D10003" s="409"/>
      <c r="E10003" s="13" t="s">
        <v>298</v>
      </c>
      <c r="F10003" s="14"/>
      <c r="G10003" s="543" t="s">
        <v>259</v>
      </c>
      <c r="H10003" s="548">
        <v>1</v>
      </c>
      <c r="I10003" s="412" t="s">
        <v>3187</v>
      </c>
      <c r="J10003" s="16" t="e">
        <f>H10003*I10003</f>
        <v>#VALUE!</v>
      </c>
    </row>
    <row r="10004" spans="1:10" ht="13.5" hidden="1" thickBot="1">
      <c r="A10004" s="27"/>
      <c r="B10004" s="110"/>
      <c r="D10004" s="417"/>
      <c r="E10004" s="418"/>
      <c r="F10004" s="418"/>
      <c r="G10004" s="419"/>
      <c r="H10004" s="420" t="s">
        <v>64</v>
      </c>
      <c r="I10004" s="421"/>
      <c r="J10004" s="396" t="e">
        <f>SUM(J10003)</f>
        <v>#VALUE!</v>
      </c>
    </row>
    <row r="10005" spans="1:10" ht="13" hidden="1">
      <c r="A10005" s="27"/>
      <c r="B10005" s="110"/>
      <c r="D10005" s="406" t="s">
        <v>65</v>
      </c>
      <c r="E10005" s="13" t="s">
        <v>66</v>
      </c>
      <c r="F10005" s="14"/>
      <c r="G10005" s="15"/>
      <c r="H10005" s="451"/>
      <c r="I10005" s="412"/>
      <c r="J10005" s="16"/>
    </row>
    <row r="10006" spans="1:10" ht="13" hidden="1">
      <c r="A10006" s="27"/>
      <c r="B10006" s="110"/>
      <c r="D10006" s="409"/>
      <c r="E10006" s="13" t="s">
        <v>411</v>
      </c>
      <c r="F10006" s="14"/>
      <c r="G10006" s="543" t="s">
        <v>285</v>
      </c>
      <c r="H10006" s="548">
        <v>0.23599999999999999</v>
      </c>
      <c r="I10006" s="412">
        <f>Alat!H26</f>
        <v>0</v>
      </c>
      <c r="J10006" s="16">
        <f>H10006*I10006</f>
        <v>0</v>
      </c>
    </row>
    <row r="10007" spans="1:10" ht="13.5" hidden="1" thickBot="1">
      <c r="A10007" s="27"/>
      <c r="B10007" s="110"/>
      <c r="D10007" s="417"/>
      <c r="E10007" s="418"/>
      <c r="F10007" s="418"/>
      <c r="G10007" s="419"/>
      <c r="H10007" s="420" t="s">
        <v>67</v>
      </c>
      <c r="I10007" s="421"/>
      <c r="J10007" s="396">
        <f>J10006</f>
        <v>0</v>
      </c>
    </row>
    <row r="10008" spans="1:10" ht="13" hidden="1">
      <c r="A10008" s="27"/>
      <c r="B10008" s="110"/>
      <c r="D10008" s="444" t="s">
        <v>68</v>
      </c>
      <c r="E10008" s="445" t="s">
        <v>69</v>
      </c>
      <c r="F10008" s="446"/>
      <c r="G10008" s="447"/>
      <c r="H10008" s="448"/>
      <c r="I10008" s="449">
        <f>IF(AND(E10008&lt;&gt;"",G10008&lt;&gt;""),IF(D10008="",IF(G10008="OH",VLOOKUP(E10008,UPAH!$C$4:$H$31,7,0),VLOOKUP(E10008,#REF!,4,0)),0),0)</f>
        <v>0</v>
      </c>
      <c r="J10008" s="16" t="e">
        <f>SUM(J9997:J10007)/2</f>
        <v>#VALUE!</v>
      </c>
    </row>
    <row r="10009" spans="1:10" ht="13" hidden="1">
      <c r="A10009" s="27"/>
      <c r="B10009" s="110"/>
      <c r="D10009" s="431" t="s">
        <v>70</v>
      </c>
      <c r="E10009" s="432" t="s">
        <v>477</v>
      </c>
      <c r="F10009" s="433"/>
      <c r="G10009" s="434"/>
      <c r="H10009" s="22">
        <v>0.1</v>
      </c>
      <c r="I10009" s="436"/>
      <c r="J10009" s="430" t="e">
        <f>H10009*J10008</f>
        <v>#VALUE!</v>
      </c>
    </row>
    <row r="10010" spans="1:10" ht="13.5" hidden="1" thickBot="1">
      <c r="A10010" s="27"/>
      <c r="B10010" s="110"/>
      <c r="D10010" s="401" t="s">
        <v>71</v>
      </c>
      <c r="E10010" s="402" t="s">
        <v>72</v>
      </c>
      <c r="F10010" s="418"/>
      <c r="G10010" s="419"/>
      <c r="H10010" s="442"/>
      <c r="I10010" s="421">
        <f>IF(AND(E10010&lt;&gt;"",G10010&lt;&gt;""),IF(D10010="",IF(G10010="OH",VLOOKUP(E10010,UPAH!$C$4:$H$31,7,0),VLOOKUP(E10010,#REF!,4,0)),0),0)</f>
        <v>0</v>
      </c>
      <c r="J10010" s="396" t="e">
        <f>ROUNDDOWN(J10008+J10009,0)</f>
        <v>#VALUE!</v>
      </c>
    </row>
    <row r="10011" spans="1:10" ht="13" hidden="1">
      <c r="A10011" s="27"/>
      <c r="B10011" s="110"/>
      <c r="D10011" s="11"/>
      <c r="E10011" s="11"/>
      <c r="H10011" s="443"/>
      <c r="I10011" s="17"/>
      <c r="J10011" s="18"/>
    </row>
    <row r="10012" spans="1:10" ht="13.5" thickBot="1">
      <c r="A10012" s="27"/>
      <c r="B10012" s="110"/>
      <c r="C10012" s="11" t="s">
        <v>1566</v>
      </c>
      <c r="D10012" s="10" t="s">
        <v>1579</v>
      </c>
      <c r="H10012" s="443"/>
    </row>
    <row r="10013" spans="1:10" ht="13.5" thickBot="1">
      <c r="A10013" s="27"/>
      <c r="B10013" s="110"/>
      <c r="D10013" s="401" t="s">
        <v>40</v>
      </c>
      <c r="E10013" s="402" t="s">
        <v>41</v>
      </c>
      <c r="F10013" s="402" t="s">
        <v>42</v>
      </c>
      <c r="G10013" s="403" t="s">
        <v>43</v>
      </c>
      <c r="H10013" s="404" t="s">
        <v>44</v>
      </c>
      <c r="I10013" s="402" t="s">
        <v>474</v>
      </c>
      <c r="J10013" s="405" t="s">
        <v>475</v>
      </c>
    </row>
    <row r="10014" spans="1:10" ht="13">
      <c r="A10014" s="27"/>
      <c r="B10014" s="110"/>
      <c r="D10014" s="444" t="s">
        <v>45</v>
      </c>
      <c r="E10014" s="445" t="s">
        <v>46</v>
      </c>
      <c r="F10014" s="446"/>
      <c r="G10014" s="447"/>
      <c r="H10014" s="448"/>
      <c r="I10014" s="449"/>
      <c r="J10014" s="450"/>
    </row>
    <row r="10015" spans="1:10" ht="13">
      <c r="A10015" s="27"/>
      <c r="B10015" s="110"/>
      <c r="D10015" s="409"/>
      <c r="E10015" s="13" t="s">
        <v>47</v>
      </c>
      <c r="F10015" s="13" t="s">
        <v>1918</v>
      </c>
      <c r="G10015" s="543" t="s">
        <v>48</v>
      </c>
      <c r="H10015" s="548">
        <v>2E-3</v>
      </c>
      <c r="I10015" s="412">
        <f>IF(AND(E10015&lt;&gt;"",G10015&lt;&gt;""),IF(D10015="",IF(G10015="OH",VLOOKUP(F10015,UPAH!$B$4:$H$101,7,0),VLOOKUP(F10015,#REF!,4,0)),0),0)</f>
        <v>0</v>
      </c>
      <c r="J10015" s="16">
        <f>H10015*I10015</f>
        <v>0</v>
      </c>
    </row>
    <row r="10016" spans="1:10" ht="13">
      <c r="A10016" s="27"/>
      <c r="B10016" s="110"/>
      <c r="D10016" s="409"/>
      <c r="E10016" s="13" t="s">
        <v>283</v>
      </c>
      <c r="F10016" s="13" t="s">
        <v>1913</v>
      </c>
      <c r="G10016" s="543" t="s">
        <v>48</v>
      </c>
      <c r="H10016" s="548">
        <v>1E-3</v>
      </c>
      <c r="I10016" s="412">
        <f>IF(AND(E10016&lt;&gt;"",G10016&lt;&gt;""),IF(D10016="",IF(G10016="OH",VLOOKUP(F10016,UPAH!$B$4:$H$101,7,0),VLOOKUP(F10016,#REF!,4,0)),0),0)</f>
        <v>0</v>
      </c>
      <c r="J10016" s="16">
        <f>H10016*I10016</f>
        <v>0</v>
      </c>
    </row>
    <row r="10017" spans="1:10" ht="13">
      <c r="A10017" s="27"/>
      <c r="B10017" s="110"/>
      <c r="D10017" s="409"/>
      <c r="E10017" s="13" t="s">
        <v>51</v>
      </c>
      <c r="F10017" s="13" t="s">
        <v>1929</v>
      </c>
      <c r="G10017" s="543" t="s">
        <v>48</v>
      </c>
      <c r="H10017" s="548">
        <v>2.0000000000000001E-4</v>
      </c>
      <c r="I10017" s="412">
        <f>IF(AND(E10017&lt;&gt;"",G10017&lt;&gt;""),IF(D10017="",IF(G10017="OH",VLOOKUP(F10017,UPAH!$B$4:$H$101,7,0),VLOOKUP(F10017,#REF!,4,0)),0),0)</f>
        <v>0</v>
      </c>
      <c r="J10017" s="16">
        <f>H10017*I10017</f>
        <v>0</v>
      </c>
    </row>
    <row r="10018" spans="1:10" ht="13.5" thickBot="1">
      <c r="A10018" s="27"/>
      <c r="B10018" s="110"/>
      <c r="D10018" s="409"/>
      <c r="E10018" s="13" t="s">
        <v>1937</v>
      </c>
      <c r="F10018" s="13" t="s">
        <v>1938</v>
      </c>
      <c r="G10018" s="543" t="s">
        <v>48</v>
      </c>
      <c r="H10018" s="548">
        <v>3.4000000000000002E-2</v>
      </c>
      <c r="I10018" s="412">
        <f>IF(AND(E10018&lt;&gt;"",G10018&lt;&gt;""),IF(D10018="",IF(G10018="OH",VLOOKUP(F10018,UPAH!$B$4:$H$101,7,0),VLOOKUP(F10018,#REF!,4,0)),0),0)</f>
        <v>0</v>
      </c>
      <c r="J10018" s="16">
        <f>H10018*I10018</f>
        <v>0</v>
      </c>
    </row>
    <row r="10019" spans="1:10" ht="13.5" thickBot="1">
      <c r="A10019" s="27"/>
      <c r="B10019" s="110"/>
      <c r="D10019" s="417"/>
      <c r="E10019" s="418"/>
      <c r="F10019" s="418"/>
      <c r="G10019" s="419"/>
      <c r="H10019" s="420" t="s">
        <v>52</v>
      </c>
      <c r="I10019" s="421"/>
      <c r="J10019" s="396">
        <f>SUM(J10015:J10018)</f>
        <v>0</v>
      </c>
    </row>
    <row r="10020" spans="1:10" ht="13">
      <c r="A10020" s="27"/>
      <c r="B10020" s="110"/>
      <c r="D10020" s="406" t="s">
        <v>53</v>
      </c>
      <c r="E10020" s="13" t="s">
        <v>54</v>
      </c>
      <c r="F10020" s="14"/>
      <c r="G10020" s="15"/>
      <c r="H10020" s="451"/>
      <c r="I10020" s="412"/>
      <c r="J10020" s="16"/>
    </row>
    <row r="10021" spans="1:10" ht="13.5" thickBot="1">
      <c r="A10021" s="27"/>
      <c r="B10021" s="110"/>
      <c r="D10021" s="409"/>
      <c r="E10021" s="13" t="s">
        <v>299</v>
      </c>
      <c r="F10021" s="14"/>
      <c r="G10021" s="543" t="s">
        <v>259</v>
      </c>
      <c r="H10021" s="548">
        <v>1</v>
      </c>
      <c r="I10021" s="412">
        <f>'BAHAN '!G400</f>
        <v>0</v>
      </c>
      <c r="J10021" s="16">
        <f>H10021*I10021</f>
        <v>0</v>
      </c>
    </row>
    <row r="10022" spans="1:10" ht="13.5" thickBot="1">
      <c r="A10022" s="27"/>
      <c r="B10022" s="110"/>
      <c r="D10022" s="417"/>
      <c r="E10022" s="418"/>
      <c r="F10022" s="418"/>
      <c r="G10022" s="419"/>
      <c r="H10022" s="420" t="s">
        <v>64</v>
      </c>
      <c r="I10022" s="421"/>
      <c r="J10022" s="396">
        <f>SUM(J10021)</f>
        <v>0</v>
      </c>
    </row>
    <row r="10023" spans="1:10" ht="13">
      <c r="A10023" s="27"/>
      <c r="B10023" s="110"/>
      <c r="D10023" s="406" t="s">
        <v>65</v>
      </c>
      <c r="E10023" s="13" t="s">
        <v>66</v>
      </c>
      <c r="F10023" s="14"/>
      <c r="G10023" s="15"/>
      <c r="H10023" s="451"/>
      <c r="I10023" s="412"/>
      <c r="J10023" s="16"/>
    </row>
    <row r="10024" spans="1:10" ht="13.5" thickBot="1">
      <c r="A10024" s="27"/>
      <c r="B10024" s="110"/>
      <c r="D10024" s="409"/>
      <c r="E10024" s="13" t="s">
        <v>411</v>
      </c>
      <c r="F10024" s="14"/>
      <c r="G10024" s="543" t="s">
        <v>285</v>
      </c>
      <c r="H10024" s="548">
        <v>4.0000000000000001E-3</v>
      </c>
      <c r="I10024" s="412">
        <f>Alat!H26</f>
        <v>0</v>
      </c>
      <c r="J10024" s="16">
        <f>H10024*I10024</f>
        <v>0</v>
      </c>
    </row>
    <row r="10025" spans="1:10" ht="13.5" thickBot="1">
      <c r="A10025" s="27"/>
      <c r="B10025" s="110"/>
      <c r="D10025" s="417"/>
      <c r="E10025" s="418"/>
      <c r="F10025" s="418"/>
      <c r="G10025" s="419"/>
      <c r="H10025" s="420" t="s">
        <v>67</v>
      </c>
      <c r="I10025" s="421"/>
      <c r="J10025" s="396">
        <f>J10024</f>
        <v>0</v>
      </c>
    </row>
    <row r="10026" spans="1:10" ht="13">
      <c r="A10026" s="27"/>
      <c r="B10026" s="110"/>
      <c r="D10026" s="444" t="s">
        <v>68</v>
      </c>
      <c r="E10026" s="445" t="s">
        <v>69</v>
      </c>
      <c r="F10026" s="446"/>
      <c r="G10026" s="447"/>
      <c r="H10026" s="448"/>
      <c r="I10026" s="449">
        <f>IF(AND(E10026&lt;&gt;"",G10026&lt;&gt;""),IF(D10026="",IF(G10026="OH",VLOOKUP(E10026,UPAH!$C$4:$H$31,7,0),VLOOKUP(E10026,#REF!,4,0)),0),0)</f>
        <v>0</v>
      </c>
      <c r="J10026" s="16">
        <f>SUM(J10015:J10025)/2</f>
        <v>0</v>
      </c>
    </row>
    <row r="10027" spans="1:10" ht="13.5" thickBot="1">
      <c r="A10027" s="27"/>
      <c r="B10027" s="110"/>
      <c r="D10027" s="431" t="s">
        <v>70</v>
      </c>
      <c r="E10027" s="432" t="s">
        <v>477</v>
      </c>
      <c r="F10027" s="433"/>
      <c r="G10027" s="434"/>
      <c r="H10027" s="22">
        <v>0.1</v>
      </c>
      <c r="I10027" s="436"/>
      <c r="J10027" s="430">
        <f>H10027*J10026</f>
        <v>0</v>
      </c>
    </row>
    <row r="10028" spans="1:10" ht="13.5" thickBot="1">
      <c r="A10028" s="27"/>
      <c r="B10028" s="110"/>
      <c r="D10028" s="401" t="s">
        <v>71</v>
      </c>
      <c r="E10028" s="402" t="s">
        <v>72</v>
      </c>
      <c r="F10028" s="418"/>
      <c r="G10028" s="419"/>
      <c r="H10028" s="442"/>
      <c r="I10028" s="421">
        <f>IF(AND(E10028&lt;&gt;"",G10028&lt;&gt;""),IF(D10028="",IF(G10028="OH",VLOOKUP(E10028,UPAH!$C$4:$H$31,7,0),VLOOKUP(E10028,#REF!,4,0)),0),0)</f>
        <v>0</v>
      </c>
      <c r="J10028" s="396">
        <f>ROUNDDOWN(J10026+J10027,0)</f>
        <v>0</v>
      </c>
    </row>
    <row r="10029" spans="1:10" ht="13">
      <c r="A10029" s="27"/>
      <c r="B10029" s="110"/>
      <c r="D10029" s="11"/>
      <c r="E10029" s="11"/>
      <c r="H10029" s="443"/>
      <c r="I10029" s="17"/>
      <c r="J10029" s="18"/>
    </row>
    <row r="10030" spans="1:10" ht="13.5" thickBot="1">
      <c r="A10030" s="27"/>
      <c r="B10030" s="110"/>
      <c r="C10030" s="11" t="s">
        <v>1565</v>
      </c>
      <c r="D10030" s="10" t="s">
        <v>1580</v>
      </c>
      <c r="H10030" s="443"/>
    </row>
    <row r="10031" spans="1:10" ht="13.5" thickBot="1">
      <c r="A10031" s="27"/>
      <c r="B10031" s="110"/>
      <c r="D10031" s="401" t="s">
        <v>40</v>
      </c>
      <c r="E10031" s="402" t="s">
        <v>41</v>
      </c>
      <c r="F10031" s="402" t="s">
        <v>42</v>
      </c>
      <c r="G10031" s="403" t="s">
        <v>43</v>
      </c>
      <c r="H10031" s="404" t="s">
        <v>44</v>
      </c>
      <c r="I10031" s="402" t="s">
        <v>474</v>
      </c>
      <c r="J10031" s="405" t="s">
        <v>475</v>
      </c>
    </row>
    <row r="10032" spans="1:10" ht="13">
      <c r="A10032" s="27"/>
      <c r="B10032" s="110"/>
      <c r="D10032" s="444" t="s">
        <v>45</v>
      </c>
      <c r="E10032" s="445" t="s">
        <v>46</v>
      </c>
      <c r="F10032" s="446"/>
      <c r="G10032" s="447"/>
      <c r="H10032" s="448"/>
      <c r="I10032" s="449"/>
      <c r="J10032" s="450"/>
    </row>
    <row r="10033" spans="1:10" ht="13">
      <c r="A10033" s="27"/>
      <c r="B10033" s="110"/>
      <c r="D10033" s="409"/>
      <c r="E10033" s="13" t="s">
        <v>47</v>
      </c>
      <c r="F10033" s="13" t="s">
        <v>1918</v>
      </c>
      <c r="G10033" s="543" t="s">
        <v>48</v>
      </c>
      <c r="H10033" s="548">
        <v>6.0000000000000001E-3</v>
      </c>
      <c r="I10033" s="412">
        <f>IF(AND(E10033&lt;&gt;"",G10033&lt;&gt;""),IF(D10033="",IF(G10033="OH",VLOOKUP(F10033,UPAH!$B$4:$H$101,7,0),VLOOKUP(F10033,#REF!,4,0)),0),0)</f>
        <v>0</v>
      </c>
      <c r="J10033" s="16">
        <f>H10033*I10033</f>
        <v>0</v>
      </c>
    </row>
    <row r="10034" spans="1:10" ht="13">
      <c r="A10034" s="27"/>
      <c r="B10034" s="110"/>
      <c r="D10034" s="409"/>
      <c r="E10034" s="13" t="s">
        <v>283</v>
      </c>
      <c r="F10034" s="13" t="s">
        <v>1913</v>
      </c>
      <c r="G10034" s="543" t="s">
        <v>48</v>
      </c>
      <c r="H10034" s="548">
        <v>3.0000000000000001E-3</v>
      </c>
      <c r="I10034" s="412">
        <f>IF(AND(E10034&lt;&gt;"",G10034&lt;&gt;""),IF(D10034="",IF(G10034="OH",VLOOKUP(F10034,UPAH!$B$4:$H$101,7,0),VLOOKUP(F10034,#REF!,4,0)),0),0)</f>
        <v>0</v>
      </c>
      <c r="J10034" s="16">
        <f>H10034*I10034</f>
        <v>0</v>
      </c>
    </row>
    <row r="10035" spans="1:10" ht="13">
      <c r="A10035" s="27"/>
      <c r="B10035" s="110"/>
      <c r="D10035" s="409"/>
      <c r="E10035" s="13" t="s">
        <v>51</v>
      </c>
      <c r="F10035" s="13" t="s">
        <v>1929</v>
      </c>
      <c r="G10035" s="543" t="s">
        <v>48</v>
      </c>
      <c r="H10035" s="548">
        <v>1E-3</v>
      </c>
      <c r="I10035" s="412">
        <f>IF(AND(E10035&lt;&gt;"",G10035&lt;&gt;""),IF(D10035="",IF(G10035="OH",VLOOKUP(F10035,UPAH!$B$4:$H$101,7,0),VLOOKUP(F10035,#REF!,4,0)),0),0)</f>
        <v>0</v>
      </c>
      <c r="J10035" s="16">
        <f>H10035*I10035</f>
        <v>0</v>
      </c>
    </row>
    <row r="10036" spans="1:10" ht="13.5" thickBot="1">
      <c r="A10036" s="27"/>
      <c r="B10036" s="110"/>
      <c r="D10036" s="409"/>
      <c r="E10036" s="13" t="s">
        <v>1937</v>
      </c>
      <c r="F10036" s="13" t="s">
        <v>1938</v>
      </c>
      <c r="G10036" s="543" t="s">
        <v>48</v>
      </c>
      <c r="H10036" s="548">
        <v>7.0999999999999994E-2</v>
      </c>
      <c r="I10036" s="412">
        <f>IF(AND(E10036&lt;&gt;"",G10036&lt;&gt;""),IF(D10036="",IF(G10036="OH",VLOOKUP(F10036,UPAH!$B$4:$H$101,7,0),VLOOKUP(F10036,#REF!,4,0)),0),0)</f>
        <v>0</v>
      </c>
      <c r="J10036" s="16">
        <f>H10036*I10036</f>
        <v>0</v>
      </c>
    </row>
    <row r="10037" spans="1:10" ht="13.5" thickBot="1">
      <c r="A10037" s="27"/>
      <c r="B10037" s="110"/>
      <c r="D10037" s="417"/>
      <c r="E10037" s="418"/>
      <c r="F10037" s="418"/>
      <c r="G10037" s="419"/>
      <c r="H10037" s="420" t="s">
        <v>52</v>
      </c>
      <c r="I10037" s="421"/>
      <c r="J10037" s="396">
        <f>SUM(J10033:J10036)</f>
        <v>0</v>
      </c>
    </row>
    <row r="10038" spans="1:10" ht="13">
      <c r="A10038" s="27"/>
      <c r="B10038" s="110"/>
      <c r="D10038" s="406" t="s">
        <v>53</v>
      </c>
      <c r="E10038" s="13" t="s">
        <v>54</v>
      </c>
      <c r="F10038" s="14"/>
      <c r="G10038" s="15"/>
      <c r="H10038" s="451"/>
      <c r="I10038" s="412"/>
      <c r="J10038" s="16"/>
    </row>
    <row r="10039" spans="1:10" ht="13.5" thickBot="1">
      <c r="A10039" s="27"/>
      <c r="B10039" s="110"/>
      <c r="D10039" s="409"/>
      <c r="E10039" s="13" t="s">
        <v>300</v>
      </c>
      <c r="F10039" s="14"/>
      <c r="G10039" s="543" t="s">
        <v>259</v>
      </c>
      <c r="H10039" s="548">
        <v>1</v>
      </c>
      <c r="I10039" s="412">
        <f>'BAHAN '!G399</f>
        <v>0</v>
      </c>
      <c r="J10039" s="16">
        <f>H10039*I10039</f>
        <v>0</v>
      </c>
    </row>
    <row r="10040" spans="1:10" ht="13.5" thickBot="1">
      <c r="A10040" s="27"/>
      <c r="B10040" s="110"/>
      <c r="D10040" s="417"/>
      <c r="E10040" s="418"/>
      <c r="F10040" s="418"/>
      <c r="G10040" s="419"/>
      <c r="H10040" s="420" t="s">
        <v>64</v>
      </c>
      <c r="I10040" s="421"/>
      <c r="J10040" s="396">
        <f>SUM(J10039)</f>
        <v>0</v>
      </c>
    </row>
    <row r="10041" spans="1:10" ht="13">
      <c r="A10041" s="27"/>
      <c r="B10041" s="110"/>
      <c r="D10041" s="406" t="s">
        <v>65</v>
      </c>
      <c r="E10041" s="13" t="s">
        <v>66</v>
      </c>
      <c r="F10041" s="14"/>
      <c r="G10041" s="15"/>
      <c r="H10041" s="451"/>
      <c r="I10041" s="412"/>
      <c r="J10041" s="16"/>
    </row>
    <row r="10042" spans="1:10" ht="13.5" thickBot="1">
      <c r="A10042" s="27"/>
      <c r="B10042" s="110"/>
      <c r="D10042" s="409"/>
      <c r="E10042" s="13" t="s">
        <v>411</v>
      </c>
      <c r="F10042" s="14"/>
      <c r="G10042" s="543" t="s">
        <v>285</v>
      </c>
      <c r="H10042" s="548">
        <v>5.0000000000000001E-3</v>
      </c>
      <c r="I10042" s="412">
        <f>Alat!H26</f>
        <v>0</v>
      </c>
      <c r="J10042" s="16">
        <f>H10042*I10042</f>
        <v>0</v>
      </c>
    </row>
    <row r="10043" spans="1:10" ht="13.5" thickBot="1">
      <c r="A10043" s="27"/>
      <c r="B10043" s="110"/>
      <c r="D10043" s="417"/>
      <c r="E10043" s="418"/>
      <c r="F10043" s="418"/>
      <c r="G10043" s="419"/>
      <c r="H10043" s="420" t="s">
        <v>67</v>
      </c>
      <c r="I10043" s="421"/>
      <c r="J10043" s="396">
        <f>J10042</f>
        <v>0</v>
      </c>
    </row>
    <row r="10044" spans="1:10" ht="13">
      <c r="A10044" s="27"/>
      <c r="B10044" s="110"/>
      <c r="D10044" s="444" t="s">
        <v>68</v>
      </c>
      <c r="E10044" s="445" t="s">
        <v>69</v>
      </c>
      <c r="F10044" s="446"/>
      <c r="G10044" s="447"/>
      <c r="H10044" s="448"/>
      <c r="I10044" s="449">
        <f>IF(AND(E10044&lt;&gt;"",G10044&lt;&gt;""),IF(D10044="",IF(G10044="OH",VLOOKUP(E10044,UPAH!$C$4:$H$31,7,0),VLOOKUP(E10044,#REF!,4,0)),0),0)</f>
        <v>0</v>
      </c>
      <c r="J10044" s="16">
        <f>SUM(J10033:J10043)/2</f>
        <v>0</v>
      </c>
    </row>
    <row r="10045" spans="1:10" ht="13.5" thickBot="1">
      <c r="A10045" s="27"/>
      <c r="B10045" s="110"/>
      <c r="D10045" s="431" t="s">
        <v>70</v>
      </c>
      <c r="E10045" s="432" t="s">
        <v>477</v>
      </c>
      <c r="F10045" s="433"/>
      <c r="G10045" s="434"/>
      <c r="H10045" s="22">
        <v>0.1</v>
      </c>
      <c r="I10045" s="436"/>
      <c r="J10045" s="430">
        <f>H10045*J10044</f>
        <v>0</v>
      </c>
    </row>
    <row r="10046" spans="1:10" ht="13.5" thickBot="1">
      <c r="A10046" s="27"/>
      <c r="B10046" s="110"/>
      <c r="D10046" s="401" t="s">
        <v>71</v>
      </c>
      <c r="E10046" s="402" t="s">
        <v>72</v>
      </c>
      <c r="F10046" s="418"/>
      <c r="G10046" s="419"/>
      <c r="H10046" s="442"/>
      <c r="I10046" s="421">
        <f>IF(AND(E10046&lt;&gt;"",G10046&lt;&gt;""),IF(D10046="",IF(G10046="OH",VLOOKUP(E10046,UPAH!$C$4:$H$31,7,0),VLOOKUP(E10046,#REF!,4,0)),0),0)</f>
        <v>0</v>
      </c>
      <c r="J10046" s="396">
        <f>ROUNDDOWN(J10044+J10045,0)</f>
        <v>0</v>
      </c>
    </row>
    <row r="10047" spans="1:10" ht="13">
      <c r="A10047" s="27"/>
      <c r="B10047" s="110"/>
      <c r="D10047" s="11"/>
      <c r="E10047" s="11"/>
      <c r="H10047" s="443"/>
      <c r="I10047" s="17"/>
      <c r="J10047" s="18"/>
    </row>
    <row r="10048" spans="1:10" ht="13.5" thickBot="1">
      <c r="A10048" s="27"/>
      <c r="B10048" s="110"/>
      <c r="C10048" s="11" t="s">
        <v>1564</v>
      </c>
      <c r="D10048" s="10" t="s">
        <v>1581</v>
      </c>
      <c r="H10048" s="443"/>
    </row>
    <row r="10049" spans="1:10" ht="13.5" thickBot="1">
      <c r="A10049" s="27"/>
      <c r="B10049" s="110"/>
      <c r="D10049" s="401" t="s">
        <v>40</v>
      </c>
      <c r="E10049" s="402" t="s">
        <v>41</v>
      </c>
      <c r="F10049" s="402" t="s">
        <v>42</v>
      </c>
      <c r="G10049" s="403" t="s">
        <v>43</v>
      </c>
      <c r="H10049" s="404" t="s">
        <v>44</v>
      </c>
      <c r="I10049" s="402" t="s">
        <v>474</v>
      </c>
      <c r="J10049" s="405" t="s">
        <v>475</v>
      </c>
    </row>
    <row r="10050" spans="1:10" ht="13">
      <c r="A10050" s="27"/>
      <c r="B10050" s="110"/>
      <c r="D10050" s="444" t="s">
        <v>45</v>
      </c>
      <c r="E10050" s="445" t="s">
        <v>46</v>
      </c>
      <c r="F10050" s="446"/>
      <c r="G10050" s="447"/>
      <c r="H10050" s="448"/>
      <c r="I10050" s="449"/>
      <c r="J10050" s="450"/>
    </row>
    <row r="10051" spans="1:10" ht="13">
      <c r="A10051" s="27"/>
      <c r="B10051" s="110"/>
      <c r="D10051" s="409"/>
      <c r="E10051" s="13" t="s">
        <v>47</v>
      </c>
      <c r="F10051" s="13" t="s">
        <v>1918</v>
      </c>
      <c r="G10051" s="543" t="s">
        <v>48</v>
      </c>
      <c r="H10051" s="548">
        <v>8.9999999999999993E-3</v>
      </c>
      <c r="I10051" s="412">
        <f>IF(AND(E10051&lt;&gt;"",G10051&lt;&gt;""),IF(D10051="",IF(G10051="OH",VLOOKUP(F10051,UPAH!$B$4:$H$101,7,0),VLOOKUP(F10051,#REF!,4,0)),0),0)</f>
        <v>0</v>
      </c>
      <c r="J10051" s="16">
        <f>H10051*I10051</f>
        <v>0</v>
      </c>
    </row>
    <row r="10052" spans="1:10" ht="13">
      <c r="A10052" s="27"/>
      <c r="B10052" s="110"/>
      <c r="D10052" s="409"/>
      <c r="E10052" s="13" t="s">
        <v>283</v>
      </c>
      <c r="F10052" s="13" t="s">
        <v>1913</v>
      </c>
      <c r="G10052" s="543" t="s">
        <v>48</v>
      </c>
      <c r="H10052" s="548">
        <v>5.0000000000000001E-3</v>
      </c>
      <c r="I10052" s="412">
        <f>IF(AND(E10052&lt;&gt;"",G10052&lt;&gt;""),IF(D10052="",IF(G10052="OH",VLOOKUP(F10052,UPAH!$B$4:$H$101,7,0),VLOOKUP(F10052,#REF!,4,0)),0),0)</f>
        <v>0</v>
      </c>
      <c r="J10052" s="16">
        <f>H10052*I10052</f>
        <v>0</v>
      </c>
    </row>
    <row r="10053" spans="1:10" ht="13">
      <c r="A10053" s="27"/>
      <c r="B10053" s="110"/>
      <c r="D10053" s="409"/>
      <c r="E10053" s="13" t="s">
        <v>51</v>
      </c>
      <c r="F10053" s="13" t="s">
        <v>1929</v>
      </c>
      <c r="G10053" s="543" t="s">
        <v>48</v>
      </c>
      <c r="H10053" s="548">
        <v>1E-3</v>
      </c>
      <c r="I10053" s="412">
        <f>IF(AND(E10053&lt;&gt;"",G10053&lt;&gt;""),IF(D10053="",IF(G10053="OH",VLOOKUP(F10053,UPAH!$B$4:$H$101,7,0),VLOOKUP(F10053,#REF!,4,0)),0),0)</f>
        <v>0</v>
      </c>
      <c r="J10053" s="16">
        <f>H10053*I10053</f>
        <v>0</v>
      </c>
    </row>
    <row r="10054" spans="1:10" ht="13.5" thickBot="1">
      <c r="A10054" s="27"/>
      <c r="B10054" s="110"/>
      <c r="D10054" s="409"/>
      <c r="E10054" s="13" t="s">
        <v>1937</v>
      </c>
      <c r="F10054" s="13" t="s">
        <v>1938</v>
      </c>
      <c r="G10054" s="543" t="s">
        <v>48</v>
      </c>
      <c r="H10054" s="548">
        <v>9.6000000000000002E-2</v>
      </c>
      <c r="I10054" s="412">
        <f>IF(AND(E10054&lt;&gt;"",G10054&lt;&gt;""),IF(D10054="",IF(G10054="OH",VLOOKUP(F10054,UPAH!$B$4:$H$101,7,0),VLOOKUP(F10054,#REF!,4,0)),0),0)</f>
        <v>0</v>
      </c>
      <c r="J10054" s="16">
        <f>H10054*I10054</f>
        <v>0</v>
      </c>
    </row>
    <row r="10055" spans="1:10" ht="13.5" thickBot="1">
      <c r="A10055" s="27"/>
      <c r="B10055" s="110"/>
      <c r="D10055" s="417"/>
      <c r="E10055" s="418"/>
      <c r="F10055" s="418"/>
      <c r="G10055" s="419"/>
      <c r="H10055" s="420" t="s">
        <v>52</v>
      </c>
      <c r="I10055" s="421"/>
      <c r="J10055" s="396">
        <f>SUM(J10051:J10054)</f>
        <v>0</v>
      </c>
    </row>
    <row r="10056" spans="1:10" ht="13">
      <c r="A10056" s="27"/>
      <c r="B10056" s="110"/>
      <c r="D10056" s="406" t="s">
        <v>53</v>
      </c>
      <c r="E10056" s="13" t="s">
        <v>54</v>
      </c>
      <c r="F10056" s="14"/>
      <c r="G10056" s="15"/>
      <c r="H10056" s="451"/>
      <c r="I10056" s="412"/>
      <c r="J10056" s="16"/>
    </row>
    <row r="10057" spans="1:10" ht="13.5" thickBot="1">
      <c r="A10057" s="27"/>
      <c r="B10057" s="110"/>
      <c r="D10057" s="409"/>
      <c r="E10057" s="13" t="s">
        <v>301</v>
      </c>
      <c r="F10057" s="14"/>
      <c r="G10057" s="543" t="s">
        <v>259</v>
      </c>
      <c r="H10057" s="548">
        <v>1</v>
      </c>
      <c r="I10057" s="412">
        <f>'BAHAN '!G398</f>
        <v>0</v>
      </c>
      <c r="J10057" s="16">
        <f>H10057*I10057</f>
        <v>0</v>
      </c>
    </row>
    <row r="10058" spans="1:10" ht="13.5" thickBot="1">
      <c r="A10058" s="27"/>
      <c r="B10058" s="110"/>
      <c r="D10058" s="417"/>
      <c r="E10058" s="418"/>
      <c r="F10058" s="418"/>
      <c r="G10058" s="419"/>
      <c r="H10058" s="420" t="s">
        <v>64</v>
      </c>
      <c r="I10058" s="421"/>
      <c r="J10058" s="396">
        <f>SUM(J10057)</f>
        <v>0</v>
      </c>
    </row>
    <row r="10059" spans="1:10" ht="13">
      <c r="A10059" s="27"/>
      <c r="B10059" s="110"/>
      <c r="D10059" s="406" t="s">
        <v>65</v>
      </c>
      <c r="E10059" s="13" t="s">
        <v>66</v>
      </c>
      <c r="F10059" s="14"/>
      <c r="G10059" s="15"/>
      <c r="H10059" s="451"/>
      <c r="I10059" s="412"/>
      <c r="J10059" s="16"/>
    </row>
    <row r="10060" spans="1:10" ht="13.5" thickBot="1">
      <c r="A10060" s="27"/>
      <c r="B10060" s="110"/>
      <c r="D10060" s="409"/>
      <c r="E10060" s="13" t="s">
        <v>411</v>
      </c>
      <c r="F10060" s="14"/>
      <c r="G10060" s="543" t="s">
        <v>285</v>
      </c>
      <c r="H10060" s="548">
        <v>6.0000000000000001E-3</v>
      </c>
      <c r="I10060" s="412">
        <f>Alat!H26</f>
        <v>0</v>
      </c>
      <c r="J10060" s="16">
        <f>H10060*I10060</f>
        <v>0</v>
      </c>
    </row>
    <row r="10061" spans="1:10" ht="13.5" thickBot="1">
      <c r="A10061" s="27"/>
      <c r="B10061" s="110"/>
      <c r="D10061" s="417"/>
      <c r="E10061" s="418"/>
      <c r="F10061" s="418"/>
      <c r="G10061" s="419"/>
      <c r="H10061" s="420" t="s">
        <v>67</v>
      </c>
      <c r="I10061" s="421"/>
      <c r="J10061" s="396">
        <f>J10060</f>
        <v>0</v>
      </c>
    </row>
    <row r="10062" spans="1:10" ht="13">
      <c r="A10062" s="27"/>
      <c r="B10062" s="110"/>
      <c r="D10062" s="444" t="s">
        <v>68</v>
      </c>
      <c r="E10062" s="445" t="s">
        <v>69</v>
      </c>
      <c r="F10062" s="446"/>
      <c r="G10062" s="447"/>
      <c r="H10062" s="448"/>
      <c r="I10062" s="449">
        <f>IF(AND(E10062&lt;&gt;"",G10062&lt;&gt;""),IF(D10062="",IF(G10062="OH",VLOOKUP(E10062,UPAH!$C$4:$H$31,7,0),VLOOKUP(E10062,#REF!,4,0)),0),0)</f>
        <v>0</v>
      </c>
      <c r="J10062" s="16">
        <f>SUM(J10051:J10061)/2</f>
        <v>0</v>
      </c>
    </row>
    <row r="10063" spans="1:10" ht="13.5" thickBot="1">
      <c r="A10063" s="27"/>
      <c r="B10063" s="110"/>
      <c r="D10063" s="431" t="s">
        <v>70</v>
      </c>
      <c r="E10063" s="432" t="s">
        <v>477</v>
      </c>
      <c r="F10063" s="433"/>
      <c r="G10063" s="434"/>
      <c r="H10063" s="22">
        <v>0.1</v>
      </c>
      <c r="I10063" s="436"/>
      <c r="J10063" s="430">
        <f>H10063*J10062</f>
        <v>0</v>
      </c>
    </row>
    <row r="10064" spans="1:10" ht="13.5" thickBot="1">
      <c r="A10064" s="27"/>
      <c r="B10064" s="110"/>
      <c r="D10064" s="401" t="s">
        <v>71</v>
      </c>
      <c r="E10064" s="402" t="s">
        <v>72</v>
      </c>
      <c r="F10064" s="418"/>
      <c r="G10064" s="419"/>
      <c r="H10064" s="442"/>
      <c r="I10064" s="421">
        <f>IF(AND(E10064&lt;&gt;"",G10064&lt;&gt;""),IF(D10064="",IF(G10064="OH",VLOOKUP(E10064,UPAH!$C$4:$H$31,7,0),VLOOKUP(E10064,#REF!,4,0)),0),0)</f>
        <v>0</v>
      </c>
      <c r="J10064" s="396">
        <f>ROUNDDOWN(J10062+J10063,0)</f>
        <v>0</v>
      </c>
    </row>
    <row r="10065" spans="1:10" ht="13">
      <c r="A10065" s="27"/>
      <c r="B10065" s="110"/>
      <c r="D10065" s="11"/>
      <c r="E10065" s="11"/>
      <c r="H10065" s="443"/>
      <c r="I10065" s="17"/>
      <c r="J10065" s="18"/>
    </row>
    <row r="10066" spans="1:10" ht="13.5" thickBot="1">
      <c r="A10066" s="27"/>
      <c r="B10066" s="110"/>
      <c r="C10066" s="11" t="s">
        <v>1563</v>
      </c>
      <c r="D10066" s="10" t="s">
        <v>1582</v>
      </c>
      <c r="H10066" s="443"/>
    </row>
    <row r="10067" spans="1:10" ht="13.5" thickBot="1">
      <c r="A10067" s="27"/>
      <c r="B10067" s="110"/>
      <c r="D10067" s="401" t="s">
        <v>40</v>
      </c>
      <c r="E10067" s="402" t="s">
        <v>41</v>
      </c>
      <c r="F10067" s="402" t="s">
        <v>42</v>
      </c>
      <c r="G10067" s="403" t="s">
        <v>43</v>
      </c>
      <c r="H10067" s="404" t="s">
        <v>44</v>
      </c>
      <c r="I10067" s="402" t="s">
        <v>474</v>
      </c>
      <c r="J10067" s="405" t="s">
        <v>475</v>
      </c>
    </row>
    <row r="10068" spans="1:10" ht="13">
      <c r="A10068" s="27"/>
      <c r="B10068" s="110"/>
      <c r="D10068" s="444" t="s">
        <v>45</v>
      </c>
      <c r="E10068" s="445" t="s">
        <v>46</v>
      </c>
      <c r="F10068" s="446"/>
      <c r="G10068" s="447"/>
      <c r="H10068" s="448"/>
      <c r="I10068" s="449"/>
      <c r="J10068" s="450"/>
    </row>
    <row r="10069" spans="1:10" ht="13">
      <c r="A10069" s="27"/>
      <c r="B10069" s="110"/>
      <c r="D10069" s="409"/>
      <c r="E10069" s="13" t="s">
        <v>47</v>
      </c>
      <c r="F10069" s="13" t="s">
        <v>1918</v>
      </c>
      <c r="G10069" s="543" t="s">
        <v>48</v>
      </c>
      <c r="H10069" s="548">
        <v>1.6E-2</v>
      </c>
      <c r="I10069" s="412">
        <f>IF(AND(E10069&lt;&gt;"",G10069&lt;&gt;""),IF(D10069="",IF(G10069="OH",VLOOKUP(F10069,UPAH!$B$4:$H$101,7,0),VLOOKUP(F10069,#REF!,4,0)),0),0)</f>
        <v>0</v>
      </c>
      <c r="J10069" s="16">
        <f>H10069*I10069</f>
        <v>0</v>
      </c>
    </row>
    <row r="10070" spans="1:10" ht="13">
      <c r="A10070" s="27"/>
      <c r="B10070" s="110"/>
      <c r="D10070" s="409"/>
      <c r="E10070" s="13" t="s">
        <v>283</v>
      </c>
      <c r="F10070" s="13" t="s">
        <v>1913</v>
      </c>
      <c r="G10070" s="543" t="s">
        <v>48</v>
      </c>
      <c r="H10070" s="548">
        <v>8.0000000000000002E-3</v>
      </c>
      <c r="I10070" s="412">
        <f>IF(AND(E10070&lt;&gt;"",G10070&lt;&gt;""),IF(D10070="",IF(G10070="OH",VLOOKUP(F10070,UPAH!$B$4:$H$101,7,0),VLOOKUP(F10070,#REF!,4,0)),0),0)</f>
        <v>0</v>
      </c>
      <c r="J10070" s="16">
        <f>H10070*I10070</f>
        <v>0</v>
      </c>
    </row>
    <row r="10071" spans="1:10" ht="13">
      <c r="A10071" s="27"/>
      <c r="B10071" s="110"/>
      <c r="D10071" s="409"/>
      <c r="E10071" s="13" t="s">
        <v>51</v>
      </c>
      <c r="F10071" s="13" t="s">
        <v>1929</v>
      </c>
      <c r="G10071" s="543" t="s">
        <v>48</v>
      </c>
      <c r="H10071" s="548">
        <v>2E-3</v>
      </c>
      <c r="I10071" s="412">
        <f>IF(AND(E10071&lt;&gt;"",G10071&lt;&gt;""),IF(D10071="",IF(G10071="OH",VLOOKUP(F10071,UPAH!$B$4:$H$101,7,0),VLOOKUP(F10071,#REF!,4,0)),0),0)</f>
        <v>0</v>
      </c>
      <c r="J10071" s="16">
        <f>H10071*I10071</f>
        <v>0</v>
      </c>
    </row>
    <row r="10072" spans="1:10" ht="13.5" thickBot="1">
      <c r="A10072" s="27"/>
      <c r="B10072" s="110"/>
      <c r="D10072" s="409"/>
      <c r="E10072" s="13" t="s">
        <v>1937</v>
      </c>
      <c r="F10072" s="13" t="s">
        <v>1938</v>
      </c>
      <c r="G10072" s="543" t="s">
        <v>48</v>
      </c>
      <c r="H10072" s="548">
        <v>0.121</v>
      </c>
      <c r="I10072" s="412">
        <f>IF(AND(E10072&lt;&gt;"",G10072&lt;&gt;""),IF(D10072="",IF(G10072="OH",VLOOKUP(F10072,UPAH!$B$4:$H$101,7,0),VLOOKUP(F10072,#REF!,4,0)),0),0)</f>
        <v>0</v>
      </c>
      <c r="J10072" s="16">
        <f>H10072*I10072</f>
        <v>0</v>
      </c>
    </row>
    <row r="10073" spans="1:10" ht="13.5" thickBot="1">
      <c r="A10073" s="27"/>
      <c r="B10073" s="110"/>
      <c r="D10073" s="417"/>
      <c r="E10073" s="418"/>
      <c r="F10073" s="418"/>
      <c r="G10073" s="419"/>
      <c r="H10073" s="420" t="s">
        <v>52</v>
      </c>
      <c r="I10073" s="421"/>
      <c r="J10073" s="396">
        <f>SUM(J10069:J10072)</f>
        <v>0</v>
      </c>
    </row>
    <row r="10074" spans="1:10" ht="13">
      <c r="A10074" s="27"/>
      <c r="B10074" s="110"/>
      <c r="D10074" s="406" t="s">
        <v>53</v>
      </c>
      <c r="E10074" s="13" t="s">
        <v>54</v>
      </c>
      <c r="F10074" s="14"/>
      <c r="G10074" s="15"/>
      <c r="H10074" s="451"/>
      <c r="I10074" s="412"/>
      <c r="J10074" s="16"/>
    </row>
    <row r="10075" spans="1:10" ht="13.5" thickBot="1">
      <c r="A10075" s="27"/>
      <c r="B10075" s="110"/>
      <c r="D10075" s="409"/>
      <c r="E10075" s="13" t="s">
        <v>302</v>
      </c>
      <c r="F10075" s="14"/>
      <c r="G10075" s="543" t="s">
        <v>259</v>
      </c>
      <c r="H10075" s="548">
        <v>1</v>
      </c>
      <c r="I10075" s="412">
        <f>'BAHAN '!G397</f>
        <v>0</v>
      </c>
      <c r="J10075" s="16">
        <f>H10075*I10075</f>
        <v>0</v>
      </c>
    </row>
    <row r="10076" spans="1:10" ht="13.5" thickBot="1">
      <c r="A10076" s="27"/>
      <c r="B10076" s="110"/>
      <c r="D10076" s="417"/>
      <c r="E10076" s="418"/>
      <c r="F10076" s="418"/>
      <c r="G10076" s="419"/>
      <c r="H10076" s="420" t="s">
        <v>64</v>
      </c>
      <c r="I10076" s="421"/>
      <c r="J10076" s="396">
        <f>SUM(J10075)</f>
        <v>0</v>
      </c>
    </row>
    <row r="10077" spans="1:10" ht="13">
      <c r="A10077" s="27"/>
      <c r="B10077" s="110"/>
      <c r="D10077" s="406" t="s">
        <v>65</v>
      </c>
      <c r="E10077" s="13" t="s">
        <v>66</v>
      </c>
      <c r="F10077" s="14"/>
      <c r="G10077" s="15"/>
      <c r="H10077" s="451"/>
      <c r="I10077" s="412"/>
      <c r="J10077" s="16"/>
    </row>
    <row r="10078" spans="1:10" ht="13.5" thickBot="1">
      <c r="A10078" s="27"/>
      <c r="B10078" s="110"/>
      <c r="D10078" s="409"/>
      <c r="E10078" s="13" t="s">
        <v>411</v>
      </c>
      <c r="F10078" s="14"/>
      <c r="G10078" s="543" t="s">
        <v>285</v>
      </c>
      <c r="H10078" s="548">
        <v>8.9999999999999993E-3</v>
      </c>
      <c r="I10078" s="412">
        <f>Alat!H26</f>
        <v>0</v>
      </c>
      <c r="J10078" s="16">
        <f>H10078*I10078</f>
        <v>0</v>
      </c>
    </row>
    <row r="10079" spans="1:10" ht="13.5" thickBot="1">
      <c r="A10079" s="27"/>
      <c r="B10079" s="110"/>
      <c r="D10079" s="417"/>
      <c r="E10079" s="418"/>
      <c r="F10079" s="418"/>
      <c r="G10079" s="419"/>
      <c r="H10079" s="420" t="s">
        <v>67</v>
      </c>
      <c r="I10079" s="421"/>
      <c r="J10079" s="396">
        <f>J10078</f>
        <v>0</v>
      </c>
    </row>
    <row r="10080" spans="1:10" ht="13">
      <c r="A10080" s="27"/>
      <c r="B10080" s="110"/>
      <c r="D10080" s="444" t="s">
        <v>68</v>
      </c>
      <c r="E10080" s="445" t="s">
        <v>69</v>
      </c>
      <c r="F10080" s="446"/>
      <c r="G10080" s="447"/>
      <c r="H10080" s="448"/>
      <c r="I10080" s="449">
        <f>IF(AND(E10080&lt;&gt;"",G10080&lt;&gt;""),IF(D10080="",IF(G10080="OH",VLOOKUP(E10080,UPAH!$C$4:$H$31,7,0),VLOOKUP(E10080,#REF!,4,0)),0),0)</f>
        <v>0</v>
      </c>
      <c r="J10080" s="16">
        <f>SUM(J10069:J10079)/2</f>
        <v>0</v>
      </c>
    </row>
    <row r="10081" spans="1:10" ht="13.5" thickBot="1">
      <c r="A10081" s="27"/>
      <c r="B10081" s="110"/>
      <c r="D10081" s="431" t="s">
        <v>70</v>
      </c>
      <c r="E10081" s="432" t="s">
        <v>477</v>
      </c>
      <c r="F10081" s="433"/>
      <c r="G10081" s="434"/>
      <c r="H10081" s="22">
        <v>0.1</v>
      </c>
      <c r="I10081" s="436"/>
      <c r="J10081" s="430">
        <f>H10081*J10080</f>
        <v>0</v>
      </c>
    </row>
    <row r="10082" spans="1:10" ht="13.5" thickBot="1">
      <c r="A10082" s="27"/>
      <c r="B10082" s="110"/>
      <c r="D10082" s="401" t="s">
        <v>71</v>
      </c>
      <c r="E10082" s="402" t="s">
        <v>72</v>
      </c>
      <c r="F10082" s="418"/>
      <c r="G10082" s="419"/>
      <c r="H10082" s="442"/>
      <c r="I10082" s="421">
        <f>IF(AND(E10082&lt;&gt;"",G10082&lt;&gt;""),IF(D10082="",IF(G10082="OH",VLOOKUP(E10082,UPAH!$C$4:$H$31,7,0),VLOOKUP(E10082,#REF!,4,0)),0),0)</f>
        <v>0</v>
      </c>
      <c r="J10082" s="396">
        <f>ROUNDDOWN(J10080+J10081,0)</f>
        <v>0</v>
      </c>
    </row>
    <row r="10083" spans="1:10" ht="13">
      <c r="A10083" s="27"/>
      <c r="B10083" s="110"/>
      <c r="D10083" s="552"/>
      <c r="E10083" s="432"/>
      <c r="F10083" s="433"/>
      <c r="G10083" s="434"/>
      <c r="H10083" s="435"/>
      <c r="I10083" s="17"/>
      <c r="J10083" s="18"/>
    </row>
    <row r="10084" spans="1:10" ht="13.5" thickBot="1">
      <c r="A10084" s="27"/>
      <c r="B10084" s="110"/>
      <c r="C10084" s="13" t="s">
        <v>1562</v>
      </c>
      <c r="D10084" s="14" t="s">
        <v>1583</v>
      </c>
      <c r="F10084" s="14"/>
      <c r="G10084" s="15"/>
      <c r="H10084" s="451"/>
    </row>
    <row r="10085" spans="1:10" ht="13.5" thickBot="1">
      <c r="A10085" s="27"/>
      <c r="B10085" s="110"/>
      <c r="D10085" s="401" t="s">
        <v>40</v>
      </c>
      <c r="E10085" s="402" t="s">
        <v>41</v>
      </c>
      <c r="F10085" s="402" t="s">
        <v>42</v>
      </c>
      <c r="G10085" s="403" t="s">
        <v>43</v>
      </c>
      <c r="H10085" s="404" t="s">
        <v>44</v>
      </c>
      <c r="I10085" s="402" t="s">
        <v>474</v>
      </c>
      <c r="J10085" s="405" t="s">
        <v>475</v>
      </c>
    </row>
    <row r="10086" spans="1:10" ht="13">
      <c r="A10086" s="27"/>
      <c r="B10086" s="110"/>
      <c r="D10086" s="444" t="s">
        <v>45</v>
      </c>
      <c r="E10086" s="445" t="s">
        <v>46</v>
      </c>
      <c r="F10086" s="446"/>
      <c r="G10086" s="447"/>
      <c r="H10086" s="448"/>
      <c r="I10086" s="449"/>
      <c r="J10086" s="450"/>
    </row>
    <row r="10087" spans="1:10" ht="13">
      <c r="A10087" s="27"/>
      <c r="B10087" s="110"/>
      <c r="D10087" s="409"/>
      <c r="E10087" s="13" t="s">
        <v>47</v>
      </c>
      <c r="F10087" s="13" t="s">
        <v>1918</v>
      </c>
      <c r="G10087" s="543" t="s">
        <v>48</v>
      </c>
      <c r="H10087" s="548">
        <v>4.3999999999999997E-2</v>
      </c>
      <c r="I10087" s="412">
        <f>IF(AND(E10087&lt;&gt;"",G10087&lt;&gt;""),IF(D10087="",IF(G10087="OH",VLOOKUP(F10087,UPAH!$B$4:$H$101,7,0),VLOOKUP(F10087,#REF!,4,0)),0),0)</f>
        <v>0</v>
      </c>
      <c r="J10087" s="16">
        <f>H10087*I10087</f>
        <v>0</v>
      </c>
    </row>
    <row r="10088" spans="1:10" ht="13">
      <c r="A10088" s="27"/>
      <c r="B10088" s="110"/>
      <c r="D10088" s="409"/>
      <c r="E10088" s="13" t="s">
        <v>283</v>
      </c>
      <c r="F10088" s="13" t="s">
        <v>1913</v>
      </c>
      <c r="G10088" s="543" t="s">
        <v>48</v>
      </c>
      <c r="H10088" s="548">
        <v>2.1999999999999999E-2</v>
      </c>
      <c r="I10088" s="412">
        <f>IF(AND(E10088&lt;&gt;"",G10088&lt;&gt;""),IF(D10088="",IF(G10088="OH",VLOOKUP(F10088,UPAH!$B$4:$H$101,7,0),VLOOKUP(F10088,#REF!,4,0)),0),0)</f>
        <v>0</v>
      </c>
      <c r="J10088" s="16">
        <f>H10088*I10088</f>
        <v>0</v>
      </c>
    </row>
    <row r="10089" spans="1:10" ht="13">
      <c r="A10089" s="27"/>
      <c r="B10089" s="110"/>
      <c r="D10089" s="409"/>
      <c r="E10089" s="13" t="s">
        <v>51</v>
      </c>
      <c r="F10089" s="13" t="s">
        <v>1929</v>
      </c>
      <c r="G10089" s="543" t="s">
        <v>48</v>
      </c>
      <c r="H10089" s="548">
        <v>4.0000000000000001E-3</v>
      </c>
      <c r="I10089" s="412">
        <f>IF(AND(E10089&lt;&gt;"",G10089&lt;&gt;""),IF(D10089="",IF(G10089="OH",VLOOKUP(F10089,UPAH!$B$4:$H$101,7,0),VLOOKUP(F10089,#REF!,4,0)),0),0)</f>
        <v>0</v>
      </c>
      <c r="J10089" s="16">
        <f>H10089*I10089</f>
        <v>0</v>
      </c>
    </row>
    <row r="10090" spans="1:10" ht="13.5" thickBot="1">
      <c r="A10090" s="27"/>
      <c r="B10090" s="110"/>
      <c r="D10090" s="409"/>
      <c r="E10090" s="13" t="s">
        <v>1937</v>
      </c>
      <c r="F10090" s="13" t="s">
        <v>1938</v>
      </c>
      <c r="G10090" s="543" t="s">
        <v>48</v>
      </c>
      <c r="H10090" s="548">
        <v>0.17100000000000001</v>
      </c>
      <c r="I10090" s="412">
        <f>IF(AND(E10090&lt;&gt;"",G10090&lt;&gt;""),IF(D10090="",IF(G10090="OH",VLOOKUP(F10090,UPAH!$B$4:$H$101,7,0),VLOOKUP(F10090,#REF!,4,0)),0),0)</f>
        <v>0</v>
      </c>
      <c r="J10090" s="16">
        <f>H10090*I10090</f>
        <v>0</v>
      </c>
    </row>
    <row r="10091" spans="1:10" ht="13.5" thickBot="1">
      <c r="A10091" s="27"/>
      <c r="B10091" s="110"/>
      <c r="D10091" s="417"/>
      <c r="E10091" s="418"/>
      <c r="F10091" s="418"/>
      <c r="G10091" s="419"/>
      <c r="H10091" s="420" t="s">
        <v>52</v>
      </c>
      <c r="I10091" s="421"/>
      <c r="J10091" s="396">
        <f>SUM(J10087:J10090)</f>
        <v>0</v>
      </c>
    </row>
    <row r="10092" spans="1:10" ht="13">
      <c r="A10092" s="27"/>
      <c r="B10092" s="110"/>
      <c r="D10092" s="406" t="s">
        <v>53</v>
      </c>
      <c r="E10092" s="13" t="s">
        <v>54</v>
      </c>
      <c r="F10092" s="14"/>
      <c r="G10092" s="15"/>
      <c r="H10092" s="451"/>
      <c r="I10092" s="412"/>
      <c r="J10092" s="16"/>
    </row>
    <row r="10093" spans="1:10" ht="13.5" thickBot="1">
      <c r="A10093" s="27"/>
      <c r="B10093" s="110"/>
      <c r="D10093" s="409"/>
      <c r="E10093" s="13" t="s">
        <v>303</v>
      </c>
      <c r="F10093" s="14"/>
      <c r="G10093" s="543" t="s">
        <v>259</v>
      </c>
      <c r="H10093" s="548">
        <v>1</v>
      </c>
      <c r="I10093" s="412">
        <f>'BAHAN '!G396</f>
        <v>0</v>
      </c>
      <c r="J10093" s="16">
        <f>H10093*I10093</f>
        <v>0</v>
      </c>
    </row>
    <row r="10094" spans="1:10" ht="13.5" thickBot="1">
      <c r="A10094" s="27"/>
      <c r="B10094" s="110"/>
      <c r="D10094" s="417"/>
      <c r="E10094" s="418"/>
      <c r="F10094" s="418"/>
      <c r="G10094" s="419"/>
      <c r="H10094" s="420" t="s">
        <v>64</v>
      </c>
      <c r="I10094" s="421"/>
      <c r="J10094" s="396">
        <f>SUM(J10093)</f>
        <v>0</v>
      </c>
    </row>
    <row r="10095" spans="1:10" ht="13">
      <c r="A10095" s="27"/>
      <c r="B10095" s="110"/>
      <c r="D10095" s="406" t="s">
        <v>65</v>
      </c>
      <c r="E10095" s="13" t="s">
        <v>66</v>
      </c>
      <c r="F10095" s="14"/>
      <c r="G10095" s="15"/>
      <c r="H10095" s="451"/>
      <c r="I10095" s="412"/>
      <c r="J10095" s="16"/>
    </row>
    <row r="10096" spans="1:10" ht="13.5" thickBot="1">
      <c r="A10096" s="27"/>
      <c r="B10096" s="110"/>
      <c r="D10096" s="409"/>
      <c r="E10096" s="13" t="s">
        <v>411</v>
      </c>
      <c r="F10096" s="14"/>
      <c r="G10096" s="543" t="s">
        <v>285</v>
      </c>
      <c r="H10096" s="548">
        <v>1.7000000000000001E-2</v>
      </c>
      <c r="I10096" s="412">
        <f>Alat!H26</f>
        <v>0</v>
      </c>
      <c r="J10096" s="16">
        <f>H10096*I10096</f>
        <v>0</v>
      </c>
    </row>
    <row r="10097" spans="1:10" ht="13.5" thickBot="1">
      <c r="A10097" s="27"/>
      <c r="B10097" s="110"/>
      <c r="D10097" s="417"/>
      <c r="E10097" s="418"/>
      <c r="F10097" s="418"/>
      <c r="G10097" s="419"/>
      <c r="H10097" s="420" t="s">
        <v>67</v>
      </c>
      <c r="I10097" s="421"/>
      <c r="J10097" s="396">
        <f>J10096</f>
        <v>0</v>
      </c>
    </row>
    <row r="10098" spans="1:10" ht="13">
      <c r="A10098" s="27"/>
      <c r="B10098" s="110"/>
      <c r="D10098" s="444" t="s">
        <v>68</v>
      </c>
      <c r="E10098" s="445" t="s">
        <v>69</v>
      </c>
      <c r="F10098" s="446"/>
      <c r="G10098" s="447"/>
      <c r="H10098" s="448"/>
      <c r="I10098" s="449">
        <f>IF(AND(E10098&lt;&gt;"",G10098&lt;&gt;""),IF(D10098="",IF(G10098="OH",VLOOKUP(E10098,UPAH!$C$4:$H$31,7,0),VLOOKUP(E10098,#REF!,4,0)),0),0)</f>
        <v>0</v>
      </c>
      <c r="J10098" s="16">
        <f>SUM(J10087:J10097)/2</f>
        <v>0</v>
      </c>
    </row>
    <row r="10099" spans="1:10" ht="13.5" thickBot="1">
      <c r="A10099" s="27"/>
      <c r="B10099" s="110"/>
      <c r="D10099" s="431" t="s">
        <v>70</v>
      </c>
      <c r="E10099" s="432" t="s">
        <v>477</v>
      </c>
      <c r="F10099" s="433"/>
      <c r="G10099" s="434"/>
      <c r="H10099" s="22">
        <v>0.1</v>
      </c>
      <c r="I10099" s="436"/>
      <c r="J10099" s="430">
        <f>H10099*J10098</f>
        <v>0</v>
      </c>
    </row>
    <row r="10100" spans="1:10" ht="13.5" thickBot="1">
      <c r="A10100" s="27"/>
      <c r="B10100" s="110"/>
      <c r="D10100" s="401" t="s">
        <v>71</v>
      </c>
      <c r="E10100" s="402" t="s">
        <v>72</v>
      </c>
      <c r="F10100" s="418"/>
      <c r="G10100" s="419"/>
      <c r="H10100" s="442"/>
      <c r="I10100" s="421">
        <f>IF(AND(E10100&lt;&gt;"",G10100&lt;&gt;""),IF(D10100="",IF(G10100="OH",VLOOKUP(E10100,UPAH!$C$4:$H$31,7,0),VLOOKUP(E10100,#REF!,4,0)),0),0)</f>
        <v>0</v>
      </c>
      <c r="J10100" s="396">
        <f>ROUNDDOWN(J10098+J10099,0)</f>
        <v>0</v>
      </c>
    </row>
    <row r="10101" spans="1:10" ht="13">
      <c r="A10101" s="27"/>
      <c r="B10101" s="110"/>
      <c r="D10101" s="11"/>
      <c r="E10101" s="11"/>
      <c r="H10101" s="443"/>
      <c r="I10101" s="17"/>
      <c r="J10101" s="18"/>
    </row>
    <row r="10102" spans="1:10" ht="13.5" thickBot="1">
      <c r="A10102" s="27"/>
      <c r="B10102" s="110"/>
      <c r="C10102" s="11" t="s">
        <v>1561</v>
      </c>
      <c r="D10102" s="10" t="s">
        <v>1584</v>
      </c>
      <c r="H10102" s="443"/>
    </row>
    <row r="10103" spans="1:10" ht="13.5" thickBot="1">
      <c r="A10103" s="27"/>
      <c r="B10103" s="110"/>
      <c r="D10103" s="401" t="s">
        <v>40</v>
      </c>
      <c r="E10103" s="402" t="s">
        <v>41</v>
      </c>
      <c r="F10103" s="402" t="s">
        <v>42</v>
      </c>
      <c r="G10103" s="403" t="s">
        <v>43</v>
      </c>
      <c r="H10103" s="404" t="s">
        <v>44</v>
      </c>
      <c r="I10103" s="402" t="s">
        <v>474</v>
      </c>
      <c r="J10103" s="405" t="s">
        <v>475</v>
      </c>
    </row>
    <row r="10104" spans="1:10" ht="13">
      <c r="A10104" s="27"/>
      <c r="B10104" s="110"/>
      <c r="D10104" s="444" t="s">
        <v>45</v>
      </c>
      <c r="E10104" s="445" t="s">
        <v>46</v>
      </c>
      <c r="F10104" s="446"/>
      <c r="G10104" s="447"/>
      <c r="H10104" s="448"/>
      <c r="I10104" s="449"/>
      <c r="J10104" s="450"/>
    </row>
    <row r="10105" spans="1:10" ht="13">
      <c r="A10105" s="27"/>
      <c r="B10105" s="110"/>
      <c r="D10105" s="409"/>
      <c r="E10105" s="13" t="s">
        <v>47</v>
      </c>
      <c r="F10105" s="13" t="s">
        <v>1918</v>
      </c>
      <c r="G10105" s="543" t="s">
        <v>48</v>
      </c>
      <c r="H10105" s="548">
        <v>6.7000000000000004E-2</v>
      </c>
      <c r="I10105" s="412">
        <f>IF(AND(E10105&lt;&gt;"",G10105&lt;&gt;""),IF(D10105="",IF(G10105="OH",VLOOKUP(F10105,UPAH!$B$4:$H$101,7,0),VLOOKUP(F10105,#REF!,4,0)),0),0)</f>
        <v>0</v>
      </c>
      <c r="J10105" s="16">
        <f>H10105*I10105</f>
        <v>0</v>
      </c>
    </row>
    <row r="10106" spans="1:10" ht="13">
      <c r="A10106" s="27"/>
      <c r="B10106" s="110"/>
      <c r="D10106" s="409"/>
      <c r="E10106" s="13" t="s">
        <v>283</v>
      </c>
      <c r="F10106" s="13" t="s">
        <v>1913</v>
      </c>
      <c r="G10106" s="543" t="s">
        <v>48</v>
      </c>
      <c r="H10106" s="548">
        <v>3.3000000000000002E-2</v>
      </c>
      <c r="I10106" s="412">
        <f>IF(AND(E10106&lt;&gt;"",G10106&lt;&gt;""),IF(D10106="",IF(G10106="OH",VLOOKUP(F10106,UPAH!$B$4:$H$101,7,0),VLOOKUP(F10106,#REF!,4,0)),0),0)</f>
        <v>0</v>
      </c>
      <c r="J10106" s="16">
        <f>H10106*I10106</f>
        <v>0</v>
      </c>
    </row>
    <row r="10107" spans="1:10" ht="13">
      <c r="A10107" s="27"/>
      <c r="B10107" s="110"/>
      <c r="D10107" s="409"/>
      <c r="E10107" s="13" t="s">
        <v>51</v>
      </c>
      <c r="F10107" s="13" t="s">
        <v>1929</v>
      </c>
      <c r="G10107" s="543" t="s">
        <v>48</v>
      </c>
      <c r="H10107" s="548">
        <v>7.0000000000000001E-3</v>
      </c>
      <c r="I10107" s="412">
        <f>IF(AND(E10107&lt;&gt;"",G10107&lt;&gt;""),IF(D10107="",IF(G10107="OH",VLOOKUP(F10107,UPAH!$B$4:$H$101,7,0),VLOOKUP(F10107,#REF!,4,0)),0),0)</f>
        <v>0</v>
      </c>
      <c r="J10107" s="16">
        <f>H10107*I10107</f>
        <v>0</v>
      </c>
    </row>
    <row r="10108" spans="1:10" ht="13.5" thickBot="1">
      <c r="A10108" s="27"/>
      <c r="B10108" s="110"/>
      <c r="D10108" s="409"/>
      <c r="E10108" s="13" t="s">
        <v>1937</v>
      </c>
      <c r="F10108" s="13" t="s">
        <v>1938</v>
      </c>
      <c r="G10108" s="543" t="s">
        <v>48</v>
      </c>
      <c r="H10108" s="548">
        <v>0.221</v>
      </c>
      <c r="I10108" s="412">
        <f>IF(AND(E10108&lt;&gt;"",G10108&lt;&gt;""),IF(D10108="",IF(G10108="OH",VLOOKUP(F10108,UPAH!$B$4:$H$101,7,0),VLOOKUP(F10108,#REF!,4,0)),0),0)</f>
        <v>0</v>
      </c>
      <c r="J10108" s="16">
        <f>H10108*I10108</f>
        <v>0</v>
      </c>
    </row>
    <row r="10109" spans="1:10" ht="13.5" thickBot="1">
      <c r="A10109" s="27"/>
      <c r="B10109" s="110"/>
      <c r="D10109" s="417"/>
      <c r="E10109" s="418"/>
      <c r="F10109" s="418"/>
      <c r="G10109" s="419"/>
      <c r="H10109" s="420" t="s">
        <v>52</v>
      </c>
      <c r="I10109" s="421"/>
      <c r="J10109" s="396">
        <f>SUM(J10105:J10108)</f>
        <v>0</v>
      </c>
    </row>
    <row r="10110" spans="1:10" ht="13">
      <c r="A10110" s="27"/>
      <c r="B10110" s="110"/>
      <c r="D10110" s="406" t="s">
        <v>53</v>
      </c>
      <c r="E10110" s="13" t="s">
        <v>54</v>
      </c>
      <c r="F10110" s="14"/>
      <c r="G10110" s="15"/>
      <c r="H10110" s="451"/>
      <c r="I10110" s="412"/>
      <c r="J10110" s="16"/>
    </row>
    <row r="10111" spans="1:10" ht="13.5" thickBot="1">
      <c r="A10111" s="27"/>
      <c r="B10111" s="110"/>
      <c r="D10111" s="409"/>
      <c r="E10111" s="13" t="s">
        <v>304</v>
      </c>
      <c r="F10111" s="14"/>
      <c r="G10111" s="543" t="s">
        <v>259</v>
      </c>
      <c r="H10111" s="548">
        <v>1</v>
      </c>
      <c r="I10111" s="412">
        <f>'BAHAN '!G395</f>
        <v>0</v>
      </c>
      <c r="J10111" s="16">
        <f>H10111*I10111</f>
        <v>0</v>
      </c>
    </row>
    <row r="10112" spans="1:10" ht="13.5" thickBot="1">
      <c r="A10112" s="27"/>
      <c r="B10112" s="110"/>
      <c r="D10112" s="417"/>
      <c r="E10112" s="418"/>
      <c r="F10112" s="418"/>
      <c r="G10112" s="419"/>
      <c r="H10112" s="420" t="s">
        <v>64</v>
      </c>
      <c r="I10112" s="421"/>
      <c r="J10112" s="396">
        <f>SUM(J10111)</f>
        <v>0</v>
      </c>
    </row>
    <row r="10113" spans="1:10" ht="13">
      <c r="A10113" s="27"/>
      <c r="B10113" s="110"/>
      <c r="D10113" s="406" t="s">
        <v>65</v>
      </c>
      <c r="E10113" s="13" t="s">
        <v>66</v>
      </c>
      <c r="F10113" s="14"/>
      <c r="G10113" s="15"/>
      <c r="H10113" s="451"/>
      <c r="I10113" s="412"/>
      <c r="J10113" s="16"/>
    </row>
    <row r="10114" spans="1:10" ht="13.5" thickBot="1">
      <c r="A10114" s="27"/>
      <c r="B10114" s="110"/>
      <c r="D10114" s="409"/>
      <c r="E10114" s="13" t="s">
        <v>411</v>
      </c>
      <c r="F10114" s="14"/>
      <c r="G10114" s="543" t="s">
        <v>285</v>
      </c>
      <c r="H10114" s="548">
        <v>2.3E-2</v>
      </c>
      <c r="I10114" s="412">
        <f>Alat!H26</f>
        <v>0</v>
      </c>
      <c r="J10114" s="16">
        <f>H10114*I10114</f>
        <v>0</v>
      </c>
    </row>
    <row r="10115" spans="1:10" ht="13.5" thickBot="1">
      <c r="A10115" s="27"/>
      <c r="B10115" s="110"/>
      <c r="D10115" s="417"/>
      <c r="E10115" s="418"/>
      <c r="F10115" s="418"/>
      <c r="G10115" s="419"/>
      <c r="H10115" s="420" t="s">
        <v>67</v>
      </c>
      <c r="I10115" s="421"/>
      <c r="J10115" s="396">
        <f>J10114</f>
        <v>0</v>
      </c>
    </row>
    <row r="10116" spans="1:10" ht="13">
      <c r="A10116" s="27"/>
      <c r="B10116" s="110"/>
      <c r="D10116" s="444" t="s">
        <v>68</v>
      </c>
      <c r="E10116" s="445" t="s">
        <v>69</v>
      </c>
      <c r="F10116" s="446"/>
      <c r="G10116" s="447"/>
      <c r="H10116" s="448"/>
      <c r="I10116" s="449">
        <f>IF(AND(E10116&lt;&gt;"",G10116&lt;&gt;""),IF(D10116="",IF(G10116="OH",VLOOKUP(E10116,UPAH!$C$4:$H$31,7,0),VLOOKUP(E10116,#REF!,4,0)),0),0)</f>
        <v>0</v>
      </c>
      <c r="J10116" s="16">
        <f>SUM(J10105:J10115)/2</f>
        <v>0</v>
      </c>
    </row>
    <row r="10117" spans="1:10" ht="13.5" thickBot="1">
      <c r="A10117" s="27"/>
      <c r="B10117" s="110"/>
      <c r="D10117" s="431" t="s">
        <v>70</v>
      </c>
      <c r="E10117" s="432" t="s">
        <v>477</v>
      </c>
      <c r="F10117" s="433"/>
      <c r="G10117" s="434"/>
      <c r="H10117" s="22">
        <v>0.1</v>
      </c>
      <c r="I10117" s="436"/>
      <c r="J10117" s="430">
        <f>H10117*J10116</f>
        <v>0</v>
      </c>
    </row>
    <row r="10118" spans="1:10" ht="13.5" thickBot="1">
      <c r="A10118" s="27"/>
      <c r="B10118" s="110"/>
      <c r="D10118" s="401" t="s">
        <v>71</v>
      </c>
      <c r="E10118" s="402" t="s">
        <v>72</v>
      </c>
      <c r="F10118" s="418"/>
      <c r="G10118" s="419"/>
      <c r="H10118" s="442"/>
      <c r="I10118" s="421">
        <f>IF(AND(E10118&lt;&gt;"",G10118&lt;&gt;""),IF(D10118="",IF(G10118="OH",VLOOKUP(E10118,UPAH!$C$4:$H$31,7,0),VLOOKUP(E10118,#REF!,4,0)),0),0)</f>
        <v>0</v>
      </c>
      <c r="J10118" s="396">
        <f>ROUNDDOWN(J10116+J10117,0)</f>
        <v>0</v>
      </c>
    </row>
    <row r="10119" spans="1:10" ht="13">
      <c r="A10119" s="27"/>
      <c r="B10119" s="110"/>
      <c r="D10119" s="11"/>
      <c r="E10119" s="11"/>
      <c r="H10119" s="443"/>
      <c r="I10119" s="17"/>
      <c r="J10119" s="18"/>
    </row>
    <row r="10120" spans="1:10" ht="13.5" thickBot="1">
      <c r="A10120" s="27"/>
      <c r="B10120" s="110"/>
      <c r="C10120" s="11" t="s">
        <v>1560</v>
      </c>
      <c r="D10120" s="10" t="s">
        <v>1585</v>
      </c>
      <c r="H10120" s="443"/>
    </row>
    <row r="10121" spans="1:10" ht="13.5" thickBot="1">
      <c r="A10121" s="27"/>
      <c r="B10121" s="110"/>
      <c r="D10121" s="401" t="s">
        <v>40</v>
      </c>
      <c r="E10121" s="402" t="s">
        <v>41</v>
      </c>
      <c r="F10121" s="402" t="s">
        <v>42</v>
      </c>
      <c r="G10121" s="403" t="s">
        <v>43</v>
      </c>
      <c r="H10121" s="404" t="s">
        <v>44</v>
      </c>
      <c r="I10121" s="402" t="s">
        <v>474</v>
      </c>
      <c r="J10121" s="405" t="s">
        <v>475</v>
      </c>
    </row>
    <row r="10122" spans="1:10" ht="13">
      <c r="A10122" s="27"/>
      <c r="B10122" s="110"/>
      <c r="D10122" s="444" t="s">
        <v>45</v>
      </c>
      <c r="E10122" s="445" t="s">
        <v>46</v>
      </c>
      <c r="F10122" s="446"/>
      <c r="G10122" s="447"/>
      <c r="H10122" s="448"/>
      <c r="I10122" s="449"/>
      <c r="J10122" s="450"/>
    </row>
    <row r="10123" spans="1:10" ht="13">
      <c r="A10123" s="27"/>
      <c r="B10123" s="110"/>
      <c r="D10123" s="409"/>
      <c r="E10123" s="13" t="s">
        <v>47</v>
      </c>
      <c r="F10123" s="13" t="s">
        <v>1918</v>
      </c>
      <c r="G10123" s="410" t="s">
        <v>48</v>
      </c>
      <c r="H10123" s="411">
        <v>0.09</v>
      </c>
      <c r="I10123" s="412">
        <f>IF(AND(E10123&lt;&gt;"",G10123&lt;&gt;""),IF(D10123="",IF(G10123="OH",VLOOKUP(F10123,UPAH!$B$4:$H$101,7,0),VLOOKUP(F10123,#REF!,4,0)),0),0)</f>
        <v>0</v>
      </c>
      <c r="J10123" s="16">
        <f>H10123*I10123</f>
        <v>0</v>
      </c>
    </row>
    <row r="10124" spans="1:10" ht="13">
      <c r="A10124" s="27"/>
      <c r="B10124" s="110"/>
      <c r="D10124" s="409"/>
      <c r="E10124" s="13" t="s">
        <v>283</v>
      </c>
      <c r="F10124" s="13" t="s">
        <v>1913</v>
      </c>
      <c r="G10124" s="410" t="s">
        <v>48</v>
      </c>
      <c r="H10124" s="411">
        <v>4.4999999999999998E-2</v>
      </c>
      <c r="I10124" s="412">
        <f>IF(AND(E10124&lt;&gt;"",G10124&lt;&gt;""),IF(D10124="",IF(G10124="OH",VLOOKUP(F10124,UPAH!$B$4:$H$101,7,0),VLOOKUP(F10124,#REF!,4,0)),0),0)</f>
        <v>0</v>
      </c>
      <c r="J10124" s="16">
        <f>H10124*I10124</f>
        <v>0</v>
      </c>
    </row>
    <row r="10125" spans="1:10" ht="13">
      <c r="A10125" s="27"/>
      <c r="B10125" s="110"/>
      <c r="D10125" s="409"/>
      <c r="E10125" s="13" t="s">
        <v>51</v>
      </c>
      <c r="F10125" s="13" t="s">
        <v>1929</v>
      </c>
      <c r="G10125" s="410" t="s">
        <v>48</v>
      </c>
      <c r="H10125" s="411">
        <v>8.9999999999999993E-3</v>
      </c>
      <c r="I10125" s="412">
        <f>IF(AND(E10125&lt;&gt;"",G10125&lt;&gt;""),IF(D10125="",IF(G10125="OH",VLOOKUP(F10125,UPAH!$B$4:$H$101,7,0),VLOOKUP(F10125,#REF!,4,0)),0),0)</f>
        <v>0</v>
      </c>
      <c r="J10125" s="16">
        <f>H10125*I10125</f>
        <v>0</v>
      </c>
    </row>
    <row r="10126" spans="1:10" ht="13.5" thickBot="1">
      <c r="A10126" s="27"/>
      <c r="B10126" s="110"/>
      <c r="D10126" s="409"/>
      <c r="E10126" s="13" t="s">
        <v>1937</v>
      </c>
      <c r="F10126" s="13" t="s">
        <v>1938</v>
      </c>
      <c r="G10126" s="410" t="s">
        <v>48</v>
      </c>
      <c r="H10126" s="411">
        <v>0.27100000000000002</v>
      </c>
      <c r="I10126" s="412">
        <f>IF(AND(E10126&lt;&gt;"",G10126&lt;&gt;""),IF(D10126="",IF(G10126="OH",VLOOKUP(F10126,UPAH!$B$4:$H$101,7,0),VLOOKUP(F10126,#REF!,4,0)),0),0)</f>
        <v>0</v>
      </c>
      <c r="J10126" s="16">
        <f>H10126*I10126</f>
        <v>0</v>
      </c>
    </row>
    <row r="10127" spans="1:10" ht="13.5" thickBot="1">
      <c r="A10127" s="27"/>
      <c r="B10127" s="110"/>
      <c r="D10127" s="417"/>
      <c r="E10127" s="418"/>
      <c r="F10127" s="418"/>
      <c r="G10127" s="419"/>
      <c r="H10127" s="420" t="s">
        <v>52</v>
      </c>
      <c r="I10127" s="421"/>
      <c r="J10127" s="396">
        <f>SUM(J10123:J10126)</f>
        <v>0</v>
      </c>
    </row>
    <row r="10128" spans="1:10" ht="13">
      <c r="A10128" s="27"/>
      <c r="B10128" s="110"/>
      <c r="D10128" s="406" t="s">
        <v>53</v>
      </c>
      <c r="E10128" s="13" t="s">
        <v>54</v>
      </c>
      <c r="F10128" s="14"/>
      <c r="G10128" s="15"/>
      <c r="H10128" s="451"/>
      <c r="I10128" s="412"/>
      <c r="J10128" s="16"/>
    </row>
    <row r="10129" spans="1:10" ht="13.5" thickBot="1">
      <c r="A10129" s="27"/>
      <c r="B10129" s="110"/>
      <c r="D10129" s="409"/>
      <c r="E10129" s="13" t="s">
        <v>305</v>
      </c>
      <c r="F10129" s="14"/>
      <c r="G10129" s="410" t="s">
        <v>259</v>
      </c>
      <c r="H10129" s="411">
        <v>1</v>
      </c>
      <c r="I10129" s="412">
        <f>'BAHAN '!G394</f>
        <v>0</v>
      </c>
      <c r="J10129" s="16">
        <f>H10129*I10129</f>
        <v>0</v>
      </c>
    </row>
    <row r="10130" spans="1:10" ht="13.5" thickBot="1">
      <c r="A10130" s="27"/>
      <c r="B10130" s="110"/>
      <c r="D10130" s="417"/>
      <c r="E10130" s="418"/>
      <c r="F10130" s="418"/>
      <c r="G10130" s="419"/>
      <c r="H10130" s="420" t="s">
        <v>64</v>
      </c>
      <c r="I10130" s="421"/>
      <c r="J10130" s="396">
        <f>SUM(J10129)</f>
        <v>0</v>
      </c>
    </row>
    <row r="10131" spans="1:10" ht="13">
      <c r="A10131" s="27"/>
      <c r="B10131" s="110"/>
      <c r="D10131" s="406" t="s">
        <v>65</v>
      </c>
      <c r="E10131" s="13" t="s">
        <v>66</v>
      </c>
      <c r="F10131" s="14"/>
      <c r="G10131" s="15"/>
      <c r="H10131" s="451"/>
      <c r="I10131" s="412"/>
      <c r="J10131" s="16"/>
    </row>
    <row r="10132" spans="1:10" ht="13.5" thickBot="1">
      <c r="A10132" s="27"/>
      <c r="B10132" s="110"/>
      <c r="D10132" s="409"/>
      <c r="E10132" s="13" t="s">
        <v>411</v>
      </c>
      <c r="F10132" s="14"/>
      <c r="G10132" s="410" t="s">
        <v>285</v>
      </c>
      <c r="H10132" s="411">
        <v>0.03</v>
      </c>
      <c r="I10132" s="412">
        <f>Alat!H26</f>
        <v>0</v>
      </c>
      <c r="J10132" s="16">
        <f>H10132*I10132</f>
        <v>0</v>
      </c>
    </row>
    <row r="10133" spans="1:10" ht="13.5" thickBot="1">
      <c r="A10133" s="27"/>
      <c r="B10133" s="110"/>
      <c r="D10133" s="417"/>
      <c r="E10133" s="418"/>
      <c r="F10133" s="418"/>
      <c r="G10133" s="419"/>
      <c r="H10133" s="420" t="s">
        <v>67</v>
      </c>
      <c r="I10133" s="421"/>
      <c r="J10133" s="396">
        <f>J10132</f>
        <v>0</v>
      </c>
    </row>
    <row r="10134" spans="1:10" ht="13">
      <c r="A10134" s="27"/>
      <c r="B10134" s="110"/>
      <c r="D10134" s="444" t="s">
        <v>68</v>
      </c>
      <c r="E10134" s="445" t="s">
        <v>69</v>
      </c>
      <c r="F10134" s="446"/>
      <c r="G10134" s="447"/>
      <c r="H10134" s="448"/>
      <c r="I10134" s="449">
        <f>IF(AND(E10134&lt;&gt;"",G10134&lt;&gt;""),IF(D10134="",IF(G10134="OH",VLOOKUP(E10134,UPAH!$C$4:$H$31,7,0),VLOOKUP(E10134,#REF!,4,0)),0),0)</f>
        <v>0</v>
      </c>
      <c r="J10134" s="16">
        <f>SUM(J10123:J10133)/2</f>
        <v>0</v>
      </c>
    </row>
    <row r="10135" spans="1:10" ht="13.5" thickBot="1">
      <c r="A10135" s="27"/>
      <c r="B10135" s="110"/>
      <c r="D10135" s="431" t="s">
        <v>70</v>
      </c>
      <c r="E10135" s="432" t="s">
        <v>477</v>
      </c>
      <c r="F10135" s="433"/>
      <c r="G10135" s="434"/>
      <c r="H10135" s="22">
        <v>0.1</v>
      </c>
      <c r="I10135" s="436"/>
      <c r="J10135" s="430">
        <f>H10135*J10134</f>
        <v>0</v>
      </c>
    </row>
    <row r="10136" spans="1:10" ht="13.5" thickBot="1">
      <c r="A10136" s="27"/>
      <c r="B10136" s="110"/>
      <c r="D10136" s="401" t="s">
        <v>71</v>
      </c>
      <c r="E10136" s="402" t="s">
        <v>72</v>
      </c>
      <c r="F10136" s="418"/>
      <c r="G10136" s="419"/>
      <c r="H10136" s="442"/>
      <c r="I10136" s="421">
        <f>IF(AND(E10136&lt;&gt;"",G10136&lt;&gt;""),IF(D10136="",IF(G10136="OH",VLOOKUP(E10136,UPAH!$C$4:$H$31,7,0),VLOOKUP(E10136,#REF!,4,0)),0),0)</f>
        <v>0</v>
      </c>
      <c r="J10136" s="396">
        <f>ROUNDDOWN(J10134+J10135,0)</f>
        <v>0</v>
      </c>
    </row>
    <row r="10137" spans="1:10" ht="13">
      <c r="A10137" s="27"/>
      <c r="B10137" s="110"/>
      <c r="D10137" s="11"/>
      <c r="E10137" s="11"/>
      <c r="H10137" s="443"/>
      <c r="I10137" s="17"/>
      <c r="J10137" s="18"/>
    </row>
    <row r="10138" spans="1:10" ht="13.5" thickBot="1">
      <c r="A10138" s="27"/>
      <c r="B10138" s="110"/>
      <c r="C10138" s="11" t="s">
        <v>1559</v>
      </c>
      <c r="D10138" s="10" t="s">
        <v>1586</v>
      </c>
      <c r="H10138" s="443"/>
    </row>
    <row r="10139" spans="1:10" ht="13.5" thickBot="1">
      <c r="A10139" s="27"/>
      <c r="B10139" s="110"/>
      <c r="D10139" s="401" t="s">
        <v>40</v>
      </c>
      <c r="E10139" s="402" t="s">
        <v>41</v>
      </c>
      <c r="F10139" s="402" t="s">
        <v>42</v>
      </c>
      <c r="G10139" s="403" t="s">
        <v>43</v>
      </c>
      <c r="H10139" s="404" t="s">
        <v>44</v>
      </c>
      <c r="I10139" s="402" t="s">
        <v>474</v>
      </c>
      <c r="J10139" s="405" t="s">
        <v>475</v>
      </c>
    </row>
    <row r="10140" spans="1:10" ht="13">
      <c r="A10140" s="27"/>
      <c r="B10140" s="110"/>
      <c r="D10140" s="444" t="s">
        <v>45</v>
      </c>
      <c r="E10140" s="445" t="s">
        <v>46</v>
      </c>
      <c r="F10140" s="446"/>
      <c r="G10140" s="447"/>
      <c r="H10140" s="448"/>
      <c r="I10140" s="449"/>
      <c r="J10140" s="450"/>
    </row>
    <row r="10141" spans="1:10" ht="13">
      <c r="A10141" s="27"/>
      <c r="B10141" s="110"/>
      <c r="D10141" s="409"/>
      <c r="E10141" s="13" t="s">
        <v>47</v>
      </c>
      <c r="F10141" s="13" t="s">
        <v>1918</v>
      </c>
      <c r="G10141" s="410" t="s">
        <v>48</v>
      </c>
      <c r="H10141" s="411">
        <v>0.17699999999999999</v>
      </c>
      <c r="I10141" s="412">
        <f>IF(AND(E10141&lt;&gt;"",G10141&lt;&gt;""),IF(D10141="",IF(G10141="OH",VLOOKUP(F10141,UPAH!$B$4:$H$101,7,0),VLOOKUP(F10141,#REF!,4,0)),0),0)</f>
        <v>0</v>
      </c>
      <c r="J10141" s="16">
        <f>H10141*I10141</f>
        <v>0</v>
      </c>
    </row>
    <row r="10142" spans="1:10" ht="13">
      <c r="A10142" s="27"/>
      <c r="B10142" s="110"/>
      <c r="D10142" s="409"/>
      <c r="E10142" s="13" t="s">
        <v>283</v>
      </c>
      <c r="F10142" s="13" t="s">
        <v>1913</v>
      </c>
      <c r="G10142" s="410" t="s">
        <v>48</v>
      </c>
      <c r="H10142" s="411">
        <v>8.7999999999999995E-2</v>
      </c>
      <c r="I10142" s="412">
        <f>IF(AND(E10142&lt;&gt;"",G10142&lt;&gt;""),IF(D10142="",IF(G10142="OH",VLOOKUP(F10142,UPAH!$B$4:$H$101,7,0),VLOOKUP(F10142,#REF!,4,0)),0),0)</f>
        <v>0</v>
      </c>
      <c r="J10142" s="16">
        <f>H10142*I10142</f>
        <v>0</v>
      </c>
    </row>
    <row r="10143" spans="1:10" ht="13">
      <c r="A10143" s="27"/>
      <c r="B10143" s="110"/>
      <c r="D10143" s="409"/>
      <c r="E10143" s="13" t="s">
        <v>51</v>
      </c>
      <c r="F10143" s="13" t="s">
        <v>1929</v>
      </c>
      <c r="G10143" s="410" t="s">
        <v>48</v>
      </c>
      <c r="H10143" s="411">
        <v>1.7999999999999999E-2</v>
      </c>
      <c r="I10143" s="412">
        <f>IF(AND(E10143&lt;&gt;"",G10143&lt;&gt;""),IF(D10143="",IF(G10143="OH",VLOOKUP(F10143,UPAH!$B$4:$H$101,7,0),VLOOKUP(F10143,#REF!,4,0)),0),0)</f>
        <v>0</v>
      </c>
      <c r="J10143" s="16">
        <f>H10143*I10143</f>
        <v>0</v>
      </c>
    </row>
    <row r="10144" spans="1:10" ht="13.5" thickBot="1">
      <c r="A10144" s="27"/>
      <c r="B10144" s="110"/>
      <c r="D10144" s="409"/>
      <c r="E10144" s="13" t="s">
        <v>1937</v>
      </c>
      <c r="F10144" s="13" t="s">
        <v>1938</v>
      </c>
      <c r="G10144" s="410" t="s">
        <v>48</v>
      </c>
      <c r="H10144" s="411">
        <v>0.371</v>
      </c>
      <c r="I10144" s="412">
        <f>IF(AND(E10144&lt;&gt;"",G10144&lt;&gt;""),IF(D10144="",IF(G10144="OH",VLOOKUP(F10144,UPAH!$B$4:$H$101,7,0),VLOOKUP(F10144,#REF!,4,0)),0),0)</f>
        <v>0</v>
      </c>
      <c r="J10144" s="16">
        <f>H10144*I10144</f>
        <v>0</v>
      </c>
    </row>
    <row r="10145" spans="1:10" ht="13.5" thickBot="1">
      <c r="A10145" s="27"/>
      <c r="B10145" s="110"/>
      <c r="D10145" s="417"/>
      <c r="E10145" s="418"/>
      <c r="F10145" s="418"/>
      <c r="G10145" s="419"/>
      <c r="H10145" s="420" t="s">
        <v>52</v>
      </c>
      <c r="I10145" s="421"/>
      <c r="J10145" s="396">
        <f>SUM(J10141:J10144)</f>
        <v>0</v>
      </c>
    </row>
    <row r="10146" spans="1:10" ht="13">
      <c r="A10146" s="27"/>
      <c r="B10146" s="110"/>
      <c r="D10146" s="406" t="s">
        <v>53</v>
      </c>
      <c r="E10146" s="13" t="s">
        <v>54</v>
      </c>
      <c r="F10146" s="14"/>
      <c r="G10146" s="15"/>
      <c r="H10146" s="451"/>
      <c r="I10146" s="412"/>
      <c r="J10146" s="16"/>
    </row>
    <row r="10147" spans="1:10" ht="13.5" thickBot="1">
      <c r="A10147" s="27"/>
      <c r="B10147" s="110"/>
      <c r="D10147" s="409"/>
      <c r="E10147" s="13" t="s">
        <v>306</v>
      </c>
      <c r="F10147" s="14"/>
      <c r="G10147" s="410" t="s">
        <v>259</v>
      </c>
      <c r="H10147" s="411">
        <v>1</v>
      </c>
      <c r="I10147" s="412">
        <f>'BAHAN '!G392</f>
        <v>0</v>
      </c>
      <c r="J10147" s="16">
        <f>H10147*I10147</f>
        <v>0</v>
      </c>
    </row>
    <row r="10148" spans="1:10" ht="13.5" thickBot="1">
      <c r="A10148" s="27"/>
      <c r="B10148" s="110"/>
      <c r="D10148" s="417"/>
      <c r="E10148" s="418"/>
      <c r="F10148" s="418"/>
      <c r="G10148" s="419"/>
      <c r="H10148" s="420" t="s">
        <v>64</v>
      </c>
      <c r="I10148" s="421"/>
      <c r="J10148" s="396">
        <f>SUM(J10147)</f>
        <v>0</v>
      </c>
    </row>
    <row r="10149" spans="1:10" ht="13">
      <c r="A10149" s="27"/>
      <c r="B10149" s="110"/>
      <c r="D10149" s="406" t="s">
        <v>65</v>
      </c>
      <c r="E10149" s="13" t="s">
        <v>66</v>
      </c>
      <c r="F10149" s="14"/>
      <c r="G10149" s="15"/>
      <c r="H10149" s="451"/>
      <c r="I10149" s="412"/>
      <c r="J10149" s="16"/>
    </row>
    <row r="10150" spans="1:10" ht="13.5" thickBot="1">
      <c r="A10150" s="27"/>
      <c r="B10150" s="110"/>
      <c r="D10150" s="409"/>
      <c r="E10150" s="13" t="s">
        <v>411</v>
      </c>
      <c r="F10150" s="14"/>
      <c r="G10150" s="410" t="s">
        <v>285</v>
      </c>
      <c r="H10150" s="411">
        <v>5.5E-2</v>
      </c>
      <c r="I10150" s="412">
        <f>Alat!H26</f>
        <v>0</v>
      </c>
      <c r="J10150" s="16">
        <f>H10150*I10150</f>
        <v>0</v>
      </c>
    </row>
    <row r="10151" spans="1:10" ht="13.5" thickBot="1">
      <c r="A10151" s="27"/>
      <c r="B10151" s="110"/>
      <c r="D10151" s="417"/>
      <c r="E10151" s="418"/>
      <c r="F10151" s="418"/>
      <c r="G10151" s="419"/>
      <c r="H10151" s="420" t="s">
        <v>67</v>
      </c>
      <c r="I10151" s="421"/>
      <c r="J10151" s="396">
        <f>J10150</f>
        <v>0</v>
      </c>
    </row>
    <row r="10152" spans="1:10" ht="13">
      <c r="A10152" s="27"/>
      <c r="B10152" s="110"/>
      <c r="D10152" s="444" t="s">
        <v>68</v>
      </c>
      <c r="E10152" s="445" t="s">
        <v>69</v>
      </c>
      <c r="F10152" s="446"/>
      <c r="G10152" s="447"/>
      <c r="H10152" s="448"/>
      <c r="I10152" s="449">
        <f>IF(AND(E10152&lt;&gt;"",G10152&lt;&gt;""),IF(D10152="",IF(G10152="OH",VLOOKUP(E10152,UPAH!$C$4:$H$31,7,0),VLOOKUP(E10152,#REF!,4,0)),0),0)</f>
        <v>0</v>
      </c>
      <c r="J10152" s="16">
        <f>SUM(J10141:J10151)/2</f>
        <v>0</v>
      </c>
    </row>
    <row r="10153" spans="1:10" ht="13.5" thickBot="1">
      <c r="A10153" s="27"/>
      <c r="B10153" s="110"/>
      <c r="D10153" s="431" t="s">
        <v>70</v>
      </c>
      <c r="E10153" s="432" t="s">
        <v>477</v>
      </c>
      <c r="F10153" s="433"/>
      <c r="G10153" s="434"/>
      <c r="H10153" s="22">
        <v>0.1</v>
      </c>
      <c r="I10153" s="436"/>
      <c r="J10153" s="430">
        <f>H10153*J10152</f>
        <v>0</v>
      </c>
    </row>
    <row r="10154" spans="1:10" ht="13.5" thickBot="1">
      <c r="A10154" s="27"/>
      <c r="B10154" s="110"/>
      <c r="D10154" s="401" t="s">
        <v>71</v>
      </c>
      <c r="E10154" s="402" t="s">
        <v>72</v>
      </c>
      <c r="F10154" s="418"/>
      <c r="G10154" s="419"/>
      <c r="H10154" s="442"/>
      <c r="I10154" s="421">
        <f>IF(AND(E10154&lt;&gt;"",G10154&lt;&gt;""),IF(D10154="",IF(G10154="OH",VLOOKUP(E10154,UPAH!$C$4:$H$31,7,0),VLOOKUP(E10154,#REF!,4,0)),0),0)</f>
        <v>0</v>
      </c>
      <c r="J10154" s="396">
        <f>ROUNDDOWN(J10152+J10153,0)</f>
        <v>0</v>
      </c>
    </row>
    <row r="10155" spans="1:10" ht="13">
      <c r="A10155" s="27"/>
      <c r="B10155" s="110"/>
      <c r="D10155" s="11"/>
      <c r="E10155" s="11"/>
      <c r="H10155" s="443"/>
      <c r="I10155" s="17"/>
      <c r="J10155" s="18"/>
    </row>
    <row r="10156" spans="1:10" ht="13.5" thickBot="1">
      <c r="A10156" s="27"/>
      <c r="B10156" s="110"/>
      <c r="C10156" s="11" t="s">
        <v>1558</v>
      </c>
      <c r="D10156" s="10" t="s">
        <v>1587</v>
      </c>
      <c r="H10156" s="443"/>
    </row>
    <row r="10157" spans="1:10" ht="13.5" thickBot="1">
      <c r="A10157" s="27"/>
      <c r="B10157" s="110"/>
      <c r="D10157" s="401" t="s">
        <v>40</v>
      </c>
      <c r="E10157" s="402" t="s">
        <v>41</v>
      </c>
      <c r="F10157" s="402" t="s">
        <v>42</v>
      </c>
      <c r="G10157" s="403" t="s">
        <v>43</v>
      </c>
      <c r="H10157" s="404" t="s">
        <v>44</v>
      </c>
      <c r="I10157" s="402" t="s">
        <v>474</v>
      </c>
      <c r="J10157" s="405" t="s">
        <v>475</v>
      </c>
    </row>
    <row r="10158" spans="1:10" ht="13">
      <c r="A10158" s="27"/>
      <c r="B10158" s="110"/>
      <c r="D10158" s="444" t="s">
        <v>45</v>
      </c>
      <c r="E10158" s="445" t="s">
        <v>46</v>
      </c>
      <c r="F10158" s="446"/>
      <c r="G10158" s="447"/>
      <c r="H10158" s="448"/>
      <c r="I10158" s="449"/>
      <c r="J10158" s="450"/>
    </row>
    <row r="10159" spans="1:10" ht="13">
      <c r="A10159" s="27"/>
      <c r="B10159" s="110"/>
      <c r="D10159" s="409"/>
      <c r="E10159" s="13" t="s">
        <v>47</v>
      </c>
      <c r="F10159" s="13" t="s">
        <v>1918</v>
      </c>
      <c r="G10159" s="410" t="s">
        <v>48</v>
      </c>
      <c r="H10159" s="411">
        <v>0.22500000000000001</v>
      </c>
      <c r="I10159" s="412">
        <f>IF(AND(E10159&lt;&gt;"",G10159&lt;&gt;""),IF(D10159="",IF(G10159="OH",VLOOKUP(F10159,UPAH!$B$4:$H$101,7,0),VLOOKUP(F10159,#REF!,4,0)),0),0)</f>
        <v>0</v>
      </c>
      <c r="J10159" s="16">
        <f>H10159*I10159</f>
        <v>0</v>
      </c>
    </row>
    <row r="10160" spans="1:10" ht="13">
      <c r="A10160" s="27"/>
      <c r="B10160" s="110"/>
      <c r="D10160" s="409"/>
      <c r="E10160" s="13" t="s">
        <v>283</v>
      </c>
      <c r="F10160" s="13" t="s">
        <v>1913</v>
      </c>
      <c r="G10160" s="410" t="s">
        <v>48</v>
      </c>
      <c r="H10160" s="411">
        <v>0.113</v>
      </c>
      <c r="I10160" s="412">
        <f>IF(AND(E10160&lt;&gt;"",G10160&lt;&gt;""),IF(D10160="",IF(G10160="OH",VLOOKUP(F10160,UPAH!$B$4:$H$101,7,0),VLOOKUP(F10160,#REF!,4,0)),0),0)</f>
        <v>0</v>
      </c>
      <c r="J10160" s="16">
        <f>H10160*I10160</f>
        <v>0</v>
      </c>
    </row>
    <row r="10161" spans="1:10" ht="13">
      <c r="A10161" s="27"/>
      <c r="B10161" s="110"/>
      <c r="D10161" s="409"/>
      <c r="E10161" s="13" t="s">
        <v>51</v>
      </c>
      <c r="F10161" s="13" t="s">
        <v>1929</v>
      </c>
      <c r="G10161" s="410" t="s">
        <v>48</v>
      </c>
      <c r="H10161" s="411">
        <v>2.3E-2</v>
      </c>
      <c r="I10161" s="412">
        <f>IF(AND(E10161&lt;&gt;"",G10161&lt;&gt;""),IF(D10161="",IF(G10161="OH",VLOOKUP(F10161,UPAH!$B$4:$H$101,7,0),VLOOKUP(F10161,#REF!,4,0)),0),0)</f>
        <v>0</v>
      </c>
      <c r="J10161" s="16">
        <f>H10161*I10161</f>
        <v>0</v>
      </c>
    </row>
    <row r="10162" spans="1:10" ht="13.5" thickBot="1">
      <c r="A10162" s="27"/>
      <c r="B10162" s="110"/>
      <c r="D10162" s="409"/>
      <c r="E10162" s="13" t="s">
        <v>1937</v>
      </c>
      <c r="F10162" s="13" t="s">
        <v>1938</v>
      </c>
      <c r="G10162" s="410" t="s">
        <v>48</v>
      </c>
      <c r="H10162" s="411">
        <v>0.42099999999999999</v>
      </c>
      <c r="I10162" s="412">
        <f>IF(AND(E10162&lt;&gt;"",G10162&lt;&gt;""),IF(D10162="",IF(G10162="OH",VLOOKUP(F10162,UPAH!$B$4:$H$101,7,0),VLOOKUP(F10162,#REF!,4,0)),0),0)</f>
        <v>0</v>
      </c>
      <c r="J10162" s="16">
        <f>H10162*I10162</f>
        <v>0</v>
      </c>
    </row>
    <row r="10163" spans="1:10" ht="13.5" thickBot="1">
      <c r="A10163" s="27"/>
      <c r="B10163" s="110"/>
      <c r="D10163" s="417"/>
      <c r="E10163" s="418"/>
      <c r="F10163" s="418"/>
      <c r="G10163" s="419"/>
      <c r="H10163" s="420" t="s">
        <v>52</v>
      </c>
      <c r="I10163" s="421"/>
      <c r="J10163" s="396">
        <f>SUM(J10159:J10162)</f>
        <v>0</v>
      </c>
    </row>
    <row r="10164" spans="1:10" ht="13">
      <c r="A10164" s="27"/>
      <c r="B10164" s="110"/>
      <c r="D10164" s="406" t="s">
        <v>53</v>
      </c>
      <c r="E10164" s="13" t="s">
        <v>54</v>
      </c>
      <c r="F10164" s="14"/>
      <c r="G10164" s="15"/>
      <c r="H10164" s="451"/>
      <c r="I10164" s="412"/>
      <c r="J10164" s="16"/>
    </row>
    <row r="10165" spans="1:10" ht="13.5" thickBot="1">
      <c r="A10165" s="27"/>
      <c r="B10165" s="110"/>
      <c r="D10165" s="409"/>
      <c r="E10165" s="13" t="s">
        <v>307</v>
      </c>
      <c r="F10165" s="14"/>
      <c r="G10165" s="410" t="s">
        <v>259</v>
      </c>
      <c r="H10165" s="411">
        <v>1</v>
      </c>
      <c r="I10165" s="412">
        <f>'BAHAN '!G391</f>
        <v>0</v>
      </c>
      <c r="J10165" s="16">
        <f>H10165*I10165</f>
        <v>0</v>
      </c>
    </row>
    <row r="10166" spans="1:10" ht="13.5" thickBot="1">
      <c r="A10166" s="27"/>
      <c r="B10166" s="110"/>
      <c r="D10166" s="417"/>
      <c r="E10166" s="418"/>
      <c r="F10166" s="418"/>
      <c r="G10166" s="419"/>
      <c r="H10166" s="420" t="s">
        <v>64</v>
      </c>
      <c r="I10166" s="421"/>
      <c r="J10166" s="396">
        <f>SUM(J10165)</f>
        <v>0</v>
      </c>
    </row>
    <row r="10167" spans="1:10" ht="13">
      <c r="A10167" s="27"/>
      <c r="B10167" s="110"/>
      <c r="D10167" s="406" t="s">
        <v>65</v>
      </c>
      <c r="E10167" s="13" t="s">
        <v>66</v>
      </c>
      <c r="F10167" s="14"/>
      <c r="G10167" s="15"/>
      <c r="H10167" s="451"/>
      <c r="I10167" s="412"/>
      <c r="J10167" s="16"/>
    </row>
    <row r="10168" spans="1:10" ht="13.5" thickBot="1">
      <c r="A10168" s="27"/>
      <c r="B10168" s="110"/>
      <c r="D10168" s="409"/>
      <c r="E10168" s="13" t="s">
        <v>411</v>
      </c>
      <c r="F10168" s="14"/>
      <c r="G10168" s="410" t="s">
        <v>285</v>
      </c>
      <c r="H10168" s="411">
        <v>7.0000000000000007E-2</v>
      </c>
      <c r="I10168" s="412">
        <f>Alat!H26</f>
        <v>0</v>
      </c>
      <c r="J10168" s="16">
        <f>H10168*I10168</f>
        <v>0</v>
      </c>
    </row>
    <row r="10169" spans="1:10" ht="13.5" thickBot="1">
      <c r="A10169" s="27"/>
      <c r="B10169" s="110"/>
      <c r="D10169" s="417"/>
      <c r="E10169" s="418"/>
      <c r="F10169" s="418"/>
      <c r="G10169" s="419"/>
      <c r="H10169" s="420" t="s">
        <v>67</v>
      </c>
      <c r="I10169" s="421"/>
      <c r="J10169" s="396">
        <f>J10168</f>
        <v>0</v>
      </c>
    </row>
    <row r="10170" spans="1:10" ht="13">
      <c r="A10170" s="27"/>
      <c r="B10170" s="110"/>
      <c r="D10170" s="444" t="s">
        <v>68</v>
      </c>
      <c r="E10170" s="445" t="s">
        <v>69</v>
      </c>
      <c r="F10170" s="446"/>
      <c r="G10170" s="447"/>
      <c r="H10170" s="448"/>
      <c r="I10170" s="449">
        <f>IF(AND(E10170&lt;&gt;"",G10170&lt;&gt;""),IF(D10170="",IF(G10170="OH",VLOOKUP(E10170,UPAH!$C$4:$H$31,7,0),VLOOKUP(E10170,#REF!,4,0)),0),0)</f>
        <v>0</v>
      </c>
      <c r="J10170" s="16">
        <f>SUM(J10159:J10169)/2</f>
        <v>0</v>
      </c>
    </row>
    <row r="10171" spans="1:10" ht="13.5" thickBot="1">
      <c r="A10171" s="27"/>
      <c r="B10171" s="110"/>
      <c r="D10171" s="431" t="s">
        <v>70</v>
      </c>
      <c r="E10171" s="432" t="s">
        <v>477</v>
      </c>
      <c r="F10171" s="433"/>
      <c r="G10171" s="434"/>
      <c r="H10171" s="22">
        <v>0.1</v>
      </c>
      <c r="I10171" s="436"/>
      <c r="J10171" s="430">
        <f>H10171*J10170</f>
        <v>0</v>
      </c>
    </row>
    <row r="10172" spans="1:10" ht="13.5" thickBot="1">
      <c r="A10172" s="27"/>
      <c r="B10172" s="110"/>
      <c r="D10172" s="401" t="s">
        <v>71</v>
      </c>
      <c r="E10172" s="402" t="s">
        <v>72</v>
      </c>
      <c r="F10172" s="418"/>
      <c r="G10172" s="419"/>
      <c r="H10172" s="442"/>
      <c r="I10172" s="421">
        <f>IF(AND(E10172&lt;&gt;"",G10172&lt;&gt;""),IF(D10172="",IF(G10172="OH",VLOOKUP(E10172,UPAH!$C$4:$H$31,7,0),VLOOKUP(E10172,#REF!,4,0)),0),0)</f>
        <v>0</v>
      </c>
      <c r="J10172" s="396">
        <f>ROUNDDOWN(J10170+J10171,0)</f>
        <v>0</v>
      </c>
    </row>
    <row r="10173" spans="1:10" ht="13">
      <c r="A10173" s="27"/>
      <c r="B10173" s="110"/>
      <c r="D10173" s="11"/>
      <c r="E10173" s="11"/>
      <c r="H10173" s="443"/>
      <c r="I10173" s="17"/>
      <c r="J10173" s="18"/>
    </row>
    <row r="10174" spans="1:10" ht="13.5" thickBot="1">
      <c r="A10174" s="27"/>
      <c r="B10174" s="110"/>
      <c r="C10174" s="11" t="s">
        <v>1557</v>
      </c>
      <c r="D10174" s="10" t="s">
        <v>1588</v>
      </c>
      <c r="H10174" s="443"/>
    </row>
    <row r="10175" spans="1:10" ht="13.5" thickBot="1">
      <c r="A10175" s="27"/>
      <c r="B10175" s="110"/>
      <c r="D10175" s="401" t="s">
        <v>40</v>
      </c>
      <c r="E10175" s="402" t="s">
        <v>41</v>
      </c>
      <c r="F10175" s="402" t="s">
        <v>42</v>
      </c>
      <c r="G10175" s="403" t="s">
        <v>43</v>
      </c>
      <c r="H10175" s="404" t="s">
        <v>44</v>
      </c>
      <c r="I10175" s="402" t="s">
        <v>474</v>
      </c>
      <c r="J10175" s="405" t="s">
        <v>475</v>
      </c>
    </row>
    <row r="10176" spans="1:10" ht="13">
      <c r="A10176" s="27"/>
      <c r="B10176" s="110"/>
      <c r="D10176" s="444" t="s">
        <v>45</v>
      </c>
      <c r="E10176" s="445" t="s">
        <v>46</v>
      </c>
      <c r="F10176" s="446"/>
      <c r="G10176" s="447"/>
      <c r="H10176" s="448"/>
      <c r="I10176" s="449"/>
      <c r="J10176" s="450"/>
    </row>
    <row r="10177" spans="1:10" ht="13">
      <c r="A10177" s="27"/>
      <c r="B10177" s="110"/>
      <c r="D10177" s="409"/>
      <c r="E10177" s="13" t="s">
        <v>47</v>
      </c>
      <c r="F10177" s="13" t="s">
        <v>1918</v>
      </c>
      <c r="G10177" s="410" t="s">
        <v>48</v>
      </c>
      <c r="H10177" s="411">
        <v>0.27700000000000002</v>
      </c>
      <c r="I10177" s="412">
        <f>IF(AND(E10177&lt;&gt;"",G10177&lt;&gt;""),IF(D10177="",IF(G10177="OH",VLOOKUP(F10177,UPAH!$B$4:$H$101,7,0),VLOOKUP(F10177,#REF!,4,0)),0),0)</f>
        <v>0</v>
      </c>
      <c r="J10177" s="16">
        <f>H10177*I10177</f>
        <v>0</v>
      </c>
    </row>
    <row r="10178" spans="1:10" ht="13">
      <c r="A10178" s="27"/>
      <c r="B10178" s="110"/>
      <c r="D10178" s="409"/>
      <c r="E10178" s="13" t="s">
        <v>283</v>
      </c>
      <c r="F10178" s="13" t="s">
        <v>1913</v>
      </c>
      <c r="G10178" s="410" t="s">
        <v>48</v>
      </c>
      <c r="H10178" s="411">
        <v>0.13900000000000001</v>
      </c>
      <c r="I10178" s="412">
        <f>IF(AND(E10178&lt;&gt;"",G10178&lt;&gt;""),IF(D10178="",IF(G10178="OH",VLOOKUP(F10178,UPAH!$B$4:$H$101,7,0),VLOOKUP(F10178,#REF!,4,0)),0),0)</f>
        <v>0</v>
      </c>
      <c r="J10178" s="16">
        <f>H10178*I10178</f>
        <v>0</v>
      </c>
    </row>
    <row r="10179" spans="1:10" ht="13">
      <c r="A10179" s="27"/>
      <c r="B10179" s="110"/>
      <c r="D10179" s="409"/>
      <c r="E10179" s="13" t="s">
        <v>51</v>
      </c>
      <c r="F10179" s="13" t="s">
        <v>1929</v>
      </c>
      <c r="G10179" s="410" t="s">
        <v>48</v>
      </c>
      <c r="H10179" s="411">
        <v>2.8000000000000001E-2</v>
      </c>
      <c r="I10179" s="412">
        <f>IF(AND(E10179&lt;&gt;"",G10179&lt;&gt;""),IF(D10179="",IF(G10179="OH",VLOOKUP(F10179,UPAH!$B$4:$H$101,7,0),VLOOKUP(F10179,#REF!,4,0)),0),0)</f>
        <v>0</v>
      </c>
      <c r="J10179" s="16">
        <f>H10179*I10179</f>
        <v>0</v>
      </c>
    </row>
    <row r="10180" spans="1:10" ht="13.5" thickBot="1">
      <c r="A10180" s="27"/>
      <c r="B10180" s="110"/>
      <c r="D10180" s="409"/>
      <c r="E10180" s="13" t="s">
        <v>1937</v>
      </c>
      <c r="F10180" s="13" t="s">
        <v>1938</v>
      </c>
      <c r="G10180" s="410" t="s">
        <v>48</v>
      </c>
      <c r="H10180" s="411">
        <v>0.47099999999999997</v>
      </c>
      <c r="I10180" s="412">
        <f>IF(AND(E10180&lt;&gt;"",G10180&lt;&gt;""),IF(D10180="",IF(G10180="OH",VLOOKUP(F10180,UPAH!$B$4:$H$101,7,0),VLOOKUP(F10180,#REF!,4,0)),0),0)</f>
        <v>0</v>
      </c>
      <c r="J10180" s="16">
        <f>H10180*I10180</f>
        <v>0</v>
      </c>
    </row>
    <row r="10181" spans="1:10" ht="13.5" thickBot="1">
      <c r="A10181" s="27"/>
      <c r="B10181" s="110"/>
      <c r="D10181" s="417"/>
      <c r="E10181" s="418"/>
      <c r="F10181" s="418"/>
      <c r="G10181" s="419"/>
      <c r="H10181" s="420" t="s">
        <v>52</v>
      </c>
      <c r="I10181" s="421"/>
      <c r="J10181" s="396">
        <f>SUM(J10177:J10180)</f>
        <v>0</v>
      </c>
    </row>
    <row r="10182" spans="1:10" ht="13">
      <c r="A10182" s="27"/>
      <c r="B10182" s="110"/>
      <c r="D10182" s="406" t="s">
        <v>53</v>
      </c>
      <c r="E10182" s="13" t="s">
        <v>54</v>
      </c>
      <c r="F10182" s="14"/>
      <c r="G10182" s="15"/>
      <c r="H10182" s="451"/>
      <c r="I10182" s="412"/>
      <c r="J10182" s="16"/>
    </row>
    <row r="10183" spans="1:10" ht="13.5" thickBot="1">
      <c r="A10183" s="27"/>
      <c r="B10183" s="110"/>
      <c r="D10183" s="409"/>
      <c r="E10183" s="13" t="s">
        <v>308</v>
      </c>
      <c r="F10183" s="14"/>
      <c r="G10183" s="410" t="s">
        <v>259</v>
      </c>
      <c r="H10183" s="411">
        <v>1</v>
      </c>
      <c r="I10183" s="412">
        <f>'BAHAN '!G390</f>
        <v>0</v>
      </c>
      <c r="J10183" s="16">
        <f>H10183*I10183</f>
        <v>0</v>
      </c>
    </row>
    <row r="10184" spans="1:10" ht="13.5" thickBot="1">
      <c r="A10184" s="27"/>
      <c r="B10184" s="110"/>
      <c r="D10184" s="417"/>
      <c r="E10184" s="418"/>
      <c r="F10184" s="418"/>
      <c r="G10184" s="419"/>
      <c r="H10184" s="420" t="s">
        <v>64</v>
      </c>
      <c r="I10184" s="421"/>
      <c r="J10184" s="396">
        <f>SUM(J10183)</f>
        <v>0</v>
      </c>
    </row>
    <row r="10185" spans="1:10" ht="13">
      <c r="A10185" s="27"/>
      <c r="B10185" s="110"/>
      <c r="D10185" s="406" t="s">
        <v>65</v>
      </c>
      <c r="E10185" s="13" t="s">
        <v>66</v>
      </c>
      <c r="F10185" s="14"/>
      <c r="G10185" s="15"/>
      <c r="H10185" s="451"/>
      <c r="I10185" s="412"/>
      <c r="J10185" s="16"/>
    </row>
    <row r="10186" spans="1:10" ht="13.5" thickBot="1">
      <c r="A10186" s="27"/>
      <c r="B10186" s="110"/>
      <c r="D10186" s="409"/>
      <c r="E10186" s="13" t="s">
        <v>411</v>
      </c>
      <c r="F10186" s="14"/>
      <c r="G10186" s="410" t="s">
        <v>285</v>
      </c>
      <c r="H10186" s="411">
        <v>8.5000000000000006E-2</v>
      </c>
      <c r="I10186" s="412">
        <f>Alat!H26</f>
        <v>0</v>
      </c>
      <c r="J10186" s="16">
        <f>H10186*I10186</f>
        <v>0</v>
      </c>
    </row>
    <row r="10187" spans="1:10" ht="13.5" thickBot="1">
      <c r="A10187" s="27"/>
      <c r="B10187" s="110"/>
      <c r="D10187" s="417"/>
      <c r="E10187" s="418"/>
      <c r="F10187" s="418"/>
      <c r="G10187" s="419"/>
      <c r="H10187" s="420" t="s">
        <v>67</v>
      </c>
      <c r="I10187" s="421"/>
      <c r="J10187" s="396">
        <f>J10186</f>
        <v>0</v>
      </c>
    </row>
    <row r="10188" spans="1:10" ht="13">
      <c r="A10188" s="27"/>
      <c r="B10188" s="110"/>
      <c r="D10188" s="444" t="s">
        <v>68</v>
      </c>
      <c r="E10188" s="445" t="s">
        <v>69</v>
      </c>
      <c r="F10188" s="446"/>
      <c r="G10188" s="447"/>
      <c r="H10188" s="448"/>
      <c r="I10188" s="449">
        <f>IF(AND(E10188&lt;&gt;"",G10188&lt;&gt;""),IF(D10188="",IF(G10188="OH",VLOOKUP(E10188,UPAH!$C$4:$H$31,7,0),VLOOKUP(E10188,#REF!,4,0)),0),0)</f>
        <v>0</v>
      </c>
      <c r="J10188" s="16">
        <f>SUM(J10177:J10187)/2</f>
        <v>0</v>
      </c>
    </row>
    <row r="10189" spans="1:10" ht="13.5" thickBot="1">
      <c r="A10189" s="27"/>
      <c r="B10189" s="110"/>
      <c r="D10189" s="431" t="s">
        <v>70</v>
      </c>
      <c r="E10189" s="432" t="s">
        <v>477</v>
      </c>
      <c r="F10189" s="433"/>
      <c r="G10189" s="434"/>
      <c r="H10189" s="22">
        <v>0.1</v>
      </c>
      <c r="I10189" s="436"/>
      <c r="J10189" s="430">
        <f>H10189*J10188</f>
        <v>0</v>
      </c>
    </row>
    <row r="10190" spans="1:10" ht="13.5" thickBot="1">
      <c r="A10190" s="27"/>
      <c r="B10190" s="110"/>
      <c r="D10190" s="401" t="s">
        <v>71</v>
      </c>
      <c r="E10190" s="402" t="s">
        <v>72</v>
      </c>
      <c r="F10190" s="418"/>
      <c r="G10190" s="419"/>
      <c r="H10190" s="442"/>
      <c r="I10190" s="421">
        <f>IF(AND(E10190&lt;&gt;"",G10190&lt;&gt;""),IF(D10190="",IF(G10190="OH",VLOOKUP(E10190,UPAH!$C$4:$H$31,7,0),VLOOKUP(E10190,#REF!,4,0)),0),0)</f>
        <v>0</v>
      </c>
      <c r="J10190" s="396">
        <f>ROUNDDOWN(J10188+J10189,0)</f>
        <v>0</v>
      </c>
    </row>
    <row r="10191" spans="1:10" ht="13">
      <c r="A10191" s="27"/>
      <c r="B10191" s="110"/>
      <c r="D10191" s="11"/>
      <c r="E10191" s="11"/>
      <c r="H10191" s="443"/>
      <c r="I10191" s="17"/>
      <c r="J10191" s="18"/>
    </row>
    <row r="10192" spans="1:10" ht="13.5" thickBot="1">
      <c r="A10192" s="27"/>
      <c r="B10192" s="110"/>
      <c r="C10192" s="11" t="s">
        <v>1556</v>
      </c>
      <c r="D10192" s="10" t="s">
        <v>1589</v>
      </c>
      <c r="H10192" s="443"/>
    </row>
    <row r="10193" spans="1:10" ht="13.5" thickBot="1">
      <c r="A10193" s="27"/>
      <c r="B10193" s="110"/>
      <c r="D10193" s="401" t="s">
        <v>40</v>
      </c>
      <c r="E10193" s="402" t="s">
        <v>41</v>
      </c>
      <c r="F10193" s="402" t="s">
        <v>42</v>
      </c>
      <c r="G10193" s="403" t="s">
        <v>43</v>
      </c>
      <c r="H10193" s="404" t="s">
        <v>44</v>
      </c>
      <c r="I10193" s="402" t="s">
        <v>474</v>
      </c>
      <c r="J10193" s="405" t="s">
        <v>475</v>
      </c>
    </row>
    <row r="10194" spans="1:10" ht="13">
      <c r="A10194" s="27"/>
      <c r="B10194" s="110"/>
      <c r="D10194" s="444" t="s">
        <v>45</v>
      </c>
      <c r="E10194" s="445" t="s">
        <v>46</v>
      </c>
      <c r="F10194" s="446"/>
      <c r="G10194" s="447"/>
      <c r="H10194" s="448"/>
      <c r="I10194" s="449"/>
      <c r="J10194" s="450"/>
    </row>
    <row r="10195" spans="1:10" ht="13">
      <c r="A10195" s="27"/>
      <c r="B10195" s="110"/>
      <c r="D10195" s="409"/>
      <c r="E10195" s="13" t="s">
        <v>47</v>
      </c>
      <c r="F10195" s="13" t="s">
        <v>1918</v>
      </c>
      <c r="G10195" s="410" t="s">
        <v>48</v>
      </c>
      <c r="H10195" s="411">
        <v>0.33300000000000002</v>
      </c>
      <c r="I10195" s="412">
        <f>IF(AND(E10195&lt;&gt;"",G10195&lt;&gt;""),IF(D10195="",IF(G10195="OH",VLOOKUP(F10195,UPAH!$B$4:$H$101,7,0),VLOOKUP(F10195,#REF!,4,0)),0),0)</f>
        <v>0</v>
      </c>
      <c r="J10195" s="16">
        <f>H10195*I10195</f>
        <v>0</v>
      </c>
    </row>
    <row r="10196" spans="1:10" ht="13">
      <c r="A10196" s="27"/>
      <c r="B10196" s="110"/>
      <c r="D10196" s="409"/>
      <c r="E10196" s="13" t="s">
        <v>283</v>
      </c>
      <c r="F10196" s="13" t="s">
        <v>1913</v>
      </c>
      <c r="G10196" s="410" t="s">
        <v>48</v>
      </c>
      <c r="H10196" s="411">
        <v>0.16700000000000001</v>
      </c>
      <c r="I10196" s="412">
        <f>IF(AND(E10196&lt;&gt;"",G10196&lt;&gt;""),IF(D10196="",IF(G10196="OH",VLOOKUP(F10196,UPAH!$B$4:$H$101,7,0),VLOOKUP(F10196,#REF!,4,0)),0),0)</f>
        <v>0</v>
      </c>
      <c r="J10196" s="16">
        <f>H10196*I10196</f>
        <v>0</v>
      </c>
    </row>
    <row r="10197" spans="1:10" ht="13">
      <c r="A10197" s="27"/>
      <c r="B10197" s="110"/>
      <c r="D10197" s="409"/>
      <c r="E10197" s="13" t="s">
        <v>51</v>
      </c>
      <c r="F10197" s="13" t="s">
        <v>1929</v>
      </c>
      <c r="G10197" s="410" t="s">
        <v>48</v>
      </c>
      <c r="H10197" s="411">
        <v>3.3000000000000002E-2</v>
      </c>
      <c r="I10197" s="412">
        <f>IF(AND(E10197&lt;&gt;"",G10197&lt;&gt;""),IF(D10197="",IF(G10197="OH",VLOOKUP(F10197,UPAH!$B$4:$H$101,7,0),VLOOKUP(F10197,#REF!,4,0)),0),0)</f>
        <v>0</v>
      </c>
      <c r="J10197" s="16">
        <f>H10197*I10197</f>
        <v>0</v>
      </c>
    </row>
    <row r="10198" spans="1:10" ht="13.5" thickBot="1">
      <c r="A10198" s="27"/>
      <c r="B10198" s="110"/>
      <c r="D10198" s="409"/>
      <c r="E10198" s="13" t="s">
        <v>1937</v>
      </c>
      <c r="F10198" s="13" t="s">
        <v>1938</v>
      </c>
      <c r="G10198" s="410" t="s">
        <v>48</v>
      </c>
      <c r="H10198" s="411">
        <v>0.57099999999999995</v>
      </c>
      <c r="I10198" s="412">
        <f>IF(AND(E10198&lt;&gt;"",G10198&lt;&gt;""),IF(D10198="",IF(G10198="OH",VLOOKUP(F10198,UPAH!$B$4:$H$101,7,0),VLOOKUP(F10198,#REF!,4,0)),0),0)</f>
        <v>0</v>
      </c>
      <c r="J10198" s="16">
        <f>H10198*I10198</f>
        <v>0</v>
      </c>
    </row>
    <row r="10199" spans="1:10" ht="13.5" thickBot="1">
      <c r="A10199" s="27"/>
      <c r="B10199" s="110"/>
      <c r="D10199" s="417"/>
      <c r="E10199" s="418"/>
      <c r="F10199" s="418"/>
      <c r="G10199" s="419"/>
      <c r="H10199" s="420" t="s">
        <v>52</v>
      </c>
      <c r="I10199" s="421"/>
      <c r="J10199" s="396">
        <f>SUM(J10195:J10198)</f>
        <v>0</v>
      </c>
    </row>
    <row r="10200" spans="1:10" ht="13">
      <c r="A10200" s="27"/>
      <c r="B10200" s="110"/>
      <c r="D10200" s="406" t="s">
        <v>53</v>
      </c>
      <c r="E10200" s="13" t="s">
        <v>54</v>
      </c>
      <c r="F10200" s="14"/>
      <c r="G10200" s="15"/>
      <c r="H10200" s="451"/>
      <c r="I10200" s="412"/>
      <c r="J10200" s="16"/>
    </row>
    <row r="10201" spans="1:10" ht="13.5" thickBot="1">
      <c r="A10201" s="27"/>
      <c r="B10201" s="110"/>
      <c r="D10201" s="409"/>
      <c r="E10201" s="13" t="s">
        <v>348</v>
      </c>
      <c r="F10201" s="14"/>
      <c r="G10201" s="410" t="s">
        <v>259</v>
      </c>
      <c r="H10201" s="411">
        <v>1</v>
      </c>
      <c r="I10201" s="412">
        <f>'BAHAN '!G388</f>
        <v>0</v>
      </c>
      <c r="J10201" s="16">
        <f>H10201*I10201</f>
        <v>0</v>
      </c>
    </row>
    <row r="10202" spans="1:10" ht="13.5" thickBot="1">
      <c r="A10202" s="27"/>
      <c r="B10202" s="110"/>
      <c r="D10202" s="417"/>
      <c r="E10202" s="418"/>
      <c r="F10202" s="418"/>
      <c r="G10202" s="419"/>
      <c r="H10202" s="420" t="s">
        <v>64</v>
      </c>
      <c r="I10202" s="421"/>
      <c r="J10202" s="396">
        <f>SUM(J10201)</f>
        <v>0</v>
      </c>
    </row>
    <row r="10203" spans="1:10" ht="13">
      <c r="A10203" s="27"/>
      <c r="B10203" s="110"/>
      <c r="D10203" s="406" t="s">
        <v>65</v>
      </c>
      <c r="E10203" s="13" t="s">
        <v>66</v>
      </c>
      <c r="F10203" s="14"/>
      <c r="G10203" s="15"/>
      <c r="H10203" s="451"/>
      <c r="I10203" s="412"/>
      <c r="J10203" s="16"/>
    </row>
    <row r="10204" spans="1:10" ht="13.5" thickBot="1">
      <c r="A10204" s="27"/>
      <c r="B10204" s="110"/>
      <c r="D10204" s="409"/>
      <c r="E10204" s="13" t="s">
        <v>411</v>
      </c>
      <c r="F10204" s="14"/>
      <c r="G10204" s="410" t="s">
        <v>285</v>
      </c>
      <c r="H10204" s="411">
        <v>0.10100000000000001</v>
      </c>
      <c r="I10204" s="412">
        <f>Alat!H26</f>
        <v>0</v>
      </c>
      <c r="J10204" s="16">
        <f>H10204*I10204</f>
        <v>0</v>
      </c>
    </row>
    <row r="10205" spans="1:10" ht="13.5" thickBot="1">
      <c r="A10205" s="27"/>
      <c r="B10205" s="110"/>
      <c r="D10205" s="417"/>
      <c r="E10205" s="418"/>
      <c r="F10205" s="418"/>
      <c r="G10205" s="419"/>
      <c r="H10205" s="420" t="s">
        <v>67</v>
      </c>
      <c r="I10205" s="421"/>
      <c r="J10205" s="396">
        <f>J10204</f>
        <v>0</v>
      </c>
    </row>
    <row r="10206" spans="1:10" ht="13">
      <c r="A10206" s="27"/>
      <c r="B10206" s="110"/>
      <c r="D10206" s="444" t="s">
        <v>68</v>
      </c>
      <c r="E10206" s="445" t="s">
        <v>69</v>
      </c>
      <c r="F10206" s="446"/>
      <c r="G10206" s="447"/>
      <c r="H10206" s="448"/>
      <c r="I10206" s="449">
        <f>IF(AND(E10206&lt;&gt;"",G10206&lt;&gt;""),IF(D10206="",IF(G10206="OH",VLOOKUP(E10206,UPAH!$C$4:$H$31,7,0),VLOOKUP(E10206,#REF!,4,0)),0),0)</f>
        <v>0</v>
      </c>
      <c r="J10206" s="16">
        <f>SUM(J10195:J10205)/2</f>
        <v>0</v>
      </c>
    </row>
    <row r="10207" spans="1:10" ht="13.5" thickBot="1">
      <c r="A10207" s="27"/>
      <c r="B10207" s="110"/>
      <c r="D10207" s="431" t="s">
        <v>70</v>
      </c>
      <c r="E10207" s="432" t="s">
        <v>477</v>
      </c>
      <c r="F10207" s="433"/>
      <c r="G10207" s="434"/>
      <c r="H10207" s="22">
        <v>0.1</v>
      </c>
      <c r="I10207" s="436"/>
      <c r="J10207" s="430">
        <f>H10207*J10206</f>
        <v>0</v>
      </c>
    </row>
    <row r="10208" spans="1:10" ht="13.5" thickBot="1">
      <c r="A10208" s="27"/>
      <c r="B10208" s="110"/>
      <c r="D10208" s="401" t="s">
        <v>71</v>
      </c>
      <c r="E10208" s="402" t="s">
        <v>72</v>
      </c>
      <c r="F10208" s="418"/>
      <c r="G10208" s="419"/>
      <c r="H10208" s="442"/>
      <c r="I10208" s="421">
        <f>IF(AND(E10208&lt;&gt;"",G10208&lt;&gt;""),IF(D10208="",IF(G10208="OH",VLOOKUP(E10208,UPAH!$C$4:$H$31,7,0),VLOOKUP(E10208,#REF!,4,0)),0),0)</f>
        <v>0</v>
      </c>
      <c r="J10208" s="396">
        <f>ROUNDDOWN(J10206+J10207,0)</f>
        <v>0</v>
      </c>
    </row>
    <row r="10209" spans="1:10" ht="13">
      <c r="A10209" s="27"/>
      <c r="B10209" s="110"/>
      <c r="D10209" s="11"/>
      <c r="E10209" s="11"/>
      <c r="H10209" s="443"/>
      <c r="I10209" s="17"/>
      <c r="J10209" s="18"/>
    </row>
    <row r="10210" spans="1:10" ht="13.5" thickBot="1">
      <c r="A10210" s="27"/>
      <c r="B10210" s="110"/>
      <c r="C10210" s="11" t="s">
        <v>1555</v>
      </c>
      <c r="D10210" s="10" t="s">
        <v>1590</v>
      </c>
      <c r="H10210" s="443"/>
    </row>
    <row r="10211" spans="1:10" ht="13.5" thickBot="1">
      <c r="A10211" s="27"/>
      <c r="B10211" s="110"/>
      <c r="D10211" s="401" t="s">
        <v>40</v>
      </c>
      <c r="E10211" s="402" t="s">
        <v>41</v>
      </c>
      <c r="F10211" s="402" t="s">
        <v>42</v>
      </c>
      <c r="G10211" s="403" t="s">
        <v>43</v>
      </c>
      <c r="H10211" s="404" t="s">
        <v>44</v>
      </c>
      <c r="I10211" s="402" t="s">
        <v>474</v>
      </c>
      <c r="J10211" s="405" t="s">
        <v>475</v>
      </c>
    </row>
    <row r="10212" spans="1:10" ht="13">
      <c r="A10212" s="27"/>
      <c r="B10212" s="110"/>
      <c r="D10212" s="444" t="s">
        <v>45</v>
      </c>
      <c r="E10212" s="445" t="s">
        <v>46</v>
      </c>
      <c r="F10212" s="446"/>
      <c r="G10212" s="447"/>
      <c r="H10212" s="448"/>
      <c r="I10212" s="449"/>
      <c r="J10212" s="450"/>
    </row>
    <row r="10213" spans="1:10" ht="13">
      <c r="A10213" s="27"/>
      <c r="B10213" s="110"/>
      <c r="D10213" s="409"/>
      <c r="E10213" s="13" t="s">
        <v>47</v>
      </c>
      <c r="F10213" s="13" t="s">
        <v>1918</v>
      </c>
      <c r="G10213" s="410" t="s">
        <v>48</v>
      </c>
      <c r="H10213" s="411">
        <v>0.60099999999999998</v>
      </c>
      <c r="I10213" s="412">
        <f>IF(AND(E10213&lt;&gt;"",G10213&lt;&gt;""),IF(D10213="",IF(G10213="OH",VLOOKUP(F10213,UPAH!$B$4:$H$101,7,0),VLOOKUP(F10213,#REF!,4,0)),0),0)</f>
        <v>0</v>
      </c>
      <c r="J10213" s="16">
        <f>H10213*I10213</f>
        <v>0</v>
      </c>
    </row>
    <row r="10214" spans="1:10" ht="13">
      <c r="A10214" s="27"/>
      <c r="B10214" s="110"/>
      <c r="D10214" s="409"/>
      <c r="E10214" s="13" t="s">
        <v>283</v>
      </c>
      <c r="F10214" s="13" t="s">
        <v>1913</v>
      </c>
      <c r="G10214" s="410" t="s">
        <v>48</v>
      </c>
      <c r="H10214" s="411">
        <v>0.30099999999999999</v>
      </c>
      <c r="I10214" s="412">
        <f>IF(AND(E10214&lt;&gt;"",G10214&lt;&gt;""),IF(D10214="",IF(G10214="OH",VLOOKUP(F10214,UPAH!$B$4:$H$101,7,0),VLOOKUP(F10214,#REF!,4,0)),0),0)</f>
        <v>0</v>
      </c>
      <c r="J10214" s="16">
        <f>H10214*I10214</f>
        <v>0</v>
      </c>
    </row>
    <row r="10215" spans="1:10" ht="13">
      <c r="A10215" s="27"/>
      <c r="B10215" s="110"/>
      <c r="D10215" s="409"/>
      <c r="E10215" s="13" t="s">
        <v>51</v>
      </c>
      <c r="F10215" s="13" t="s">
        <v>1929</v>
      </c>
      <c r="G10215" s="410" t="s">
        <v>48</v>
      </c>
      <c r="H10215" s="411">
        <v>0.06</v>
      </c>
      <c r="I10215" s="412">
        <f>IF(AND(E10215&lt;&gt;"",G10215&lt;&gt;""),IF(D10215="",IF(G10215="OH",VLOOKUP(F10215,UPAH!$B$4:$H$101,7,0),VLOOKUP(F10215,#REF!,4,0)),0),0)</f>
        <v>0</v>
      </c>
      <c r="J10215" s="16">
        <f>H10215*I10215</f>
        <v>0</v>
      </c>
    </row>
    <row r="10216" spans="1:10" ht="13.5" thickBot="1">
      <c r="A10216" s="27"/>
      <c r="B10216" s="110"/>
      <c r="D10216" s="409"/>
      <c r="E10216" s="13" t="s">
        <v>1937</v>
      </c>
      <c r="F10216" s="13" t="s">
        <v>1938</v>
      </c>
      <c r="G10216" s="410" t="s">
        <v>48</v>
      </c>
      <c r="H10216" s="411">
        <v>0.77100000000000002</v>
      </c>
      <c r="I10216" s="412">
        <f>IF(AND(E10216&lt;&gt;"",G10216&lt;&gt;""),IF(D10216="",IF(G10216="OH",VLOOKUP(F10216,UPAH!$B$4:$H$101,7,0),VLOOKUP(F10216,#REF!,4,0)),0),0)</f>
        <v>0</v>
      </c>
      <c r="J10216" s="16">
        <f>H10216*I10216</f>
        <v>0</v>
      </c>
    </row>
    <row r="10217" spans="1:10" ht="13.5" thickBot="1">
      <c r="A10217" s="27"/>
      <c r="B10217" s="110"/>
      <c r="D10217" s="417"/>
      <c r="E10217" s="418"/>
      <c r="F10217" s="418"/>
      <c r="G10217" s="419"/>
      <c r="H10217" s="420" t="s">
        <v>52</v>
      </c>
      <c r="I10217" s="421"/>
      <c r="J10217" s="396">
        <f>SUM(J10213:J10216)</f>
        <v>0</v>
      </c>
    </row>
    <row r="10218" spans="1:10" ht="13">
      <c r="A10218" s="27"/>
      <c r="B10218" s="110"/>
      <c r="D10218" s="406" t="s">
        <v>53</v>
      </c>
      <c r="E10218" s="13" t="s">
        <v>54</v>
      </c>
      <c r="F10218" s="14"/>
      <c r="G10218" s="15"/>
      <c r="H10218" s="451"/>
      <c r="I10218" s="412"/>
      <c r="J10218" s="16"/>
    </row>
    <row r="10219" spans="1:10" ht="13.5" thickBot="1">
      <c r="A10219" s="27"/>
      <c r="B10219" s="110"/>
      <c r="D10219" s="409"/>
      <c r="E10219" s="13" t="s">
        <v>309</v>
      </c>
      <c r="F10219" s="14"/>
      <c r="G10219" s="410" t="s">
        <v>259</v>
      </c>
      <c r="H10219" s="411">
        <v>1</v>
      </c>
      <c r="I10219" s="412">
        <f>'BAHAN '!G387</f>
        <v>0</v>
      </c>
      <c r="J10219" s="16">
        <f>H10219*I10219</f>
        <v>0</v>
      </c>
    </row>
    <row r="10220" spans="1:10" ht="13.5" thickBot="1">
      <c r="A10220" s="27"/>
      <c r="B10220" s="110"/>
      <c r="D10220" s="417"/>
      <c r="E10220" s="418"/>
      <c r="F10220" s="418"/>
      <c r="G10220" s="419"/>
      <c r="H10220" s="420" t="s">
        <v>64</v>
      </c>
      <c r="I10220" s="421"/>
      <c r="J10220" s="396">
        <f>SUM(J10219)</f>
        <v>0</v>
      </c>
    </row>
    <row r="10221" spans="1:10" ht="13">
      <c r="A10221" s="27"/>
      <c r="B10221" s="110"/>
      <c r="D10221" s="406" t="s">
        <v>65</v>
      </c>
      <c r="E10221" s="13" t="s">
        <v>66</v>
      </c>
      <c r="F10221" s="14"/>
      <c r="G10221" s="15"/>
      <c r="H10221" s="451"/>
      <c r="I10221" s="412"/>
      <c r="J10221" s="16"/>
    </row>
    <row r="10222" spans="1:10" ht="13.5" thickBot="1">
      <c r="A10222" s="27"/>
      <c r="B10222" s="110"/>
      <c r="D10222" s="409"/>
      <c r="E10222" s="13" t="s">
        <v>411</v>
      </c>
      <c r="F10222" s="14"/>
      <c r="G10222" s="410" t="s">
        <v>285</v>
      </c>
      <c r="H10222" s="411">
        <v>0.17899999999999999</v>
      </c>
      <c r="I10222" s="412">
        <f>Alat!H26</f>
        <v>0</v>
      </c>
      <c r="J10222" s="16">
        <f>H10222*I10222</f>
        <v>0</v>
      </c>
    </row>
    <row r="10223" spans="1:10" ht="13.5" thickBot="1">
      <c r="A10223" s="27"/>
      <c r="B10223" s="110"/>
      <c r="D10223" s="417"/>
      <c r="E10223" s="418"/>
      <c r="F10223" s="418"/>
      <c r="G10223" s="419"/>
      <c r="H10223" s="420" t="s">
        <v>67</v>
      </c>
      <c r="I10223" s="421"/>
      <c r="J10223" s="396">
        <f>J10222</f>
        <v>0</v>
      </c>
    </row>
    <row r="10224" spans="1:10" ht="13">
      <c r="A10224" s="27"/>
      <c r="B10224" s="110"/>
      <c r="D10224" s="444" t="s">
        <v>68</v>
      </c>
      <c r="E10224" s="445" t="s">
        <v>69</v>
      </c>
      <c r="F10224" s="446"/>
      <c r="G10224" s="447"/>
      <c r="H10224" s="448"/>
      <c r="I10224" s="449">
        <f>IF(AND(E10224&lt;&gt;"",G10224&lt;&gt;""),IF(D10224="",IF(G10224="OH",VLOOKUP(E10224,UPAH!$C$4:$H$31,7,0),VLOOKUP(E10224,#REF!,4,0)),0),0)</f>
        <v>0</v>
      </c>
      <c r="J10224" s="16">
        <f>SUM(J10213:J10223)/2</f>
        <v>0</v>
      </c>
    </row>
    <row r="10225" spans="1:10" ht="13.5" thickBot="1">
      <c r="A10225" s="27"/>
      <c r="B10225" s="110"/>
      <c r="D10225" s="431" t="s">
        <v>70</v>
      </c>
      <c r="E10225" s="432" t="s">
        <v>477</v>
      </c>
      <c r="F10225" s="433"/>
      <c r="G10225" s="434"/>
      <c r="H10225" s="22">
        <v>0.1</v>
      </c>
      <c r="I10225" s="436"/>
      <c r="J10225" s="430">
        <f>H10225*J10224</f>
        <v>0</v>
      </c>
    </row>
    <row r="10226" spans="1:10" ht="13.5" thickBot="1">
      <c r="A10226" s="27"/>
      <c r="B10226" s="110"/>
      <c r="D10226" s="401" t="s">
        <v>71</v>
      </c>
      <c r="E10226" s="402" t="s">
        <v>72</v>
      </c>
      <c r="F10226" s="418"/>
      <c r="G10226" s="419"/>
      <c r="H10226" s="442"/>
      <c r="I10226" s="421">
        <f>IF(AND(E10226&lt;&gt;"",G10226&lt;&gt;""),IF(D10226="",IF(G10226="OH",VLOOKUP(E10226,UPAH!$C$4:$H$31,7,0),VLOOKUP(E10226,#REF!,4,0)),0),0)</f>
        <v>0</v>
      </c>
      <c r="J10226" s="396">
        <f>ROUNDDOWN(J10224+J10225,0)</f>
        <v>0</v>
      </c>
    </row>
    <row r="10227" spans="1:10" ht="13">
      <c r="A10227" s="27"/>
      <c r="B10227" s="110"/>
      <c r="D10227" s="11"/>
      <c r="E10227" s="11"/>
      <c r="H10227" s="443"/>
      <c r="I10227" s="17"/>
      <c r="J10227" s="18"/>
    </row>
    <row r="10228" spans="1:10" ht="13" hidden="1">
      <c r="A10228" s="27"/>
      <c r="B10228" s="110"/>
      <c r="C10228" s="11" t="s">
        <v>1554</v>
      </c>
      <c r="D10228" s="10" t="s">
        <v>1591</v>
      </c>
      <c r="H10228" s="443"/>
    </row>
    <row r="10229" spans="1:10" ht="13.5" hidden="1" thickBot="1">
      <c r="A10229" s="27"/>
      <c r="B10229" s="110"/>
      <c r="D10229" s="401" t="s">
        <v>40</v>
      </c>
      <c r="E10229" s="402" t="s">
        <v>41</v>
      </c>
      <c r="F10229" s="402" t="s">
        <v>42</v>
      </c>
      <c r="G10229" s="403" t="s">
        <v>43</v>
      </c>
      <c r="H10229" s="404" t="s">
        <v>44</v>
      </c>
      <c r="I10229" s="402" t="s">
        <v>474</v>
      </c>
      <c r="J10229" s="405" t="s">
        <v>475</v>
      </c>
    </row>
    <row r="10230" spans="1:10" ht="13" hidden="1">
      <c r="A10230" s="27"/>
      <c r="B10230" s="110"/>
      <c r="D10230" s="444" t="s">
        <v>45</v>
      </c>
      <c r="E10230" s="445" t="s">
        <v>46</v>
      </c>
      <c r="F10230" s="446"/>
      <c r="G10230" s="447"/>
      <c r="H10230" s="448"/>
      <c r="I10230" s="449"/>
      <c r="J10230" s="450"/>
    </row>
    <row r="10231" spans="1:10" ht="13" hidden="1">
      <c r="A10231" s="27"/>
      <c r="B10231" s="110"/>
      <c r="D10231" s="409"/>
      <c r="E10231" s="13" t="s">
        <v>47</v>
      </c>
      <c r="F10231" s="13" t="s">
        <v>1918</v>
      </c>
      <c r="G10231" s="410" t="s">
        <v>48</v>
      </c>
      <c r="H10231" s="411">
        <v>0.91300000000000003</v>
      </c>
      <c r="I10231" s="412">
        <f>IF(AND(E10231&lt;&gt;"",G10231&lt;&gt;""),IF(D10231="",IF(G10231="OH",VLOOKUP(F10231,UPAH!$B$4:$H$101,7,0),VLOOKUP(F10231,#REF!,4,0)),0),0)</f>
        <v>0</v>
      </c>
      <c r="J10231" s="16">
        <f>H10231*I10231</f>
        <v>0</v>
      </c>
    </row>
    <row r="10232" spans="1:10" ht="13" hidden="1">
      <c r="A10232" s="27"/>
      <c r="B10232" s="110"/>
      <c r="D10232" s="409"/>
      <c r="E10232" s="13" t="s">
        <v>283</v>
      </c>
      <c r="F10232" s="13" t="s">
        <v>1913</v>
      </c>
      <c r="G10232" s="410" t="s">
        <v>48</v>
      </c>
      <c r="H10232" s="411">
        <v>0.45600000000000002</v>
      </c>
      <c r="I10232" s="412">
        <f>IF(AND(E10232&lt;&gt;"",G10232&lt;&gt;""),IF(D10232="",IF(G10232="OH",VLOOKUP(F10232,UPAH!$B$4:$H$101,7,0),VLOOKUP(F10232,#REF!,4,0)),0),0)</f>
        <v>0</v>
      </c>
      <c r="J10232" s="16">
        <f>H10232*I10232</f>
        <v>0</v>
      </c>
    </row>
    <row r="10233" spans="1:10" ht="13" hidden="1">
      <c r="A10233" s="27"/>
      <c r="B10233" s="110"/>
      <c r="D10233" s="409"/>
      <c r="E10233" s="13" t="s">
        <v>51</v>
      </c>
      <c r="F10233" s="13" t="s">
        <v>1929</v>
      </c>
      <c r="G10233" s="410" t="s">
        <v>48</v>
      </c>
      <c r="H10233" s="411">
        <v>9.0999999999999998E-2</v>
      </c>
      <c r="I10233" s="412">
        <f>IF(AND(E10233&lt;&gt;"",G10233&lt;&gt;""),IF(D10233="",IF(G10233="OH",VLOOKUP(F10233,UPAH!$B$4:$H$101,7,0),VLOOKUP(F10233,#REF!,4,0)),0),0)</f>
        <v>0</v>
      </c>
      <c r="J10233" s="16">
        <f>H10233*I10233</f>
        <v>0</v>
      </c>
    </row>
    <row r="10234" spans="1:10" ht="13" hidden="1">
      <c r="A10234" s="27"/>
      <c r="B10234" s="110"/>
      <c r="D10234" s="409"/>
      <c r="E10234" s="13" t="s">
        <v>1937</v>
      </c>
      <c r="F10234" s="13" t="s">
        <v>1938</v>
      </c>
      <c r="G10234" s="410" t="s">
        <v>48</v>
      </c>
      <c r="H10234" s="411">
        <v>0.871</v>
      </c>
      <c r="I10234" s="412">
        <f>IF(AND(E10234&lt;&gt;"",G10234&lt;&gt;""),IF(D10234="",IF(G10234="OH",VLOOKUP(F10234,UPAH!$B$4:$H$101,7,0),VLOOKUP(F10234,#REF!,4,0)),0),0)</f>
        <v>0</v>
      </c>
      <c r="J10234" s="16">
        <f>H10234*I10234</f>
        <v>0</v>
      </c>
    </row>
    <row r="10235" spans="1:10" ht="13.5" hidden="1" thickBot="1">
      <c r="A10235" s="27"/>
      <c r="B10235" s="110"/>
      <c r="D10235" s="417"/>
      <c r="E10235" s="418"/>
      <c r="F10235" s="418"/>
      <c r="G10235" s="419"/>
      <c r="H10235" s="420" t="s">
        <v>52</v>
      </c>
      <c r="I10235" s="421"/>
      <c r="J10235" s="396">
        <f>SUM(J10231:J10234)</f>
        <v>0</v>
      </c>
    </row>
    <row r="10236" spans="1:10" ht="13" hidden="1">
      <c r="A10236" s="27"/>
      <c r="B10236" s="110"/>
      <c r="D10236" s="406" t="s">
        <v>53</v>
      </c>
      <c r="E10236" s="13" t="s">
        <v>54</v>
      </c>
      <c r="F10236" s="14"/>
      <c r="G10236" s="15"/>
      <c r="H10236" s="451"/>
      <c r="I10236" s="412"/>
      <c r="J10236" s="16"/>
    </row>
    <row r="10237" spans="1:10" ht="13" hidden="1">
      <c r="A10237" s="27"/>
      <c r="B10237" s="110"/>
      <c r="D10237" s="409"/>
      <c r="E10237" s="13" t="s">
        <v>310</v>
      </c>
      <c r="F10237" s="14"/>
      <c r="G10237" s="410" t="s">
        <v>259</v>
      </c>
      <c r="H10237" s="411">
        <v>1</v>
      </c>
      <c r="I10237" s="412" t="s">
        <v>3187</v>
      </c>
      <c r="J10237" s="16" t="e">
        <f>H10237*I10237</f>
        <v>#VALUE!</v>
      </c>
    </row>
    <row r="10238" spans="1:10" ht="13.5" hidden="1" thickBot="1">
      <c r="A10238" s="27"/>
      <c r="B10238" s="110"/>
      <c r="D10238" s="417"/>
      <c r="E10238" s="418"/>
      <c r="F10238" s="418"/>
      <c r="G10238" s="419"/>
      <c r="H10238" s="420" t="s">
        <v>64</v>
      </c>
      <c r="I10238" s="421"/>
      <c r="J10238" s="396" t="e">
        <f>SUM(J10237)</f>
        <v>#VALUE!</v>
      </c>
    </row>
    <row r="10239" spans="1:10" ht="13" hidden="1">
      <c r="A10239" s="27"/>
      <c r="B10239" s="110"/>
      <c r="D10239" s="406" t="s">
        <v>65</v>
      </c>
      <c r="E10239" s="13" t="s">
        <v>66</v>
      </c>
      <c r="F10239" s="14"/>
      <c r="G10239" s="15"/>
      <c r="H10239" s="451"/>
      <c r="I10239" s="412"/>
      <c r="J10239" s="16"/>
    </row>
    <row r="10240" spans="1:10" ht="13" hidden="1">
      <c r="A10240" s="27"/>
      <c r="B10240" s="110"/>
      <c r="D10240" s="409"/>
      <c r="E10240" s="13" t="s">
        <v>411</v>
      </c>
      <c r="F10240" s="14"/>
      <c r="G10240" s="410" t="s">
        <v>285</v>
      </c>
      <c r="H10240" s="411">
        <v>0.27</v>
      </c>
      <c r="I10240" s="412">
        <f>Alat!H26</f>
        <v>0</v>
      </c>
      <c r="J10240" s="16">
        <f>H10240*I10240</f>
        <v>0</v>
      </c>
    </row>
    <row r="10241" spans="1:10" ht="13.5" hidden="1" thickBot="1">
      <c r="A10241" s="27"/>
      <c r="B10241" s="110"/>
      <c r="D10241" s="417"/>
      <c r="E10241" s="418"/>
      <c r="F10241" s="418"/>
      <c r="G10241" s="419"/>
      <c r="H10241" s="420" t="s">
        <v>67</v>
      </c>
      <c r="I10241" s="421"/>
      <c r="J10241" s="396">
        <f>J10240</f>
        <v>0</v>
      </c>
    </row>
    <row r="10242" spans="1:10" ht="13" hidden="1">
      <c r="A10242" s="27"/>
      <c r="B10242" s="110"/>
      <c r="D10242" s="444" t="s">
        <v>68</v>
      </c>
      <c r="E10242" s="445" t="s">
        <v>69</v>
      </c>
      <c r="F10242" s="446"/>
      <c r="G10242" s="447"/>
      <c r="H10242" s="448"/>
      <c r="I10242" s="449">
        <f>IF(AND(E10242&lt;&gt;"",G10242&lt;&gt;""),IF(D10242="",IF(G10242="OH",VLOOKUP(E10242,UPAH!$C$4:$H$31,7,0),VLOOKUP(E10242,#REF!,4,0)),0),0)</f>
        <v>0</v>
      </c>
      <c r="J10242" s="16" t="e">
        <f>SUM(J10231:J10241)/2</f>
        <v>#VALUE!</v>
      </c>
    </row>
    <row r="10243" spans="1:10" ht="13" hidden="1">
      <c r="A10243" s="27"/>
      <c r="B10243" s="110"/>
      <c r="D10243" s="431" t="s">
        <v>70</v>
      </c>
      <c r="E10243" s="432" t="s">
        <v>477</v>
      </c>
      <c r="F10243" s="433"/>
      <c r="G10243" s="434"/>
      <c r="H10243" s="22">
        <v>0.1</v>
      </c>
      <c r="I10243" s="436"/>
      <c r="J10243" s="430" t="e">
        <f>H10243*J10242</f>
        <v>#VALUE!</v>
      </c>
    </row>
    <row r="10244" spans="1:10" ht="13.5" hidden="1" thickBot="1">
      <c r="A10244" s="27"/>
      <c r="B10244" s="110"/>
      <c r="D10244" s="401" t="s">
        <v>71</v>
      </c>
      <c r="E10244" s="402" t="s">
        <v>72</v>
      </c>
      <c r="F10244" s="418"/>
      <c r="G10244" s="419"/>
      <c r="H10244" s="442"/>
      <c r="I10244" s="421">
        <f>IF(AND(E10244&lt;&gt;"",G10244&lt;&gt;""),IF(D10244="",IF(G10244="OH",VLOOKUP(E10244,UPAH!$C$4:$H$31,7,0),VLOOKUP(E10244,#REF!,4,0)),0),0)</f>
        <v>0</v>
      </c>
      <c r="J10244" s="396" t="e">
        <f>ROUNDDOWN(J10242+J10243,0)</f>
        <v>#VALUE!</v>
      </c>
    </row>
    <row r="10245" spans="1:10" ht="13" hidden="1">
      <c r="A10245" s="27"/>
      <c r="B10245" s="110"/>
      <c r="D10245" s="11"/>
      <c r="E10245" s="11"/>
      <c r="H10245" s="443"/>
      <c r="I10245" s="17"/>
      <c r="J10245" s="18"/>
    </row>
    <row r="10246" spans="1:10" ht="13" hidden="1">
      <c r="A10246" s="27"/>
      <c r="B10246" s="110"/>
      <c r="C10246" s="11" t="s">
        <v>1553</v>
      </c>
      <c r="D10246" s="10" t="s">
        <v>1592</v>
      </c>
      <c r="H10246" s="443"/>
    </row>
    <row r="10247" spans="1:10" ht="13.5" hidden="1" thickBot="1">
      <c r="A10247" s="27"/>
      <c r="B10247" s="110"/>
      <c r="D10247" s="401" t="s">
        <v>40</v>
      </c>
      <c r="E10247" s="402" t="s">
        <v>41</v>
      </c>
      <c r="F10247" s="402" t="s">
        <v>42</v>
      </c>
      <c r="G10247" s="403" t="s">
        <v>43</v>
      </c>
      <c r="H10247" s="404" t="s">
        <v>44</v>
      </c>
      <c r="I10247" s="402" t="s">
        <v>474</v>
      </c>
      <c r="J10247" s="405" t="s">
        <v>475</v>
      </c>
    </row>
    <row r="10248" spans="1:10" ht="13" hidden="1">
      <c r="A10248" s="27"/>
      <c r="B10248" s="110"/>
      <c r="D10248" s="444" t="s">
        <v>45</v>
      </c>
      <c r="E10248" s="445" t="s">
        <v>46</v>
      </c>
      <c r="F10248" s="446"/>
      <c r="G10248" s="447"/>
      <c r="H10248" s="448"/>
      <c r="I10248" s="449"/>
      <c r="J10248" s="450"/>
    </row>
    <row r="10249" spans="1:10" ht="13" hidden="1">
      <c r="A10249" s="27"/>
      <c r="B10249" s="110"/>
      <c r="D10249" s="409"/>
      <c r="E10249" s="13" t="s">
        <v>47</v>
      </c>
      <c r="F10249" s="13" t="s">
        <v>1918</v>
      </c>
      <c r="G10249" s="410" t="s">
        <v>48</v>
      </c>
      <c r="H10249" s="411">
        <v>1.125</v>
      </c>
      <c r="I10249" s="412">
        <f>IF(AND(E10249&lt;&gt;"",G10249&lt;&gt;""),IF(D10249="",IF(G10249="OH",VLOOKUP(F10249,UPAH!$B$4:$H$101,7,0),VLOOKUP(F10249,#REF!,4,0)),0),0)</f>
        <v>0</v>
      </c>
      <c r="J10249" s="16">
        <f>H10249*I10249</f>
        <v>0</v>
      </c>
    </row>
    <row r="10250" spans="1:10" ht="13" hidden="1">
      <c r="A10250" s="27"/>
      <c r="B10250" s="110"/>
      <c r="D10250" s="409"/>
      <c r="E10250" s="13" t="s">
        <v>283</v>
      </c>
      <c r="F10250" s="13" t="s">
        <v>1913</v>
      </c>
      <c r="G10250" s="410" t="s">
        <v>48</v>
      </c>
      <c r="H10250" s="411">
        <v>0.56200000000000006</v>
      </c>
      <c r="I10250" s="412">
        <f>IF(AND(E10250&lt;&gt;"",G10250&lt;&gt;""),IF(D10250="",IF(G10250="OH",VLOOKUP(F10250,UPAH!$B$4:$H$101,7,0),VLOOKUP(F10250,#REF!,4,0)),0),0)</f>
        <v>0</v>
      </c>
      <c r="J10250" s="16">
        <f>H10250*I10250</f>
        <v>0</v>
      </c>
    </row>
    <row r="10251" spans="1:10" ht="13" hidden="1">
      <c r="A10251" s="27"/>
      <c r="B10251" s="110"/>
      <c r="D10251" s="409"/>
      <c r="E10251" s="13" t="s">
        <v>51</v>
      </c>
      <c r="F10251" s="13" t="s">
        <v>1929</v>
      </c>
      <c r="G10251" s="410" t="s">
        <v>48</v>
      </c>
      <c r="H10251" s="411">
        <v>0.112</v>
      </c>
      <c r="I10251" s="412">
        <f>IF(AND(E10251&lt;&gt;"",G10251&lt;&gt;""),IF(D10251="",IF(G10251="OH",VLOOKUP(F10251,UPAH!$B$4:$H$101,7,0),VLOOKUP(F10251,#REF!,4,0)),0),0)</f>
        <v>0</v>
      </c>
      <c r="J10251" s="16">
        <f>H10251*I10251</f>
        <v>0</v>
      </c>
    </row>
    <row r="10252" spans="1:10" ht="13" hidden="1">
      <c r="A10252" s="27"/>
      <c r="B10252" s="110"/>
      <c r="D10252" s="409"/>
      <c r="E10252" s="13" t="s">
        <v>1937</v>
      </c>
      <c r="F10252" s="13" t="s">
        <v>1938</v>
      </c>
      <c r="G10252" s="410" t="s">
        <v>48</v>
      </c>
      <c r="H10252" s="411">
        <v>0.97099999999999997</v>
      </c>
      <c r="I10252" s="412">
        <f>IF(AND(E10252&lt;&gt;"",G10252&lt;&gt;""),IF(D10252="",IF(G10252="OH",VLOOKUP(F10252,UPAH!$B$4:$H$101,7,0),VLOOKUP(F10252,#REF!,4,0)),0),0)</f>
        <v>0</v>
      </c>
      <c r="J10252" s="16">
        <f>H10252*I10252</f>
        <v>0</v>
      </c>
    </row>
    <row r="10253" spans="1:10" ht="13.5" hidden="1" thickBot="1">
      <c r="A10253" s="27"/>
      <c r="B10253" s="110"/>
      <c r="D10253" s="417"/>
      <c r="E10253" s="418"/>
      <c r="F10253" s="418"/>
      <c r="G10253" s="419"/>
      <c r="H10253" s="420" t="s">
        <v>52</v>
      </c>
      <c r="I10253" s="421"/>
      <c r="J10253" s="396">
        <f>SUM(J10249:J10252)</f>
        <v>0</v>
      </c>
    </row>
    <row r="10254" spans="1:10" ht="13" hidden="1">
      <c r="A10254" s="27"/>
      <c r="B10254" s="110"/>
      <c r="D10254" s="406" t="s">
        <v>53</v>
      </c>
      <c r="E10254" s="13" t="s">
        <v>54</v>
      </c>
      <c r="F10254" s="14"/>
      <c r="G10254" s="15"/>
      <c r="H10254" s="451"/>
      <c r="I10254" s="412"/>
      <c r="J10254" s="16"/>
    </row>
    <row r="10255" spans="1:10" ht="13" hidden="1">
      <c r="A10255" s="27"/>
      <c r="B10255" s="110"/>
      <c r="D10255" s="409"/>
      <c r="E10255" s="13" t="s">
        <v>431</v>
      </c>
      <c r="F10255" s="14"/>
      <c r="G10255" s="410" t="s">
        <v>259</v>
      </c>
      <c r="H10255" s="411">
        <v>1</v>
      </c>
      <c r="I10255" s="412" t="s">
        <v>3187</v>
      </c>
      <c r="J10255" s="16" t="e">
        <f>H10255*I10255</f>
        <v>#VALUE!</v>
      </c>
    </row>
    <row r="10256" spans="1:10" ht="13.5" hidden="1" thickBot="1">
      <c r="A10256" s="27"/>
      <c r="B10256" s="110"/>
      <c r="D10256" s="417"/>
      <c r="E10256" s="418"/>
      <c r="F10256" s="418"/>
      <c r="G10256" s="419"/>
      <c r="H10256" s="420" t="s">
        <v>64</v>
      </c>
      <c r="I10256" s="421"/>
      <c r="J10256" s="396" t="e">
        <f>SUM(J10255)</f>
        <v>#VALUE!</v>
      </c>
    </row>
    <row r="10257" spans="1:10" ht="13" hidden="1">
      <c r="A10257" s="27"/>
      <c r="B10257" s="110"/>
      <c r="D10257" s="406" t="s">
        <v>65</v>
      </c>
      <c r="E10257" s="13" t="s">
        <v>66</v>
      </c>
      <c r="F10257" s="14"/>
      <c r="G10257" s="15"/>
      <c r="H10257" s="451"/>
      <c r="I10257" s="412"/>
      <c r="J10257" s="16"/>
    </row>
    <row r="10258" spans="1:10" ht="13" hidden="1">
      <c r="A10258" s="27"/>
      <c r="B10258" s="110"/>
      <c r="D10258" s="409"/>
      <c r="E10258" s="13" t="s">
        <v>411</v>
      </c>
      <c r="F10258" s="14"/>
      <c r="G10258" s="410" t="s">
        <v>285</v>
      </c>
      <c r="H10258" s="411">
        <v>0.33200000000000002</v>
      </c>
      <c r="I10258" s="412">
        <f>Alat!H26</f>
        <v>0</v>
      </c>
      <c r="J10258" s="16">
        <f>H10258*I10258</f>
        <v>0</v>
      </c>
    </row>
    <row r="10259" spans="1:10" ht="13.5" hidden="1" thickBot="1">
      <c r="A10259" s="27"/>
      <c r="B10259" s="110"/>
      <c r="D10259" s="417"/>
      <c r="E10259" s="418"/>
      <c r="F10259" s="418"/>
      <c r="G10259" s="419"/>
      <c r="H10259" s="420" t="s">
        <v>67</v>
      </c>
      <c r="I10259" s="421"/>
      <c r="J10259" s="396">
        <f>J10258</f>
        <v>0</v>
      </c>
    </row>
    <row r="10260" spans="1:10" ht="13" hidden="1">
      <c r="A10260" s="27"/>
      <c r="B10260" s="110"/>
      <c r="D10260" s="444" t="s">
        <v>68</v>
      </c>
      <c r="E10260" s="445" t="s">
        <v>69</v>
      </c>
      <c r="F10260" s="446"/>
      <c r="G10260" s="447"/>
      <c r="H10260" s="448"/>
      <c r="I10260" s="449">
        <f>IF(AND(E10260&lt;&gt;"",G10260&lt;&gt;""),IF(D10260="",IF(G10260="OH",VLOOKUP(E10260,UPAH!$C$4:$H$31,7,0),VLOOKUP(E10260,#REF!,4,0)),0),0)</f>
        <v>0</v>
      </c>
      <c r="J10260" s="16" t="e">
        <f>SUM(J10249:J10259)/2</f>
        <v>#VALUE!</v>
      </c>
    </row>
    <row r="10261" spans="1:10" ht="13" hidden="1">
      <c r="A10261" s="27"/>
      <c r="B10261" s="110"/>
      <c r="D10261" s="431" t="s">
        <v>70</v>
      </c>
      <c r="E10261" s="432" t="s">
        <v>477</v>
      </c>
      <c r="F10261" s="433"/>
      <c r="G10261" s="434"/>
      <c r="H10261" s="22">
        <v>0.1</v>
      </c>
      <c r="I10261" s="436"/>
      <c r="J10261" s="430" t="e">
        <f>H10261*J10260</f>
        <v>#VALUE!</v>
      </c>
    </row>
    <row r="10262" spans="1:10" ht="13.5" hidden="1" thickBot="1">
      <c r="A10262" s="27"/>
      <c r="B10262" s="110"/>
      <c r="D10262" s="401" t="s">
        <v>71</v>
      </c>
      <c r="E10262" s="402" t="s">
        <v>72</v>
      </c>
      <c r="F10262" s="418"/>
      <c r="G10262" s="419"/>
      <c r="H10262" s="442"/>
      <c r="I10262" s="421">
        <f>IF(AND(E10262&lt;&gt;"",G10262&lt;&gt;""),IF(D10262="",IF(G10262="OH",VLOOKUP(E10262,UPAH!$C$4:$H$31,7,0),VLOOKUP(E10262,#REF!,4,0)),0),0)</f>
        <v>0</v>
      </c>
      <c r="J10262" s="396" t="e">
        <f>ROUNDDOWN(J10260+J10261,0)</f>
        <v>#VALUE!</v>
      </c>
    </row>
    <row r="10263" spans="1:10" ht="13" hidden="1">
      <c r="A10263" s="27"/>
      <c r="B10263" s="110"/>
      <c r="D10263" s="11"/>
      <c r="E10263" s="11"/>
      <c r="H10263" s="443"/>
      <c r="I10263" s="17"/>
      <c r="J10263" s="18"/>
    </row>
    <row r="10264" spans="1:10" ht="13" hidden="1">
      <c r="A10264" s="27"/>
      <c r="B10264" s="110"/>
      <c r="C10264" s="11" t="s">
        <v>1593</v>
      </c>
      <c r="D10264" s="10" t="s">
        <v>1594</v>
      </c>
      <c r="H10264" s="443"/>
    </row>
    <row r="10265" spans="1:10" ht="13.5" hidden="1" thickBot="1">
      <c r="A10265" s="27"/>
      <c r="B10265" s="110"/>
      <c r="D10265" s="401" t="s">
        <v>40</v>
      </c>
      <c r="E10265" s="402" t="s">
        <v>41</v>
      </c>
      <c r="F10265" s="402" t="s">
        <v>42</v>
      </c>
      <c r="G10265" s="403" t="s">
        <v>43</v>
      </c>
      <c r="H10265" s="404" t="s">
        <v>44</v>
      </c>
      <c r="I10265" s="402" t="s">
        <v>474</v>
      </c>
      <c r="J10265" s="405" t="s">
        <v>475</v>
      </c>
    </row>
    <row r="10266" spans="1:10" ht="13" hidden="1">
      <c r="A10266" s="27"/>
      <c r="B10266" s="110"/>
      <c r="D10266" s="444" t="s">
        <v>45</v>
      </c>
      <c r="E10266" s="445" t="s">
        <v>46</v>
      </c>
      <c r="F10266" s="446"/>
      <c r="G10266" s="447"/>
      <c r="H10266" s="448"/>
      <c r="I10266" s="449"/>
      <c r="J10266" s="450"/>
    </row>
    <row r="10267" spans="1:10" ht="13" hidden="1">
      <c r="A10267" s="27"/>
      <c r="B10267" s="110"/>
      <c r="D10267" s="409"/>
      <c r="E10267" s="13" t="s">
        <v>47</v>
      </c>
      <c r="F10267" s="13" t="s">
        <v>1918</v>
      </c>
      <c r="G10267" s="410" t="s">
        <v>48</v>
      </c>
      <c r="H10267" s="411">
        <v>1.238</v>
      </c>
      <c r="I10267" s="412">
        <f>IF(AND(E10267&lt;&gt;"",G10267&lt;&gt;""),IF(D10267="",IF(G10267="OH",VLOOKUP(F10267,UPAH!$B$4:$H$101,7,0),VLOOKUP(F10267,#REF!,4,0)),0),0)</f>
        <v>0</v>
      </c>
      <c r="J10267" s="16">
        <f>H10267*I10267</f>
        <v>0</v>
      </c>
    </row>
    <row r="10268" spans="1:10" ht="13" hidden="1">
      <c r="A10268" s="27"/>
      <c r="B10268" s="110"/>
      <c r="D10268" s="409"/>
      <c r="E10268" s="13" t="s">
        <v>283</v>
      </c>
      <c r="F10268" s="13" t="s">
        <v>1913</v>
      </c>
      <c r="G10268" s="410" t="s">
        <v>48</v>
      </c>
      <c r="H10268" s="411">
        <v>0.61899999999999999</v>
      </c>
      <c r="I10268" s="412">
        <f>IF(AND(E10268&lt;&gt;"",G10268&lt;&gt;""),IF(D10268="",IF(G10268="OH",VLOOKUP(F10268,UPAH!$B$4:$H$101,7,0),VLOOKUP(F10268,#REF!,4,0)),0),0)</f>
        <v>0</v>
      </c>
      <c r="J10268" s="16">
        <f>H10268*I10268</f>
        <v>0</v>
      </c>
    </row>
    <row r="10269" spans="1:10" ht="13" hidden="1">
      <c r="A10269" s="27"/>
      <c r="B10269" s="110"/>
      <c r="D10269" s="409"/>
      <c r="E10269" s="13" t="s">
        <v>51</v>
      </c>
      <c r="F10269" s="13" t="s">
        <v>1929</v>
      </c>
      <c r="G10269" s="410" t="s">
        <v>48</v>
      </c>
      <c r="H10269" s="411">
        <v>0.124</v>
      </c>
      <c r="I10269" s="412">
        <f>IF(AND(E10269&lt;&gt;"",G10269&lt;&gt;""),IF(D10269="",IF(G10269="OH",VLOOKUP(F10269,UPAH!$B$4:$H$101,7,0),VLOOKUP(F10269,#REF!,4,0)),0),0)</f>
        <v>0</v>
      </c>
      <c r="J10269" s="16">
        <f>H10269*I10269</f>
        <v>0</v>
      </c>
    </row>
    <row r="10270" spans="1:10" ht="13" hidden="1">
      <c r="A10270" s="27"/>
      <c r="B10270" s="110"/>
      <c r="D10270" s="409"/>
      <c r="E10270" s="13" t="s">
        <v>1937</v>
      </c>
      <c r="F10270" s="13" t="s">
        <v>1938</v>
      </c>
      <c r="G10270" s="410" t="s">
        <v>48</v>
      </c>
      <c r="H10270" s="411">
        <v>1.071</v>
      </c>
      <c r="I10270" s="412">
        <f>IF(AND(E10270&lt;&gt;"",G10270&lt;&gt;""),IF(D10270="",IF(G10270="OH",VLOOKUP(F10270,UPAH!$B$4:$H$101,7,0),VLOOKUP(F10270,#REF!,4,0)),0),0)</f>
        <v>0</v>
      </c>
      <c r="J10270" s="16">
        <f>H10270*I10270</f>
        <v>0</v>
      </c>
    </row>
    <row r="10271" spans="1:10" ht="13.5" hidden="1" thickBot="1">
      <c r="A10271" s="27"/>
      <c r="B10271" s="110"/>
      <c r="D10271" s="417"/>
      <c r="E10271" s="418"/>
      <c r="F10271" s="418"/>
      <c r="G10271" s="419"/>
      <c r="H10271" s="420" t="s">
        <v>52</v>
      </c>
      <c r="I10271" s="421"/>
      <c r="J10271" s="396">
        <f>SUM(J10267:J10270)</f>
        <v>0</v>
      </c>
    </row>
    <row r="10272" spans="1:10" ht="13" hidden="1">
      <c r="A10272" s="27"/>
      <c r="B10272" s="110"/>
      <c r="D10272" s="406" t="s">
        <v>53</v>
      </c>
      <c r="E10272" s="13" t="s">
        <v>54</v>
      </c>
      <c r="F10272" s="14"/>
      <c r="G10272" s="15"/>
      <c r="H10272" s="451"/>
      <c r="I10272" s="412"/>
      <c r="J10272" s="16"/>
    </row>
    <row r="10273" spans="1:10" ht="13" hidden="1">
      <c r="A10273" s="27"/>
      <c r="B10273" s="110"/>
      <c r="D10273" s="409"/>
      <c r="E10273" s="13" t="s">
        <v>432</v>
      </c>
      <c r="F10273" s="14"/>
      <c r="G10273" s="410" t="s">
        <v>259</v>
      </c>
      <c r="H10273" s="411">
        <v>1</v>
      </c>
      <c r="I10273" s="412" t="s">
        <v>3187</v>
      </c>
      <c r="J10273" s="16" t="e">
        <f>H10273*I10273</f>
        <v>#VALUE!</v>
      </c>
    </row>
    <row r="10274" spans="1:10" ht="13.5" hidden="1" thickBot="1">
      <c r="A10274" s="27"/>
      <c r="B10274" s="110"/>
      <c r="D10274" s="417"/>
      <c r="E10274" s="418"/>
      <c r="F10274" s="418"/>
      <c r="G10274" s="419"/>
      <c r="H10274" s="420" t="s">
        <v>64</v>
      </c>
      <c r="I10274" s="421"/>
      <c r="J10274" s="396" t="e">
        <f>SUM(J10273)</f>
        <v>#VALUE!</v>
      </c>
    </row>
    <row r="10275" spans="1:10" ht="13" hidden="1">
      <c r="A10275" s="27"/>
      <c r="B10275" s="110"/>
      <c r="D10275" s="406" t="s">
        <v>65</v>
      </c>
      <c r="E10275" s="13" t="s">
        <v>66</v>
      </c>
      <c r="F10275" s="14"/>
      <c r="G10275" s="15"/>
      <c r="H10275" s="451"/>
      <c r="I10275" s="412"/>
      <c r="J10275" s="16"/>
    </row>
    <row r="10276" spans="1:10" ht="13" hidden="1">
      <c r="A10276" s="27"/>
      <c r="B10276" s="110"/>
      <c r="D10276" s="409"/>
      <c r="E10276" s="13" t="s">
        <v>411</v>
      </c>
      <c r="F10276" s="14"/>
      <c r="G10276" s="410" t="s">
        <v>285</v>
      </c>
      <c r="H10276" s="411">
        <v>0.36499999999999999</v>
      </c>
      <c r="I10276" s="412">
        <f>Alat!H26</f>
        <v>0</v>
      </c>
      <c r="J10276" s="16">
        <f>H10276*I10276</f>
        <v>0</v>
      </c>
    </row>
    <row r="10277" spans="1:10" ht="13.5" hidden="1" thickBot="1">
      <c r="A10277" s="27"/>
      <c r="B10277" s="110"/>
      <c r="D10277" s="417"/>
      <c r="E10277" s="418"/>
      <c r="F10277" s="418"/>
      <c r="G10277" s="419"/>
      <c r="H10277" s="420" t="s">
        <v>67</v>
      </c>
      <c r="I10277" s="421"/>
      <c r="J10277" s="396">
        <f>J10276</f>
        <v>0</v>
      </c>
    </row>
    <row r="10278" spans="1:10" ht="13" hidden="1">
      <c r="A10278" s="27"/>
      <c r="B10278" s="110"/>
      <c r="D10278" s="444" t="s">
        <v>68</v>
      </c>
      <c r="E10278" s="445" t="s">
        <v>69</v>
      </c>
      <c r="F10278" s="446"/>
      <c r="G10278" s="447"/>
      <c r="H10278" s="448"/>
      <c r="I10278" s="449">
        <f>IF(AND(E10278&lt;&gt;"",G10278&lt;&gt;""),IF(D10278="",IF(G10278="OH",VLOOKUP(E10278,UPAH!$C$4:$H$31,7,0),VLOOKUP(E10278,#REF!,4,0)),0),0)</f>
        <v>0</v>
      </c>
      <c r="J10278" s="16" t="e">
        <f>SUM(J10267:J10277)/2</f>
        <v>#VALUE!</v>
      </c>
    </row>
    <row r="10279" spans="1:10" ht="13" hidden="1">
      <c r="A10279" s="27"/>
      <c r="B10279" s="110"/>
      <c r="D10279" s="431" t="s">
        <v>70</v>
      </c>
      <c r="E10279" s="432" t="s">
        <v>477</v>
      </c>
      <c r="F10279" s="433"/>
      <c r="G10279" s="434"/>
      <c r="H10279" s="22">
        <v>0.1</v>
      </c>
      <c r="I10279" s="436"/>
      <c r="J10279" s="430" t="e">
        <f>H10279*J10278</f>
        <v>#VALUE!</v>
      </c>
    </row>
    <row r="10280" spans="1:10" ht="13.5" hidden="1" thickBot="1">
      <c r="A10280" s="27"/>
      <c r="B10280" s="110"/>
      <c r="D10280" s="401" t="s">
        <v>71</v>
      </c>
      <c r="E10280" s="402" t="s">
        <v>72</v>
      </c>
      <c r="F10280" s="418"/>
      <c r="G10280" s="419"/>
      <c r="H10280" s="442"/>
      <c r="I10280" s="421">
        <f>IF(AND(E10280&lt;&gt;"",G10280&lt;&gt;""),IF(D10280="",IF(G10280="OH",VLOOKUP(E10280,UPAH!$C$4:$H$31,7,0),VLOOKUP(E10280,#REF!,4,0)),0),0)</f>
        <v>0</v>
      </c>
      <c r="J10280" s="396" t="e">
        <f>ROUNDDOWN(J10278+J10279,0)</f>
        <v>#VALUE!</v>
      </c>
    </row>
    <row r="10281" spans="1:10" ht="13" hidden="1">
      <c r="A10281" s="27"/>
      <c r="B10281" s="110"/>
      <c r="D10281" s="11"/>
      <c r="E10281" s="11"/>
      <c r="H10281" s="443"/>
      <c r="I10281" s="17"/>
      <c r="J10281" s="18"/>
    </row>
    <row r="10282" spans="1:10" ht="13" hidden="1">
      <c r="A10282" s="27"/>
      <c r="B10282" s="110"/>
      <c r="C10282" s="11" t="s">
        <v>1595</v>
      </c>
      <c r="D10282" s="10" t="s">
        <v>1596</v>
      </c>
      <c r="H10282" s="443"/>
    </row>
    <row r="10283" spans="1:10" ht="13.5" hidden="1" thickBot="1">
      <c r="A10283" s="27"/>
      <c r="B10283" s="110"/>
      <c r="D10283" s="401" t="s">
        <v>40</v>
      </c>
      <c r="E10283" s="402" t="s">
        <v>41</v>
      </c>
      <c r="F10283" s="402" t="s">
        <v>42</v>
      </c>
      <c r="G10283" s="403" t="s">
        <v>43</v>
      </c>
      <c r="H10283" s="404" t="s">
        <v>44</v>
      </c>
      <c r="I10283" s="402" t="s">
        <v>474</v>
      </c>
      <c r="J10283" s="405" t="s">
        <v>475</v>
      </c>
    </row>
    <row r="10284" spans="1:10" ht="13" hidden="1">
      <c r="A10284" s="27"/>
      <c r="B10284" s="110"/>
      <c r="D10284" s="444" t="s">
        <v>45</v>
      </c>
      <c r="E10284" s="445" t="s">
        <v>46</v>
      </c>
      <c r="F10284" s="446"/>
      <c r="G10284" s="447"/>
      <c r="H10284" s="448"/>
      <c r="I10284" s="449"/>
      <c r="J10284" s="450"/>
    </row>
    <row r="10285" spans="1:10" ht="13" hidden="1">
      <c r="A10285" s="27"/>
      <c r="B10285" s="110"/>
      <c r="D10285" s="409"/>
      <c r="E10285" s="13" t="s">
        <v>47</v>
      </c>
      <c r="F10285" s="13" t="s">
        <v>1918</v>
      </c>
      <c r="G10285" s="410" t="s">
        <v>48</v>
      </c>
      <c r="H10285" s="411">
        <v>1.619</v>
      </c>
      <c r="I10285" s="412">
        <f>IF(AND(E10285&lt;&gt;"",G10285&lt;&gt;""),IF(D10285="",IF(G10285="OH",VLOOKUP(F10285,UPAH!$B$4:$H$101,7,0),VLOOKUP(F10285,#REF!,4,0)),0),0)</f>
        <v>0</v>
      </c>
      <c r="J10285" s="16">
        <f>H10285*I10285</f>
        <v>0</v>
      </c>
    </row>
    <row r="10286" spans="1:10" ht="13" hidden="1">
      <c r="A10286" s="27"/>
      <c r="B10286" s="110"/>
      <c r="D10286" s="409"/>
      <c r="E10286" s="13" t="s">
        <v>283</v>
      </c>
      <c r="F10286" s="13" t="s">
        <v>1913</v>
      </c>
      <c r="G10286" s="410" t="s">
        <v>48</v>
      </c>
      <c r="H10286" s="411">
        <v>0.80900000000000005</v>
      </c>
      <c r="I10286" s="412">
        <f>IF(AND(E10286&lt;&gt;"",G10286&lt;&gt;""),IF(D10286="",IF(G10286="OH",VLOOKUP(F10286,UPAH!$B$4:$H$101,7,0),VLOOKUP(F10286,#REF!,4,0)),0),0)</f>
        <v>0</v>
      </c>
      <c r="J10286" s="16">
        <f>H10286*I10286</f>
        <v>0</v>
      </c>
    </row>
    <row r="10287" spans="1:10" ht="13" hidden="1">
      <c r="A10287" s="27"/>
      <c r="B10287" s="110"/>
      <c r="D10287" s="409"/>
      <c r="E10287" s="13" t="s">
        <v>51</v>
      </c>
      <c r="F10287" s="13" t="s">
        <v>1929</v>
      </c>
      <c r="G10287" s="410" t="s">
        <v>48</v>
      </c>
      <c r="H10287" s="411">
        <v>0.16200000000000001</v>
      </c>
      <c r="I10287" s="412">
        <f>IF(AND(E10287&lt;&gt;"",G10287&lt;&gt;""),IF(D10287="",IF(G10287="OH",VLOOKUP(F10287,UPAH!$B$4:$H$101,7,0),VLOOKUP(F10287,#REF!,4,0)),0),0)</f>
        <v>0</v>
      </c>
      <c r="J10287" s="16">
        <f>H10287*I10287</f>
        <v>0</v>
      </c>
    </row>
    <row r="10288" spans="1:10" ht="13" hidden="1">
      <c r="A10288" s="27"/>
      <c r="B10288" s="110"/>
      <c r="D10288" s="409"/>
      <c r="E10288" s="13" t="s">
        <v>1937</v>
      </c>
      <c r="F10288" s="13" t="s">
        <v>1938</v>
      </c>
      <c r="G10288" s="410" t="s">
        <v>48</v>
      </c>
      <c r="H10288" s="411">
        <v>1.171</v>
      </c>
      <c r="I10288" s="412">
        <f>IF(AND(E10288&lt;&gt;"",G10288&lt;&gt;""),IF(D10288="",IF(G10288="OH",VLOOKUP(F10288,UPAH!$B$4:$H$101,7,0),VLOOKUP(F10288,#REF!,4,0)),0),0)</f>
        <v>0</v>
      </c>
      <c r="J10288" s="16">
        <f>H10288*I10288</f>
        <v>0</v>
      </c>
    </row>
    <row r="10289" spans="1:10" ht="13.5" hidden="1" thickBot="1">
      <c r="A10289" s="27"/>
      <c r="B10289" s="110"/>
      <c r="D10289" s="417"/>
      <c r="E10289" s="418"/>
      <c r="F10289" s="418"/>
      <c r="G10289" s="419"/>
      <c r="H10289" s="420" t="s">
        <v>52</v>
      </c>
      <c r="I10289" s="421"/>
      <c r="J10289" s="396">
        <f>SUM(J10285:J10288)</f>
        <v>0</v>
      </c>
    </row>
    <row r="10290" spans="1:10" ht="13" hidden="1">
      <c r="A10290" s="27"/>
      <c r="B10290" s="110"/>
      <c r="D10290" s="406" t="s">
        <v>53</v>
      </c>
      <c r="E10290" s="13" t="s">
        <v>54</v>
      </c>
      <c r="F10290" s="14"/>
      <c r="G10290" s="15"/>
      <c r="H10290" s="451"/>
      <c r="I10290" s="412"/>
      <c r="J10290" s="16"/>
    </row>
    <row r="10291" spans="1:10" ht="13" hidden="1">
      <c r="A10291" s="27"/>
      <c r="B10291" s="110"/>
      <c r="D10291" s="409"/>
      <c r="E10291" s="13" t="s">
        <v>313</v>
      </c>
      <c r="F10291" s="14"/>
      <c r="G10291" s="410" t="s">
        <v>259</v>
      </c>
      <c r="H10291" s="411">
        <v>1</v>
      </c>
      <c r="I10291" s="412" t="s">
        <v>3187</v>
      </c>
      <c r="J10291" s="16" t="e">
        <f>H10291*I10291</f>
        <v>#VALUE!</v>
      </c>
    </row>
    <row r="10292" spans="1:10" ht="13.5" hidden="1" thickBot="1">
      <c r="A10292" s="27"/>
      <c r="B10292" s="110"/>
      <c r="D10292" s="417"/>
      <c r="E10292" s="418"/>
      <c r="F10292" s="418"/>
      <c r="G10292" s="419"/>
      <c r="H10292" s="420" t="s">
        <v>64</v>
      </c>
      <c r="I10292" s="421"/>
      <c r="J10292" s="396" t="e">
        <f>SUM(J10291)</f>
        <v>#VALUE!</v>
      </c>
    </row>
    <row r="10293" spans="1:10" ht="13" hidden="1">
      <c r="A10293" s="27"/>
      <c r="B10293" s="110"/>
      <c r="D10293" s="406" t="s">
        <v>65</v>
      </c>
      <c r="E10293" s="13" t="s">
        <v>66</v>
      </c>
      <c r="F10293" s="14"/>
      <c r="G10293" s="15"/>
      <c r="H10293" s="451"/>
      <c r="I10293" s="412"/>
      <c r="J10293" s="16"/>
    </row>
    <row r="10294" spans="1:10" ht="13" hidden="1">
      <c r="A10294" s="27"/>
      <c r="B10294" s="110"/>
      <c r="D10294" s="409"/>
      <c r="E10294" s="13" t="s">
        <v>411</v>
      </c>
      <c r="F10294" s="14"/>
      <c r="G10294" s="410" t="s">
        <v>285</v>
      </c>
      <c r="H10294" s="411">
        <v>0.47699999999999998</v>
      </c>
      <c r="I10294" s="412">
        <f>Alat!H26</f>
        <v>0</v>
      </c>
      <c r="J10294" s="16">
        <f>H10294*I10294</f>
        <v>0</v>
      </c>
    </row>
    <row r="10295" spans="1:10" ht="13.5" hidden="1" thickBot="1">
      <c r="A10295" s="27"/>
      <c r="B10295" s="110"/>
      <c r="D10295" s="417"/>
      <c r="E10295" s="418"/>
      <c r="F10295" s="418"/>
      <c r="G10295" s="419"/>
      <c r="H10295" s="420" t="s">
        <v>67</v>
      </c>
      <c r="I10295" s="421"/>
      <c r="J10295" s="396">
        <f>J10294</f>
        <v>0</v>
      </c>
    </row>
    <row r="10296" spans="1:10" ht="13" hidden="1">
      <c r="A10296" s="27"/>
      <c r="B10296" s="110"/>
      <c r="D10296" s="444" t="s">
        <v>68</v>
      </c>
      <c r="E10296" s="445" t="s">
        <v>69</v>
      </c>
      <c r="F10296" s="446"/>
      <c r="G10296" s="447"/>
      <c r="H10296" s="448"/>
      <c r="I10296" s="449">
        <f>IF(AND(E10296&lt;&gt;"",G10296&lt;&gt;""),IF(D10296="",IF(G10296="OH",VLOOKUP(E10296,UPAH!$C$4:$H$31,7,0),VLOOKUP(E10296,#REF!,4,0)),0),0)</f>
        <v>0</v>
      </c>
      <c r="J10296" s="16" t="e">
        <f>SUM(J10285:J10295)/2</f>
        <v>#VALUE!</v>
      </c>
    </row>
    <row r="10297" spans="1:10" ht="13" hidden="1">
      <c r="A10297" s="27"/>
      <c r="B10297" s="110"/>
      <c r="D10297" s="431" t="s">
        <v>70</v>
      </c>
      <c r="E10297" s="432" t="s">
        <v>477</v>
      </c>
      <c r="F10297" s="433"/>
      <c r="G10297" s="434"/>
      <c r="H10297" s="22">
        <v>0.1</v>
      </c>
      <c r="I10297" s="436"/>
      <c r="J10297" s="430" t="e">
        <f>H10297*J10296</f>
        <v>#VALUE!</v>
      </c>
    </row>
    <row r="10298" spans="1:10" ht="13.5" hidden="1" thickBot="1">
      <c r="A10298" s="27"/>
      <c r="B10298" s="110"/>
      <c r="D10298" s="401" t="s">
        <v>71</v>
      </c>
      <c r="E10298" s="402" t="s">
        <v>72</v>
      </c>
      <c r="F10298" s="418"/>
      <c r="G10298" s="419"/>
      <c r="H10298" s="442"/>
      <c r="I10298" s="421">
        <f>IF(AND(E10298&lt;&gt;"",G10298&lt;&gt;""),IF(D10298="",IF(G10298="OH",VLOOKUP(E10298,UPAH!$C$4:$H$31,7,0),VLOOKUP(E10298,#REF!,4,0)),0),0)</f>
        <v>0</v>
      </c>
      <c r="J10298" s="396" t="e">
        <f>ROUNDDOWN(J10296+J10297,0)</f>
        <v>#VALUE!</v>
      </c>
    </row>
    <row r="10299" spans="1:10" ht="13" hidden="1">
      <c r="A10299" s="27"/>
      <c r="B10299" s="110"/>
      <c r="D10299" s="11"/>
      <c r="E10299" s="11"/>
      <c r="H10299" s="443"/>
      <c r="I10299" s="17"/>
      <c r="J10299" s="18"/>
    </row>
    <row r="10300" spans="1:10" ht="13.5" thickBot="1">
      <c r="A10300" s="27"/>
      <c r="B10300" s="110"/>
      <c r="C10300" s="11" t="s">
        <v>1646</v>
      </c>
      <c r="D10300" s="10" t="s">
        <v>1647</v>
      </c>
      <c r="H10300" s="443"/>
    </row>
    <row r="10301" spans="1:10" ht="13.5" thickBot="1">
      <c r="A10301" s="27"/>
      <c r="B10301" s="110"/>
      <c r="D10301" s="401" t="s">
        <v>40</v>
      </c>
      <c r="E10301" s="402" t="s">
        <v>41</v>
      </c>
      <c r="F10301" s="402" t="s">
        <v>42</v>
      </c>
      <c r="G10301" s="403" t="s">
        <v>43</v>
      </c>
      <c r="H10301" s="404" t="s">
        <v>44</v>
      </c>
      <c r="I10301" s="402" t="s">
        <v>474</v>
      </c>
      <c r="J10301" s="405" t="s">
        <v>475</v>
      </c>
    </row>
    <row r="10302" spans="1:10" ht="13">
      <c r="A10302" s="27"/>
      <c r="B10302" s="110"/>
      <c r="D10302" s="444" t="s">
        <v>45</v>
      </c>
      <c r="E10302" s="445" t="s">
        <v>46</v>
      </c>
      <c r="F10302" s="446"/>
      <c r="G10302" s="447"/>
      <c r="H10302" s="448"/>
      <c r="I10302" s="449"/>
      <c r="J10302" s="450"/>
    </row>
    <row r="10303" spans="1:10" ht="13">
      <c r="A10303" s="27"/>
      <c r="B10303" s="110"/>
      <c r="D10303" s="409"/>
      <c r="E10303" s="13" t="s">
        <v>47</v>
      </c>
      <c r="F10303" s="13" t="s">
        <v>1918</v>
      </c>
      <c r="G10303" s="410" t="s">
        <v>48</v>
      </c>
      <c r="H10303" s="411">
        <v>1.9E-2</v>
      </c>
      <c r="I10303" s="412">
        <f>IF(AND(E10303&lt;&gt;"",G10303&lt;&gt;""),IF(D10303="",IF(G10303="OH",VLOOKUP(F10303,UPAH!$B$4:$H$101,7,0),VLOOKUP(F10303,#REF!,4,0)),0),0)</f>
        <v>0</v>
      </c>
      <c r="J10303" s="16">
        <f>H10303*I10303</f>
        <v>0</v>
      </c>
    </row>
    <row r="10304" spans="1:10" ht="13">
      <c r="A10304" s="27"/>
      <c r="B10304" s="110"/>
      <c r="D10304" s="409"/>
      <c r="E10304" s="13" t="s">
        <v>283</v>
      </c>
      <c r="F10304" s="13" t="s">
        <v>1913</v>
      </c>
      <c r="G10304" s="410" t="s">
        <v>48</v>
      </c>
      <c r="H10304" s="411">
        <v>0.01</v>
      </c>
      <c r="I10304" s="412">
        <f>IF(AND(E10304&lt;&gt;"",G10304&lt;&gt;""),IF(D10304="",IF(G10304="OH",VLOOKUP(F10304,UPAH!$B$4:$H$101,7,0),VLOOKUP(F10304,#REF!,4,0)),0),0)</f>
        <v>0</v>
      </c>
      <c r="J10304" s="16">
        <f>H10304*I10304</f>
        <v>0</v>
      </c>
    </row>
    <row r="10305" spans="1:10" ht="13.5" thickBot="1">
      <c r="A10305" s="27"/>
      <c r="B10305" s="110"/>
      <c r="D10305" s="409"/>
      <c r="E10305" s="13" t="s">
        <v>51</v>
      </c>
      <c r="F10305" s="13" t="s">
        <v>1929</v>
      </c>
      <c r="G10305" s="410" t="s">
        <v>48</v>
      </c>
      <c r="H10305" s="411">
        <v>2E-3</v>
      </c>
      <c r="I10305" s="412">
        <f>IF(AND(E10305&lt;&gt;"",G10305&lt;&gt;""),IF(D10305="",IF(G10305="OH",VLOOKUP(F10305,UPAH!$B$4:$H$101,7,0),VLOOKUP(F10305,#REF!,4,0)),0),0)</f>
        <v>0</v>
      </c>
      <c r="J10305" s="16">
        <f>H10305*I10305</f>
        <v>0</v>
      </c>
    </row>
    <row r="10306" spans="1:10" ht="13.5" thickBot="1">
      <c r="A10306" s="27"/>
      <c r="B10306" s="110"/>
      <c r="D10306" s="417"/>
      <c r="E10306" s="418"/>
      <c r="F10306" s="418"/>
      <c r="G10306" s="419"/>
      <c r="H10306" s="420" t="s">
        <v>52</v>
      </c>
      <c r="I10306" s="421"/>
      <c r="J10306" s="396">
        <f>SUM(J10302:J10305)</f>
        <v>0</v>
      </c>
    </row>
    <row r="10307" spans="1:10" ht="13">
      <c r="A10307" s="27"/>
      <c r="B10307" s="110"/>
      <c r="D10307" s="406" t="s">
        <v>53</v>
      </c>
      <c r="E10307" s="13" t="s">
        <v>54</v>
      </c>
      <c r="F10307" s="14"/>
      <c r="G10307" s="15"/>
      <c r="H10307" s="451"/>
      <c r="I10307" s="412"/>
      <c r="J10307" s="16"/>
    </row>
    <row r="10308" spans="1:10" ht="13.5" thickBot="1">
      <c r="A10308" s="27"/>
      <c r="B10308" s="110"/>
      <c r="D10308" s="409"/>
      <c r="E10308" s="13" t="s">
        <v>314</v>
      </c>
      <c r="F10308" s="14"/>
      <c r="G10308" s="410" t="s">
        <v>259</v>
      </c>
      <c r="H10308" s="411">
        <v>1</v>
      </c>
      <c r="I10308" s="412">
        <f>'BAHAN '!G364</f>
        <v>0</v>
      </c>
      <c r="J10308" s="16">
        <f>H10308*I10308</f>
        <v>0</v>
      </c>
    </row>
    <row r="10309" spans="1:10" ht="13.5" thickBot="1">
      <c r="A10309" s="27"/>
      <c r="B10309" s="110"/>
      <c r="D10309" s="417"/>
      <c r="E10309" s="418"/>
      <c r="F10309" s="418"/>
      <c r="G10309" s="419"/>
      <c r="H10309" s="420" t="s">
        <v>64</v>
      </c>
      <c r="I10309" s="421"/>
      <c r="J10309" s="396">
        <f>SUM(J10308)</f>
        <v>0</v>
      </c>
    </row>
    <row r="10310" spans="1:10" ht="13">
      <c r="A10310" s="27"/>
      <c r="B10310" s="110"/>
      <c r="D10310" s="406" t="s">
        <v>65</v>
      </c>
      <c r="E10310" s="13" t="s">
        <v>66</v>
      </c>
      <c r="F10310" s="14"/>
      <c r="G10310" s="15"/>
      <c r="H10310" s="451"/>
      <c r="I10310" s="412"/>
      <c r="J10310" s="16"/>
    </row>
    <row r="10311" spans="1:10" ht="13.5" thickBot="1">
      <c r="A10311" s="27"/>
      <c r="B10311" s="110"/>
      <c r="D10311" s="409"/>
      <c r="E10311" s="13" t="s">
        <v>411</v>
      </c>
      <c r="F10311" s="14"/>
      <c r="G10311" s="410" t="s">
        <v>285</v>
      </c>
      <c r="H10311" s="411">
        <v>1.7000000000000001E-2</v>
      </c>
      <c r="I10311" s="412">
        <f>Alat!H26</f>
        <v>0</v>
      </c>
      <c r="J10311" s="16">
        <f>H10311*I10311</f>
        <v>0</v>
      </c>
    </row>
    <row r="10312" spans="1:10" ht="13.5" thickBot="1">
      <c r="A10312" s="27"/>
      <c r="B10312" s="110"/>
      <c r="D10312" s="417"/>
      <c r="E10312" s="418"/>
      <c r="F10312" s="418"/>
      <c r="G10312" s="419"/>
      <c r="H10312" s="420" t="s">
        <v>67</v>
      </c>
      <c r="I10312" s="421"/>
      <c r="J10312" s="396">
        <f>J10311</f>
        <v>0</v>
      </c>
    </row>
    <row r="10313" spans="1:10" ht="13">
      <c r="A10313" s="27"/>
      <c r="B10313" s="110"/>
      <c r="D10313" s="444" t="s">
        <v>68</v>
      </c>
      <c r="E10313" s="445" t="s">
        <v>69</v>
      </c>
      <c r="F10313" s="446"/>
      <c r="G10313" s="447"/>
      <c r="H10313" s="448"/>
      <c r="I10313" s="449">
        <f>IF(AND(E10313&lt;&gt;"",G10313&lt;&gt;""),IF(D10313="",IF(G10313="OH",VLOOKUP(E10313,UPAH!$C$4:$H$31,7,0),VLOOKUP(E10313,#REF!,4,0)),0),0)</f>
        <v>0</v>
      </c>
      <c r="J10313" s="16">
        <f>SUM(J10302:J10312)/2</f>
        <v>0</v>
      </c>
    </row>
    <row r="10314" spans="1:10" ht="13.5" thickBot="1">
      <c r="A10314" s="27"/>
      <c r="B10314" s="110"/>
      <c r="D10314" s="431" t="s">
        <v>70</v>
      </c>
      <c r="E10314" s="432" t="s">
        <v>477</v>
      </c>
      <c r="F10314" s="433"/>
      <c r="G10314" s="434"/>
      <c r="H10314" s="22">
        <v>0.1</v>
      </c>
      <c r="I10314" s="436"/>
      <c r="J10314" s="430">
        <f>H10314*J10313</f>
        <v>0</v>
      </c>
    </row>
    <row r="10315" spans="1:10" ht="13.5" thickBot="1">
      <c r="A10315" s="27"/>
      <c r="B10315" s="110"/>
      <c r="D10315" s="401" t="s">
        <v>71</v>
      </c>
      <c r="E10315" s="402" t="s">
        <v>72</v>
      </c>
      <c r="F10315" s="418"/>
      <c r="G10315" s="419"/>
      <c r="H10315" s="442"/>
      <c r="I10315" s="421">
        <f>IF(AND(E10315&lt;&gt;"",G10315&lt;&gt;""),IF(D10315="",IF(G10315="OH",VLOOKUP(E10315,UPAH!$C$4:$H$31,7,0),VLOOKUP(E10315,#REF!,4,0)),0),0)</f>
        <v>0</v>
      </c>
      <c r="J10315" s="396">
        <f>ROUNDDOWN(J10313+J10314,0)</f>
        <v>0</v>
      </c>
    </row>
    <row r="10316" spans="1:10" ht="13">
      <c r="A10316" s="27"/>
      <c r="B10316" s="110"/>
      <c r="D10316" s="11"/>
      <c r="E10316" s="11"/>
      <c r="H10316" s="443"/>
      <c r="I10316" s="17"/>
      <c r="J10316" s="18"/>
    </row>
    <row r="10317" spans="1:10" ht="13.5" thickBot="1">
      <c r="A10317" s="27"/>
      <c r="B10317" s="110"/>
      <c r="C10317" s="11" t="s">
        <v>1645</v>
      </c>
      <c r="D10317" s="10" t="s">
        <v>1648</v>
      </c>
      <c r="H10317" s="443"/>
    </row>
    <row r="10318" spans="1:10" ht="13.5" thickBot="1">
      <c r="A10318" s="27"/>
      <c r="B10318" s="110"/>
      <c r="D10318" s="401" t="s">
        <v>40</v>
      </c>
      <c r="E10318" s="402" t="s">
        <v>41</v>
      </c>
      <c r="F10318" s="402" t="s">
        <v>42</v>
      </c>
      <c r="G10318" s="403" t="s">
        <v>43</v>
      </c>
      <c r="H10318" s="404" t="s">
        <v>44</v>
      </c>
      <c r="I10318" s="402" t="s">
        <v>474</v>
      </c>
      <c r="J10318" s="405" t="s">
        <v>475</v>
      </c>
    </row>
    <row r="10319" spans="1:10" ht="13">
      <c r="A10319" s="27"/>
      <c r="B10319" s="110"/>
      <c r="D10319" s="444" t="s">
        <v>45</v>
      </c>
      <c r="E10319" s="445" t="s">
        <v>46</v>
      </c>
      <c r="F10319" s="446"/>
      <c r="G10319" s="447"/>
      <c r="H10319" s="448"/>
      <c r="I10319" s="449"/>
      <c r="J10319" s="450"/>
    </row>
    <row r="10320" spans="1:10" ht="13">
      <c r="A10320" s="27"/>
      <c r="B10320" s="110"/>
      <c r="D10320" s="409"/>
      <c r="E10320" s="13" t="s">
        <v>47</v>
      </c>
      <c r="F10320" s="13" t="s">
        <v>1918</v>
      </c>
      <c r="G10320" s="410" t="s">
        <v>48</v>
      </c>
      <c r="H10320" s="411">
        <v>5.8000000000000003E-2</v>
      </c>
      <c r="I10320" s="412">
        <f>IF(AND(E10320&lt;&gt;"",G10320&lt;&gt;""),IF(D10320="",IF(G10320="OH",VLOOKUP(F10320,UPAH!$B$4:$H$101,7,0),VLOOKUP(F10320,#REF!,4,0)),0),0)</f>
        <v>0</v>
      </c>
      <c r="J10320" s="16">
        <f>H10320*I10320</f>
        <v>0</v>
      </c>
    </row>
    <row r="10321" spans="1:10" ht="13">
      <c r="A10321" s="27"/>
      <c r="B10321" s="110"/>
      <c r="D10321" s="409"/>
      <c r="E10321" s="13" t="s">
        <v>283</v>
      </c>
      <c r="F10321" s="13" t="s">
        <v>1913</v>
      </c>
      <c r="G10321" s="410" t="s">
        <v>48</v>
      </c>
      <c r="H10321" s="411">
        <v>2.9000000000000001E-2</v>
      </c>
      <c r="I10321" s="412">
        <f>IF(AND(E10321&lt;&gt;"",G10321&lt;&gt;""),IF(D10321="",IF(G10321="OH",VLOOKUP(F10321,UPAH!$B$4:$H$101,7,0),VLOOKUP(F10321,#REF!,4,0)),0),0)</f>
        <v>0</v>
      </c>
      <c r="J10321" s="16">
        <f>H10321*I10321</f>
        <v>0</v>
      </c>
    </row>
    <row r="10322" spans="1:10" ht="13.5" thickBot="1">
      <c r="A10322" s="27"/>
      <c r="B10322" s="110"/>
      <c r="D10322" s="409"/>
      <c r="E10322" s="13" t="s">
        <v>51</v>
      </c>
      <c r="F10322" s="13" t="s">
        <v>1929</v>
      </c>
      <c r="G10322" s="410" t="s">
        <v>48</v>
      </c>
      <c r="H10322" s="411">
        <v>6.0000000000000001E-3</v>
      </c>
      <c r="I10322" s="412">
        <f>IF(AND(E10322&lt;&gt;"",G10322&lt;&gt;""),IF(D10322="",IF(G10322="OH",VLOOKUP(F10322,UPAH!$B$4:$H$101,7,0),VLOOKUP(F10322,#REF!,4,0)),0),0)</f>
        <v>0</v>
      </c>
      <c r="J10322" s="16">
        <f>H10322*I10322</f>
        <v>0</v>
      </c>
    </row>
    <row r="10323" spans="1:10" ht="13.5" thickBot="1">
      <c r="A10323" s="27"/>
      <c r="B10323" s="110"/>
      <c r="D10323" s="417"/>
      <c r="E10323" s="418"/>
      <c r="F10323" s="418"/>
      <c r="G10323" s="419"/>
      <c r="H10323" s="420" t="s">
        <v>52</v>
      </c>
      <c r="I10323" s="421"/>
      <c r="J10323" s="396">
        <f>SUM(J10319:J10322)</f>
        <v>0</v>
      </c>
    </row>
    <row r="10324" spans="1:10" ht="13">
      <c r="A10324" s="27"/>
      <c r="B10324" s="110"/>
      <c r="D10324" s="406" t="s">
        <v>53</v>
      </c>
      <c r="E10324" s="13" t="s">
        <v>54</v>
      </c>
      <c r="F10324" s="14"/>
      <c r="G10324" s="15"/>
      <c r="H10324" s="451"/>
      <c r="I10324" s="412"/>
      <c r="J10324" s="16"/>
    </row>
    <row r="10325" spans="1:10" ht="13.5" thickBot="1">
      <c r="A10325" s="27"/>
      <c r="B10325" s="110"/>
      <c r="D10325" s="409"/>
      <c r="E10325" s="13" t="s">
        <v>315</v>
      </c>
      <c r="F10325" s="14"/>
      <c r="G10325" s="410" t="s">
        <v>259</v>
      </c>
      <c r="H10325" s="411">
        <v>1</v>
      </c>
      <c r="I10325" s="412">
        <f>'BAHAN '!G363</f>
        <v>0</v>
      </c>
      <c r="J10325" s="16">
        <f>H10325*I10325</f>
        <v>0</v>
      </c>
    </row>
    <row r="10326" spans="1:10" ht="13.5" thickBot="1">
      <c r="A10326" s="27"/>
      <c r="B10326" s="110"/>
      <c r="D10326" s="417"/>
      <c r="E10326" s="418"/>
      <c r="F10326" s="418"/>
      <c r="G10326" s="419"/>
      <c r="H10326" s="420" t="s">
        <v>64</v>
      </c>
      <c r="I10326" s="421"/>
      <c r="J10326" s="396">
        <f>SUM(J10325)</f>
        <v>0</v>
      </c>
    </row>
    <row r="10327" spans="1:10" ht="13">
      <c r="A10327" s="27"/>
      <c r="B10327" s="110"/>
      <c r="D10327" s="406" t="s">
        <v>65</v>
      </c>
      <c r="E10327" s="13" t="s">
        <v>66</v>
      </c>
      <c r="F10327" s="14"/>
      <c r="G10327" s="15"/>
      <c r="H10327" s="451"/>
      <c r="I10327" s="412"/>
      <c r="J10327" s="16"/>
    </row>
    <row r="10328" spans="1:10" ht="13.5" thickBot="1">
      <c r="A10328" s="27"/>
      <c r="B10328" s="110"/>
      <c r="D10328" s="409"/>
      <c r="E10328" s="13" t="s">
        <v>411</v>
      </c>
      <c r="F10328" s="14"/>
      <c r="G10328" s="410" t="s">
        <v>285</v>
      </c>
      <c r="H10328" s="411">
        <v>1.7000000000000001E-2</v>
      </c>
      <c r="I10328" s="412">
        <f>Alat!H26</f>
        <v>0</v>
      </c>
      <c r="J10328" s="16">
        <f>H10328*I10328</f>
        <v>0</v>
      </c>
    </row>
    <row r="10329" spans="1:10" ht="13.5" thickBot="1">
      <c r="A10329" s="27"/>
      <c r="B10329" s="110"/>
      <c r="D10329" s="417"/>
      <c r="E10329" s="418"/>
      <c r="F10329" s="418"/>
      <c r="G10329" s="419"/>
      <c r="H10329" s="420" t="s">
        <v>67</v>
      </c>
      <c r="I10329" s="421"/>
      <c r="J10329" s="396">
        <f>J10328</f>
        <v>0</v>
      </c>
    </row>
    <row r="10330" spans="1:10" ht="13">
      <c r="A10330" s="27"/>
      <c r="B10330" s="110"/>
      <c r="D10330" s="444" t="s">
        <v>68</v>
      </c>
      <c r="E10330" s="445" t="s">
        <v>69</v>
      </c>
      <c r="F10330" s="446"/>
      <c r="G10330" s="447"/>
      <c r="H10330" s="448"/>
      <c r="I10330" s="449">
        <f>IF(AND(E10330&lt;&gt;"",G10330&lt;&gt;""),IF(D10330="",IF(G10330="OH",VLOOKUP(E10330,UPAH!$C$4:$H$31,7,0),VLOOKUP(E10330,#REF!,4,0)),0),0)</f>
        <v>0</v>
      </c>
      <c r="J10330" s="16">
        <f>SUM(J10319:J10329)/2</f>
        <v>0</v>
      </c>
    </row>
    <row r="10331" spans="1:10" ht="13.5" thickBot="1">
      <c r="A10331" s="27"/>
      <c r="B10331" s="110"/>
      <c r="D10331" s="431" t="s">
        <v>70</v>
      </c>
      <c r="E10331" s="432" t="s">
        <v>477</v>
      </c>
      <c r="F10331" s="433"/>
      <c r="G10331" s="434"/>
      <c r="H10331" s="22">
        <v>0.1</v>
      </c>
      <c r="I10331" s="436"/>
      <c r="J10331" s="430">
        <f>H10331*J10330</f>
        <v>0</v>
      </c>
    </row>
    <row r="10332" spans="1:10" ht="13.5" thickBot="1">
      <c r="A10332" s="27"/>
      <c r="B10332" s="110"/>
      <c r="D10332" s="401" t="s">
        <v>71</v>
      </c>
      <c r="E10332" s="402" t="s">
        <v>72</v>
      </c>
      <c r="F10332" s="418"/>
      <c r="G10332" s="419"/>
      <c r="H10332" s="442"/>
      <c r="I10332" s="421">
        <f>IF(AND(E10332&lt;&gt;"",G10332&lt;&gt;""),IF(D10332="",IF(G10332="OH",VLOOKUP(E10332,UPAH!$C$4:$H$31,7,0),VLOOKUP(E10332,#REF!,4,0)),0),0)</f>
        <v>0</v>
      </c>
      <c r="J10332" s="396">
        <f>ROUNDDOWN(J10330+J10331,0)</f>
        <v>0</v>
      </c>
    </row>
    <row r="10333" spans="1:10" ht="13">
      <c r="A10333" s="27"/>
      <c r="B10333" s="110"/>
      <c r="D10333" s="11"/>
      <c r="E10333" s="11"/>
      <c r="H10333" s="443"/>
      <c r="I10333" s="17"/>
      <c r="J10333" s="18"/>
    </row>
    <row r="10334" spans="1:10" ht="13.5" thickBot="1">
      <c r="A10334" s="27"/>
      <c r="B10334" s="110"/>
      <c r="C10334" s="11" t="s">
        <v>1644</v>
      </c>
      <c r="D10334" s="10" t="s">
        <v>1649</v>
      </c>
      <c r="H10334" s="443"/>
    </row>
    <row r="10335" spans="1:10" ht="13.5" thickBot="1">
      <c r="A10335" s="27"/>
      <c r="B10335" s="110"/>
      <c r="D10335" s="401" t="s">
        <v>40</v>
      </c>
      <c r="E10335" s="402" t="s">
        <v>41</v>
      </c>
      <c r="F10335" s="402" t="s">
        <v>42</v>
      </c>
      <c r="G10335" s="403" t="s">
        <v>43</v>
      </c>
      <c r="H10335" s="404" t="s">
        <v>44</v>
      </c>
      <c r="I10335" s="402" t="s">
        <v>474</v>
      </c>
      <c r="J10335" s="405" t="s">
        <v>475</v>
      </c>
    </row>
    <row r="10336" spans="1:10" ht="13">
      <c r="A10336" s="27"/>
      <c r="B10336" s="110"/>
      <c r="D10336" s="444" t="s">
        <v>45</v>
      </c>
      <c r="E10336" s="445" t="s">
        <v>46</v>
      </c>
      <c r="F10336" s="446"/>
      <c r="G10336" s="447"/>
      <c r="H10336" s="448"/>
      <c r="I10336" s="449"/>
      <c r="J10336" s="450"/>
    </row>
    <row r="10337" spans="1:10" ht="13">
      <c r="A10337" s="27"/>
      <c r="B10337" s="110"/>
      <c r="D10337" s="409"/>
      <c r="E10337" s="13" t="s">
        <v>47</v>
      </c>
      <c r="F10337" s="13" t="s">
        <v>1918</v>
      </c>
      <c r="G10337" s="410" t="s">
        <v>48</v>
      </c>
      <c r="H10337" s="411">
        <v>9.1999999999999998E-2</v>
      </c>
      <c r="I10337" s="412">
        <f>IF(AND(E10337&lt;&gt;"",G10337&lt;&gt;""),IF(D10337="",IF(G10337="OH",VLOOKUP(F10337,UPAH!$B$4:$H$101,7,0),VLOOKUP(F10337,#REF!,4,0)),0),0)</f>
        <v>0</v>
      </c>
      <c r="J10337" s="16">
        <f>H10337*I10337</f>
        <v>0</v>
      </c>
    </row>
    <row r="10338" spans="1:10" ht="13">
      <c r="A10338" s="27"/>
      <c r="B10338" s="110"/>
      <c r="D10338" s="409"/>
      <c r="E10338" s="13" t="s">
        <v>283</v>
      </c>
      <c r="F10338" s="13" t="s">
        <v>1913</v>
      </c>
      <c r="G10338" s="410" t="s">
        <v>48</v>
      </c>
      <c r="H10338" s="411">
        <v>4.5999999999999999E-2</v>
      </c>
      <c r="I10338" s="412">
        <f>IF(AND(E10338&lt;&gt;"",G10338&lt;&gt;""),IF(D10338="",IF(G10338="OH",VLOOKUP(F10338,UPAH!$B$4:$H$101,7,0),VLOOKUP(F10338,#REF!,4,0)),0),0)</f>
        <v>0</v>
      </c>
      <c r="J10338" s="16">
        <f>H10338*I10338</f>
        <v>0</v>
      </c>
    </row>
    <row r="10339" spans="1:10" ht="13.5" thickBot="1">
      <c r="A10339" s="27"/>
      <c r="B10339" s="110"/>
      <c r="D10339" s="409"/>
      <c r="E10339" s="13" t="s">
        <v>51</v>
      </c>
      <c r="F10339" s="13" t="s">
        <v>1929</v>
      </c>
      <c r="G10339" s="410" t="s">
        <v>48</v>
      </c>
      <c r="H10339" s="411">
        <v>8.9999999999999993E-3</v>
      </c>
      <c r="I10339" s="412">
        <f>IF(AND(E10339&lt;&gt;"",G10339&lt;&gt;""),IF(D10339="",IF(G10339="OH",VLOOKUP(F10339,UPAH!$B$4:$H$101,7,0),VLOOKUP(F10339,#REF!,4,0)),0),0)</f>
        <v>0</v>
      </c>
      <c r="J10339" s="16">
        <f>H10339*I10339</f>
        <v>0</v>
      </c>
    </row>
    <row r="10340" spans="1:10" ht="13.5" thickBot="1">
      <c r="A10340" s="27"/>
      <c r="B10340" s="110"/>
      <c r="D10340" s="417"/>
      <c r="E10340" s="418"/>
      <c r="F10340" s="418"/>
      <c r="G10340" s="419"/>
      <c r="H10340" s="420" t="s">
        <v>52</v>
      </c>
      <c r="I10340" s="421"/>
      <c r="J10340" s="396">
        <f>SUM(J10336:J10339)</f>
        <v>0</v>
      </c>
    </row>
    <row r="10341" spans="1:10" ht="13">
      <c r="A10341" s="27"/>
      <c r="B10341" s="110"/>
      <c r="D10341" s="406" t="s">
        <v>53</v>
      </c>
      <c r="E10341" s="13" t="s">
        <v>54</v>
      </c>
      <c r="F10341" s="14"/>
      <c r="G10341" s="15"/>
      <c r="H10341" s="451"/>
      <c r="I10341" s="412"/>
      <c r="J10341" s="16"/>
    </row>
    <row r="10342" spans="1:10" ht="13.5" thickBot="1">
      <c r="A10342" s="27"/>
      <c r="B10342" s="110"/>
      <c r="D10342" s="409"/>
      <c r="E10342" s="13" t="s">
        <v>316</v>
      </c>
      <c r="F10342" s="14"/>
      <c r="G10342" s="410" t="s">
        <v>259</v>
      </c>
      <c r="H10342" s="411">
        <v>1</v>
      </c>
      <c r="I10342" s="412">
        <f>'BAHAN '!G362</f>
        <v>0</v>
      </c>
      <c r="J10342" s="16">
        <f>H10342*I10342</f>
        <v>0</v>
      </c>
    </row>
    <row r="10343" spans="1:10" ht="13.5" thickBot="1">
      <c r="A10343" s="27"/>
      <c r="B10343" s="110"/>
      <c r="D10343" s="417"/>
      <c r="E10343" s="418"/>
      <c r="F10343" s="418"/>
      <c r="G10343" s="419"/>
      <c r="H10343" s="420" t="s">
        <v>64</v>
      </c>
      <c r="I10343" s="421"/>
      <c r="J10343" s="396">
        <f>SUM(J10342)</f>
        <v>0</v>
      </c>
    </row>
    <row r="10344" spans="1:10" ht="13">
      <c r="A10344" s="27"/>
      <c r="B10344" s="110"/>
      <c r="D10344" s="406" t="s">
        <v>65</v>
      </c>
      <c r="E10344" s="13" t="s">
        <v>66</v>
      </c>
      <c r="F10344" s="14"/>
      <c r="G10344" s="15"/>
      <c r="H10344" s="451"/>
      <c r="I10344" s="412"/>
      <c r="J10344" s="16"/>
    </row>
    <row r="10345" spans="1:10" ht="13.5" thickBot="1">
      <c r="A10345" s="27"/>
      <c r="B10345" s="110"/>
      <c r="D10345" s="409"/>
      <c r="E10345" s="13" t="s">
        <v>411</v>
      </c>
      <c r="F10345" s="14"/>
      <c r="G10345" s="410" t="s">
        <v>285</v>
      </c>
      <c r="H10345" s="411">
        <v>3.4000000000000002E-2</v>
      </c>
      <c r="I10345" s="412">
        <f>Alat!H26</f>
        <v>0</v>
      </c>
      <c r="J10345" s="16">
        <f>H10345*I10345</f>
        <v>0</v>
      </c>
    </row>
    <row r="10346" spans="1:10" ht="13.5" thickBot="1">
      <c r="A10346" s="27"/>
      <c r="B10346" s="110"/>
      <c r="D10346" s="417"/>
      <c r="E10346" s="418"/>
      <c r="F10346" s="418"/>
      <c r="G10346" s="419"/>
      <c r="H10346" s="420" t="s">
        <v>67</v>
      </c>
      <c r="I10346" s="421"/>
      <c r="J10346" s="396">
        <f>J10345</f>
        <v>0</v>
      </c>
    </row>
    <row r="10347" spans="1:10" ht="13">
      <c r="A10347" s="27"/>
      <c r="B10347" s="110"/>
      <c r="D10347" s="444" t="s">
        <v>68</v>
      </c>
      <c r="E10347" s="445" t="s">
        <v>69</v>
      </c>
      <c r="F10347" s="446"/>
      <c r="G10347" s="447"/>
      <c r="H10347" s="448"/>
      <c r="I10347" s="449">
        <f>IF(AND(E10347&lt;&gt;"",G10347&lt;&gt;""),IF(D10347="",IF(G10347="OH",VLOOKUP(E10347,UPAH!$C$4:$H$31,7,0),VLOOKUP(E10347,#REF!,4,0)),0),0)</f>
        <v>0</v>
      </c>
      <c r="J10347" s="16">
        <f>SUM(J10336:J10346)/2</f>
        <v>0</v>
      </c>
    </row>
    <row r="10348" spans="1:10" ht="13.5" thickBot="1">
      <c r="A10348" s="27"/>
      <c r="B10348" s="110"/>
      <c r="D10348" s="431" t="s">
        <v>70</v>
      </c>
      <c r="E10348" s="432" t="s">
        <v>477</v>
      </c>
      <c r="F10348" s="433"/>
      <c r="G10348" s="434"/>
      <c r="H10348" s="22">
        <v>0.1</v>
      </c>
      <c r="I10348" s="436"/>
      <c r="J10348" s="430">
        <f>H10348*J10347</f>
        <v>0</v>
      </c>
    </row>
    <row r="10349" spans="1:10" ht="13.5" thickBot="1">
      <c r="A10349" s="27"/>
      <c r="B10349" s="110"/>
      <c r="D10349" s="401" t="s">
        <v>71</v>
      </c>
      <c r="E10349" s="402" t="s">
        <v>72</v>
      </c>
      <c r="F10349" s="418"/>
      <c r="G10349" s="419"/>
      <c r="H10349" s="442"/>
      <c r="I10349" s="421">
        <f>IF(AND(E10349&lt;&gt;"",G10349&lt;&gt;""),IF(D10349="",IF(G10349="OH",VLOOKUP(E10349,UPAH!$C$4:$H$31,7,0),VLOOKUP(E10349,#REF!,4,0)),0),0)</f>
        <v>0</v>
      </c>
      <c r="J10349" s="396">
        <f>ROUNDDOWN(J10347+J10348,0)</f>
        <v>0</v>
      </c>
    </row>
    <row r="10350" spans="1:10" ht="13">
      <c r="A10350" s="27"/>
      <c r="B10350" s="110"/>
      <c r="D10350" s="11"/>
      <c r="E10350" s="11"/>
      <c r="H10350" s="443"/>
      <c r="I10350" s="17"/>
      <c r="J10350" s="18"/>
    </row>
    <row r="10351" spans="1:10" ht="13.5" thickBot="1">
      <c r="A10351" s="27"/>
      <c r="B10351" s="110"/>
      <c r="C10351" s="11" t="s">
        <v>1643</v>
      </c>
      <c r="D10351" s="10" t="s">
        <v>1650</v>
      </c>
      <c r="H10351" s="443"/>
    </row>
    <row r="10352" spans="1:10" ht="13.5" thickBot="1">
      <c r="A10352" s="27"/>
      <c r="B10352" s="110"/>
      <c r="D10352" s="401" t="s">
        <v>40</v>
      </c>
      <c r="E10352" s="402" t="s">
        <v>41</v>
      </c>
      <c r="F10352" s="402" t="s">
        <v>42</v>
      </c>
      <c r="G10352" s="403" t="s">
        <v>43</v>
      </c>
      <c r="H10352" s="404" t="s">
        <v>44</v>
      </c>
      <c r="I10352" s="402" t="s">
        <v>474</v>
      </c>
      <c r="J10352" s="405" t="s">
        <v>475</v>
      </c>
    </row>
    <row r="10353" spans="1:10" ht="13">
      <c r="A10353" s="27"/>
      <c r="B10353" s="110"/>
      <c r="D10353" s="444" t="s">
        <v>45</v>
      </c>
      <c r="E10353" s="445" t="s">
        <v>46</v>
      </c>
      <c r="F10353" s="446"/>
      <c r="G10353" s="447"/>
      <c r="H10353" s="448"/>
      <c r="I10353" s="449"/>
      <c r="J10353" s="450"/>
    </row>
    <row r="10354" spans="1:10" ht="13">
      <c r="A10354" s="27"/>
      <c r="B10354" s="110"/>
      <c r="D10354" s="409"/>
      <c r="E10354" s="13" t="s">
        <v>47</v>
      </c>
      <c r="F10354" s="13" t="s">
        <v>1918</v>
      </c>
      <c r="G10354" s="410" t="s">
        <v>48</v>
      </c>
      <c r="H10354" s="411">
        <v>0.13100000000000001</v>
      </c>
      <c r="I10354" s="412">
        <f>IF(AND(E10354&lt;&gt;"",G10354&lt;&gt;""),IF(D10354="",IF(G10354="OH",VLOOKUP(F10354,UPAH!$B$4:$H$101,7,0),VLOOKUP(F10354,#REF!,4,0)),0),0)</f>
        <v>0</v>
      </c>
      <c r="J10354" s="16">
        <f>H10354*I10354</f>
        <v>0</v>
      </c>
    </row>
    <row r="10355" spans="1:10" ht="13">
      <c r="A10355" s="27"/>
      <c r="B10355" s="110"/>
      <c r="D10355" s="409"/>
      <c r="E10355" s="13" t="s">
        <v>283</v>
      </c>
      <c r="F10355" s="13" t="s">
        <v>1913</v>
      </c>
      <c r="G10355" s="410" t="s">
        <v>48</v>
      </c>
      <c r="H10355" s="411">
        <v>6.6000000000000003E-2</v>
      </c>
      <c r="I10355" s="412">
        <f>IF(AND(E10355&lt;&gt;"",G10355&lt;&gt;""),IF(D10355="",IF(G10355="OH",VLOOKUP(F10355,UPAH!$B$4:$H$101,7,0),VLOOKUP(F10355,#REF!,4,0)),0),0)</f>
        <v>0</v>
      </c>
      <c r="J10355" s="16">
        <f>H10355*I10355</f>
        <v>0</v>
      </c>
    </row>
    <row r="10356" spans="1:10" ht="13.5" thickBot="1">
      <c r="A10356" s="27"/>
      <c r="B10356" s="110"/>
      <c r="D10356" s="409"/>
      <c r="E10356" s="13" t="s">
        <v>51</v>
      </c>
      <c r="F10356" s="13" t="s">
        <v>1929</v>
      </c>
      <c r="G10356" s="410" t="s">
        <v>48</v>
      </c>
      <c r="H10356" s="411">
        <v>1.2999999999999999E-2</v>
      </c>
      <c r="I10356" s="412">
        <f>IF(AND(E10356&lt;&gt;"",G10356&lt;&gt;""),IF(D10356="",IF(G10356="OH",VLOOKUP(F10356,UPAH!$B$4:$H$101,7,0),VLOOKUP(F10356,#REF!,4,0)),0),0)</f>
        <v>0</v>
      </c>
      <c r="J10356" s="16">
        <f>H10356*I10356</f>
        <v>0</v>
      </c>
    </row>
    <row r="10357" spans="1:10" ht="13.5" thickBot="1">
      <c r="A10357" s="27"/>
      <c r="B10357" s="110"/>
      <c r="D10357" s="417"/>
      <c r="E10357" s="418"/>
      <c r="F10357" s="418"/>
      <c r="G10357" s="419"/>
      <c r="H10357" s="420" t="s">
        <v>52</v>
      </c>
      <c r="I10357" s="421"/>
      <c r="J10357" s="396">
        <f>SUM(J10353:J10356)</f>
        <v>0</v>
      </c>
    </row>
    <row r="10358" spans="1:10" ht="13">
      <c r="A10358" s="27"/>
      <c r="B10358" s="110"/>
      <c r="D10358" s="406" t="s">
        <v>53</v>
      </c>
      <c r="E10358" s="13" t="s">
        <v>54</v>
      </c>
      <c r="F10358" s="14"/>
      <c r="G10358" s="15"/>
      <c r="H10358" s="451"/>
      <c r="I10358" s="412"/>
      <c r="J10358" s="16"/>
    </row>
    <row r="10359" spans="1:10" ht="13.5" thickBot="1">
      <c r="A10359" s="27"/>
      <c r="B10359" s="110"/>
      <c r="D10359" s="409"/>
      <c r="E10359" s="13" t="s">
        <v>317</v>
      </c>
      <c r="F10359" s="14"/>
      <c r="G10359" s="410" t="s">
        <v>259</v>
      </c>
      <c r="H10359" s="411">
        <v>1</v>
      </c>
      <c r="I10359" s="412">
        <f>'BAHAN '!G361</f>
        <v>0</v>
      </c>
      <c r="J10359" s="16">
        <f>H10359*I10359</f>
        <v>0</v>
      </c>
    </row>
    <row r="10360" spans="1:10" ht="13.5" thickBot="1">
      <c r="A10360" s="27"/>
      <c r="B10360" s="110"/>
      <c r="D10360" s="417"/>
      <c r="E10360" s="418"/>
      <c r="F10360" s="418"/>
      <c r="G10360" s="419"/>
      <c r="H10360" s="420" t="s">
        <v>64</v>
      </c>
      <c r="I10360" s="421"/>
      <c r="J10360" s="396">
        <f>SUM(J10359)</f>
        <v>0</v>
      </c>
    </row>
    <row r="10361" spans="1:10" ht="13">
      <c r="A10361" s="27"/>
      <c r="B10361" s="110"/>
      <c r="D10361" s="406" t="s">
        <v>65</v>
      </c>
      <c r="E10361" s="13" t="s">
        <v>66</v>
      </c>
      <c r="F10361" s="14"/>
      <c r="G10361" s="15"/>
      <c r="H10361" s="451"/>
      <c r="I10361" s="412"/>
      <c r="J10361" s="16"/>
    </row>
    <row r="10362" spans="1:10" ht="13.5" thickBot="1">
      <c r="A10362" s="27"/>
      <c r="B10362" s="110"/>
      <c r="D10362" s="409"/>
      <c r="E10362" s="13" t="s">
        <v>411</v>
      </c>
      <c r="F10362" s="14"/>
      <c r="G10362" s="410" t="s">
        <v>285</v>
      </c>
      <c r="H10362" s="411">
        <v>3.4000000000000002E-2</v>
      </c>
      <c r="I10362" s="412">
        <f>Alat!H26</f>
        <v>0</v>
      </c>
      <c r="J10362" s="16">
        <f>H10362*I10362</f>
        <v>0</v>
      </c>
    </row>
    <row r="10363" spans="1:10" ht="13.5" thickBot="1">
      <c r="A10363" s="27"/>
      <c r="B10363" s="110"/>
      <c r="D10363" s="417"/>
      <c r="E10363" s="418"/>
      <c r="F10363" s="418"/>
      <c r="G10363" s="419"/>
      <c r="H10363" s="420" t="s">
        <v>67</v>
      </c>
      <c r="I10363" s="421"/>
      <c r="J10363" s="396">
        <f>J10362</f>
        <v>0</v>
      </c>
    </row>
    <row r="10364" spans="1:10" ht="13">
      <c r="A10364" s="27"/>
      <c r="B10364" s="110"/>
      <c r="D10364" s="444" t="s">
        <v>68</v>
      </c>
      <c r="E10364" s="445" t="s">
        <v>69</v>
      </c>
      <c r="F10364" s="446"/>
      <c r="G10364" s="447"/>
      <c r="H10364" s="448"/>
      <c r="I10364" s="449">
        <f>IF(AND(E10364&lt;&gt;"",G10364&lt;&gt;""),IF(D10364="",IF(G10364="OH",VLOOKUP(E10364,UPAH!$C$4:$H$31,7,0),VLOOKUP(E10364,#REF!,4,0)),0),0)</f>
        <v>0</v>
      </c>
      <c r="J10364" s="16">
        <f>SUM(J10353:J10363)/2</f>
        <v>0</v>
      </c>
    </row>
    <row r="10365" spans="1:10" ht="13.5" thickBot="1">
      <c r="A10365" s="27"/>
      <c r="B10365" s="110"/>
      <c r="D10365" s="431" t="s">
        <v>70</v>
      </c>
      <c r="E10365" s="432" t="s">
        <v>477</v>
      </c>
      <c r="F10365" s="433"/>
      <c r="G10365" s="434"/>
      <c r="H10365" s="22">
        <v>0.1</v>
      </c>
      <c r="I10365" s="436"/>
      <c r="J10365" s="430">
        <f>H10365*J10364</f>
        <v>0</v>
      </c>
    </row>
    <row r="10366" spans="1:10" ht="13.5" thickBot="1">
      <c r="A10366" s="27"/>
      <c r="B10366" s="110"/>
      <c r="D10366" s="401" t="s">
        <v>71</v>
      </c>
      <c r="E10366" s="402" t="s">
        <v>72</v>
      </c>
      <c r="F10366" s="418"/>
      <c r="G10366" s="419"/>
      <c r="H10366" s="442"/>
      <c r="I10366" s="421">
        <f>IF(AND(E10366&lt;&gt;"",G10366&lt;&gt;""),IF(D10366="",IF(G10366="OH",VLOOKUP(E10366,UPAH!$C$4:$H$31,7,0),VLOOKUP(E10366,#REF!,4,0)),0),0)</f>
        <v>0</v>
      </c>
      <c r="J10366" s="396">
        <f>ROUNDDOWN(J10364+J10365,0)</f>
        <v>0</v>
      </c>
    </row>
    <row r="10367" spans="1:10" ht="13">
      <c r="A10367" s="27"/>
      <c r="B10367" s="110"/>
      <c r="D10367" s="11"/>
      <c r="E10367" s="11"/>
      <c r="H10367" s="443"/>
      <c r="I10367" s="17"/>
      <c r="J10367" s="18"/>
    </row>
    <row r="10368" spans="1:10" ht="13.5" thickBot="1">
      <c r="A10368" s="27"/>
      <c r="B10368" s="110"/>
      <c r="C10368" s="11" t="s">
        <v>1642</v>
      </c>
      <c r="D10368" s="10" t="s">
        <v>1651</v>
      </c>
      <c r="H10368" s="443"/>
    </row>
    <row r="10369" spans="1:10" ht="13.5" thickBot="1">
      <c r="A10369" s="27"/>
      <c r="B10369" s="110"/>
      <c r="D10369" s="401" t="s">
        <v>40</v>
      </c>
      <c r="E10369" s="402" t="s">
        <v>41</v>
      </c>
      <c r="F10369" s="402" t="s">
        <v>42</v>
      </c>
      <c r="G10369" s="403" t="s">
        <v>43</v>
      </c>
      <c r="H10369" s="404" t="s">
        <v>44</v>
      </c>
      <c r="I10369" s="402" t="s">
        <v>474</v>
      </c>
      <c r="J10369" s="405" t="s">
        <v>475</v>
      </c>
    </row>
    <row r="10370" spans="1:10" ht="13">
      <c r="A10370" s="27"/>
      <c r="B10370" s="110"/>
      <c r="D10370" s="444" t="s">
        <v>45</v>
      </c>
      <c r="E10370" s="445" t="s">
        <v>46</v>
      </c>
      <c r="F10370" s="446"/>
      <c r="G10370" s="447"/>
      <c r="H10370" s="448"/>
      <c r="I10370" s="449"/>
      <c r="J10370" s="450"/>
    </row>
    <row r="10371" spans="1:10" ht="13">
      <c r="A10371" s="27"/>
      <c r="B10371" s="110"/>
      <c r="D10371" s="409"/>
      <c r="E10371" s="13" t="s">
        <v>47</v>
      </c>
      <c r="F10371" s="13" t="s">
        <v>1918</v>
      </c>
      <c r="G10371" s="410" t="s">
        <v>48</v>
      </c>
      <c r="H10371" s="411">
        <v>0.34</v>
      </c>
      <c r="I10371" s="412">
        <f>IF(AND(E10371&lt;&gt;"",G10371&lt;&gt;""),IF(D10371="",IF(G10371="OH",VLOOKUP(F10371,UPAH!$B$4:$H$101,7,0),VLOOKUP(F10371,#REF!,4,0)),0),0)</f>
        <v>0</v>
      </c>
      <c r="J10371" s="16">
        <f>H10371*I10371</f>
        <v>0</v>
      </c>
    </row>
    <row r="10372" spans="1:10" ht="13">
      <c r="A10372" s="27"/>
      <c r="B10372" s="110"/>
      <c r="D10372" s="409"/>
      <c r="E10372" s="13" t="s">
        <v>283</v>
      </c>
      <c r="F10372" s="13" t="s">
        <v>1913</v>
      </c>
      <c r="G10372" s="410" t="s">
        <v>48</v>
      </c>
      <c r="H10372" s="411">
        <v>0.17</v>
      </c>
      <c r="I10372" s="412">
        <f>IF(AND(E10372&lt;&gt;"",G10372&lt;&gt;""),IF(D10372="",IF(G10372="OH",VLOOKUP(F10372,UPAH!$B$4:$H$101,7,0),VLOOKUP(F10372,#REF!,4,0)),0),0)</f>
        <v>0</v>
      </c>
      <c r="J10372" s="16">
        <f>H10372*I10372</f>
        <v>0</v>
      </c>
    </row>
    <row r="10373" spans="1:10" ht="13.5" thickBot="1">
      <c r="A10373" s="27"/>
      <c r="B10373" s="110"/>
      <c r="D10373" s="409"/>
      <c r="E10373" s="13" t="s">
        <v>51</v>
      </c>
      <c r="F10373" s="13" t="s">
        <v>1929</v>
      </c>
      <c r="G10373" s="410" t="s">
        <v>48</v>
      </c>
      <c r="H10373" s="411">
        <v>3.4000000000000002E-2</v>
      </c>
      <c r="I10373" s="412">
        <f>IF(AND(E10373&lt;&gt;"",G10373&lt;&gt;""),IF(D10373="",IF(G10373="OH",VLOOKUP(F10373,UPAH!$B$4:$H$101,7,0),VLOOKUP(F10373,#REF!,4,0)),0),0)</f>
        <v>0</v>
      </c>
      <c r="J10373" s="16">
        <f>H10373*I10373</f>
        <v>0</v>
      </c>
    </row>
    <row r="10374" spans="1:10" ht="13.5" thickBot="1">
      <c r="A10374" s="27"/>
      <c r="B10374" s="110"/>
      <c r="D10374" s="417"/>
      <c r="E10374" s="418"/>
      <c r="F10374" s="418"/>
      <c r="G10374" s="419"/>
      <c r="H10374" s="420" t="s">
        <v>52</v>
      </c>
      <c r="I10374" s="421"/>
      <c r="J10374" s="396">
        <f>SUM(J10370:J10373)</f>
        <v>0</v>
      </c>
    </row>
    <row r="10375" spans="1:10" ht="13">
      <c r="A10375" s="27"/>
      <c r="B10375" s="110"/>
      <c r="D10375" s="406" t="s">
        <v>53</v>
      </c>
      <c r="E10375" s="13" t="s">
        <v>54</v>
      </c>
      <c r="F10375" s="14"/>
      <c r="G10375" s="15"/>
      <c r="H10375" s="451"/>
      <c r="I10375" s="412"/>
      <c r="J10375" s="16"/>
    </row>
    <row r="10376" spans="1:10" ht="13.5" thickBot="1">
      <c r="A10376" s="27"/>
      <c r="B10376" s="110"/>
      <c r="D10376" s="409"/>
      <c r="E10376" s="13" t="s">
        <v>318</v>
      </c>
      <c r="F10376" s="14"/>
      <c r="G10376" s="410" t="s">
        <v>259</v>
      </c>
      <c r="H10376" s="411">
        <v>1</v>
      </c>
      <c r="I10376" s="412">
        <f>'BAHAN '!G360</f>
        <v>0</v>
      </c>
      <c r="J10376" s="16">
        <f>H10376*I10376</f>
        <v>0</v>
      </c>
    </row>
    <row r="10377" spans="1:10" ht="13.5" thickBot="1">
      <c r="A10377" s="27"/>
      <c r="B10377" s="110"/>
      <c r="D10377" s="417"/>
      <c r="E10377" s="418"/>
      <c r="F10377" s="418"/>
      <c r="G10377" s="419"/>
      <c r="H10377" s="420" t="s">
        <v>64</v>
      </c>
      <c r="I10377" s="421"/>
      <c r="J10377" s="396">
        <f>SUM(J10376)</f>
        <v>0</v>
      </c>
    </row>
    <row r="10378" spans="1:10" ht="13">
      <c r="A10378" s="27"/>
      <c r="B10378" s="110"/>
      <c r="D10378" s="406" t="s">
        <v>65</v>
      </c>
      <c r="E10378" s="13" t="s">
        <v>66</v>
      </c>
      <c r="F10378" s="14"/>
      <c r="G10378" s="15"/>
      <c r="H10378" s="451"/>
      <c r="I10378" s="412"/>
      <c r="J10378" s="16"/>
    </row>
    <row r="10379" spans="1:10" ht="13.5" thickBot="1">
      <c r="A10379" s="27"/>
      <c r="B10379" s="110"/>
      <c r="D10379" s="409"/>
      <c r="E10379" s="13" t="s">
        <v>411</v>
      </c>
      <c r="F10379" s="14"/>
      <c r="G10379" s="410" t="s">
        <v>285</v>
      </c>
      <c r="H10379" s="411">
        <f>0.051</f>
        <v>5.0999999999999997E-2</v>
      </c>
      <c r="I10379" s="412">
        <f>Alat!H26</f>
        <v>0</v>
      </c>
      <c r="J10379" s="16">
        <f>H10379*I10379</f>
        <v>0</v>
      </c>
    </row>
    <row r="10380" spans="1:10" ht="13.5" thickBot="1">
      <c r="A10380" s="27"/>
      <c r="B10380" s="110"/>
      <c r="D10380" s="417"/>
      <c r="E10380" s="418"/>
      <c r="F10380" s="418"/>
      <c r="G10380" s="419"/>
      <c r="H10380" s="420" t="s">
        <v>67</v>
      </c>
      <c r="I10380" s="421"/>
      <c r="J10380" s="396">
        <f>J10379</f>
        <v>0</v>
      </c>
    </row>
    <row r="10381" spans="1:10" ht="13">
      <c r="A10381" s="27"/>
      <c r="B10381" s="110"/>
      <c r="D10381" s="444" t="s">
        <v>68</v>
      </c>
      <c r="E10381" s="445" t="s">
        <v>69</v>
      </c>
      <c r="F10381" s="446"/>
      <c r="G10381" s="447"/>
      <c r="H10381" s="448"/>
      <c r="I10381" s="449">
        <f>IF(AND(E10381&lt;&gt;"",G10381&lt;&gt;""),IF(D10381="",IF(G10381="OH",VLOOKUP(E10381,UPAH!$C$4:$H$31,7,0),VLOOKUP(E10381,#REF!,4,0)),0),0)</f>
        <v>0</v>
      </c>
      <c r="J10381" s="16">
        <f>SUM(J10370:J10380)/2</f>
        <v>0</v>
      </c>
    </row>
    <row r="10382" spans="1:10" ht="13.5" thickBot="1">
      <c r="A10382" s="27"/>
      <c r="B10382" s="110"/>
      <c r="D10382" s="431" t="s">
        <v>70</v>
      </c>
      <c r="E10382" s="432" t="s">
        <v>477</v>
      </c>
      <c r="F10382" s="433"/>
      <c r="G10382" s="434"/>
      <c r="H10382" s="22">
        <v>0.1</v>
      </c>
      <c r="I10382" s="436"/>
      <c r="J10382" s="430">
        <f>H10382*J10381</f>
        <v>0</v>
      </c>
    </row>
    <row r="10383" spans="1:10" ht="13.5" thickBot="1">
      <c r="A10383" s="27"/>
      <c r="B10383" s="110"/>
      <c r="D10383" s="401" t="s">
        <v>71</v>
      </c>
      <c r="E10383" s="402" t="s">
        <v>72</v>
      </c>
      <c r="F10383" s="418"/>
      <c r="G10383" s="419"/>
      <c r="H10383" s="442"/>
      <c r="I10383" s="421">
        <f>IF(AND(E10383&lt;&gt;"",G10383&lt;&gt;""),IF(D10383="",IF(G10383="OH",VLOOKUP(E10383,UPAH!$C$4:$H$31,7,0),VLOOKUP(E10383,#REF!,4,0)),0),0)</f>
        <v>0</v>
      </c>
      <c r="J10383" s="396">
        <f>ROUNDDOWN(J10381+J10382,0)</f>
        <v>0</v>
      </c>
    </row>
    <row r="10384" spans="1:10" ht="13">
      <c r="A10384" s="27"/>
      <c r="B10384" s="110"/>
      <c r="D10384" s="11"/>
      <c r="E10384" s="11"/>
      <c r="H10384" s="443"/>
      <c r="I10384" s="17"/>
      <c r="J10384" s="18"/>
    </row>
    <row r="10385" spans="1:10" ht="13.5" thickBot="1">
      <c r="A10385" s="27"/>
      <c r="B10385" s="110"/>
      <c r="C10385" s="11" t="s">
        <v>1641</v>
      </c>
      <c r="D10385" s="10" t="s">
        <v>1652</v>
      </c>
      <c r="H10385" s="443"/>
    </row>
    <row r="10386" spans="1:10" ht="13.5" thickBot="1">
      <c r="A10386" s="27"/>
      <c r="B10386" s="110"/>
      <c r="D10386" s="401" t="s">
        <v>40</v>
      </c>
      <c r="E10386" s="402" t="s">
        <v>41</v>
      </c>
      <c r="F10386" s="402" t="s">
        <v>42</v>
      </c>
      <c r="G10386" s="403" t="s">
        <v>43</v>
      </c>
      <c r="H10386" s="404" t="s">
        <v>44</v>
      </c>
      <c r="I10386" s="402" t="s">
        <v>474</v>
      </c>
      <c r="J10386" s="405" t="s">
        <v>475</v>
      </c>
    </row>
    <row r="10387" spans="1:10" ht="13">
      <c r="A10387" s="27"/>
      <c r="B10387" s="110"/>
      <c r="D10387" s="444" t="s">
        <v>45</v>
      </c>
      <c r="E10387" s="445" t="s">
        <v>46</v>
      </c>
      <c r="F10387" s="446"/>
      <c r="G10387" s="447"/>
      <c r="H10387" s="448"/>
      <c r="I10387" s="449"/>
      <c r="J10387" s="450"/>
    </row>
    <row r="10388" spans="1:10" ht="13">
      <c r="A10388" s="27"/>
      <c r="B10388" s="110"/>
      <c r="D10388" s="409"/>
      <c r="E10388" s="13" t="s">
        <v>47</v>
      </c>
      <c r="F10388" s="13" t="s">
        <v>1918</v>
      </c>
      <c r="G10388" s="410" t="s">
        <v>48</v>
      </c>
      <c r="H10388" s="411">
        <v>0.47499999999999998</v>
      </c>
      <c r="I10388" s="412">
        <f>IF(AND(E10388&lt;&gt;"",G10388&lt;&gt;""),IF(D10388="",IF(G10388="OH",VLOOKUP(F10388,UPAH!$B$4:$H$101,7,0),VLOOKUP(F10388,#REF!,4,0)),0),0)</f>
        <v>0</v>
      </c>
      <c r="J10388" s="16">
        <f>H10388*I10388</f>
        <v>0</v>
      </c>
    </row>
    <row r="10389" spans="1:10" ht="13">
      <c r="A10389" s="27"/>
      <c r="B10389" s="110"/>
      <c r="D10389" s="409"/>
      <c r="E10389" s="13" t="s">
        <v>283</v>
      </c>
      <c r="F10389" s="13" t="s">
        <v>1913</v>
      </c>
      <c r="G10389" s="410" t="s">
        <v>48</v>
      </c>
      <c r="H10389" s="411">
        <v>0.23699999999999999</v>
      </c>
      <c r="I10389" s="412">
        <f>IF(AND(E10389&lt;&gt;"",G10389&lt;&gt;""),IF(D10389="",IF(G10389="OH",VLOOKUP(F10389,UPAH!$B$4:$H$101,7,0),VLOOKUP(F10389,#REF!,4,0)),0),0)</f>
        <v>0</v>
      </c>
      <c r="J10389" s="16">
        <f>H10389*I10389</f>
        <v>0</v>
      </c>
    </row>
    <row r="10390" spans="1:10" ht="13.5" thickBot="1">
      <c r="A10390" s="27"/>
      <c r="B10390" s="110"/>
      <c r="D10390" s="409"/>
      <c r="E10390" s="13" t="s">
        <v>51</v>
      </c>
      <c r="F10390" s="13" t="s">
        <v>1929</v>
      </c>
      <c r="G10390" s="410" t="s">
        <v>48</v>
      </c>
      <c r="H10390" s="411">
        <v>4.7E-2</v>
      </c>
      <c r="I10390" s="412">
        <f>IF(AND(E10390&lt;&gt;"",G10390&lt;&gt;""),IF(D10390="",IF(G10390="OH",VLOOKUP(F10390,UPAH!$B$4:$H$101,7,0),VLOOKUP(F10390,#REF!,4,0)),0),0)</f>
        <v>0</v>
      </c>
      <c r="J10390" s="16">
        <f>H10390*I10390</f>
        <v>0</v>
      </c>
    </row>
    <row r="10391" spans="1:10" ht="13.5" thickBot="1">
      <c r="A10391" s="27"/>
      <c r="B10391" s="110"/>
      <c r="D10391" s="417"/>
      <c r="E10391" s="418"/>
      <c r="F10391" s="418"/>
      <c r="G10391" s="419"/>
      <c r="H10391" s="420" t="s">
        <v>52</v>
      </c>
      <c r="I10391" s="421"/>
      <c r="J10391" s="396">
        <f>SUM(J10387:J10390)</f>
        <v>0</v>
      </c>
    </row>
    <row r="10392" spans="1:10" ht="13">
      <c r="A10392" s="27"/>
      <c r="B10392" s="110"/>
      <c r="D10392" s="406" t="s">
        <v>53</v>
      </c>
      <c r="E10392" s="13" t="s">
        <v>54</v>
      </c>
      <c r="F10392" s="14"/>
      <c r="G10392" s="15"/>
      <c r="H10392" s="451"/>
      <c r="I10392" s="412"/>
      <c r="J10392" s="16"/>
    </row>
    <row r="10393" spans="1:10" ht="13.5" thickBot="1">
      <c r="A10393" s="27"/>
      <c r="B10393" s="110"/>
      <c r="D10393" s="409"/>
      <c r="E10393" s="13" t="s">
        <v>319</v>
      </c>
      <c r="F10393" s="14"/>
      <c r="G10393" s="410" t="s">
        <v>259</v>
      </c>
      <c r="H10393" s="411">
        <v>1</v>
      </c>
      <c r="I10393" s="412">
        <f>'BAHAN '!G359</f>
        <v>0</v>
      </c>
      <c r="J10393" s="16">
        <f>H10393*I10393</f>
        <v>0</v>
      </c>
    </row>
    <row r="10394" spans="1:10" ht="13.5" thickBot="1">
      <c r="A10394" s="27"/>
      <c r="B10394" s="110"/>
      <c r="D10394" s="417"/>
      <c r="E10394" s="418"/>
      <c r="F10394" s="418"/>
      <c r="G10394" s="419"/>
      <c r="H10394" s="420" t="s">
        <v>64</v>
      </c>
      <c r="I10394" s="421"/>
      <c r="J10394" s="396">
        <f>SUM(J10393)</f>
        <v>0</v>
      </c>
    </row>
    <row r="10395" spans="1:10" ht="13">
      <c r="A10395" s="27"/>
      <c r="B10395" s="110"/>
      <c r="D10395" s="406" t="s">
        <v>65</v>
      </c>
      <c r="E10395" s="13" t="s">
        <v>66</v>
      </c>
      <c r="F10395" s="14"/>
      <c r="G10395" s="15"/>
      <c r="H10395" s="451"/>
      <c r="I10395" s="412"/>
      <c r="J10395" s="16"/>
    </row>
    <row r="10396" spans="1:10" ht="13.5" thickBot="1">
      <c r="A10396" s="27"/>
      <c r="B10396" s="110"/>
      <c r="D10396" s="409"/>
      <c r="E10396" s="13" t="s">
        <v>1075</v>
      </c>
      <c r="F10396" s="14"/>
      <c r="G10396" s="410" t="s">
        <v>285</v>
      </c>
      <c r="H10396" s="411">
        <v>5.0999999999999997E-2</v>
      </c>
      <c r="I10396" s="412">
        <f>Alat!H26</f>
        <v>0</v>
      </c>
      <c r="J10396" s="16">
        <f>H10396*I10396</f>
        <v>0</v>
      </c>
    </row>
    <row r="10397" spans="1:10" ht="13.5" thickBot="1">
      <c r="A10397" s="27"/>
      <c r="B10397" s="110"/>
      <c r="D10397" s="417"/>
      <c r="E10397" s="418"/>
      <c r="F10397" s="418"/>
      <c r="G10397" s="419"/>
      <c r="H10397" s="420" t="s">
        <v>67</v>
      </c>
      <c r="I10397" s="421"/>
      <c r="J10397" s="396">
        <f>J10396</f>
        <v>0</v>
      </c>
    </row>
    <row r="10398" spans="1:10" ht="13">
      <c r="A10398" s="27"/>
      <c r="B10398" s="110"/>
      <c r="D10398" s="444" t="s">
        <v>68</v>
      </c>
      <c r="E10398" s="445" t="s">
        <v>69</v>
      </c>
      <c r="F10398" s="446"/>
      <c r="G10398" s="447"/>
      <c r="H10398" s="448"/>
      <c r="I10398" s="449">
        <f>IF(AND(E10398&lt;&gt;"",G10398&lt;&gt;""),IF(D10398="",IF(G10398="OH",VLOOKUP(E10398,UPAH!$C$4:$H$31,7,0),VLOOKUP(E10398,#REF!,4,0)),0),0)</f>
        <v>0</v>
      </c>
      <c r="J10398" s="16">
        <f>SUM(J10387:J10397)/2</f>
        <v>0</v>
      </c>
    </row>
    <row r="10399" spans="1:10" ht="13.5" thickBot="1">
      <c r="A10399" s="27"/>
      <c r="B10399" s="110"/>
      <c r="D10399" s="431" t="s">
        <v>70</v>
      </c>
      <c r="E10399" s="432" t="s">
        <v>477</v>
      </c>
      <c r="F10399" s="433"/>
      <c r="G10399" s="434"/>
      <c r="H10399" s="22">
        <v>0.1</v>
      </c>
      <c r="I10399" s="436"/>
      <c r="J10399" s="430">
        <f>H10399*J10398</f>
        <v>0</v>
      </c>
    </row>
    <row r="10400" spans="1:10" ht="13.5" thickBot="1">
      <c r="A10400" s="27"/>
      <c r="B10400" s="110"/>
      <c r="D10400" s="401" t="s">
        <v>71</v>
      </c>
      <c r="E10400" s="402" t="s">
        <v>72</v>
      </c>
      <c r="F10400" s="418"/>
      <c r="G10400" s="419"/>
      <c r="H10400" s="442"/>
      <c r="I10400" s="421">
        <f>IF(AND(E10400&lt;&gt;"",G10400&lt;&gt;""),IF(D10400="",IF(G10400="OH",VLOOKUP(E10400,UPAH!$C$4:$H$31,7,0),VLOOKUP(E10400,#REF!,4,0)),0),0)</f>
        <v>0</v>
      </c>
      <c r="J10400" s="396">
        <f>ROUNDDOWN(J10398+J10399,0)</f>
        <v>0</v>
      </c>
    </row>
    <row r="10401" spans="1:10" ht="13">
      <c r="A10401" s="27"/>
      <c r="B10401" s="110"/>
      <c r="D10401" s="11"/>
      <c r="E10401" s="11"/>
      <c r="H10401" s="443"/>
      <c r="I10401" s="17"/>
      <c r="J10401" s="18"/>
    </row>
    <row r="10402" spans="1:10" ht="13.5" thickBot="1">
      <c r="A10402" s="27"/>
      <c r="B10402" s="110"/>
      <c r="C10402" s="11" t="s">
        <v>1640</v>
      </c>
      <c r="D10402" s="10" t="s">
        <v>1653</v>
      </c>
      <c r="H10402" s="443"/>
    </row>
    <row r="10403" spans="1:10" ht="13.5" thickBot="1">
      <c r="A10403" s="27"/>
      <c r="B10403" s="110"/>
      <c r="D10403" s="401" t="s">
        <v>40</v>
      </c>
      <c r="E10403" s="402" t="s">
        <v>41</v>
      </c>
      <c r="F10403" s="402" t="s">
        <v>42</v>
      </c>
      <c r="G10403" s="403" t="s">
        <v>43</v>
      </c>
      <c r="H10403" s="404" t="s">
        <v>44</v>
      </c>
      <c r="I10403" s="402" t="s">
        <v>474</v>
      </c>
      <c r="J10403" s="405" t="s">
        <v>475</v>
      </c>
    </row>
    <row r="10404" spans="1:10" ht="13">
      <c r="A10404" s="27"/>
      <c r="B10404" s="110"/>
      <c r="D10404" s="444" t="s">
        <v>45</v>
      </c>
      <c r="E10404" s="445" t="s">
        <v>46</v>
      </c>
      <c r="F10404" s="446"/>
      <c r="G10404" s="447"/>
      <c r="H10404" s="448"/>
      <c r="I10404" s="449"/>
      <c r="J10404" s="450"/>
    </row>
    <row r="10405" spans="1:10" ht="13">
      <c r="A10405" s="27"/>
      <c r="B10405" s="110"/>
      <c r="D10405" s="409"/>
      <c r="E10405" s="13" t="s">
        <v>47</v>
      </c>
      <c r="F10405" s="13" t="s">
        <v>1918</v>
      </c>
      <c r="G10405" s="410" t="s">
        <v>48</v>
      </c>
      <c r="H10405" s="411">
        <v>0.504</v>
      </c>
      <c r="I10405" s="412">
        <f>IF(AND(E10405&lt;&gt;"",G10405&lt;&gt;""),IF(D10405="",IF(G10405="OH",VLOOKUP(F10405,UPAH!$B$4:$H$101,7,0),VLOOKUP(F10405,#REF!,4,0)),0),0)</f>
        <v>0</v>
      </c>
      <c r="J10405" s="16">
        <f>H10405*I10405</f>
        <v>0</v>
      </c>
    </row>
    <row r="10406" spans="1:10" ht="13">
      <c r="A10406" s="27"/>
      <c r="B10406" s="110"/>
      <c r="D10406" s="409"/>
      <c r="E10406" s="13" t="s">
        <v>283</v>
      </c>
      <c r="F10406" s="13" t="s">
        <v>1913</v>
      </c>
      <c r="G10406" s="410" t="s">
        <v>48</v>
      </c>
      <c r="H10406" s="411">
        <v>0.252</v>
      </c>
      <c r="I10406" s="412">
        <f>IF(AND(E10406&lt;&gt;"",G10406&lt;&gt;""),IF(D10406="",IF(G10406="OH",VLOOKUP(F10406,UPAH!$B$4:$H$101,7,0),VLOOKUP(F10406,#REF!,4,0)),0),0)</f>
        <v>0</v>
      </c>
      <c r="J10406" s="16">
        <f>H10406*I10406</f>
        <v>0</v>
      </c>
    </row>
    <row r="10407" spans="1:10" ht="13.5" thickBot="1">
      <c r="A10407" s="27"/>
      <c r="B10407" s="110"/>
      <c r="D10407" s="409"/>
      <c r="E10407" s="13" t="s">
        <v>51</v>
      </c>
      <c r="F10407" s="13" t="s">
        <v>1929</v>
      </c>
      <c r="G10407" s="410" t="s">
        <v>48</v>
      </c>
      <c r="H10407" s="411">
        <v>0.05</v>
      </c>
      <c r="I10407" s="412">
        <f>IF(AND(E10407&lt;&gt;"",G10407&lt;&gt;""),IF(D10407="",IF(G10407="OH",VLOOKUP(F10407,UPAH!$B$4:$H$101,7,0),VLOOKUP(F10407,#REF!,4,0)),0),0)</f>
        <v>0</v>
      </c>
      <c r="J10407" s="16">
        <f>H10407*I10407</f>
        <v>0</v>
      </c>
    </row>
    <row r="10408" spans="1:10" ht="13.5" thickBot="1">
      <c r="A10408" s="27"/>
      <c r="B10408" s="110"/>
      <c r="D10408" s="417"/>
      <c r="E10408" s="418"/>
      <c r="F10408" s="418"/>
      <c r="G10408" s="419"/>
      <c r="H10408" s="420" t="s">
        <v>52</v>
      </c>
      <c r="I10408" s="421"/>
      <c r="J10408" s="396">
        <f>SUM(J10404:J10407)</f>
        <v>0</v>
      </c>
    </row>
    <row r="10409" spans="1:10" ht="13">
      <c r="A10409" s="27"/>
      <c r="B10409" s="110"/>
      <c r="D10409" s="406" t="s">
        <v>53</v>
      </c>
      <c r="E10409" s="13" t="s">
        <v>54</v>
      </c>
      <c r="F10409" s="14"/>
      <c r="G10409" s="15"/>
      <c r="H10409" s="451"/>
      <c r="I10409" s="412"/>
      <c r="J10409" s="16"/>
    </row>
    <row r="10410" spans="1:10" ht="13.5" thickBot="1">
      <c r="A10410" s="27"/>
      <c r="B10410" s="110"/>
      <c r="D10410" s="409"/>
      <c r="E10410" s="13" t="s">
        <v>320</v>
      </c>
      <c r="F10410" s="14"/>
      <c r="G10410" s="410" t="s">
        <v>259</v>
      </c>
      <c r="H10410" s="411">
        <v>1</v>
      </c>
      <c r="I10410" s="412">
        <f>'BAHAN '!G358</f>
        <v>0</v>
      </c>
      <c r="J10410" s="16">
        <f>H10410*I10410</f>
        <v>0</v>
      </c>
    </row>
    <row r="10411" spans="1:10" ht="13.5" thickBot="1">
      <c r="A10411" s="27"/>
      <c r="B10411" s="110"/>
      <c r="D10411" s="417"/>
      <c r="E10411" s="418"/>
      <c r="F10411" s="418"/>
      <c r="G10411" s="419"/>
      <c r="H10411" s="420" t="s">
        <v>64</v>
      </c>
      <c r="I10411" s="421"/>
      <c r="J10411" s="396">
        <f>SUM(J10410)</f>
        <v>0</v>
      </c>
    </row>
    <row r="10412" spans="1:10" ht="13">
      <c r="A10412" s="27"/>
      <c r="B10412" s="110"/>
      <c r="D10412" s="406" t="s">
        <v>65</v>
      </c>
      <c r="E10412" s="13" t="s">
        <v>66</v>
      </c>
      <c r="F10412" s="14"/>
      <c r="G10412" s="15"/>
      <c r="H10412" s="451"/>
      <c r="I10412" s="412"/>
      <c r="J10412" s="16"/>
    </row>
    <row r="10413" spans="1:10" ht="13.5" thickBot="1">
      <c r="A10413" s="27"/>
      <c r="B10413" s="110"/>
      <c r="D10413" s="409"/>
      <c r="E10413" s="13" t="s">
        <v>411</v>
      </c>
      <c r="F10413" s="14"/>
      <c r="G10413" s="410" t="s">
        <v>285</v>
      </c>
      <c r="H10413" s="411">
        <v>5.0999999999999997E-2</v>
      </c>
      <c r="I10413" s="412">
        <f>Alat!H26</f>
        <v>0</v>
      </c>
      <c r="J10413" s="16">
        <f>H10413*I10413</f>
        <v>0</v>
      </c>
    </row>
    <row r="10414" spans="1:10" ht="13.5" thickBot="1">
      <c r="A10414" s="27"/>
      <c r="B10414" s="110"/>
      <c r="D10414" s="417"/>
      <c r="E10414" s="418"/>
      <c r="F10414" s="418"/>
      <c r="G10414" s="419"/>
      <c r="H10414" s="420" t="s">
        <v>67</v>
      </c>
      <c r="I10414" s="421"/>
      <c r="J10414" s="396">
        <f>J10413</f>
        <v>0</v>
      </c>
    </row>
    <row r="10415" spans="1:10" ht="13">
      <c r="A10415" s="27"/>
      <c r="B10415" s="110"/>
      <c r="D10415" s="444" t="s">
        <v>68</v>
      </c>
      <c r="E10415" s="445" t="s">
        <v>69</v>
      </c>
      <c r="F10415" s="446"/>
      <c r="G10415" s="447"/>
      <c r="H10415" s="448"/>
      <c r="I10415" s="449">
        <f>IF(AND(E10415&lt;&gt;"",G10415&lt;&gt;""),IF(D10415="",IF(G10415="OH",VLOOKUP(E10415,UPAH!$C$4:$H$31,7,0),VLOOKUP(E10415,#REF!,4,0)),0),0)</f>
        <v>0</v>
      </c>
      <c r="J10415" s="16">
        <f>SUM(J10404:J10414)/2</f>
        <v>0</v>
      </c>
    </row>
    <row r="10416" spans="1:10" ht="13.5" thickBot="1">
      <c r="A10416" s="27"/>
      <c r="B10416" s="110"/>
      <c r="D10416" s="431" t="s">
        <v>70</v>
      </c>
      <c r="E10416" s="432" t="s">
        <v>477</v>
      </c>
      <c r="F10416" s="433"/>
      <c r="G10416" s="434"/>
      <c r="H10416" s="22">
        <v>0.1</v>
      </c>
      <c r="I10416" s="436"/>
      <c r="J10416" s="430">
        <f>H10416*J10415</f>
        <v>0</v>
      </c>
    </row>
    <row r="10417" spans="1:10" ht="13.5" thickBot="1">
      <c r="A10417" s="27"/>
      <c r="B10417" s="110"/>
      <c r="D10417" s="401" t="s">
        <v>71</v>
      </c>
      <c r="E10417" s="402" t="s">
        <v>72</v>
      </c>
      <c r="F10417" s="418"/>
      <c r="G10417" s="419"/>
      <c r="H10417" s="442"/>
      <c r="I10417" s="421">
        <f>IF(AND(E10417&lt;&gt;"",G10417&lt;&gt;""),IF(D10417="",IF(G10417="OH",VLOOKUP(E10417,UPAH!$C$4:$H$31,7,0),VLOOKUP(E10417,#REF!,4,0)),0),0)</f>
        <v>0</v>
      </c>
      <c r="J10417" s="396">
        <f>ROUNDDOWN(J10415+J10416,0)</f>
        <v>0</v>
      </c>
    </row>
    <row r="10418" spans="1:10" ht="13">
      <c r="A10418" s="27"/>
      <c r="B10418" s="110"/>
      <c r="D10418" s="11"/>
      <c r="E10418" s="11"/>
      <c r="H10418" s="443"/>
      <c r="I10418" s="17"/>
      <c r="J10418" s="18"/>
    </row>
    <row r="10419" spans="1:10" ht="13" hidden="1">
      <c r="A10419" s="27"/>
      <c r="B10419" s="110"/>
      <c r="C10419" s="11" t="s">
        <v>1639</v>
      </c>
      <c r="D10419" s="10" t="s">
        <v>1654</v>
      </c>
      <c r="H10419" s="443"/>
    </row>
    <row r="10420" spans="1:10" ht="13.5" hidden="1" thickBot="1">
      <c r="A10420" s="27"/>
      <c r="B10420" s="110"/>
      <c r="D10420" s="401" t="s">
        <v>40</v>
      </c>
      <c r="E10420" s="402" t="s">
        <v>41</v>
      </c>
      <c r="F10420" s="402" t="s">
        <v>42</v>
      </c>
      <c r="G10420" s="403" t="s">
        <v>43</v>
      </c>
      <c r="H10420" s="404" t="s">
        <v>44</v>
      </c>
      <c r="I10420" s="402" t="s">
        <v>474</v>
      </c>
      <c r="J10420" s="405" t="s">
        <v>475</v>
      </c>
    </row>
    <row r="10421" spans="1:10" ht="13" hidden="1">
      <c r="A10421" s="27"/>
      <c r="B10421" s="110"/>
      <c r="D10421" s="444" t="s">
        <v>45</v>
      </c>
      <c r="E10421" s="445" t="s">
        <v>46</v>
      </c>
      <c r="F10421" s="446"/>
      <c r="G10421" s="447"/>
      <c r="H10421" s="448"/>
      <c r="I10421" s="449"/>
      <c r="J10421" s="450"/>
    </row>
    <row r="10422" spans="1:10" ht="13" hidden="1">
      <c r="A10422" s="27"/>
      <c r="B10422" s="110"/>
      <c r="D10422" s="409"/>
      <c r="E10422" s="13" t="s">
        <v>47</v>
      </c>
      <c r="F10422" s="13" t="s">
        <v>1918</v>
      </c>
      <c r="G10422" s="410" t="s">
        <v>48</v>
      </c>
      <c r="H10422" s="411">
        <v>0.73799999999999999</v>
      </c>
      <c r="I10422" s="412">
        <f>IF(AND(E10422&lt;&gt;"",G10422&lt;&gt;""),IF(D10422="",IF(G10422="OH",VLOOKUP(F10422,UPAH!$B$4:$H$101,7,0),VLOOKUP(F10422,#REF!,4,0)),0),0)</f>
        <v>0</v>
      </c>
      <c r="J10422" s="16">
        <f>H10422*I10422</f>
        <v>0</v>
      </c>
    </row>
    <row r="10423" spans="1:10" ht="13" hidden="1">
      <c r="A10423" s="27"/>
      <c r="B10423" s="110"/>
      <c r="D10423" s="409"/>
      <c r="E10423" s="13" t="s">
        <v>283</v>
      </c>
      <c r="F10423" s="13" t="s">
        <v>1913</v>
      </c>
      <c r="G10423" s="410" t="s">
        <v>48</v>
      </c>
      <c r="H10423" s="411">
        <v>0.36899999999999999</v>
      </c>
      <c r="I10423" s="412">
        <f>IF(AND(E10423&lt;&gt;"",G10423&lt;&gt;""),IF(D10423="",IF(G10423="OH",VLOOKUP(F10423,UPAH!$B$4:$H$101,7,0),VLOOKUP(F10423,#REF!,4,0)),0),0)</f>
        <v>0</v>
      </c>
      <c r="J10423" s="16">
        <f>H10423*I10423</f>
        <v>0</v>
      </c>
    </row>
    <row r="10424" spans="1:10" ht="13" hidden="1">
      <c r="A10424" s="27"/>
      <c r="B10424" s="110"/>
      <c r="D10424" s="409"/>
      <c r="E10424" s="13" t="s">
        <v>51</v>
      </c>
      <c r="F10424" s="13" t="s">
        <v>1929</v>
      </c>
      <c r="G10424" s="410" t="s">
        <v>48</v>
      </c>
      <c r="H10424" s="411">
        <v>7.3999999999999996E-2</v>
      </c>
      <c r="I10424" s="412">
        <f>IF(AND(E10424&lt;&gt;"",G10424&lt;&gt;""),IF(D10424="",IF(G10424="OH",VLOOKUP(F10424,UPAH!$B$4:$H$101,7,0),VLOOKUP(F10424,#REF!,4,0)),0),0)</f>
        <v>0</v>
      </c>
      <c r="J10424" s="16">
        <f>H10424*I10424</f>
        <v>0</v>
      </c>
    </row>
    <row r="10425" spans="1:10" ht="13.5" hidden="1" thickBot="1">
      <c r="A10425" s="27"/>
      <c r="B10425" s="110"/>
      <c r="D10425" s="417"/>
      <c r="E10425" s="418"/>
      <c r="F10425" s="418"/>
      <c r="G10425" s="419"/>
      <c r="H10425" s="420" t="s">
        <v>52</v>
      </c>
      <c r="I10425" s="421"/>
      <c r="J10425" s="396">
        <f>SUM(J10421:J10424)</f>
        <v>0</v>
      </c>
    </row>
    <row r="10426" spans="1:10" ht="13" hidden="1">
      <c r="A10426" s="27"/>
      <c r="B10426" s="110"/>
      <c r="D10426" s="406" t="s">
        <v>53</v>
      </c>
      <c r="E10426" s="13" t="s">
        <v>54</v>
      </c>
      <c r="F10426" s="14"/>
      <c r="G10426" s="15"/>
      <c r="H10426" s="451"/>
      <c r="I10426" s="412"/>
      <c r="J10426" s="16"/>
    </row>
    <row r="10427" spans="1:10" ht="13" hidden="1">
      <c r="A10427" s="27"/>
      <c r="B10427" s="110"/>
      <c r="D10427" s="409"/>
      <c r="E10427" s="13" t="s">
        <v>321</v>
      </c>
      <c r="F10427" s="14"/>
      <c r="G10427" s="410" t="s">
        <v>259</v>
      </c>
      <c r="H10427" s="411">
        <v>1</v>
      </c>
      <c r="I10427" s="412" t="s">
        <v>3187</v>
      </c>
      <c r="J10427" s="16" t="e">
        <f>H10427*I10427</f>
        <v>#VALUE!</v>
      </c>
    </row>
    <row r="10428" spans="1:10" ht="13.5" hidden="1" thickBot="1">
      <c r="A10428" s="27"/>
      <c r="B10428" s="110"/>
      <c r="D10428" s="417"/>
      <c r="E10428" s="418"/>
      <c r="F10428" s="418"/>
      <c r="G10428" s="419"/>
      <c r="H10428" s="420" t="s">
        <v>64</v>
      </c>
      <c r="I10428" s="421"/>
      <c r="J10428" s="396" t="e">
        <f>SUM(J10427)</f>
        <v>#VALUE!</v>
      </c>
    </row>
    <row r="10429" spans="1:10" ht="13" hidden="1">
      <c r="A10429" s="27"/>
      <c r="B10429" s="110"/>
      <c r="D10429" s="406" t="s">
        <v>65</v>
      </c>
      <c r="E10429" s="13" t="s">
        <v>66</v>
      </c>
      <c r="F10429" s="14"/>
      <c r="G10429" s="15"/>
      <c r="H10429" s="451"/>
      <c r="I10429" s="412"/>
      <c r="J10429" s="16"/>
    </row>
    <row r="10430" spans="1:10" ht="13" hidden="1">
      <c r="A10430" s="27"/>
      <c r="B10430" s="110"/>
      <c r="D10430" s="409"/>
      <c r="E10430" s="13" t="s">
        <v>411</v>
      </c>
      <c r="F10430" s="14"/>
      <c r="G10430" s="410" t="s">
        <v>285</v>
      </c>
      <c r="H10430" s="411">
        <v>6.8000000000000005E-2</v>
      </c>
      <c r="I10430" s="412">
        <f>Alat!H26</f>
        <v>0</v>
      </c>
      <c r="J10430" s="16">
        <f>H10430*I10430</f>
        <v>0</v>
      </c>
    </row>
    <row r="10431" spans="1:10" ht="13.5" hidden="1" thickBot="1">
      <c r="A10431" s="27"/>
      <c r="B10431" s="110"/>
      <c r="D10431" s="417"/>
      <c r="E10431" s="418"/>
      <c r="F10431" s="418"/>
      <c r="G10431" s="419"/>
      <c r="H10431" s="420" t="s">
        <v>67</v>
      </c>
      <c r="I10431" s="421"/>
      <c r="J10431" s="396">
        <f>J10430</f>
        <v>0</v>
      </c>
    </row>
    <row r="10432" spans="1:10" ht="13" hidden="1">
      <c r="A10432" s="27"/>
      <c r="B10432" s="110"/>
      <c r="D10432" s="444" t="s">
        <v>68</v>
      </c>
      <c r="E10432" s="445" t="s">
        <v>69</v>
      </c>
      <c r="F10432" s="446"/>
      <c r="G10432" s="447"/>
      <c r="H10432" s="448"/>
      <c r="I10432" s="449">
        <f>IF(AND(E10432&lt;&gt;"",G10432&lt;&gt;""),IF(D10432="",IF(G10432="OH",VLOOKUP(E10432,UPAH!$C$4:$H$31,7,0),VLOOKUP(E10432,#REF!,4,0)),0),0)</f>
        <v>0</v>
      </c>
      <c r="J10432" s="16" t="e">
        <f>SUM(J10421:J10431)/2</f>
        <v>#VALUE!</v>
      </c>
    </row>
    <row r="10433" spans="1:10" ht="13" hidden="1">
      <c r="A10433" s="27"/>
      <c r="B10433" s="110"/>
      <c r="D10433" s="431" t="s">
        <v>70</v>
      </c>
      <c r="E10433" s="432" t="s">
        <v>477</v>
      </c>
      <c r="F10433" s="433"/>
      <c r="G10433" s="434"/>
      <c r="H10433" s="22">
        <v>0.1</v>
      </c>
      <c r="I10433" s="436"/>
      <c r="J10433" s="430" t="e">
        <f>H10433*J10432</f>
        <v>#VALUE!</v>
      </c>
    </row>
    <row r="10434" spans="1:10" ht="13.5" hidden="1" thickBot="1">
      <c r="A10434" s="27"/>
      <c r="B10434" s="110"/>
      <c r="D10434" s="401" t="s">
        <v>71</v>
      </c>
      <c r="E10434" s="402" t="s">
        <v>72</v>
      </c>
      <c r="F10434" s="418"/>
      <c r="G10434" s="419"/>
      <c r="H10434" s="442"/>
      <c r="I10434" s="421">
        <f>IF(AND(E10434&lt;&gt;"",G10434&lt;&gt;""),IF(D10434="",IF(G10434="OH",VLOOKUP(E10434,UPAH!$C$4:$H$31,7,0),VLOOKUP(E10434,#REF!,4,0)),0),0)</f>
        <v>0</v>
      </c>
      <c r="J10434" s="396" t="e">
        <f>ROUNDDOWN(J10432+J10433,0)</f>
        <v>#VALUE!</v>
      </c>
    </row>
    <row r="10435" spans="1:10" ht="13" hidden="1">
      <c r="A10435" s="27"/>
      <c r="B10435" s="110"/>
      <c r="D10435" s="11"/>
      <c r="E10435" s="11"/>
      <c r="H10435" s="443"/>
      <c r="I10435" s="17"/>
      <c r="J10435" s="18"/>
    </row>
    <row r="10436" spans="1:10" ht="13" hidden="1">
      <c r="A10436" s="27"/>
      <c r="B10436" s="110"/>
      <c r="C10436" s="11" t="s">
        <v>1638</v>
      </c>
      <c r="D10436" s="10" t="s">
        <v>1655</v>
      </c>
      <c r="H10436" s="443"/>
    </row>
    <row r="10437" spans="1:10" ht="13.5" hidden="1" thickBot="1">
      <c r="A10437" s="27"/>
      <c r="B10437" s="110"/>
      <c r="D10437" s="401" t="s">
        <v>40</v>
      </c>
      <c r="E10437" s="402" t="s">
        <v>41</v>
      </c>
      <c r="F10437" s="402" t="s">
        <v>42</v>
      </c>
      <c r="G10437" s="403" t="s">
        <v>43</v>
      </c>
      <c r="H10437" s="404" t="s">
        <v>44</v>
      </c>
      <c r="I10437" s="402" t="s">
        <v>474</v>
      </c>
      <c r="J10437" s="405" t="s">
        <v>475</v>
      </c>
    </row>
    <row r="10438" spans="1:10" ht="13" hidden="1">
      <c r="A10438" s="27"/>
      <c r="B10438" s="110"/>
      <c r="D10438" s="444" t="s">
        <v>45</v>
      </c>
      <c r="E10438" s="445" t="s">
        <v>46</v>
      </c>
      <c r="F10438" s="446"/>
      <c r="G10438" s="447"/>
      <c r="H10438" s="448"/>
      <c r="I10438" s="449"/>
      <c r="J10438" s="450"/>
    </row>
    <row r="10439" spans="1:10" ht="13" hidden="1">
      <c r="A10439" s="27"/>
      <c r="B10439" s="110"/>
      <c r="D10439" s="409"/>
      <c r="E10439" s="13" t="s">
        <v>47</v>
      </c>
      <c r="F10439" s="13" t="s">
        <v>1918</v>
      </c>
      <c r="G10439" s="410" t="s">
        <v>48</v>
      </c>
      <c r="H10439" s="411">
        <v>0.84799999999999998</v>
      </c>
      <c r="I10439" s="412">
        <f>IF(AND(E10439&lt;&gt;"",G10439&lt;&gt;""),IF(D10439="",IF(G10439="OH",VLOOKUP(F10439,UPAH!$B$4:$H$101,7,0),VLOOKUP(F10439,#REF!,4,0)),0),0)</f>
        <v>0</v>
      </c>
      <c r="J10439" s="16">
        <f>H10439*I10439</f>
        <v>0</v>
      </c>
    </row>
    <row r="10440" spans="1:10" ht="13" hidden="1">
      <c r="A10440" s="27"/>
      <c r="B10440" s="110"/>
      <c r="D10440" s="409"/>
      <c r="E10440" s="13" t="s">
        <v>283</v>
      </c>
      <c r="F10440" s="13" t="s">
        <v>1913</v>
      </c>
      <c r="G10440" s="410" t="s">
        <v>48</v>
      </c>
      <c r="H10440" s="411">
        <v>0.42399999999999999</v>
      </c>
      <c r="I10440" s="412">
        <f>IF(AND(E10440&lt;&gt;"",G10440&lt;&gt;""),IF(D10440="",IF(G10440="OH",VLOOKUP(F10440,UPAH!$B$4:$H$101,7,0),VLOOKUP(F10440,#REF!,4,0)),0),0)</f>
        <v>0</v>
      </c>
      <c r="J10440" s="16">
        <f>H10440*I10440</f>
        <v>0</v>
      </c>
    </row>
    <row r="10441" spans="1:10" ht="13" hidden="1">
      <c r="A10441" s="27"/>
      <c r="B10441" s="110"/>
      <c r="D10441" s="409"/>
      <c r="E10441" s="13" t="s">
        <v>51</v>
      </c>
      <c r="F10441" s="13" t="s">
        <v>1929</v>
      </c>
      <c r="G10441" s="410" t="s">
        <v>48</v>
      </c>
      <c r="H10441" s="411">
        <v>8.5000000000000006E-2</v>
      </c>
      <c r="I10441" s="412">
        <f>IF(AND(E10441&lt;&gt;"",G10441&lt;&gt;""),IF(D10441="",IF(G10441="OH",VLOOKUP(F10441,UPAH!$B$4:$H$101,7,0),VLOOKUP(F10441,#REF!,4,0)),0),0)</f>
        <v>0</v>
      </c>
      <c r="J10441" s="16">
        <f>H10441*I10441</f>
        <v>0</v>
      </c>
    </row>
    <row r="10442" spans="1:10" ht="13.5" hidden="1" thickBot="1">
      <c r="A10442" s="27"/>
      <c r="B10442" s="110"/>
      <c r="D10442" s="417"/>
      <c r="E10442" s="418"/>
      <c r="F10442" s="418"/>
      <c r="G10442" s="419"/>
      <c r="H10442" s="420" t="s">
        <v>52</v>
      </c>
      <c r="I10442" s="421"/>
      <c r="J10442" s="396">
        <f>SUM(J10438:J10441)</f>
        <v>0</v>
      </c>
    </row>
    <row r="10443" spans="1:10" ht="13" hidden="1">
      <c r="A10443" s="27"/>
      <c r="B10443" s="110"/>
      <c r="D10443" s="406" t="s">
        <v>53</v>
      </c>
      <c r="E10443" s="13" t="s">
        <v>54</v>
      </c>
      <c r="F10443" s="14"/>
      <c r="G10443" s="15"/>
      <c r="H10443" s="451"/>
      <c r="I10443" s="412"/>
      <c r="J10443" s="16"/>
    </row>
    <row r="10444" spans="1:10" ht="13" hidden="1">
      <c r="A10444" s="27"/>
      <c r="B10444" s="110"/>
      <c r="D10444" s="409"/>
      <c r="E10444" s="13" t="s">
        <v>322</v>
      </c>
      <c r="F10444" s="14"/>
      <c r="G10444" s="410" t="s">
        <v>259</v>
      </c>
      <c r="H10444" s="411">
        <v>1</v>
      </c>
      <c r="I10444" s="412" t="s">
        <v>3187</v>
      </c>
      <c r="J10444" s="16" t="e">
        <f>H10444*I10444</f>
        <v>#VALUE!</v>
      </c>
    </row>
    <row r="10445" spans="1:10" ht="13.5" hidden="1" thickBot="1">
      <c r="A10445" s="27"/>
      <c r="B10445" s="110"/>
      <c r="D10445" s="417"/>
      <c r="E10445" s="418"/>
      <c r="F10445" s="418"/>
      <c r="G10445" s="419"/>
      <c r="H10445" s="420" t="s">
        <v>64</v>
      </c>
      <c r="I10445" s="421"/>
      <c r="J10445" s="396" t="e">
        <f>SUM(J10444)</f>
        <v>#VALUE!</v>
      </c>
    </row>
    <row r="10446" spans="1:10" ht="13" hidden="1">
      <c r="A10446" s="27"/>
      <c r="B10446" s="110"/>
      <c r="D10446" s="406" t="s">
        <v>65</v>
      </c>
      <c r="E10446" s="13" t="s">
        <v>66</v>
      </c>
      <c r="F10446" s="14"/>
      <c r="G10446" s="15"/>
      <c r="H10446" s="451"/>
      <c r="I10446" s="412"/>
      <c r="J10446" s="16"/>
    </row>
    <row r="10447" spans="1:10" ht="13" hidden="1">
      <c r="A10447" s="27"/>
      <c r="B10447" s="110"/>
      <c r="D10447" s="409"/>
      <c r="E10447" s="13" t="s">
        <v>411</v>
      </c>
      <c r="F10447" s="14"/>
      <c r="G10447" s="410" t="s">
        <v>285</v>
      </c>
      <c r="H10447" s="411">
        <v>6.8000000000000005E-2</v>
      </c>
      <c r="I10447" s="412">
        <f>Alat!H26</f>
        <v>0</v>
      </c>
      <c r="J10447" s="16">
        <f>H10447*I10447</f>
        <v>0</v>
      </c>
    </row>
    <row r="10448" spans="1:10" ht="13.5" hidden="1" thickBot="1">
      <c r="A10448" s="27"/>
      <c r="B10448" s="110"/>
      <c r="D10448" s="417"/>
      <c r="E10448" s="418"/>
      <c r="F10448" s="418"/>
      <c r="G10448" s="419"/>
      <c r="H10448" s="420" t="s">
        <v>67</v>
      </c>
      <c r="I10448" s="421"/>
      <c r="J10448" s="396">
        <f>J10447</f>
        <v>0</v>
      </c>
    </row>
    <row r="10449" spans="1:10" ht="13" hidden="1">
      <c r="A10449" s="27"/>
      <c r="B10449" s="110"/>
      <c r="D10449" s="444" t="s">
        <v>68</v>
      </c>
      <c r="E10449" s="445" t="s">
        <v>69</v>
      </c>
      <c r="F10449" s="446"/>
      <c r="G10449" s="447"/>
      <c r="H10449" s="448"/>
      <c r="I10449" s="449">
        <f>IF(AND(E10449&lt;&gt;"",G10449&lt;&gt;""),IF(D10449="",IF(G10449="OH",VLOOKUP(E10449,UPAH!$C$4:$H$31,7,0),VLOOKUP(E10449,#REF!,4,0)),0),0)</f>
        <v>0</v>
      </c>
      <c r="J10449" s="16" t="e">
        <f>SUM(J10438:J10448)/2</f>
        <v>#VALUE!</v>
      </c>
    </row>
    <row r="10450" spans="1:10" ht="13" hidden="1">
      <c r="A10450" s="27"/>
      <c r="B10450" s="110"/>
      <c r="D10450" s="431" t="s">
        <v>70</v>
      </c>
      <c r="E10450" s="432" t="s">
        <v>477</v>
      </c>
      <c r="F10450" s="433"/>
      <c r="G10450" s="434"/>
      <c r="H10450" s="22">
        <v>0.1</v>
      </c>
      <c r="I10450" s="436"/>
      <c r="J10450" s="430" t="e">
        <f>H10450*J10449</f>
        <v>#VALUE!</v>
      </c>
    </row>
    <row r="10451" spans="1:10" ht="13.5" hidden="1" thickBot="1">
      <c r="A10451" s="27"/>
      <c r="B10451" s="110"/>
      <c r="D10451" s="401" t="s">
        <v>71</v>
      </c>
      <c r="E10451" s="402" t="s">
        <v>72</v>
      </c>
      <c r="F10451" s="418"/>
      <c r="G10451" s="419"/>
      <c r="H10451" s="442"/>
      <c r="I10451" s="421">
        <f>IF(AND(E10451&lt;&gt;"",G10451&lt;&gt;""),IF(D10451="",IF(G10451="OH",VLOOKUP(E10451,UPAH!$C$4:$H$31,7,0),VLOOKUP(E10451,#REF!,4,0)),0),0)</f>
        <v>0</v>
      </c>
      <c r="J10451" s="396" t="e">
        <f>ROUNDDOWN(J10449+J10450,0)</f>
        <v>#VALUE!</v>
      </c>
    </row>
    <row r="10452" spans="1:10" ht="13" hidden="1">
      <c r="A10452" s="27"/>
      <c r="B10452" s="110"/>
      <c r="D10452" s="11"/>
      <c r="E10452" s="11"/>
      <c r="H10452" s="443"/>
      <c r="I10452" s="17"/>
      <c r="J10452" s="18"/>
    </row>
    <row r="10453" spans="1:10" ht="13" hidden="1">
      <c r="A10453" s="27"/>
      <c r="B10453" s="110"/>
      <c r="C10453" s="11" t="s">
        <v>1637</v>
      </c>
      <c r="D10453" s="10" t="s">
        <v>1656</v>
      </c>
      <c r="H10453" s="443"/>
    </row>
    <row r="10454" spans="1:10" ht="13.5" hidden="1" thickBot="1">
      <c r="A10454" s="27"/>
      <c r="B10454" s="110"/>
      <c r="D10454" s="401" t="s">
        <v>40</v>
      </c>
      <c r="E10454" s="402" t="s">
        <v>41</v>
      </c>
      <c r="F10454" s="402" t="s">
        <v>42</v>
      </c>
      <c r="G10454" s="403" t="s">
        <v>43</v>
      </c>
      <c r="H10454" s="404" t="s">
        <v>44</v>
      </c>
      <c r="I10454" s="402" t="s">
        <v>474</v>
      </c>
      <c r="J10454" s="405" t="s">
        <v>475</v>
      </c>
    </row>
    <row r="10455" spans="1:10" ht="13" hidden="1">
      <c r="A10455" s="27"/>
      <c r="B10455" s="110"/>
      <c r="D10455" s="444" t="s">
        <v>45</v>
      </c>
      <c r="E10455" s="445" t="s">
        <v>46</v>
      </c>
      <c r="F10455" s="446"/>
      <c r="G10455" s="447"/>
      <c r="H10455" s="448"/>
      <c r="I10455" s="449"/>
      <c r="J10455" s="450"/>
    </row>
    <row r="10456" spans="1:10" ht="13" hidden="1">
      <c r="A10456" s="27"/>
      <c r="B10456" s="110"/>
      <c r="D10456" s="409"/>
      <c r="E10456" s="13" t="s">
        <v>47</v>
      </c>
      <c r="F10456" s="13" t="s">
        <v>1918</v>
      </c>
      <c r="G10456" s="410" t="s">
        <v>48</v>
      </c>
      <c r="H10456" s="411">
        <v>0.94099999999999995</v>
      </c>
      <c r="I10456" s="412">
        <f>IF(AND(E10456&lt;&gt;"",G10456&lt;&gt;""),IF(D10456="",IF(G10456="OH",VLOOKUP(F10456,UPAH!$B$4:$H$101,7,0),VLOOKUP(F10456,#REF!,4,0)),0),0)</f>
        <v>0</v>
      </c>
      <c r="J10456" s="16">
        <f>H10456*I10456</f>
        <v>0</v>
      </c>
    </row>
    <row r="10457" spans="1:10" ht="13" hidden="1">
      <c r="A10457" s="27"/>
      <c r="B10457" s="110"/>
      <c r="D10457" s="409"/>
      <c r="E10457" s="13" t="s">
        <v>283</v>
      </c>
      <c r="F10457" s="13" t="s">
        <v>1913</v>
      </c>
      <c r="G10457" s="410" t="s">
        <v>48</v>
      </c>
      <c r="H10457" s="411">
        <v>0.47099999999999997</v>
      </c>
      <c r="I10457" s="412">
        <f>IF(AND(E10457&lt;&gt;"",G10457&lt;&gt;""),IF(D10457="",IF(G10457="OH",VLOOKUP(F10457,UPAH!$B$4:$H$101,7,0),VLOOKUP(F10457,#REF!,4,0)),0),0)</f>
        <v>0</v>
      </c>
      <c r="J10457" s="16">
        <f>H10457*I10457</f>
        <v>0</v>
      </c>
    </row>
    <row r="10458" spans="1:10" ht="13" hidden="1">
      <c r="A10458" s="27"/>
      <c r="B10458" s="110"/>
      <c r="D10458" s="409"/>
      <c r="E10458" s="13" t="s">
        <v>51</v>
      </c>
      <c r="F10458" s="13" t="s">
        <v>1929</v>
      </c>
      <c r="G10458" s="410" t="s">
        <v>48</v>
      </c>
      <c r="H10458" s="411">
        <v>9.4E-2</v>
      </c>
      <c r="I10458" s="412">
        <f>IF(AND(E10458&lt;&gt;"",G10458&lt;&gt;""),IF(D10458="",IF(G10458="OH",VLOOKUP(F10458,UPAH!$B$4:$H$101,7,0),VLOOKUP(F10458,#REF!,4,0)),0),0)</f>
        <v>0</v>
      </c>
      <c r="J10458" s="16">
        <f>H10458*I10458</f>
        <v>0</v>
      </c>
    </row>
    <row r="10459" spans="1:10" ht="13.5" hidden="1" thickBot="1">
      <c r="A10459" s="27"/>
      <c r="B10459" s="110"/>
      <c r="D10459" s="417"/>
      <c r="E10459" s="418"/>
      <c r="F10459" s="418"/>
      <c r="G10459" s="419"/>
      <c r="H10459" s="420" t="s">
        <v>52</v>
      </c>
      <c r="I10459" s="421"/>
      <c r="J10459" s="396">
        <f>SUM(J10455:J10458)</f>
        <v>0</v>
      </c>
    </row>
    <row r="10460" spans="1:10" ht="13" hidden="1">
      <c r="A10460" s="27"/>
      <c r="B10460" s="110"/>
      <c r="D10460" s="406" t="s">
        <v>53</v>
      </c>
      <c r="E10460" s="13" t="s">
        <v>54</v>
      </c>
      <c r="F10460" s="14"/>
      <c r="G10460" s="15"/>
      <c r="H10460" s="451"/>
      <c r="I10460" s="412"/>
      <c r="J10460" s="16"/>
    </row>
    <row r="10461" spans="1:10" ht="13" hidden="1">
      <c r="A10461" s="27"/>
      <c r="B10461" s="110"/>
      <c r="D10461" s="409"/>
      <c r="E10461" s="13" t="s">
        <v>323</v>
      </c>
      <c r="F10461" s="14"/>
      <c r="G10461" s="410" t="s">
        <v>259</v>
      </c>
      <c r="H10461" s="411">
        <v>1</v>
      </c>
      <c r="I10461" s="412" t="s">
        <v>3187</v>
      </c>
      <c r="J10461" s="16" t="e">
        <f>H10461*I10461</f>
        <v>#VALUE!</v>
      </c>
    </row>
    <row r="10462" spans="1:10" ht="13.5" hidden="1" thickBot="1">
      <c r="A10462" s="27"/>
      <c r="B10462" s="110"/>
      <c r="D10462" s="417"/>
      <c r="E10462" s="418"/>
      <c r="F10462" s="418"/>
      <c r="G10462" s="419"/>
      <c r="H10462" s="420" t="s">
        <v>64</v>
      </c>
      <c r="I10462" s="421"/>
      <c r="J10462" s="396" t="e">
        <f>SUM(J10461)</f>
        <v>#VALUE!</v>
      </c>
    </row>
    <row r="10463" spans="1:10" ht="13" hidden="1">
      <c r="A10463" s="27"/>
      <c r="B10463" s="110"/>
      <c r="D10463" s="406" t="s">
        <v>65</v>
      </c>
      <c r="E10463" s="13" t="s">
        <v>66</v>
      </c>
      <c r="F10463" s="14"/>
      <c r="G10463" s="15"/>
      <c r="H10463" s="451"/>
      <c r="I10463" s="412"/>
      <c r="J10463" s="16"/>
    </row>
    <row r="10464" spans="1:10" ht="13" hidden="1">
      <c r="A10464" s="27"/>
      <c r="B10464" s="110"/>
      <c r="D10464" s="409"/>
      <c r="E10464" s="13" t="s">
        <v>411</v>
      </c>
      <c r="F10464" s="14"/>
      <c r="G10464" s="410" t="s">
        <v>285</v>
      </c>
      <c r="H10464" s="411">
        <v>6.8000000000000005E-2</v>
      </c>
      <c r="I10464" s="412">
        <f>Alat!H26</f>
        <v>0</v>
      </c>
      <c r="J10464" s="16">
        <f>H10464*I10464</f>
        <v>0</v>
      </c>
    </row>
    <row r="10465" spans="1:10" ht="13.5" hidden="1" thickBot="1">
      <c r="A10465" s="27"/>
      <c r="B10465" s="110"/>
      <c r="D10465" s="417"/>
      <c r="E10465" s="418"/>
      <c r="F10465" s="418"/>
      <c r="G10465" s="419"/>
      <c r="H10465" s="420" t="s">
        <v>67</v>
      </c>
      <c r="I10465" s="421"/>
      <c r="J10465" s="396">
        <f>J10464</f>
        <v>0</v>
      </c>
    </row>
    <row r="10466" spans="1:10" ht="13" hidden="1">
      <c r="A10466" s="27"/>
      <c r="B10466" s="110"/>
      <c r="D10466" s="444" t="s">
        <v>68</v>
      </c>
      <c r="E10466" s="445" t="s">
        <v>69</v>
      </c>
      <c r="F10466" s="446"/>
      <c r="G10466" s="447"/>
      <c r="H10466" s="448"/>
      <c r="I10466" s="449">
        <f>IF(AND(E10466&lt;&gt;"",G10466&lt;&gt;""),IF(D10466="",IF(G10466="OH",VLOOKUP(E10466,UPAH!$C$4:$H$31,7,0),VLOOKUP(E10466,#REF!,4,0)),0),0)</f>
        <v>0</v>
      </c>
      <c r="J10466" s="16" t="e">
        <f>SUM(J10455:J10465)/2</f>
        <v>#VALUE!</v>
      </c>
    </row>
    <row r="10467" spans="1:10" ht="13" hidden="1">
      <c r="A10467" s="27"/>
      <c r="B10467" s="110"/>
      <c r="D10467" s="431" t="s">
        <v>70</v>
      </c>
      <c r="E10467" s="432" t="s">
        <v>477</v>
      </c>
      <c r="F10467" s="433"/>
      <c r="G10467" s="434"/>
      <c r="H10467" s="22">
        <v>0.1</v>
      </c>
      <c r="I10467" s="436"/>
      <c r="J10467" s="430" t="e">
        <f>H10467*J10466</f>
        <v>#VALUE!</v>
      </c>
    </row>
    <row r="10468" spans="1:10" ht="13.5" hidden="1" thickBot="1">
      <c r="A10468" s="27"/>
      <c r="B10468" s="110"/>
      <c r="D10468" s="401" t="s">
        <v>71</v>
      </c>
      <c r="E10468" s="402" t="s">
        <v>72</v>
      </c>
      <c r="F10468" s="418"/>
      <c r="G10468" s="419"/>
      <c r="H10468" s="442"/>
      <c r="I10468" s="421">
        <f>IF(AND(E10468&lt;&gt;"",G10468&lt;&gt;""),IF(D10468="",IF(G10468="OH",VLOOKUP(E10468,UPAH!$C$4:$H$31,7,0),VLOOKUP(E10468,#REF!,4,0)),0),0)</f>
        <v>0</v>
      </c>
      <c r="J10468" s="396" t="e">
        <f>ROUNDDOWN(J10466+J10467,0)</f>
        <v>#VALUE!</v>
      </c>
    </row>
    <row r="10469" spans="1:10" ht="13" hidden="1">
      <c r="A10469" s="27"/>
      <c r="B10469" s="110"/>
      <c r="D10469" s="11"/>
      <c r="E10469" s="11"/>
      <c r="H10469" s="443"/>
      <c r="I10469" s="17"/>
      <c r="J10469" s="18"/>
    </row>
    <row r="10470" spans="1:10" ht="13" hidden="1">
      <c r="A10470" s="27"/>
      <c r="B10470" s="110"/>
      <c r="C10470" s="11" t="s">
        <v>1636</v>
      </c>
      <c r="D10470" s="10" t="s">
        <v>1657</v>
      </c>
      <c r="H10470" s="443"/>
    </row>
    <row r="10471" spans="1:10" ht="13.5" hidden="1" thickBot="1">
      <c r="A10471" s="27"/>
      <c r="B10471" s="110"/>
      <c r="D10471" s="401" t="s">
        <v>40</v>
      </c>
      <c r="E10471" s="402" t="s">
        <v>41</v>
      </c>
      <c r="F10471" s="402" t="s">
        <v>42</v>
      </c>
      <c r="G10471" s="403" t="s">
        <v>43</v>
      </c>
      <c r="H10471" s="404" t="s">
        <v>44</v>
      </c>
      <c r="I10471" s="402" t="s">
        <v>474</v>
      </c>
      <c r="J10471" s="405" t="s">
        <v>475</v>
      </c>
    </row>
    <row r="10472" spans="1:10" ht="13" hidden="1">
      <c r="A10472" s="27"/>
      <c r="B10472" s="110"/>
      <c r="D10472" s="444" t="s">
        <v>45</v>
      </c>
      <c r="E10472" s="445" t="s">
        <v>46</v>
      </c>
      <c r="F10472" s="446"/>
      <c r="G10472" s="447"/>
      <c r="H10472" s="448"/>
      <c r="I10472" s="449"/>
      <c r="J10472" s="450"/>
    </row>
    <row r="10473" spans="1:10" ht="13" hidden="1">
      <c r="A10473" s="27"/>
      <c r="B10473" s="110"/>
      <c r="D10473" s="409"/>
      <c r="E10473" s="13" t="s">
        <v>47</v>
      </c>
      <c r="F10473" s="13" t="s">
        <v>1918</v>
      </c>
      <c r="G10473" s="410" t="s">
        <v>48</v>
      </c>
      <c r="H10473" s="411">
        <v>0.86399999999999999</v>
      </c>
      <c r="I10473" s="412">
        <f>IF(AND(E10473&lt;&gt;"",G10473&lt;&gt;""),IF(D10473="",IF(G10473="OH",VLOOKUP(F10473,UPAH!$B$4:$H$101,7,0),VLOOKUP(F10473,#REF!,4,0)),0),0)</f>
        <v>0</v>
      </c>
      <c r="J10473" s="16">
        <f>H10473*I10473</f>
        <v>0</v>
      </c>
    </row>
    <row r="10474" spans="1:10" ht="13" hidden="1">
      <c r="A10474" s="27"/>
      <c r="B10474" s="110"/>
      <c r="D10474" s="409"/>
      <c r="E10474" s="13" t="s">
        <v>283</v>
      </c>
      <c r="F10474" s="13" t="s">
        <v>1913</v>
      </c>
      <c r="G10474" s="410" t="s">
        <v>48</v>
      </c>
      <c r="H10474" s="411">
        <v>0.432</v>
      </c>
      <c r="I10474" s="412">
        <f>IF(AND(E10474&lt;&gt;"",G10474&lt;&gt;""),IF(D10474="",IF(G10474="OH",VLOOKUP(F10474,UPAH!$B$4:$H$101,7,0),VLOOKUP(F10474,#REF!,4,0)),0),0)</f>
        <v>0</v>
      </c>
      <c r="J10474" s="16">
        <f>H10474*I10474</f>
        <v>0</v>
      </c>
    </row>
    <row r="10475" spans="1:10" ht="13" hidden="1">
      <c r="A10475" s="27"/>
      <c r="B10475" s="110"/>
      <c r="D10475" s="409"/>
      <c r="E10475" s="13" t="s">
        <v>51</v>
      </c>
      <c r="F10475" s="13" t="s">
        <v>1929</v>
      </c>
      <c r="G10475" s="410" t="s">
        <v>48</v>
      </c>
      <c r="H10475" s="411">
        <v>8.5999999999999993E-2</v>
      </c>
      <c r="I10475" s="412">
        <f>IF(AND(E10475&lt;&gt;"",G10475&lt;&gt;""),IF(D10475="",IF(G10475="OH",VLOOKUP(F10475,UPAH!$B$4:$H$101,7,0),VLOOKUP(F10475,#REF!,4,0)),0),0)</f>
        <v>0</v>
      </c>
      <c r="J10475" s="16">
        <f>H10475*I10475</f>
        <v>0</v>
      </c>
    </row>
    <row r="10476" spans="1:10" ht="13.5" hidden="1" thickBot="1">
      <c r="A10476" s="27"/>
      <c r="B10476" s="110"/>
      <c r="D10476" s="417"/>
      <c r="E10476" s="418"/>
      <c r="F10476" s="418"/>
      <c r="G10476" s="419"/>
      <c r="H10476" s="420" t="s">
        <v>52</v>
      </c>
      <c r="I10476" s="421"/>
      <c r="J10476" s="396">
        <f>SUM(J10472:J10475)</f>
        <v>0</v>
      </c>
    </row>
    <row r="10477" spans="1:10" ht="13" hidden="1">
      <c r="A10477" s="27"/>
      <c r="B10477" s="110"/>
      <c r="D10477" s="406" t="s">
        <v>53</v>
      </c>
      <c r="E10477" s="13" t="s">
        <v>54</v>
      </c>
      <c r="F10477" s="14"/>
      <c r="G10477" s="15"/>
      <c r="H10477" s="451"/>
      <c r="I10477" s="412"/>
      <c r="J10477" s="16"/>
    </row>
    <row r="10478" spans="1:10" ht="13" hidden="1">
      <c r="A10478" s="27"/>
      <c r="B10478" s="110"/>
      <c r="D10478" s="409"/>
      <c r="E10478" s="13" t="s">
        <v>324</v>
      </c>
      <c r="F10478" s="14"/>
      <c r="G10478" s="410" t="s">
        <v>259</v>
      </c>
      <c r="H10478" s="411">
        <v>1</v>
      </c>
      <c r="I10478" s="412" t="s">
        <v>3187</v>
      </c>
      <c r="J10478" s="16" t="e">
        <f>H10478*I10478</f>
        <v>#VALUE!</v>
      </c>
    </row>
    <row r="10479" spans="1:10" ht="13.5" hidden="1" thickBot="1">
      <c r="A10479" s="27"/>
      <c r="B10479" s="110"/>
      <c r="D10479" s="417"/>
      <c r="E10479" s="418"/>
      <c r="F10479" s="418"/>
      <c r="G10479" s="419"/>
      <c r="H10479" s="420" t="s">
        <v>64</v>
      </c>
      <c r="I10479" s="421"/>
      <c r="J10479" s="396" t="e">
        <f>SUM(J10478)</f>
        <v>#VALUE!</v>
      </c>
    </row>
    <row r="10480" spans="1:10" ht="13" hidden="1">
      <c r="A10480" s="27"/>
      <c r="B10480" s="110"/>
      <c r="D10480" s="406" t="s">
        <v>65</v>
      </c>
      <c r="E10480" s="13" t="s">
        <v>66</v>
      </c>
      <c r="F10480" s="14"/>
      <c r="G10480" s="15"/>
      <c r="H10480" s="451"/>
      <c r="I10480" s="412"/>
      <c r="J10480" s="16"/>
    </row>
    <row r="10481" spans="1:10" ht="13" hidden="1">
      <c r="A10481" s="27"/>
      <c r="B10481" s="110"/>
      <c r="D10481" s="409"/>
      <c r="E10481" s="13" t="s">
        <v>411</v>
      </c>
      <c r="F10481" s="14"/>
      <c r="G10481" s="410" t="s">
        <v>285</v>
      </c>
      <c r="H10481" s="411">
        <v>8.5000000000000006E-2</v>
      </c>
      <c r="I10481" s="412">
        <f>Alat!H26</f>
        <v>0</v>
      </c>
      <c r="J10481" s="16">
        <f>H10481*I10481</f>
        <v>0</v>
      </c>
    </row>
    <row r="10482" spans="1:10" ht="13.5" hidden="1" thickBot="1">
      <c r="A10482" s="27"/>
      <c r="B10482" s="110"/>
      <c r="D10482" s="417"/>
      <c r="E10482" s="418"/>
      <c r="F10482" s="418"/>
      <c r="G10482" s="419"/>
      <c r="H10482" s="420" t="s">
        <v>67</v>
      </c>
      <c r="I10482" s="421"/>
      <c r="J10482" s="396">
        <f>J10481</f>
        <v>0</v>
      </c>
    </row>
    <row r="10483" spans="1:10" ht="13" hidden="1">
      <c r="A10483" s="27"/>
      <c r="B10483" s="110"/>
      <c r="D10483" s="444" t="s">
        <v>68</v>
      </c>
      <c r="E10483" s="445" t="s">
        <v>69</v>
      </c>
      <c r="F10483" s="446"/>
      <c r="G10483" s="447"/>
      <c r="H10483" s="448"/>
      <c r="I10483" s="449">
        <f>IF(AND(E10483&lt;&gt;"",G10483&lt;&gt;""),IF(D10483="",IF(G10483="OH",VLOOKUP(E10483,UPAH!$C$4:$H$31,7,0),VLOOKUP(E10483,#REF!,4,0)),0),0)</f>
        <v>0</v>
      </c>
      <c r="J10483" s="16" t="e">
        <f>SUM(J10472:J10482)/2</f>
        <v>#VALUE!</v>
      </c>
    </row>
    <row r="10484" spans="1:10" ht="13" hidden="1">
      <c r="A10484" s="27"/>
      <c r="B10484" s="110"/>
      <c r="D10484" s="431" t="s">
        <v>70</v>
      </c>
      <c r="E10484" s="432" t="s">
        <v>477</v>
      </c>
      <c r="F10484" s="433"/>
      <c r="G10484" s="434"/>
      <c r="H10484" s="22">
        <v>0.1</v>
      </c>
      <c r="I10484" s="436"/>
      <c r="J10484" s="430" t="e">
        <f>H10484*J10483</f>
        <v>#VALUE!</v>
      </c>
    </row>
    <row r="10485" spans="1:10" ht="13.5" hidden="1" thickBot="1">
      <c r="A10485" s="27"/>
      <c r="B10485" s="110"/>
      <c r="D10485" s="401" t="s">
        <v>71</v>
      </c>
      <c r="E10485" s="402" t="s">
        <v>72</v>
      </c>
      <c r="F10485" s="418"/>
      <c r="G10485" s="419"/>
      <c r="H10485" s="442"/>
      <c r="I10485" s="421">
        <f>IF(AND(E10485&lt;&gt;"",G10485&lt;&gt;""),IF(D10485="",IF(G10485="OH",VLOOKUP(E10485,UPAH!$C$4:$H$31,7,0),VLOOKUP(E10485,#REF!,4,0)),0),0)</f>
        <v>0</v>
      </c>
      <c r="J10485" s="396" t="e">
        <f>ROUNDDOWN(J10483+J10484,0)</f>
        <v>#VALUE!</v>
      </c>
    </row>
    <row r="10486" spans="1:10" ht="13" hidden="1">
      <c r="A10486" s="27"/>
      <c r="B10486" s="110"/>
      <c r="D10486" s="11"/>
      <c r="E10486" s="11"/>
      <c r="H10486" s="443"/>
      <c r="I10486" s="17"/>
      <c r="J10486" s="18"/>
    </row>
    <row r="10487" spans="1:10" ht="13" hidden="1">
      <c r="A10487" s="27"/>
      <c r="B10487" s="110"/>
      <c r="C10487" s="11" t="s">
        <v>1635</v>
      </c>
      <c r="D10487" s="10" t="s">
        <v>1658</v>
      </c>
      <c r="H10487" s="443"/>
    </row>
    <row r="10488" spans="1:10" ht="13.5" hidden="1" thickBot="1">
      <c r="A10488" s="27"/>
      <c r="B10488" s="110"/>
      <c r="D10488" s="401" t="s">
        <v>40</v>
      </c>
      <c r="E10488" s="402" t="s">
        <v>41</v>
      </c>
      <c r="F10488" s="402" t="s">
        <v>42</v>
      </c>
      <c r="G10488" s="403" t="s">
        <v>43</v>
      </c>
      <c r="H10488" s="404" t="s">
        <v>44</v>
      </c>
      <c r="I10488" s="402" t="s">
        <v>474</v>
      </c>
      <c r="J10488" s="405" t="s">
        <v>475</v>
      </c>
    </row>
    <row r="10489" spans="1:10" ht="13" hidden="1">
      <c r="A10489" s="27"/>
      <c r="B10489" s="110"/>
      <c r="D10489" s="444" t="s">
        <v>45</v>
      </c>
      <c r="E10489" s="445" t="s">
        <v>46</v>
      </c>
      <c r="F10489" s="446"/>
      <c r="G10489" s="447"/>
      <c r="H10489" s="448"/>
      <c r="I10489" s="449"/>
      <c r="J10489" s="450"/>
    </row>
    <row r="10490" spans="1:10" ht="13" hidden="1">
      <c r="A10490" s="27"/>
      <c r="B10490" s="110"/>
      <c r="D10490" s="409"/>
      <c r="E10490" s="13" t="s">
        <v>47</v>
      </c>
      <c r="F10490" s="13" t="s">
        <v>1918</v>
      </c>
      <c r="G10490" s="410" t="s">
        <v>48</v>
      </c>
      <c r="H10490" s="411">
        <v>1.5669999999999999</v>
      </c>
      <c r="I10490" s="412">
        <f>IF(AND(E10490&lt;&gt;"",G10490&lt;&gt;""),IF(D10490="",IF(G10490="OH",VLOOKUP(F10490,UPAH!$B$4:$H$101,7,0),VLOOKUP(F10490,#REF!,4,0)),0),0)</f>
        <v>0</v>
      </c>
      <c r="J10490" s="16">
        <f>H10490*I10490</f>
        <v>0</v>
      </c>
    </row>
    <row r="10491" spans="1:10" ht="13" hidden="1">
      <c r="A10491" s="27"/>
      <c r="B10491" s="110"/>
      <c r="D10491" s="409"/>
      <c r="E10491" s="13" t="s">
        <v>283</v>
      </c>
      <c r="F10491" s="13" t="s">
        <v>1913</v>
      </c>
      <c r="G10491" s="410" t="s">
        <v>48</v>
      </c>
      <c r="H10491" s="411">
        <v>0.78300000000000003</v>
      </c>
      <c r="I10491" s="412">
        <f>IF(AND(E10491&lt;&gt;"",G10491&lt;&gt;""),IF(D10491="",IF(G10491="OH",VLOOKUP(F10491,UPAH!$B$4:$H$101,7,0),VLOOKUP(F10491,#REF!,4,0)),0),0)</f>
        <v>0</v>
      </c>
      <c r="J10491" s="16">
        <f>H10491*I10491</f>
        <v>0</v>
      </c>
    </row>
    <row r="10492" spans="1:10" ht="13" hidden="1">
      <c r="A10492" s="27"/>
      <c r="B10492" s="110"/>
      <c r="D10492" s="409"/>
      <c r="E10492" s="13" t="s">
        <v>51</v>
      </c>
      <c r="F10492" s="13" t="s">
        <v>1929</v>
      </c>
      <c r="G10492" s="410" t="s">
        <v>48</v>
      </c>
      <c r="H10492" s="411">
        <v>0.157</v>
      </c>
      <c r="I10492" s="412">
        <f>IF(AND(E10492&lt;&gt;"",G10492&lt;&gt;""),IF(D10492="",IF(G10492="OH",VLOOKUP(F10492,UPAH!$B$4:$H$101,7,0),VLOOKUP(F10492,#REF!,4,0)),0),0)</f>
        <v>0</v>
      </c>
      <c r="J10492" s="16">
        <f>H10492*I10492</f>
        <v>0</v>
      </c>
    </row>
    <row r="10493" spans="1:10" ht="13.5" hidden="1" thickBot="1">
      <c r="A10493" s="27"/>
      <c r="B10493" s="110"/>
      <c r="D10493" s="417"/>
      <c r="E10493" s="418"/>
      <c r="F10493" s="418"/>
      <c r="G10493" s="419"/>
      <c r="H10493" s="420" t="s">
        <v>52</v>
      </c>
      <c r="I10493" s="421"/>
      <c r="J10493" s="396">
        <f>SUM(J10489:J10492)</f>
        <v>0</v>
      </c>
    </row>
    <row r="10494" spans="1:10" ht="13" hidden="1">
      <c r="A10494" s="27"/>
      <c r="B10494" s="110"/>
      <c r="D10494" s="406" t="s">
        <v>53</v>
      </c>
      <c r="E10494" s="13" t="s">
        <v>54</v>
      </c>
      <c r="F10494" s="14"/>
      <c r="G10494" s="15"/>
      <c r="H10494" s="451"/>
      <c r="I10494" s="412"/>
      <c r="J10494" s="16"/>
    </row>
    <row r="10495" spans="1:10" ht="13" hidden="1">
      <c r="A10495" s="27"/>
      <c r="B10495" s="110"/>
      <c r="D10495" s="409"/>
      <c r="E10495" s="13" t="s">
        <v>325</v>
      </c>
      <c r="F10495" s="14"/>
      <c r="G10495" s="410" t="s">
        <v>259</v>
      </c>
      <c r="H10495" s="411">
        <v>1</v>
      </c>
      <c r="I10495" s="412" t="s">
        <v>3187</v>
      </c>
      <c r="J10495" s="16" t="e">
        <f>H10495*I10495</f>
        <v>#VALUE!</v>
      </c>
    </row>
    <row r="10496" spans="1:10" ht="13.5" hidden="1" thickBot="1">
      <c r="A10496" s="27"/>
      <c r="B10496" s="110"/>
      <c r="D10496" s="417"/>
      <c r="E10496" s="418"/>
      <c r="F10496" s="418"/>
      <c r="G10496" s="419"/>
      <c r="H10496" s="420" t="s">
        <v>64</v>
      </c>
      <c r="I10496" s="421"/>
      <c r="J10496" s="396" t="e">
        <f>SUM(J10495)</f>
        <v>#VALUE!</v>
      </c>
    </row>
    <row r="10497" spans="1:10" ht="13" hidden="1">
      <c r="A10497" s="27"/>
      <c r="B10497" s="110"/>
      <c r="D10497" s="406" t="s">
        <v>65</v>
      </c>
      <c r="E10497" s="13" t="s">
        <v>66</v>
      </c>
      <c r="F10497" s="14"/>
      <c r="G10497" s="15"/>
      <c r="H10497" s="451"/>
      <c r="I10497" s="412"/>
      <c r="J10497" s="16"/>
    </row>
    <row r="10498" spans="1:10" ht="13" hidden="1">
      <c r="A10498" s="27"/>
      <c r="B10498" s="110"/>
      <c r="D10498" s="409"/>
      <c r="E10498" s="13" t="s">
        <v>411</v>
      </c>
      <c r="F10498" s="14"/>
      <c r="G10498" s="410" t="s">
        <v>285</v>
      </c>
      <c r="H10498" s="411">
        <v>8.5000000000000006E-2</v>
      </c>
      <c r="I10498" s="412">
        <f>Alat!H26</f>
        <v>0</v>
      </c>
      <c r="J10498" s="16">
        <f>H10498*I10498</f>
        <v>0</v>
      </c>
    </row>
    <row r="10499" spans="1:10" ht="13.5" hidden="1" thickBot="1">
      <c r="A10499" s="27"/>
      <c r="B10499" s="110"/>
      <c r="D10499" s="417"/>
      <c r="E10499" s="418"/>
      <c r="F10499" s="418"/>
      <c r="G10499" s="419"/>
      <c r="H10499" s="420" t="s">
        <v>67</v>
      </c>
      <c r="I10499" s="421"/>
      <c r="J10499" s="396">
        <f>J10498</f>
        <v>0</v>
      </c>
    </row>
    <row r="10500" spans="1:10" ht="13" hidden="1">
      <c r="A10500" s="27"/>
      <c r="B10500" s="110"/>
      <c r="D10500" s="444" t="s">
        <v>68</v>
      </c>
      <c r="E10500" s="445" t="s">
        <v>69</v>
      </c>
      <c r="F10500" s="446"/>
      <c r="G10500" s="447"/>
      <c r="H10500" s="448"/>
      <c r="I10500" s="449">
        <f>IF(AND(E10500&lt;&gt;"",G10500&lt;&gt;""),IF(D10500="",IF(G10500="OH",VLOOKUP(E10500,UPAH!$C$4:$H$31,7,0),VLOOKUP(E10500,#REF!,4,0)),0),0)</f>
        <v>0</v>
      </c>
      <c r="J10500" s="16" t="e">
        <f>SUM(J10489:J10499)/2</f>
        <v>#VALUE!</v>
      </c>
    </row>
    <row r="10501" spans="1:10" ht="13" hidden="1">
      <c r="A10501" s="27"/>
      <c r="B10501" s="110"/>
      <c r="D10501" s="431" t="s">
        <v>70</v>
      </c>
      <c r="E10501" s="432" t="s">
        <v>477</v>
      </c>
      <c r="F10501" s="433"/>
      <c r="G10501" s="434"/>
      <c r="H10501" s="22">
        <v>0.1</v>
      </c>
      <c r="I10501" s="436"/>
      <c r="J10501" s="430" t="e">
        <f>H10501*J10500</f>
        <v>#VALUE!</v>
      </c>
    </row>
    <row r="10502" spans="1:10" ht="13.5" hidden="1" thickBot="1">
      <c r="A10502" s="27"/>
      <c r="B10502" s="110"/>
      <c r="D10502" s="401" t="s">
        <v>71</v>
      </c>
      <c r="E10502" s="402" t="s">
        <v>72</v>
      </c>
      <c r="F10502" s="418"/>
      <c r="G10502" s="419"/>
      <c r="H10502" s="442"/>
      <c r="I10502" s="421">
        <f>IF(AND(E10502&lt;&gt;"",G10502&lt;&gt;""),IF(D10502="",IF(G10502="OH",VLOOKUP(E10502,UPAH!$C$4:$H$31,7,0),VLOOKUP(E10502,#REF!,4,0)),0),0)</f>
        <v>0</v>
      </c>
      <c r="J10502" s="396" t="e">
        <f>ROUNDDOWN(J10500+J10501,0)</f>
        <v>#VALUE!</v>
      </c>
    </row>
    <row r="10503" spans="1:10" ht="13" hidden="1">
      <c r="A10503" s="27"/>
      <c r="B10503" s="110"/>
      <c r="D10503" s="11"/>
      <c r="E10503" s="11"/>
      <c r="H10503" s="443"/>
      <c r="I10503" s="17"/>
      <c r="J10503" s="18"/>
    </row>
    <row r="10504" spans="1:10" ht="13" hidden="1">
      <c r="A10504" s="27"/>
      <c r="B10504" s="110"/>
      <c r="C10504" s="11" t="s">
        <v>1634</v>
      </c>
      <c r="D10504" s="10" t="s">
        <v>1659</v>
      </c>
      <c r="H10504" s="443"/>
    </row>
    <row r="10505" spans="1:10" ht="13.5" hidden="1" thickBot="1">
      <c r="A10505" s="27"/>
      <c r="B10505" s="110"/>
      <c r="D10505" s="401" t="s">
        <v>40</v>
      </c>
      <c r="E10505" s="402" t="s">
        <v>41</v>
      </c>
      <c r="F10505" s="402" t="s">
        <v>42</v>
      </c>
      <c r="G10505" s="403" t="s">
        <v>43</v>
      </c>
      <c r="H10505" s="404" t="s">
        <v>44</v>
      </c>
      <c r="I10505" s="402" t="s">
        <v>474</v>
      </c>
      <c r="J10505" s="405" t="s">
        <v>475</v>
      </c>
    </row>
    <row r="10506" spans="1:10" ht="13" hidden="1">
      <c r="A10506" s="27"/>
      <c r="B10506" s="110"/>
      <c r="D10506" s="444" t="s">
        <v>45</v>
      </c>
      <c r="E10506" s="445" t="s">
        <v>46</v>
      </c>
      <c r="F10506" s="446"/>
      <c r="G10506" s="447"/>
      <c r="H10506" s="448"/>
      <c r="I10506" s="449"/>
      <c r="J10506" s="450"/>
    </row>
    <row r="10507" spans="1:10" ht="13" hidden="1">
      <c r="A10507" s="27"/>
      <c r="B10507" s="110"/>
      <c r="D10507" s="409"/>
      <c r="E10507" s="13" t="s">
        <v>47</v>
      </c>
      <c r="F10507" s="13" t="s">
        <v>1918</v>
      </c>
      <c r="G10507" s="410" t="s">
        <v>48</v>
      </c>
      <c r="H10507" s="411">
        <v>1.77</v>
      </c>
      <c r="I10507" s="412">
        <f>IF(AND(E10507&lt;&gt;"",G10507&lt;&gt;""),IF(D10507="",IF(G10507="OH",VLOOKUP(F10507,UPAH!$B$4:$H$101,7,0),VLOOKUP(F10507,#REF!,4,0)),0),0)</f>
        <v>0</v>
      </c>
      <c r="J10507" s="16">
        <f>H10507*I10507</f>
        <v>0</v>
      </c>
    </row>
    <row r="10508" spans="1:10" ht="13" hidden="1">
      <c r="A10508" s="27"/>
      <c r="B10508" s="110"/>
      <c r="D10508" s="409"/>
      <c r="E10508" s="13" t="s">
        <v>283</v>
      </c>
      <c r="F10508" s="13" t="s">
        <v>1913</v>
      </c>
      <c r="G10508" s="410" t="s">
        <v>48</v>
      </c>
      <c r="H10508" s="411">
        <v>0.88500000000000001</v>
      </c>
      <c r="I10508" s="412">
        <f>IF(AND(E10508&lt;&gt;"",G10508&lt;&gt;""),IF(D10508="",IF(G10508="OH",VLOOKUP(F10508,UPAH!$B$4:$H$101,7,0),VLOOKUP(F10508,#REF!,4,0)),0),0)</f>
        <v>0</v>
      </c>
      <c r="J10508" s="16">
        <f>H10508*I10508</f>
        <v>0</v>
      </c>
    </row>
    <row r="10509" spans="1:10" ht="13" hidden="1">
      <c r="A10509" s="27"/>
      <c r="B10509" s="110"/>
      <c r="D10509" s="409"/>
      <c r="E10509" s="13" t="s">
        <v>51</v>
      </c>
      <c r="F10509" s="13" t="s">
        <v>1929</v>
      </c>
      <c r="G10509" s="410" t="s">
        <v>48</v>
      </c>
      <c r="H10509" s="411">
        <v>0.17699999999999999</v>
      </c>
      <c r="I10509" s="412">
        <f>IF(AND(E10509&lt;&gt;"",G10509&lt;&gt;""),IF(D10509="",IF(G10509="OH",VLOOKUP(F10509,UPAH!$B$4:$H$101,7,0),VLOOKUP(F10509,#REF!,4,0)),0),0)</f>
        <v>0</v>
      </c>
      <c r="J10509" s="16">
        <f>H10509*I10509</f>
        <v>0</v>
      </c>
    </row>
    <row r="10510" spans="1:10" ht="13.5" hidden="1" thickBot="1">
      <c r="A10510" s="27"/>
      <c r="B10510" s="110"/>
      <c r="D10510" s="417"/>
      <c r="E10510" s="418"/>
      <c r="F10510" s="418"/>
      <c r="G10510" s="419"/>
      <c r="H10510" s="420" t="s">
        <v>52</v>
      </c>
      <c r="I10510" s="421"/>
      <c r="J10510" s="396">
        <f>SUM(J10506:J10509)</f>
        <v>0</v>
      </c>
    </row>
    <row r="10511" spans="1:10" ht="13" hidden="1">
      <c r="A10511" s="27"/>
      <c r="B10511" s="110"/>
      <c r="D10511" s="406" t="s">
        <v>53</v>
      </c>
      <c r="E10511" s="13" t="s">
        <v>54</v>
      </c>
      <c r="F10511" s="14"/>
      <c r="G10511" s="15"/>
      <c r="H10511" s="451"/>
      <c r="I10511" s="412"/>
      <c r="J10511" s="16"/>
    </row>
    <row r="10512" spans="1:10" ht="13" hidden="1">
      <c r="A10512" s="27"/>
      <c r="B10512" s="110"/>
      <c r="D10512" s="409"/>
      <c r="E10512" s="13" t="s">
        <v>326</v>
      </c>
      <c r="F10512" s="14"/>
      <c r="G10512" s="410" t="s">
        <v>259</v>
      </c>
      <c r="H10512" s="411">
        <v>1</v>
      </c>
      <c r="I10512" s="412" t="s">
        <v>3187</v>
      </c>
      <c r="J10512" s="16" t="e">
        <f>H10512*I10512</f>
        <v>#VALUE!</v>
      </c>
    </row>
    <row r="10513" spans="1:10" ht="13.5" hidden="1" thickBot="1">
      <c r="A10513" s="27"/>
      <c r="B10513" s="110"/>
      <c r="D10513" s="417"/>
      <c r="E10513" s="418"/>
      <c r="F10513" s="418"/>
      <c r="G10513" s="419"/>
      <c r="H10513" s="420" t="s">
        <v>64</v>
      </c>
      <c r="I10513" s="421"/>
      <c r="J10513" s="396" t="e">
        <f>SUM(J10512)</f>
        <v>#VALUE!</v>
      </c>
    </row>
    <row r="10514" spans="1:10" ht="13" hidden="1">
      <c r="A10514" s="27"/>
      <c r="B10514" s="110"/>
      <c r="D10514" s="406" t="s">
        <v>65</v>
      </c>
      <c r="E10514" s="13" t="s">
        <v>66</v>
      </c>
      <c r="F10514" s="14"/>
      <c r="G10514" s="15"/>
      <c r="H10514" s="451"/>
      <c r="I10514" s="412"/>
      <c r="J10514" s="16"/>
    </row>
    <row r="10515" spans="1:10" ht="13" hidden="1">
      <c r="A10515" s="27"/>
      <c r="B10515" s="110"/>
      <c r="D10515" s="409"/>
      <c r="E10515" s="13" t="s">
        <v>411</v>
      </c>
      <c r="F10515" s="14"/>
      <c r="G10515" s="410" t="s">
        <v>285</v>
      </c>
      <c r="H10515" s="411">
        <v>8.5000000000000006E-2</v>
      </c>
      <c r="I10515" s="412">
        <f>Alat!H26</f>
        <v>0</v>
      </c>
      <c r="J10515" s="16">
        <f>H10515*I10515</f>
        <v>0</v>
      </c>
    </row>
    <row r="10516" spans="1:10" ht="13.5" hidden="1" thickBot="1">
      <c r="A10516" s="27"/>
      <c r="B10516" s="110"/>
      <c r="D10516" s="417"/>
      <c r="E10516" s="418"/>
      <c r="F10516" s="418"/>
      <c r="G10516" s="419"/>
      <c r="H10516" s="420" t="s">
        <v>67</v>
      </c>
      <c r="I10516" s="421"/>
      <c r="J10516" s="396">
        <f>J10515</f>
        <v>0</v>
      </c>
    </row>
    <row r="10517" spans="1:10" ht="13" hidden="1">
      <c r="A10517" s="27"/>
      <c r="B10517" s="110"/>
      <c r="D10517" s="444" t="s">
        <v>68</v>
      </c>
      <c r="E10517" s="445" t="s">
        <v>69</v>
      </c>
      <c r="F10517" s="446"/>
      <c r="G10517" s="447"/>
      <c r="H10517" s="448"/>
      <c r="I10517" s="449">
        <f>IF(AND(E10517&lt;&gt;"",G10517&lt;&gt;""),IF(D10517="",IF(G10517="OH",VLOOKUP(E10517,UPAH!$C$4:$H$31,7,0),VLOOKUP(E10517,#REF!,4,0)),0),0)</f>
        <v>0</v>
      </c>
      <c r="J10517" s="16" t="e">
        <f>SUM(J10506:J10516)/2</f>
        <v>#VALUE!</v>
      </c>
    </row>
    <row r="10518" spans="1:10" ht="13" hidden="1">
      <c r="A10518" s="27"/>
      <c r="B10518" s="110"/>
      <c r="D10518" s="431" t="s">
        <v>70</v>
      </c>
      <c r="E10518" s="432" t="s">
        <v>477</v>
      </c>
      <c r="F10518" s="433"/>
      <c r="G10518" s="434"/>
      <c r="H10518" s="22">
        <v>0.1</v>
      </c>
      <c r="I10518" s="436"/>
      <c r="J10518" s="430" t="e">
        <f>H10518*J10517</f>
        <v>#VALUE!</v>
      </c>
    </row>
    <row r="10519" spans="1:10" ht="13.5" hidden="1" thickBot="1">
      <c r="A10519" s="27"/>
      <c r="B10519" s="110"/>
      <c r="D10519" s="401" t="s">
        <v>71</v>
      </c>
      <c r="E10519" s="402" t="s">
        <v>72</v>
      </c>
      <c r="F10519" s="418"/>
      <c r="G10519" s="419"/>
      <c r="H10519" s="442"/>
      <c r="I10519" s="421">
        <f>IF(AND(E10519&lt;&gt;"",G10519&lt;&gt;""),IF(D10519="",IF(G10519="OH",VLOOKUP(E10519,UPAH!$C$4:$H$31,7,0),VLOOKUP(E10519,#REF!,4,0)),0),0)</f>
        <v>0</v>
      </c>
      <c r="J10519" s="396" t="e">
        <f>ROUNDDOWN(J10517+J10518,0)</f>
        <v>#VALUE!</v>
      </c>
    </row>
    <row r="10520" spans="1:10" ht="13" hidden="1">
      <c r="A10520" s="27"/>
      <c r="B10520" s="110"/>
      <c r="D10520" s="11"/>
      <c r="E10520" s="11"/>
      <c r="H10520" s="443"/>
      <c r="I10520" s="17"/>
      <c r="J10520" s="18"/>
    </row>
    <row r="10521" spans="1:10" ht="13" hidden="1">
      <c r="A10521" s="27"/>
      <c r="B10521" s="110"/>
      <c r="C10521" s="11" t="s">
        <v>1633</v>
      </c>
      <c r="D10521" s="10" t="s">
        <v>1660</v>
      </c>
      <c r="H10521" s="443"/>
    </row>
    <row r="10522" spans="1:10" ht="13.5" hidden="1" thickBot="1">
      <c r="A10522" s="27"/>
      <c r="B10522" s="110"/>
      <c r="D10522" s="401" t="s">
        <v>40</v>
      </c>
      <c r="E10522" s="402" t="s">
        <v>41</v>
      </c>
      <c r="F10522" s="402" t="s">
        <v>42</v>
      </c>
      <c r="G10522" s="403" t="s">
        <v>43</v>
      </c>
      <c r="H10522" s="404" t="s">
        <v>44</v>
      </c>
      <c r="I10522" s="402" t="s">
        <v>474</v>
      </c>
      <c r="J10522" s="405" t="s">
        <v>475</v>
      </c>
    </row>
    <row r="10523" spans="1:10" ht="13" hidden="1">
      <c r="A10523" s="27"/>
      <c r="B10523" s="110"/>
      <c r="D10523" s="444" t="s">
        <v>45</v>
      </c>
      <c r="E10523" s="445" t="s">
        <v>46</v>
      </c>
      <c r="F10523" s="446"/>
      <c r="G10523" s="447"/>
      <c r="H10523" s="448"/>
      <c r="I10523" s="449"/>
      <c r="J10523" s="450"/>
    </row>
    <row r="10524" spans="1:10" ht="13" hidden="1">
      <c r="A10524" s="27"/>
      <c r="B10524" s="110"/>
      <c r="D10524" s="409"/>
      <c r="E10524" s="13" t="s">
        <v>47</v>
      </c>
      <c r="F10524" s="13" t="s">
        <v>1918</v>
      </c>
      <c r="G10524" s="410" t="s">
        <v>48</v>
      </c>
      <c r="H10524" s="411">
        <v>1.974</v>
      </c>
      <c r="I10524" s="412">
        <f>IF(AND(E10524&lt;&gt;"",G10524&lt;&gt;""),IF(D10524="",IF(G10524="OH",VLOOKUP(F10524,UPAH!$B$4:$H$101,7,0),VLOOKUP(F10524,#REF!,4,0)),0),0)</f>
        <v>0</v>
      </c>
      <c r="J10524" s="16">
        <f>H10524*I10524</f>
        <v>0</v>
      </c>
    </row>
    <row r="10525" spans="1:10" ht="13" hidden="1">
      <c r="A10525" s="27"/>
      <c r="B10525" s="110"/>
      <c r="D10525" s="409"/>
      <c r="E10525" s="13" t="s">
        <v>283</v>
      </c>
      <c r="F10525" s="13" t="s">
        <v>1913</v>
      </c>
      <c r="G10525" s="410" t="s">
        <v>48</v>
      </c>
      <c r="H10525" s="411">
        <v>0.98699999999999999</v>
      </c>
      <c r="I10525" s="412">
        <f>IF(AND(E10525&lt;&gt;"",G10525&lt;&gt;""),IF(D10525="",IF(G10525="OH",VLOOKUP(F10525,UPAH!$B$4:$H$101,7,0),VLOOKUP(F10525,#REF!,4,0)),0),0)</f>
        <v>0</v>
      </c>
      <c r="J10525" s="16">
        <f>H10525*I10525</f>
        <v>0</v>
      </c>
    </row>
    <row r="10526" spans="1:10" ht="13" hidden="1">
      <c r="A10526" s="27"/>
      <c r="B10526" s="110"/>
      <c r="D10526" s="409"/>
      <c r="E10526" s="13" t="s">
        <v>51</v>
      </c>
      <c r="F10526" s="13" t="s">
        <v>1929</v>
      </c>
      <c r="G10526" s="410" t="s">
        <v>48</v>
      </c>
      <c r="H10526" s="411">
        <v>0.19700000000000001</v>
      </c>
      <c r="I10526" s="412">
        <f>IF(AND(E10526&lt;&gt;"",G10526&lt;&gt;""),IF(D10526="",IF(G10526="OH",VLOOKUP(F10526,UPAH!$B$4:$H$101,7,0),VLOOKUP(F10526,#REF!,4,0)),0),0)</f>
        <v>0</v>
      </c>
      <c r="J10526" s="16">
        <f>H10526*I10526</f>
        <v>0</v>
      </c>
    </row>
    <row r="10527" spans="1:10" ht="13.5" hidden="1" thickBot="1">
      <c r="A10527" s="27"/>
      <c r="B10527" s="110"/>
      <c r="D10527" s="417"/>
      <c r="E10527" s="418"/>
      <c r="F10527" s="418"/>
      <c r="G10527" s="419"/>
      <c r="H10527" s="420" t="s">
        <v>52</v>
      </c>
      <c r="I10527" s="421"/>
      <c r="J10527" s="396">
        <f>SUM(J10523:J10526)</f>
        <v>0</v>
      </c>
    </row>
    <row r="10528" spans="1:10" ht="13" hidden="1">
      <c r="A10528" s="27"/>
      <c r="B10528" s="110"/>
      <c r="D10528" s="406" t="s">
        <v>53</v>
      </c>
      <c r="E10528" s="13" t="s">
        <v>54</v>
      </c>
      <c r="F10528" s="14"/>
      <c r="G10528" s="15"/>
      <c r="H10528" s="451"/>
      <c r="I10528" s="412"/>
      <c r="J10528" s="16"/>
    </row>
    <row r="10529" spans="1:10" ht="13" hidden="1">
      <c r="A10529" s="27"/>
      <c r="B10529" s="110"/>
      <c r="D10529" s="409"/>
      <c r="E10529" s="13" t="s">
        <v>327</v>
      </c>
      <c r="F10529" s="14"/>
      <c r="G10529" s="410" t="s">
        <v>259</v>
      </c>
      <c r="H10529" s="411">
        <v>1</v>
      </c>
      <c r="I10529" s="412" t="s">
        <v>3187</v>
      </c>
      <c r="J10529" s="16" t="e">
        <f>H10529*I10529</f>
        <v>#VALUE!</v>
      </c>
    </row>
    <row r="10530" spans="1:10" ht="13.5" hidden="1" thickBot="1">
      <c r="A10530" s="27"/>
      <c r="B10530" s="110"/>
      <c r="D10530" s="417"/>
      <c r="E10530" s="418"/>
      <c r="F10530" s="418"/>
      <c r="G10530" s="419"/>
      <c r="H10530" s="420" t="s">
        <v>64</v>
      </c>
      <c r="I10530" s="421"/>
      <c r="J10530" s="396" t="e">
        <f>SUM(J10529)</f>
        <v>#VALUE!</v>
      </c>
    </row>
    <row r="10531" spans="1:10" ht="13" hidden="1">
      <c r="A10531" s="27"/>
      <c r="B10531" s="110"/>
      <c r="D10531" s="406" t="s">
        <v>65</v>
      </c>
      <c r="E10531" s="13" t="s">
        <v>66</v>
      </c>
      <c r="F10531" s="14"/>
      <c r="G10531" s="15"/>
      <c r="H10531" s="451"/>
      <c r="I10531" s="412"/>
      <c r="J10531" s="16"/>
    </row>
    <row r="10532" spans="1:10" ht="13" hidden="1">
      <c r="A10532" s="27"/>
      <c r="B10532" s="110"/>
      <c r="D10532" s="409"/>
      <c r="E10532" s="13" t="s">
        <v>411</v>
      </c>
      <c r="F10532" s="14"/>
      <c r="G10532" s="410" t="s">
        <v>285</v>
      </c>
      <c r="H10532" s="411">
        <v>0.10199999999999999</v>
      </c>
      <c r="I10532" s="412">
        <f>Alat!H26</f>
        <v>0</v>
      </c>
      <c r="J10532" s="16">
        <f>H10532*I10532</f>
        <v>0</v>
      </c>
    </row>
    <row r="10533" spans="1:10" ht="13.5" hidden="1" thickBot="1">
      <c r="A10533" s="27"/>
      <c r="B10533" s="110"/>
      <c r="D10533" s="417"/>
      <c r="E10533" s="418"/>
      <c r="F10533" s="418"/>
      <c r="G10533" s="419"/>
      <c r="H10533" s="420" t="s">
        <v>67</v>
      </c>
      <c r="I10533" s="421"/>
      <c r="J10533" s="396">
        <f>J10532</f>
        <v>0</v>
      </c>
    </row>
    <row r="10534" spans="1:10" ht="13" hidden="1">
      <c r="A10534" s="27"/>
      <c r="B10534" s="110"/>
      <c r="D10534" s="444" t="s">
        <v>68</v>
      </c>
      <c r="E10534" s="445" t="s">
        <v>69</v>
      </c>
      <c r="F10534" s="446"/>
      <c r="G10534" s="447"/>
      <c r="H10534" s="448"/>
      <c r="I10534" s="449">
        <f>IF(AND(E10534&lt;&gt;"",G10534&lt;&gt;""),IF(D10534="",IF(G10534="OH",VLOOKUP(E10534,UPAH!$C$4:$H$31,7,0),VLOOKUP(E10534,#REF!,4,0)),0),0)</f>
        <v>0</v>
      </c>
      <c r="J10534" s="16" t="e">
        <f>SUM(J10523:J10533)/2</f>
        <v>#VALUE!</v>
      </c>
    </row>
    <row r="10535" spans="1:10" ht="13" hidden="1">
      <c r="A10535" s="27"/>
      <c r="B10535" s="110"/>
      <c r="D10535" s="431" t="s">
        <v>70</v>
      </c>
      <c r="E10535" s="432" t="s">
        <v>477</v>
      </c>
      <c r="F10535" s="433"/>
      <c r="G10535" s="434"/>
      <c r="H10535" s="22">
        <v>0.1</v>
      </c>
      <c r="I10535" s="436"/>
      <c r="J10535" s="430" t="e">
        <f>H10535*J10534</f>
        <v>#VALUE!</v>
      </c>
    </row>
    <row r="10536" spans="1:10" ht="13.5" hidden="1" thickBot="1">
      <c r="A10536" s="27"/>
      <c r="B10536" s="110"/>
      <c r="D10536" s="401" t="s">
        <v>71</v>
      </c>
      <c r="E10536" s="402" t="s">
        <v>72</v>
      </c>
      <c r="F10536" s="418"/>
      <c r="G10536" s="419"/>
      <c r="H10536" s="442"/>
      <c r="I10536" s="421">
        <f>IF(AND(E10536&lt;&gt;"",G10536&lt;&gt;""),IF(D10536="",IF(G10536="OH",VLOOKUP(E10536,UPAH!$C$4:$H$31,7,0),VLOOKUP(E10536,#REF!,4,0)),0),0)</f>
        <v>0</v>
      </c>
      <c r="J10536" s="396" t="e">
        <f>ROUNDDOWN(J10534+J10535,0)</f>
        <v>#VALUE!</v>
      </c>
    </row>
    <row r="10537" spans="1:10" ht="13" hidden="1">
      <c r="A10537" s="27"/>
      <c r="B10537" s="110"/>
      <c r="D10537" s="11"/>
      <c r="E10537" s="11"/>
      <c r="H10537" s="443"/>
      <c r="I10537" s="17"/>
      <c r="J10537" s="18"/>
    </row>
    <row r="10538" spans="1:10" ht="13" hidden="1">
      <c r="A10538" s="27"/>
      <c r="B10538" s="110"/>
      <c r="C10538" s="11" t="s">
        <v>1632</v>
      </c>
      <c r="D10538" s="10" t="s">
        <v>1661</v>
      </c>
      <c r="H10538" s="443"/>
    </row>
    <row r="10539" spans="1:10" ht="13.5" hidden="1" thickBot="1">
      <c r="A10539" s="27"/>
      <c r="B10539" s="110"/>
      <c r="D10539" s="401" t="s">
        <v>40</v>
      </c>
      <c r="E10539" s="402" t="s">
        <v>41</v>
      </c>
      <c r="F10539" s="402" t="s">
        <v>42</v>
      </c>
      <c r="G10539" s="403" t="s">
        <v>43</v>
      </c>
      <c r="H10539" s="404" t="s">
        <v>44</v>
      </c>
      <c r="I10539" s="402" t="s">
        <v>474</v>
      </c>
      <c r="J10539" s="405" t="s">
        <v>475</v>
      </c>
    </row>
    <row r="10540" spans="1:10" ht="13" hidden="1">
      <c r="A10540" s="27"/>
      <c r="B10540" s="110"/>
      <c r="D10540" s="444" t="s">
        <v>45</v>
      </c>
      <c r="E10540" s="445" t="s">
        <v>46</v>
      </c>
      <c r="F10540" s="446"/>
      <c r="G10540" s="447"/>
      <c r="H10540" s="448"/>
      <c r="I10540" s="449"/>
      <c r="J10540" s="450"/>
    </row>
    <row r="10541" spans="1:10" ht="13" hidden="1">
      <c r="A10541" s="27"/>
      <c r="B10541" s="110"/>
      <c r="D10541" s="409"/>
      <c r="E10541" s="13" t="s">
        <v>47</v>
      </c>
      <c r="F10541" s="13" t="s">
        <v>1918</v>
      </c>
      <c r="G10541" s="410" t="s">
        <v>48</v>
      </c>
      <c r="H10541" s="411">
        <v>2.1779999999999999</v>
      </c>
      <c r="I10541" s="412">
        <f>IF(AND(E10541&lt;&gt;"",G10541&lt;&gt;""),IF(D10541="",IF(G10541="OH",VLOOKUP(F10541,UPAH!$B$4:$H$101,7,0),VLOOKUP(F10541,#REF!,4,0)),0),0)</f>
        <v>0</v>
      </c>
      <c r="J10541" s="16">
        <f>H10541*I10541</f>
        <v>0</v>
      </c>
    </row>
    <row r="10542" spans="1:10" ht="13" hidden="1">
      <c r="A10542" s="27"/>
      <c r="B10542" s="110"/>
      <c r="D10542" s="409"/>
      <c r="E10542" s="13" t="s">
        <v>283</v>
      </c>
      <c r="F10542" s="13" t="s">
        <v>1913</v>
      </c>
      <c r="G10542" s="410" t="s">
        <v>48</v>
      </c>
      <c r="H10542" s="411">
        <v>1.089</v>
      </c>
      <c r="I10542" s="412">
        <f>IF(AND(E10542&lt;&gt;"",G10542&lt;&gt;""),IF(D10542="",IF(G10542="OH",VLOOKUP(F10542,UPAH!$B$4:$H$101,7,0),VLOOKUP(F10542,#REF!,4,0)),0),0)</f>
        <v>0</v>
      </c>
      <c r="J10542" s="16">
        <f>H10542*I10542</f>
        <v>0</v>
      </c>
    </row>
    <row r="10543" spans="1:10" ht="13" hidden="1">
      <c r="A10543" s="27"/>
      <c r="B10543" s="110"/>
      <c r="D10543" s="409"/>
      <c r="E10543" s="13" t="s">
        <v>51</v>
      </c>
      <c r="F10543" s="13" t="s">
        <v>1929</v>
      </c>
      <c r="G10543" s="410" t="s">
        <v>48</v>
      </c>
      <c r="H10543" s="411">
        <v>0.218</v>
      </c>
      <c r="I10543" s="412">
        <f>IF(AND(E10543&lt;&gt;"",G10543&lt;&gt;""),IF(D10543="",IF(G10543="OH",VLOOKUP(F10543,UPAH!$B$4:$H$101,7,0),VLOOKUP(F10543,#REF!,4,0)),0),0)</f>
        <v>0</v>
      </c>
      <c r="J10543" s="16">
        <f>H10543*I10543</f>
        <v>0</v>
      </c>
    </row>
    <row r="10544" spans="1:10" ht="13.5" hidden="1" thickBot="1">
      <c r="A10544" s="27"/>
      <c r="B10544" s="110"/>
      <c r="D10544" s="417"/>
      <c r="E10544" s="418"/>
      <c r="F10544" s="418"/>
      <c r="G10544" s="419"/>
      <c r="H10544" s="420" t="s">
        <v>52</v>
      </c>
      <c r="I10544" s="421"/>
      <c r="J10544" s="396">
        <f>SUM(J10540:J10543)</f>
        <v>0</v>
      </c>
    </row>
    <row r="10545" spans="1:10" ht="13" hidden="1">
      <c r="A10545" s="27"/>
      <c r="B10545" s="110"/>
      <c r="D10545" s="406" t="s">
        <v>53</v>
      </c>
      <c r="E10545" s="13" t="s">
        <v>54</v>
      </c>
      <c r="F10545" s="14"/>
      <c r="G10545" s="15"/>
      <c r="H10545" s="451"/>
      <c r="I10545" s="412"/>
      <c r="J10545" s="16"/>
    </row>
    <row r="10546" spans="1:10" ht="13" hidden="1">
      <c r="A10546" s="27"/>
      <c r="B10546" s="110"/>
      <c r="D10546" s="409"/>
      <c r="E10546" s="13" t="s">
        <v>328</v>
      </c>
      <c r="F10546" s="14"/>
      <c r="G10546" s="410" t="s">
        <v>259</v>
      </c>
      <c r="H10546" s="411">
        <v>1</v>
      </c>
      <c r="I10546" s="412" t="s">
        <v>3187</v>
      </c>
      <c r="J10546" s="16" t="e">
        <f>H10546*I10546</f>
        <v>#VALUE!</v>
      </c>
    </row>
    <row r="10547" spans="1:10" ht="13.5" hidden="1" thickBot="1">
      <c r="A10547" s="27"/>
      <c r="B10547" s="110"/>
      <c r="D10547" s="417"/>
      <c r="E10547" s="418"/>
      <c r="F10547" s="418"/>
      <c r="G10547" s="419"/>
      <c r="H10547" s="420" t="s">
        <v>64</v>
      </c>
      <c r="I10547" s="421"/>
      <c r="J10547" s="396" t="e">
        <f>SUM(J10546)</f>
        <v>#VALUE!</v>
      </c>
    </row>
    <row r="10548" spans="1:10" ht="13" hidden="1">
      <c r="A10548" s="27"/>
      <c r="B10548" s="110"/>
      <c r="D10548" s="406" t="s">
        <v>65</v>
      </c>
      <c r="E10548" s="13" t="s">
        <v>66</v>
      </c>
      <c r="F10548" s="14"/>
      <c r="G10548" s="15"/>
      <c r="H10548" s="451"/>
      <c r="I10548" s="412"/>
      <c r="J10548" s="16"/>
    </row>
    <row r="10549" spans="1:10" ht="13" hidden="1">
      <c r="A10549" s="27"/>
      <c r="B10549" s="110"/>
      <c r="D10549" s="409"/>
      <c r="E10549" s="13" t="s">
        <v>411</v>
      </c>
      <c r="F10549" s="14"/>
      <c r="G10549" s="410" t="s">
        <v>285</v>
      </c>
      <c r="H10549" s="411">
        <v>0.10199999999999999</v>
      </c>
      <c r="I10549" s="412">
        <f>Alat!H26</f>
        <v>0</v>
      </c>
      <c r="J10549" s="16">
        <f>H10549*I10549</f>
        <v>0</v>
      </c>
    </row>
    <row r="10550" spans="1:10" ht="13.5" hidden="1" thickBot="1">
      <c r="A10550" s="27"/>
      <c r="B10550" s="110"/>
      <c r="D10550" s="417"/>
      <c r="E10550" s="418"/>
      <c r="F10550" s="418"/>
      <c r="G10550" s="419"/>
      <c r="H10550" s="420" t="s">
        <v>67</v>
      </c>
      <c r="I10550" s="421"/>
      <c r="J10550" s="396">
        <f>J10549</f>
        <v>0</v>
      </c>
    </row>
    <row r="10551" spans="1:10" ht="13" hidden="1">
      <c r="A10551" s="27"/>
      <c r="B10551" s="110"/>
      <c r="D10551" s="444" t="s">
        <v>68</v>
      </c>
      <c r="E10551" s="445" t="s">
        <v>69</v>
      </c>
      <c r="F10551" s="446"/>
      <c r="G10551" s="447"/>
      <c r="H10551" s="448"/>
      <c r="I10551" s="449">
        <f>IF(AND(E10551&lt;&gt;"",G10551&lt;&gt;""),IF(D10551="",IF(G10551="OH",VLOOKUP(E10551,UPAH!$C$4:$H$31,7,0),VLOOKUP(E10551,#REF!,4,0)),0),0)</f>
        <v>0</v>
      </c>
      <c r="J10551" s="16" t="e">
        <f>SUM(J10540:J10550)/2</f>
        <v>#VALUE!</v>
      </c>
    </row>
    <row r="10552" spans="1:10" ht="13" hidden="1">
      <c r="A10552" s="27"/>
      <c r="B10552" s="110"/>
      <c r="D10552" s="431" t="s">
        <v>70</v>
      </c>
      <c r="E10552" s="432" t="s">
        <v>477</v>
      </c>
      <c r="F10552" s="433"/>
      <c r="G10552" s="434"/>
      <c r="H10552" s="22">
        <v>0.1</v>
      </c>
      <c r="I10552" s="436"/>
      <c r="J10552" s="430" t="e">
        <f>H10552*J10551</f>
        <v>#VALUE!</v>
      </c>
    </row>
    <row r="10553" spans="1:10" ht="13.5" hidden="1" thickBot="1">
      <c r="A10553" s="27"/>
      <c r="B10553" s="110"/>
      <c r="D10553" s="401" t="s">
        <v>71</v>
      </c>
      <c r="E10553" s="402" t="s">
        <v>72</v>
      </c>
      <c r="F10553" s="418"/>
      <c r="G10553" s="419"/>
      <c r="H10553" s="442"/>
      <c r="I10553" s="421">
        <f>IF(AND(E10553&lt;&gt;"",G10553&lt;&gt;""),IF(D10553="",IF(G10553="OH",VLOOKUP(E10553,UPAH!$C$4:$H$31,7,0),VLOOKUP(E10553,#REF!,4,0)),0),0)</f>
        <v>0</v>
      </c>
      <c r="J10553" s="396" t="e">
        <f>ROUNDDOWN(J10551+J10552,0)</f>
        <v>#VALUE!</v>
      </c>
    </row>
    <row r="10554" spans="1:10" ht="13" hidden="1">
      <c r="A10554" s="27"/>
      <c r="B10554" s="110"/>
      <c r="D10554" s="11"/>
      <c r="E10554" s="11"/>
      <c r="H10554" s="443"/>
      <c r="I10554" s="17"/>
      <c r="J10554" s="18"/>
    </row>
    <row r="10555" spans="1:10" ht="13" hidden="1">
      <c r="A10555" s="27"/>
      <c r="B10555" s="110"/>
      <c r="C10555" s="11" t="s">
        <v>1631</v>
      </c>
      <c r="D10555" s="10" t="s">
        <v>1662</v>
      </c>
      <c r="H10555" s="443"/>
    </row>
    <row r="10556" spans="1:10" ht="13.5" hidden="1" thickBot="1">
      <c r="A10556" s="27"/>
      <c r="B10556" s="110"/>
      <c r="D10556" s="401" t="s">
        <v>40</v>
      </c>
      <c r="E10556" s="402" t="s">
        <v>41</v>
      </c>
      <c r="F10556" s="402" t="s">
        <v>42</v>
      </c>
      <c r="G10556" s="403" t="s">
        <v>43</v>
      </c>
      <c r="H10556" s="404" t="s">
        <v>44</v>
      </c>
      <c r="I10556" s="402" t="s">
        <v>474</v>
      </c>
      <c r="J10556" s="405" t="s">
        <v>475</v>
      </c>
    </row>
    <row r="10557" spans="1:10" ht="13" hidden="1">
      <c r="A10557" s="27"/>
      <c r="B10557" s="110"/>
      <c r="D10557" s="444" t="s">
        <v>45</v>
      </c>
      <c r="E10557" s="445" t="s">
        <v>46</v>
      </c>
      <c r="F10557" s="446"/>
      <c r="G10557" s="447"/>
      <c r="H10557" s="448"/>
      <c r="I10557" s="449"/>
      <c r="J10557" s="450"/>
    </row>
    <row r="10558" spans="1:10" ht="13" hidden="1">
      <c r="A10558" s="27"/>
      <c r="B10558" s="110"/>
      <c r="D10558" s="409"/>
      <c r="E10558" s="13" t="s">
        <v>47</v>
      </c>
      <c r="F10558" s="13" t="s">
        <v>1918</v>
      </c>
      <c r="G10558" s="410" t="s">
        <v>48</v>
      </c>
      <c r="H10558" s="411">
        <v>2.3820000000000001</v>
      </c>
      <c r="I10558" s="412">
        <f>IF(AND(E10558&lt;&gt;"",G10558&lt;&gt;""),IF(D10558="",IF(G10558="OH",VLOOKUP(F10558,UPAH!$B$4:$H$101,7,0),VLOOKUP(F10558,#REF!,4,0)),0),0)</f>
        <v>0</v>
      </c>
      <c r="J10558" s="16">
        <f>H10558*I10558</f>
        <v>0</v>
      </c>
    </row>
    <row r="10559" spans="1:10" ht="13" hidden="1">
      <c r="A10559" s="27"/>
      <c r="B10559" s="110"/>
      <c r="D10559" s="409"/>
      <c r="E10559" s="13" t="s">
        <v>283</v>
      </c>
      <c r="F10559" s="13" t="s">
        <v>1913</v>
      </c>
      <c r="G10559" s="410" t="s">
        <v>48</v>
      </c>
      <c r="H10559" s="411">
        <v>1.1910000000000001</v>
      </c>
      <c r="I10559" s="412">
        <f>IF(AND(E10559&lt;&gt;"",G10559&lt;&gt;""),IF(D10559="",IF(G10559="OH",VLOOKUP(F10559,UPAH!$B$4:$H$101,7,0),VLOOKUP(F10559,#REF!,4,0)),0),0)</f>
        <v>0</v>
      </c>
      <c r="J10559" s="16">
        <f>H10559*I10559</f>
        <v>0</v>
      </c>
    </row>
    <row r="10560" spans="1:10" ht="13" hidden="1">
      <c r="A10560" s="27"/>
      <c r="B10560" s="110"/>
      <c r="D10560" s="409"/>
      <c r="E10560" s="13" t="s">
        <v>51</v>
      </c>
      <c r="F10560" s="13" t="s">
        <v>1929</v>
      </c>
      <c r="G10560" s="410" t="s">
        <v>48</v>
      </c>
      <c r="H10560" s="411">
        <v>0.23799999999999999</v>
      </c>
      <c r="I10560" s="412">
        <f>IF(AND(E10560&lt;&gt;"",G10560&lt;&gt;""),IF(D10560="",IF(G10560="OH",VLOOKUP(F10560,UPAH!$B$4:$H$101,7,0),VLOOKUP(F10560,#REF!,4,0)),0),0)</f>
        <v>0</v>
      </c>
      <c r="J10560" s="16">
        <f>H10560*I10560</f>
        <v>0</v>
      </c>
    </row>
    <row r="10561" spans="1:10" ht="13.5" hidden="1" thickBot="1">
      <c r="A10561" s="27"/>
      <c r="B10561" s="110"/>
      <c r="D10561" s="417"/>
      <c r="E10561" s="418"/>
      <c r="F10561" s="418"/>
      <c r="G10561" s="419"/>
      <c r="H10561" s="420" t="s">
        <v>52</v>
      </c>
      <c r="I10561" s="421"/>
      <c r="J10561" s="396">
        <f>SUM(J10557:J10560)</f>
        <v>0</v>
      </c>
    </row>
    <row r="10562" spans="1:10" ht="13" hidden="1">
      <c r="A10562" s="27"/>
      <c r="B10562" s="110"/>
      <c r="D10562" s="406" t="s">
        <v>53</v>
      </c>
      <c r="E10562" s="13" t="s">
        <v>54</v>
      </c>
      <c r="F10562" s="14"/>
      <c r="G10562" s="15"/>
      <c r="H10562" s="451"/>
      <c r="I10562" s="412"/>
      <c r="J10562" s="16"/>
    </row>
    <row r="10563" spans="1:10" ht="13" hidden="1">
      <c r="A10563" s="27"/>
      <c r="B10563" s="110"/>
      <c r="D10563" s="409"/>
      <c r="E10563" s="13" t="s">
        <v>329</v>
      </c>
      <c r="F10563" s="14"/>
      <c r="G10563" s="410" t="s">
        <v>259</v>
      </c>
      <c r="H10563" s="411">
        <v>1</v>
      </c>
      <c r="I10563" s="412" t="s">
        <v>3187</v>
      </c>
      <c r="J10563" s="16" t="e">
        <f>H10563*I10563</f>
        <v>#VALUE!</v>
      </c>
    </row>
    <row r="10564" spans="1:10" ht="13.5" hidden="1" thickBot="1">
      <c r="A10564" s="27"/>
      <c r="B10564" s="110"/>
      <c r="D10564" s="417"/>
      <c r="E10564" s="418"/>
      <c r="F10564" s="418"/>
      <c r="G10564" s="419"/>
      <c r="H10564" s="420" t="s">
        <v>64</v>
      </c>
      <c r="I10564" s="421"/>
      <c r="J10564" s="396" t="e">
        <f>SUM(J10563)</f>
        <v>#VALUE!</v>
      </c>
    </row>
    <row r="10565" spans="1:10" ht="13" hidden="1">
      <c r="A10565" s="27"/>
      <c r="B10565" s="110"/>
      <c r="D10565" s="406" t="s">
        <v>65</v>
      </c>
      <c r="E10565" s="13" t="s">
        <v>66</v>
      </c>
      <c r="F10565" s="14"/>
      <c r="G10565" s="15"/>
      <c r="H10565" s="451"/>
      <c r="I10565" s="412"/>
      <c r="J10565" s="16"/>
    </row>
    <row r="10566" spans="1:10" ht="13" hidden="1">
      <c r="A10566" s="27"/>
      <c r="B10566" s="110"/>
      <c r="D10566" s="409"/>
      <c r="E10566" s="13" t="s">
        <v>411</v>
      </c>
      <c r="F10566" s="14"/>
      <c r="G10566" s="410" t="s">
        <v>285</v>
      </c>
      <c r="H10566" s="411">
        <v>0.10199999999999999</v>
      </c>
      <c r="I10566" s="412">
        <f>Alat!H26</f>
        <v>0</v>
      </c>
      <c r="J10566" s="16">
        <f>H10566*I10566</f>
        <v>0</v>
      </c>
    </row>
    <row r="10567" spans="1:10" ht="13.5" hidden="1" thickBot="1">
      <c r="A10567" s="27"/>
      <c r="B10567" s="110"/>
      <c r="D10567" s="417"/>
      <c r="E10567" s="418"/>
      <c r="F10567" s="418"/>
      <c r="G10567" s="419"/>
      <c r="H10567" s="420" t="s">
        <v>67</v>
      </c>
      <c r="I10567" s="421"/>
      <c r="J10567" s="396">
        <f>J10566</f>
        <v>0</v>
      </c>
    </row>
    <row r="10568" spans="1:10" ht="13" hidden="1">
      <c r="A10568" s="27"/>
      <c r="B10568" s="110"/>
      <c r="D10568" s="444" t="s">
        <v>68</v>
      </c>
      <c r="E10568" s="445" t="s">
        <v>69</v>
      </c>
      <c r="F10568" s="446"/>
      <c r="G10568" s="447"/>
      <c r="H10568" s="448"/>
      <c r="I10568" s="449">
        <f>IF(AND(E10568&lt;&gt;"",G10568&lt;&gt;""),IF(D10568="",IF(G10568="OH",VLOOKUP(E10568,UPAH!$C$4:$H$31,7,0),VLOOKUP(E10568,#REF!,4,0)),0),0)</f>
        <v>0</v>
      </c>
      <c r="J10568" s="16" t="e">
        <f>SUM(J10557:J10567)/2</f>
        <v>#VALUE!</v>
      </c>
    </row>
    <row r="10569" spans="1:10" ht="13" hidden="1">
      <c r="A10569" s="27"/>
      <c r="B10569" s="110"/>
      <c r="D10569" s="431" t="s">
        <v>70</v>
      </c>
      <c r="E10569" s="432" t="s">
        <v>477</v>
      </c>
      <c r="F10569" s="433"/>
      <c r="G10569" s="434"/>
      <c r="H10569" s="22">
        <v>0.1</v>
      </c>
      <c r="I10569" s="436"/>
      <c r="J10569" s="430" t="e">
        <f>H10569*J10568</f>
        <v>#VALUE!</v>
      </c>
    </row>
    <row r="10570" spans="1:10" ht="13.5" hidden="1" thickBot="1">
      <c r="A10570" s="27"/>
      <c r="B10570" s="110"/>
      <c r="D10570" s="401" t="s">
        <v>71</v>
      </c>
      <c r="E10570" s="402" t="s">
        <v>72</v>
      </c>
      <c r="F10570" s="418"/>
      <c r="G10570" s="419"/>
      <c r="H10570" s="442"/>
      <c r="I10570" s="421">
        <f>IF(AND(E10570&lt;&gt;"",G10570&lt;&gt;""),IF(D10570="",IF(G10570="OH",VLOOKUP(E10570,UPAH!$C$4:$H$31,7,0),VLOOKUP(E10570,#REF!,4,0)),0),0)</f>
        <v>0</v>
      </c>
      <c r="J10570" s="396" t="e">
        <f>ROUNDDOWN(J10568+J10569,0)</f>
        <v>#VALUE!</v>
      </c>
    </row>
    <row r="10571" spans="1:10" ht="13" hidden="1">
      <c r="A10571" s="27"/>
      <c r="B10571" s="110"/>
      <c r="D10571" s="11"/>
      <c r="E10571" s="11"/>
      <c r="H10571" s="443"/>
      <c r="I10571" s="17"/>
      <c r="J10571" s="18"/>
    </row>
    <row r="10572" spans="1:10" ht="13.5" thickBot="1">
      <c r="A10572" s="27"/>
      <c r="B10572" s="110"/>
      <c r="C10572" s="11" t="s">
        <v>1630</v>
      </c>
      <c r="D10572" s="10" t="s">
        <v>1663</v>
      </c>
      <c r="H10572" s="443"/>
    </row>
    <row r="10573" spans="1:10" ht="13.5" thickBot="1">
      <c r="A10573" s="27"/>
      <c r="B10573" s="110"/>
      <c r="D10573" s="401" t="s">
        <v>40</v>
      </c>
      <c r="E10573" s="402" t="s">
        <v>41</v>
      </c>
      <c r="F10573" s="402" t="s">
        <v>42</v>
      </c>
      <c r="G10573" s="403" t="s">
        <v>43</v>
      </c>
      <c r="H10573" s="404" t="s">
        <v>44</v>
      </c>
      <c r="I10573" s="402" t="s">
        <v>474</v>
      </c>
      <c r="J10573" s="405" t="s">
        <v>475</v>
      </c>
    </row>
    <row r="10574" spans="1:10" ht="13">
      <c r="A10574" s="27"/>
      <c r="B10574" s="110"/>
      <c r="D10574" s="444" t="s">
        <v>45</v>
      </c>
      <c r="E10574" s="445" t="s">
        <v>46</v>
      </c>
      <c r="F10574" s="446"/>
      <c r="G10574" s="447"/>
      <c r="H10574" s="448"/>
      <c r="I10574" s="449"/>
      <c r="J10574" s="450"/>
    </row>
    <row r="10575" spans="1:10" ht="13">
      <c r="A10575" s="27"/>
      <c r="B10575" s="110"/>
      <c r="D10575" s="409"/>
      <c r="E10575" s="13" t="s">
        <v>47</v>
      </c>
      <c r="F10575" s="13" t="s">
        <v>1918</v>
      </c>
      <c r="G10575" s="410" t="s">
        <v>48</v>
      </c>
      <c r="H10575" s="411">
        <v>7.0999999999999994E-2</v>
      </c>
      <c r="I10575" s="412">
        <f>IF(AND(E10575&lt;&gt;"",G10575&lt;&gt;""),IF(D10575="",IF(G10575="OH",VLOOKUP(F10575,UPAH!$B$4:$H$101,7,0),VLOOKUP(F10575,#REF!,4,0)),0),0)</f>
        <v>0</v>
      </c>
      <c r="J10575" s="16">
        <f>H10575*I10575</f>
        <v>0</v>
      </c>
    </row>
    <row r="10576" spans="1:10" ht="13">
      <c r="A10576" s="27"/>
      <c r="B10576" s="110"/>
      <c r="D10576" s="409"/>
      <c r="E10576" s="13" t="s">
        <v>283</v>
      </c>
      <c r="F10576" s="13" t="s">
        <v>1913</v>
      </c>
      <c r="G10576" s="410" t="s">
        <v>48</v>
      </c>
      <c r="H10576" s="411">
        <v>1.4E-2</v>
      </c>
      <c r="I10576" s="412">
        <f>IF(AND(E10576&lt;&gt;"",G10576&lt;&gt;""),IF(D10576="",IF(G10576="OH",VLOOKUP(F10576,UPAH!$B$4:$H$101,7,0),VLOOKUP(F10576,#REF!,4,0)),0),0)</f>
        <v>0</v>
      </c>
      <c r="J10576" s="16">
        <f>H10576*I10576</f>
        <v>0</v>
      </c>
    </row>
    <row r="10577" spans="1:10" ht="13.5" thickBot="1">
      <c r="A10577" s="27"/>
      <c r="B10577" s="110"/>
      <c r="D10577" s="409"/>
      <c r="E10577" s="13" t="s">
        <v>51</v>
      </c>
      <c r="F10577" s="13" t="s">
        <v>1929</v>
      </c>
      <c r="G10577" s="410" t="s">
        <v>48</v>
      </c>
      <c r="H10577" s="411">
        <v>7.0000000000000001E-3</v>
      </c>
      <c r="I10577" s="412">
        <f>IF(AND(E10577&lt;&gt;"",G10577&lt;&gt;""),IF(D10577="",IF(G10577="OH",VLOOKUP(F10577,UPAH!$B$4:$H$101,7,0),VLOOKUP(F10577,#REF!,4,0)),0),0)</f>
        <v>0</v>
      </c>
      <c r="J10577" s="16">
        <f>H10577*I10577</f>
        <v>0</v>
      </c>
    </row>
    <row r="10578" spans="1:10" ht="13.5" thickBot="1">
      <c r="A10578" s="27"/>
      <c r="B10578" s="110"/>
      <c r="D10578" s="417"/>
      <c r="E10578" s="418"/>
      <c r="F10578" s="418"/>
      <c r="G10578" s="419"/>
      <c r="H10578" s="420" t="s">
        <v>52</v>
      </c>
      <c r="I10578" s="421"/>
      <c r="J10578" s="396">
        <f>SUM(J10574:J10577)</f>
        <v>0</v>
      </c>
    </row>
    <row r="10579" spans="1:10" ht="13">
      <c r="A10579" s="27"/>
      <c r="B10579" s="110"/>
      <c r="D10579" s="406" t="s">
        <v>53</v>
      </c>
      <c r="E10579" s="13" t="s">
        <v>54</v>
      </c>
      <c r="F10579" s="14"/>
      <c r="G10579" s="15"/>
      <c r="H10579" s="451"/>
      <c r="I10579" s="412"/>
      <c r="J10579" s="16"/>
    </row>
    <row r="10580" spans="1:10" ht="13.5" thickBot="1">
      <c r="A10580" s="27"/>
      <c r="B10580" s="110"/>
      <c r="D10580" s="409"/>
      <c r="E10580" s="13" t="s">
        <v>330</v>
      </c>
      <c r="F10580" s="14"/>
      <c r="G10580" s="410" t="s">
        <v>259</v>
      </c>
      <c r="H10580" s="411">
        <v>1</v>
      </c>
      <c r="I10580" s="412">
        <f>'BAHAN '!G1010</f>
        <v>0</v>
      </c>
      <c r="J10580" s="16">
        <f>H10580*I10580</f>
        <v>0</v>
      </c>
    </row>
    <row r="10581" spans="1:10" ht="13.5" thickBot="1">
      <c r="A10581" s="27"/>
      <c r="B10581" s="110"/>
      <c r="D10581" s="417"/>
      <c r="E10581" s="418"/>
      <c r="F10581" s="418"/>
      <c r="G10581" s="419"/>
      <c r="H10581" s="420" t="s">
        <v>64</v>
      </c>
      <c r="I10581" s="421"/>
      <c r="J10581" s="396">
        <f>SUM(J10580)</f>
        <v>0</v>
      </c>
    </row>
    <row r="10582" spans="1:10" ht="13">
      <c r="A10582" s="27"/>
      <c r="B10582" s="110"/>
      <c r="D10582" s="406" t="s">
        <v>65</v>
      </c>
      <c r="E10582" s="13" t="s">
        <v>66</v>
      </c>
      <c r="F10582" s="14"/>
      <c r="G10582" s="15"/>
      <c r="H10582" s="451"/>
      <c r="I10582" s="412"/>
      <c r="J10582" s="16"/>
    </row>
    <row r="10583" spans="1:10" ht="13.5" thickBot="1">
      <c r="A10583" s="27"/>
      <c r="B10583" s="110"/>
      <c r="D10583" s="409"/>
      <c r="E10583" s="13" t="s">
        <v>446</v>
      </c>
      <c r="F10583" s="14"/>
      <c r="G10583" s="410" t="s">
        <v>285</v>
      </c>
      <c r="H10583" s="411">
        <v>3.0000000000000001E-3</v>
      </c>
      <c r="I10583" s="412">
        <f>Alat!H102</f>
        <v>0</v>
      </c>
      <c r="J10583" s="16">
        <f>H10583*I10583</f>
        <v>0</v>
      </c>
    </row>
    <row r="10584" spans="1:10" ht="13.5" thickBot="1">
      <c r="A10584" s="27"/>
      <c r="B10584" s="110"/>
      <c r="D10584" s="417"/>
      <c r="E10584" s="418"/>
      <c r="F10584" s="418"/>
      <c r="G10584" s="419"/>
      <c r="H10584" s="420" t="s">
        <v>67</v>
      </c>
      <c r="I10584" s="421"/>
      <c r="J10584" s="396">
        <f>J10583</f>
        <v>0</v>
      </c>
    </row>
    <row r="10585" spans="1:10" ht="13">
      <c r="A10585" s="27"/>
      <c r="B10585" s="110"/>
      <c r="D10585" s="444" t="s">
        <v>68</v>
      </c>
      <c r="E10585" s="445" t="s">
        <v>69</v>
      </c>
      <c r="F10585" s="446"/>
      <c r="G10585" s="447"/>
      <c r="H10585" s="448"/>
      <c r="I10585" s="449">
        <f>IF(AND(E10585&lt;&gt;"",G10585&lt;&gt;""),IF(D10585="",IF(G10585="OH",VLOOKUP(E10585,UPAH!$C$4:$H$31,7,0),VLOOKUP(E10585,#REF!,4,0)),0),0)</f>
        <v>0</v>
      </c>
      <c r="J10585" s="16">
        <f>SUM(J10574:J10584)/2</f>
        <v>0</v>
      </c>
    </row>
    <row r="10586" spans="1:10" ht="13.5" thickBot="1">
      <c r="A10586" s="27"/>
      <c r="B10586" s="110"/>
      <c r="D10586" s="431" t="s">
        <v>70</v>
      </c>
      <c r="E10586" s="432" t="s">
        <v>477</v>
      </c>
      <c r="F10586" s="433"/>
      <c r="G10586" s="434"/>
      <c r="H10586" s="22">
        <v>0.1</v>
      </c>
      <c r="I10586" s="436"/>
      <c r="J10586" s="430">
        <f>H10586*J10585</f>
        <v>0</v>
      </c>
    </row>
    <row r="10587" spans="1:10" ht="13.5" thickBot="1">
      <c r="A10587" s="27"/>
      <c r="B10587" s="110"/>
      <c r="D10587" s="401" t="s">
        <v>71</v>
      </c>
      <c r="E10587" s="402" t="s">
        <v>72</v>
      </c>
      <c r="F10587" s="418"/>
      <c r="G10587" s="419"/>
      <c r="H10587" s="442"/>
      <c r="I10587" s="421">
        <f>IF(AND(E10587&lt;&gt;"",G10587&lt;&gt;""),IF(D10587="",IF(G10587="OH",VLOOKUP(E10587,UPAH!$C$4:$H$31,7,0),VLOOKUP(E10587,#REF!,4,0)),0),0)</f>
        <v>0</v>
      </c>
      <c r="J10587" s="396">
        <f>ROUNDDOWN(J10585+J10586,0)</f>
        <v>0</v>
      </c>
    </row>
    <row r="10588" spans="1:10" ht="13">
      <c r="A10588" s="27"/>
      <c r="B10588" s="110"/>
      <c r="D10588" s="11"/>
      <c r="E10588" s="11"/>
      <c r="H10588" s="443"/>
      <c r="I10588" s="17"/>
      <c r="J10588" s="18"/>
    </row>
    <row r="10589" spans="1:10" ht="13.5" thickBot="1">
      <c r="A10589" s="27"/>
      <c r="B10589" s="110"/>
      <c r="C10589" s="11" t="s">
        <v>1629</v>
      </c>
      <c r="D10589" s="10" t="s">
        <v>1664</v>
      </c>
      <c r="H10589" s="443"/>
    </row>
    <row r="10590" spans="1:10" ht="13.5" thickBot="1">
      <c r="A10590" s="27"/>
      <c r="B10590" s="110"/>
      <c r="D10590" s="401" t="s">
        <v>40</v>
      </c>
      <c r="E10590" s="402" t="s">
        <v>41</v>
      </c>
      <c r="F10590" s="402" t="s">
        <v>42</v>
      </c>
      <c r="G10590" s="403" t="s">
        <v>43</v>
      </c>
      <c r="H10590" s="404" t="s">
        <v>44</v>
      </c>
      <c r="I10590" s="402" t="s">
        <v>474</v>
      </c>
      <c r="J10590" s="405" t="s">
        <v>475</v>
      </c>
    </row>
    <row r="10591" spans="1:10" ht="13">
      <c r="A10591" s="27"/>
      <c r="B10591" s="110"/>
      <c r="D10591" s="444" t="s">
        <v>45</v>
      </c>
      <c r="E10591" s="445" t="s">
        <v>46</v>
      </c>
      <c r="F10591" s="446"/>
      <c r="G10591" s="447"/>
      <c r="H10591" s="448"/>
      <c r="I10591" s="449"/>
      <c r="J10591" s="450"/>
    </row>
    <row r="10592" spans="1:10" ht="13">
      <c r="A10592" s="27"/>
      <c r="B10592" s="110"/>
      <c r="D10592" s="409"/>
      <c r="E10592" s="13" t="s">
        <v>47</v>
      </c>
      <c r="F10592" s="13" t="s">
        <v>1918</v>
      </c>
      <c r="G10592" s="410" t="s">
        <v>48</v>
      </c>
      <c r="H10592" s="411">
        <v>0.112</v>
      </c>
      <c r="I10592" s="412">
        <f>IF(AND(E10592&lt;&gt;"",G10592&lt;&gt;""),IF(D10592="",IF(G10592="OH",VLOOKUP(F10592,UPAH!$B$4:$H$101,7,0),VLOOKUP(F10592,#REF!,4,0)),0),0)</f>
        <v>0</v>
      </c>
      <c r="J10592" s="16">
        <f>H10592*I10592</f>
        <v>0</v>
      </c>
    </row>
    <row r="10593" spans="1:10" ht="13">
      <c r="A10593" s="27"/>
      <c r="B10593" s="110"/>
      <c r="D10593" s="409"/>
      <c r="E10593" s="13" t="s">
        <v>283</v>
      </c>
      <c r="F10593" s="13" t="s">
        <v>1913</v>
      </c>
      <c r="G10593" s="410" t="s">
        <v>48</v>
      </c>
      <c r="H10593" s="411">
        <v>2.1999999999999999E-2</v>
      </c>
      <c r="I10593" s="412">
        <f>IF(AND(E10593&lt;&gt;"",G10593&lt;&gt;""),IF(D10593="",IF(G10593="OH",VLOOKUP(F10593,UPAH!$B$4:$H$101,7,0),VLOOKUP(F10593,#REF!,4,0)),0),0)</f>
        <v>0</v>
      </c>
      <c r="J10593" s="16">
        <f>H10593*I10593</f>
        <v>0</v>
      </c>
    </row>
    <row r="10594" spans="1:10" ht="13.5" thickBot="1">
      <c r="A10594" s="27"/>
      <c r="B10594" s="110"/>
      <c r="D10594" s="409"/>
      <c r="E10594" s="13" t="s">
        <v>51</v>
      </c>
      <c r="F10594" s="13" t="s">
        <v>1929</v>
      </c>
      <c r="G10594" s="410" t="s">
        <v>48</v>
      </c>
      <c r="H10594" s="411">
        <v>1.0999999999999999E-2</v>
      </c>
      <c r="I10594" s="412">
        <f>IF(AND(E10594&lt;&gt;"",G10594&lt;&gt;""),IF(D10594="",IF(G10594="OH",VLOOKUP(F10594,UPAH!$B$4:$H$101,7,0),VLOOKUP(F10594,#REF!,4,0)),0),0)</f>
        <v>0</v>
      </c>
      <c r="J10594" s="16">
        <f>H10594*I10594</f>
        <v>0</v>
      </c>
    </row>
    <row r="10595" spans="1:10" ht="13.5" thickBot="1">
      <c r="A10595" s="27"/>
      <c r="B10595" s="110"/>
      <c r="D10595" s="417"/>
      <c r="E10595" s="418"/>
      <c r="F10595" s="418"/>
      <c r="G10595" s="419"/>
      <c r="H10595" s="420" t="s">
        <v>52</v>
      </c>
      <c r="I10595" s="421"/>
      <c r="J10595" s="396">
        <f>SUM(J10591:J10594)</f>
        <v>0</v>
      </c>
    </row>
    <row r="10596" spans="1:10" ht="13">
      <c r="A10596" s="27"/>
      <c r="B10596" s="110"/>
      <c r="D10596" s="406" t="s">
        <v>53</v>
      </c>
      <c r="E10596" s="13" t="s">
        <v>54</v>
      </c>
      <c r="F10596" s="14"/>
      <c r="G10596" s="15"/>
      <c r="H10596" s="451"/>
      <c r="I10596" s="412"/>
      <c r="J10596" s="16"/>
    </row>
    <row r="10597" spans="1:10" ht="13.5" thickBot="1">
      <c r="A10597" s="27"/>
      <c r="B10597" s="110"/>
      <c r="D10597" s="409"/>
      <c r="E10597" s="13" t="s">
        <v>331</v>
      </c>
      <c r="F10597" s="14"/>
      <c r="G10597" s="410" t="s">
        <v>259</v>
      </c>
      <c r="H10597" s="411">
        <v>1</v>
      </c>
      <c r="I10597" s="412">
        <f>'BAHAN '!G1011</f>
        <v>0</v>
      </c>
      <c r="J10597" s="16">
        <f>H10597*I10597</f>
        <v>0</v>
      </c>
    </row>
    <row r="10598" spans="1:10" ht="13.5" thickBot="1">
      <c r="A10598" s="27"/>
      <c r="B10598" s="110"/>
      <c r="D10598" s="417"/>
      <c r="E10598" s="418"/>
      <c r="F10598" s="418"/>
      <c r="G10598" s="419"/>
      <c r="H10598" s="420" t="s">
        <v>64</v>
      </c>
      <c r="I10598" s="421"/>
      <c r="J10598" s="396">
        <f>SUM(J10597)</f>
        <v>0</v>
      </c>
    </row>
    <row r="10599" spans="1:10" ht="13">
      <c r="A10599" s="27"/>
      <c r="B10599" s="110"/>
      <c r="D10599" s="406" t="s">
        <v>65</v>
      </c>
      <c r="E10599" s="13" t="s">
        <v>66</v>
      </c>
      <c r="F10599" s="14"/>
      <c r="G10599" s="15"/>
      <c r="H10599" s="451"/>
      <c r="I10599" s="412"/>
      <c r="J10599" s="16"/>
    </row>
    <row r="10600" spans="1:10" ht="13.5" thickBot="1">
      <c r="A10600" s="27"/>
      <c r="B10600" s="110"/>
      <c r="D10600" s="409"/>
      <c r="E10600" s="13" t="s">
        <v>446</v>
      </c>
      <c r="F10600" s="14"/>
      <c r="G10600" s="410" t="s">
        <v>285</v>
      </c>
      <c r="H10600" s="411">
        <v>0.01</v>
      </c>
      <c r="I10600" s="412">
        <f>Alat!H102</f>
        <v>0</v>
      </c>
      <c r="J10600" s="16">
        <f>H10600*I10600</f>
        <v>0</v>
      </c>
    </row>
    <row r="10601" spans="1:10" ht="13.5" thickBot="1">
      <c r="A10601" s="27"/>
      <c r="B10601" s="110"/>
      <c r="D10601" s="417"/>
      <c r="E10601" s="418"/>
      <c r="F10601" s="418"/>
      <c r="G10601" s="419"/>
      <c r="H10601" s="420" t="s">
        <v>67</v>
      </c>
      <c r="I10601" s="421"/>
      <c r="J10601" s="396">
        <f>J10600</f>
        <v>0</v>
      </c>
    </row>
    <row r="10602" spans="1:10" ht="13">
      <c r="A10602" s="27"/>
      <c r="B10602" s="110"/>
      <c r="D10602" s="444" t="s">
        <v>68</v>
      </c>
      <c r="E10602" s="445" t="s">
        <v>69</v>
      </c>
      <c r="F10602" s="446"/>
      <c r="G10602" s="447"/>
      <c r="H10602" s="448"/>
      <c r="I10602" s="449">
        <f>IF(AND(E10602&lt;&gt;"",G10602&lt;&gt;""),IF(D10602="",IF(G10602="OH",VLOOKUP(E10602,UPAH!$C$4:$H$31,7,0),VLOOKUP(E10602,#REF!,4,0)),0),0)</f>
        <v>0</v>
      </c>
      <c r="J10602" s="16">
        <f>SUM(J10591:J10601)/2</f>
        <v>0</v>
      </c>
    </row>
    <row r="10603" spans="1:10" ht="13.5" thickBot="1">
      <c r="A10603" s="27"/>
      <c r="B10603" s="110"/>
      <c r="D10603" s="431" t="s">
        <v>70</v>
      </c>
      <c r="E10603" s="432" t="s">
        <v>477</v>
      </c>
      <c r="F10603" s="433"/>
      <c r="G10603" s="434"/>
      <c r="H10603" s="22">
        <v>0.1</v>
      </c>
      <c r="I10603" s="436"/>
      <c r="J10603" s="430">
        <f>H10603*J10602</f>
        <v>0</v>
      </c>
    </row>
    <row r="10604" spans="1:10" ht="13.5" thickBot="1">
      <c r="A10604" s="27"/>
      <c r="B10604" s="110"/>
      <c r="D10604" s="401" t="s">
        <v>71</v>
      </c>
      <c r="E10604" s="402" t="s">
        <v>72</v>
      </c>
      <c r="F10604" s="418"/>
      <c r="G10604" s="419"/>
      <c r="H10604" s="442"/>
      <c r="I10604" s="421">
        <f>IF(AND(E10604&lt;&gt;"",G10604&lt;&gt;""),IF(D10604="",IF(G10604="OH",VLOOKUP(E10604,UPAH!$C$4:$H$31,7,0),VLOOKUP(E10604,#REF!,4,0)),0),0)</f>
        <v>0</v>
      </c>
      <c r="J10604" s="396">
        <f>ROUNDDOWN(J10602+J10603,0)</f>
        <v>0</v>
      </c>
    </row>
    <row r="10605" spans="1:10" ht="13">
      <c r="A10605" s="27"/>
      <c r="B10605" s="110"/>
      <c r="D10605" s="11"/>
      <c r="E10605" s="11"/>
      <c r="H10605" s="443"/>
      <c r="I10605" s="17"/>
      <c r="J10605" s="18"/>
    </row>
    <row r="10606" spans="1:10" ht="13.5" thickBot="1">
      <c r="A10606" s="27"/>
      <c r="B10606" s="110"/>
      <c r="C10606" s="11" t="s">
        <v>1628</v>
      </c>
      <c r="D10606" s="10" t="s">
        <v>1665</v>
      </c>
      <c r="H10606" s="443"/>
    </row>
    <row r="10607" spans="1:10" ht="13.5" thickBot="1">
      <c r="A10607" s="27"/>
      <c r="B10607" s="110"/>
      <c r="D10607" s="401" t="s">
        <v>40</v>
      </c>
      <c r="E10607" s="402" t="s">
        <v>41</v>
      </c>
      <c r="F10607" s="402" t="s">
        <v>42</v>
      </c>
      <c r="G10607" s="403" t="s">
        <v>43</v>
      </c>
      <c r="H10607" s="404" t="s">
        <v>44</v>
      </c>
      <c r="I10607" s="402" t="s">
        <v>474</v>
      </c>
      <c r="J10607" s="405" t="s">
        <v>475</v>
      </c>
    </row>
    <row r="10608" spans="1:10" ht="13">
      <c r="A10608" s="27"/>
      <c r="B10608" s="110"/>
      <c r="D10608" s="444" t="s">
        <v>45</v>
      </c>
      <c r="E10608" s="445" t="s">
        <v>46</v>
      </c>
      <c r="F10608" s="446"/>
      <c r="G10608" s="447"/>
      <c r="H10608" s="448"/>
      <c r="I10608" s="449"/>
      <c r="J10608" s="450"/>
    </row>
    <row r="10609" spans="1:10" ht="13">
      <c r="A10609" s="27"/>
      <c r="B10609" s="110"/>
      <c r="D10609" s="409"/>
      <c r="E10609" s="13" t="s">
        <v>47</v>
      </c>
      <c r="F10609" s="13" t="s">
        <v>1918</v>
      </c>
      <c r="G10609" s="410" t="s">
        <v>48</v>
      </c>
      <c r="H10609" s="411">
        <v>0.159</v>
      </c>
      <c r="I10609" s="412">
        <f>IF(AND(E10609&lt;&gt;"",G10609&lt;&gt;""),IF(D10609="",IF(G10609="OH",VLOOKUP(F10609,UPAH!$B$4:$H$101,7,0),VLOOKUP(F10609,#REF!,4,0)),0),0)</f>
        <v>0</v>
      </c>
      <c r="J10609" s="16">
        <f>H10609*I10609</f>
        <v>0</v>
      </c>
    </row>
    <row r="10610" spans="1:10" ht="13">
      <c r="A10610" s="27"/>
      <c r="B10610" s="110"/>
      <c r="D10610" s="409"/>
      <c r="E10610" s="13" t="s">
        <v>283</v>
      </c>
      <c r="F10610" s="13" t="s">
        <v>1913</v>
      </c>
      <c r="G10610" s="410" t="s">
        <v>48</v>
      </c>
      <c r="H10610" s="411">
        <v>3.2000000000000001E-2</v>
      </c>
      <c r="I10610" s="412">
        <f>IF(AND(E10610&lt;&gt;"",G10610&lt;&gt;""),IF(D10610="",IF(G10610="OH",VLOOKUP(F10610,UPAH!$B$4:$H$101,7,0),VLOOKUP(F10610,#REF!,4,0)),0),0)</f>
        <v>0</v>
      </c>
      <c r="J10610" s="16">
        <f>H10610*I10610</f>
        <v>0</v>
      </c>
    </row>
    <row r="10611" spans="1:10" ht="13.5" thickBot="1">
      <c r="A10611" s="27"/>
      <c r="B10611" s="110"/>
      <c r="D10611" s="409"/>
      <c r="E10611" s="13" t="s">
        <v>51</v>
      </c>
      <c r="F10611" s="13" t="s">
        <v>1929</v>
      </c>
      <c r="G10611" s="410" t="s">
        <v>48</v>
      </c>
      <c r="H10611" s="411">
        <v>1.6E-2</v>
      </c>
      <c r="I10611" s="412">
        <f>IF(AND(E10611&lt;&gt;"",G10611&lt;&gt;""),IF(D10611="",IF(G10611="OH",VLOOKUP(F10611,UPAH!$B$4:$H$101,7,0),VLOOKUP(F10611,#REF!,4,0)),0),0)</f>
        <v>0</v>
      </c>
      <c r="J10611" s="16">
        <f>H10611*I10611</f>
        <v>0</v>
      </c>
    </row>
    <row r="10612" spans="1:10" ht="13.5" thickBot="1">
      <c r="A10612" s="27"/>
      <c r="B10612" s="110"/>
      <c r="D10612" s="417"/>
      <c r="E10612" s="418"/>
      <c r="F10612" s="418"/>
      <c r="G10612" s="419"/>
      <c r="H10612" s="420" t="s">
        <v>52</v>
      </c>
      <c r="I10612" s="421"/>
      <c r="J10612" s="396">
        <f>SUM(J10608:J10611)</f>
        <v>0</v>
      </c>
    </row>
    <row r="10613" spans="1:10" ht="13">
      <c r="A10613" s="27"/>
      <c r="B10613" s="110"/>
      <c r="D10613" s="406" t="s">
        <v>53</v>
      </c>
      <c r="E10613" s="13" t="s">
        <v>54</v>
      </c>
      <c r="F10613" s="14"/>
      <c r="G10613" s="15"/>
      <c r="H10613" s="451"/>
      <c r="I10613" s="412"/>
      <c r="J10613" s="16"/>
    </row>
    <row r="10614" spans="1:10" ht="13.5" thickBot="1">
      <c r="A10614" s="27"/>
      <c r="B10614" s="110"/>
      <c r="D10614" s="409"/>
      <c r="E10614" s="13" t="s">
        <v>332</v>
      </c>
      <c r="F10614" s="14"/>
      <c r="G10614" s="410" t="s">
        <v>259</v>
      </c>
      <c r="H10614" s="411">
        <v>1</v>
      </c>
      <c r="I10614" s="412">
        <f>'BAHAN '!G1012</f>
        <v>0</v>
      </c>
      <c r="J10614" s="16">
        <f>H10614*I10614</f>
        <v>0</v>
      </c>
    </row>
    <row r="10615" spans="1:10" ht="13.5" thickBot="1">
      <c r="A10615" s="27"/>
      <c r="B10615" s="110"/>
      <c r="D10615" s="417"/>
      <c r="E10615" s="418"/>
      <c r="F10615" s="418"/>
      <c r="G10615" s="419"/>
      <c r="H10615" s="420" t="s">
        <v>64</v>
      </c>
      <c r="I10615" s="421"/>
      <c r="J10615" s="396">
        <f>SUM(J10614)</f>
        <v>0</v>
      </c>
    </row>
    <row r="10616" spans="1:10" ht="13">
      <c r="A10616" s="27"/>
      <c r="B10616" s="110"/>
      <c r="D10616" s="406" t="s">
        <v>65</v>
      </c>
      <c r="E10616" s="13" t="s">
        <v>66</v>
      </c>
      <c r="F10616" s="14"/>
      <c r="G10616" s="15"/>
      <c r="H10616" s="451"/>
      <c r="I10616" s="412"/>
      <c r="J10616" s="16"/>
    </row>
    <row r="10617" spans="1:10" ht="13.5" thickBot="1">
      <c r="A10617" s="27"/>
      <c r="B10617" s="110"/>
      <c r="D10617" s="409"/>
      <c r="E10617" s="13" t="s">
        <v>446</v>
      </c>
      <c r="F10617" s="14"/>
      <c r="G10617" s="410" t="s">
        <v>285</v>
      </c>
      <c r="H10617" s="411">
        <v>1.7999999999999999E-2</v>
      </c>
      <c r="I10617" s="412">
        <f>Alat!H102</f>
        <v>0</v>
      </c>
      <c r="J10617" s="16">
        <f>H10617*I10617</f>
        <v>0</v>
      </c>
    </row>
    <row r="10618" spans="1:10" ht="13.5" thickBot="1">
      <c r="A10618" s="27"/>
      <c r="B10618" s="110"/>
      <c r="D10618" s="417"/>
      <c r="E10618" s="418"/>
      <c r="F10618" s="418"/>
      <c r="G10618" s="419"/>
      <c r="H10618" s="420" t="s">
        <v>67</v>
      </c>
      <c r="I10618" s="421"/>
      <c r="J10618" s="396">
        <f>J10617</f>
        <v>0</v>
      </c>
    </row>
    <row r="10619" spans="1:10" ht="13">
      <c r="A10619" s="27"/>
      <c r="B10619" s="110"/>
      <c r="D10619" s="444" t="s">
        <v>68</v>
      </c>
      <c r="E10619" s="445" t="s">
        <v>69</v>
      </c>
      <c r="F10619" s="446"/>
      <c r="G10619" s="447"/>
      <c r="H10619" s="448"/>
      <c r="I10619" s="449">
        <f>IF(AND(E10619&lt;&gt;"",G10619&lt;&gt;""),IF(D10619="",IF(G10619="OH",VLOOKUP(E10619,UPAH!$C$4:$H$31,7,0),VLOOKUP(E10619,#REF!,4,0)),0),0)</f>
        <v>0</v>
      </c>
      <c r="J10619" s="16">
        <f>SUM(J10608:J10618)/2</f>
        <v>0</v>
      </c>
    </row>
    <row r="10620" spans="1:10" ht="13.5" thickBot="1">
      <c r="A10620" s="27"/>
      <c r="B10620" s="110"/>
      <c r="D10620" s="431" t="s">
        <v>70</v>
      </c>
      <c r="E10620" s="432" t="s">
        <v>477</v>
      </c>
      <c r="F10620" s="433"/>
      <c r="G10620" s="434"/>
      <c r="H10620" s="22">
        <v>0.1</v>
      </c>
      <c r="I10620" s="436"/>
      <c r="J10620" s="430">
        <f>H10620*J10619</f>
        <v>0</v>
      </c>
    </row>
    <row r="10621" spans="1:10" ht="13.5" thickBot="1">
      <c r="A10621" s="27"/>
      <c r="B10621" s="110"/>
      <c r="D10621" s="401" t="s">
        <v>71</v>
      </c>
      <c r="E10621" s="402" t="s">
        <v>72</v>
      </c>
      <c r="F10621" s="418"/>
      <c r="G10621" s="419"/>
      <c r="H10621" s="442"/>
      <c r="I10621" s="421">
        <f>IF(AND(E10621&lt;&gt;"",G10621&lt;&gt;""),IF(D10621="",IF(G10621="OH",VLOOKUP(E10621,UPAH!$C$4:$H$31,7,0),VLOOKUP(E10621,#REF!,4,0)),0),0)</f>
        <v>0</v>
      </c>
      <c r="J10621" s="396">
        <f>ROUNDDOWN(J10619+J10620,0)</f>
        <v>0</v>
      </c>
    </row>
    <row r="10622" spans="1:10" ht="13">
      <c r="A10622" s="27"/>
      <c r="B10622" s="110"/>
      <c r="D10622" s="11"/>
      <c r="E10622" s="11"/>
      <c r="H10622" s="443"/>
      <c r="I10622" s="17"/>
      <c r="J10622" s="18"/>
    </row>
    <row r="10623" spans="1:10" ht="13.5" thickBot="1">
      <c r="A10623" s="27"/>
      <c r="B10623" s="110"/>
      <c r="C10623" s="11" t="s">
        <v>1627</v>
      </c>
      <c r="D10623" s="10" t="s">
        <v>1666</v>
      </c>
      <c r="H10623" s="443"/>
    </row>
    <row r="10624" spans="1:10" ht="13.5" thickBot="1">
      <c r="A10624" s="27"/>
      <c r="B10624" s="110"/>
      <c r="D10624" s="401" t="s">
        <v>40</v>
      </c>
      <c r="E10624" s="402" t="s">
        <v>41</v>
      </c>
      <c r="F10624" s="402" t="s">
        <v>42</v>
      </c>
      <c r="G10624" s="403" t="s">
        <v>43</v>
      </c>
      <c r="H10624" s="404" t="s">
        <v>44</v>
      </c>
      <c r="I10624" s="402" t="s">
        <v>474</v>
      </c>
      <c r="J10624" s="405" t="s">
        <v>475</v>
      </c>
    </row>
    <row r="10625" spans="1:10" ht="13">
      <c r="A10625" s="27"/>
      <c r="B10625" s="110"/>
      <c r="D10625" s="444" t="s">
        <v>45</v>
      </c>
      <c r="E10625" s="445" t="s">
        <v>46</v>
      </c>
      <c r="F10625" s="446"/>
      <c r="G10625" s="447"/>
      <c r="H10625" s="448"/>
      <c r="I10625" s="449"/>
      <c r="J10625" s="450"/>
    </row>
    <row r="10626" spans="1:10" ht="13">
      <c r="A10626" s="27"/>
      <c r="B10626" s="110"/>
      <c r="D10626" s="409"/>
      <c r="E10626" s="13" t="s">
        <v>47</v>
      </c>
      <c r="F10626" s="13" t="s">
        <v>1918</v>
      </c>
      <c r="G10626" s="410" t="s">
        <v>48</v>
      </c>
      <c r="H10626" s="411">
        <v>0.36599999999999999</v>
      </c>
      <c r="I10626" s="412">
        <f>IF(AND(E10626&lt;&gt;"",G10626&lt;&gt;""),IF(D10626="",IF(G10626="OH",VLOOKUP(F10626,UPAH!$B$4:$H$101,7,0),VLOOKUP(F10626,#REF!,4,0)),0),0)</f>
        <v>0</v>
      </c>
      <c r="J10626" s="16">
        <f>H10626*I10626</f>
        <v>0</v>
      </c>
    </row>
    <row r="10627" spans="1:10" ht="13">
      <c r="A10627" s="27"/>
      <c r="B10627" s="110"/>
      <c r="D10627" s="409"/>
      <c r="E10627" s="13" t="s">
        <v>283</v>
      </c>
      <c r="F10627" s="13" t="s">
        <v>1913</v>
      </c>
      <c r="G10627" s="410" t="s">
        <v>48</v>
      </c>
      <c r="H10627" s="411">
        <v>7.2999999999999995E-2</v>
      </c>
      <c r="I10627" s="412">
        <f>IF(AND(E10627&lt;&gt;"",G10627&lt;&gt;""),IF(D10627="",IF(G10627="OH",VLOOKUP(F10627,UPAH!$B$4:$H$101,7,0),VLOOKUP(F10627,#REF!,4,0)),0),0)</f>
        <v>0</v>
      </c>
      <c r="J10627" s="16">
        <f>H10627*I10627</f>
        <v>0</v>
      </c>
    </row>
    <row r="10628" spans="1:10" ht="13.5" thickBot="1">
      <c r="A10628" s="27"/>
      <c r="B10628" s="110"/>
      <c r="D10628" s="409"/>
      <c r="E10628" s="13" t="s">
        <v>51</v>
      </c>
      <c r="F10628" s="13" t="s">
        <v>1929</v>
      </c>
      <c r="G10628" s="410" t="s">
        <v>48</v>
      </c>
      <c r="H10628" s="411">
        <v>3.6999999999999998E-2</v>
      </c>
      <c r="I10628" s="412">
        <f>IF(AND(E10628&lt;&gt;"",G10628&lt;&gt;""),IF(D10628="",IF(G10628="OH",VLOOKUP(F10628,UPAH!$B$4:$H$101,7,0),VLOOKUP(F10628,#REF!,4,0)),0),0)</f>
        <v>0</v>
      </c>
      <c r="J10628" s="16">
        <f>H10628*I10628</f>
        <v>0</v>
      </c>
    </row>
    <row r="10629" spans="1:10" ht="13.5" thickBot="1">
      <c r="A10629" s="27"/>
      <c r="B10629" s="110"/>
      <c r="D10629" s="417"/>
      <c r="E10629" s="418"/>
      <c r="F10629" s="418"/>
      <c r="G10629" s="419"/>
      <c r="H10629" s="420" t="s">
        <v>52</v>
      </c>
      <c r="I10629" s="421"/>
      <c r="J10629" s="396">
        <f>SUM(J10625:J10628)</f>
        <v>0</v>
      </c>
    </row>
    <row r="10630" spans="1:10" ht="13">
      <c r="A10630" s="27"/>
      <c r="B10630" s="110"/>
      <c r="D10630" s="406" t="s">
        <v>53</v>
      </c>
      <c r="E10630" s="13" t="s">
        <v>54</v>
      </c>
      <c r="F10630" s="14"/>
      <c r="G10630" s="15"/>
      <c r="H10630" s="451"/>
      <c r="I10630" s="412"/>
      <c r="J10630" s="16"/>
    </row>
    <row r="10631" spans="1:10" ht="13.5" thickBot="1">
      <c r="A10631" s="27"/>
      <c r="B10631" s="110"/>
      <c r="D10631" s="409"/>
      <c r="E10631" s="13" t="s">
        <v>333</v>
      </c>
      <c r="F10631" s="14"/>
      <c r="G10631" s="410" t="s">
        <v>259</v>
      </c>
      <c r="H10631" s="411">
        <v>1</v>
      </c>
      <c r="I10631" s="412">
        <f>'BAHAN '!G1013</f>
        <v>0</v>
      </c>
      <c r="J10631" s="16">
        <f>H10631*I10631</f>
        <v>0</v>
      </c>
    </row>
    <row r="10632" spans="1:10" ht="13.5" thickBot="1">
      <c r="A10632" s="27"/>
      <c r="B10632" s="110"/>
      <c r="D10632" s="417"/>
      <c r="E10632" s="418"/>
      <c r="F10632" s="418"/>
      <c r="G10632" s="419"/>
      <c r="H10632" s="420" t="s">
        <v>64</v>
      </c>
      <c r="I10632" s="421"/>
      <c r="J10632" s="396">
        <f>SUM(J10631)</f>
        <v>0</v>
      </c>
    </row>
    <row r="10633" spans="1:10" ht="13">
      <c r="A10633" s="27"/>
      <c r="B10633" s="110"/>
      <c r="D10633" s="406" t="s">
        <v>65</v>
      </c>
      <c r="E10633" s="13" t="s">
        <v>66</v>
      </c>
      <c r="F10633" s="14"/>
      <c r="G10633" s="15"/>
      <c r="H10633" s="451"/>
      <c r="I10633" s="412"/>
      <c r="J10633" s="16"/>
    </row>
    <row r="10634" spans="1:10" ht="13.5" thickBot="1">
      <c r="A10634" s="27"/>
      <c r="B10634" s="110"/>
      <c r="D10634" s="409"/>
      <c r="E10634" s="13" t="s">
        <v>446</v>
      </c>
      <c r="F10634" s="14"/>
      <c r="G10634" s="410" t="s">
        <v>285</v>
      </c>
      <c r="H10634" s="411">
        <v>5.3999999999999999E-2</v>
      </c>
      <c r="I10634" s="412">
        <f>Alat!H102</f>
        <v>0</v>
      </c>
      <c r="J10634" s="16">
        <f>H10634*I10634</f>
        <v>0</v>
      </c>
    </row>
    <row r="10635" spans="1:10" ht="13.5" thickBot="1">
      <c r="A10635" s="27"/>
      <c r="B10635" s="110"/>
      <c r="D10635" s="417"/>
      <c r="E10635" s="418"/>
      <c r="F10635" s="418"/>
      <c r="G10635" s="419"/>
      <c r="H10635" s="420" t="s">
        <v>67</v>
      </c>
      <c r="I10635" s="421"/>
      <c r="J10635" s="396">
        <f>J10634</f>
        <v>0</v>
      </c>
    </row>
    <row r="10636" spans="1:10" ht="13">
      <c r="A10636" s="27"/>
      <c r="B10636" s="110"/>
      <c r="D10636" s="444" t="s">
        <v>68</v>
      </c>
      <c r="E10636" s="445" t="s">
        <v>69</v>
      </c>
      <c r="F10636" s="446"/>
      <c r="G10636" s="447"/>
      <c r="H10636" s="448"/>
      <c r="I10636" s="449">
        <f>IF(AND(E10636&lt;&gt;"",G10636&lt;&gt;""),IF(D10636="",IF(G10636="OH",VLOOKUP(E10636,UPAH!$C$4:$H$31,7,0),VLOOKUP(E10636,#REF!,4,0)),0),0)</f>
        <v>0</v>
      </c>
      <c r="J10636" s="16">
        <f>SUM(J10625:J10635)/2</f>
        <v>0</v>
      </c>
    </row>
    <row r="10637" spans="1:10" ht="13.5" thickBot="1">
      <c r="A10637" s="27"/>
      <c r="B10637" s="110"/>
      <c r="D10637" s="431" t="s">
        <v>70</v>
      </c>
      <c r="E10637" s="432" t="s">
        <v>477</v>
      </c>
      <c r="F10637" s="433"/>
      <c r="G10637" s="434"/>
      <c r="H10637" s="22">
        <v>0.1</v>
      </c>
      <c r="I10637" s="436"/>
      <c r="J10637" s="430">
        <f>H10637*J10636</f>
        <v>0</v>
      </c>
    </row>
    <row r="10638" spans="1:10" ht="13.5" thickBot="1">
      <c r="A10638" s="27"/>
      <c r="B10638" s="110"/>
      <c r="D10638" s="401" t="s">
        <v>71</v>
      </c>
      <c r="E10638" s="402" t="s">
        <v>72</v>
      </c>
      <c r="F10638" s="418"/>
      <c r="G10638" s="419"/>
      <c r="H10638" s="442"/>
      <c r="I10638" s="421">
        <f>IF(AND(E10638&lt;&gt;"",G10638&lt;&gt;""),IF(D10638="",IF(G10638="OH",VLOOKUP(E10638,UPAH!$C$4:$H$31,7,0),VLOOKUP(E10638,#REF!,4,0)),0),0)</f>
        <v>0</v>
      </c>
      <c r="J10638" s="396">
        <f>ROUNDDOWN(J10636+J10637,0)</f>
        <v>0</v>
      </c>
    </row>
    <row r="10639" spans="1:10" ht="13">
      <c r="A10639" s="27"/>
      <c r="B10639" s="110"/>
      <c r="D10639" s="11"/>
      <c r="E10639" s="11"/>
      <c r="H10639" s="443"/>
      <c r="I10639" s="17"/>
      <c r="J10639" s="18"/>
    </row>
    <row r="10640" spans="1:10" ht="13.5" thickBot="1">
      <c r="A10640" s="27"/>
      <c r="B10640" s="110"/>
      <c r="C10640" s="11" t="s">
        <v>1626</v>
      </c>
      <c r="D10640" s="10" t="s">
        <v>1667</v>
      </c>
      <c r="H10640" s="443"/>
    </row>
    <row r="10641" spans="1:10" ht="13.5" thickBot="1">
      <c r="A10641" s="27"/>
      <c r="B10641" s="110"/>
      <c r="D10641" s="401" t="s">
        <v>40</v>
      </c>
      <c r="E10641" s="402" t="s">
        <v>41</v>
      </c>
      <c r="F10641" s="402" t="s">
        <v>42</v>
      </c>
      <c r="G10641" s="403" t="s">
        <v>43</v>
      </c>
      <c r="H10641" s="404" t="s">
        <v>44</v>
      </c>
      <c r="I10641" s="402" t="s">
        <v>474</v>
      </c>
      <c r="J10641" s="405" t="s">
        <v>475</v>
      </c>
    </row>
    <row r="10642" spans="1:10" ht="13">
      <c r="A10642" s="27"/>
      <c r="B10642" s="110"/>
      <c r="D10642" s="444" t="s">
        <v>45</v>
      </c>
      <c r="E10642" s="445" t="s">
        <v>46</v>
      </c>
      <c r="F10642" s="446"/>
      <c r="G10642" s="447"/>
      <c r="H10642" s="448"/>
      <c r="I10642" s="449"/>
      <c r="J10642" s="450"/>
    </row>
    <row r="10643" spans="1:10" ht="13">
      <c r="A10643" s="27"/>
      <c r="B10643" s="110"/>
      <c r="D10643" s="409"/>
      <c r="E10643" s="13" t="s">
        <v>47</v>
      </c>
      <c r="F10643" s="13" t="s">
        <v>1918</v>
      </c>
      <c r="G10643" s="410" t="s">
        <v>48</v>
      </c>
      <c r="H10643" s="411">
        <v>0.47599999999999998</v>
      </c>
      <c r="I10643" s="412">
        <f>IF(AND(E10643&lt;&gt;"",G10643&lt;&gt;""),IF(D10643="",IF(G10643="OH",VLOOKUP(F10643,UPAH!$B$4:$H$101,7,0),VLOOKUP(F10643,#REF!,4,0)),0),0)</f>
        <v>0</v>
      </c>
      <c r="J10643" s="16">
        <f>H10643*I10643</f>
        <v>0</v>
      </c>
    </row>
    <row r="10644" spans="1:10" ht="13">
      <c r="A10644" s="27"/>
      <c r="B10644" s="110"/>
      <c r="D10644" s="409"/>
      <c r="E10644" s="13" t="s">
        <v>283</v>
      </c>
      <c r="F10644" s="13" t="s">
        <v>1913</v>
      </c>
      <c r="G10644" s="410" t="s">
        <v>48</v>
      </c>
      <c r="H10644" s="411">
        <v>9.5000000000000001E-2</v>
      </c>
      <c r="I10644" s="412">
        <f>IF(AND(E10644&lt;&gt;"",G10644&lt;&gt;""),IF(D10644="",IF(G10644="OH",VLOOKUP(F10644,UPAH!$B$4:$H$101,7,0),VLOOKUP(F10644,#REF!,4,0)),0),0)</f>
        <v>0</v>
      </c>
      <c r="J10644" s="16">
        <f>H10644*I10644</f>
        <v>0</v>
      </c>
    </row>
    <row r="10645" spans="1:10" ht="13.5" thickBot="1">
      <c r="A10645" s="27"/>
      <c r="B10645" s="110"/>
      <c r="D10645" s="409"/>
      <c r="E10645" s="13" t="s">
        <v>51</v>
      </c>
      <c r="F10645" s="13" t="s">
        <v>1929</v>
      </c>
      <c r="G10645" s="410" t="s">
        <v>48</v>
      </c>
      <c r="H10645" s="411">
        <v>4.8000000000000001E-2</v>
      </c>
      <c r="I10645" s="412">
        <f>IF(AND(E10645&lt;&gt;"",G10645&lt;&gt;""),IF(D10645="",IF(G10645="OH",VLOOKUP(F10645,UPAH!$B$4:$H$101,7,0),VLOOKUP(F10645,#REF!,4,0)),0),0)</f>
        <v>0</v>
      </c>
      <c r="J10645" s="16">
        <f>H10645*I10645</f>
        <v>0</v>
      </c>
    </row>
    <row r="10646" spans="1:10" ht="13.5" thickBot="1">
      <c r="A10646" s="27"/>
      <c r="B10646" s="110"/>
      <c r="D10646" s="417"/>
      <c r="E10646" s="418"/>
      <c r="F10646" s="418"/>
      <c r="G10646" s="419"/>
      <c r="H10646" s="420" t="s">
        <v>52</v>
      </c>
      <c r="I10646" s="421"/>
      <c r="J10646" s="396">
        <f>SUM(J10642:J10645)</f>
        <v>0</v>
      </c>
    </row>
    <row r="10647" spans="1:10" ht="13">
      <c r="A10647" s="27"/>
      <c r="B10647" s="110"/>
      <c r="D10647" s="406" t="s">
        <v>53</v>
      </c>
      <c r="E10647" s="13" t="s">
        <v>54</v>
      </c>
      <c r="F10647" s="14"/>
      <c r="G10647" s="15"/>
      <c r="H10647" s="451"/>
      <c r="I10647" s="412"/>
      <c r="J10647" s="16"/>
    </row>
    <row r="10648" spans="1:10" ht="13.5" thickBot="1">
      <c r="A10648" s="27"/>
      <c r="B10648" s="110"/>
      <c r="D10648" s="409"/>
      <c r="E10648" s="13" t="s">
        <v>334</v>
      </c>
      <c r="F10648" s="14"/>
      <c r="G10648" s="410" t="s">
        <v>259</v>
      </c>
      <c r="H10648" s="411">
        <v>1</v>
      </c>
      <c r="I10648" s="412">
        <f>'BAHAN '!G1014</f>
        <v>0</v>
      </c>
      <c r="J10648" s="16">
        <f>H10648*I10648</f>
        <v>0</v>
      </c>
    </row>
    <row r="10649" spans="1:10" ht="13.5" thickBot="1">
      <c r="A10649" s="27"/>
      <c r="B10649" s="110"/>
      <c r="D10649" s="417"/>
      <c r="E10649" s="418"/>
      <c r="F10649" s="418"/>
      <c r="G10649" s="419"/>
      <c r="H10649" s="420" t="s">
        <v>64</v>
      </c>
      <c r="I10649" s="421"/>
      <c r="J10649" s="396">
        <f>SUM(J10648)</f>
        <v>0</v>
      </c>
    </row>
    <row r="10650" spans="1:10" ht="13">
      <c r="A10650" s="27"/>
      <c r="B10650" s="110"/>
      <c r="D10650" s="406" t="s">
        <v>65</v>
      </c>
      <c r="E10650" s="13" t="s">
        <v>66</v>
      </c>
      <c r="F10650" s="14"/>
      <c r="G10650" s="15"/>
      <c r="H10650" s="451"/>
      <c r="I10650" s="412"/>
      <c r="J10650" s="16"/>
    </row>
    <row r="10651" spans="1:10" ht="13.5" thickBot="1">
      <c r="A10651" s="27"/>
      <c r="B10651" s="110"/>
      <c r="D10651" s="409"/>
      <c r="E10651" s="13" t="s">
        <v>446</v>
      </c>
      <c r="F10651" s="14"/>
      <c r="G10651" s="410" t="s">
        <v>285</v>
      </c>
      <c r="H10651" s="411">
        <v>7.2999999999999995E-2</v>
      </c>
      <c r="I10651" s="412">
        <f>Alat!H102</f>
        <v>0</v>
      </c>
      <c r="J10651" s="16">
        <f>H10651*I10651</f>
        <v>0</v>
      </c>
    </row>
    <row r="10652" spans="1:10" ht="13.5" thickBot="1">
      <c r="A10652" s="27"/>
      <c r="B10652" s="110"/>
      <c r="D10652" s="417"/>
      <c r="E10652" s="418"/>
      <c r="F10652" s="418"/>
      <c r="G10652" s="419"/>
      <c r="H10652" s="420" t="s">
        <v>67</v>
      </c>
      <c r="I10652" s="421"/>
      <c r="J10652" s="396">
        <f>J10651</f>
        <v>0</v>
      </c>
    </row>
    <row r="10653" spans="1:10" ht="13">
      <c r="A10653" s="27"/>
      <c r="B10653" s="110"/>
      <c r="D10653" s="444" t="s">
        <v>68</v>
      </c>
      <c r="E10653" s="445" t="s">
        <v>69</v>
      </c>
      <c r="F10653" s="446"/>
      <c r="G10653" s="447"/>
      <c r="H10653" s="448"/>
      <c r="I10653" s="449">
        <f>IF(AND(E10653&lt;&gt;"",G10653&lt;&gt;""),IF(D10653="",IF(G10653="OH",VLOOKUP(E10653,UPAH!$C$4:$H$31,7,0),VLOOKUP(E10653,#REF!,4,0)),0),0)</f>
        <v>0</v>
      </c>
      <c r="J10653" s="16">
        <f>SUM(J10642:J10652)/2</f>
        <v>0</v>
      </c>
    </row>
    <row r="10654" spans="1:10" ht="13.5" thickBot="1">
      <c r="A10654" s="27"/>
      <c r="B10654" s="110"/>
      <c r="D10654" s="431" t="s">
        <v>70</v>
      </c>
      <c r="E10654" s="432" t="s">
        <v>477</v>
      </c>
      <c r="F10654" s="433"/>
      <c r="G10654" s="434"/>
      <c r="H10654" s="22">
        <v>0.1</v>
      </c>
      <c r="I10654" s="436"/>
      <c r="J10654" s="430">
        <f>H10654*J10653</f>
        <v>0</v>
      </c>
    </row>
    <row r="10655" spans="1:10" ht="13.5" thickBot="1">
      <c r="A10655" s="27"/>
      <c r="B10655" s="110"/>
      <c r="D10655" s="401" t="s">
        <v>71</v>
      </c>
      <c r="E10655" s="402" t="s">
        <v>72</v>
      </c>
      <c r="F10655" s="418"/>
      <c r="G10655" s="419"/>
      <c r="H10655" s="442"/>
      <c r="I10655" s="421">
        <f>IF(AND(E10655&lt;&gt;"",G10655&lt;&gt;""),IF(D10655="",IF(G10655="OH",VLOOKUP(E10655,UPAH!$C$4:$H$31,7,0),VLOOKUP(E10655,#REF!,4,0)),0),0)</f>
        <v>0</v>
      </c>
      <c r="J10655" s="396">
        <f>ROUNDDOWN(J10653+J10654,0)</f>
        <v>0</v>
      </c>
    </row>
    <row r="10656" spans="1:10" ht="13">
      <c r="A10656" s="27"/>
      <c r="B10656" s="110"/>
      <c r="D10656" s="11"/>
      <c r="E10656" s="11"/>
      <c r="H10656" s="443"/>
      <c r="I10656" s="17"/>
      <c r="J10656" s="18"/>
    </row>
    <row r="10657" spans="1:10" ht="13.5" thickBot="1">
      <c r="A10657" s="27"/>
      <c r="B10657" s="110"/>
      <c r="C10657" s="11" t="s">
        <v>1625</v>
      </c>
      <c r="D10657" s="10" t="s">
        <v>1671</v>
      </c>
      <c r="H10657" s="443"/>
    </row>
    <row r="10658" spans="1:10" ht="13.5" thickBot="1">
      <c r="A10658" s="27"/>
      <c r="B10658" s="110"/>
      <c r="D10658" s="401" t="s">
        <v>40</v>
      </c>
      <c r="E10658" s="402" t="s">
        <v>41</v>
      </c>
      <c r="F10658" s="402" t="s">
        <v>42</v>
      </c>
      <c r="G10658" s="403" t="s">
        <v>43</v>
      </c>
      <c r="H10658" s="404" t="s">
        <v>44</v>
      </c>
      <c r="I10658" s="402" t="s">
        <v>474</v>
      </c>
      <c r="J10658" s="405" t="s">
        <v>475</v>
      </c>
    </row>
    <row r="10659" spans="1:10" ht="13">
      <c r="A10659" s="27"/>
      <c r="B10659" s="110"/>
      <c r="D10659" s="444" t="s">
        <v>45</v>
      </c>
      <c r="E10659" s="445" t="s">
        <v>46</v>
      </c>
      <c r="F10659" s="446"/>
      <c r="G10659" s="447"/>
      <c r="H10659" s="448"/>
      <c r="I10659" s="449"/>
      <c r="J10659" s="450"/>
    </row>
    <row r="10660" spans="1:10" ht="13">
      <c r="A10660" s="27"/>
      <c r="B10660" s="110"/>
      <c r="D10660" s="409"/>
      <c r="E10660" s="13" t="s">
        <v>47</v>
      </c>
      <c r="F10660" s="13" t="s">
        <v>1918</v>
      </c>
      <c r="G10660" s="410" t="s">
        <v>48</v>
      </c>
      <c r="H10660" s="411">
        <v>0.51200000000000001</v>
      </c>
      <c r="I10660" s="412">
        <f>IF(AND(E10660&lt;&gt;"",G10660&lt;&gt;""),IF(D10660="",IF(G10660="OH",VLOOKUP(F10660,UPAH!$B$4:$H$101,7,0),VLOOKUP(F10660,#REF!,4,0)),0),0)</f>
        <v>0</v>
      </c>
      <c r="J10660" s="16">
        <f>H10660*I10660</f>
        <v>0</v>
      </c>
    </row>
    <row r="10661" spans="1:10" ht="13">
      <c r="A10661" s="27"/>
      <c r="B10661" s="110"/>
      <c r="D10661" s="409"/>
      <c r="E10661" s="13" t="s">
        <v>283</v>
      </c>
      <c r="F10661" s="13" t="s">
        <v>1913</v>
      </c>
      <c r="G10661" s="410" t="s">
        <v>48</v>
      </c>
      <c r="H10661" s="411">
        <v>0.10199999999999999</v>
      </c>
      <c r="I10661" s="412">
        <f>IF(AND(E10661&lt;&gt;"",G10661&lt;&gt;""),IF(D10661="",IF(G10661="OH",VLOOKUP(F10661,UPAH!$B$4:$H$101,7,0),VLOOKUP(F10661,#REF!,4,0)),0),0)</f>
        <v>0</v>
      </c>
      <c r="J10661" s="16">
        <f>H10661*I10661</f>
        <v>0</v>
      </c>
    </row>
    <row r="10662" spans="1:10" ht="13.5" thickBot="1">
      <c r="A10662" s="27"/>
      <c r="B10662" s="110"/>
      <c r="D10662" s="409"/>
      <c r="E10662" s="13" t="s">
        <v>51</v>
      </c>
      <c r="F10662" s="13" t="s">
        <v>1929</v>
      </c>
      <c r="G10662" s="410" t="s">
        <v>48</v>
      </c>
      <c r="H10662" s="411">
        <v>5.0999999999999997E-2</v>
      </c>
      <c r="I10662" s="412">
        <f>IF(AND(E10662&lt;&gt;"",G10662&lt;&gt;""),IF(D10662="",IF(G10662="OH",VLOOKUP(F10662,UPAH!$B$4:$H$101,7,0),VLOOKUP(F10662,#REF!,4,0)),0),0)</f>
        <v>0</v>
      </c>
      <c r="J10662" s="16">
        <f>H10662*I10662</f>
        <v>0</v>
      </c>
    </row>
    <row r="10663" spans="1:10" ht="13.5" thickBot="1">
      <c r="A10663" s="27"/>
      <c r="B10663" s="110"/>
      <c r="D10663" s="417"/>
      <c r="E10663" s="418"/>
      <c r="F10663" s="418"/>
      <c r="G10663" s="419"/>
      <c r="H10663" s="420" t="s">
        <v>52</v>
      </c>
      <c r="I10663" s="421"/>
      <c r="J10663" s="396">
        <f>SUM(J10659:J10662)</f>
        <v>0</v>
      </c>
    </row>
    <row r="10664" spans="1:10" ht="13">
      <c r="A10664" s="27"/>
      <c r="B10664" s="110"/>
      <c r="D10664" s="406" t="s">
        <v>53</v>
      </c>
      <c r="E10664" s="13" t="s">
        <v>54</v>
      </c>
      <c r="F10664" s="14"/>
      <c r="G10664" s="15"/>
      <c r="H10664" s="451"/>
      <c r="I10664" s="412"/>
      <c r="J10664" s="16"/>
    </row>
    <row r="10665" spans="1:10" ht="13.5" thickBot="1">
      <c r="A10665" s="27"/>
      <c r="B10665" s="110"/>
      <c r="D10665" s="409"/>
      <c r="E10665" s="13" t="s">
        <v>335</v>
      </c>
      <c r="F10665" s="14"/>
      <c r="G10665" s="410" t="s">
        <v>259</v>
      </c>
      <c r="H10665" s="411">
        <v>1</v>
      </c>
      <c r="I10665" s="412">
        <f>'BAHAN '!G1015</f>
        <v>0</v>
      </c>
      <c r="J10665" s="16">
        <f>H10665*I10665</f>
        <v>0</v>
      </c>
    </row>
    <row r="10666" spans="1:10" ht="13.5" thickBot="1">
      <c r="A10666" s="27"/>
      <c r="B10666" s="110"/>
      <c r="D10666" s="417"/>
      <c r="E10666" s="418"/>
      <c r="F10666" s="418"/>
      <c r="G10666" s="419"/>
      <c r="H10666" s="420" t="s">
        <v>64</v>
      </c>
      <c r="I10666" s="421"/>
      <c r="J10666" s="396">
        <f>SUM(J10665)</f>
        <v>0</v>
      </c>
    </row>
    <row r="10667" spans="1:10" ht="13">
      <c r="A10667" s="27"/>
      <c r="B10667" s="110"/>
      <c r="D10667" s="406" t="s">
        <v>65</v>
      </c>
      <c r="E10667" s="13" t="s">
        <v>66</v>
      </c>
      <c r="F10667" s="14"/>
      <c r="G10667" s="15"/>
      <c r="H10667" s="451"/>
      <c r="I10667" s="412"/>
      <c r="J10667" s="16"/>
    </row>
    <row r="10668" spans="1:10" ht="13.5" thickBot="1">
      <c r="A10668" s="27"/>
      <c r="B10668" s="110"/>
      <c r="D10668" s="409"/>
      <c r="E10668" s="13" t="s">
        <v>446</v>
      </c>
      <c r="F10668" s="14"/>
      <c r="G10668" s="410" t="s">
        <v>285</v>
      </c>
      <c r="H10668" s="411">
        <v>7.9000000000000001E-2</v>
      </c>
      <c r="I10668" s="412">
        <f>Alat!H102</f>
        <v>0</v>
      </c>
      <c r="J10668" s="16">
        <f>H10668*I10668</f>
        <v>0</v>
      </c>
    </row>
    <row r="10669" spans="1:10" ht="13.5" thickBot="1">
      <c r="A10669" s="27"/>
      <c r="B10669" s="110"/>
      <c r="D10669" s="417"/>
      <c r="E10669" s="418"/>
      <c r="F10669" s="418"/>
      <c r="G10669" s="419"/>
      <c r="H10669" s="420" t="s">
        <v>67</v>
      </c>
      <c r="I10669" s="421"/>
      <c r="J10669" s="396">
        <f>J10668</f>
        <v>0</v>
      </c>
    </row>
    <row r="10670" spans="1:10" ht="13">
      <c r="A10670" s="27"/>
      <c r="B10670" s="110"/>
      <c r="D10670" s="444" t="s">
        <v>68</v>
      </c>
      <c r="E10670" s="445" t="s">
        <v>69</v>
      </c>
      <c r="F10670" s="446"/>
      <c r="G10670" s="447"/>
      <c r="H10670" s="448"/>
      <c r="I10670" s="449">
        <f>IF(AND(E10670&lt;&gt;"",G10670&lt;&gt;""),IF(D10670="",IF(G10670="OH",VLOOKUP(E10670,UPAH!$C$4:$H$31,7,0),VLOOKUP(E10670,#REF!,4,0)),0),0)</f>
        <v>0</v>
      </c>
      <c r="J10670" s="16">
        <f>SUM(J10659:J10669)/2</f>
        <v>0</v>
      </c>
    </row>
    <row r="10671" spans="1:10" ht="13.5" thickBot="1">
      <c r="A10671" s="27"/>
      <c r="B10671" s="110"/>
      <c r="D10671" s="431" t="s">
        <v>70</v>
      </c>
      <c r="E10671" s="432" t="s">
        <v>477</v>
      </c>
      <c r="F10671" s="433"/>
      <c r="G10671" s="434"/>
      <c r="H10671" s="22">
        <v>0.1</v>
      </c>
      <c r="I10671" s="436"/>
      <c r="J10671" s="430">
        <f>H10671*J10670</f>
        <v>0</v>
      </c>
    </row>
    <row r="10672" spans="1:10" ht="13.5" thickBot="1">
      <c r="A10672" s="27"/>
      <c r="B10672" s="110"/>
      <c r="D10672" s="401" t="s">
        <v>71</v>
      </c>
      <c r="E10672" s="402" t="s">
        <v>72</v>
      </c>
      <c r="F10672" s="418"/>
      <c r="G10672" s="419"/>
      <c r="H10672" s="442"/>
      <c r="I10672" s="421">
        <f>IF(AND(E10672&lt;&gt;"",G10672&lt;&gt;""),IF(D10672="",IF(G10672="OH",VLOOKUP(E10672,UPAH!$C$4:$H$31,7,0),VLOOKUP(E10672,#REF!,4,0)),0),0)</f>
        <v>0</v>
      </c>
      <c r="J10672" s="396">
        <f>ROUNDDOWN(J10670+J10671,0)</f>
        <v>0</v>
      </c>
    </row>
    <row r="10673" spans="1:10" ht="13">
      <c r="A10673" s="27"/>
      <c r="B10673" s="110"/>
      <c r="D10673" s="11"/>
      <c r="E10673" s="11"/>
      <c r="H10673" s="443"/>
      <c r="I10673" s="17"/>
      <c r="J10673" s="18"/>
    </row>
    <row r="10674" spans="1:10" ht="13.5" thickBot="1">
      <c r="A10674" s="27"/>
      <c r="B10674" s="110"/>
      <c r="C10674" s="11" t="s">
        <v>1624</v>
      </c>
      <c r="D10674" s="10" t="s">
        <v>1670</v>
      </c>
      <c r="H10674" s="443"/>
    </row>
    <row r="10675" spans="1:10" ht="13.5" thickBot="1">
      <c r="A10675" s="27"/>
      <c r="B10675" s="110"/>
      <c r="D10675" s="401" t="s">
        <v>40</v>
      </c>
      <c r="E10675" s="402" t="s">
        <v>41</v>
      </c>
      <c r="F10675" s="402" t="s">
        <v>42</v>
      </c>
      <c r="G10675" s="403" t="s">
        <v>43</v>
      </c>
      <c r="H10675" s="404" t="s">
        <v>44</v>
      </c>
      <c r="I10675" s="402" t="s">
        <v>474</v>
      </c>
      <c r="J10675" s="405" t="s">
        <v>475</v>
      </c>
    </row>
    <row r="10676" spans="1:10" ht="13">
      <c r="A10676" s="27"/>
      <c r="B10676" s="110"/>
      <c r="D10676" s="444" t="s">
        <v>45</v>
      </c>
      <c r="E10676" s="445" t="s">
        <v>46</v>
      </c>
      <c r="F10676" s="446"/>
      <c r="G10676" s="447"/>
      <c r="H10676" s="448"/>
      <c r="I10676" s="449"/>
      <c r="J10676" s="450"/>
    </row>
    <row r="10677" spans="1:10" ht="13">
      <c r="A10677" s="27"/>
      <c r="B10677" s="110"/>
      <c r="D10677" s="409"/>
      <c r="E10677" s="13" t="s">
        <v>47</v>
      </c>
      <c r="F10677" s="13" t="s">
        <v>1918</v>
      </c>
      <c r="G10677" s="410" t="s">
        <v>48</v>
      </c>
      <c r="H10677" s="411">
        <v>0.94099999999999995</v>
      </c>
      <c r="I10677" s="412">
        <f>IF(AND(E10677&lt;&gt;"",G10677&lt;&gt;""),IF(D10677="",IF(G10677="OH",VLOOKUP(F10677,UPAH!$B$4:$H$101,7,0),VLOOKUP(F10677,#REF!,4,0)),0),0)</f>
        <v>0</v>
      </c>
      <c r="J10677" s="16">
        <f>H10677*I10677</f>
        <v>0</v>
      </c>
    </row>
    <row r="10678" spans="1:10" ht="13">
      <c r="A10678" s="27"/>
      <c r="B10678" s="110"/>
      <c r="D10678" s="409"/>
      <c r="E10678" s="13" t="s">
        <v>283</v>
      </c>
      <c r="F10678" s="13" t="s">
        <v>1913</v>
      </c>
      <c r="G10678" s="410" t="s">
        <v>48</v>
      </c>
      <c r="H10678" s="411">
        <v>0.188</v>
      </c>
      <c r="I10678" s="412">
        <f>IF(AND(E10678&lt;&gt;"",G10678&lt;&gt;""),IF(D10678="",IF(G10678="OH",VLOOKUP(F10678,UPAH!$B$4:$H$101,7,0),VLOOKUP(F10678,#REF!,4,0)),0),0)</f>
        <v>0</v>
      </c>
      <c r="J10678" s="16">
        <f>H10678*I10678</f>
        <v>0</v>
      </c>
    </row>
    <row r="10679" spans="1:10" ht="13.5" thickBot="1">
      <c r="A10679" s="27"/>
      <c r="B10679" s="110"/>
      <c r="D10679" s="409"/>
      <c r="E10679" s="13" t="s">
        <v>51</v>
      </c>
      <c r="F10679" s="13" t="s">
        <v>1929</v>
      </c>
      <c r="G10679" s="410" t="s">
        <v>48</v>
      </c>
      <c r="H10679" s="411">
        <v>9.4E-2</v>
      </c>
      <c r="I10679" s="412">
        <f>IF(AND(E10679&lt;&gt;"",G10679&lt;&gt;""),IF(D10679="",IF(G10679="OH",VLOOKUP(F10679,UPAH!$B$4:$H$101,7,0),VLOOKUP(F10679,#REF!,4,0)),0),0)</f>
        <v>0</v>
      </c>
      <c r="J10679" s="16">
        <f>H10679*I10679</f>
        <v>0</v>
      </c>
    </row>
    <row r="10680" spans="1:10" ht="13.5" thickBot="1">
      <c r="A10680" s="27"/>
      <c r="B10680" s="110"/>
      <c r="D10680" s="417"/>
      <c r="E10680" s="418"/>
      <c r="F10680" s="418"/>
      <c r="G10680" s="419"/>
      <c r="H10680" s="420" t="s">
        <v>52</v>
      </c>
      <c r="I10680" s="421"/>
      <c r="J10680" s="396">
        <f>SUM(J10676:J10679)</f>
        <v>0</v>
      </c>
    </row>
    <row r="10681" spans="1:10" ht="13">
      <c r="A10681" s="27"/>
      <c r="B10681" s="110"/>
      <c r="D10681" s="406" t="s">
        <v>53</v>
      </c>
      <c r="E10681" s="13" t="s">
        <v>54</v>
      </c>
      <c r="F10681" s="14"/>
      <c r="G10681" s="15"/>
      <c r="H10681" s="451"/>
      <c r="I10681" s="412"/>
      <c r="J10681" s="16"/>
    </row>
    <row r="10682" spans="1:10" ht="13.5" thickBot="1">
      <c r="A10682" s="27"/>
      <c r="B10682" s="110"/>
      <c r="D10682" s="409"/>
      <c r="E10682" s="13" t="s">
        <v>337</v>
      </c>
      <c r="F10682" s="14"/>
      <c r="G10682" s="410" t="s">
        <v>259</v>
      </c>
      <c r="H10682" s="411">
        <v>1</v>
      </c>
      <c r="I10682" s="412">
        <f>'BAHAN '!G1016</f>
        <v>0</v>
      </c>
      <c r="J10682" s="16">
        <f>H10682*I10682</f>
        <v>0</v>
      </c>
    </row>
    <row r="10683" spans="1:10" ht="13.5" thickBot="1">
      <c r="A10683" s="27"/>
      <c r="B10683" s="110"/>
      <c r="D10683" s="417"/>
      <c r="E10683" s="418"/>
      <c r="F10683" s="418"/>
      <c r="G10683" s="419"/>
      <c r="H10683" s="420" t="s">
        <v>64</v>
      </c>
      <c r="I10683" s="421"/>
      <c r="J10683" s="396">
        <f>SUM(J10682)</f>
        <v>0</v>
      </c>
    </row>
    <row r="10684" spans="1:10" ht="13">
      <c r="A10684" s="27"/>
      <c r="B10684" s="110"/>
      <c r="D10684" s="406" t="s">
        <v>65</v>
      </c>
      <c r="E10684" s="13" t="s">
        <v>66</v>
      </c>
      <c r="F10684" s="14"/>
      <c r="G10684" s="15"/>
      <c r="H10684" s="451"/>
      <c r="I10684" s="412"/>
      <c r="J10684" s="16"/>
    </row>
    <row r="10685" spans="1:10" ht="13.5" thickBot="1">
      <c r="A10685" s="27"/>
      <c r="B10685" s="110"/>
      <c r="D10685" s="409"/>
      <c r="E10685" s="13" t="s">
        <v>1075</v>
      </c>
      <c r="F10685" s="14"/>
      <c r="G10685" s="410" t="s">
        <v>285</v>
      </c>
      <c r="H10685" s="411">
        <v>0.158</v>
      </c>
      <c r="I10685" s="412">
        <f>Alat!H26</f>
        <v>0</v>
      </c>
      <c r="J10685" s="16">
        <f>H10685*I10685</f>
        <v>0</v>
      </c>
    </row>
    <row r="10686" spans="1:10" ht="13.5" thickBot="1">
      <c r="A10686" s="27"/>
      <c r="B10686" s="110"/>
      <c r="D10686" s="417"/>
      <c r="E10686" s="418"/>
      <c r="F10686" s="418"/>
      <c r="G10686" s="419"/>
      <c r="H10686" s="420" t="s">
        <v>67</v>
      </c>
      <c r="I10686" s="421"/>
      <c r="J10686" s="396">
        <f>J10685</f>
        <v>0</v>
      </c>
    </row>
    <row r="10687" spans="1:10" ht="13">
      <c r="A10687" s="27"/>
      <c r="B10687" s="110"/>
      <c r="D10687" s="444" t="s">
        <v>68</v>
      </c>
      <c r="E10687" s="445" t="s">
        <v>69</v>
      </c>
      <c r="F10687" s="446"/>
      <c r="G10687" s="447"/>
      <c r="H10687" s="448"/>
      <c r="I10687" s="449">
        <f>IF(AND(E10687&lt;&gt;"",G10687&lt;&gt;""),IF(D10687="",IF(G10687="OH",VLOOKUP(E10687,UPAH!$C$4:$H$31,7,0),VLOOKUP(E10687,#REF!,4,0)),0),0)</f>
        <v>0</v>
      </c>
      <c r="J10687" s="16">
        <f>SUM(J10676:J10686)/2</f>
        <v>0</v>
      </c>
    </row>
    <row r="10688" spans="1:10" ht="13.5" thickBot="1">
      <c r="A10688" s="27"/>
      <c r="B10688" s="110"/>
      <c r="D10688" s="431" t="s">
        <v>70</v>
      </c>
      <c r="E10688" s="432" t="s">
        <v>477</v>
      </c>
      <c r="F10688" s="433"/>
      <c r="G10688" s="434"/>
      <c r="H10688" s="22">
        <v>0.1</v>
      </c>
      <c r="I10688" s="436"/>
      <c r="J10688" s="430">
        <f>H10688*J10687</f>
        <v>0</v>
      </c>
    </row>
    <row r="10689" spans="1:10" ht="13.5" thickBot="1">
      <c r="A10689" s="27"/>
      <c r="B10689" s="110"/>
      <c r="D10689" s="401" t="s">
        <v>71</v>
      </c>
      <c r="E10689" s="402" t="s">
        <v>72</v>
      </c>
      <c r="F10689" s="418"/>
      <c r="G10689" s="419"/>
      <c r="H10689" s="442"/>
      <c r="I10689" s="421">
        <f>IF(AND(E10689&lt;&gt;"",G10689&lt;&gt;""),IF(D10689="",IF(G10689="OH",VLOOKUP(E10689,UPAH!$C$4:$H$31,7,0),VLOOKUP(E10689,#REF!,4,0)),0),0)</f>
        <v>0</v>
      </c>
      <c r="J10689" s="396">
        <f>ROUNDDOWN(J10687+J10688,0)</f>
        <v>0</v>
      </c>
    </row>
    <row r="10690" spans="1:10" ht="13">
      <c r="A10690" s="27"/>
      <c r="B10690" s="110"/>
      <c r="D10690" s="11"/>
      <c r="E10690" s="11"/>
      <c r="H10690" s="443"/>
      <c r="I10690" s="17"/>
      <c r="J10690" s="18"/>
    </row>
    <row r="10691" spans="1:10" ht="13.5" thickBot="1">
      <c r="A10691" s="27"/>
      <c r="B10691" s="110"/>
      <c r="C10691" s="11" t="s">
        <v>1623</v>
      </c>
      <c r="D10691" s="10" t="s">
        <v>1669</v>
      </c>
      <c r="H10691" s="443"/>
    </row>
    <row r="10692" spans="1:10" ht="13.5" thickBot="1">
      <c r="A10692" s="27"/>
      <c r="B10692" s="110"/>
      <c r="D10692" s="401" t="s">
        <v>40</v>
      </c>
      <c r="E10692" s="402" t="s">
        <v>41</v>
      </c>
      <c r="F10692" s="402" t="s">
        <v>42</v>
      </c>
      <c r="G10692" s="403" t="s">
        <v>43</v>
      </c>
      <c r="H10692" s="404" t="s">
        <v>44</v>
      </c>
      <c r="I10692" s="402" t="s">
        <v>474</v>
      </c>
      <c r="J10692" s="405" t="s">
        <v>475</v>
      </c>
    </row>
    <row r="10693" spans="1:10" ht="13">
      <c r="A10693" s="27"/>
      <c r="B10693" s="110"/>
      <c r="D10693" s="444" t="s">
        <v>45</v>
      </c>
      <c r="E10693" s="445" t="s">
        <v>46</v>
      </c>
      <c r="F10693" s="446"/>
      <c r="G10693" s="447"/>
      <c r="H10693" s="448"/>
      <c r="I10693" s="449"/>
      <c r="J10693" s="450"/>
    </row>
    <row r="10694" spans="1:10" ht="13">
      <c r="A10694" s="27"/>
      <c r="B10694" s="110"/>
      <c r="D10694" s="409"/>
      <c r="E10694" s="13" t="s">
        <v>47</v>
      </c>
      <c r="F10694" s="13" t="s">
        <v>1918</v>
      </c>
      <c r="G10694" s="410" t="s">
        <v>48</v>
      </c>
      <c r="H10694" s="411">
        <v>1.137</v>
      </c>
      <c r="I10694" s="412">
        <f>IF(AND(E10694&lt;&gt;"",G10694&lt;&gt;""),IF(D10694="",IF(G10694="OH",VLOOKUP(F10694,UPAH!$B$4:$H$101,7,0),VLOOKUP(F10694,#REF!,4,0)),0),0)</f>
        <v>0</v>
      </c>
      <c r="J10694" s="16">
        <f>H10694*I10694</f>
        <v>0</v>
      </c>
    </row>
    <row r="10695" spans="1:10" ht="13">
      <c r="A10695" s="27"/>
      <c r="B10695" s="110"/>
      <c r="D10695" s="409"/>
      <c r="E10695" s="13" t="s">
        <v>283</v>
      </c>
      <c r="F10695" s="13" t="s">
        <v>1913</v>
      </c>
      <c r="G10695" s="410" t="s">
        <v>48</v>
      </c>
      <c r="H10695" s="411">
        <v>0.22700000000000001</v>
      </c>
      <c r="I10695" s="412">
        <f>IF(AND(E10695&lt;&gt;"",G10695&lt;&gt;""),IF(D10695="",IF(G10695="OH",VLOOKUP(F10695,UPAH!$B$4:$H$101,7,0),VLOOKUP(F10695,#REF!,4,0)),0),0)</f>
        <v>0</v>
      </c>
      <c r="J10695" s="16">
        <f>H10695*I10695</f>
        <v>0</v>
      </c>
    </row>
    <row r="10696" spans="1:10" ht="13.5" thickBot="1">
      <c r="A10696" s="27"/>
      <c r="B10696" s="110"/>
      <c r="D10696" s="409"/>
      <c r="E10696" s="13" t="s">
        <v>51</v>
      </c>
      <c r="F10696" s="13" t="s">
        <v>1929</v>
      </c>
      <c r="G10696" s="410" t="s">
        <v>48</v>
      </c>
      <c r="H10696" s="411">
        <v>0.114</v>
      </c>
      <c r="I10696" s="412">
        <f>IF(AND(E10696&lt;&gt;"",G10696&lt;&gt;""),IF(D10696="",IF(G10696="OH",VLOOKUP(F10696,UPAH!$B$4:$H$101,7,0),VLOOKUP(F10696,#REF!,4,0)),0),0)</f>
        <v>0</v>
      </c>
      <c r="J10696" s="16">
        <f>H10696*I10696</f>
        <v>0</v>
      </c>
    </row>
    <row r="10697" spans="1:10" ht="13.5" thickBot="1">
      <c r="A10697" s="27"/>
      <c r="B10697" s="110"/>
      <c r="D10697" s="417"/>
      <c r="E10697" s="418"/>
      <c r="F10697" s="418"/>
      <c r="G10697" s="419"/>
      <c r="H10697" s="420" t="s">
        <v>52</v>
      </c>
      <c r="I10697" s="421"/>
      <c r="J10697" s="396">
        <f>SUM(J10693:J10696)</f>
        <v>0</v>
      </c>
    </row>
    <row r="10698" spans="1:10" ht="13">
      <c r="A10698" s="27"/>
      <c r="B10698" s="110"/>
      <c r="D10698" s="406" t="s">
        <v>53</v>
      </c>
      <c r="E10698" s="13" t="s">
        <v>54</v>
      </c>
      <c r="F10698" s="14"/>
      <c r="G10698" s="15"/>
      <c r="H10698" s="451"/>
      <c r="I10698" s="412"/>
      <c r="J10698" s="16"/>
    </row>
    <row r="10699" spans="1:10" ht="13.5" thickBot="1">
      <c r="A10699" s="27"/>
      <c r="B10699" s="110"/>
      <c r="D10699" s="409"/>
      <c r="E10699" s="13" t="s">
        <v>338</v>
      </c>
      <c r="F10699" s="14"/>
      <c r="G10699" s="410" t="s">
        <v>259</v>
      </c>
      <c r="H10699" s="411">
        <v>1</v>
      </c>
      <c r="I10699" s="412">
        <f>'BAHAN '!G1017</f>
        <v>0</v>
      </c>
      <c r="J10699" s="16">
        <f>H10699*I10699</f>
        <v>0</v>
      </c>
    </row>
    <row r="10700" spans="1:10" ht="13.5" thickBot="1">
      <c r="A10700" s="27"/>
      <c r="B10700" s="110"/>
      <c r="D10700" s="417"/>
      <c r="E10700" s="418"/>
      <c r="F10700" s="418"/>
      <c r="G10700" s="419"/>
      <c r="H10700" s="420" t="s">
        <v>64</v>
      </c>
      <c r="I10700" s="421"/>
      <c r="J10700" s="396">
        <f>SUM(J10699)</f>
        <v>0</v>
      </c>
    </row>
    <row r="10701" spans="1:10" ht="13">
      <c r="A10701" s="27"/>
      <c r="B10701" s="110"/>
      <c r="D10701" s="406" t="s">
        <v>65</v>
      </c>
      <c r="E10701" s="13" t="s">
        <v>66</v>
      </c>
      <c r="F10701" s="14"/>
      <c r="G10701" s="15"/>
      <c r="H10701" s="451"/>
      <c r="I10701" s="412"/>
      <c r="J10701" s="16"/>
    </row>
    <row r="10702" spans="1:10" ht="13.5" thickBot="1">
      <c r="A10702" s="27"/>
      <c r="B10702" s="110"/>
      <c r="D10702" s="409"/>
      <c r="E10702" s="13" t="s">
        <v>1075</v>
      </c>
      <c r="F10702" s="14"/>
      <c r="G10702" s="410" t="s">
        <v>285</v>
      </c>
      <c r="H10702" s="411">
        <v>0.17599999999999999</v>
      </c>
      <c r="I10702" s="412">
        <f>Alat!H26</f>
        <v>0</v>
      </c>
      <c r="J10702" s="16">
        <f>H10702*I10702</f>
        <v>0</v>
      </c>
    </row>
    <row r="10703" spans="1:10" ht="13.5" thickBot="1">
      <c r="A10703" s="27"/>
      <c r="B10703" s="110"/>
      <c r="D10703" s="417"/>
      <c r="E10703" s="418"/>
      <c r="F10703" s="418"/>
      <c r="G10703" s="419"/>
      <c r="H10703" s="420" t="s">
        <v>67</v>
      </c>
      <c r="I10703" s="421"/>
      <c r="J10703" s="396">
        <f>J10702</f>
        <v>0</v>
      </c>
    </row>
    <row r="10704" spans="1:10" ht="13">
      <c r="A10704" s="27"/>
      <c r="B10704" s="110"/>
      <c r="D10704" s="444" t="s">
        <v>68</v>
      </c>
      <c r="E10704" s="445" t="s">
        <v>69</v>
      </c>
      <c r="F10704" s="446"/>
      <c r="G10704" s="447"/>
      <c r="H10704" s="448"/>
      <c r="I10704" s="449">
        <f>IF(AND(E10704&lt;&gt;"",G10704&lt;&gt;""),IF(D10704="",IF(G10704="OH",VLOOKUP(E10704,UPAH!$C$4:$H$31,7,0),VLOOKUP(E10704,#REF!,4,0)),0),0)</f>
        <v>0</v>
      </c>
      <c r="J10704" s="16">
        <f>SUM(J10693:J10703)/2</f>
        <v>0</v>
      </c>
    </row>
    <row r="10705" spans="1:10" ht="13.5" thickBot="1">
      <c r="A10705" s="27"/>
      <c r="B10705" s="110"/>
      <c r="D10705" s="431" t="s">
        <v>70</v>
      </c>
      <c r="E10705" s="432" t="s">
        <v>477</v>
      </c>
      <c r="F10705" s="433"/>
      <c r="G10705" s="434"/>
      <c r="H10705" s="22">
        <v>0.1</v>
      </c>
      <c r="I10705" s="436"/>
      <c r="J10705" s="430">
        <f>H10705*J10704</f>
        <v>0</v>
      </c>
    </row>
    <row r="10706" spans="1:10" ht="13.5" thickBot="1">
      <c r="A10706" s="27"/>
      <c r="B10706" s="110"/>
      <c r="D10706" s="401" t="s">
        <v>71</v>
      </c>
      <c r="E10706" s="402" t="s">
        <v>72</v>
      </c>
      <c r="F10706" s="418"/>
      <c r="G10706" s="419"/>
      <c r="H10706" s="442"/>
      <c r="I10706" s="421">
        <f>IF(AND(E10706&lt;&gt;"",G10706&lt;&gt;""),IF(D10706="",IF(G10706="OH",VLOOKUP(E10706,UPAH!$C$4:$H$31,7,0),VLOOKUP(E10706,#REF!,4,0)),0),0)</f>
        <v>0</v>
      </c>
      <c r="J10706" s="396">
        <f>ROUNDDOWN(J10704+J10705,0)</f>
        <v>0</v>
      </c>
    </row>
    <row r="10707" spans="1:10" ht="13">
      <c r="A10707" s="27"/>
      <c r="B10707" s="110"/>
      <c r="D10707" s="11"/>
      <c r="E10707" s="11"/>
      <c r="H10707" s="443"/>
      <c r="I10707" s="17"/>
      <c r="J10707" s="18"/>
    </row>
    <row r="10708" spans="1:10" ht="13.5" thickBot="1">
      <c r="A10708" s="27"/>
      <c r="B10708" s="110"/>
      <c r="C10708" s="11" t="s">
        <v>1622</v>
      </c>
      <c r="D10708" s="10" t="s">
        <v>1668</v>
      </c>
      <c r="H10708" s="443"/>
    </row>
    <row r="10709" spans="1:10" ht="13.5" thickBot="1">
      <c r="A10709" s="27"/>
      <c r="B10709" s="110"/>
      <c r="D10709" s="401" t="s">
        <v>40</v>
      </c>
      <c r="E10709" s="402" t="s">
        <v>41</v>
      </c>
      <c r="F10709" s="402" t="s">
        <v>42</v>
      </c>
      <c r="G10709" s="403" t="s">
        <v>43</v>
      </c>
      <c r="H10709" s="404" t="s">
        <v>44</v>
      </c>
      <c r="I10709" s="402" t="s">
        <v>474</v>
      </c>
      <c r="J10709" s="405" t="s">
        <v>475</v>
      </c>
    </row>
    <row r="10710" spans="1:10" ht="13">
      <c r="A10710" s="27"/>
      <c r="B10710" s="110"/>
      <c r="D10710" s="444" t="s">
        <v>45</v>
      </c>
      <c r="E10710" s="445" t="s">
        <v>46</v>
      </c>
      <c r="F10710" s="446"/>
      <c r="G10710" s="447"/>
      <c r="H10710" s="448"/>
      <c r="I10710" s="449"/>
      <c r="J10710" s="450"/>
    </row>
    <row r="10711" spans="1:10" ht="13">
      <c r="A10711" s="27"/>
      <c r="B10711" s="110"/>
      <c r="D10711" s="409"/>
      <c r="E10711" s="13" t="s">
        <v>47</v>
      </c>
      <c r="F10711" s="13" t="s">
        <v>1918</v>
      </c>
      <c r="G10711" s="410" t="s">
        <v>48</v>
      </c>
      <c r="H10711" s="411">
        <v>1.3120000000000001</v>
      </c>
      <c r="I10711" s="412">
        <f>IF(AND(E10711&lt;&gt;"",G10711&lt;&gt;""),IF(D10711="",IF(G10711="OH",VLOOKUP(F10711,UPAH!$B$4:$H$101,7,0),VLOOKUP(F10711,#REF!,4,0)),0),0)</f>
        <v>0</v>
      </c>
      <c r="J10711" s="16">
        <f>H10711*I10711</f>
        <v>0</v>
      </c>
    </row>
    <row r="10712" spans="1:10" ht="13">
      <c r="A10712" s="27"/>
      <c r="B10712" s="110"/>
      <c r="D10712" s="409"/>
      <c r="E10712" s="13" t="s">
        <v>283</v>
      </c>
      <c r="F10712" s="13" t="s">
        <v>1913</v>
      </c>
      <c r="G10712" s="410" t="s">
        <v>48</v>
      </c>
      <c r="H10712" s="411">
        <v>0.26200000000000001</v>
      </c>
      <c r="I10712" s="412">
        <f>IF(AND(E10712&lt;&gt;"",G10712&lt;&gt;""),IF(D10712="",IF(G10712="OH",VLOOKUP(F10712,UPAH!$B$4:$H$101,7,0),VLOOKUP(F10712,#REF!,4,0)),0),0)</f>
        <v>0</v>
      </c>
      <c r="J10712" s="16">
        <f>H10712*I10712</f>
        <v>0</v>
      </c>
    </row>
    <row r="10713" spans="1:10" ht="13.5" thickBot="1">
      <c r="A10713" s="27"/>
      <c r="B10713" s="110"/>
      <c r="D10713" s="409"/>
      <c r="E10713" s="13" t="s">
        <v>51</v>
      </c>
      <c r="F10713" s="13" t="s">
        <v>1929</v>
      </c>
      <c r="G10713" s="410" t="s">
        <v>48</v>
      </c>
      <c r="H10713" s="411">
        <v>0.13100000000000001</v>
      </c>
      <c r="I10713" s="412">
        <f>IF(AND(E10713&lt;&gt;"",G10713&lt;&gt;""),IF(D10713="",IF(G10713="OH",VLOOKUP(F10713,UPAH!$B$4:$H$101,7,0),VLOOKUP(F10713,#REF!,4,0)),0),0)</f>
        <v>0</v>
      </c>
      <c r="J10713" s="16">
        <f>H10713*I10713</f>
        <v>0</v>
      </c>
    </row>
    <row r="10714" spans="1:10" ht="13.5" thickBot="1">
      <c r="A10714" s="27"/>
      <c r="B10714" s="110"/>
      <c r="D10714" s="417"/>
      <c r="E10714" s="418"/>
      <c r="F10714" s="418"/>
      <c r="G10714" s="419"/>
      <c r="H10714" s="420" t="s">
        <v>52</v>
      </c>
      <c r="I10714" s="421"/>
      <c r="J10714" s="396">
        <f>SUM(J10710:J10713)</f>
        <v>0</v>
      </c>
    </row>
    <row r="10715" spans="1:10" ht="13">
      <c r="A10715" s="27"/>
      <c r="B10715" s="110"/>
      <c r="D10715" s="406" t="s">
        <v>53</v>
      </c>
      <c r="E10715" s="13" t="s">
        <v>54</v>
      </c>
      <c r="F10715" s="14"/>
      <c r="G10715" s="15"/>
      <c r="H10715" s="451"/>
      <c r="I10715" s="412"/>
      <c r="J10715" s="16"/>
    </row>
    <row r="10716" spans="1:10" ht="13.5" thickBot="1">
      <c r="A10716" s="27"/>
      <c r="B10716" s="110"/>
      <c r="D10716" s="409"/>
      <c r="E10716" s="13" t="s">
        <v>339</v>
      </c>
      <c r="F10716" s="14"/>
      <c r="G10716" s="410" t="s">
        <v>259</v>
      </c>
      <c r="H10716" s="411">
        <v>1</v>
      </c>
      <c r="I10716" s="412">
        <f>'BAHAN '!G1018</f>
        <v>0</v>
      </c>
      <c r="J10716" s="16">
        <f>H10716*I10716</f>
        <v>0</v>
      </c>
    </row>
    <row r="10717" spans="1:10" ht="13.5" thickBot="1">
      <c r="A10717" s="27"/>
      <c r="B10717" s="110"/>
      <c r="D10717" s="417"/>
      <c r="E10717" s="418"/>
      <c r="F10717" s="418"/>
      <c r="G10717" s="419"/>
      <c r="H10717" s="420" t="s">
        <v>64</v>
      </c>
      <c r="I10717" s="421"/>
      <c r="J10717" s="396">
        <f>SUM(J10716)</f>
        <v>0</v>
      </c>
    </row>
    <row r="10718" spans="1:10" ht="13">
      <c r="A10718" s="27"/>
      <c r="B10718" s="110"/>
      <c r="D10718" s="406" t="s">
        <v>65</v>
      </c>
      <c r="E10718" s="13" t="s">
        <v>66</v>
      </c>
      <c r="F10718" s="14"/>
      <c r="G10718" s="15"/>
      <c r="H10718" s="451"/>
      <c r="I10718" s="412"/>
      <c r="J10718" s="16"/>
    </row>
    <row r="10719" spans="1:10" ht="13.5" thickBot="1">
      <c r="A10719" s="27"/>
      <c r="B10719" s="110"/>
      <c r="D10719" s="409"/>
      <c r="E10719" s="13" t="s">
        <v>1075</v>
      </c>
      <c r="F10719" s="14"/>
      <c r="G10719" s="410" t="s">
        <v>285</v>
      </c>
      <c r="H10719" s="411">
        <v>0.192</v>
      </c>
      <c r="I10719" s="412">
        <f>Alat!H26</f>
        <v>0</v>
      </c>
      <c r="J10719" s="16">
        <f>H10719*I10719</f>
        <v>0</v>
      </c>
    </row>
    <row r="10720" spans="1:10" ht="13.5" thickBot="1">
      <c r="A10720" s="27"/>
      <c r="B10720" s="110"/>
      <c r="D10720" s="417"/>
      <c r="E10720" s="418"/>
      <c r="F10720" s="418"/>
      <c r="G10720" s="419"/>
      <c r="H10720" s="420" t="s">
        <v>67</v>
      </c>
      <c r="I10720" s="421"/>
      <c r="J10720" s="396">
        <f>J10719</f>
        <v>0</v>
      </c>
    </row>
    <row r="10721" spans="1:10" ht="13">
      <c r="A10721" s="27"/>
      <c r="B10721" s="110"/>
      <c r="D10721" s="444" t="s">
        <v>68</v>
      </c>
      <c r="E10721" s="445" t="s">
        <v>69</v>
      </c>
      <c r="F10721" s="446"/>
      <c r="G10721" s="447"/>
      <c r="H10721" s="448"/>
      <c r="I10721" s="449">
        <f>IF(AND(E10721&lt;&gt;"",G10721&lt;&gt;""),IF(D10721="",IF(G10721="OH",VLOOKUP(E10721,UPAH!$C$4:$H$31,7,0),VLOOKUP(E10721,#REF!,4,0)),0),0)</f>
        <v>0</v>
      </c>
      <c r="J10721" s="16">
        <f>SUM(J10710:J10720)/2</f>
        <v>0</v>
      </c>
    </row>
    <row r="10722" spans="1:10" ht="13.5" thickBot="1">
      <c r="A10722" s="27"/>
      <c r="B10722" s="110"/>
      <c r="D10722" s="431" t="s">
        <v>70</v>
      </c>
      <c r="E10722" s="432" t="s">
        <v>477</v>
      </c>
      <c r="F10722" s="433"/>
      <c r="G10722" s="434"/>
      <c r="H10722" s="22">
        <v>0.1</v>
      </c>
      <c r="I10722" s="436"/>
      <c r="J10722" s="430">
        <f>H10722*J10721</f>
        <v>0</v>
      </c>
    </row>
    <row r="10723" spans="1:10" ht="13.5" thickBot="1">
      <c r="A10723" s="27"/>
      <c r="B10723" s="110"/>
      <c r="D10723" s="401" t="s">
        <v>71</v>
      </c>
      <c r="E10723" s="402" t="s">
        <v>72</v>
      </c>
      <c r="F10723" s="418"/>
      <c r="G10723" s="419"/>
      <c r="H10723" s="442"/>
      <c r="I10723" s="421">
        <f>IF(AND(E10723&lt;&gt;"",G10723&lt;&gt;""),IF(D10723="",IF(G10723="OH",VLOOKUP(E10723,UPAH!$C$4:$H$31,7,0),VLOOKUP(E10723,#REF!,4,0)),0),0)</f>
        <v>0</v>
      </c>
      <c r="J10723" s="396">
        <f>ROUNDDOWN(J10721+J10722,0)</f>
        <v>0</v>
      </c>
    </row>
    <row r="10724" spans="1:10" ht="13">
      <c r="A10724" s="27"/>
      <c r="B10724" s="110"/>
      <c r="D10724" s="11"/>
      <c r="E10724" s="11"/>
      <c r="H10724" s="443"/>
      <c r="I10724" s="17"/>
      <c r="J10724" s="18"/>
    </row>
    <row r="10725" spans="1:10" ht="13.5" thickBot="1">
      <c r="A10725" s="27"/>
      <c r="B10725" s="110"/>
      <c r="C10725" s="11" t="s">
        <v>1621</v>
      </c>
      <c r="D10725" s="10" t="s">
        <v>1672</v>
      </c>
      <c r="H10725" s="443"/>
    </row>
    <row r="10726" spans="1:10" ht="13.5" thickBot="1">
      <c r="A10726" s="27"/>
      <c r="B10726" s="110"/>
      <c r="D10726" s="401" t="s">
        <v>40</v>
      </c>
      <c r="E10726" s="402" t="s">
        <v>41</v>
      </c>
      <c r="F10726" s="402" t="s">
        <v>42</v>
      </c>
      <c r="G10726" s="403" t="s">
        <v>43</v>
      </c>
      <c r="H10726" s="404" t="s">
        <v>44</v>
      </c>
      <c r="I10726" s="402" t="s">
        <v>474</v>
      </c>
      <c r="J10726" s="405" t="s">
        <v>475</v>
      </c>
    </row>
    <row r="10727" spans="1:10" ht="13">
      <c r="A10727" s="27"/>
      <c r="B10727" s="110"/>
      <c r="D10727" s="444" t="s">
        <v>45</v>
      </c>
      <c r="E10727" s="445" t="s">
        <v>46</v>
      </c>
      <c r="F10727" s="446"/>
      <c r="G10727" s="447"/>
      <c r="H10727" s="448"/>
      <c r="I10727" s="449"/>
      <c r="J10727" s="450"/>
    </row>
    <row r="10728" spans="1:10" ht="13">
      <c r="A10728" s="27"/>
      <c r="B10728" s="110"/>
      <c r="D10728" s="409"/>
      <c r="E10728" s="13" t="s">
        <v>47</v>
      </c>
      <c r="F10728" s="13" t="s">
        <v>1918</v>
      </c>
      <c r="G10728" s="410" t="s">
        <v>48</v>
      </c>
      <c r="H10728" s="411">
        <v>1.3089999999999999</v>
      </c>
      <c r="I10728" s="412">
        <f>IF(AND(E10728&lt;&gt;"",G10728&lt;&gt;""),IF(D10728="",IF(G10728="OH",VLOOKUP(F10728,UPAH!$B$4:$H$101,7,0),VLOOKUP(F10728,#REF!,4,0)),0),0)</f>
        <v>0</v>
      </c>
      <c r="J10728" s="16">
        <f>H10728*I10728</f>
        <v>0</v>
      </c>
    </row>
    <row r="10729" spans="1:10" ht="13">
      <c r="A10729" s="27"/>
      <c r="B10729" s="110"/>
      <c r="D10729" s="409"/>
      <c r="E10729" s="13" t="s">
        <v>283</v>
      </c>
      <c r="F10729" s="13" t="s">
        <v>1913</v>
      </c>
      <c r="G10729" s="410" t="s">
        <v>48</v>
      </c>
      <c r="H10729" s="411">
        <v>0.26200000000000001</v>
      </c>
      <c r="I10729" s="412">
        <f>IF(AND(E10729&lt;&gt;"",G10729&lt;&gt;""),IF(D10729="",IF(G10729="OH",VLOOKUP(F10729,UPAH!$B$4:$H$101,7,0),VLOOKUP(F10729,#REF!,4,0)),0),0)</f>
        <v>0</v>
      </c>
      <c r="J10729" s="16">
        <f>H10729*I10729</f>
        <v>0</v>
      </c>
    </row>
    <row r="10730" spans="1:10" ht="13.5" thickBot="1">
      <c r="A10730" s="27"/>
      <c r="B10730" s="110"/>
      <c r="D10730" s="409"/>
      <c r="E10730" s="13" t="s">
        <v>51</v>
      </c>
      <c r="F10730" s="13" t="s">
        <v>1929</v>
      </c>
      <c r="G10730" s="410" t="s">
        <v>48</v>
      </c>
      <c r="H10730" s="411">
        <v>0.13100000000000001</v>
      </c>
      <c r="I10730" s="412">
        <f>IF(AND(E10730&lt;&gt;"",G10730&lt;&gt;""),IF(D10730="",IF(G10730="OH",VLOOKUP(F10730,UPAH!$B$4:$H$101,7,0),VLOOKUP(F10730,#REF!,4,0)),0),0)</f>
        <v>0</v>
      </c>
      <c r="J10730" s="16">
        <f>H10730*I10730</f>
        <v>0</v>
      </c>
    </row>
    <row r="10731" spans="1:10" ht="13.5" thickBot="1">
      <c r="A10731" s="27"/>
      <c r="B10731" s="110"/>
      <c r="D10731" s="417"/>
      <c r="E10731" s="418"/>
      <c r="F10731" s="418"/>
      <c r="G10731" s="419"/>
      <c r="H10731" s="420" t="s">
        <v>52</v>
      </c>
      <c r="I10731" s="421"/>
      <c r="J10731" s="396">
        <f>SUM(J10727:J10730)</f>
        <v>0</v>
      </c>
    </row>
    <row r="10732" spans="1:10" ht="13">
      <c r="A10732" s="27"/>
      <c r="B10732" s="110"/>
      <c r="D10732" s="406" t="s">
        <v>53</v>
      </c>
      <c r="E10732" s="13" t="s">
        <v>54</v>
      </c>
      <c r="F10732" s="14"/>
      <c r="G10732" s="15"/>
      <c r="H10732" s="451"/>
      <c r="I10732" s="412"/>
      <c r="J10732" s="16"/>
    </row>
    <row r="10733" spans="1:10" ht="13.5" thickBot="1">
      <c r="A10733" s="27"/>
      <c r="B10733" s="110"/>
      <c r="D10733" s="409"/>
      <c r="E10733" s="13" t="s">
        <v>340</v>
      </c>
      <c r="F10733" s="14"/>
      <c r="G10733" s="410" t="s">
        <v>259</v>
      </c>
      <c r="H10733" s="411">
        <v>1</v>
      </c>
      <c r="I10733" s="412">
        <f>'BAHAN '!G1019</f>
        <v>0</v>
      </c>
      <c r="J10733" s="16">
        <f>H10733*I10733</f>
        <v>0</v>
      </c>
    </row>
    <row r="10734" spans="1:10" ht="13.5" thickBot="1">
      <c r="A10734" s="27"/>
      <c r="B10734" s="110"/>
      <c r="D10734" s="417"/>
      <c r="E10734" s="418"/>
      <c r="F10734" s="418"/>
      <c r="G10734" s="419"/>
      <c r="H10734" s="420" t="s">
        <v>64</v>
      </c>
      <c r="I10734" s="421"/>
      <c r="J10734" s="396">
        <f>SUM(J10733)</f>
        <v>0</v>
      </c>
    </row>
    <row r="10735" spans="1:10" ht="13">
      <c r="A10735" s="27"/>
      <c r="B10735" s="110"/>
      <c r="D10735" s="406" t="s">
        <v>65</v>
      </c>
      <c r="E10735" s="13" t="s">
        <v>66</v>
      </c>
      <c r="F10735" s="14"/>
      <c r="G10735" s="15"/>
      <c r="H10735" s="451"/>
      <c r="I10735" s="412"/>
      <c r="J10735" s="16"/>
    </row>
    <row r="10736" spans="1:10" ht="13.5" thickBot="1">
      <c r="A10736" s="27"/>
      <c r="B10736" s="110"/>
      <c r="D10736" s="409"/>
      <c r="E10736" s="13" t="s">
        <v>1075</v>
      </c>
      <c r="F10736" s="14"/>
      <c r="G10736" s="410" t="s">
        <v>285</v>
      </c>
      <c r="H10736" s="411">
        <v>0.192</v>
      </c>
      <c r="I10736" s="412">
        <f>Alat!H26</f>
        <v>0</v>
      </c>
      <c r="J10736" s="16">
        <f>H10736*I10736</f>
        <v>0</v>
      </c>
    </row>
    <row r="10737" spans="1:10" ht="13.5" thickBot="1">
      <c r="A10737" s="27"/>
      <c r="B10737" s="110"/>
      <c r="D10737" s="417"/>
      <c r="E10737" s="418"/>
      <c r="F10737" s="418"/>
      <c r="G10737" s="419"/>
      <c r="H10737" s="420" t="s">
        <v>67</v>
      </c>
      <c r="I10737" s="421"/>
      <c r="J10737" s="396">
        <f>J10736</f>
        <v>0</v>
      </c>
    </row>
    <row r="10738" spans="1:10" ht="13">
      <c r="A10738" s="27"/>
      <c r="B10738" s="110"/>
      <c r="D10738" s="444" t="s">
        <v>68</v>
      </c>
      <c r="E10738" s="445" t="s">
        <v>69</v>
      </c>
      <c r="F10738" s="446"/>
      <c r="G10738" s="447"/>
      <c r="H10738" s="448"/>
      <c r="I10738" s="449">
        <f>IF(AND(E10738&lt;&gt;"",G10738&lt;&gt;""),IF(D10738="",IF(G10738="OH",VLOOKUP(E10738,UPAH!$C$4:$H$31,7,0),VLOOKUP(E10738,#REF!,4,0)),0),0)</f>
        <v>0</v>
      </c>
      <c r="J10738" s="16">
        <f>SUM(J10727:J10737)/2</f>
        <v>0</v>
      </c>
    </row>
    <row r="10739" spans="1:10" ht="13.5" thickBot="1">
      <c r="A10739" s="27"/>
      <c r="B10739" s="110"/>
      <c r="D10739" s="431" t="s">
        <v>70</v>
      </c>
      <c r="E10739" s="432" t="s">
        <v>477</v>
      </c>
      <c r="F10739" s="433"/>
      <c r="G10739" s="434"/>
      <c r="H10739" s="22">
        <v>0.1</v>
      </c>
      <c r="I10739" s="436"/>
      <c r="J10739" s="430">
        <f>H10739*J10738</f>
        <v>0</v>
      </c>
    </row>
    <row r="10740" spans="1:10" ht="13.5" thickBot="1">
      <c r="A10740" s="27"/>
      <c r="B10740" s="110"/>
      <c r="D10740" s="401" t="s">
        <v>71</v>
      </c>
      <c r="E10740" s="402" t="s">
        <v>72</v>
      </c>
      <c r="F10740" s="418"/>
      <c r="G10740" s="419"/>
      <c r="H10740" s="442"/>
      <c r="I10740" s="421">
        <f>IF(AND(E10740&lt;&gt;"",G10740&lt;&gt;""),IF(D10740="",IF(G10740="OH",VLOOKUP(E10740,UPAH!$C$4:$H$31,7,0),VLOOKUP(E10740,#REF!,4,0)),0),0)</f>
        <v>0</v>
      </c>
      <c r="J10740" s="396">
        <f>ROUNDDOWN(J10738+J10739,0)</f>
        <v>0</v>
      </c>
    </row>
    <row r="10741" spans="1:10" ht="13">
      <c r="A10741" s="27"/>
      <c r="B10741" s="110"/>
      <c r="D10741" s="11"/>
      <c r="E10741" s="11"/>
      <c r="H10741" s="443"/>
      <c r="I10741" s="17"/>
      <c r="J10741" s="18"/>
    </row>
    <row r="10742" spans="1:10" ht="13.5" thickBot="1">
      <c r="A10742" s="27"/>
      <c r="B10742" s="110"/>
      <c r="C10742" s="11" t="s">
        <v>1620</v>
      </c>
      <c r="D10742" s="10" t="s">
        <v>1673</v>
      </c>
      <c r="H10742" s="443"/>
    </row>
    <row r="10743" spans="1:10" ht="13.5" thickBot="1">
      <c r="A10743" s="27"/>
      <c r="B10743" s="110"/>
      <c r="D10743" s="401" t="s">
        <v>40</v>
      </c>
      <c r="E10743" s="402" t="s">
        <v>41</v>
      </c>
      <c r="F10743" s="402" t="s">
        <v>42</v>
      </c>
      <c r="G10743" s="403" t="s">
        <v>43</v>
      </c>
      <c r="H10743" s="404" t="s">
        <v>44</v>
      </c>
      <c r="I10743" s="402" t="s">
        <v>474</v>
      </c>
      <c r="J10743" s="405" t="s">
        <v>475</v>
      </c>
    </row>
    <row r="10744" spans="1:10" ht="13">
      <c r="A10744" s="27"/>
      <c r="B10744" s="110"/>
      <c r="D10744" s="444" t="s">
        <v>45</v>
      </c>
      <c r="E10744" s="445" t="s">
        <v>46</v>
      </c>
      <c r="F10744" s="446"/>
      <c r="G10744" s="447"/>
      <c r="H10744" s="448"/>
      <c r="I10744" s="449"/>
      <c r="J10744" s="450"/>
    </row>
    <row r="10745" spans="1:10" ht="13">
      <c r="A10745" s="27"/>
      <c r="B10745" s="110"/>
      <c r="D10745" s="409"/>
      <c r="E10745" s="13" t="s">
        <v>47</v>
      </c>
      <c r="F10745" s="13" t="s">
        <v>1918</v>
      </c>
      <c r="G10745" s="410" t="s">
        <v>48</v>
      </c>
      <c r="H10745" s="411">
        <v>2.5979999999999999</v>
      </c>
      <c r="I10745" s="412">
        <f>IF(AND(E10745&lt;&gt;"",G10745&lt;&gt;""),IF(D10745="",IF(G10745="OH",VLOOKUP(F10745,UPAH!$B$4:$H$101,7,0),VLOOKUP(F10745,#REF!,4,0)),0),0)</f>
        <v>0</v>
      </c>
      <c r="J10745" s="16">
        <f>H10745*I10745</f>
        <v>0</v>
      </c>
    </row>
    <row r="10746" spans="1:10" ht="13">
      <c r="A10746" s="27"/>
      <c r="B10746" s="110"/>
      <c r="D10746" s="409"/>
      <c r="E10746" s="13" t="s">
        <v>283</v>
      </c>
      <c r="F10746" s="13" t="s">
        <v>1913</v>
      </c>
      <c r="G10746" s="410" t="s">
        <v>48</v>
      </c>
      <c r="H10746" s="411">
        <v>0.52</v>
      </c>
      <c r="I10746" s="412">
        <f>IF(AND(E10746&lt;&gt;"",G10746&lt;&gt;""),IF(D10746="",IF(G10746="OH",VLOOKUP(F10746,UPAH!$B$4:$H$101,7,0),VLOOKUP(F10746,#REF!,4,0)),0),0)</f>
        <v>0</v>
      </c>
      <c r="J10746" s="16">
        <f>H10746*I10746</f>
        <v>0</v>
      </c>
    </row>
    <row r="10747" spans="1:10" ht="13.5" thickBot="1">
      <c r="A10747" s="27"/>
      <c r="B10747" s="110"/>
      <c r="D10747" s="409"/>
      <c r="E10747" s="13" t="s">
        <v>51</v>
      </c>
      <c r="F10747" s="13" t="s">
        <v>1929</v>
      </c>
      <c r="G10747" s="410" t="s">
        <v>48</v>
      </c>
      <c r="H10747" s="411">
        <v>0.26</v>
      </c>
      <c r="I10747" s="412">
        <f>IF(AND(E10747&lt;&gt;"",G10747&lt;&gt;""),IF(D10747="",IF(G10747="OH",VLOOKUP(F10747,UPAH!$B$4:$H$101,7,0),VLOOKUP(F10747,#REF!,4,0)),0),0)</f>
        <v>0</v>
      </c>
      <c r="J10747" s="16">
        <f>H10747*I10747</f>
        <v>0</v>
      </c>
    </row>
    <row r="10748" spans="1:10" ht="13.5" thickBot="1">
      <c r="A10748" s="27"/>
      <c r="B10748" s="110"/>
      <c r="D10748" s="417"/>
      <c r="E10748" s="418"/>
      <c r="F10748" s="418"/>
      <c r="G10748" s="419"/>
      <c r="H10748" s="420" t="s">
        <v>52</v>
      </c>
      <c r="I10748" s="421"/>
      <c r="J10748" s="396">
        <f>SUM(J10744:J10747)</f>
        <v>0</v>
      </c>
    </row>
    <row r="10749" spans="1:10" ht="13">
      <c r="A10749" s="27"/>
      <c r="B10749" s="110"/>
      <c r="D10749" s="406" t="s">
        <v>53</v>
      </c>
      <c r="E10749" s="13" t="s">
        <v>54</v>
      </c>
      <c r="F10749" s="14"/>
      <c r="G10749" s="15"/>
      <c r="H10749" s="451"/>
      <c r="I10749" s="412"/>
      <c r="J10749" s="16"/>
    </row>
    <row r="10750" spans="1:10" ht="13.5" thickBot="1">
      <c r="A10750" s="27"/>
      <c r="B10750" s="110"/>
      <c r="D10750" s="409"/>
      <c r="E10750" s="13" t="s">
        <v>341</v>
      </c>
      <c r="F10750" s="14"/>
      <c r="G10750" s="410" t="s">
        <v>259</v>
      </c>
      <c r="H10750" s="411">
        <v>1</v>
      </c>
      <c r="I10750" s="412">
        <f>'BAHAN '!G1020</f>
        <v>0</v>
      </c>
      <c r="J10750" s="16">
        <f>H10750*I10750</f>
        <v>0</v>
      </c>
    </row>
    <row r="10751" spans="1:10" ht="13.5" thickBot="1">
      <c r="A10751" s="27"/>
      <c r="B10751" s="110"/>
      <c r="D10751" s="417"/>
      <c r="E10751" s="418"/>
      <c r="F10751" s="418"/>
      <c r="G10751" s="419"/>
      <c r="H10751" s="420" t="s">
        <v>64</v>
      </c>
      <c r="I10751" s="421"/>
      <c r="J10751" s="396">
        <f>SUM(J10750)</f>
        <v>0</v>
      </c>
    </row>
    <row r="10752" spans="1:10" ht="13">
      <c r="A10752" s="27"/>
      <c r="B10752" s="110"/>
      <c r="D10752" s="406" t="s">
        <v>65</v>
      </c>
      <c r="E10752" s="13" t="s">
        <v>66</v>
      </c>
      <c r="F10752" s="14"/>
      <c r="G10752" s="15"/>
      <c r="H10752" s="451"/>
      <c r="I10752" s="412"/>
      <c r="J10752" s="16"/>
    </row>
    <row r="10753" spans="1:10" ht="13.5" thickBot="1">
      <c r="A10753" s="27"/>
      <c r="B10753" s="110"/>
      <c r="D10753" s="409"/>
      <c r="E10753" s="13" t="s">
        <v>1075</v>
      </c>
      <c r="F10753" s="14"/>
      <c r="G10753" s="410" t="s">
        <v>285</v>
      </c>
      <c r="H10753" s="411">
        <v>0.31</v>
      </c>
      <c r="I10753" s="412">
        <f>Alat!H26</f>
        <v>0</v>
      </c>
      <c r="J10753" s="16">
        <f>H10753*I10753</f>
        <v>0</v>
      </c>
    </row>
    <row r="10754" spans="1:10" ht="13.5" thickBot="1">
      <c r="A10754" s="27"/>
      <c r="B10754" s="110"/>
      <c r="D10754" s="417"/>
      <c r="E10754" s="418"/>
      <c r="F10754" s="418"/>
      <c r="G10754" s="419"/>
      <c r="H10754" s="420" t="s">
        <v>67</v>
      </c>
      <c r="I10754" s="421"/>
      <c r="J10754" s="396">
        <f>J10753</f>
        <v>0</v>
      </c>
    </row>
    <row r="10755" spans="1:10" ht="13">
      <c r="A10755" s="27"/>
      <c r="B10755" s="110"/>
      <c r="D10755" s="444" t="s">
        <v>68</v>
      </c>
      <c r="E10755" s="445" t="s">
        <v>69</v>
      </c>
      <c r="F10755" s="446"/>
      <c r="G10755" s="447"/>
      <c r="H10755" s="448"/>
      <c r="I10755" s="449">
        <f>IF(AND(E10755&lt;&gt;"",G10755&lt;&gt;""),IF(D10755="",IF(G10755="OH",VLOOKUP(E10755,UPAH!$C$4:$H$31,7,0),VLOOKUP(E10755,#REF!,4,0)),0),0)</f>
        <v>0</v>
      </c>
      <c r="J10755" s="16">
        <f>SUM(J10744:J10754)/2</f>
        <v>0</v>
      </c>
    </row>
    <row r="10756" spans="1:10" ht="13.5" thickBot="1">
      <c r="A10756" s="27"/>
      <c r="B10756" s="110"/>
      <c r="D10756" s="431" t="s">
        <v>70</v>
      </c>
      <c r="E10756" s="432" t="s">
        <v>477</v>
      </c>
      <c r="F10756" s="433"/>
      <c r="G10756" s="434"/>
      <c r="H10756" s="22">
        <v>0.1</v>
      </c>
      <c r="I10756" s="436"/>
      <c r="J10756" s="430">
        <f>H10756*J10755</f>
        <v>0</v>
      </c>
    </row>
    <row r="10757" spans="1:10" ht="13.5" thickBot="1">
      <c r="A10757" s="27"/>
      <c r="B10757" s="110"/>
      <c r="D10757" s="401" t="s">
        <v>71</v>
      </c>
      <c r="E10757" s="402" t="s">
        <v>72</v>
      </c>
      <c r="F10757" s="418"/>
      <c r="G10757" s="419"/>
      <c r="H10757" s="442"/>
      <c r="I10757" s="421">
        <f>IF(AND(E10757&lt;&gt;"",G10757&lt;&gt;""),IF(D10757="",IF(G10757="OH",VLOOKUP(E10757,UPAH!$C$4:$H$31,7,0),VLOOKUP(E10757,#REF!,4,0)),0),0)</f>
        <v>0</v>
      </c>
      <c r="J10757" s="396">
        <f>ROUNDDOWN(J10755+J10756,0)</f>
        <v>0</v>
      </c>
    </row>
    <row r="10758" spans="1:10" ht="13">
      <c r="A10758" s="27"/>
      <c r="B10758" s="110"/>
      <c r="D10758" s="11"/>
      <c r="E10758" s="11"/>
      <c r="H10758" s="443"/>
      <c r="I10758" s="17"/>
      <c r="J10758" s="18"/>
    </row>
    <row r="10759" spans="1:10" ht="13.5" thickBot="1">
      <c r="A10759" s="27"/>
      <c r="B10759" s="110"/>
      <c r="C10759" s="11" t="s">
        <v>1619</v>
      </c>
      <c r="D10759" s="10" t="s">
        <v>1674</v>
      </c>
      <c r="H10759" s="443"/>
    </row>
    <row r="10760" spans="1:10" ht="13.5" thickBot="1">
      <c r="A10760" s="27"/>
      <c r="B10760" s="110"/>
      <c r="D10760" s="401" t="s">
        <v>40</v>
      </c>
      <c r="E10760" s="402" t="s">
        <v>41</v>
      </c>
      <c r="F10760" s="402" t="s">
        <v>42</v>
      </c>
      <c r="G10760" s="403" t="s">
        <v>43</v>
      </c>
      <c r="H10760" s="404" t="s">
        <v>44</v>
      </c>
      <c r="I10760" s="402" t="s">
        <v>474</v>
      </c>
      <c r="J10760" s="405" t="s">
        <v>475</v>
      </c>
    </row>
    <row r="10761" spans="1:10" ht="13">
      <c r="A10761" s="27"/>
      <c r="B10761" s="110"/>
      <c r="D10761" s="444" t="s">
        <v>45</v>
      </c>
      <c r="E10761" s="445" t="s">
        <v>46</v>
      </c>
      <c r="F10761" s="446"/>
      <c r="G10761" s="447"/>
      <c r="H10761" s="448"/>
      <c r="I10761" s="449"/>
      <c r="J10761" s="450"/>
    </row>
    <row r="10762" spans="1:10" ht="13">
      <c r="A10762" s="27"/>
      <c r="B10762" s="110"/>
      <c r="D10762" s="409"/>
      <c r="E10762" s="13" t="s">
        <v>47</v>
      </c>
      <c r="F10762" s="13" t="s">
        <v>1918</v>
      </c>
      <c r="G10762" s="410" t="s">
        <v>48</v>
      </c>
      <c r="H10762" s="411">
        <v>3.37</v>
      </c>
      <c r="I10762" s="412">
        <f>IF(AND(E10762&lt;&gt;"",G10762&lt;&gt;""),IF(D10762="",IF(G10762="OH",VLOOKUP(F10762,UPAH!$B$4:$H$101,7,0),VLOOKUP(F10762,#REF!,4,0)),0),0)</f>
        <v>0</v>
      </c>
      <c r="J10762" s="16">
        <f>H10762*I10762</f>
        <v>0</v>
      </c>
    </row>
    <row r="10763" spans="1:10" ht="13">
      <c r="A10763" s="27"/>
      <c r="B10763" s="110"/>
      <c r="D10763" s="409"/>
      <c r="E10763" s="13" t="s">
        <v>283</v>
      </c>
      <c r="F10763" s="13" t="s">
        <v>1913</v>
      </c>
      <c r="G10763" s="410" t="s">
        <v>48</v>
      </c>
      <c r="H10763" s="411">
        <v>0.67400000000000004</v>
      </c>
      <c r="I10763" s="412">
        <f>IF(AND(E10763&lt;&gt;"",G10763&lt;&gt;""),IF(D10763="",IF(G10763="OH",VLOOKUP(F10763,UPAH!$B$4:$H$101,7,0),VLOOKUP(F10763,#REF!,4,0)),0),0)</f>
        <v>0</v>
      </c>
      <c r="J10763" s="16">
        <f>H10763*I10763</f>
        <v>0</v>
      </c>
    </row>
    <row r="10764" spans="1:10" ht="13.5" thickBot="1">
      <c r="A10764" s="27"/>
      <c r="B10764" s="110"/>
      <c r="D10764" s="409"/>
      <c r="E10764" s="13" t="s">
        <v>51</v>
      </c>
      <c r="F10764" s="13" t="s">
        <v>1929</v>
      </c>
      <c r="G10764" s="410" t="s">
        <v>48</v>
      </c>
      <c r="H10764" s="411">
        <v>0.33700000000000002</v>
      </c>
      <c r="I10764" s="412">
        <f>IF(AND(E10764&lt;&gt;"",G10764&lt;&gt;""),IF(D10764="",IF(G10764="OH",VLOOKUP(F10764,UPAH!$B$4:$H$101,7,0),VLOOKUP(F10764,#REF!,4,0)),0),0)</f>
        <v>0</v>
      </c>
      <c r="J10764" s="16">
        <f>H10764*I10764</f>
        <v>0</v>
      </c>
    </row>
    <row r="10765" spans="1:10" ht="13.5" thickBot="1">
      <c r="A10765" s="27"/>
      <c r="B10765" s="110"/>
      <c r="D10765" s="417"/>
      <c r="E10765" s="418"/>
      <c r="F10765" s="418"/>
      <c r="G10765" s="419"/>
      <c r="H10765" s="420" t="s">
        <v>52</v>
      </c>
      <c r="I10765" s="421"/>
      <c r="J10765" s="396">
        <f>SUM(J10761:J10764)</f>
        <v>0</v>
      </c>
    </row>
    <row r="10766" spans="1:10" ht="13">
      <c r="A10766" s="27"/>
      <c r="B10766" s="110"/>
      <c r="D10766" s="406" t="s">
        <v>53</v>
      </c>
      <c r="E10766" s="13" t="s">
        <v>54</v>
      </c>
      <c r="F10766" s="14"/>
      <c r="G10766" s="15"/>
      <c r="H10766" s="451"/>
      <c r="I10766" s="412"/>
      <c r="J10766" s="16"/>
    </row>
    <row r="10767" spans="1:10" ht="13.5" thickBot="1">
      <c r="A10767" s="27"/>
      <c r="B10767" s="110"/>
      <c r="D10767" s="409"/>
      <c r="E10767" s="13" t="s">
        <v>342</v>
      </c>
      <c r="F10767" s="14"/>
      <c r="G10767" s="410" t="s">
        <v>259</v>
      </c>
      <c r="H10767" s="411">
        <v>1</v>
      </c>
      <c r="I10767" s="412">
        <f>'BAHAN '!G1021</f>
        <v>0</v>
      </c>
      <c r="J10767" s="16">
        <f>H10767*I10767</f>
        <v>0</v>
      </c>
    </row>
    <row r="10768" spans="1:10" ht="13.5" thickBot="1">
      <c r="A10768" s="27"/>
      <c r="B10768" s="110"/>
      <c r="D10768" s="417"/>
      <c r="E10768" s="418"/>
      <c r="F10768" s="418"/>
      <c r="G10768" s="419"/>
      <c r="H10768" s="420" t="s">
        <v>64</v>
      </c>
      <c r="I10768" s="421"/>
      <c r="J10768" s="396">
        <f>SUM(J10767)</f>
        <v>0</v>
      </c>
    </row>
    <row r="10769" spans="1:10" ht="13">
      <c r="A10769" s="27"/>
      <c r="B10769" s="110"/>
      <c r="D10769" s="406" t="s">
        <v>65</v>
      </c>
      <c r="E10769" s="13" t="s">
        <v>66</v>
      </c>
      <c r="F10769" s="14"/>
      <c r="G10769" s="15"/>
      <c r="H10769" s="451"/>
      <c r="I10769" s="412"/>
      <c r="J10769" s="16"/>
    </row>
    <row r="10770" spans="1:10" ht="13.5" thickBot="1">
      <c r="A10770" s="27"/>
      <c r="B10770" s="110"/>
      <c r="D10770" s="409"/>
      <c r="E10770" s="13" t="s">
        <v>1075</v>
      </c>
      <c r="F10770" s="14"/>
      <c r="G10770" s="410" t="s">
        <v>285</v>
      </c>
      <c r="H10770" s="411">
        <v>0.38100000000000001</v>
      </c>
      <c r="I10770" s="412">
        <f>Alat!H26</f>
        <v>0</v>
      </c>
      <c r="J10770" s="16">
        <f>H10770*I10770</f>
        <v>0</v>
      </c>
    </row>
    <row r="10771" spans="1:10" ht="13.5" thickBot="1">
      <c r="A10771" s="27"/>
      <c r="B10771" s="110"/>
      <c r="D10771" s="417"/>
      <c r="E10771" s="418"/>
      <c r="F10771" s="418"/>
      <c r="G10771" s="419"/>
      <c r="H10771" s="420" t="s">
        <v>67</v>
      </c>
      <c r="I10771" s="421"/>
      <c r="J10771" s="396">
        <f>J10770</f>
        <v>0</v>
      </c>
    </row>
    <row r="10772" spans="1:10" ht="13">
      <c r="A10772" s="27"/>
      <c r="B10772" s="110"/>
      <c r="D10772" s="444" t="s">
        <v>68</v>
      </c>
      <c r="E10772" s="445" t="s">
        <v>69</v>
      </c>
      <c r="F10772" s="446"/>
      <c r="G10772" s="447"/>
      <c r="H10772" s="448"/>
      <c r="I10772" s="449">
        <f>IF(AND(E10772&lt;&gt;"",G10772&lt;&gt;""),IF(D10772="",IF(G10772="OH",VLOOKUP(E10772,UPAH!$C$4:$H$31,7,0),VLOOKUP(E10772,#REF!,4,0)),0),0)</f>
        <v>0</v>
      </c>
      <c r="J10772" s="16">
        <f>SUM(J10761:J10771)/2</f>
        <v>0</v>
      </c>
    </row>
    <row r="10773" spans="1:10" ht="13.5" thickBot="1">
      <c r="A10773" s="27"/>
      <c r="B10773" s="110"/>
      <c r="D10773" s="431" t="s">
        <v>70</v>
      </c>
      <c r="E10773" s="432" t="s">
        <v>477</v>
      </c>
      <c r="F10773" s="433"/>
      <c r="G10773" s="434"/>
      <c r="H10773" s="22">
        <v>0.1</v>
      </c>
      <c r="I10773" s="436"/>
      <c r="J10773" s="430">
        <f>H10773*J10772</f>
        <v>0</v>
      </c>
    </row>
    <row r="10774" spans="1:10" ht="13.5" thickBot="1">
      <c r="A10774" s="27"/>
      <c r="B10774" s="110"/>
      <c r="D10774" s="401" t="s">
        <v>71</v>
      </c>
      <c r="E10774" s="402" t="s">
        <v>72</v>
      </c>
      <c r="F10774" s="418"/>
      <c r="G10774" s="419"/>
      <c r="H10774" s="442"/>
      <c r="I10774" s="421">
        <f>IF(AND(E10774&lt;&gt;"",G10774&lt;&gt;""),IF(D10774="",IF(G10774="OH",VLOOKUP(E10774,UPAH!$C$4:$H$31,7,0),VLOOKUP(E10774,#REF!,4,0)),0),0)</f>
        <v>0</v>
      </c>
      <c r="J10774" s="396">
        <f>ROUNDDOWN(J10772+J10773,0)</f>
        <v>0</v>
      </c>
    </row>
    <row r="10775" spans="1:10" ht="13">
      <c r="A10775" s="27"/>
      <c r="B10775" s="110"/>
      <c r="D10775" s="11"/>
      <c r="E10775" s="11"/>
      <c r="H10775" s="443"/>
      <c r="I10775" s="17"/>
      <c r="J10775" s="18"/>
    </row>
    <row r="10776" spans="1:10" ht="13.5" thickBot="1">
      <c r="A10776" s="27"/>
      <c r="B10776" s="110"/>
      <c r="C10776" s="11" t="s">
        <v>1618</v>
      </c>
      <c r="D10776" s="10" t="s">
        <v>1675</v>
      </c>
      <c r="H10776" s="443"/>
    </row>
    <row r="10777" spans="1:10" ht="13.5" thickBot="1">
      <c r="A10777" s="27"/>
      <c r="B10777" s="110"/>
      <c r="D10777" s="401" t="s">
        <v>40</v>
      </c>
      <c r="E10777" s="402" t="s">
        <v>41</v>
      </c>
      <c r="F10777" s="402" t="s">
        <v>42</v>
      </c>
      <c r="G10777" s="403" t="s">
        <v>43</v>
      </c>
      <c r="H10777" s="404" t="s">
        <v>44</v>
      </c>
      <c r="I10777" s="402" t="s">
        <v>474</v>
      </c>
      <c r="J10777" s="405" t="s">
        <v>475</v>
      </c>
    </row>
    <row r="10778" spans="1:10" ht="13">
      <c r="A10778" s="27"/>
      <c r="B10778" s="110"/>
      <c r="D10778" s="444" t="s">
        <v>45</v>
      </c>
      <c r="E10778" s="445" t="s">
        <v>46</v>
      </c>
      <c r="F10778" s="446"/>
      <c r="G10778" s="447"/>
      <c r="H10778" s="448"/>
      <c r="I10778" s="449"/>
      <c r="J10778" s="450"/>
    </row>
    <row r="10779" spans="1:10" ht="13">
      <c r="A10779" s="27"/>
      <c r="B10779" s="110"/>
      <c r="D10779" s="409"/>
      <c r="E10779" s="13" t="s">
        <v>47</v>
      </c>
      <c r="F10779" s="13" t="s">
        <v>1918</v>
      </c>
      <c r="G10779" s="410" t="s">
        <v>48</v>
      </c>
      <c r="H10779" s="411">
        <v>4.0209999999999999</v>
      </c>
      <c r="I10779" s="412">
        <f>IF(AND(E10779&lt;&gt;"",G10779&lt;&gt;""),IF(D10779="",IF(G10779="OH",VLOOKUP(F10779,UPAH!$B$4:$H$101,7,0),VLOOKUP(F10779,#REF!,4,0)),0),0)</f>
        <v>0</v>
      </c>
      <c r="J10779" s="16">
        <f>H10779*I10779</f>
        <v>0</v>
      </c>
    </row>
    <row r="10780" spans="1:10" ht="13">
      <c r="A10780" s="27"/>
      <c r="B10780" s="110"/>
      <c r="D10780" s="409"/>
      <c r="E10780" s="13" t="s">
        <v>283</v>
      </c>
      <c r="F10780" s="13" t="s">
        <v>1913</v>
      </c>
      <c r="G10780" s="410" t="s">
        <v>48</v>
      </c>
      <c r="H10780" s="411">
        <v>0.80400000000000005</v>
      </c>
      <c r="I10780" s="412">
        <f>IF(AND(E10780&lt;&gt;"",G10780&lt;&gt;""),IF(D10780="",IF(G10780="OH",VLOOKUP(F10780,UPAH!$B$4:$H$101,7,0),VLOOKUP(F10780,#REF!,4,0)),0),0)</f>
        <v>0</v>
      </c>
      <c r="J10780" s="16">
        <f>H10780*I10780</f>
        <v>0</v>
      </c>
    </row>
    <row r="10781" spans="1:10" ht="13.5" thickBot="1">
      <c r="A10781" s="27"/>
      <c r="B10781" s="110"/>
      <c r="D10781" s="409"/>
      <c r="E10781" s="13" t="s">
        <v>51</v>
      </c>
      <c r="F10781" s="13" t="s">
        <v>1929</v>
      </c>
      <c r="G10781" s="410" t="s">
        <v>48</v>
      </c>
      <c r="H10781" s="411">
        <v>0.40200000000000002</v>
      </c>
      <c r="I10781" s="412">
        <f>IF(AND(E10781&lt;&gt;"",G10781&lt;&gt;""),IF(D10781="",IF(G10781="OH",VLOOKUP(F10781,UPAH!$B$4:$H$101,7,0),VLOOKUP(F10781,#REF!,4,0)),0),0)</f>
        <v>0</v>
      </c>
      <c r="J10781" s="16">
        <f>H10781*I10781</f>
        <v>0</v>
      </c>
    </row>
    <row r="10782" spans="1:10" ht="13.5" thickBot="1">
      <c r="A10782" s="27"/>
      <c r="B10782" s="110"/>
      <c r="D10782" s="417"/>
      <c r="E10782" s="418"/>
      <c r="F10782" s="418"/>
      <c r="G10782" s="419"/>
      <c r="H10782" s="420" t="s">
        <v>52</v>
      </c>
      <c r="I10782" s="421"/>
      <c r="J10782" s="396">
        <f>SUM(J10778:J10781)</f>
        <v>0</v>
      </c>
    </row>
    <row r="10783" spans="1:10" ht="13">
      <c r="A10783" s="27"/>
      <c r="B10783" s="110"/>
      <c r="D10783" s="406" t="s">
        <v>53</v>
      </c>
      <c r="E10783" s="13" t="s">
        <v>54</v>
      </c>
      <c r="F10783" s="14"/>
      <c r="G10783" s="15"/>
      <c r="H10783" s="451"/>
      <c r="I10783" s="412"/>
      <c r="J10783" s="16"/>
    </row>
    <row r="10784" spans="1:10" ht="13.5" thickBot="1">
      <c r="A10784" s="27"/>
      <c r="B10784" s="110"/>
      <c r="D10784" s="409"/>
      <c r="E10784" s="13" t="s">
        <v>343</v>
      </c>
      <c r="F10784" s="14"/>
      <c r="G10784" s="410" t="s">
        <v>259</v>
      </c>
      <c r="H10784" s="411">
        <v>1</v>
      </c>
      <c r="I10784" s="412">
        <f>'BAHAN '!G1022</f>
        <v>0</v>
      </c>
      <c r="J10784" s="16">
        <f>H10784*I10784</f>
        <v>0</v>
      </c>
    </row>
    <row r="10785" spans="1:10" ht="13.5" thickBot="1">
      <c r="A10785" s="27"/>
      <c r="B10785" s="110"/>
      <c r="D10785" s="417"/>
      <c r="E10785" s="418"/>
      <c r="F10785" s="418"/>
      <c r="G10785" s="419"/>
      <c r="H10785" s="420" t="s">
        <v>64</v>
      </c>
      <c r="I10785" s="421"/>
      <c r="J10785" s="396">
        <f>SUM(J10784)</f>
        <v>0</v>
      </c>
    </row>
    <row r="10786" spans="1:10" ht="13">
      <c r="A10786" s="27"/>
      <c r="B10786" s="110"/>
      <c r="D10786" s="406" t="s">
        <v>65</v>
      </c>
      <c r="E10786" s="13" t="s">
        <v>66</v>
      </c>
      <c r="F10786" s="14"/>
      <c r="G10786" s="15"/>
      <c r="H10786" s="451"/>
      <c r="I10786" s="412"/>
      <c r="J10786" s="16"/>
    </row>
    <row r="10787" spans="1:10" ht="13.5" thickBot="1">
      <c r="A10787" s="27"/>
      <c r="B10787" s="110"/>
      <c r="D10787" s="409"/>
      <c r="E10787" s="13" t="s">
        <v>1075</v>
      </c>
      <c r="F10787" s="14"/>
      <c r="G10787" s="410" t="s">
        <v>285</v>
      </c>
      <c r="H10787" s="411">
        <v>0.441</v>
      </c>
      <c r="I10787" s="412">
        <f>Alat!H26</f>
        <v>0</v>
      </c>
      <c r="J10787" s="16">
        <f>H10787*I10787</f>
        <v>0</v>
      </c>
    </row>
    <row r="10788" spans="1:10" ht="13.5" thickBot="1">
      <c r="A10788" s="27"/>
      <c r="B10788" s="110"/>
      <c r="D10788" s="417"/>
      <c r="E10788" s="418"/>
      <c r="F10788" s="418"/>
      <c r="G10788" s="419"/>
      <c r="H10788" s="420" t="s">
        <v>67</v>
      </c>
      <c r="I10788" s="421"/>
      <c r="J10788" s="396">
        <f>J10787</f>
        <v>0</v>
      </c>
    </row>
    <row r="10789" spans="1:10" ht="13">
      <c r="A10789" s="27"/>
      <c r="B10789" s="110"/>
      <c r="D10789" s="444" t="s">
        <v>68</v>
      </c>
      <c r="E10789" s="445" t="s">
        <v>69</v>
      </c>
      <c r="F10789" s="446"/>
      <c r="G10789" s="447"/>
      <c r="H10789" s="448"/>
      <c r="I10789" s="449">
        <f>IF(AND(E10789&lt;&gt;"",G10789&lt;&gt;""),IF(D10789="",IF(G10789="OH",VLOOKUP(E10789,UPAH!$C$4:$H$31,7,0),VLOOKUP(E10789,#REF!,4,0)),0),0)</f>
        <v>0</v>
      </c>
      <c r="J10789" s="16">
        <f>SUM(J10778:J10788)/2</f>
        <v>0</v>
      </c>
    </row>
    <row r="10790" spans="1:10" ht="13.5" thickBot="1">
      <c r="A10790" s="27"/>
      <c r="B10790" s="110"/>
      <c r="D10790" s="431" t="s">
        <v>70</v>
      </c>
      <c r="E10790" s="432" t="s">
        <v>477</v>
      </c>
      <c r="F10790" s="433"/>
      <c r="G10790" s="434"/>
      <c r="H10790" s="22">
        <v>0.1</v>
      </c>
      <c r="I10790" s="436"/>
      <c r="J10790" s="430">
        <f>H10790*J10789</f>
        <v>0</v>
      </c>
    </row>
    <row r="10791" spans="1:10" ht="13.5" thickBot="1">
      <c r="A10791" s="27"/>
      <c r="B10791" s="110"/>
      <c r="D10791" s="401" t="s">
        <v>71</v>
      </c>
      <c r="E10791" s="402" t="s">
        <v>72</v>
      </c>
      <c r="F10791" s="418"/>
      <c r="G10791" s="419"/>
      <c r="H10791" s="442"/>
      <c r="I10791" s="421">
        <f>IF(AND(E10791&lt;&gt;"",G10791&lt;&gt;""),IF(D10791="",IF(G10791="OH",VLOOKUP(E10791,UPAH!$C$4:$H$31,7,0),VLOOKUP(E10791,#REF!,4,0)),0),0)</f>
        <v>0</v>
      </c>
      <c r="J10791" s="396">
        <f>ROUNDDOWN(J10789+J10790,0)</f>
        <v>0</v>
      </c>
    </row>
    <row r="10792" spans="1:10" ht="13">
      <c r="A10792" s="27"/>
      <c r="B10792" s="110"/>
      <c r="D10792" s="11"/>
      <c r="E10792" s="11"/>
      <c r="H10792" s="443"/>
      <c r="I10792" s="17"/>
      <c r="J10792" s="18"/>
    </row>
    <row r="10793" spans="1:10" ht="13.5" thickBot="1">
      <c r="A10793" s="27"/>
      <c r="B10793" s="110"/>
      <c r="C10793" s="11" t="s">
        <v>1617</v>
      </c>
      <c r="D10793" s="10" t="s">
        <v>1676</v>
      </c>
      <c r="H10793" s="443"/>
    </row>
    <row r="10794" spans="1:10" ht="13.5" thickBot="1">
      <c r="A10794" s="27"/>
      <c r="B10794" s="110"/>
      <c r="D10794" s="401" t="s">
        <v>40</v>
      </c>
      <c r="E10794" s="402" t="s">
        <v>41</v>
      </c>
      <c r="F10794" s="402" t="s">
        <v>42</v>
      </c>
      <c r="G10794" s="403" t="s">
        <v>43</v>
      </c>
      <c r="H10794" s="404" t="s">
        <v>44</v>
      </c>
      <c r="I10794" s="402" t="s">
        <v>474</v>
      </c>
      <c r="J10794" s="405" t="s">
        <v>475</v>
      </c>
    </row>
    <row r="10795" spans="1:10" ht="13">
      <c r="A10795" s="27"/>
      <c r="B10795" s="110"/>
      <c r="D10795" s="444" t="s">
        <v>45</v>
      </c>
      <c r="E10795" s="445" t="s">
        <v>46</v>
      </c>
      <c r="F10795" s="446"/>
      <c r="G10795" s="447"/>
      <c r="H10795" s="448"/>
      <c r="I10795" s="449"/>
      <c r="J10795" s="450"/>
    </row>
    <row r="10796" spans="1:10" ht="13">
      <c r="A10796" s="27"/>
      <c r="B10796" s="110"/>
      <c r="D10796" s="409"/>
      <c r="E10796" s="13" t="s">
        <v>47</v>
      </c>
      <c r="F10796" s="13" t="s">
        <v>1918</v>
      </c>
      <c r="G10796" s="410" t="s">
        <v>48</v>
      </c>
      <c r="H10796" s="411">
        <v>4.7309999999999999</v>
      </c>
      <c r="I10796" s="412">
        <f>IF(AND(E10796&lt;&gt;"",G10796&lt;&gt;""),IF(D10796="",IF(G10796="OH",VLOOKUP(F10796,UPAH!$B$4:$H$101,7,0),VLOOKUP(F10796,#REF!,4,0)),0),0)</f>
        <v>0</v>
      </c>
      <c r="J10796" s="16">
        <f>H10796*I10796</f>
        <v>0</v>
      </c>
    </row>
    <row r="10797" spans="1:10" ht="13">
      <c r="A10797" s="27"/>
      <c r="B10797" s="110"/>
      <c r="D10797" s="409"/>
      <c r="E10797" s="13" t="s">
        <v>283</v>
      </c>
      <c r="F10797" s="13" t="s">
        <v>1913</v>
      </c>
      <c r="G10797" s="410" t="s">
        <v>48</v>
      </c>
      <c r="H10797" s="411">
        <v>0.94599999999999995</v>
      </c>
      <c r="I10797" s="412">
        <f>IF(AND(E10797&lt;&gt;"",G10797&lt;&gt;""),IF(D10797="",IF(G10797="OH",VLOOKUP(F10797,UPAH!$B$4:$H$101,7,0),VLOOKUP(F10797,#REF!,4,0)),0),0)</f>
        <v>0</v>
      </c>
      <c r="J10797" s="16">
        <f>H10797*I10797</f>
        <v>0</v>
      </c>
    </row>
    <row r="10798" spans="1:10" ht="13.5" thickBot="1">
      <c r="A10798" s="27"/>
      <c r="B10798" s="110"/>
      <c r="D10798" s="409"/>
      <c r="E10798" s="13" t="s">
        <v>51</v>
      </c>
      <c r="F10798" s="13" t="s">
        <v>1929</v>
      </c>
      <c r="G10798" s="410" t="s">
        <v>48</v>
      </c>
      <c r="H10798" s="411">
        <v>0.47299999999999998</v>
      </c>
      <c r="I10798" s="412">
        <f>IF(AND(E10798&lt;&gt;"",G10798&lt;&gt;""),IF(D10798="",IF(G10798="OH",VLOOKUP(F10798,UPAH!$B$4:$H$101,7,0),VLOOKUP(F10798,#REF!,4,0)),0),0)</f>
        <v>0</v>
      </c>
      <c r="J10798" s="16">
        <f>H10798*I10798</f>
        <v>0</v>
      </c>
    </row>
    <row r="10799" spans="1:10" ht="13.5" thickBot="1">
      <c r="A10799" s="27"/>
      <c r="B10799" s="110"/>
      <c r="D10799" s="417"/>
      <c r="E10799" s="418"/>
      <c r="F10799" s="418"/>
      <c r="G10799" s="419"/>
      <c r="H10799" s="420" t="s">
        <v>52</v>
      </c>
      <c r="I10799" s="421"/>
      <c r="J10799" s="396">
        <f>SUM(J10795:J10798)</f>
        <v>0</v>
      </c>
    </row>
    <row r="10800" spans="1:10" ht="13">
      <c r="A10800" s="27"/>
      <c r="B10800" s="110"/>
      <c r="D10800" s="406" t="s">
        <v>53</v>
      </c>
      <c r="E10800" s="13" t="s">
        <v>54</v>
      </c>
      <c r="F10800" s="14"/>
      <c r="G10800" s="15"/>
      <c r="H10800" s="451"/>
      <c r="I10800" s="412"/>
      <c r="J10800" s="16"/>
    </row>
    <row r="10801" spans="1:10" ht="13.5" thickBot="1">
      <c r="A10801" s="27"/>
      <c r="B10801" s="110"/>
      <c r="D10801" s="409"/>
      <c r="E10801" s="13" t="s">
        <v>344</v>
      </c>
      <c r="F10801" s="14"/>
      <c r="G10801" s="410" t="s">
        <v>259</v>
      </c>
      <c r="H10801" s="411">
        <v>1</v>
      </c>
      <c r="I10801" s="412">
        <f>'BAHAN '!G1023</f>
        <v>0</v>
      </c>
      <c r="J10801" s="16">
        <f>H10801*I10801</f>
        <v>0</v>
      </c>
    </row>
    <row r="10802" spans="1:10" ht="13.5" thickBot="1">
      <c r="A10802" s="27"/>
      <c r="B10802" s="110"/>
      <c r="D10802" s="417"/>
      <c r="E10802" s="418"/>
      <c r="F10802" s="418"/>
      <c r="G10802" s="419"/>
      <c r="H10802" s="420" t="s">
        <v>64</v>
      </c>
      <c r="I10802" s="421"/>
      <c r="J10802" s="396">
        <f>SUM(J10801)</f>
        <v>0</v>
      </c>
    </row>
    <row r="10803" spans="1:10" ht="13">
      <c r="A10803" s="27"/>
      <c r="B10803" s="110"/>
      <c r="D10803" s="406" t="s">
        <v>65</v>
      </c>
      <c r="E10803" s="13" t="s">
        <v>66</v>
      </c>
      <c r="F10803" s="14"/>
      <c r="G10803" s="15"/>
      <c r="H10803" s="451"/>
      <c r="I10803" s="412"/>
      <c r="J10803" s="16"/>
    </row>
    <row r="10804" spans="1:10" ht="13.5" thickBot="1">
      <c r="A10804" s="27"/>
      <c r="B10804" s="110"/>
      <c r="D10804" s="409"/>
      <c r="E10804" s="13" t="s">
        <v>1075</v>
      </c>
      <c r="F10804" s="14"/>
      <c r="G10804" s="410" t="s">
        <v>285</v>
      </c>
      <c r="H10804" s="411">
        <v>0.50600000000000001</v>
      </c>
      <c r="I10804" s="412">
        <f>Alat!H26</f>
        <v>0</v>
      </c>
      <c r="J10804" s="16">
        <f>H10804*I10804</f>
        <v>0</v>
      </c>
    </row>
    <row r="10805" spans="1:10" ht="13.5" thickBot="1">
      <c r="A10805" s="27"/>
      <c r="B10805" s="110"/>
      <c r="D10805" s="417"/>
      <c r="E10805" s="418"/>
      <c r="F10805" s="418"/>
      <c r="G10805" s="419"/>
      <c r="H10805" s="420" t="s">
        <v>67</v>
      </c>
      <c r="I10805" s="421"/>
      <c r="J10805" s="396">
        <f>J10804</f>
        <v>0</v>
      </c>
    </row>
    <row r="10806" spans="1:10" ht="13">
      <c r="A10806" s="27"/>
      <c r="B10806" s="110"/>
      <c r="D10806" s="444" t="s">
        <v>68</v>
      </c>
      <c r="E10806" s="445" t="s">
        <v>69</v>
      </c>
      <c r="F10806" s="446"/>
      <c r="G10806" s="447"/>
      <c r="H10806" s="448"/>
      <c r="I10806" s="449">
        <f>IF(AND(E10806&lt;&gt;"",G10806&lt;&gt;""),IF(D10806="",IF(G10806="OH",VLOOKUP(E10806,UPAH!$C$4:$H$31,7,0),VLOOKUP(E10806,#REF!,4,0)),0),0)</f>
        <v>0</v>
      </c>
      <c r="J10806" s="16">
        <f>SUM(J10795:J10805)/2</f>
        <v>0</v>
      </c>
    </row>
    <row r="10807" spans="1:10" ht="13.5" thickBot="1">
      <c r="A10807" s="27"/>
      <c r="B10807" s="110"/>
      <c r="D10807" s="431" t="s">
        <v>70</v>
      </c>
      <c r="E10807" s="432" t="s">
        <v>477</v>
      </c>
      <c r="F10807" s="433"/>
      <c r="G10807" s="434"/>
      <c r="H10807" s="22">
        <v>0.1</v>
      </c>
      <c r="I10807" s="436"/>
      <c r="J10807" s="430">
        <f>H10807*J10806</f>
        <v>0</v>
      </c>
    </row>
    <row r="10808" spans="1:10" ht="13.5" thickBot="1">
      <c r="A10808" s="27"/>
      <c r="B10808" s="110"/>
      <c r="D10808" s="401" t="s">
        <v>71</v>
      </c>
      <c r="E10808" s="402" t="s">
        <v>72</v>
      </c>
      <c r="F10808" s="418"/>
      <c r="G10808" s="419"/>
      <c r="H10808" s="442"/>
      <c r="I10808" s="421">
        <f>IF(AND(E10808&lt;&gt;"",G10808&lt;&gt;""),IF(D10808="",IF(G10808="OH",VLOOKUP(E10808,UPAH!$C$4:$H$31,7,0),VLOOKUP(E10808,#REF!,4,0)),0),0)</f>
        <v>0</v>
      </c>
      <c r="J10808" s="396">
        <f>ROUNDDOWN(J10806+J10807,0)</f>
        <v>0</v>
      </c>
    </row>
    <row r="10809" spans="1:10" ht="13">
      <c r="A10809" s="27"/>
      <c r="B10809" s="110"/>
      <c r="D10809" s="11"/>
      <c r="E10809" s="11"/>
      <c r="H10809" s="443"/>
      <c r="I10809" s="17"/>
      <c r="J10809" s="18"/>
    </row>
    <row r="10810" spans="1:10" ht="13.5" thickBot="1">
      <c r="A10810" s="27"/>
      <c r="B10810" s="110"/>
      <c r="C10810" s="11" t="s">
        <v>1616</v>
      </c>
      <c r="D10810" s="10" t="s">
        <v>1677</v>
      </c>
      <c r="H10810" s="443"/>
    </row>
    <row r="10811" spans="1:10" ht="13.5" thickBot="1">
      <c r="A10811" s="27"/>
      <c r="B10811" s="110"/>
      <c r="D10811" s="401" t="s">
        <v>40</v>
      </c>
      <c r="E10811" s="402" t="s">
        <v>41</v>
      </c>
      <c r="F10811" s="402" t="s">
        <v>42</v>
      </c>
      <c r="G10811" s="403" t="s">
        <v>43</v>
      </c>
      <c r="H10811" s="404" t="s">
        <v>44</v>
      </c>
      <c r="I10811" s="402" t="s">
        <v>474</v>
      </c>
      <c r="J10811" s="405" t="s">
        <v>475</v>
      </c>
    </row>
    <row r="10812" spans="1:10" ht="13">
      <c r="A10812" s="27"/>
      <c r="B10812" s="110"/>
      <c r="D10812" s="444" t="s">
        <v>45</v>
      </c>
      <c r="E10812" s="445" t="s">
        <v>46</v>
      </c>
      <c r="F10812" s="446"/>
      <c r="G10812" s="447"/>
      <c r="H10812" s="448"/>
      <c r="I10812" s="449"/>
      <c r="J10812" s="450"/>
    </row>
    <row r="10813" spans="1:10" ht="13">
      <c r="A10813" s="27"/>
      <c r="B10813" s="110"/>
      <c r="D10813" s="409"/>
      <c r="E10813" s="13" t="s">
        <v>47</v>
      </c>
      <c r="F10813" s="13" t="s">
        <v>1918</v>
      </c>
      <c r="G10813" s="410" t="s">
        <v>48</v>
      </c>
      <c r="H10813" s="411">
        <v>5.5019999999999998</v>
      </c>
      <c r="I10813" s="412">
        <f>IF(AND(E10813&lt;&gt;"",G10813&lt;&gt;""),IF(D10813="",IF(G10813="OH",VLOOKUP(F10813,UPAH!$B$4:$H$101,7,0),VLOOKUP(F10813,#REF!,4,0)),0),0)</f>
        <v>0</v>
      </c>
      <c r="J10813" s="16">
        <f>H10813*I10813</f>
        <v>0</v>
      </c>
    </row>
    <row r="10814" spans="1:10" ht="13">
      <c r="A10814" s="27"/>
      <c r="B10814" s="110"/>
      <c r="D10814" s="409"/>
      <c r="E10814" s="13" t="s">
        <v>283</v>
      </c>
      <c r="F10814" s="13" t="s">
        <v>1913</v>
      </c>
      <c r="G10814" s="410" t="s">
        <v>48</v>
      </c>
      <c r="H10814" s="411">
        <v>1.1000000000000001</v>
      </c>
      <c r="I10814" s="412">
        <f>IF(AND(E10814&lt;&gt;"",G10814&lt;&gt;""),IF(D10814="",IF(G10814="OH",VLOOKUP(F10814,UPAH!$B$4:$H$101,7,0),VLOOKUP(F10814,#REF!,4,0)),0),0)</f>
        <v>0</v>
      </c>
      <c r="J10814" s="16">
        <f>H10814*I10814</f>
        <v>0</v>
      </c>
    </row>
    <row r="10815" spans="1:10" ht="13.5" thickBot="1">
      <c r="A10815" s="27"/>
      <c r="B10815" s="110"/>
      <c r="D10815" s="409"/>
      <c r="E10815" s="13" t="s">
        <v>51</v>
      </c>
      <c r="F10815" s="13" t="s">
        <v>1929</v>
      </c>
      <c r="G10815" s="410" t="s">
        <v>48</v>
      </c>
      <c r="H10815" s="411">
        <v>0.55000000000000004</v>
      </c>
      <c r="I10815" s="412">
        <f>IF(AND(E10815&lt;&gt;"",G10815&lt;&gt;""),IF(D10815="",IF(G10815="OH",VLOOKUP(F10815,UPAH!$B$4:$H$101,7,0),VLOOKUP(F10815,#REF!,4,0)),0),0)</f>
        <v>0</v>
      </c>
      <c r="J10815" s="16">
        <f>H10815*I10815</f>
        <v>0</v>
      </c>
    </row>
    <row r="10816" spans="1:10" ht="13.5" thickBot="1">
      <c r="A10816" s="27"/>
      <c r="B10816" s="110"/>
      <c r="D10816" s="417"/>
      <c r="E10816" s="418"/>
      <c r="F10816" s="418"/>
      <c r="G10816" s="419"/>
      <c r="H10816" s="420" t="s">
        <v>52</v>
      </c>
      <c r="I10816" s="421"/>
      <c r="J10816" s="396">
        <f>SUM(J10812:J10815)</f>
        <v>0</v>
      </c>
    </row>
    <row r="10817" spans="1:10" ht="13">
      <c r="A10817" s="27"/>
      <c r="B10817" s="110"/>
      <c r="D10817" s="406" t="s">
        <v>53</v>
      </c>
      <c r="E10817" s="13" t="s">
        <v>54</v>
      </c>
      <c r="F10817" s="14"/>
      <c r="G10817" s="15"/>
      <c r="H10817" s="451"/>
      <c r="I10817" s="412"/>
      <c r="J10817" s="16"/>
    </row>
    <row r="10818" spans="1:10" ht="13.5" thickBot="1">
      <c r="A10818" s="27"/>
      <c r="B10818" s="110"/>
      <c r="D10818" s="409"/>
      <c r="E10818" s="13" t="s">
        <v>345</v>
      </c>
      <c r="F10818" s="14"/>
      <c r="G10818" s="410" t="s">
        <v>259</v>
      </c>
      <c r="H10818" s="411">
        <v>1</v>
      </c>
      <c r="I10818" s="412">
        <f>'BAHAN '!G1024</f>
        <v>0</v>
      </c>
      <c r="J10818" s="16">
        <f>H10818*I10818</f>
        <v>0</v>
      </c>
    </row>
    <row r="10819" spans="1:10" ht="13.5" thickBot="1">
      <c r="A10819" s="27"/>
      <c r="B10819" s="110"/>
      <c r="D10819" s="417"/>
      <c r="E10819" s="418"/>
      <c r="F10819" s="418"/>
      <c r="G10819" s="419"/>
      <c r="H10819" s="420" t="s">
        <v>64</v>
      </c>
      <c r="I10819" s="421"/>
      <c r="J10819" s="396">
        <f>SUM(J10818)</f>
        <v>0</v>
      </c>
    </row>
    <row r="10820" spans="1:10" ht="13">
      <c r="A10820" s="27"/>
      <c r="B10820" s="110"/>
      <c r="D10820" s="406" t="s">
        <v>65</v>
      </c>
      <c r="E10820" s="13" t="s">
        <v>66</v>
      </c>
      <c r="F10820" s="14"/>
      <c r="G10820" s="15"/>
      <c r="H10820" s="451"/>
      <c r="I10820" s="412"/>
      <c r="J10820" s="16"/>
    </row>
    <row r="10821" spans="1:10" ht="13.5" thickBot="1">
      <c r="A10821" s="27"/>
      <c r="B10821" s="110"/>
      <c r="D10821" s="409"/>
      <c r="E10821" s="13" t="s">
        <v>1075</v>
      </c>
      <c r="F10821" s="14"/>
      <c r="G10821" s="410" t="s">
        <v>285</v>
      </c>
      <c r="H10821" s="411">
        <v>0.57599999999999996</v>
      </c>
      <c r="I10821" s="412">
        <f>Alat!H26</f>
        <v>0</v>
      </c>
      <c r="J10821" s="16">
        <f>H10821*I10821</f>
        <v>0</v>
      </c>
    </row>
    <row r="10822" spans="1:10" ht="13.5" thickBot="1">
      <c r="A10822" s="27"/>
      <c r="B10822" s="110"/>
      <c r="D10822" s="417"/>
      <c r="E10822" s="418"/>
      <c r="F10822" s="418"/>
      <c r="G10822" s="419"/>
      <c r="H10822" s="420" t="s">
        <v>67</v>
      </c>
      <c r="I10822" s="421"/>
      <c r="J10822" s="396">
        <f>J10821</f>
        <v>0</v>
      </c>
    </row>
    <row r="10823" spans="1:10" ht="13">
      <c r="A10823" s="27"/>
      <c r="B10823" s="110"/>
      <c r="D10823" s="444" t="s">
        <v>68</v>
      </c>
      <c r="E10823" s="445" t="s">
        <v>69</v>
      </c>
      <c r="F10823" s="446"/>
      <c r="G10823" s="447"/>
      <c r="H10823" s="448"/>
      <c r="I10823" s="449">
        <f>IF(AND(E10823&lt;&gt;"",G10823&lt;&gt;""),IF(D10823="",IF(G10823="OH",VLOOKUP(E10823,UPAH!$C$4:$H$31,7,0),VLOOKUP(E10823,#REF!,4,0)),0),0)</f>
        <v>0</v>
      </c>
      <c r="J10823" s="16">
        <f>SUM(J10812:J10822)/2</f>
        <v>0</v>
      </c>
    </row>
    <row r="10824" spans="1:10" ht="13.5" thickBot="1">
      <c r="A10824" s="27"/>
      <c r="B10824" s="110"/>
      <c r="D10824" s="431" t="s">
        <v>70</v>
      </c>
      <c r="E10824" s="432" t="s">
        <v>477</v>
      </c>
      <c r="F10824" s="433"/>
      <c r="G10824" s="434"/>
      <c r="H10824" s="22">
        <v>0.1</v>
      </c>
      <c r="I10824" s="436"/>
      <c r="J10824" s="430">
        <f>H10824*J10823</f>
        <v>0</v>
      </c>
    </row>
    <row r="10825" spans="1:10" ht="13.5" thickBot="1">
      <c r="A10825" s="27"/>
      <c r="B10825" s="110"/>
      <c r="D10825" s="401" t="s">
        <v>71</v>
      </c>
      <c r="E10825" s="402" t="s">
        <v>72</v>
      </c>
      <c r="F10825" s="418"/>
      <c r="G10825" s="419"/>
      <c r="H10825" s="442"/>
      <c r="I10825" s="421">
        <f>IF(AND(E10825&lt;&gt;"",G10825&lt;&gt;""),IF(D10825="",IF(G10825="OH",VLOOKUP(E10825,UPAH!$C$4:$H$31,7,0),VLOOKUP(E10825,#REF!,4,0)),0),0)</f>
        <v>0</v>
      </c>
      <c r="J10825" s="396">
        <f>ROUNDDOWN(J10823+J10824,0)</f>
        <v>0</v>
      </c>
    </row>
    <row r="10826" spans="1:10" ht="13">
      <c r="A10826" s="27"/>
      <c r="B10826" s="110"/>
      <c r="D10826" s="11"/>
      <c r="E10826" s="11"/>
      <c r="H10826" s="443"/>
      <c r="I10826" s="17"/>
      <c r="J10826" s="18"/>
    </row>
    <row r="10827" spans="1:10" ht="13.5" thickBot="1">
      <c r="A10827" s="27"/>
      <c r="B10827" s="110"/>
      <c r="C10827" s="11" t="s">
        <v>1615</v>
      </c>
      <c r="D10827" s="10" t="s">
        <v>1678</v>
      </c>
      <c r="H10827" s="443"/>
    </row>
    <row r="10828" spans="1:10" ht="13.5" thickBot="1">
      <c r="A10828" s="27"/>
      <c r="B10828" s="110"/>
      <c r="D10828" s="401" t="s">
        <v>40</v>
      </c>
      <c r="E10828" s="402" t="s">
        <v>41</v>
      </c>
      <c r="F10828" s="402" t="s">
        <v>42</v>
      </c>
      <c r="G10828" s="403" t="s">
        <v>43</v>
      </c>
      <c r="H10828" s="404" t="s">
        <v>44</v>
      </c>
      <c r="I10828" s="402" t="s">
        <v>474</v>
      </c>
      <c r="J10828" s="405" t="s">
        <v>475</v>
      </c>
    </row>
    <row r="10829" spans="1:10" ht="13">
      <c r="A10829" s="27"/>
      <c r="B10829" s="110"/>
      <c r="D10829" s="444" t="s">
        <v>45</v>
      </c>
      <c r="E10829" s="445" t="s">
        <v>46</v>
      </c>
      <c r="F10829" s="446"/>
      <c r="G10829" s="447"/>
      <c r="H10829" s="448"/>
      <c r="I10829" s="449"/>
      <c r="J10829" s="450"/>
    </row>
    <row r="10830" spans="1:10" ht="13">
      <c r="A10830" s="27"/>
      <c r="B10830" s="110"/>
      <c r="D10830" s="409"/>
      <c r="E10830" s="13" t="s">
        <v>47</v>
      </c>
      <c r="F10830" s="13" t="s">
        <v>1918</v>
      </c>
      <c r="G10830" s="410" t="s">
        <v>48</v>
      </c>
      <c r="H10830" s="411">
        <v>2.8000000000000001E-2</v>
      </c>
      <c r="I10830" s="412">
        <f>IF(AND(E10830&lt;&gt;"",G10830&lt;&gt;""),IF(D10830="",IF(G10830="OH",VLOOKUP(F10830,UPAH!$B$4:$H$101,7,0),VLOOKUP(F10830,#REF!,4,0)),0),0)</f>
        <v>0</v>
      </c>
      <c r="J10830" s="16">
        <f>H10830*I10830</f>
        <v>0</v>
      </c>
    </row>
    <row r="10831" spans="1:10" ht="13">
      <c r="A10831" s="27"/>
      <c r="B10831" s="110"/>
      <c r="D10831" s="409"/>
      <c r="E10831" s="13" t="s">
        <v>283</v>
      </c>
      <c r="F10831" s="13" t="s">
        <v>1913</v>
      </c>
      <c r="G10831" s="410" t="s">
        <v>48</v>
      </c>
      <c r="H10831" s="411">
        <v>6.0000000000000001E-3</v>
      </c>
      <c r="I10831" s="412">
        <f>IF(AND(E10831&lt;&gt;"",G10831&lt;&gt;""),IF(D10831="",IF(G10831="OH",VLOOKUP(F10831,UPAH!$B$4:$H$101,7,0),VLOOKUP(F10831,#REF!,4,0)),0),0)</f>
        <v>0</v>
      </c>
      <c r="J10831" s="16">
        <f>H10831*I10831</f>
        <v>0</v>
      </c>
    </row>
    <row r="10832" spans="1:10" ht="13.5" thickBot="1">
      <c r="A10832" s="27"/>
      <c r="B10832" s="110"/>
      <c r="D10832" s="409"/>
      <c r="E10832" s="13" t="s">
        <v>51</v>
      </c>
      <c r="F10832" s="13" t="s">
        <v>1929</v>
      </c>
      <c r="G10832" s="410" t="s">
        <v>48</v>
      </c>
      <c r="H10832" s="411">
        <v>3.0000000000000001E-3</v>
      </c>
      <c r="I10832" s="412">
        <f>IF(AND(E10832&lt;&gt;"",G10832&lt;&gt;""),IF(D10832="",IF(G10832="OH",VLOOKUP(F10832,UPAH!$B$4:$H$101,7,0),VLOOKUP(F10832,#REF!,4,0)),0),0)</f>
        <v>0</v>
      </c>
      <c r="J10832" s="16">
        <f>H10832*I10832</f>
        <v>0</v>
      </c>
    </row>
    <row r="10833" spans="1:10" ht="13.5" thickBot="1">
      <c r="A10833" s="27"/>
      <c r="B10833" s="110"/>
      <c r="D10833" s="417"/>
      <c r="E10833" s="418"/>
      <c r="F10833" s="418"/>
      <c r="G10833" s="419"/>
      <c r="H10833" s="420" t="s">
        <v>52</v>
      </c>
      <c r="I10833" s="421"/>
      <c r="J10833" s="396">
        <f>SUM(J10829:J10832)</f>
        <v>0</v>
      </c>
    </row>
    <row r="10834" spans="1:10" ht="13">
      <c r="A10834" s="27"/>
      <c r="B10834" s="110"/>
      <c r="D10834" s="406" t="s">
        <v>53</v>
      </c>
      <c r="E10834" s="13" t="s">
        <v>54</v>
      </c>
      <c r="F10834" s="14"/>
      <c r="G10834" s="15"/>
      <c r="H10834" s="451"/>
      <c r="I10834" s="412"/>
      <c r="J10834" s="16"/>
    </row>
    <row r="10835" spans="1:10" ht="13.5" thickBot="1">
      <c r="A10835" s="27"/>
      <c r="B10835" s="110"/>
      <c r="D10835" s="409"/>
      <c r="E10835" s="13" t="s">
        <v>426</v>
      </c>
      <c r="F10835" s="14"/>
      <c r="G10835" s="410" t="s">
        <v>259</v>
      </c>
      <c r="H10835" s="411">
        <v>1</v>
      </c>
      <c r="I10835" s="412">
        <f>'BAHAN '!G364</f>
        <v>0</v>
      </c>
      <c r="J10835" s="16">
        <f>H10835*I10835</f>
        <v>0</v>
      </c>
    </row>
    <row r="10836" spans="1:10" ht="13.5" thickBot="1">
      <c r="A10836" s="27"/>
      <c r="B10836" s="110"/>
      <c r="D10836" s="417"/>
      <c r="E10836" s="418"/>
      <c r="F10836" s="418"/>
      <c r="G10836" s="419"/>
      <c r="H10836" s="420" t="s">
        <v>64</v>
      </c>
      <c r="I10836" s="421"/>
      <c r="J10836" s="396">
        <f>SUM(J10835)</f>
        <v>0</v>
      </c>
    </row>
    <row r="10837" spans="1:10" ht="13">
      <c r="A10837" s="27"/>
      <c r="B10837" s="110"/>
      <c r="D10837" s="406" t="s">
        <v>65</v>
      </c>
      <c r="E10837" s="13" t="s">
        <v>66</v>
      </c>
      <c r="F10837" s="14"/>
      <c r="G10837" s="15"/>
      <c r="H10837" s="451"/>
      <c r="I10837" s="412"/>
      <c r="J10837" s="16"/>
    </row>
    <row r="10838" spans="1:10" ht="13.5" thickBot="1">
      <c r="A10838" s="27"/>
      <c r="B10838" s="110"/>
      <c r="D10838" s="409"/>
      <c r="E10838" s="13" t="s">
        <v>1075</v>
      </c>
      <c r="F10838" s="14"/>
      <c r="G10838" s="410" t="s">
        <v>285</v>
      </c>
      <c r="H10838" s="411">
        <v>3.6999999999999998E-2</v>
      </c>
      <c r="I10838" s="412">
        <f>Alat!H26</f>
        <v>0</v>
      </c>
      <c r="J10838" s="16">
        <f>H10838*I10838</f>
        <v>0</v>
      </c>
    </row>
    <row r="10839" spans="1:10" ht="13.5" thickBot="1">
      <c r="A10839" s="27"/>
      <c r="B10839" s="110"/>
      <c r="D10839" s="417"/>
      <c r="E10839" s="418"/>
      <c r="F10839" s="418"/>
      <c r="G10839" s="419"/>
      <c r="H10839" s="420" t="s">
        <v>67</v>
      </c>
      <c r="I10839" s="421"/>
      <c r="J10839" s="396">
        <f>J10838</f>
        <v>0</v>
      </c>
    </row>
    <row r="10840" spans="1:10" ht="13">
      <c r="A10840" s="27"/>
      <c r="B10840" s="110"/>
      <c r="D10840" s="444" t="s">
        <v>68</v>
      </c>
      <c r="E10840" s="445" t="s">
        <v>69</v>
      </c>
      <c r="F10840" s="446"/>
      <c r="G10840" s="447"/>
      <c r="H10840" s="448"/>
      <c r="I10840" s="449">
        <f>IF(AND(E10840&lt;&gt;"",G10840&lt;&gt;""),IF(D10840="",IF(G10840="OH",VLOOKUP(E10840,UPAH!$C$4:$H$31,7,0),VLOOKUP(E10840,#REF!,4,0)),0),0)</f>
        <v>0</v>
      </c>
      <c r="J10840" s="16">
        <f>SUM(J10829:J10839)/2</f>
        <v>0</v>
      </c>
    </row>
    <row r="10841" spans="1:10" ht="13.5" thickBot="1">
      <c r="A10841" s="27"/>
      <c r="B10841" s="110"/>
      <c r="D10841" s="431" t="s">
        <v>70</v>
      </c>
      <c r="E10841" s="432" t="s">
        <v>477</v>
      </c>
      <c r="F10841" s="433"/>
      <c r="G10841" s="434"/>
      <c r="H10841" s="22">
        <v>0.1</v>
      </c>
      <c r="I10841" s="436"/>
      <c r="J10841" s="430">
        <f>H10841*J10840</f>
        <v>0</v>
      </c>
    </row>
    <row r="10842" spans="1:10" ht="13.5" thickBot="1">
      <c r="A10842" s="27"/>
      <c r="B10842" s="110"/>
      <c r="D10842" s="401" t="s">
        <v>71</v>
      </c>
      <c r="E10842" s="402" t="s">
        <v>72</v>
      </c>
      <c r="F10842" s="418"/>
      <c r="G10842" s="419"/>
      <c r="H10842" s="442"/>
      <c r="I10842" s="421">
        <f>IF(AND(E10842&lt;&gt;"",G10842&lt;&gt;""),IF(D10842="",IF(G10842="OH",VLOOKUP(E10842,UPAH!$C$4:$H$31,7,0),VLOOKUP(E10842,#REF!,4,0)),0),0)</f>
        <v>0</v>
      </c>
      <c r="J10842" s="396">
        <f>ROUNDDOWN(J10840+J10841,0)</f>
        <v>0</v>
      </c>
    </row>
    <row r="10843" spans="1:10" ht="13">
      <c r="A10843" s="27"/>
      <c r="B10843" s="110"/>
      <c r="D10843" s="11"/>
      <c r="E10843" s="11"/>
      <c r="H10843" s="443"/>
      <c r="I10843" s="17"/>
      <c r="J10843" s="18"/>
    </row>
    <row r="10844" spans="1:10" ht="13.5" thickBot="1">
      <c r="A10844" s="27"/>
      <c r="B10844" s="110"/>
      <c r="C10844" s="11" t="s">
        <v>1614</v>
      </c>
      <c r="D10844" s="10" t="s">
        <v>1679</v>
      </c>
      <c r="H10844" s="443"/>
    </row>
    <row r="10845" spans="1:10" ht="13.5" thickBot="1">
      <c r="A10845" s="27"/>
      <c r="B10845" s="110"/>
      <c r="D10845" s="401" t="s">
        <v>40</v>
      </c>
      <c r="E10845" s="402" t="s">
        <v>41</v>
      </c>
      <c r="F10845" s="402" t="s">
        <v>42</v>
      </c>
      <c r="G10845" s="403" t="s">
        <v>43</v>
      </c>
      <c r="H10845" s="404" t="s">
        <v>44</v>
      </c>
      <c r="I10845" s="402" t="s">
        <v>474</v>
      </c>
      <c r="J10845" s="405" t="s">
        <v>475</v>
      </c>
    </row>
    <row r="10846" spans="1:10" ht="13">
      <c r="A10846" s="27"/>
      <c r="B10846" s="110"/>
      <c r="D10846" s="444" t="s">
        <v>45</v>
      </c>
      <c r="E10846" s="445" t="s">
        <v>46</v>
      </c>
      <c r="F10846" s="446"/>
      <c r="G10846" s="447"/>
      <c r="H10846" s="448"/>
      <c r="I10846" s="449"/>
      <c r="J10846" s="450"/>
    </row>
    <row r="10847" spans="1:10" ht="13">
      <c r="A10847" s="27"/>
      <c r="B10847" s="110"/>
      <c r="D10847" s="409"/>
      <c r="E10847" s="13" t="s">
        <v>47</v>
      </c>
      <c r="F10847" s="13" t="s">
        <v>1918</v>
      </c>
      <c r="G10847" s="410" t="s">
        <v>48</v>
      </c>
      <c r="H10847" s="411">
        <v>8.5000000000000006E-2</v>
      </c>
      <c r="I10847" s="412">
        <f>IF(AND(E10847&lt;&gt;"",G10847&lt;&gt;""),IF(D10847="",IF(G10847="OH",VLOOKUP(F10847,UPAH!$B$4:$H$101,7,0),VLOOKUP(F10847,#REF!,4,0)),0),0)</f>
        <v>0</v>
      </c>
      <c r="J10847" s="16">
        <f>H10847*I10847</f>
        <v>0</v>
      </c>
    </row>
    <row r="10848" spans="1:10" ht="13">
      <c r="A10848" s="27"/>
      <c r="B10848" s="110"/>
      <c r="D10848" s="409"/>
      <c r="E10848" s="13" t="s">
        <v>283</v>
      </c>
      <c r="F10848" s="13" t="s">
        <v>1913</v>
      </c>
      <c r="G10848" s="410" t="s">
        <v>48</v>
      </c>
      <c r="H10848" s="411">
        <v>1.7000000000000001E-2</v>
      </c>
      <c r="I10848" s="412">
        <f>IF(AND(E10848&lt;&gt;"",G10848&lt;&gt;""),IF(D10848="",IF(G10848="OH",VLOOKUP(F10848,UPAH!$B$4:$H$101,7,0),VLOOKUP(F10848,#REF!,4,0)),0),0)</f>
        <v>0</v>
      </c>
      <c r="J10848" s="16">
        <f>H10848*I10848</f>
        <v>0</v>
      </c>
    </row>
    <row r="10849" spans="1:10" ht="13.5" thickBot="1">
      <c r="A10849" s="27"/>
      <c r="B10849" s="110"/>
      <c r="D10849" s="409"/>
      <c r="E10849" s="13" t="s">
        <v>51</v>
      </c>
      <c r="F10849" s="13" t="s">
        <v>1929</v>
      </c>
      <c r="G10849" s="410" t="s">
        <v>48</v>
      </c>
      <c r="H10849" s="411">
        <v>8.0000000000000002E-3</v>
      </c>
      <c r="I10849" s="412">
        <f>IF(AND(E10849&lt;&gt;"",G10849&lt;&gt;""),IF(D10849="",IF(G10849="OH",VLOOKUP(F10849,UPAH!$B$4:$H$101,7,0),VLOOKUP(F10849,#REF!,4,0)),0),0)</f>
        <v>0</v>
      </c>
      <c r="J10849" s="16">
        <f>H10849*I10849</f>
        <v>0</v>
      </c>
    </row>
    <row r="10850" spans="1:10" ht="13.5" thickBot="1">
      <c r="A10850" s="27"/>
      <c r="B10850" s="110"/>
      <c r="D10850" s="417"/>
      <c r="E10850" s="418"/>
      <c r="F10850" s="418"/>
      <c r="G10850" s="419"/>
      <c r="H10850" s="420" t="s">
        <v>52</v>
      </c>
      <c r="I10850" s="421"/>
      <c r="J10850" s="396">
        <f>SUM(J10846:J10849)</f>
        <v>0</v>
      </c>
    </row>
    <row r="10851" spans="1:10" ht="13">
      <c r="A10851" s="27"/>
      <c r="B10851" s="110"/>
      <c r="D10851" s="406" t="s">
        <v>53</v>
      </c>
      <c r="E10851" s="13" t="s">
        <v>54</v>
      </c>
      <c r="F10851" s="14"/>
      <c r="G10851" s="15"/>
      <c r="H10851" s="451"/>
      <c r="I10851" s="412"/>
      <c r="J10851" s="16"/>
    </row>
    <row r="10852" spans="1:10" ht="13.5" thickBot="1">
      <c r="A10852" s="27"/>
      <c r="B10852" s="110"/>
      <c r="D10852" s="409"/>
      <c r="E10852" s="13" t="s">
        <v>413</v>
      </c>
      <c r="F10852" s="14"/>
      <c r="G10852" s="410" t="s">
        <v>259</v>
      </c>
      <c r="H10852" s="411">
        <v>1</v>
      </c>
      <c r="I10852" s="412">
        <f>'BAHAN '!G363</f>
        <v>0</v>
      </c>
      <c r="J10852" s="16">
        <f>H10852*I10852</f>
        <v>0</v>
      </c>
    </row>
    <row r="10853" spans="1:10" ht="13.5" thickBot="1">
      <c r="A10853" s="27"/>
      <c r="B10853" s="110"/>
      <c r="D10853" s="417"/>
      <c r="E10853" s="418"/>
      <c r="F10853" s="418"/>
      <c r="G10853" s="419"/>
      <c r="H10853" s="420" t="s">
        <v>64</v>
      </c>
      <c r="I10853" s="421"/>
      <c r="J10853" s="396">
        <f>SUM(J10852)</f>
        <v>0</v>
      </c>
    </row>
    <row r="10854" spans="1:10" ht="13">
      <c r="A10854" s="27"/>
      <c r="B10854" s="110"/>
      <c r="D10854" s="406" t="s">
        <v>65</v>
      </c>
      <c r="E10854" s="13" t="s">
        <v>66</v>
      </c>
      <c r="F10854" s="14"/>
      <c r="G10854" s="15"/>
      <c r="H10854" s="451"/>
      <c r="I10854" s="412"/>
      <c r="J10854" s="16"/>
    </row>
    <row r="10855" spans="1:10" ht="13.5" thickBot="1">
      <c r="A10855" s="27"/>
      <c r="B10855" s="110"/>
      <c r="D10855" s="409"/>
      <c r="E10855" s="13" t="s">
        <v>1075</v>
      </c>
      <c r="F10855" s="14"/>
      <c r="G10855" s="410" t="s">
        <v>285</v>
      </c>
      <c r="H10855" s="411">
        <v>0.04</v>
      </c>
      <c r="I10855" s="412">
        <f>Alat!H26</f>
        <v>0</v>
      </c>
      <c r="J10855" s="16">
        <f>H10855*I10855</f>
        <v>0</v>
      </c>
    </row>
    <row r="10856" spans="1:10" ht="13.5" thickBot="1">
      <c r="A10856" s="27"/>
      <c r="B10856" s="110"/>
      <c r="D10856" s="417"/>
      <c r="E10856" s="418"/>
      <c r="F10856" s="418"/>
      <c r="G10856" s="419"/>
      <c r="H10856" s="420" t="s">
        <v>67</v>
      </c>
      <c r="I10856" s="421"/>
      <c r="J10856" s="396">
        <f>J10855</f>
        <v>0</v>
      </c>
    </row>
    <row r="10857" spans="1:10" ht="13">
      <c r="A10857" s="27"/>
      <c r="B10857" s="110"/>
      <c r="D10857" s="444" t="s">
        <v>68</v>
      </c>
      <c r="E10857" s="445" t="s">
        <v>69</v>
      </c>
      <c r="F10857" s="446"/>
      <c r="G10857" s="447"/>
      <c r="H10857" s="448"/>
      <c r="I10857" s="449">
        <f>IF(AND(E10857&lt;&gt;"",G10857&lt;&gt;""),IF(D10857="",IF(G10857="OH",VLOOKUP(E10857,UPAH!$C$4:$H$31,7,0),VLOOKUP(E10857,#REF!,4,0)),0),0)</f>
        <v>0</v>
      </c>
      <c r="J10857" s="16">
        <f>SUM(J10846:J10856)/2</f>
        <v>0</v>
      </c>
    </row>
    <row r="10858" spans="1:10" ht="13.5" thickBot="1">
      <c r="A10858" s="27"/>
      <c r="B10858" s="110"/>
      <c r="D10858" s="431" t="s">
        <v>70</v>
      </c>
      <c r="E10858" s="432" t="s">
        <v>477</v>
      </c>
      <c r="F10858" s="433"/>
      <c r="G10858" s="434"/>
      <c r="H10858" s="22">
        <v>0.1</v>
      </c>
      <c r="I10858" s="436"/>
      <c r="J10858" s="430">
        <f>H10858*J10857</f>
        <v>0</v>
      </c>
    </row>
    <row r="10859" spans="1:10" ht="13.5" thickBot="1">
      <c r="A10859" s="27"/>
      <c r="B10859" s="110"/>
      <c r="D10859" s="401" t="s">
        <v>71</v>
      </c>
      <c r="E10859" s="402" t="s">
        <v>72</v>
      </c>
      <c r="F10859" s="418"/>
      <c r="G10859" s="419"/>
      <c r="H10859" s="442"/>
      <c r="I10859" s="421">
        <f>IF(AND(E10859&lt;&gt;"",G10859&lt;&gt;""),IF(D10859="",IF(G10859="OH",VLOOKUP(E10859,UPAH!$C$4:$H$31,7,0),VLOOKUP(E10859,#REF!,4,0)),0),0)</f>
        <v>0</v>
      </c>
      <c r="J10859" s="396">
        <f>ROUNDDOWN(J10857+J10858,0)</f>
        <v>0</v>
      </c>
    </row>
    <row r="10860" spans="1:10" ht="13">
      <c r="A10860" s="27"/>
      <c r="B10860" s="110"/>
      <c r="D10860" s="11"/>
      <c r="E10860" s="11"/>
      <c r="H10860" s="443"/>
      <c r="I10860" s="17"/>
      <c r="J10860" s="18"/>
    </row>
    <row r="10861" spans="1:10" ht="13.5" thickBot="1">
      <c r="A10861" s="27"/>
      <c r="B10861" s="110"/>
      <c r="C10861" s="11" t="s">
        <v>1613</v>
      </c>
      <c r="D10861" s="10" t="s">
        <v>1680</v>
      </c>
      <c r="H10861" s="443"/>
    </row>
    <row r="10862" spans="1:10" ht="13.5" thickBot="1">
      <c r="A10862" s="27"/>
      <c r="B10862" s="110"/>
      <c r="D10862" s="401" t="s">
        <v>40</v>
      </c>
      <c r="E10862" s="402" t="s">
        <v>41</v>
      </c>
      <c r="F10862" s="402" t="s">
        <v>42</v>
      </c>
      <c r="G10862" s="403" t="s">
        <v>43</v>
      </c>
      <c r="H10862" s="404" t="s">
        <v>44</v>
      </c>
      <c r="I10862" s="402" t="s">
        <v>474</v>
      </c>
      <c r="J10862" s="405" t="s">
        <v>475</v>
      </c>
    </row>
    <row r="10863" spans="1:10" ht="13">
      <c r="A10863" s="27"/>
      <c r="B10863" s="110"/>
      <c r="D10863" s="444" t="s">
        <v>45</v>
      </c>
      <c r="E10863" s="445" t="s">
        <v>46</v>
      </c>
      <c r="F10863" s="446"/>
      <c r="G10863" s="447"/>
      <c r="H10863" s="448"/>
      <c r="I10863" s="449"/>
      <c r="J10863" s="450"/>
    </row>
    <row r="10864" spans="1:10" ht="13">
      <c r="A10864" s="27"/>
      <c r="B10864" s="110"/>
      <c r="D10864" s="409"/>
      <c r="E10864" s="13" t="s">
        <v>47</v>
      </c>
      <c r="F10864" s="13" t="s">
        <v>1918</v>
      </c>
      <c r="G10864" s="410" t="s">
        <v>48</v>
      </c>
      <c r="H10864" s="411">
        <v>0.13300000000000001</v>
      </c>
      <c r="I10864" s="412">
        <f>IF(AND(E10864&lt;&gt;"",G10864&lt;&gt;""),IF(D10864="",IF(G10864="OH",VLOOKUP(F10864,UPAH!$B$4:$H$101,7,0),VLOOKUP(F10864,#REF!,4,0)),0),0)</f>
        <v>0</v>
      </c>
      <c r="J10864" s="16">
        <f>H10864*I10864</f>
        <v>0</v>
      </c>
    </row>
    <row r="10865" spans="1:10" ht="13">
      <c r="A10865" s="27"/>
      <c r="B10865" s="110"/>
      <c r="D10865" s="409"/>
      <c r="E10865" s="13" t="s">
        <v>283</v>
      </c>
      <c r="F10865" s="13" t="s">
        <v>1913</v>
      </c>
      <c r="G10865" s="410" t="s">
        <v>48</v>
      </c>
      <c r="H10865" s="411">
        <v>2.7E-2</v>
      </c>
      <c r="I10865" s="412">
        <f>IF(AND(E10865&lt;&gt;"",G10865&lt;&gt;""),IF(D10865="",IF(G10865="OH",VLOOKUP(F10865,UPAH!$B$4:$H$101,7,0),VLOOKUP(F10865,#REF!,4,0)),0),0)</f>
        <v>0</v>
      </c>
      <c r="J10865" s="16">
        <f>H10865*I10865</f>
        <v>0</v>
      </c>
    </row>
    <row r="10866" spans="1:10" ht="13.5" thickBot="1">
      <c r="A10866" s="27"/>
      <c r="B10866" s="110"/>
      <c r="D10866" s="409"/>
      <c r="E10866" s="13" t="s">
        <v>51</v>
      </c>
      <c r="F10866" s="13" t="s">
        <v>1929</v>
      </c>
      <c r="G10866" s="410" t="s">
        <v>48</v>
      </c>
      <c r="H10866" s="411">
        <v>1.2999999999999999E-2</v>
      </c>
      <c r="I10866" s="412">
        <f>IF(AND(E10866&lt;&gt;"",G10866&lt;&gt;""),IF(D10866="",IF(G10866="OH",VLOOKUP(F10866,UPAH!$B$4:$H$101,7,0),VLOOKUP(F10866,#REF!,4,0)),0),0)</f>
        <v>0</v>
      </c>
      <c r="J10866" s="16">
        <f>H10866*I10866</f>
        <v>0</v>
      </c>
    </row>
    <row r="10867" spans="1:10" ht="13.5" thickBot="1">
      <c r="A10867" s="27"/>
      <c r="B10867" s="110"/>
      <c r="D10867" s="417"/>
      <c r="E10867" s="418"/>
      <c r="F10867" s="418"/>
      <c r="G10867" s="419"/>
      <c r="H10867" s="420" t="s">
        <v>52</v>
      </c>
      <c r="I10867" s="421"/>
      <c r="J10867" s="396">
        <f>SUM(J10863:J10866)</f>
        <v>0</v>
      </c>
    </row>
    <row r="10868" spans="1:10" ht="13">
      <c r="A10868" s="27"/>
      <c r="B10868" s="110"/>
      <c r="D10868" s="406" t="s">
        <v>53</v>
      </c>
      <c r="E10868" s="13" t="s">
        <v>54</v>
      </c>
      <c r="F10868" s="14"/>
      <c r="G10868" s="15"/>
      <c r="H10868" s="451"/>
      <c r="I10868" s="412"/>
      <c r="J10868" s="16"/>
    </row>
    <row r="10869" spans="1:10" ht="13.5" thickBot="1">
      <c r="A10869" s="27"/>
      <c r="B10869" s="110"/>
      <c r="D10869" s="409"/>
      <c r="E10869" s="13" t="s">
        <v>417</v>
      </c>
      <c r="F10869" s="14"/>
      <c r="G10869" s="410" t="s">
        <v>259</v>
      </c>
      <c r="H10869" s="411">
        <v>1</v>
      </c>
      <c r="I10869" s="412">
        <f>'BAHAN '!G362</f>
        <v>0</v>
      </c>
      <c r="J10869" s="16">
        <f>H10869*I10869</f>
        <v>0</v>
      </c>
    </row>
    <row r="10870" spans="1:10" ht="13.5" thickBot="1">
      <c r="A10870" s="27"/>
      <c r="B10870" s="110"/>
      <c r="D10870" s="417"/>
      <c r="E10870" s="418"/>
      <c r="F10870" s="418"/>
      <c r="G10870" s="419"/>
      <c r="H10870" s="420" t="s">
        <v>64</v>
      </c>
      <c r="I10870" s="421"/>
      <c r="J10870" s="396">
        <f>SUM(J10869)</f>
        <v>0</v>
      </c>
    </row>
    <row r="10871" spans="1:10" ht="13">
      <c r="A10871" s="27"/>
      <c r="B10871" s="110"/>
      <c r="D10871" s="406" t="s">
        <v>65</v>
      </c>
      <c r="E10871" s="13" t="s">
        <v>66</v>
      </c>
      <c r="F10871" s="14"/>
      <c r="G10871" s="15"/>
      <c r="H10871" s="451"/>
      <c r="I10871" s="412"/>
      <c r="J10871" s="16"/>
    </row>
    <row r="10872" spans="1:10" ht="13.5" thickBot="1">
      <c r="A10872" s="27"/>
      <c r="B10872" s="110"/>
      <c r="D10872" s="409"/>
      <c r="E10872" s="13" t="s">
        <v>1075</v>
      </c>
      <c r="F10872" s="14"/>
      <c r="G10872" s="410" t="s">
        <v>285</v>
      </c>
      <c r="H10872" s="411">
        <v>4.2000000000000003E-2</v>
      </c>
      <c r="I10872" s="412">
        <f>Alat!H26</f>
        <v>0</v>
      </c>
      <c r="J10872" s="16">
        <f>H10872*I10872</f>
        <v>0</v>
      </c>
    </row>
    <row r="10873" spans="1:10" ht="13.5" thickBot="1">
      <c r="A10873" s="27"/>
      <c r="B10873" s="110"/>
      <c r="D10873" s="417"/>
      <c r="E10873" s="418"/>
      <c r="F10873" s="418"/>
      <c r="G10873" s="419"/>
      <c r="H10873" s="420" t="s">
        <v>67</v>
      </c>
      <c r="I10873" s="421"/>
      <c r="J10873" s="396">
        <f>J10872</f>
        <v>0</v>
      </c>
    </row>
    <row r="10874" spans="1:10" ht="13">
      <c r="A10874" s="27"/>
      <c r="B10874" s="110"/>
      <c r="D10874" s="444" t="s">
        <v>68</v>
      </c>
      <c r="E10874" s="445" t="s">
        <v>69</v>
      </c>
      <c r="F10874" s="446"/>
      <c r="G10874" s="447"/>
      <c r="H10874" s="448"/>
      <c r="I10874" s="449">
        <f>IF(AND(E10874&lt;&gt;"",G10874&lt;&gt;""),IF(D10874="",IF(G10874="OH",VLOOKUP(E10874,UPAH!$C$4:$H$31,7,0),VLOOKUP(E10874,#REF!,4,0)),0),0)</f>
        <v>0</v>
      </c>
      <c r="J10874" s="16">
        <f>SUM(J10863:J10873)/2</f>
        <v>0</v>
      </c>
    </row>
    <row r="10875" spans="1:10" ht="13.5" thickBot="1">
      <c r="A10875" s="27"/>
      <c r="B10875" s="110"/>
      <c r="D10875" s="431" t="s">
        <v>70</v>
      </c>
      <c r="E10875" s="432" t="s">
        <v>477</v>
      </c>
      <c r="F10875" s="433"/>
      <c r="G10875" s="434"/>
      <c r="H10875" s="22">
        <v>0.1</v>
      </c>
      <c r="I10875" s="436"/>
      <c r="J10875" s="430">
        <f>H10875*J10874</f>
        <v>0</v>
      </c>
    </row>
    <row r="10876" spans="1:10" ht="13.5" thickBot="1">
      <c r="A10876" s="27"/>
      <c r="B10876" s="110"/>
      <c r="D10876" s="401" t="s">
        <v>71</v>
      </c>
      <c r="E10876" s="402" t="s">
        <v>72</v>
      </c>
      <c r="F10876" s="418"/>
      <c r="G10876" s="419"/>
      <c r="H10876" s="442"/>
      <c r="I10876" s="421">
        <f>IF(AND(E10876&lt;&gt;"",G10876&lt;&gt;""),IF(D10876="",IF(G10876="OH",VLOOKUP(E10876,UPAH!$C$4:$H$31,7,0),VLOOKUP(E10876,#REF!,4,0)),0),0)</f>
        <v>0</v>
      </c>
      <c r="J10876" s="396">
        <f>ROUNDDOWN(J10874+J10875,0)</f>
        <v>0</v>
      </c>
    </row>
    <row r="10877" spans="1:10" ht="13">
      <c r="A10877" s="27"/>
      <c r="B10877" s="110"/>
      <c r="D10877" s="11"/>
      <c r="E10877" s="11"/>
      <c r="H10877" s="443"/>
      <c r="I10877" s="17"/>
      <c r="J10877" s="18"/>
    </row>
    <row r="10878" spans="1:10" ht="13.5" thickBot="1">
      <c r="A10878" s="27"/>
      <c r="B10878" s="110"/>
      <c r="C10878" s="11" t="s">
        <v>1612</v>
      </c>
      <c r="D10878" s="10" t="s">
        <v>1681</v>
      </c>
      <c r="H10878" s="443"/>
    </row>
    <row r="10879" spans="1:10" ht="13.5" thickBot="1">
      <c r="A10879" s="27"/>
      <c r="B10879" s="110"/>
      <c r="D10879" s="401" t="s">
        <v>40</v>
      </c>
      <c r="E10879" s="402" t="s">
        <v>41</v>
      </c>
      <c r="F10879" s="402" t="s">
        <v>42</v>
      </c>
      <c r="G10879" s="403" t="s">
        <v>43</v>
      </c>
      <c r="H10879" s="404" t="s">
        <v>44</v>
      </c>
      <c r="I10879" s="402" t="s">
        <v>474</v>
      </c>
      <c r="J10879" s="405" t="s">
        <v>475</v>
      </c>
    </row>
    <row r="10880" spans="1:10" ht="13">
      <c r="A10880" s="27"/>
      <c r="B10880" s="110"/>
      <c r="D10880" s="444" t="s">
        <v>45</v>
      </c>
      <c r="E10880" s="445" t="s">
        <v>46</v>
      </c>
      <c r="F10880" s="446"/>
      <c r="G10880" s="447"/>
      <c r="H10880" s="448"/>
      <c r="I10880" s="449"/>
      <c r="J10880" s="450"/>
    </row>
    <row r="10881" spans="1:10" ht="13">
      <c r="A10881" s="27"/>
      <c r="B10881" s="110"/>
      <c r="D10881" s="409"/>
      <c r="E10881" s="13" t="s">
        <v>47</v>
      </c>
      <c r="F10881" s="13" t="s">
        <v>1918</v>
      </c>
      <c r="G10881" s="410" t="s">
        <v>48</v>
      </c>
      <c r="H10881" s="411">
        <v>0.184</v>
      </c>
      <c r="I10881" s="412">
        <f>IF(AND(E10881&lt;&gt;"",G10881&lt;&gt;""),IF(D10881="",IF(G10881="OH",VLOOKUP(F10881,UPAH!$B$4:$H$101,7,0),VLOOKUP(F10881,#REF!,4,0)),0),0)</f>
        <v>0</v>
      </c>
      <c r="J10881" s="16">
        <f>H10881*I10881</f>
        <v>0</v>
      </c>
    </row>
    <row r="10882" spans="1:10" ht="13">
      <c r="A10882" s="27"/>
      <c r="B10882" s="110"/>
      <c r="D10882" s="409"/>
      <c r="E10882" s="13" t="s">
        <v>283</v>
      </c>
      <c r="F10882" s="13" t="s">
        <v>1913</v>
      </c>
      <c r="G10882" s="410" t="s">
        <v>48</v>
      </c>
      <c r="H10882" s="411">
        <v>3.6999999999999998E-2</v>
      </c>
      <c r="I10882" s="412">
        <f>IF(AND(E10882&lt;&gt;"",G10882&lt;&gt;""),IF(D10882="",IF(G10882="OH",VLOOKUP(F10882,UPAH!$B$4:$H$101,7,0),VLOOKUP(F10882,#REF!,4,0)),0),0)</f>
        <v>0</v>
      </c>
      <c r="J10882" s="16">
        <f>H10882*I10882</f>
        <v>0</v>
      </c>
    </row>
    <row r="10883" spans="1:10" ht="13.5" thickBot="1">
      <c r="A10883" s="27"/>
      <c r="B10883" s="110"/>
      <c r="D10883" s="409"/>
      <c r="E10883" s="13" t="s">
        <v>51</v>
      </c>
      <c r="F10883" s="13" t="s">
        <v>1929</v>
      </c>
      <c r="G10883" s="410" t="s">
        <v>48</v>
      </c>
      <c r="H10883" s="411">
        <v>1.7999999999999999E-2</v>
      </c>
      <c r="I10883" s="412">
        <f>IF(AND(E10883&lt;&gt;"",G10883&lt;&gt;""),IF(D10883="",IF(G10883="OH",VLOOKUP(F10883,UPAH!$B$4:$H$101,7,0),VLOOKUP(F10883,#REF!,4,0)),0),0)</f>
        <v>0</v>
      </c>
      <c r="J10883" s="16">
        <f>H10883*I10883</f>
        <v>0</v>
      </c>
    </row>
    <row r="10884" spans="1:10" ht="13.5" thickBot="1">
      <c r="A10884" s="27"/>
      <c r="B10884" s="110"/>
      <c r="D10884" s="417"/>
      <c r="E10884" s="418"/>
      <c r="F10884" s="418"/>
      <c r="G10884" s="419"/>
      <c r="H10884" s="420" t="s">
        <v>52</v>
      </c>
      <c r="I10884" s="421"/>
      <c r="J10884" s="396">
        <f>SUM(J10880:J10883)</f>
        <v>0</v>
      </c>
    </row>
    <row r="10885" spans="1:10" ht="13">
      <c r="A10885" s="27"/>
      <c r="B10885" s="110"/>
      <c r="D10885" s="406" t="s">
        <v>53</v>
      </c>
      <c r="E10885" s="13" t="s">
        <v>54</v>
      </c>
      <c r="F10885" s="14"/>
      <c r="G10885" s="15"/>
      <c r="H10885" s="451"/>
      <c r="I10885" s="412"/>
      <c r="J10885" s="16"/>
    </row>
    <row r="10886" spans="1:10" ht="13.5" thickBot="1">
      <c r="A10886" s="27"/>
      <c r="B10886" s="110"/>
      <c r="D10886" s="409"/>
      <c r="E10886" s="13" t="s">
        <v>418</v>
      </c>
      <c r="F10886" s="14"/>
      <c r="G10886" s="410" t="s">
        <v>259</v>
      </c>
      <c r="H10886" s="411">
        <v>1</v>
      </c>
      <c r="I10886" s="412">
        <f>'BAHAN '!G361</f>
        <v>0</v>
      </c>
      <c r="J10886" s="16">
        <f>H10886*I10886</f>
        <v>0</v>
      </c>
    </row>
    <row r="10887" spans="1:10" ht="13.5" thickBot="1">
      <c r="A10887" s="27"/>
      <c r="B10887" s="110"/>
      <c r="D10887" s="417"/>
      <c r="E10887" s="418"/>
      <c r="F10887" s="418"/>
      <c r="G10887" s="419"/>
      <c r="H10887" s="420" t="s">
        <v>64</v>
      </c>
      <c r="I10887" s="421"/>
      <c r="J10887" s="396">
        <f>SUM(J10886)</f>
        <v>0</v>
      </c>
    </row>
    <row r="10888" spans="1:10" ht="13">
      <c r="A10888" s="27"/>
      <c r="B10888" s="110"/>
      <c r="D10888" s="406" t="s">
        <v>65</v>
      </c>
      <c r="E10888" s="13" t="s">
        <v>66</v>
      </c>
      <c r="F10888" s="14"/>
      <c r="G10888" s="15"/>
      <c r="H10888" s="451"/>
      <c r="I10888" s="412"/>
      <c r="J10888" s="16"/>
    </row>
    <row r="10889" spans="1:10" ht="13.5" thickBot="1">
      <c r="A10889" s="27"/>
      <c r="B10889" s="110"/>
      <c r="D10889" s="409"/>
      <c r="E10889" s="13" t="s">
        <v>1075</v>
      </c>
      <c r="F10889" s="14"/>
      <c r="G10889" s="410" t="s">
        <v>285</v>
      </c>
      <c r="H10889" s="411">
        <v>4.4999999999999998E-2</v>
      </c>
      <c r="I10889" s="412">
        <f>Alat!H26</f>
        <v>0</v>
      </c>
      <c r="J10889" s="16">
        <f>H10889*I10889</f>
        <v>0</v>
      </c>
    </row>
    <row r="10890" spans="1:10" ht="13.5" thickBot="1">
      <c r="A10890" s="27"/>
      <c r="B10890" s="110"/>
      <c r="D10890" s="417"/>
      <c r="E10890" s="418"/>
      <c r="F10890" s="418"/>
      <c r="G10890" s="419"/>
      <c r="H10890" s="420" t="s">
        <v>67</v>
      </c>
      <c r="I10890" s="421"/>
      <c r="J10890" s="396">
        <f>J10889</f>
        <v>0</v>
      </c>
    </row>
    <row r="10891" spans="1:10" ht="13">
      <c r="A10891" s="27"/>
      <c r="B10891" s="110"/>
      <c r="D10891" s="444" t="s">
        <v>68</v>
      </c>
      <c r="E10891" s="445" t="s">
        <v>69</v>
      </c>
      <c r="F10891" s="446"/>
      <c r="G10891" s="447"/>
      <c r="H10891" s="448"/>
      <c r="I10891" s="449">
        <f>IF(AND(E10891&lt;&gt;"",G10891&lt;&gt;""),IF(D10891="",IF(G10891="OH",VLOOKUP(E10891,UPAH!$C$4:$H$31,7,0),VLOOKUP(E10891,#REF!,4,0)),0),0)</f>
        <v>0</v>
      </c>
      <c r="J10891" s="16">
        <f>SUM(J10880:J10890)/2</f>
        <v>0</v>
      </c>
    </row>
    <row r="10892" spans="1:10" ht="13.5" thickBot="1">
      <c r="A10892" s="27"/>
      <c r="B10892" s="110"/>
      <c r="D10892" s="431" t="s">
        <v>70</v>
      </c>
      <c r="E10892" s="432" t="s">
        <v>477</v>
      </c>
      <c r="F10892" s="433"/>
      <c r="G10892" s="434"/>
      <c r="H10892" s="22">
        <v>0.1</v>
      </c>
      <c r="I10892" s="436"/>
      <c r="J10892" s="430">
        <f>H10892*J10891</f>
        <v>0</v>
      </c>
    </row>
    <row r="10893" spans="1:10" ht="13.5" thickBot="1">
      <c r="A10893" s="27"/>
      <c r="B10893" s="110"/>
      <c r="D10893" s="401" t="s">
        <v>71</v>
      </c>
      <c r="E10893" s="402" t="s">
        <v>72</v>
      </c>
      <c r="F10893" s="418"/>
      <c r="G10893" s="419"/>
      <c r="H10893" s="442"/>
      <c r="I10893" s="421">
        <f>IF(AND(E10893&lt;&gt;"",G10893&lt;&gt;""),IF(D10893="",IF(G10893="OH",VLOOKUP(E10893,UPAH!$C$4:$H$31,7,0),VLOOKUP(E10893,#REF!,4,0)),0),0)</f>
        <v>0</v>
      </c>
      <c r="J10893" s="396">
        <f>ROUNDDOWN(J10891+J10892,0)</f>
        <v>0</v>
      </c>
    </row>
    <row r="10894" spans="1:10" ht="13">
      <c r="A10894" s="27"/>
      <c r="B10894" s="110"/>
      <c r="D10894" s="11"/>
      <c r="E10894" s="11"/>
      <c r="H10894" s="443"/>
      <c r="I10894" s="17"/>
      <c r="J10894" s="18"/>
    </row>
    <row r="10895" spans="1:10" ht="13.5" thickBot="1">
      <c r="A10895" s="27"/>
      <c r="B10895" s="110"/>
      <c r="C10895" s="11" t="s">
        <v>1611</v>
      </c>
      <c r="D10895" s="10" t="s">
        <v>1682</v>
      </c>
      <c r="H10895" s="443"/>
    </row>
    <row r="10896" spans="1:10" ht="13.5" thickBot="1">
      <c r="A10896" s="27"/>
      <c r="B10896" s="110"/>
      <c r="D10896" s="401" t="s">
        <v>40</v>
      </c>
      <c r="E10896" s="402" t="s">
        <v>41</v>
      </c>
      <c r="F10896" s="402" t="s">
        <v>42</v>
      </c>
      <c r="G10896" s="403" t="s">
        <v>43</v>
      </c>
      <c r="H10896" s="404" t="s">
        <v>44</v>
      </c>
      <c r="I10896" s="402" t="s">
        <v>474</v>
      </c>
      <c r="J10896" s="405" t="s">
        <v>475</v>
      </c>
    </row>
    <row r="10897" spans="1:10" ht="13">
      <c r="A10897" s="27"/>
      <c r="B10897" s="110"/>
      <c r="D10897" s="444" t="s">
        <v>45</v>
      </c>
      <c r="E10897" s="445" t="s">
        <v>46</v>
      </c>
      <c r="F10897" s="446"/>
      <c r="G10897" s="447"/>
      <c r="H10897" s="448"/>
      <c r="I10897" s="449"/>
      <c r="J10897" s="450"/>
    </row>
    <row r="10898" spans="1:10" ht="13">
      <c r="A10898" s="27"/>
      <c r="B10898" s="110"/>
      <c r="D10898" s="409"/>
      <c r="E10898" s="13" t="s">
        <v>47</v>
      </c>
      <c r="F10898" s="13" t="s">
        <v>1918</v>
      </c>
      <c r="G10898" s="410" t="s">
        <v>48</v>
      </c>
      <c r="H10898" s="411">
        <v>0.47599999999999998</v>
      </c>
      <c r="I10898" s="412">
        <f>IF(AND(E10898&lt;&gt;"",G10898&lt;&gt;""),IF(D10898="",IF(G10898="OH",VLOOKUP(F10898,UPAH!$B$4:$H$101,7,0),VLOOKUP(F10898,#REF!,4,0)),0),0)</f>
        <v>0</v>
      </c>
      <c r="J10898" s="16">
        <f>H10898*I10898</f>
        <v>0</v>
      </c>
    </row>
    <row r="10899" spans="1:10" ht="13">
      <c r="A10899" s="27"/>
      <c r="B10899" s="110"/>
      <c r="D10899" s="409"/>
      <c r="E10899" s="13" t="s">
        <v>283</v>
      </c>
      <c r="F10899" s="13" t="s">
        <v>1913</v>
      </c>
      <c r="G10899" s="410" t="s">
        <v>48</v>
      </c>
      <c r="H10899" s="411">
        <v>9.5000000000000001E-2</v>
      </c>
      <c r="I10899" s="412">
        <f>IF(AND(E10899&lt;&gt;"",G10899&lt;&gt;""),IF(D10899="",IF(G10899="OH",VLOOKUP(F10899,UPAH!$B$4:$H$101,7,0),VLOOKUP(F10899,#REF!,4,0)),0),0)</f>
        <v>0</v>
      </c>
      <c r="J10899" s="16">
        <f>H10899*I10899</f>
        <v>0</v>
      </c>
    </row>
    <row r="10900" spans="1:10" ht="13.5" thickBot="1">
      <c r="A10900" s="27"/>
      <c r="B10900" s="110"/>
      <c r="D10900" s="409"/>
      <c r="E10900" s="13" t="s">
        <v>51</v>
      </c>
      <c r="F10900" s="13" t="s">
        <v>1929</v>
      </c>
      <c r="G10900" s="410" t="s">
        <v>48</v>
      </c>
      <c r="H10900" s="411">
        <v>4.8000000000000001E-2</v>
      </c>
      <c r="I10900" s="412">
        <f>IF(AND(E10900&lt;&gt;"",G10900&lt;&gt;""),IF(D10900="",IF(G10900="OH",VLOOKUP(F10900,UPAH!$B$4:$H$101,7,0),VLOOKUP(F10900,#REF!,4,0)),0),0)</f>
        <v>0</v>
      </c>
      <c r="J10900" s="16">
        <f>H10900*I10900</f>
        <v>0</v>
      </c>
    </row>
    <row r="10901" spans="1:10" ht="13.5" thickBot="1">
      <c r="A10901" s="27"/>
      <c r="B10901" s="110"/>
      <c r="D10901" s="417"/>
      <c r="E10901" s="418"/>
      <c r="F10901" s="418"/>
      <c r="G10901" s="419"/>
      <c r="H10901" s="420" t="s">
        <v>52</v>
      </c>
      <c r="I10901" s="421"/>
      <c r="J10901" s="396">
        <f>SUM(J10897:J10900)</f>
        <v>0</v>
      </c>
    </row>
    <row r="10902" spans="1:10" ht="13">
      <c r="A10902" s="27"/>
      <c r="B10902" s="110"/>
      <c r="D10902" s="406" t="s">
        <v>53</v>
      </c>
      <c r="E10902" s="13" t="s">
        <v>54</v>
      </c>
      <c r="F10902" s="14"/>
      <c r="G10902" s="15"/>
      <c r="H10902" s="451"/>
      <c r="I10902" s="412"/>
      <c r="J10902" s="16"/>
    </row>
    <row r="10903" spans="1:10" ht="13.5" thickBot="1">
      <c r="A10903" s="27"/>
      <c r="B10903" s="110"/>
      <c r="D10903" s="409"/>
      <c r="E10903" s="13" t="s">
        <v>419</v>
      </c>
      <c r="F10903" s="14"/>
      <c r="G10903" s="410" t="s">
        <v>259</v>
      </c>
      <c r="H10903" s="411">
        <v>1</v>
      </c>
      <c r="I10903" s="412">
        <f>'BAHAN '!G360</f>
        <v>0</v>
      </c>
      <c r="J10903" s="16">
        <f>H10903*I10903</f>
        <v>0</v>
      </c>
    </row>
    <row r="10904" spans="1:10" ht="13.5" thickBot="1">
      <c r="A10904" s="27"/>
      <c r="B10904" s="110"/>
      <c r="D10904" s="417"/>
      <c r="E10904" s="418"/>
      <c r="F10904" s="418"/>
      <c r="G10904" s="419"/>
      <c r="H10904" s="420" t="s">
        <v>64</v>
      </c>
      <c r="I10904" s="421"/>
      <c r="J10904" s="396">
        <f>SUM(J10903)</f>
        <v>0</v>
      </c>
    </row>
    <row r="10905" spans="1:10" ht="13">
      <c r="A10905" s="27"/>
      <c r="B10905" s="110"/>
      <c r="D10905" s="406" t="s">
        <v>65</v>
      </c>
      <c r="E10905" s="13" t="s">
        <v>66</v>
      </c>
      <c r="F10905" s="14"/>
      <c r="G10905" s="15"/>
      <c r="H10905" s="451"/>
      <c r="I10905" s="412"/>
      <c r="J10905" s="16"/>
    </row>
    <row r="10906" spans="1:10" ht="13.5" thickBot="1">
      <c r="A10906" s="27"/>
      <c r="B10906" s="110"/>
      <c r="D10906" s="409"/>
      <c r="E10906" s="13" t="s">
        <v>1075</v>
      </c>
      <c r="F10906" s="14"/>
      <c r="G10906" s="410" t="s">
        <v>285</v>
      </c>
      <c r="H10906" s="411">
        <v>0.06</v>
      </c>
      <c r="I10906" s="412">
        <f>Alat!H26</f>
        <v>0</v>
      </c>
      <c r="J10906" s="16">
        <f>H10906*I10906</f>
        <v>0</v>
      </c>
    </row>
    <row r="10907" spans="1:10" ht="13.5" thickBot="1">
      <c r="A10907" s="27"/>
      <c r="B10907" s="110"/>
      <c r="D10907" s="417"/>
      <c r="E10907" s="418"/>
      <c r="F10907" s="418"/>
      <c r="G10907" s="419"/>
      <c r="H10907" s="420" t="s">
        <v>67</v>
      </c>
      <c r="I10907" s="421"/>
      <c r="J10907" s="396">
        <f>J10906</f>
        <v>0</v>
      </c>
    </row>
    <row r="10908" spans="1:10" ht="13">
      <c r="A10908" s="27"/>
      <c r="B10908" s="110"/>
      <c r="D10908" s="444" t="s">
        <v>68</v>
      </c>
      <c r="E10908" s="445" t="s">
        <v>69</v>
      </c>
      <c r="F10908" s="446"/>
      <c r="G10908" s="447"/>
      <c r="H10908" s="448"/>
      <c r="I10908" s="449">
        <f>IF(AND(E10908&lt;&gt;"",G10908&lt;&gt;""),IF(D10908="",IF(G10908="OH",VLOOKUP(E10908,UPAH!$C$4:$H$31,7,0),VLOOKUP(E10908,#REF!,4,0)),0),0)</f>
        <v>0</v>
      </c>
      <c r="J10908" s="16">
        <f>SUM(J10897:J10907)/2</f>
        <v>0</v>
      </c>
    </row>
    <row r="10909" spans="1:10" ht="13.5" thickBot="1">
      <c r="A10909" s="27"/>
      <c r="B10909" s="110"/>
      <c r="D10909" s="431" t="s">
        <v>70</v>
      </c>
      <c r="E10909" s="432" t="s">
        <v>477</v>
      </c>
      <c r="F10909" s="433"/>
      <c r="G10909" s="434"/>
      <c r="H10909" s="22">
        <v>0.1</v>
      </c>
      <c r="I10909" s="436"/>
      <c r="J10909" s="430">
        <f>H10909*J10908</f>
        <v>0</v>
      </c>
    </row>
    <row r="10910" spans="1:10" ht="13.5" thickBot="1">
      <c r="A10910" s="27"/>
      <c r="B10910" s="110"/>
      <c r="D10910" s="401" t="s">
        <v>71</v>
      </c>
      <c r="E10910" s="402" t="s">
        <v>72</v>
      </c>
      <c r="F10910" s="418"/>
      <c r="G10910" s="419"/>
      <c r="H10910" s="442"/>
      <c r="I10910" s="421">
        <f>IF(AND(E10910&lt;&gt;"",G10910&lt;&gt;""),IF(D10910="",IF(G10910="OH",VLOOKUP(E10910,UPAH!$C$4:$H$31,7,0),VLOOKUP(E10910,#REF!,4,0)),0),0)</f>
        <v>0</v>
      </c>
      <c r="J10910" s="396">
        <f>ROUNDDOWN(J10908+J10909,0)</f>
        <v>0</v>
      </c>
    </row>
    <row r="10911" spans="1:10" ht="13">
      <c r="A10911" s="27"/>
      <c r="B10911" s="110"/>
      <c r="D10911" s="11"/>
      <c r="E10911" s="11"/>
      <c r="H10911" s="443"/>
      <c r="I10911" s="17"/>
      <c r="J10911" s="18"/>
    </row>
    <row r="10912" spans="1:10" ht="13.5" thickBot="1">
      <c r="A10912" s="27"/>
      <c r="B10912" s="110"/>
      <c r="C10912" s="11" t="s">
        <v>1610</v>
      </c>
      <c r="D10912" s="10" t="s">
        <v>1683</v>
      </c>
      <c r="H10912" s="443"/>
    </row>
    <row r="10913" spans="1:10" ht="13.5" thickBot="1">
      <c r="A10913" s="27"/>
      <c r="B10913" s="110"/>
      <c r="D10913" s="401" t="s">
        <v>40</v>
      </c>
      <c r="E10913" s="402" t="s">
        <v>41</v>
      </c>
      <c r="F10913" s="402" t="s">
        <v>42</v>
      </c>
      <c r="G10913" s="403" t="s">
        <v>43</v>
      </c>
      <c r="H10913" s="404" t="s">
        <v>44</v>
      </c>
      <c r="I10913" s="402" t="s">
        <v>474</v>
      </c>
      <c r="J10913" s="405" t="s">
        <v>475</v>
      </c>
    </row>
    <row r="10914" spans="1:10" ht="13">
      <c r="A10914" s="27"/>
      <c r="B10914" s="110"/>
      <c r="D10914" s="444" t="s">
        <v>45</v>
      </c>
      <c r="E10914" s="445" t="s">
        <v>46</v>
      </c>
      <c r="F10914" s="446"/>
      <c r="G10914" s="447"/>
      <c r="H10914" s="448"/>
      <c r="I10914" s="449"/>
      <c r="J10914" s="450"/>
    </row>
    <row r="10915" spans="1:10" ht="13">
      <c r="A10915" s="27"/>
      <c r="B10915" s="110"/>
      <c r="D10915" s="409"/>
      <c r="E10915" s="13" t="s">
        <v>47</v>
      </c>
      <c r="F10915" s="13" t="s">
        <v>1918</v>
      </c>
      <c r="G10915" s="410" t="s">
        <v>48</v>
      </c>
      <c r="H10915" s="411">
        <v>0.66300000000000003</v>
      </c>
      <c r="I10915" s="412">
        <f>IF(AND(E10915&lt;&gt;"",G10915&lt;&gt;""),IF(D10915="",IF(G10915="OH",VLOOKUP(F10915,UPAH!$B$4:$H$101,7,0),VLOOKUP(F10915,#REF!,4,0)),0),0)</f>
        <v>0</v>
      </c>
      <c r="J10915" s="16">
        <f>H10915*I10915</f>
        <v>0</v>
      </c>
    </row>
    <row r="10916" spans="1:10" ht="13">
      <c r="A10916" s="27"/>
      <c r="B10916" s="110"/>
      <c r="D10916" s="409"/>
      <c r="E10916" s="13" t="s">
        <v>283</v>
      </c>
      <c r="F10916" s="13" t="s">
        <v>1913</v>
      </c>
      <c r="G10916" s="410" t="s">
        <v>48</v>
      </c>
      <c r="H10916" s="411">
        <v>0.13300000000000001</v>
      </c>
      <c r="I10916" s="412">
        <f>IF(AND(E10916&lt;&gt;"",G10916&lt;&gt;""),IF(D10916="",IF(G10916="OH",VLOOKUP(F10916,UPAH!$B$4:$H$101,7,0),VLOOKUP(F10916,#REF!,4,0)),0),0)</f>
        <v>0</v>
      </c>
      <c r="J10916" s="16">
        <f>H10916*I10916</f>
        <v>0</v>
      </c>
    </row>
    <row r="10917" spans="1:10" ht="13.5" thickBot="1">
      <c r="A10917" s="27"/>
      <c r="B10917" s="110"/>
      <c r="D10917" s="409"/>
      <c r="E10917" s="13" t="s">
        <v>51</v>
      </c>
      <c r="F10917" s="13" t="s">
        <v>1929</v>
      </c>
      <c r="G10917" s="410" t="s">
        <v>48</v>
      </c>
      <c r="H10917" s="411">
        <v>6.6000000000000003E-2</v>
      </c>
      <c r="I10917" s="412">
        <f>IF(AND(E10917&lt;&gt;"",G10917&lt;&gt;""),IF(D10917="",IF(G10917="OH",VLOOKUP(F10917,UPAH!$B$4:$H$101,7,0),VLOOKUP(F10917,#REF!,4,0)),0),0)</f>
        <v>0</v>
      </c>
      <c r="J10917" s="16">
        <f>H10917*I10917</f>
        <v>0</v>
      </c>
    </row>
    <row r="10918" spans="1:10" ht="13.5" thickBot="1">
      <c r="A10918" s="27"/>
      <c r="B10918" s="110"/>
      <c r="D10918" s="417"/>
      <c r="E10918" s="418"/>
      <c r="F10918" s="418"/>
      <c r="G10918" s="419"/>
      <c r="H10918" s="420" t="s">
        <v>52</v>
      </c>
      <c r="I10918" s="421"/>
      <c r="J10918" s="396">
        <f>SUM(J10914:J10917)</f>
        <v>0</v>
      </c>
    </row>
    <row r="10919" spans="1:10" ht="13">
      <c r="A10919" s="27"/>
      <c r="B10919" s="110"/>
      <c r="D10919" s="406" t="s">
        <v>53</v>
      </c>
      <c r="E10919" s="13" t="s">
        <v>54</v>
      </c>
      <c r="F10919" s="14"/>
      <c r="G10919" s="15"/>
      <c r="H10919" s="451"/>
      <c r="I10919" s="412"/>
      <c r="J10919" s="16"/>
    </row>
    <row r="10920" spans="1:10" ht="13.5" thickBot="1">
      <c r="A10920" s="27"/>
      <c r="B10920" s="110"/>
      <c r="D10920" s="409"/>
      <c r="E10920" s="13" t="s">
        <v>420</v>
      </c>
      <c r="F10920" s="14"/>
      <c r="G10920" s="410" t="s">
        <v>259</v>
      </c>
      <c r="H10920" s="411">
        <v>1</v>
      </c>
      <c r="I10920" s="412">
        <f>'BAHAN '!G359</f>
        <v>0</v>
      </c>
      <c r="J10920" s="16">
        <f>H10920*I10920</f>
        <v>0</v>
      </c>
    </row>
    <row r="10921" spans="1:10" ht="13.5" thickBot="1">
      <c r="A10921" s="27"/>
      <c r="B10921" s="110"/>
      <c r="D10921" s="417"/>
      <c r="E10921" s="418"/>
      <c r="F10921" s="418"/>
      <c r="G10921" s="419"/>
      <c r="H10921" s="420" t="s">
        <v>64</v>
      </c>
      <c r="I10921" s="421"/>
      <c r="J10921" s="396">
        <f>SUM(J10920)</f>
        <v>0</v>
      </c>
    </row>
    <row r="10922" spans="1:10" ht="13">
      <c r="A10922" s="27"/>
      <c r="B10922" s="110"/>
      <c r="D10922" s="406" t="s">
        <v>65</v>
      </c>
      <c r="E10922" s="13" t="s">
        <v>66</v>
      </c>
      <c r="F10922" s="14"/>
      <c r="G10922" s="15"/>
      <c r="H10922" s="451"/>
      <c r="I10922" s="412"/>
      <c r="J10922" s="16"/>
    </row>
    <row r="10923" spans="1:10" ht="13.5" thickBot="1">
      <c r="A10923" s="27"/>
      <c r="B10923" s="110"/>
      <c r="D10923" s="409"/>
      <c r="E10923" s="13" t="s">
        <v>1075</v>
      </c>
      <c r="F10923" s="14"/>
      <c r="G10923" s="410" t="s">
        <v>285</v>
      </c>
      <c r="H10923" s="411">
        <v>6.8000000000000005E-2</v>
      </c>
      <c r="I10923" s="412">
        <f>Alat!H26</f>
        <v>0</v>
      </c>
      <c r="J10923" s="16">
        <f>H10923*I10923</f>
        <v>0</v>
      </c>
    </row>
    <row r="10924" spans="1:10" ht="13.5" thickBot="1">
      <c r="A10924" s="27"/>
      <c r="B10924" s="110"/>
      <c r="D10924" s="417"/>
      <c r="E10924" s="418"/>
      <c r="F10924" s="418"/>
      <c r="G10924" s="419"/>
      <c r="H10924" s="420" t="s">
        <v>67</v>
      </c>
      <c r="I10924" s="421"/>
      <c r="J10924" s="396">
        <f>J10923</f>
        <v>0</v>
      </c>
    </row>
    <row r="10925" spans="1:10" ht="13">
      <c r="A10925" s="27"/>
      <c r="B10925" s="110"/>
      <c r="D10925" s="444" t="s">
        <v>68</v>
      </c>
      <c r="E10925" s="445" t="s">
        <v>69</v>
      </c>
      <c r="F10925" s="446"/>
      <c r="G10925" s="447"/>
      <c r="H10925" s="448"/>
      <c r="I10925" s="449">
        <f>IF(AND(E10925&lt;&gt;"",G10925&lt;&gt;""),IF(D10925="",IF(G10925="OH",VLOOKUP(E10925,UPAH!$C$4:$H$31,7,0),VLOOKUP(E10925,#REF!,4,0)),0),0)</f>
        <v>0</v>
      </c>
      <c r="J10925" s="16">
        <f>SUM(J10914:J10924)/2</f>
        <v>0</v>
      </c>
    </row>
    <row r="10926" spans="1:10" ht="13.5" thickBot="1">
      <c r="A10926" s="27"/>
      <c r="B10926" s="110"/>
      <c r="D10926" s="431" t="s">
        <v>70</v>
      </c>
      <c r="E10926" s="432" t="s">
        <v>477</v>
      </c>
      <c r="F10926" s="433"/>
      <c r="G10926" s="434"/>
      <c r="H10926" s="22">
        <v>0.1</v>
      </c>
      <c r="I10926" s="436"/>
      <c r="J10926" s="430">
        <f>H10926*J10925</f>
        <v>0</v>
      </c>
    </row>
    <row r="10927" spans="1:10" ht="13.5" thickBot="1">
      <c r="A10927" s="27"/>
      <c r="B10927" s="110"/>
      <c r="D10927" s="401" t="s">
        <v>71</v>
      </c>
      <c r="E10927" s="402" t="s">
        <v>72</v>
      </c>
      <c r="F10927" s="418"/>
      <c r="G10927" s="419"/>
      <c r="H10927" s="442"/>
      <c r="I10927" s="421">
        <f>IF(AND(E10927&lt;&gt;"",G10927&lt;&gt;""),IF(D10927="",IF(G10927="OH",VLOOKUP(E10927,UPAH!$C$4:$H$31,7,0),VLOOKUP(E10927,#REF!,4,0)),0),0)</f>
        <v>0</v>
      </c>
      <c r="J10927" s="396">
        <f>ROUNDDOWN(J10925+J10926,0)</f>
        <v>0</v>
      </c>
    </row>
    <row r="10928" spans="1:10" ht="13">
      <c r="A10928" s="27"/>
      <c r="B10928" s="110"/>
      <c r="D10928" s="11"/>
      <c r="E10928" s="11"/>
      <c r="H10928" s="443"/>
      <c r="I10928" s="17"/>
      <c r="J10928" s="18"/>
    </row>
    <row r="10929" spans="1:10" ht="13.5" thickBot="1">
      <c r="A10929" s="27"/>
      <c r="B10929" s="110"/>
      <c r="C10929" s="11" t="s">
        <v>1609</v>
      </c>
      <c r="D10929" s="10" t="s">
        <v>1684</v>
      </c>
      <c r="H10929" s="443"/>
    </row>
    <row r="10930" spans="1:10" ht="13.5" thickBot="1">
      <c r="A10930" s="27"/>
      <c r="B10930" s="110"/>
      <c r="D10930" s="401" t="s">
        <v>40</v>
      </c>
      <c r="E10930" s="402" t="s">
        <v>41</v>
      </c>
      <c r="F10930" s="402" t="s">
        <v>42</v>
      </c>
      <c r="G10930" s="403" t="s">
        <v>43</v>
      </c>
      <c r="H10930" s="404" t="s">
        <v>44</v>
      </c>
      <c r="I10930" s="402" t="s">
        <v>474</v>
      </c>
      <c r="J10930" s="405" t="s">
        <v>475</v>
      </c>
    </row>
    <row r="10931" spans="1:10" ht="13">
      <c r="A10931" s="27"/>
      <c r="B10931" s="110"/>
      <c r="D10931" s="444" t="s">
        <v>45</v>
      </c>
      <c r="E10931" s="445" t="s">
        <v>46</v>
      </c>
      <c r="F10931" s="446"/>
      <c r="G10931" s="447"/>
      <c r="H10931" s="448"/>
      <c r="I10931" s="449"/>
      <c r="J10931" s="450"/>
    </row>
    <row r="10932" spans="1:10" ht="13">
      <c r="A10932" s="27"/>
      <c r="B10932" s="110"/>
      <c r="D10932" s="409"/>
      <c r="E10932" s="13" t="s">
        <v>47</v>
      </c>
      <c r="F10932" s="13" t="s">
        <v>1918</v>
      </c>
      <c r="G10932" s="410" t="s">
        <v>48</v>
      </c>
      <c r="H10932" s="411">
        <v>0.745</v>
      </c>
      <c r="I10932" s="412">
        <f>IF(AND(E10932&lt;&gt;"",G10932&lt;&gt;""),IF(D10932="",IF(G10932="OH",VLOOKUP(F10932,UPAH!$B$4:$H$101,7,0),VLOOKUP(F10932,#REF!,4,0)),0),0)</f>
        <v>0</v>
      </c>
      <c r="J10932" s="16">
        <f>H10932*I10932</f>
        <v>0</v>
      </c>
    </row>
    <row r="10933" spans="1:10" ht="13">
      <c r="A10933" s="27"/>
      <c r="B10933" s="110"/>
      <c r="D10933" s="409"/>
      <c r="E10933" s="13" t="s">
        <v>283</v>
      </c>
      <c r="F10933" s="13" t="s">
        <v>1913</v>
      </c>
      <c r="G10933" s="410" t="s">
        <v>48</v>
      </c>
      <c r="H10933" s="411">
        <v>0.14899999999999999</v>
      </c>
      <c r="I10933" s="412">
        <f>IF(AND(E10933&lt;&gt;"",G10933&lt;&gt;""),IF(D10933="",IF(G10933="OH",VLOOKUP(F10933,UPAH!$B$4:$H$101,7,0),VLOOKUP(F10933,#REF!,4,0)),0),0)</f>
        <v>0</v>
      </c>
      <c r="J10933" s="16">
        <f>H10933*I10933</f>
        <v>0</v>
      </c>
    </row>
    <row r="10934" spans="1:10" ht="13.5" thickBot="1">
      <c r="A10934" s="27"/>
      <c r="B10934" s="110"/>
      <c r="D10934" s="409"/>
      <c r="E10934" s="13" t="s">
        <v>51</v>
      </c>
      <c r="F10934" s="13" t="s">
        <v>1929</v>
      </c>
      <c r="G10934" s="410" t="s">
        <v>48</v>
      </c>
      <c r="H10934" s="411">
        <v>7.3999999999999996E-2</v>
      </c>
      <c r="I10934" s="412">
        <f>IF(AND(E10934&lt;&gt;"",G10934&lt;&gt;""),IF(D10934="",IF(G10934="OH",VLOOKUP(F10934,UPAH!$B$4:$H$101,7,0),VLOOKUP(F10934,#REF!,4,0)),0),0)</f>
        <v>0</v>
      </c>
      <c r="J10934" s="16">
        <f>H10934*I10934</f>
        <v>0</v>
      </c>
    </row>
    <row r="10935" spans="1:10" ht="13.5" thickBot="1">
      <c r="A10935" s="27"/>
      <c r="B10935" s="110"/>
      <c r="D10935" s="417"/>
      <c r="E10935" s="418"/>
      <c r="F10935" s="418"/>
      <c r="G10935" s="419"/>
      <c r="H10935" s="420" t="s">
        <v>52</v>
      </c>
      <c r="I10935" s="421"/>
      <c r="J10935" s="396">
        <f>SUM(J10931:J10934)</f>
        <v>0</v>
      </c>
    </row>
    <row r="10936" spans="1:10" ht="13">
      <c r="A10936" s="27"/>
      <c r="B10936" s="110"/>
      <c r="D10936" s="406" t="s">
        <v>53</v>
      </c>
      <c r="E10936" s="13" t="s">
        <v>54</v>
      </c>
      <c r="F10936" s="14"/>
      <c r="G10936" s="15"/>
      <c r="H10936" s="451"/>
      <c r="I10936" s="412"/>
      <c r="J10936" s="16"/>
    </row>
    <row r="10937" spans="1:10" ht="13.5" thickBot="1">
      <c r="A10937" s="27"/>
      <c r="B10937" s="110"/>
      <c r="D10937" s="409"/>
      <c r="E10937" s="13" t="s">
        <v>421</v>
      </c>
      <c r="F10937" s="14"/>
      <c r="G10937" s="410" t="s">
        <v>259</v>
      </c>
      <c r="H10937" s="411">
        <v>1</v>
      </c>
      <c r="I10937" s="412">
        <f>'BAHAN '!G358</f>
        <v>0</v>
      </c>
      <c r="J10937" s="16">
        <f>H10937*I10937</f>
        <v>0</v>
      </c>
    </row>
    <row r="10938" spans="1:10" ht="13.5" thickBot="1">
      <c r="A10938" s="27"/>
      <c r="B10938" s="110"/>
      <c r="D10938" s="417"/>
      <c r="E10938" s="418"/>
      <c r="F10938" s="418"/>
      <c r="G10938" s="419"/>
      <c r="H10938" s="420" t="s">
        <v>64</v>
      </c>
      <c r="I10938" s="421"/>
      <c r="J10938" s="396">
        <f>SUM(J10937)</f>
        <v>0</v>
      </c>
    </row>
    <row r="10939" spans="1:10" ht="13">
      <c r="A10939" s="27"/>
      <c r="B10939" s="110"/>
      <c r="D10939" s="406" t="s">
        <v>65</v>
      </c>
      <c r="E10939" s="13" t="s">
        <v>66</v>
      </c>
      <c r="F10939" s="14"/>
      <c r="G10939" s="15"/>
      <c r="H10939" s="451"/>
      <c r="I10939" s="412"/>
      <c r="J10939" s="16"/>
    </row>
    <row r="10940" spans="1:10" ht="13.5" thickBot="1">
      <c r="A10940" s="27"/>
      <c r="B10940" s="110"/>
      <c r="D10940" s="409"/>
      <c r="E10940" s="13" t="s">
        <v>1075</v>
      </c>
      <c r="F10940" s="14"/>
      <c r="G10940" s="410" t="s">
        <v>285</v>
      </c>
      <c r="H10940" s="411">
        <v>7.1999999999999995E-2</v>
      </c>
      <c r="I10940" s="412">
        <f>Alat!H26</f>
        <v>0</v>
      </c>
      <c r="J10940" s="16">
        <f>H10940*I10940</f>
        <v>0</v>
      </c>
    </row>
    <row r="10941" spans="1:10" ht="13.5" thickBot="1">
      <c r="A10941" s="27"/>
      <c r="B10941" s="110"/>
      <c r="D10941" s="417"/>
      <c r="E10941" s="418"/>
      <c r="F10941" s="418"/>
      <c r="G10941" s="419"/>
      <c r="H10941" s="420" t="s">
        <v>67</v>
      </c>
      <c r="I10941" s="421"/>
      <c r="J10941" s="396">
        <f>J10940</f>
        <v>0</v>
      </c>
    </row>
    <row r="10942" spans="1:10" ht="13">
      <c r="A10942" s="27"/>
      <c r="B10942" s="110"/>
      <c r="D10942" s="444" t="s">
        <v>68</v>
      </c>
      <c r="E10942" s="445" t="s">
        <v>69</v>
      </c>
      <c r="F10942" s="446"/>
      <c r="G10942" s="447"/>
      <c r="H10942" s="448"/>
      <c r="I10942" s="449">
        <f>IF(AND(E10942&lt;&gt;"",G10942&lt;&gt;""),IF(D10942="",IF(G10942="OH",VLOOKUP(E10942,UPAH!$C$4:$H$31,7,0),VLOOKUP(E10942,#REF!,4,0)),0),0)</f>
        <v>0</v>
      </c>
      <c r="J10942" s="16">
        <f>SUM(J10931:J10941)/2</f>
        <v>0</v>
      </c>
    </row>
    <row r="10943" spans="1:10" ht="13.5" thickBot="1">
      <c r="A10943" s="27"/>
      <c r="B10943" s="110"/>
      <c r="D10943" s="431" t="s">
        <v>70</v>
      </c>
      <c r="E10943" s="432" t="s">
        <v>477</v>
      </c>
      <c r="F10943" s="433"/>
      <c r="G10943" s="434"/>
      <c r="H10943" s="22">
        <v>0.1</v>
      </c>
      <c r="I10943" s="436"/>
      <c r="J10943" s="430">
        <f>H10943*J10942</f>
        <v>0</v>
      </c>
    </row>
    <row r="10944" spans="1:10" ht="13.5" thickBot="1">
      <c r="A10944" s="27"/>
      <c r="B10944" s="110"/>
      <c r="D10944" s="401" t="s">
        <v>71</v>
      </c>
      <c r="E10944" s="402" t="s">
        <v>72</v>
      </c>
      <c r="F10944" s="418"/>
      <c r="G10944" s="419"/>
      <c r="H10944" s="442"/>
      <c r="I10944" s="421">
        <f>IF(AND(E10944&lt;&gt;"",G10944&lt;&gt;""),IF(D10944="",IF(G10944="OH",VLOOKUP(E10944,UPAH!$C$4:$H$31,7,0),VLOOKUP(E10944,#REF!,4,0)),0),0)</f>
        <v>0</v>
      </c>
      <c r="J10944" s="396">
        <f>ROUNDDOWN(J10942+J10943,0)</f>
        <v>0</v>
      </c>
    </row>
    <row r="10945" spans="1:10" ht="13">
      <c r="A10945" s="27"/>
      <c r="B10945" s="110"/>
      <c r="D10945" s="11"/>
      <c r="E10945" s="11"/>
      <c r="H10945" s="443"/>
      <c r="I10945" s="17"/>
      <c r="J10945" s="18"/>
    </row>
    <row r="10946" spans="1:10" ht="13" hidden="1">
      <c r="A10946" s="27"/>
      <c r="B10946" s="110"/>
      <c r="C10946" s="11" t="s">
        <v>1608</v>
      </c>
      <c r="D10946" s="10" t="s">
        <v>1685</v>
      </c>
      <c r="H10946" s="443"/>
    </row>
    <row r="10947" spans="1:10" ht="13.5" hidden="1" thickBot="1">
      <c r="A10947" s="27"/>
      <c r="B10947" s="110"/>
      <c r="D10947" s="401" t="s">
        <v>40</v>
      </c>
      <c r="E10947" s="402" t="s">
        <v>41</v>
      </c>
      <c r="F10947" s="402" t="s">
        <v>42</v>
      </c>
      <c r="G10947" s="403" t="s">
        <v>43</v>
      </c>
      <c r="H10947" s="404" t="s">
        <v>44</v>
      </c>
      <c r="I10947" s="402" t="s">
        <v>474</v>
      </c>
      <c r="J10947" s="405" t="s">
        <v>475</v>
      </c>
    </row>
    <row r="10948" spans="1:10" ht="13" hidden="1">
      <c r="A10948" s="27"/>
      <c r="B10948" s="110"/>
      <c r="D10948" s="444" t="s">
        <v>45</v>
      </c>
      <c r="E10948" s="445" t="s">
        <v>46</v>
      </c>
      <c r="F10948" s="446"/>
      <c r="G10948" s="447"/>
      <c r="H10948" s="448"/>
      <c r="I10948" s="449"/>
      <c r="J10948" s="450"/>
    </row>
    <row r="10949" spans="1:10" ht="13" hidden="1">
      <c r="A10949" s="27"/>
      <c r="B10949" s="110"/>
      <c r="D10949" s="409"/>
      <c r="E10949" s="13" t="s">
        <v>47</v>
      </c>
      <c r="F10949" s="13" t="s">
        <v>1918</v>
      </c>
      <c r="G10949" s="410" t="s">
        <v>48</v>
      </c>
      <c r="H10949" s="411">
        <v>1.44</v>
      </c>
      <c r="I10949" s="412">
        <f>IF(AND(E10949&lt;&gt;"",G10949&lt;&gt;""),IF(D10949="",IF(G10949="OH",VLOOKUP(F10949,UPAH!$B$4:$H$101,7,0),VLOOKUP(F10949,#REF!,4,0)),0),0)</f>
        <v>0</v>
      </c>
      <c r="J10949" s="16">
        <f>H10949*I10949</f>
        <v>0</v>
      </c>
    </row>
    <row r="10950" spans="1:10" ht="13" hidden="1">
      <c r="A10950" s="27"/>
      <c r="B10950" s="110"/>
      <c r="D10950" s="409"/>
      <c r="E10950" s="13" t="s">
        <v>283</v>
      </c>
      <c r="F10950" s="13" t="s">
        <v>1913</v>
      </c>
      <c r="G10950" s="410" t="s">
        <v>48</v>
      </c>
      <c r="H10950" s="411">
        <v>0.28799999999999998</v>
      </c>
      <c r="I10950" s="412">
        <f>IF(AND(E10950&lt;&gt;"",G10950&lt;&gt;""),IF(D10950="",IF(G10950="OH",VLOOKUP(F10950,UPAH!$B$4:$H$101,7,0),VLOOKUP(F10950,#REF!,4,0)),0),0)</f>
        <v>0</v>
      </c>
      <c r="J10950" s="16">
        <f>H10950*I10950</f>
        <v>0</v>
      </c>
    </row>
    <row r="10951" spans="1:10" ht="13" hidden="1">
      <c r="A10951" s="27"/>
      <c r="B10951" s="110"/>
      <c r="D10951" s="409"/>
      <c r="E10951" s="13" t="s">
        <v>51</v>
      </c>
      <c r="F10951" s="13" t="s">
        <v>1929</v>
      </c>
      <c r="G10951" s="410" t="s">
        <v>48</v>
      </c>
      <c r="H10951" s="411">
        <v>0.14399999999999999</v>
      </c>
      <c r="I10951" s="412">
        <f>IF(AND(E10951&lt;&gt;"",G10951&lt;&gt;""),IF(D10951="",IF(G10951="OH",VLOOKUP(F10951,UPAH!$B$4:$H$101,7,0),VLOOKUP(F10951,#REF!,4,0)),0),0)</f>
        <v>0</v>
      </c>
      <c r="J10951" s="16">
        <f>H10951*I10951</f>
        <v>0</v>
      </c>
    </row>
    <row r="10952" spans="1:10" ht="13.5" hidden="1" thickBot="1">
      <c r="A10952" s="27"/>
      <c r="B10952" s="110"/>
      <c r="D10952" s="417"/>
      <c r="E10952" s="418"/>
      <c r="F10952" s="418"/>
      <c r="G10952" s="419"/>
      <c r="H10952" s="420" t="s">
        <v>52</v>
      </c>
      <c r="I10952" s="421"/>
      <c r="J10952" s="396">
        <f>SUM(J10948:J10951)</f>
        <v>0</v>
      </c>
    </row>
    <row r="10953" spans="1:10" ht="13" hidden="1">
      <c r="A10953" s="27"/>
      <c r="B10953" s="110"/>
      <c r="D10953" s="406" t="s">
        <v>53</v>
      </c>
      <c r="E10953" s="13" t="s">
        <v>54</v>
      </c>
      <c r="F10953" s="14"/>
      <c r="G10953" s="15"/>
      <c r="H10953" s="451"/>
      <c r="I10953" s="412"/>
      <c r="J10953" s="16"/>
    </row>
    <row r="10954" spans="1:10" ht="13" hidden="1">
      <c r="A10954" s="27"/>
      <c r="B10954" s="110"/>
      <c r="D10954" s="409"/>
      <c r="E10954" s="13" t="s">
        <v>422</v>
      </c>
      <c r="F10954" s="14"/>
      <c r="G10954" s="410" t="s">
        <v>259</v>
      </c>
      <c r="H10954" s="411">
        <v>1</v>
      </c>
      <c r="I10954" s="412" t="s">
        <v>3187</v>
      </c>
      <c r="J10954" s="16" t="e">
        <f>H10954*I10954</f>
        <v>#VALUE!</v>
      </c>
    </row>
    <row r="10955" spans="1:10" ht="13.5" hidden="1" thickBot="1">
      <c r="A10955" s="27"/>
      <c r="B10955" s="110"/>
      <c r="D10955" s="417"/>
      <c r="E10955" s="418"/>
      <c r="F10955" s="418"/>
      <c r="G10955" s="419"/>
      <c r="H10955" s="420" t="s">
        <v>64</v>
      </c>
      <c r="I10955" s="421"/>
      <c r="J10955" s="396" t="e">
        <f>SUM(J10954)</f>
        <v>#VALUE!</v>
      </c>
    </row>
    <row r="10956" spans="1:10" ht="13" hidden="1">
      <c r="A10956" s="27"/>
      <c r="B10956" s="110"/>
      <c r="D10956" s="406" t="s">
        <v>65</v>
      </c>
      <c r="E10956" s="13" t="s">
        <v>66</v>
      </c>
      <c r="F10956" s="14"/>
      <c r="G10956" s="15"/>
      <c r="H10956" s="451"/>
      <c r="I10956" s="412"/>
      <c r="J10956" s="16"/>
    </row>
    <row r="10957" spans="1:10" ht="13" hidden="1">
      <c r="A10957" s="27"/>
      <c r="B10957" s="110"/>
      <c r="D10957" s="409"/>
      <c r="E10957" s="13" t="s">
        <v>1075</v>
      </c>
      <c r="F10957" s="14"/>
      <c r="G10957" s="410" t="s">
        <v>285</v>
      </c>
      <c r="H10957" s="411">
        <v>0.105</v>
      </c>
      <c r="I10957" s="412">
        <f>Alat!H26</f>
        <v>0</v>
      </c>
      <c r="J10957" s="16">
        <f>H10957*I10957</f>
        <v>0</v>
      </c>
    </row>
    <row r="10958" spans="1:10" ht="13.5" hidden="1" thickBot="1">
      <c r="A10958" s="27"/>
      <c r="B10958" s="110"/>
      <c r="D10958" s="417"/>
      <c r="E10958" s="418"/>
      <c r="F10958" s="418"/>
      <c r="G10958" s="419"/>
      <c r="H10958" s="420" t="s">
        <v>67</v>
      </c>
      <c r="I10958" s="421"/>
      <c r="J10958" s="396">
        <f>J10957</f>
        <v>0</v>
      </c>
    </row>
    <row r="10959" spans="1:10" ht="13" hidden="1">
      <c r="A10959" s="27"/>
      <c r="B10959" s="110"/>
      <c r="D10959" s="444" t="s">
        <v>68</v>
      </c>
      <c r="E10959" s="445" t="s">
        <v>69</v>
      </c>
      <c r="F10959" s="446"/>
      <c r="G10959" s="447"/>
      <c r="H10959" s="448"/>
      <c r="I10959" s="449">
        <f>IF(AND(E10959&lt;&gt;"",G10959&lt;&gt;""),IF(D10959="",IF(G10959="OH",VLOOKUP(E10959,UPAH!$C$4:$H$31,7,0),VLOOKUP(E10959,#REF!,4,0)),0),0)</f>
        <v>0</v>
      </c>
      <c r="J10959" s="16" t="e">
        <f>SUM(J10948:J10958)/2</f>
        <v>#VALUE!</v>
      </c>
    </row>
    <row r="10960" spans="1:10" ht="13" hidden="1">
      <c r="A10960" s="27"/>
      <c r="B10960" s="110"/>
      <c r="D10960" s="431" t="s">
        <v>70</v>
      </c>
      <c r="E10960" s="432" t="s">
        <v>477</v>
      </c>
      <c r="F10960" s="433"/>
      <c r="G10960" s="434"/>
      <c r="H10960" s="22">
        <v>0.1</v>
      </c>
      <c r="I10960" s="436"/>
      <c r="J10960" s="430" t="e">
        <f>H10960*J10959</f>
        <v>#VALUE!</v>
      </c>
    </row>
    <row r="10961" spans="1:10" ht="13.5" hidden="1" thickBot="1">
      <c r="A10961" s="27"/>
      <c r="B10961" s="110"/>
      <c r="D10961" s="401" t="s">
        <v>71</v>
      </c>
      <c r="E10961" s="402" t="s">
        <v>72</v>
      </c>
      <c r="F10961" s="418"/>
      <c r="G10961" s="419"/>
      <c r="H10961" s="442"/>
      <c r="I10961" s="421">
        <f>IF(AND(E10961&lt;&gt;"",G10961&lt;&gt;""),IF(D10961="",IF(G10961="OH",VLOOKUP(E10961,UPAH!$C$4:$H$31,7,0),VLOOKUP(E10961,#REF!,4,0)),0),0)</f>
        <v>0</v>
      </c>
      <c r="J10961" s="396" t="e">
        <f>ROUNDDOWN(J10959+J10960,0)</f>
        <v>#VALUE!</v>
      </c>
    </row>
    <row r="10962" spans="1:10" ht="13" hidden="1">
      <c r="A10962" s="27"/>
      <c r="B10962" s="110"/>
      <c r="D10962" s="11"/>
      <c r="E10962" s="11"/>
      <c r="H10962" s="443"/>
      <c r="I10962" s="17"/>
      <c r="J10962" s="18"/>
    </row>
    <row r="10963" spans="1:10" ht="13" hidden="1">
      <c r="A10963" s="27"/>
      <c r="B10963" s="110"/>
      <c r="C10963" s="11" t="s">
        <v>1607</v>
      </c>
      <c r="D10963" s="10" t="s">
        <v>1686</v>
      </c>
      <c r="H10963" s="443"/>
    </row>
    <row r="10964" spans="1:10" ht="13.5" hidden="1" thickBot="1">
      <c r="A10964" s="27"/>
      <c r="B10964" s="110"/>
      <c r="D10964" s="401" t="s">
        <v>40</v>
      </c>
      <c r="E10964" s="402" t="s">
        <v>41</v>
      </c>
      <c r="F10964" s="402" t="s">
        <v>42</v>
      </c>
      <c r="G10964" s="403" t="s">
        <v>43</v>
      </c>
      <c r="H10964" s="404" t="s">
        <v>44</v>
      </c>
      <c r="I10964" s="402" t="s">
        <v>474</v>
      </c>
      <c r="J10964" s="405" t="s">
        <v>475</v>
      </c>
    </row>
    <row r="10965" spans="1:10" ht="13" hidden="1">
      <c r="A10965" s="27"/>
      <c r="B10965" s="110"/>
      <c r="D10965" s="444" t="s">
        <v>45</v>
      </c>
      <c r="E10965" s="445" t="s">
        <v>46</v>
      </c>
      <c r="F10965" s="446"/>
      <c r="G10965" s="447"/>
      <c r="H10965" s="448"/>
      <c r="I10965" s="449"/>
      <c r="J10965" s="450"/>
    </row>
    <row r="10966" spans="1:10" ht="13" hidden="1">
      <c r="A10966" s="27"/>
      <c r="B10966" s="110"/>
      <c r="D10966" s="409"/>
      <c r="E10966" s="13" t="s">
        <v>47</v>
      </c>
      <c r="F10966" s="13" t="s">
        <v>1918</v>
      </c>
      <c r="G10966" s="410" t="s">
        <v>48</v>
      </c>
      <c r="H10966" s="411">
        <v>1.399</v>
      </c>
      <c r="I10966" s="412">
        <f>IF(AND(E10966&lt;&gt;"",G10966&lt;&gt;""),IF(D10966="",IF(G10966="OH",VLOOKUP(F10966,UPAH!$B$4:$H$101,7,0),VLOOKUP(F10966,#REF!,4,0)),0),0)</f>
        <v>0</v>
      </c>
      <c r="J10966" s="16">
        <f>H10966*I10966</f>
        <v>0</v>
      </c>
    </row>
    <row r="10967" spans="1:10" ht="13" hidden="1">
      <c r="A10967" s="27"/>
      <c r="B10967" s="110"/>
      <c r="D10967" s="409"/>
      <c r="E10967" s="13" t="s">
        <v>283</v>
      </c>
      <c r="F10967" s="13" t="s">
        <v>1913</v>
      </c>
      <c r="G10967" s="410" t="s">
        <v>48</v>
      </c>
      <c r="H10967" s="411">
        <v>0.28000000000000003</v>
      </c>
      <c r="I10967" s="412">
        <f>IF(AND(E10967&lt;&gt;"",G10967&lt;&gt;""),IF(D10967="",IF(G10967="OH",VLOOKUP(F10967,UPAH!$B$4:$H$101,7,0),VLOOKUP(F10967,#REF!,4,0)),0),0)</f>
        <v>0</v>
      </c>
      <c r="J10967" s="16">
        <f>H10967*I10967</f>
        <v>0</v>
      </c>
    </row>
    <row r="10968" spans="1:10" ht="13" hidden="1">
      <c r="A10968" s="27"/>
      <c r="B10968" s="110"/>
      <c r="D10968" s="409"/>
      <c r="E10968" s="13" t="s">
        <v>51</v>
      </c>
      <c r="F10968" s="13" t="s">
        <v>1929</v>
      </c>
      <c r="G10968" s="410" t="s">
        <v>48</v>
      </c>
      <c r="H10968" s="411">
        <v>0.14000000000000001</v>
      </c>
      <c r="I10968" s="412">
        <f>IF(AND(E10968&lt;&gt;"",G10968&lt;&gt;""),IF(D10968="",IF(G10968="OH",VLOOKUP(F10968,UPAH!$B$4:$H$101,7,0),VLOOKUP(F10968,#REF!,4,0)),0),0)</f>
        <v>0</v>
      </c>
      <c r="J10968" s="16">
        <f>H10968*I10968</f>
        <v>0</v>
      </c>
    </row>
    <row r="10969" spans="1:10" ht="13.5" hidden="1" thickBot="1">
      <c r="A10969" s="27"/>
      <c r="B10969" s="110"/>
      <c r="D10969" s="417"/>
      <c r="E10969" s="418"/>
      <c r="F10969" s="418"/>
      <c r="G10969" s="419"/>
      <c r="H10969" s="420" t="s">
        <v>52</v>
      </c>
      <c r="I10969" s="421"/>
      <c r="J10969" s="396">
        <f>SUM(J10965:J10968)</f>
        <v>0</v>
      </c>
    </row>
    <row r="10970" spans="1:10" ht="13" hidden="1">
      <c r="A10970" s="27"/>
      <c r="B10970" s="110"/>
      <c r="D10970" s="406" t="s">
        <v>53</v>
      </c>
      <c r="E10970" s="13" t="s">
        <v>54</v>
      </c>
      <c r="F10970" s="14"/>
      <c r="G10970" s="15"/>
      <c r="H10970" s="451"/>
      <c r="I10970" s="412"/>
      <c r="J10970" s="16"/>
    </row>
    <row r="10971" spans="1:10" ht="13" hidden="1">
      <c r="A10971" s="27"/>
      <c r="B10971" s="110"/>
      <c r="D10971" s="409"/>
      <c r="E10971" s="13" t="s">
        <v>423</v>
      </c>
      <c r="F10971" s="14"/>
      <c r="G10971" s="410" t="s">
        <v>259</v>
      </c>
      <c r="H10971" s="411">
        <v>1</v>
      </c>
      <c r="I10971" s="412" t="s">
        <v>3187</v>
      </c>
      <c r="J10971" s="16" t="e">
        <f>H10971*I10971</f>
        <v>#VALUE!</v>
      </c>
    </row>
    <row r="10972" spans="1:10" ht="13.5" hidden="1" thickBot="1">
      <c r="A10972" s="27"/>
      <c r="B10972" s="110"/>
      <c r="D10972" s="417"/>
      <c r="E10972" s="418"/>
      <c r="F10972" s="418"/>
      <c r="G10972" s="419"/>
      <c r="H10972" s="420" t="s">
        <v>64</v>
      </c>
      <c r="I10972" s="421"/>
      <c r="J10972" s="396" t="e">
        <f>SUM(J10971)</f>
        <v>#VALUE!</v>
      </c>
    </row>
    <row r="10973" spans="1:10" ht="13" hidden="1">
      <c r="A10973" s="27"/>
      <c r="B10973" s="110"/>
      <c r="D10973" s="406" t="s">
        <v>65</v>
      </c>
      <c r="E10973" s="13" t="s">
        <v>66</v>
      </c>
      <c r="F10973" s="14"/>
      <c r="G10973" s="15"/>
      <c r="H10973" s="451"/>
      <c r="I10973" s="412"/>
      <c r="J10973" s="16"/>
    </row>
    <row r="10974" spans="1:10" ht="13" hidden="1">
      <c r="A10974" s="27"/>
      <c r="B10974" s="110"/>
      <c r="D10974" s="409"/>
      <c r="E10974" s="13" t="s">
        <v>1075</v>
      </c>
      <c r="F10974" s="14"/>
      <c r="G10974" s="410" t="s">
        <v>285</v>
      </c>
      <c r="H10974" s="411">
        <v>0.107</v>
      </c>
      <c r="I10974" s="412">
        <f>Alat!H26</f>
        <v>0</v>
      </c>
      <c r="J10974" s="16">
        <f>H10974*I10974</f>
        <v>0</v>
      </c>
    </row>
    <row r="10975" spans="1:10" ht="13.5" hidden="1" thickBot="1">
      <c r="A10975" s="27"/>
      <c r="B10975" s="110"/>
      <c r="D10975" s="417"/>
      <c r="E10975" s="418"/>
      <c r="F10975" s="418"/>
      <c r="G10975" s="419"/>
      <c r="H10975" s="420" t="s">
        <v>67</v>
      </c>
      <c r="I10975" s="421"/>
      <c r="J10975" s="396">
        <f>J10974</f>
        <v>0</v>
      </c>
    </row>
    <row r="10976" spans="1:10" ht="13" hidden="1">
      <c r="A10976" s="27"/>
      <c r="B10976" s="110"/>
      <c r="D10976" s="444" t="s">
        <v>68</v>
      </c>
      <c r="E10976" s="445" t="s">
        <v>69</v>
      </c>
      <c r="F10976" s="446"/>
      <c r="G10976" s="447"/>
      <c r="H10976" s="448"/>
      <c r="I10976" s="449">
        <f>IF(AND(E10976&lt;&gt;"",G10976&lt;&gt;""),IF(D10976="",IF(G10976="OH",VLOOKUP(E10976,UPAH!$C$4:$H$31,7,0),VLOOKUP(E10976,#REF!,4,0)),0),0)</f>
        <v>0</v>
      </c>
      <c r="J10976" s="16" t="e">
        <f>SUM(J10965:J10975)/2</f>
        <v>#VALUE!</v>
      </c>
    </row>
    <row r="10977" spans="1:10" ht="13" hidden="1">
      <c r="A10977" s="27"/>
      <c r="B10977" s="110"/>
      <c r="D10977" s="431" t="s">
        <v>70</v>
      </c>
      <c r="E10977" s="432" t="s">
        <v>477</v>
      </c>
      <c r="F10977" s="433"/>
      <c r="G10977" s="434"/>
      <c r="H10977" s="22">
        <v>0.1</v>
      </c>
      <c r="I10977" s="436"/>
      <c r="J10977" s="430" t="e">
        <f>H10977*J10976</f>
        <v>#VALUE!</v>
      </c>
    </row>
    <row r="10978" spans="1:10" ht="13.5" hidden="1" thickBot="1">
      <c r="A10978" s="27"/>
      <c r="B10978" s="110"/>
      <c r="D10978" s="401" t="s">
        <v>71</v>
      </c>
      <c r="E10978" s="402" t="s">
        <v>72</v>
      </c>
      <c r="F10978" s="418"/>
      <c r="G10978" s="419"/>
      <c r="H10978" s="442"/>
      <c r="I10978" s="421">
        <f>IF(AND(E10978&lt;&gt;"",G10978&lt;&gt;""),IF(D10978="",IF(G10978="OH",VLOOKUP(E10978,UPAH!$C$4:$H$31,7,0),VLOOKUP(E10978,#REF!,4,0)),0),0)</f>
        <v>0</v>
      </c>
      <c r="J10978" s="396" t="e">
        <f>ROUNDDOWN(J10976+J10977,0)</f>
        <v>#VALUE!</v>
      </c>
    </row>
    <row r="10979" spans="1:10" ht="13" hidden="1">
      <c r="A10979" s="27"/>
      <c r="B10979" s="110"/>
      <c r="D10979" s="11"/>
      <c r="E10979" s="11"/>
      <c r="H10979" s="443"/>
      <c r="I10979" s="17"/>
      <c r="J10979" s="18"/>
    </row>
    <row r="10980" spans="1:10" ht="13" hidden="1">
      <c r="A10980" s="27"/>
      <c r="B10980" s="110"/>
      <c r="C10980" s="11" t="s">
        <v>1606</v>
      </c>
      <c r="D10980" s="10" t="s">
        <v>1687</v>
      </c>
      <c r="H10980" s="443"/>
    </row>
    <row r="10981" spans="1:10" ht="13.5" hidden="1" thickBot="1">
      <c r="A10981" s="27"/>
      <c r="B10981" s="110"/>
      <c r="D10981" s="401" t="s">
        <v>40</v>
      </c>
      <c r="E10981" s="402" t="s">
        <v>41</v>
      </c>
      <c r="F10981" s="402" t="s">
        <v>42</v>
      </c>
      <c r="G10981" s="403" t="s">
        <v>43</v>
      </c>
      <c r="H10981" s="404" t="s">
        <v>44</v>
      </c>
      <c r="I10981" s="402" t="s">
        <v>474</v>
      </c>
      <c r="J10981" s="405" t="s">
        <v>475</v>
      </c>
    </row>
    <row r="10982" spans="1:10" ht="13" hidden="1">
      <c r="A10982" s="27"/>
      <c r="B10982" s="110"/>
      <c r="D10982" s="444" t="s">
        <v>45</v>
      </c>
      <c r="E10982" s="445" t="s">
        <v>46</v>
      </c>
      <c r="F10982" s="446"/>
      <c r="G10982" s="447"/>
      <c r="H10982" s="448"/>
      <c r="I10982" s="449"/>
      <c r="J10982" s="450"/>
    </row>
    <row r="10983" spans="1:10" ht="13" hidden="1">
      <c r="A10983" s="27"/>
      <c r="B10983" s="110"/>
      <c r="D10983" s="409"/>
      <c r="E10983" s="13" t="s">
        <v>47</v>
      </c>
      <c r="F10983" s="13" t="s">
        <v>1918</v>
      </c>
      <c r="G10983" s="410" t="s">
        <v>48</v>
      </c>
      <c r="H10983" s="411">
        <v>1.5580000000000001</v>
      </c>
      <c r="I10983" s="412">
        <f>IF(AND(E10983&lt;&gt;"",G10983&lt;&gt;""),IF(D10983="",IF(G10983="OH",VLOOKUP(F10983,UPAH!$B$4:$H$101,7,0),VLOOKUP(F10983,#REF!,4,0)),0),0)</f>
        <v>0</v>
      </c>
      <c r="J10983" s="16">
        <f>H10983*I10983</f>
        <v>0</v>
      </c>
    </row>
    <row r="10984" spans="1:10" ht="13" hidden="1">
      <c r="A10984" s="27"/>
      <c r="B10984" s="110"/>
      <c r="D10984" s="409"/>
      <c r="E10984" s="13" t="s">
        <v>283</v>
      </c>
      <c r="F10984" s="13" t="s">
        <v>1913</v>
      </c>
      <c r="G10984" s="410" t="s">
        <v>48</v>
      </c>
      <c r="H10984" s="411">
        <v>0.312</v>
      </c>
      <c r="I10984" s="412">
        <f>IF(AND(E10984&lt;&gt;"",G10984&lt;&gt;""),IF(D10984="",IF(G10984="OH",VLOOKUP(F10984,UPAH!$B$4:$H$101,7,0),VLOOKUP(F10984,#REF!,4,0)),0),0)</f>
        <v>0</v>
      </c>
      <c r="J10984" s="16">
        <f>H10984*I10984</f>
        <v>0</v>
      </c>
    </row>
    <row r="10985" spans="1:10" ht="13" hidden="1">
      <c r="A10985" s="27"/>
      <c r="B10985" s="110"/>
      <c r="D10985" s="409"/>
      <c r="E10985" s="13" t="s">
        <v>51</v>
      </c>
      <c r="F10985" s="13" t="s">
        <v>1929</v>
      </c>
      <c r="G10985" s="410" t="s">
        <v>48</v>
      </c>
      <c r="H10985" s="411">
        <v>0.156</v>
      </c>
      <c r="I10985" s="412">
        <f>IF(AND(E10985&lt;&gt;"",G10985&lt;&gt;""),IF(D10985="",IF(G10985="OH",VLOOKUP(F10985,UPAH!$B$4:$H$101,7,0),VLOOKUP(F10985,#REF!,4,0)),0),0)</f>
        <v>0</v>
      </c>
      <c r="J10985" s="16">
        <f>H10985*I10985</f>
        <v>0</v>
      </c>
    </row>
    <row r="10986" spans="1:10" ht="13.5" hidden="1" thickBot="1">
      <c r="A10986" s="27"/>
      <c r="B10986" s="110"/>
      <c r="D10986" s="417"/>
      <c r="E10986" s="418"/>
      <c r="F10986" s="418"/>
      <c r="G10986" s="419"/>
      <c r="H10986" s="420" t="s">
        <v>52</v>
      </c>
      <c r="I10986" s="421"/>
      <c r="J10986" s="396">
        <f>SUM(J10982:J10985)</f>
        <v>0</v>
      </c>
    </row>
    <row r="10987" spans="1:10" ht="13" hidden="1">
      <c r="A10987" s="27"/>
      <c r="B10987" s="110"/>
      <c r="D10987" s="406" t="s">
        <v>53</v>
      </c>
      <c r="E10987" s="13" t="s">
        <v>54</v>
      </c>
      <c r="F10987" s="14"/>
      <c r="G10987" s="15"/>
      <c r="H10987" s="451"/>
      <c r="I10987" s="412"/>
      <c r="J10987" s="16"/>
    </row>
    <row r="10988" spans="1:10" ht="13" hidden="1">
      <c r="A10988" s="27"/>
      <c r="B10988" s="110"/>
      <c r="D10988" s="409"/>
      <c r="E10988" s="13" t="s">
        <v>424</v>
      </c>
      <c r="F10988" s="14"/>
      <c r="G10988" s="410" t="s">
        <v>259</v>
      </c>
      <c r="H10988" s="411">
        <v>1</v>
      </c>
      <c r="I10988" s="412" t="s">
        <v>3187</v>
      </c>
      <c r="J10988" s="16" t="e">
        <f>H10988*I10988</f>
        <v>#VALUE!</v>
      </c>
    </row>
    <row r="10989" spans="1:10" ht="13.5" hidden="1" thickBot="1">
      <c r="A10989" s="27"/>
      <c r="B10989" s="110"/>
      <c r="D10989" s="417"/>
      <c r="E10989" s="418"/>
      <c r="F10989" s="418"/>
      <c r="G10989" s="419"/>
      <c r="H10989" s="420" t="s">
        <v>64</v>
      </c>
      <c r="I10989" s="421"/>
      <c r="J10989" s="396" t="e">
        <f>SUM(J10988)</f>
        <v>#VALUE!</v>
      </c>
    </row>
    <row r="10990" spans="1:10" ht="13" hidden="1">
      <c r="A10990" s="27"/>
      <c r="B10990" s="110"/>
      <c r="D10990" s="406" t="s">
        <v>65</v>
      </c>
      <c r="E10990" s="13" t="s">
        <v>66</v>
      </c>
      <c r="F10990" s="14"/>
      <c r="G10990" s="15"/>
      <c r="H10990" s="451"/>
      <c r="I10990" s="412"/>
      <c r="J10990" s="16"/>
    </row>
    <row r="10991" spans="1:10" ht="13" hidden="1">
      <c r="A10991" s="27"/>
      <c r="B10991" s="110"/>
      <c r="D10991" s="409"/>
      <c r="E10991" s="13" t="s">
        <v>1075</v>
      </c>
      <c r="F10991" s="14"/>
      <c r="G10991" s="410" t="s">
        <v>285</v>
      </c>
      <c r="H10991" s="411">
        <v>0.107</v>
      </c>
      <c r="I10991" s="412">
        <f>Alat!H26</f>
        <v>0</v>
      </c>
      <c r="J10991" s="16">
        <f>H10991*I10991</f>
        <v>0</v>
      </c>
    </row>
    <row r="10992" spans="1:10" ht="13.5" hidden="1" thickBot="1">
      <c r="A10992" s="27"/>
      <c r="B10992" s="110"/>
      <c r="D10992" s="417"/>
      <c r="E10992" s="418"/>
      <c r="F10992" s="418"/>
      <c r="G10992" s="419"/>
      <c r="H10992" s="420" t="s">
        <v>67</v>
      </c>
      <c r="I10992" s="421"/>
      <c r="J10992" s="396">
        <f>J10991</f>
        <v>0</v>
      </c>
    </row>
    <row r="10993" spans="1:10" ht="13" hidden="1">
      <c r="A10993" s="27"/>
      <c r="B10993" s="110"/>
      <c r="D10993" s="444" t="s">
        <v>68</v>
      </c>
      <c r="E10993" s="445" t="s">
        <v>69</v>
      </c>
      <c r="F10993" s="446"/>
      <c r="G10993" s="447"/>
      <c r="H10993" s="448"/>
      <c r="I10993" s="449">
        <f>IF(AND(E10993&lt;&gt;"",G10993&lt;&gt;""),IF(D10993="",IF(G10993="OH",VLOOKUP(E10993,UPAH!$C$4:$H$31,7,0),VLOOKUP(E10993,#REF!,4,0)),0),0)</f>
        <v>0</v>
      </c>
      <c r="J10993" s="16" t="e">
        <f>SUM(J10982:J10992)/2</f>
        <v>#VALUE!</v>
      </c>
    </row>
    <row r="10994" spans="1:10" ht="13" hidden="1">
      <c r="A10994" s="27"/>
      <c r="B10994" s="110"/>
      <c r="D10994" s="431" t="s">
        <v>70</v>
      </c>
      <c r="E10994" s="432" t="s">
        <v>477</v>
      </c>
      <c r="F10994" s="433"/>
      <c r="G10994" s="434"/>
      <c r="H10994" s="22">
        <v>0.1</v>
      </c>
      <c r="I10994" s="436"/>
      <c r="J10994" s="430" t="e">
        <f>H10994*J10993</f>
        <v>#VALUE!</v>
      </c>
    </row>
    <row r="10995" spans="1:10" ht="13.5" hidden="1" thickBot="1">
      <c r="A10995" s="27"/>
      <c r="B10995" s="110"/>
      <c r="D10995" s="401" t="s">
        <v>71</v>
      </c>
      <c r="E10995" s="402" t="s">
        <v>72</v>
      </c>
      <c r="F10995" s="418"/>
      <c r="G10995" s="419"/>
      <c r="H10995" s="442"/>
      <c r="I10995" s="421">
        <f>IF(AND(E10995&lt;&gt;"",G10995&lt;&gt;""),IF(D10995="",IF(G10995="OH",VLOOKUP(E10995,UPAH!$C$4:$H$31,7,0),VLOOKUP(E10995,#REF!,4,0)),0),0)</f>
        <v>0</v>
      </c>
      <c r="J10995" s="396" t="e">
        <f>ROUNDDOWN(J10993+J10994,0)</f>
        <v>#VALUE!</v>
      </c>
    </row>
    <row r="10996" spans="1:10" ht="13" hidden="1">
      <c r="A10996" s="27"/>
      <c r="B10996" s="110"/>
      <c r="D10996" s="11"/>
      <c r="E10996" s="11"/>
      <c r="H10996" s="443"/>
      <c r="I10996" s="17"/>
      <c r="J10996" s="18"/>
    </row>
    <row r="10997" spans="1:10" ht="13" hidden="1">
      <c r="A10997" s="27"/>
      <c r="B10997" s="110"/>
      <c r="C10997" s="11" t="s">
        <v>1605</v>
      </c>
      <c r="D10997" s="10" t="s">
        <v>1688</v>
      </c>
      <c r="H10997" s="443"/>
    </row>
    <row r="10998" spans="1:10" ht="13.5" hidden="1" thickBot="1">
      <c r="A10998" s="27"/>
      <c r="B10998" s="110"/>
      <c r="D10998" s="401" t="s">
        <v>40</v>
      </c>
      <c r="E10998" s="402" t="s">
        <v>41</v>
      </c>
      <c r="F10998" s="402" t="s">
        <v>42</v>
      </c>
      <c r="G10998" s="403" t="s">
        <v>43</v>
      </c>
      <c r="H10998" s="404" t="s">
        <v>44</v>
      </c>
      <c r="I10998" s="402" t="s">
        <v>474</v>
      </c>
      <c r="J10998" s="405" t="s">
        <v>475</v>
      </c>
    </row>
    <row r="10999" spans="1:10" ht="13" hidden="1">
      <c r="A10999" s="27"/>
      <c r="B10999" s="110"/>
      <c r="D10999" s="444" t="s">
        <v>45</v>
      </c>
      <c r="E10999" s="445" t="s">
        <v>46</v>
      </c>
      <c r="F10999" s="446"/>
      <c r="G10999" s="447"/>
      <c r="H10999" s="448"/>
      <c r="I10999" s="449"/>
      <c r="J10999" s="450"/>
    </row>
    <row r="11000" spans="1:10" ht="13" hidden="1">
      <c r="A11000" s="27"/>
      <c r="B11000" s="110"/>
      <c r="D11000" s="409"/>
      <c r="E11000" s="13" t="s">
        <v>47</v>
      </c>
      <c r="F11000" s="13" t="s">
        <v>1918</v>
      </c>
      <c r="G11000" s="410" t="s">
        <v>48</v>
      </c>
      <c r="H11000" s="411">
        <v>1.4370000000000001</v>
      </c>
      <c r="I11000" s="412">
        <f>IF(AND(E11000&lt;&gt;"",G11000&lt;&gt;""),IF(D11000="",IF(G11000="OH",VLOOKUP(F11000,UPAH!$B$4:$H$101,7,0),VLOOKUP(F11000,#REF!,4,0)),0),0)</f>
        <v>0</v>
      </c>
      <c r="J11000" s="16">
        <f>H11000*I11000</f>
        <v>0</v>
      </c>
    </row>
    <row r="11001" spans="1:10" ht="13" hidden="1">
      <c r="A11001" s="27"/>
      <c r="B11001" s="110"/>
      <c r="D11001" s="409"/>
      <c r="E11001" s="13" t="s">
        <v>283</v>
      </c>
      <c r="F11001" s="13" t="s">
        <v>1913</v>
      </c>
      <c r="G11001" s="410" t="s">
        <v>48</v>
      </c>
      <c r="H11001" s="411">
        <v>0.28699999999999998</v>
      </c>
      <c r="I11001" s="412">
        <f>IF(AND(E11001&lt;&gt;"",G11001&lt;&gt;""),IF(D11001="",IF(G11001="OH",VLOOKUP(F11001,UPAH!$B$4:$H$101,7,0),VLOOKUP(F11001,#REF!,4,0)),0),0)</f>
        <v>0</v>
      </c>
      <c r="J11001" s="16">
        <f>H11001*I11001</f>
        <v>0</v>
      </c>
    </row>
    <row r="11002" spans="1:10" ht="13" hidden="1">
      <c r="A11002" s="27"/>
      <c r="B11002" s="110"/>
      <c r="D11002" s="409"/>
      <c r="E11002" s="13" t="s">
        <v>51</v>
      </c>
      <c r="F11002" s="13" t="s">
        <v>1929</v>
      </c>
      <c r="G11002" s="410" t="s">
        <v>48</v>
      </c>
      <c r="H11002" s="411">
        <v>0.14399999999999999</v>
      </c>
      <c r="I11002" s="412">
        <f>IF(AND(E11002&lt;&gt;"",G11002&lt;&gt;""),IF(D11002="",IF(G11002="OH",VLOOKUP(F11002,UPAH!$B$4:$H$101,7,0),VLOOKUP(F11002,#REF!,4,0)),0),0)</f>
        <v>0</v>
      </c>
      <c r="J11002" s="16">
        <f>H11002*I11002</f>
        <v>0</v>
      </c>
    </row>
    <row r="11003" spans="1:10" ht="13.5" hidden="1" thickBot="1">
      <c r="A11003" s="27"/>
      <c r="B11003" s="110"/>
      <c r="D11003" s="417"/>
      <c r="E11003" s="418"/>
      <c r="F11003" s="418"/>
      <c r="G11003" s="419"/>
      <c r="H11003" s="420" t="s">
        <v>52</v>
      </c>
      <c r="I11003" s="421"/>
      <c r="J11003" s="396">
        <f>SUM(J10999:J11002)</f>
        <v>0</v>
      </c>
    </row>
    <row r="11004" spans="1:10" ht="13" hidden="1">
      <c r="A11004" s="27"/>
      <c r="B11004" s="110"/>
      <c r="D11004" s="406" t="s">
        <v>53</v>
      </c>
      <c r="E11004" s="13" t="s">
        <v>54</v>
      </c>
      <c r="F11004" s="14"/>
      <c r="G11004" s="15"/>
      <c r="H11004" s="451"/>
      <c r="I11004" s="412"/>
      <c r="J11004" s="16"/>
    </row>
    <row r="11005" spans="1:10" ht="13" hidden="1">
      <c r="A11005" s="27"/>
      <c r="B11005" s="110"/>
      <c r="D11005" s="409"/>
      <c r="E11005" s="13" t="s">
        <v>425</v>
      </c>
      <c r="F11005" s="14"/>
      <c r="G11005" s="410" t="s">
        <v>259</v>
      </c>
      <c r="H11005" s="411">
        <v>1</v>
      </c>
      <c r="I11005" s="412" t="s">
        <v>3187</v>
      </c>
      <c r="J11005" s="16" t="e">
        <f>H11005*I11005</f>
        <v>#VALUE!</v>
      </c>
    </row>
    <row r="11006" spans="1:10" ht="13.5" hidden="1" thickBot="1">
      <c r="A11006" s="27"/>
      <c r="B11006" s="110"/>
      <c r="D11006" s="417"/>
      <c r="E11006" s="418"/>
      <c r="F11006" s="418"/>
      <c r="G11006" s="419"/>
      <c r="H11006" s="420" t="s">
        <v>64</v>
      </c>
      <c r="I11006" s="421"/>
      <c r="J11006" s="396" t="e">
        <f>SUM(J11005)</f>
        <v>#VALUE!</v>
      </c>
    </row>
    <row r="11007" spans="1:10" ht="13" hidden="1">
      <c r="A11007" s="27"/>
      <c r="B11007" s="110"/>
      <c r="D11007" s="406" t="s">
        <v>65</v>
      </c>
      <c r="E11007" s="13" t="s">
        <v>66</v>
      </c>
      <c r="F11007" s="14"/>
      <c r="G11007" s="15"/>
      <c r="H11007" s="451"/>
      <c r="I11007" s="412"/>
      <c r="J11007" s="16"/>
    </row>
    <row r="11008" spans="1:10" ht="13" hidden="1">
      <c r="A11008" s="27"/>
      <c r="B11008" s="110"/>
      <c r="D11008" s="409"/>
      <c r="E11008" s="13" t="s">
        <v>1075</v>
      </c>
      <c r="F11008" s="14"/>
      <c r="G11008" s="410" t="s">
        <v>285</v>
      </c>
      <c r="H11008" s="411">
        <v>0.113</v>
      </c>
      <c r="I11008" s="412">
        <f>Alat!H26</f>
        <v>0</v>
      </c>
      <c r="J11008" s="16">
        <f>H11008*I11008</f>
        <v>0</v>
      </c>
    </row>
    <row r="11009" spans="1:10" ht="13.5" hidden="1" thickBot="1">
      <c r="A11009" s="27"/>
      <c r="B11009" s="110"/>
      <c r="D11009" s="417"/>
      <c r="E11009" s="418"/>
      <c r="F11009" s="418"/>
      <c r="G11009" s="419"/>
      <c r="H11009" s="420" t="s">
        <v>67</v>
      </c>
      <c r="I11009" s="421"/>
      <c r="J11009" s="396">
        <f>J11008</f>
        <v>0</v>
      </c>
    </row>
    <row r="11010" spans="1:10" ht="13" hidden="1">
      <c r="A11010" s="27"/>
      <c r="B11010" s="110"/>
      <c r="D11010" s="444" t="s">
        <v>68</v>
      </c>
      <c r="E11010" s="445" t="s">
        <v>69</v>
      </c>
      <c r="F11010" s="446"/>
      <c r="G11010" s="447"/>
      <c r="H11010" s="448"/>
      <c r="I11010" s="449">
        <f>IF(AND(E11010&lt;&gt;"",G11010&lt;&gt;""),IF(D11010="",IF(G11010="OH",VLOOKUP(E11010,UPAH!$C$4:$H$31,7,0),VLOOKUP(E11010,#REF!,4,0)),0),0)</f>
        <v>0</v>
      </c>
      <c r="J11010" s="16" t="e">
        <f>SUM(J10999:J11009)/2</f>
        <v>#VALUE!</v>
      </c>
    </row>
    <row r="11011" spans="1:10" ht="13" hidden="1">
      <c r="A11011" s="27"/>
      <c r="B11011" s="110"/>
      <c r="D11011" s="431" t="s">
        <v>70</v>
      </c>
      <c r="E11011" s="432" t="s">
        <v>477</v>
      </c>
      <c r="F11011" s="433"/>
      <c r="G11011" s="434"/>
      <c r="H11011" s="22">
        <v>0.1</v>
      </c>
      <c r="I11011" s="436"/>
      <c r="J11011" s="430" t="e">
        <f>H11011*J11010</f>
        <v>#VALUE!</v>
      </c>
    </row>
    <row r="11012" spans="1:10" ht="13.5" hidden="1" thickBot="1">
      <c r="A11012" s="27"/>
      <c r="B11012" s="110"/>
      <c r="D11012" s="401" t="s">
        <v>71</v>
      </c>
      <c r="E11012" s="402" t="s">
        <v>72</v>
      </c>
      <c r="F11012" s="418"/>
      <c r="G11012" s="419"/>
      <c r="H11012" s="442"/>
      <c r="I11012" s="421">
        <f>IF(AND(E11012&lt;&gt;"",G11012&lt;&gt;""),IF(D11012="",IF(G11012="OH",VLOOKUP(E11012,UPAH!$C$4:$H$31,7,0),VLOOKUP(E11012,#REF!,4,0)),0),0)</f>
        <v>0</v>
      </c>
      <c r="J11012" s="396" t="e">
        <f>ROUNDDOWN(J11010+J11011,0)</f>
        <v>#VALUE!</v>
      </c>
    </row>
    <row r="11013" spans="1:10" ht="13" hidden="1">
      <c r="A11013" s="27"/>
      <c r="B11013" s="110"/>
      <c r="D11013" s="11"/>
      <c r="E11013" s="11"/>
      <c r="H11013" s="443"/>
      <c r="I11013" s="17"/>
      <c r="J11013" s="18"/>
    </row>
    <row r="11014" spans="1:10" ht="13" hidden="1">
      <c r="A11014" s="27"/>
      <c r="B11014" s="110"/>
      <c r="C11014" s="11" t="s">
        <v>1604</v>
      </c>
      <c r="D11014" s="10" t="s">
        <v>1689</v>
      </c>
      <c r="H11014" s="443"/>
    </row>
    <row r="11015" spans="1:10" ht="13.5" hidden="1" thickBot="1">
      <c r="A11015" s="27"/>
      <c r="B11015" s="110"/>
      <c r="D11015" s="401" t="s">
        <v>40</v>
      </c>
      <c r="E11015" s="402" t="s">
        <v>41</v>
      </c>
      <c r="F11015" s="402" t="s">
        <v>42</v>
      </c>
      <c r="G11015" s="403" t="s">
        <v>43</v>
      </c>
      <c r="H11015" s="404" t="s">
        <v>44</v>
      </c>
      <c r="I11015" s="402" t="s">
        <v>474</v>
      </c>
      <c r="J11015" s="405" t="s">
        <v>475</v>
      </c>
    </row>
    <row r="11016" spans="1:10" ht="13" hidden="1">
      <c r="A11016" s="27"/>
      <c r="B11016" s="110"/>
      <c r="D11016" s="444" t="s">
        <v>45</v>
      </c>
      <c r="E11016" s="445" t="s">
        <v>46</v>
      </c>
      <c r="F11016" s="446"/>
      <c r="G11016" s="447"/>
      <c r="H11016" s="448"/>
      <c r="I11016" s="449"/>
      <c r="J11016" s="450"/>
    </row>
    <row r="11017" spans="1:10" ht="13" hidden="1">
      <c r="A11017" s="27"/>
      <c r="B11017" s="110"/>
      <c r="D11017" s="409"/>
      <c r="E11017" s="13" t="s">
        <v>47</v>
      </c>
      <c r="F11017" s="13" t="s">
        <v>1918</v>
      </c>
      <c r="G11017" s="410" t="s">
        <v>48</v>
      </c>
      <c r="H11017" s="411">
        <v>2.6240000000000001</v>
      </c>
      <c r="I11017" s="412">
        <f>IF(AND(E11017&lt;&gt;"",G11017&lt;&gt;""),IF(D11017="",IF(G11017="OH",VLOOKUP(F11017,UPAH!$B$4:$H$101,7,0),VLOOKUP(F11017,#REF!,4,0)),0),0)</f>
        <v>0</v>
      </c>
      <c r="J11017" s="16">
        <f>H11017*I11017</f>
        <v>0</v>
      </c>
    </row>
    <row r="11018" spans="1:10" ht="13" hidden="1">
      <c r="A11018" s="27"/>
      <c r="B11018" s="110"/>
      <c r="D11018" s="409"/>
      <c r="E11018" s="13" t="s">
        <v>283</v>
      </c>
      <c r="F11018" s="13" t="s">
        <v>1913</v>
      </c>
      <c r="G11018" s="410" t="s">
        <v>48</v>
      </c>
      <c r="H11018" s="411">
        <v>0.52500000000000002</v>
      </c>
      <c r="I11018" s="412">
        <f>IF(AND(E11018&lt;&gt;"",G11018&lt;&gt;""),IF(D11018="",IF(G11018="OH",VLOOKUP(F11018,UPAH!$B$4:$H$101,7,0),VLOOKUP(F11018,#REF!,4,0)),0),0)</f>
        <v>0</v>
      </c>
      <c r="J11018" s="16">
        <f>H11018*I11018</f>
        <v>0</v>
      </c>
    </row>
    <row r="11019" spans="1:10" ht="13" hidden="1">
      <c r="A11019" s="27"/>
      <c r="B11019" s="110"/>
      <c r="D11019" s="409"/>
      <c r="E11019" s="13" t="s">
        <v>51</v>
      </c>
      <c r="F11019" s="13" t="s">
        <v>1929</v>
      </c>
      <c r="G11019" s="410" t="s">
        <v>48</v>
      </c>
      <c r="H11019" s="411">
        <v>0.26200000000000001</v>
      </c>
      <c r="I11019" s="412">
        <f>IF(AND(E11019&lt;&gt;"",G11019&lt;&gt;""),IF(D11019="",IF(G11019="OH",VLOOKUP(F11019,UPAH!$B$4:$H$101,7,0),VLOOKUP(F11019,#REF!,4,0)),0),0)</f>
        <v>0</v>
      </c>
      <c r="J11019" s="16">
        <f>H11019*I11019</f>
        <v>0</v>
      </c>
    </row>
    <row r="11020" spans="1:10" ht="13.5" hidden="1" thickBot="1">
      <c r="A11020" s="27"/>
      <c r="B11020" s="110"/>
      <c r="D11020" s="417"/>
      <c r="E11020" s="418"/>
      <c r="F11020" s="418"/>
      <c r="G11020" s="419"/>
      <c r="H11020" s="420" t="s">
        <v>52</v>
      </c>
      <c r="I11020" s="421"/>
      <c r="J11020" s="396">
        <f>SUM(J11016:J11019)</f>
        <v>0</v>
      </c>
    </row>
    <row r="11021" spans="1:10" ht="13" hidden="1">
      <c r="A11021" s="27"/>
      <c r="B11021" s="110"/>
      <c r="D11021" s="406" t="s">
        <v>53</v>
      </c>
      <c r="E11021" s="13" t="s">
        <v>54</v>
      </c>
      <c r="F11021" s="14"/>
      <c r="G11021" s="15"/>
      <c r="H11021" s="451"/>
      <c r="I11021" s="412"/>
      <c r="J11021" s="16"/>
    </row>
    <row r="11022" spans="1:10" ht="13" hidden="1">
      <c r="A11022" s="27"/>
      <c r="B11022" s="110"/>
      <c r="D11022" s="409"/>
      <c r="E11022" s="13" t="s">
        <v>427</v>
      </c>
      <c r="F11022" s="14"/>
      <c r="G11022" s="410" t="s">
        <v>259</v>
      </c>
      <c r="H11022" s="411">
        <v>1</v>
      </c>
      <c r="I11022" s="412" t="s">
        <v>3187</v>
      </c>
      <c r="J11022" s="16" t="e">
        <f>H11022*I11022</f>
        <v>#VALUE!</v>
      </c>
    </row>
    <row r="11023" spans="1:10" ht="13.5" hidden="1" thickBot="1">
      <c r="A11023" s="27"/>
      <c r="B11023" s="110"/>
      <c r="D11023" s="417"/>
      <c r="E11023" s="418"/>
      <c r="F11023" s="418"/>
      <c r="G11023" s="419"/>
      <c r="H11023" s="420" t="s">
        <v>64</v>
      </c>
      <c r="I11023" s="421"/>
      <c r="J11023" s="396" t="e">
        <f>SUM(J11022)</f>
        <v>#VALUE!</v>
      </c>
    </row>
    <row r="11024" spans="1:10" ht="13" hidden="1">
      <c r="A11024" s="27"/>
      <c r="B11024" s="110"/>
      <c r="D11024" s="406" t="s">
        <v>65</v>
      </c>
      <c r="E11024" s="13" t="s">
        <v>66</v>
      </c>
      <c r="F11024" s="14"/>
      <c r="G11024" s="15"/>
      <c r="H11024" s="451"/>
      <c r="I11024" s="412"/>
      <c r="J11024" s="16"/>
    </row>
    <row r="11025" spans="1:10" ht="13" hidden="1">
      <c r="A11025" s="27"/>
      <c r="B11025" s="110"/>
      <c r="D11025" s="409"/>
      <c r="E11025" s="13" t="s">
        <v>1075</v>
      </c>
      <c r="F11025" s="14"/>
      <c r="G11025" s="410" t="s">
        <v>285</v>
      </c>
      <c r="H11025" s="411">
        <v>0.16600000000000001</v>
      </c>
      <c r="I11025" s="412">
        <f>Alat!H26</f>
        <v>0</v>
      </c>
      <c r="J11025" s="16">
        <f>H11025*I11025</f>
        <v>0</v>
      </c>
    </row>
    <row r="11026" spans="1:10" ht="13.5" hidden="1" thickBot="1">
      <c r="A11026" s="27"/>
      <c r="B11026" s="110"/>
      <c r="D11026" s="417"/>
      <c r="E11026" s="418"/>
      <c r="F11026" s="418"/>
      <c r="G11026" s="419"/>
      <c r="H11026" s="420" t="s">
        <v>67</v>
      </c>
      <c r="I11026" s="421"/>
      <c r="J11026" s="396">
        <f>J11025</f>
        <v>0</v>
      </c>
    </row>
    <row r="11027" spans="1:10" ht="13" hidden="1">
      <c r="A11027" s="27"/>
      <c r="B11027" s="110"/>
      <c r="D11027" s="444" t="s">
        <v>68</v>
      </c>
      <c r="E11027" s="445" t="s">
        <v>69</v>
      </c>
      <c r="F11027" s="446"/>
      <c r="G11027" s="447"/>
      <c r="H11027" s="448"/>
      <c r="I11027" s="449">
        <f>IF(AND(E11027&lt;&gt;"",G11027&lt;&gt;""),IF(D11027="",IF(G11027="OH",VLOOKUP(E11027,UPAH!$C$4:$H$31,7,0),VLOOKUP(E11027,#REF!,4,0)),0),0)</f>
        <v>0</v>
      </c>
      <c r="J11027" s="16" t="e">
        <f>SUM(J11016:J11026)/2</f>
        <v>#VALUE!</v>
      </c>
    </row>
    <row r="11028" spans="1:10" ht="13" hidden="1">
      <c r="A11028" s="27"/>
      <c r="B11028" s="110"/>
      <c r="D11028" s="431" t="s">
        <v>70</v>
      </c>
      <c r="E11028" s="432" t="s">
        <v>477</v>
      </c>
      <c r="F11028" s="433"/>
      <c r="G11028" s="434"/>
      <c r="H11028" s="22">
        <v>0.1</v>
      </c>
      <c r="I11028" s="436"/>
      <c r="J11028" s="430" t="e">
        <f>H11028*J11027</f>
        <v>#VALUE!</v>
      </c>
    </row>
    <row r="11029" spans="1:10" ht="13.5" hidden="1" thickBot="1">
      <c r="A11029" s="27"/>
      <c r="B11029" s="110"/>
      <c r="D11029" s="401" t="s">
        <v>71</v>
      </c>
      <c r="E11029" s="402" t="s">
        <v>72</v>
      </c>
      <c r="F11029" s="418"/>
      <c r="G11029" s="419"/>
      <c r="H11029" s="442"/>
      <c r="I11029" s="421">
        <f>IF(AND(E11029&lt;&gt;"",G11029&lt;&gt;""),IF(D11029="",IF(G11029="OH",VLOOKUP(E11029,UPAH!$C$4:$H$31,7,0),VLOOKUP(E11029,#REF!,4,0)),0),0)</f>
        <v>0</v>
      </c>
      <c r="J11029" s="396" t="e">
        <f>ROUNDDOWN(J11027+J11028,0)</f>
        <v>#VALUE!</v>
      </c>
    </row>
    <row r="11030" spans="1:10" ht="13" hidden="1">
      <c r="A11030" s="27"/>
      <c r="B11030" s="110"/>
      <c r="D11030" s="11"/>
      <c r="E11030" s="11"/>
      <c r="H11030" s="443"/>
      <c r="I11030" s="17"/>
      <c r="J11030" s="18"/>
    </row>
    <row r="11031" spans="1:10" ht="13" hidden="1">
      <c r="A11031" s="27"/>
      <c r="B11031" s="110"/>
      <c r="C11031" s="11" t="s">
        <v>1603</v>
      </c>
      <c r="D11031" s="10" t="s">
        <v>1690</v>
      </c>
      <c r="H11031" s="443"/>
    </row>
    <row r="11032" spans="1:10" ht="13.5" hidden="1" thickBot="1">
      <c r="A11032" s="27"/>
      <c r="B11032" s="110"/>
      <c r="D11032" s="401" t="s">
        <v>40</v>
      </c>
      <c r="E11032" s="402" t="s">
        <v>41</v>
      </c>
      <c r="F11032" s="402" t="s">
        <v>42</v>
      </c>
      <c r="G11032" s="403" t="s">
        <v>43</v>
      </c>
      <c r="H11032" s="404" t="s">
        <v>44</v>
      </c>
      <c r="I11032" s="402" t="s">
        <v>474</v>
      </c>
      <c r="J11032" s="405" t="s">
        <v>475</v>
      </c>
    </row>
    <row r="11033" spans="1:10" ht="13" hidden="1">
      <c r="A11033" s="27"/>
      <c r="B11033" s="110"/>
      <c r="D11033" s="444" t="s">
        <v>45</v>
      </c>
      <c r="E11033" s="445" t="s">
        <v>46</v>
      </c>
      <c r="F11033" s="446"/>
      <c r="G11033" s="447"/>
      <c r="H11033" s="448"/>
      <c r="I11033" s="449"/>
      <c r="J11033" s="450"/>
    </row>
    <row r="11034" spans="1:10" ht="13" hidden="1">
      <c r="A11034" s="27"/>
      <c r="B11034" s="110"/>
      <c r="D11034" s="409"/>
      <c r="E11034" s="13" t="s">
        <v>47</v>
      </c>
      <c r="F11034" s="13" t="s">
        <v>1918</v>
      </c>
      <c r="G11034" s="410" t="s">
        <v>48</v>
      </c>
      <c r="H11034" s="411">
        <v>2.9710000000000001</v>
      </c>
      <c r="I11034" s="412">
        <f>IF(AND(E11034&lt;&gt;"",G11034&lt;&gt;""),IF(D11034="",IF(G11034="OH",VLOOKUP(F11034,UPAH!$B$4:$H$101,7,0),VLOOKUP(F11034,#REF!,4,0)),0),0)</f>
        <v>0</v>
      </c>
      <c r="J11034" s="16">
        <f>H11034*I11034</f>
        <v>0</v>
      </c>
    </row>
    <row r="11035" spans="1:10" ht="13" hidden="1">
      <c r="A11035" s="27"/>
      <c r="B11035" s="110"/>
      <c r="D11035" s="409"/>
      <c r="E11035" s="13" t="s">
        <v>283</v>
      </c>
      <c r="F11035" s="13" t="s">
        <v>1913</v>
      </c>
      <c r="G11035" s="410" t="s">
        <v>48</v>
      </c>
      <c r="H11035" s="411">
        <v>0.59399999999999997</v>
      </c>
      <c r="I11035" s="412">
        <f>IF(AND(E11035&lt;&gt;"",G11035&lt;&gt;""),IF(D11035="",IF(G11035="OH",VLOOKUP(F11035,UPAH!$B$4:$H$101,7,0),VLOOKUP(F11035,#REF!,4,0)),0),0)</f>
        <v>0</v>
      </c>
      <c r="J11035" s="16">
        <f>H11035*I11035</f>
        <v>0</v>
      </c>
    </row>
    <row r="11036" spans="1:10" ht="13" hidden="1">
      <c r="A11036" s="27"/>
      <c r="B11036" s="110"/>
      <c r="D11036" s="409"/>
      <c r="E11036" s="13" t="s">
        <v>51</v>
      </c>
      <c r="F11036" s="13" t="s">
        <v>1929</v>
      </c>
      <c r="G11036" s="410" t="s">
        <v>48</v>
      </c>
      <c r="H11036" s="411">
        <v>0.29699999999999999</v>
      </c>
      <c r="I11036" s="412">
        <f>IF(AND(E11036&lt;&gt;"",G11036&lt;&gt;""),IF(D11036="",IF(G11036="OH",VLOOKUP(F11036,UPAH!$B$4:$H$101,7,0),VLOOKUP(F11036,#REF!,4,0)),0),0)</f>
        <v>0</v>
      </c>
      <c r="J11036" s="16">
        <f>H11036*I11036</f>
        <v>0</v>
      </c>
    </row>
    <row r="11037" spans="1:10" ht="13.5" hidden="1" thickBot="1">
      <c r="A11037" s="27"/>
      <c r="B11037" s="110"/>
      <c r="D11037" s="417"/>
      <c r="E11037" s="418"/>
      <c r="F11037" s="418"/>
      <c r="G11037" s="419"/>
      <c r="H11037" s="420" t="s">
        <v>52</v>
      </c>
      <c r="I11037" s="421"/>
      <c r="J11037" s="396">
        <f>SUM(J11033:J11036)</f>
        <v>0</v>
      </c>
    </row>
    <row r="11038" spans="1:10" ht="13" hidden="1">
      <c r="A11038" s="27"/>
      <c r="B11038" s="110"/>
      <c r="D11038" s="406" t="s">
        <v>53</v>
      </c>
      <c r="E11038" s="13" t="s">
        <v>54</v>
      </c>
      <c r="F11038" s="14"/>
      <c r="G11038" s="15"/>
      <c r="H11038" s="451"/>
      <c r="I11038" s="412"/>
      <c r="J11038" s="16"/>
    </row>
    <row r="11039" spans="1:10" ht="13" hidden="1">
      <c r="A11039" s="27"/>
      <c r="B11039" s="110"/>
      <c r="D11039" s="409"/>
      <c r="E11039" s="13" t="s">
        <v>428</v>
      </c>
      <c r="F11039" s="14"/>
      <c r="G11039" s="410" t="s">
        <v>259</v>
      </c>
      <c r="H11039" s="411">
        <v>1</v>
      </c>
      <c r="I11039" s="412" t="s">
        <v>3187</v>
      </c>
      <c r="J11039" s="16" t="e">
        <f>H11039*I11039</f>
        <v>#VALUE!</v>
      </c>
    </row>
    <row r="11040" spans="1:10" ht="13.5" hidden="1" thickBot="1">
      <c r="A11040" s="27"/>
      <c r="B11040" s="110"/>
      <c r="D11040" s="417"/>
      <c r="E11040" s="418"/>
      <c r="F11040" s="418"/>
      <c r="G11040" s="419"/>
      <c r="H11040" s="420" t="s">
        <v>64</v>
      </c>
      <c r="I11040" s="421"/>
      <c r="J11040" s="396" t="e">
        <f>SUM(J11039)</f>
        <v>#VALUE!</v>
      </c>
    </row>
    <row r="11041" spans="1:10" ht="13" hidden="1">
      <c r="A11041" s="27"/>
      <c r="B11041" s="110"/>
      <c r="D11041" s="406" t="s">
        <v>65</v>
      </c>
      <c r="E11041" s="13" t="s">
        <v>66</v>
      </c>
      <c r="F11041" s="14"/>
      <c r="G11041" s="15"/>
      <c r="H11041" s="451"/>
      <c r="I11041" s="412"/>
      <c r="J11041" s="16"/>
    </row>
    <row r="11042" spans="1:10" ht="13" hidden="1">
      <c r="A11042" s="27"/>
      <c r="B11042" s="110"/>
      <c r="D11042" s="409"/>
      <c r="E11042" s="13" t="s">
        <v>1075</v>
      </c>
      <c r="F11042" s="14"/>
      <c r="G11042" s="410" t="s">
        <v>285</v>
      </c>
      <c r="H11042" s="411">
        <v>0.183</v>
      </c>
      <c r="I11042" s="412">
        <f>Alat!H26</f>
        <v>0</v>
      </c>
      <c r="J11042" s="16">
        <f>H11042*I11042</f>
        <v>0</v>
      </c>
    </row>
    <row r="11043" spans="1:10" ht="13.5" hidden="1" thickBot="1">
      <c r="A11043" s="27"/>
      <c r="B11043" s="110"/>
      <c r="D11043" s="417"/>
      <c r="E11043" s="418"/>
      <c r="F11043" s="418"/>
      <c r="G11043" s="419"/>
      <c r="H11043" s="420" t="s">
        <v>67</v>
      </c>
      <c r="I11043" s="421"/>
      <c r="J11043" s="396">
        <f>J11042</f>
        <v>0</v>
      </c>
    </row>
    <row r="11044" spans="1:10" ht="13" hidden="1">
      <c r="A11044" s="27"/>
      <c r="B11044" s="110"/>
      <c r="D11044" s="444" t="s">
        <v>68</v>
      </c>
      <c r="E11044" s="445" t="s">
        <v>69</v>
      </c>
      <c r="F11044" s="446"/>
      <c r="G11044" s="447"/>
      <c r="H11044" s="448"/>
      <c r="I11044" s="449">
        <f>IF(AND(E11044&lt;&gt;"",G11044&lt;&gt;""),IF(D11044="",IF(G11044="OH",VLOOKUP(E11044,UPAH!$C$4:$H$31,7,0),VLOOKUP(E11044,#REF!,4,0)),0),0)</f>
        <v>0</v>
      </c>
      <c r="J11044" s="16" t="e">
        <f>SUM(J11033:J11043)/2</f>
        <v>#VALUE!</v>
      </c>
    </row>
    <row r="11045" spans="1:10" ht="13" hidden="1">
      <c r="A11045" s="27"/>
      <c r="B11045" s="110"/>
      <c r="D11045" s="431" t="s">
        <v>70</v>
      </c>
      <c r="E11045" s="432" t="s">
        <v>477</v>
      </c>
      <c r="F11045" s="433"/>
      <c r="G11045" s="434"/>
      <c r="H11045" s="22">
        <v>0.1</v>
      </c>
      <c r="I11045" s="436"/>
      <c r="J11045" s="430" t="e">
        <f>H11045*J11044</f>
        <v>#VALUE!</v>
      </c>
    </row>
    <row r="11046" spans="1:10" ht="13.5" hidden="1" thickBot="1">
      <c r="A11046" s="27"/>
      <c r="B11046" s="110"/>
      <c r="D11046" s="401" t="s">
        <v>71</v>
      </c>
      <c r="E11046" s="402" t="s">
        <v>72</v>
      </c>
      <c r="F11046" s="418"/>
      <c r="G11046" s="419"/>
      <c r="H11046" s="442"/>
      <c r="I11046" s="421">
        <f>IF(AND(E11046&lt;&gt;"",G11046&lt;&gt;""),IF(D11046="",IF(G11046="OH",VLOOKUP(E11046,UPAH!$C$4:$H$31,7,0),VLOOKUP(E11046,#REF!,4,0)),0),0)</f>
        <v>0</v>
      </c>
      <c r="J11046" s="396" t="e">
        <f>ROUNDDOWN(J11044+J11045,0)</f>
        <v>#VALUE!</v>
      </c>
    </row>
    <row r="11047" spans="1:10" ht="13" hidden="1">
      <c r="A11047" s="27"/>
      <c r="B11047" s="110"/>
      <c r="D11047" s="11"/>
      <c r="E11047" s="11"/>
      <c r="H11047" s="443"/>
      <c r="I11047" s="17"/>
      <c r="J11047" s="18"/>
    </row>
    <row r="11048" spans="1:10" ht="13" hidden="1">
      <c r="A11048" s="27"/>
      <c r="B11048" s="110"/>
      <c r="C11048" s="11" t="s">
        <v>1602</v>
      </c>
      <c r="D11048" s="10" t="s">
        <v>1691</v>
      </c>
      <c r="H11048" s="443"/>
    </row>
    <row r="11049" spans="1:10" ht="13.5" hidden="1" thickBot="1">
      <c r="A11049" s="27"/>
      <c r="B11049" s="110"/>
      <c r="D11049" s="401" t="s">
        <v>40</v>
      </c>
      <c r="E11049" s="402" t="s">
        <v>41</v>
      </c>
      <c r="F11049" s="402" t="s">
        <v>42</v>
      </c>
      <c r="G11049" s="403" t="s">
        <v>43</v>
      </c>
      <c r="H11049" s="404" t="s">
        <v>44</v>
      </c>
      <c r="I11049" s="402" t="s">
        <v>474</v>
      </c>
      <c r="J11049" s="405" t="s">
        <v>475</v>
      </c>
    </row>
    <row r="11050" spans="1:10" ht="13" hidden="1">
      <c r="A11050" s="27"/>
      <c r="B11050" s="110"/>
      <c r="D11050" s="444" t="s">
        <v>45</v>
      </c>
      <c r="E11050" s="445" t="s">
        <v>46</v>
      </c>
      <c r="F11050" s="446"/>
      <c r="G11050" s="447"/>
      <c r="H11050" s="448"/>
      <c r="I11050" s="449"/>
      <c r="J11050" s="450"/>
    </row>
    <row r="11051" spans="1:10" ht="13" hidden="1">
      <c r="A11051" s="27"/>
      <c r="B11051" s="110"/>
      <c r="D11051" s="409"/>
      <c r="E11051" s="13" t="s">
        <v>47</v>
      </c>
      <c r="F11051" s="13" t="s">
        <v>1918</v>
      </c>
      <c r="G11051" s="410" t="s">
        <v>48</v>
      </c>
      <c r="H11051" s="411">
        <v>3.319</v>
      </c>
      <c r="I11051" s="412">
        <f>IF(AND(E11051&lt;&gt;"",G11051&lt;&gt;""),IF(D11051="",IF(G11051="OH",VLOOKUP(F11051,UPAH!$B$4:$H$101,7,0),VLOOKUP(F11051,#REF!,4,0)),0),0)</f>
        <v>0</v>
      </c>
      <c r="J11051" s="16">
        <f>H11051*I11051</f>
        <v>0</v>
      </c>
    </row>
    <row r="11052" spans="1:10" ht="13" hidden="1">
      <c r="A11052" s="27"/>
      <c r="B11052" s="110"/>
      <c r="D11052" s="409"/>
      <c r="E11052" s="13" t="s">
        <v>283</v>
      </c>
      <c r="F11052" s="13" t="s">
        <v>1913</v>
      </c>
      <c r="G11052" s="410" t="s">
        <v>48</v>
      </c>
      <c r="H11052" s="411">
        <v>0.66400000000000003</v>
      </c>
      <c r="I11052" s="412">
        <f>IF(AND(E11052&lt;&gt;"",G11052&lt;&gt;""),IF(D11052="",IF(G11052="OH",VLOOKUP(F11052,UPAH!$B$4:$H$101,7,0),VLOOKUP(F11052,#REF!,4,0)),0),0)</f>
        <v>0</v>
      </c>
      <c r="J11052" s="16">
        <f>H11052*I11052</f>
        <v>0</v>
      </c>
    </row>
    <row r="11053" spans="1:10" ht="13" hidden="1">
      <c r="A11053" s="27"/>
      <c r="B11053" s="110"/>
      <c r="D11053" s="409"/>
      <c r="E11053" s="13" t="s">
        <v>51</v>
      </c>
      <c r="F11053" s="13" t="s">
        <v>1929</v>
      </c>
      <c r="G11053" s="410" t="s">
        <v>48</v>
      </c>
      <c r="H11053" s="411">
        <v>0.33200000000000002</v>
      </c>
      <c r="I11053" s="412">
        <f>IF(AND(E11053&lt;&gt;"",G11053&lt;&gt;""),IF(D11053="",IF(G11053="OH",VLOOKUP(F11053,UPAH!$B$4:$H$101,7,0),VLOOKUP(F11053,#REF!,4,0)),0),0)</f>
        <v>0</v>
      </c>
      <c r="J11053" s="16">
        <f>H11053*I11053</f>
        <v>0</v>
      </c>
    </row>
    <row r="11054" spans="1:10" ht="13.5" hidden="1" thickBot="1">
      <c r="A11054" s="27"/>
      <c r="B11054" s="110"/>
      <c r="D11054" s="417"/>
      <c r="E11054" s="418"/>
      <c r="F11054" s="418"/>
      <c r="G11054" s="419"/>
      <c r="H11054" s="420" t="s">
        <v>52</v>
      </c>
      <c r="I11054" s="421"/>
      <c r="J11054" s="396">
        <f>SUM(J11050:J11053)</f>
        <v>0</v>
      </c>
    </row>
    <row r="11055" spans="1:10" ht="13" hidden="1">
      <c r="A11055" s="27"/>
      <c r="B11055" s="110"/>
      <c r="D11055" s="406" t="s">
        <v>53</v>
      </c>
      <c r="E11055" s="13" t="s">
        <v>54</v>
      </c>
      <c r="F11055" s="14"/>
      <c r="G11055" s="15"/>
      <c r="H11055" s="451"/>
      <c r="I11055" s="412"/>
      <c r="J11055" s="16"/>
    </row>
    <row r="11056" spans="1:10" ht="13" hidden="1">
      <c r="A11056" s="27"/>
      <c r="B11056" s="110"/>
      <c r="D11056" s="409"/>
      <c r="E11056" s="13" t="s">
        <v>414</v>
      </c>
      <c r="F11056" s="14"/>
      <c r="G11056" s="410" t="s">
        <v>259</v>
      </c>
      <c r="H11056" s="411">
        <v>1</v>
      </c>
      <c r="I11056" s="412" t="s">
        <v>3187</v>
      </c>
      <c r="J11056" s="16" t="e">
        <f>H11056*I11056</f>
        <v>#VALUE!</v>
      </c>
    </row>
    <row r="11057" spans="1:10" ht="13.5" hidden="1" thickBot="1">
      <c r="A11057" s="27"/>
      <c r="B11057" s="110"/>
      <c r="D11057" s="417"/>
      <c r="E11057" s="418"/>
      <c r="F11057" s="418"/>
      <c r="G11057" s="419"/>
      <c r="H11057" s="420" t="s">
        <v>64</v>
      </c>
      <c r="I11057" s="421"/>
      <c r="J11057" s="396" t="e">
        <f>SUM(J11056)</f>
        <v>#VALUE!</v>
      </c>
    </row>
    <row r="11058" spans="1:10" ht="13" hidden="1">
      <c r="A11058" s="27"/>
      <c r="B11058" s="110"/>
      <c r="D11058" s="406" t="s">
        <v>65</v>
      </c>
      <c r="E11058" s="13" t="s">
        <v>66</v>
      </c>
      <c r="F11058" s="14"/>
      <c r="G11058" s="15"/>
      <c r="H11058" s="451"/>
      <c r="I11058" s="412"/>
      <c r="J11058" s="16"/>
    </row>
    <row r="11059" spans="1:10" ht="13" hidden="1">
      <c r="A11059" s="27"/>
      <c r="B11059" s="110"/>
      <c r="D11059" s="409"/>
      <c r="E11059" s="13" t="s">
        <v>1075</v>
      </c>
      <c r="F11059" s="14"/>
      <c r="G11059" s="410" t="s">
        <v>285</v>
      </c>
      <c r="H11059" s="411">
        <v>0.20100000000000001</v>
      </c>
      <c r="I11059" s="412">
        <f>Alat!H26</f>
        <v>0</v>
      </c>
      <c r="J11059" s="16">
        <f>H11059*I11059</f>
        <v>0</v>
      </c>
    </row>
    <row r="11060" spans="1:10" ht="13.5" hidden="1" thickBot="1">
      <c r="A11060" s="27"/>
      <c r="B11060" s="110"/>
      <c r="D11060" s="417"/>
      <c r="E11060" s="418"/>
      <c r="F11060" s="418"/>
      <c r="G11060" s="419"/>
      <c r="H11060" s="420" t="s">
        <v>67</v>
      </c>
      <c r="I11060" s="421"/>
      <c r="J11060" s="396">
        <f>J11059</f>
        <v>0</v>
      </c>
    </row>
    <row r="11061" spans="1:10" ht="13" hidden="1">
      <c r="A11061" s="27"/>
      <c r="B11061" s="110"/>
      <c r="D11061" s="444" t="s">
        <v>68</v>
      </c>
      <c r="E11061" s="445" t="s">
        <v>69</v>
      </c>
      <c r="F11061" s="446"/>
      <c r="G11061" s="447"/>
      <c r="H11061" s="448"/>
      <c r="I11061" s="449">
        <f>IF(AND(E11061&lt;&gt;"",G11061&lt;&gt;""),IF(D11061="",IF(G11061="OH",VLOOKUP(E11061,UPAH!$C$4:$H$31,7,0),VLOOKUP(E11061,#REF!,4,0)),0),0)</f>
        <v>0</v>
      </c>
      <c r="J11061" s="16" t="e">
        <f>SUM(J11050:J11060)/2</f>
        <v>#VALUE!</v>
      </c>
    </row>
    <row r="11062" spans="1:10" ht="13" hidden="1">
      <c r="A11062" s="27"/>
      <c r="B11062" s="110"/>
      <c r="D11062" s="431" t="s">
        <v>70</v>
      </c>
      <c r="E11062" s="432" t="s">
        <v>477</v>
      </c>
      <c r="F11062" s="433"/>
      <c r="G11062" s="434"/>
      <c r="H11062" s="22">
        <v>0.1</v>
      </c>
      <c r="I11062" s="436"/>
      <c r="J11062" s="430" t="e">
        <f>H11062*J11061</f>
        <v>#VALUE!</v>
      </c>
    </row>
    <row r="11063" spans="1:10" ht="13.5" hidden="1" thickBot="1">
      <c r="A11063" s="27"/>
      <c r="B11063" s="110"/>
      <c r="D11063" s="401" t="s">
        <v>71</v>
      </c>
      <c r="E11063" s="402" t="s">
        <v>72</v>
      </c>
      <c r="F11063" s="418"/>
      <c r="G11063" s="419"/>
      <c r="H11063" s="442"/>
      <c r="I11063" s="421">
        <f>IF(AND(E11063&lt;&gt;"",G11063&lt;&gt;""),IF(D11063="",IF(G11063="OH",VLOOKUP(E11063,UPAH!$C$4:$H$31,7,0),VLOOKUP(E11063,#REF!,4,0)),0),0)</f>
        <v>0</v>
      </c>
      <c r="J11063" s="396" t="e">
        <f>ROUNDDOWN(J11061+J11062,0)</f>
        <v>#VALUE!</v>
      </c>
    </row>
    <row r="11064" spans="1:10" ht="13" hidden="1">
      <c r="A11064" s="27"/>
      <c r="B11064" s="110"/>
      <c r="D11064" s="11"/>
      <c r="E11064" s="11"/>
      <c r="H11064" s="443"/>
      <c r="I11064" s="17"/>
      <c r="J11064" s="18"/>
    </row>
    <row r="11065" spans="1:10" ht="13" hidden="1">
      <c r="A11065" s="27"/>
      <c r="B11065" s="110"/>
      <c r="C11065" s="11" t="s">
        <v>1601</v>
      </c>
      <c r="D11065" s="10" t="s">
        <v>1692</v>
      </c>
      <c r="H11065" s="443"/>
    </row>
    <row r="11066" spans="1:10" ht="13.5" hidden="1" thickBot="1">
      <c r="A11066" s="27"/>
      <c r="B11066" s="110"/>
      <c r="D11066" s="401" t="s">
        <v>40</v>
      </c>
      <c r="E11066" s="402" t="s">
        <v>41</v>
      </c>
      <c r="F11066" s="402" t="s">
        <v>42</v>
      </c>
      <c r="G11066" s="403" t="s">
        <v>43</v>
      </c>
      <c r="H11066" s="404" t="s">
        <v>44</v>
      </c>
      <c r="I11066" s="402" t="s">
        <v>474</v>
      </c>
      <c r="J11066" s="405" t="s">
        <v>475</v>
      </c>
    </row>
    <row r="11067" spans="1:10" ht="13" hidden="1">
      <c r="A11067" s="27"/>
      <c r="B11067" s="110"/>
      <c r="D11067" s="444" t="s">
        <v>45</v>
      </c>
      <c r="E11067" s="445" t="s">
        <v>46</v>
      </c>
      <c r="F11067" s="446"/>
      <c r="G11067" s="447"/>
      <c r="H11067" s="448"/>
      <c r="I11067" s="449"/>
      <c r="J11067" s="450"/>
    </row>
    <row r="11068" spans="1:10" ht="13" hidden="1">
      <c r="A11068" s="27"/>
      <c r="B11068" s="110"/>
      <c r="D11068" s="409"/>
      <c r="E11068" s="13" t="s">
        <v>47</v>
      </c>
      <c r="F11068" s="13" t="s">
        <v>1918</v>
      </c>
      <c r="G11068" s="410" t="s">
        <v>48</v>
      </c>
      <c r="H11068" s="411">
        <v>3.6669999999999998</v>
      </c>
      <c r="I11068" s="412">
        <f>IF(AND(E11068&lt;&gt;"",G11068&lt;&gt;""),IF(D11068="",IF(G11068="OH",VLOOKUP(F11068,UPAH!$B$4:$H$101,7,0),VLOOKUP(F11068,#REF!,4,0)),0),0)</f>
        <v>0</v>
      </c>
      <c r="J11068" s="16">
        <f>H11068*I11068</f>
        <v>0</v>
      </c>
    </row>
    <row r="11069" spans="1:10" ht="13" hidden="1">
      <c r="A11069" s="27"/>
      <c r="B11069" s="110"/>
      <c r="D11069" s="409"/>
      <c r="E11069" s="13" t="s">
        <v>283</v>
      </c>
      <c r="F11069" s="13" t="s">
        <v>1913</v>
      </c>
      <c r="G11069" s="410" t="s">
        <v>48</v>
      </c>
      <c r="H11069" s="411">
        <v>0.73299999999999998</v>
      </c>
      <c r="I11069" s="412">
        <f>IF(AND(E11069&lt;&gt;"",G11069&lt;&gt;""),IF(D11069="",IF(G11069="OH",VLOOKUP(F11069,UPAH!$B$4:$H$101,7,0),VLOOKUP(F11069,#REF!,4,0)),0),0)</f>
        <v>0</v>
      </c>
      <c r="J11069" s="16">
        <f>H11069*I11069</f>
        <v>0</v>
      </c>
    </row>
    <row r="11070" spans="1:10" ht="13" hidden="1">
      <c r="A11070" s="27"/>
      <c r="B11070" s="110"/>
      <c r="D11070" s="409"/>
      <c r="E11070" s="13" t="s">
        <v>51</v>
      </c>
      <c r="F11070" s="13" t="s">
        <v>1929</v>
      </c>
      <c r="G11070" s="410" t="s">
        <v>48</v>
      </c>
      <c r="H11070" s="411">
        <v>0.36699999999999999</v>
      </c>
      <c r="I11070" s="412">
        <f>IF(AND(E11070&lt;&gt;"",G11070&lt;&gt;""),IF(D11070="",IF(G11070="OH",VLOOKUP(F11070,UPAH!$B$4:$H$101,7,0),VLOOKUP(F11070,#REF!,4,0)),0),0)</f>
        <v>0</v>
      </c>
      <c r="J11070" s="16">
        <f>H11070*I11070</f>
        <v>0</v>
      </c>
    </row>
    <row r="11071" spans="1:10" ht="13.5" hidden="1" thickBot="1">
      <c r="A11071" s="27"/>
      <c r="B11071" s="110"/>
      <c r="D11071" s="417"/>
      <c r="E11071" s="418"/>
      <c r="F11071" s="418"/>
      <c r="G11071" s="419"/>
      <c r="H11071" s="420" t="s">
        <v>52</v>
      </c>
      <c r="I11071" s="421"/>
      <c r="J11071" s="396">
        <f>SUM(J11067:J11070)</f>
        <v>0</v>
      </c>
    </row>
    <row r="11072" spans="1:10" ht="13" hidden="1">
      <c r="A11072" s="27"/>
      <c r="B11072" s="110"/>
      <c r="D11072" s="406" t="s">
        <v>53</v>
      </c>
      <c r="E11072" s="13" t="s">
        <v>54</v>
      </c>
      <c r="F11072" s="14"/>
      <c r="G11072" s="15"/>
      <c r="H11072" s="451"/>
      <c r="I11072" s="412"/>
      <c r="J11072" s="16"/>
    </row>
    <row r="11073" spans="1:10" ht="13" hidden="1">
      <c r="A11073" s="27"/>
      <c r="B11073" s="110"/>
      <c r="D11073" s="409"/>
      <c r="E11073" s="13" t="s">
        <v>415</v>
      </c>
      <c r="F11073" s="14"/>
      <c r="G11073" s="410" t="s">
        <v>259</v>
      </c>
      <c r="H11073" s="411">
        <v>1</v>
      </c>
      <c r="I11073" s="412" t="s">
        <v>3187</v>
      </c>
      <c r="J11073" s="16" t="e">
        <f>H11073*I11073</f>
        <v>#VALUE!</v>
      </c>
    </row>
    <row r="11074" spans="1:10" ht="13.5" hidden="1" thickBot="1">
      <c r="A11074" s="27"/>
      <c r="B11074" s="110"/>
      <c r="D11074" s="417"/>
      <c r="E11074" s="418"/>
      <c r="F11074" s="418"/>
      <c r="G11074" s="419"/>
      <c r="H11074" s="420" t="s">
        <v>64</v>
      </c>
      <c r="I11074" s="421"/>
      <c r="J11074" s="396" t="e">
        <f>SUM(J11073)</f>
        <v>#VALUE!</v>
      </c>
    </row>
    <row r="11075" spans="1:10" ht="13" hidden="1">
      <c r="A11075" s="27"/>
      <c r="B11075" s="110"/>
      <c r="D11075" s="406" t="s">
        <v>65</v>
      </c>
      <c r="E11075" s="13" t="s">
        <v>66</v>
      </c>
      <c r="F11075" s="14"/>
      <c r="G11075" s="15"/>
      <c r="H11075" s="451"/>
      <c r="I11075" s="412"/>
      <c r="J11075" s="16"/>
    </row>
    <row r="11076" spans="1:10" ht="13" hidden="1">
      <c r="A11076" s="27"/>
      <c r="B11076" s="110"/>
      <c r="D11076" s="409"/>
      <c r="E11076" s="13" t="s">
        <v>1075</v>
      </c>
      <c r="F11076" s="14"/>
      <c r="G11076" s="410" t="s">
        <v>285</v>
      </c>
      <c r="H11076" s="411">
        <v>0.218</v>
      </c>
      <c r="I11076" s="412">
        <f>Alat!H26</f>
        <v>0</v>
      </c>
      <c r="J11076" s="16">
        <f>H11076*I11076</f>
        <v>0</v>
      </c>
    </row>
    <row r="11077" spans="1:10" ht="13.5" hidden="1" thickBot="1">
      <c r="A11077" s="27"/>
      <c r="B11077" s="110"/>
      <c r="D11077" s="417"/>
      <c r="E11077" s="418"/>
      <c r="F11077" s="418"/>
      <c r="G11077" s="419"/>
      <c r="H11077" s="420" t="s">
        <v>67</v>
      </c>
      <c r="I11077" s="421"/>
      <c r="J11077" s="396">
        <f>J11076</f>
        <v>0</v>
      </c>
    </row>
    <row r="11078" spans="1:10" ht="13" hidden="1">
      <c r="A11078" s="27"/>
      <c r="B11078" s="110"/>
      <c r="D11078" s="444" t="s">
        <v>68</v>
      </c>
      <c r="E11078" s="445" t="s">
        <v>69</v>
      </c>
      <c r="F11078" s="446"/>
      <c r="G11078" s="447"/>
      <c r="H11078" s="448"/>
      <c r="I11078" s="449">
        <f>IF(AND(E11078&lt;&gt;"",G11078&lt;&gt;""),IF(D11078="",IF(G11078="OH",VLOOKUP(E11078,UPAH!$C$4:$H$31,7,0),VLOOKUP(E11078,#REF!,4,0)),0),0)</f>
        <v>0</v>
      </c>
      <c r="J11078" s="16" t="e">
        <f>SUM(J11067:J11077)/2</f>
        <v>#VALUE!</v>
      </c>
    </row>
    <row r="11079" spans="1:10" ht="13" hidden="1">
      <c r="A11079" s="27"/>
      <c r="B11079" s="110"/>
      <c r="D11079" s="431" t="s">
        <v>70</v>
      </c>
      <c r="E11079" s="432" t="s">
        <v>477</v>
      </c>
      <c r="F11079" s="433"/>
      <c r="G11079" s="434"/>
      <c r="H11079" s="22">
        <v>0.1</v>
      </c>
      <c r="I11079" s="436"/>
      <c r="J11079" s="430" t="e">
        <f>H11079*J11078</f>
        <v>#VALUE!</v>
      </c>
    </row>
    <row r="11080" spans="1:10" ht="13.5" hidden="1" thickBot="1">
      <c r="A11080" s="27"/>
      <c r="B11080" s="110"/>
      <c r="D11080" s="401" t="s">
        <v>71</v>
      </c>
      <c r="E11080" s="402" t="s">
        <v>72</v>
      </c>
      <c r="F11080" s="418"/>
      <c r="G11080" s="419"/>
      <c r="H11080" s="442"/>
      <c r="I11080" s="421">
        <f>IF(AND(E11080&lt;&gt;"",G11080&lt;&gt;""),IF(D11080="",IF(G11080="OH",VLOOKUP(E11080,UPAH!$C$4:$H$31,7,0),VLOOKUP(E11080,#REF!,4,0)),0),0)</f>
        <v>0</v>
      </c>
      <c r="J11080" s="396" t="e">
        <f>ROUNDDOWN(J11078+J11079,0)</f>
        <v>#VALUE!</v>
      </c>
    </row>
    <row r="11081" spans="1:10" ht="13" hidden="1">
      <c r="A11081" s="27"/>
      <c r="B11081" s="110"/>
      <c r="D11081" s="11"/>
      <c r="E11081" s="11"/>
      <c r="H11081" s="443"/>
      <c r="I11081" s="17"/>
      <c r="J11081" s="18"/>
    </row>
    <row r="11082" spans="1:10" ht="13" hidden="1">
      <c r="A11082" s="27"/>
      <c r="B11082" s="110"/>
      <c r="C11082" s="11" t="s">
        <v>1600</v>
      </c>
      <c r="D11082" s="10" t="s">
        <v>1693</v>
      </c>
      <c r="H11082" s="443"/>
    </row>
    <row r="11083" spans="1:10" ht="13.5" hidden="1" thickBot="1">
      <c r="A11083" s="27"/>
      <c r="B11083" s="110"/>
      <c r="D11083" s="401" t="s">
        <v>40</v>
      </c>
      <c r="E11083" s="402" t="s">
        <v>41</v>
      </c>
      <c r="F11083" s="402" t="s">
        <v>42</v>
      </c>
      <c r="G11083" s="403" t="s">
        <v>43</v>
      </c>
      <c r="H11083" s="404" t="s">
        <v>44</v>
      </c>
      <c r="I11083" s="402" t="s">
        <v>474</v>
      </c>
      <c r="J11083" s="405" t="s">
        <v>475</v>
      </c>
    </row>
    <row r="11084" spans="1:10" ht="13" hidden="1">
      <c r="A11084" s="27"/>
      <c r="B11084" s="110"/>
      <c r="D11084" s="444" t="s">
        <v>45</v>
      </c>
      <c r="E11084" s="445" t="s">
        <v>46</v>
      </c>
      <c r="F11084" s="446"/>
      <c r="G11084" s="447"/>
      <c r="H11084" s="448"/>
      <c r="I11084" s="449"/>
      <c r="J11084" s="450"/>
    </row>
    <row r="11085" spans="1:10" ht="13" hidden="1">
      <c r="A11085" s="27"/>
      <c r="B11085" s="110"/>
      <c r="D11085" s="409"/>
      <c r="E11085" s="13" t="s">
        <v>47</v>
      </c>
      <c r="F11085" s="13" t="s">
        <v>1918</v>
      </c>
      <c r="G11085" s="410" t="s">
        <v>48</v>
      </c>
      <c r="H11085" s="411">
        <v>4.0149999999999997</v>
      </c>
      <c r="I11085" s="412">
        <f>IF(AND(E11085&lt;&gt;"",G11085&lt;&gt;""),IF(D11085="",IF(G11085="OH",VLOOKUP(F11085,UPAH!$B$4:$H$101,7,0),VLOOKUP(F11085,#REF!,4,0)),0),0)</f>
        <v>0</v>
      </c>
      <c r="J11085" s="16">
        <f>H11085*I11085</f>
        <v>0</v>
      </c>
    </row>
    <row r="11086" spans="1:10" ht="13" hidden="1">
      <c r="A11086" s="27"/>
      <c r="B11086" s="110"/>
      <c r="D11086" s="409"/>
      <c r="E11086" s="13" t="s">
        <v>283</v>
      </c>
      <c r="F11086" s="13" t="s">
        <v>1913</v>
      </c>
      <c r="G11086" s="410" t="s">
        <v>48</v>
      </c>
      <c r="H11086" s="411">
        <v>0.80300000000000005</v>
      </c>
      <c r="I11086" s="412">
        <f>IF(AND(E11086&lt;&gt;"",G11086&lt;&gt;""),IF(D11086="",IF(G11086="OH",VLOOKUP(F11086,UPAH!$B$4:$H$101,7,0),VLOOKUP(F11086,#REF!,4,0)),0),0)</f>
        <v>0</v>
      </c>
      <c r="J11086" s="16">
        <f>H11086*I11086</f>
        <v>0</v>
      </c>
    </row>
    <row r="11087" spans="1:10" ht="13" hidden="1">
      <c r="A11087" s="27"/>
      <c r="B11087" s="110"/>
      <c r="D11087" s="409"/>
      <c r="E11087" s="13" t="s">
        <v>51</v>
      </c>
      <c r="F11087" s="13" t="s">
        <v>1929</v>
      </c>
      <c r="G11087" s="410" t="s">
        <v>48</v>
      </c>
      <c r="H11087" s="411">
        <v>0.40200000000000002</v>
      </c>
      <c r="I11087" s="412">
        <f>IF(AND(E11087&lt;&gt;"",G11087&lt;&gt;""),IF(D11087="",IF(G11087="OH",VLOOKUP(F11087,UPAH!$B$4:$H$101,7,0),VLOOKUP(F11087,#REF!,4,0)),0),0)</f>
        <v>0</v>
      </c>
      <c r="J11087" s="16">
        <f>H11087*I11087</f>
        <v>0</v>
      </c>
    </row>
    <row r="11088" spans="1:10" ht="13.5" hidden="1" thickBot="1">
      <c r="A11088" s="27"/>
      <c r="B11088" s="110"/>
      <c r="D11088" s="417"/>
      <c r="E11088" s="418"/>
      <c r="F11088" s="418"/>
      <c r="G11088" s="419"/>
      <c r="H11088" s="420" t="s">
        <v>52</v>
      </c>
      <c r="I11088" s="421"/>
      <c r="J11088" s="396">
        <f>SUM(J11084:J11087)</f>
        <v>0</v>
      </c>
    </row>
    <row r="11089" spans="1:10" ht="13" hidden="1">
      <c r="A11089" s="27"/>
      <c r="B11089" s="110"/>
      <c r="D11089" s="406" t="s">
        <v>53</v>
      </c>
      <c r="E11089" s="13" t="s">
        <v>54</v>
      </c>
      <c r="F11089" s="14"/>
      <c r="G11089" s="15"/>
      <c r="H11089" s="451"/>
      <c r="I11089" s="412"/>
      <c r="J11089" s="16"/>
    </row>
    <row r="11090" spans="1:10" ht="13" hidden="1">
      <c r="A11090" s="27"/>
      <c r="B11090" s="110"/>
      <c r="D11090" s="409"/>
      <c r="E11090" s="13" t="s">
        <v>415</v>
      </c>
      <c r="F11090" s="14"/>
      <c r="G11090" s="410" t="s">
        <v>259</v>
      </c>
      <c r="H11090" s="411">
        <v>1</v>
      </c>
      <c r="I11090" s="412" t="s">
        <v>3187</v>
      </c>
      <c r="J11090" s="16" t="e">
        <f>H11090*I11090</f>
        <v>#VALUE!</v>
      </c>
    </row>
    <row r="11091" spans="1:10" ht="13.5" hidden="1" thickBot="1">
      <c r="A11091" s="27"/>
      <c r="B11091" s="110"/>
      <c r="D11091" s="417"/>
      <c r="E11091" s="418"/>
      <c r="F11091" s="418"/>
      <c r="G11091" s="419"/>
      <c r="H11091" s="420" t="s">
        <v>64</v>
      </c>
      <c r="I11091" s="421"/>
      <c r="J11091" s="396" t="e">
        <f>SUM(J11090)</f>
        <v>#VALUE!</v>
      </c>
    </row>
    <row r="11092" spans="1:10" ht="13" hidden="1">
      <c r="A11092" s="27"/>
      <c r="B11092" s="110"/>
      <c r="D11092" s="406" t="s">
        <v>65</v>
      </c>
      <c r="E11092" s="13" t="s">
        <v>66</v>
      </c>
      <c r="F11092" s="14"/>
      <c r="G11092" s="15"/>
      <c r="H11092" s="451"/>
      <c r="I11092" s="412"/>
      <c r="J11092" s="16"/>
    </row>
    <row r="11093" spans="1:10" ht="13" hidden="1">
      <c r="A11093" s="27"/>
      <c r="B11093" s="110"/>
      <c r="D11093" s="409"/>
      <c r="E11093" s="13" t="s">
        <v>1075</v>
      </c>
      <c r="F11093" s="14"/>
      <c r="G11093" s="410" t="s">
        <v>285</v>
      </c>
      <c r="H11093" s="411">
        <v>0.23599999999999999</v>
      </c>
      <c r="I11093" s="412">
        <f>Alat!H26</f>
        <v>0</v>
      </c>
      <c r="J11093" s="16">
        <f>H11093*I11093</f>
        <v>0</v>
      </c>
    </row>
    <row r="11094" spans="1:10" ht="13.5" hidden="1" thickBot="1">
      <c r="A11094" s="27"/>
      <c r="B11094" s="110"/>
      <c r="D11094" s="417"/>
      <c r="E11094" s="418"/>
      <c r="F11094" s="418"/>
      <c r="G11094" s="419"/>
      <c r="H11094" s="420" t="s">
        <v>67</v>
      </c>
      <c r="I11094" s="421"/>
      <c r="J11094" s="396">
        <f>J11093</f>
        <v>0</v>
      </c>
    </row>
    <row r="11095" spans="1:10" ht="13" hidden="1">
      <c r="A11095" s="27"/>
      <c r="B11095" s="110"/>
      <c r="D11095" s="444" t="s">
        <v>68</v>
      </c>
      <c r="E11095" s="445" t="s">
        <v>69</v>
      </c>
      <c r="F11095" s="446"/>
      <c r="G11095" s="447"/>
      <c r="H11095" s="448"/>
      <c r="I11095" s="449">
        <f>IF(AND(E11095&lt;&gt;"",G11095&lt;&gt;""),IF(D11095="",IF(G11095="OH",VLOOKUP(E11095,UPAH!$C$4:$H$31,7,0),VLOOKUP(E11095,#REF!,4,0)),0),0)</f>
        <v>0</v>
      </c>
      <c r="J11095" s="16" t="e">
        <f>SUM(J11084:J11094)/2</f>
        <v>#VALUE!</v>
      </c>
    </row>
    <row r="11096" spans="1:10" ht="13" hidden="1">
      <c r="A11096" s="27"/>
      <c r="B11096" s="110"/>
      <c r="D11096" s="431" t="s">
        <v>70</v>
      </c>
      <c r="E11096" s="432" t="s">
        <v>477</v>
      </c>
      <c r="F11096" s="433"/>
      <c r="G11096" s="434"/>
      <c r="H11096" s="22">
        <v>0.1</v>
      </c>
      <c r="I11096" s="436"/>
      <c r="J11096" s="430" t="e">
        <f>H11096*J11095</f>
        <v>#VALUE!</v>
      </c>
    </row>
    <row r="11097" spans="1:10" ht="13.5" hidden="1" thickBot="1">
      <c r="A11097" s="27"/>
      <c r="B11097" s="110"/>
      <c r="D11097" s="401" t="s">
        <v>71</v>
      </c>
      <c r="E11097" s="402" t="s">
        <v>72</v>
      </c>
      <c r="F11097" s="418"/>
      <c r="G11097" s="419"/>
      <c r="H11097" s="442"/>
      <c r="I11097" s="421">
        <f>IF(AND(E11097&lt;&gt;"",G11097&lt;&gt;""),IF(D11097="",IF(G11097="OH",VLOOKUP(E11097,UPAH!$C$4:$H$31,7,0),VLOOKUP(E11097,#REF!,4,0)),0),0)</f>
        <v>0</v>
      </c>
      <c r="J11097" s="396" t="e">
        <f>ROUNDDOWN(J11095+J11096,0)</f>
        <v>#VALUE!</v>
      </c>
    </row>
    <row r="11098" spans="1:10" ht="13">
      <c r="A11098" s="27"/>
      <c r="B11098" s="110"/>
      <c r="D11098" s="11"/>
      <c r="E11098" s="11"/>
      <c r="H11098" s="443"/>
    </row>
    <row r="11099" spans="1:10" s="27" customFormat="1" ht="13">
      <c r="B11099" s="110"/>
      <c r="C11099" s="452" t="s">
        <v>530</v>
      </c>
      <c r="G11099" s="399"/>
      <c r="H11099" s="453"/>
    </row>
    <row r="11100" spans="1:10" ht="13.5" thickBot="1">
      <c r="A11100" s="27"/>
      <c r="B11100" s="110"/>
      <c r="C11100" s="11" t="s">
        <v>1599</v>
      </c>
      <c r="D11100" s="10" t="s">
        <v>1694</v>
      </c>
      <c r="H11100" s="443"/>
    </row>
    <row r="11101" spans="1:10" ht="13.5" thickBot="1">
      <c r="A11101" s="27"/>
      <c r="B11101" s="110"/>
      <c r="D11101" s="401" t="s">
        <v>40</v>
      </c>
      <c r="E11101" s="402" t="s">
        <v>41</v>
      </c>
      <c r="F11101" s="402" t="s">
        <v>42</v>
      </c>
      <c r="G11101" s="403" t="s">
        <v>43</v>
      </c>
      <c r="H11101" s="404" t="s">
        <v>44</v>
      </c>
      <c r="I11101" s="402" t="s">
        <v>474</v>
      </c>
      <c r="J11101" s="405" t="s">
        <v>475</v>
      </c>
    </row>
    <row r="11102" spans="1:10" ht="13">
      <c r="A11102" s="27"/>
      <c r="B11102" s="110"/>
      <c r="D11102" s="444" t="s">
        <v>45</v>
      </c>
      <c r="E11102" s="445" t="s">
        <v>46</v>
      </c>
      <c r="F11102" s="446"/>
      <c r="G11102" s="447"/>
      <c r="H11102" s="448"/>
      <c r="I11102" s="449"/>
      <c r="J11102" s="450"/>
    </row>
    <row r="11103" spans="1:10" ht="13">
      <c r="A11103" s="27"/>
      <c r="B11103" s="110"/>
      <c r="D11103" s="409"/>
      <c r="E11103" s="13" t="s">
        <v>47</v>
      </c>
      <c r="F11103" s="13" t="s">
        <v>1918</v>
      </c>
      <c r="G11103" s="410" t="s">
        <v>48</v>
      </c>
      <c r="H11103" s="411">
        <v>1.429</v>
      </c>
      <c r="I11103" s="412">
        <f>IF(AND(E11103&lt;&gt;"",G11103&lt;&gt;""),IF(D11103="",IF(G11103="OH",VLOOKUP(F11103,UPAH!$B$4:$H$101,7,0),VLOOKUP(F11103,#REF!,4,0)),0),0)</f>
        <v>0</v>
      </c>
      <c r="J11103" s="16">
        <f>H11103*I11103</f>
        <v>0</v>
      </c>
    </row>
    <row r="11104" spans="1:10" ht="13">
      <c r="A11104" s="27"/>
      <c r="B11104" s="110"/>
      <c r="D11104" s="409"/>
      <c r="E11104" s="13" t="s">
        <v>283</v>
      </c>
      <c r="F11104" s="13" t="s">
        <v>1913</v>
      </c>
      <c r="G11104" s="410" t="s">
        <v>48</v>
      </c>
      <c r="H11104" s="411">
        <v>0.71499999999999997</v>
      </c>
      <c r="I11104" s="412">
        <f>IF(AND(E11104&lt;&gt;"",G11104&lt;&gt;""),IF(D11104="",IF(G11104="OH",VLOOKUP(F11104,UPAH!$B$4:$H$101,7,0),VLOOKUP(F11104,#REF!,4,0)),0),0)</f>
        <v>0</v>
      </c>
      <c r="J11104" s="16">
        <f>H11104*I11104</f>
        <v>0</v>
      </c>
    </row>
    <row r="11105" spans="1:10" ht="13.5" thickBot="1">
      <c r="A11105" s="27"/>
      <c r="B11105" s="110"/>
      <c r="D11105" s="409"/>
      <c r="E11105" s="13" t="s">
        <v>51</v>
      </c>
      <c r="F11105" s="13" t="s">
        <v>1929</v>
      </c>
      <c r="G11105" s="410" t="s">
        <v>48</v>
      </c>
      <c r="H11105" s="411">
        <v>0.14299999999999999</v>
      </c>
      <c r="I11105" s="412">
        <f>IF(AND(E11105&lt;&gt;"",G11105&lt;&gt;""),IF(D11105="",IF(G11105="OH",VLOOKUP(F11105,UPAH!$B$4:$H$101,7,0),VLOOKUP(F11105,#REF!,4,0)),0),0)</f>
        <v>0</v>
      </c>
      <c r="J11105" s="16">
        <f>H11105*I11105</f>
        <v>0</v>
      </c>
    </row>
    <row r="11106" spans="1:10" ht="13.5" thickBot="1">
      <c r="A11106" s="27"/>
      <c r="B11106" s="110"/>
      <c r="D11106" s="417"/>
      <c r="E11106" s="418"/>
      <c r="F11106" s="418"/>
      <c r="G11106" s="419"/>
      <c r="H11106" s="420" t="s">
        <v>52</v>
      </c>
      <c r="I11106" s="421"/>
      <c r="J11106" s="396">
        <f>SUM(J11102:J11105)</f>
        <v>0</v>
      </c>
    </row>
    <row r="11107" spans="1:10" ht="13">
      <c r="A11107" s="27"/>
      <c r="B11107" s="110"/>
      <c r="D11107" s="406" t="s">
        <v>53</v>
      </c>
      <c r="E11107" s="13" t="s">
        <v>54</v>
      </c>
      <c r="F11107" s="14"/>
      <c r="G11107" s="15"/>
      <c r="H11107" s="451"/>
      <c r="I11107" s="412"/>
      <c r="J11107" s="16"/>
    </row>
    <row r="11108" spans="1:10" ht="13.5" thickBot="1">
      <c r="A11108" s="27"/>
      <c r="B11108" s="110"/>
      <c r="D11108" s="409"/>
      <c r="E11108" s="13" t="s">
        <v>1076</v>
      </c>
      <c r="F11108" s="14"/>
      <c r="G11108" s="410" t="s">
        <v>259</v>
      </c>
      <c r="H11108" s="411">
        <v>1</v>
      </c>
      <c r="I11108" s="412">
        <f>'BAHAN '!G413</f>
        <v>0</v>
      </c>
      <c r="J11108" s="16">
        <f>H11108*I11108</f>
        <v>0</v>
      </c>
    </row>
    <row r="11109" spans="1:10" ht="13.5" thickBot="1">
      <c r="A11109" s="27"/>
      <c r="B11109" s="110"/>
      <c r="D11109" s="417"/>
      <c r="E11109" s="418"/>
      <c r="F11109" s="418"/>
      <c r="G11109" s="419"/>
      <c r="H11109" s="420" t="s">
        <v>64</v>
      </c>
      <c r="I11109" s="421"/>
      <c r="J11109" s="396">
        <f>SUM(J11108)</f>
        <v>0</v>
      </c>
    </row>
    <row r="11110" spans="1:10" ht="13">
      <c r="A11110" s="27"/>
      <c r="B11110" s="110"/>
      <c r="D11110" s="406" t="s">
        <v>65</v>
      </c>
      <c r="E11110" s="13" t="s">
        <v>66</v>
      </c>
      <c r="F11110" s="14"/>
      <c r="G11110" s="15"/>
      <c r="H11110" s="451"/>
      <c r="I11110" s="412"/>
      <c r="J11110" s="16"/>
    </row>
    <row r="11111" spans="1:10" ht="13.5" thickBot="1">
      <c r="A11111" s="27"/>
      <c r="B11111" s="110"/>
      <c r="D11111" s="409"/>
      <c r="E11111" s="13" t="s">
        <v>446</v>
      </c>
      <c r="F11111" s="14"/>
      <c r="G11111" s="410" t="s">
        <v>285</v>
      </c>
      <c r="H11111" s="411">
        <v>0.1</v>
      </c>
      <c r="I11111" s="412">
        <f>Alat!H102</f>
        <v>0</v>
      </c>
      <c r="J11111" s="16">
        <f>H11111*I11111</f>
        <v>0</v>
      </c>
    </row>
    <row r="11112" spans="1:10" ht="13.5" thickBot="1">
      <c r="A11112" s="27"/>
      <c r="B11112" s="110"/>
      <c r="D11112" s="417"/>
      <c r="E11112" s="418"/>
      <c r="F11112" s="418"/>
      <c r="G11112" s="419"/>
      <c r="H11112" s="420" t="s">
        <v>67</v>
      </c>
      <c r="I11112" s="421"/>
      <c r="J11112" s="396">
        <f>J11111</f>
        <v>0</v>
      </c>
    </row>
    <row r="11113" spans="1:10" ht="13">
      <c r="A11113" s="27"/>
      <c r="B11113" s="110"/>
      <c r="D11113" s="444" t="s">
        <v>68</v>
      </c>
      <c r="E11113" s="445" t="s">
        <v>69</v>
      </c>
      <c r="F11113" s="446"/>
      <c r="G11113" s="447"/>
      <c r="H11113" s="448"/>
      <c r="I11113" s="449">
        <f>IF(AND(E11113&lt;&gt;"",G11113&lt;&gt;""),IF(D11113="",IF(G11113="OH",VLOOKUP(E11113,UPAH!$C$4:$H$31,7,0),VLOOKUP(E11113,#REF!,4,0)),0),0)</f>
        <v>0</v>
      </c>
      <c r="J11113" s="16">
        <f>SUM(J11102:J11112)/2</f>
        <v>0</v>
      </c>
    </row>
    <row r="11114" spans="1:10" ht="13.5" thickBot="1">
      <c r="A11114" s="27"/>
      <c r="B11114" s="110"/>
      <c r="D11114" s="431" t="s">
        <v>70</v>
      </c>
      <c r="E11114" s="432" t="s">
        <v>477</v>
      </c>
      <c r="F11114" s="433"/>
      <c r="G11114" s="434"/>
      <c r="H11114" s="22">
        <v>0.1</v>
      </c>
      <c r="I11114" s="436"/>
      <c r="J11114" s="430">
        <f>H11114*J11113</f>
        <v>0</v>
      </c>
    </row>
    <row r="11115" spans="1:10" ht="13.5" thickBot="1">
      <c r="A11115" s="27"/>
      <c r="B11115" s="110"/>
      <c r="D11115" s="401" t="s">
        <v>71</v>
      </c>
      <c r="E11115" s="402" t="s">
        <v>72</v>
      </c>
      <c r="F11115" s="418"/>
      <c r="G11115" s="419"/>
      <c r="H11115" s="442"/>
      <c r="I11115" s="421">
        <f>IF(AND(E11115&lt;&gt;"",G11115&lt;&gt;""),IF(D11115="",IF(G11115="OH",VLOOKUP(E11115,UPAH!$C$4:$H$31,7,0),VLOOKUP(E11115,#REF!,4,0)),0),0)</f>
        <v>0</v>
      </c>
      <c r="J11115" s="396">
        <f>ROUNDDOWN(J11113+J11114,0)</f>
        <v>0</v>
      </c>
    </row>
    <row r="11116" spans="1:10" ht="13">
      <c r="A11116" s="27"/>
      <c r="B11116" s="110"/>
      <c r="D11116" s="11"/>
      <c r="E11116" s="11"/>
      <c r="H11116" s="443"/>
      <c r="I11116" s="17"/>
      <c r="J11116" s="18"/>
    </row>
    <row r="11117" spans="1:10" ht="13.5" thickBot="1">
      <c r="A11117" s="27"/>
      <c r="B11117" s="110"/>
      <c r="C11117" s="11" t="s">
        <v>1598</v>
      </c>
      <c r="D11117" s="10" t="s">
        <v>1695</v>
      </c>
      <c r="H11117" s="443"/>
    </row>
    <row r="11118" spans="1:10" ht="13.5" thickBot="1">
      <c r="A11118" s="27"/>
      <c r="B11118" s="110"/>
      <c r="D11118" s="401" t="s">
        <v>40</v>
      </c>
      <c r="E11118" s="402" t="s">
        <v>41</v>
      </c>
      <c r="F11118" s="402" t="s">
        <v>42</v>
      </c>
      <c r="G11118" s="403" t="s">
        <v>43</v>
      </c>
      <c r="H11118" s="404" t="s">
        <v>44</v>
      </c>
      <c r="I11118" s="402" t="s">
        <v>474</v>
      </c>
      <c r="J11118" s="405" t="s">
        <v>475</v>
      </c>
    </row>
    <row r="11119" spans="1:10" ht="13">
      <c r="A11119" s="27"/>
      <c r="B11119" s="110"/>
      <c r="D11119" s="444" t="s">
        <v>45</v>
      </c>
      <c r="E11119" s="445" t="s">
        <v>46</v>
      </c>
      <c r="F11119" s="446"/>
      <c r="G11119" s="447"/>
      <c r="H11119" s="448"/>
      <c r="I11119" s="449"/>
      <c r="J11119" s="450"/>
    </row>
    <row r="11120" spans="1:10" ht="13">
      <c r="A11120" s="27"/>
      <c r="B11120" s="110"/>
      <c r="D11120" s="409"/>
      <c r="E11120" s="13" t="s">
        <v>47</v>
      </c>
      <c r="F11120" s="13" t="s">
        <v>1918</v>
      </c>
      <c r="G11120" s="410" t="s">
        <v>48</v>
      </c>
      <c r="H11120" s="411">
        <v>1.714</v>
      </c>
      <c r="I11120" s="412">
        <f>IF(AND(E11120&lt;&gt;"",G11120&lt;&gt;""),IF(D11120="",IF(G11120="OH",VLOOKUP(F11120,UPAH!$B$4:$H$101,7,0),VLOOKUP(F11120,#REF!,4,0)),0),0)</f>
        <v>0</v>
      </c>
      <c r="J11120" s="16">
        <f>H11120*I11120</f>
        <v>0</v>
      </c>
    </row>
    <row r="11121" spans="1:10" ht="13">
      <c r="A11121" s="27"/>
      <c r="B11121" s="110"/>
      <c r="D11121" s="409"/>
      <c r="E11121" s="13" t="s">
        <v>283</v>
      </c>
      <c r="F11121" s="13" t="s">
        <v>1913</v>
      </c>
      <c r="G11121" s="410" t="s">
        <v>48</v>
      </c>
      <c r="H11121" s="411">
        <v>0.85699999999999998</v>
      </c>
      <c r="I11121" s="412">
        <f>IF(AND(E11121&lt;&gt;"",G11121&lt;&gt;""),IF(D11121="",IF(G11121="OH",VLOOKUP(F11121,UPAH!$B$4:$H$101,7,0),VLOOKUP(F11121,#REF!,4,0)),0),0)</f>
        <v>0</v>
      </c>
      <c r="J11121" s="16">
        <f>H11121*I11121</f>
        <v>0</v>
      </c>
    </row>
    <row r="11122" spans="1:10" ht="13.5" thickBot="1">
      <c r="A11122" s="27"/>
      <c r="B11122" s="110"/>
      <c r="D11122" s="409"/>
      <c r="E11122" s="13" t="s">
        <v>51</v>
      </c>
      <c r="F11122" s="13" t="s">
        <v>1929</v>
      </c>
      <c r="G11122" s="410" t="s">
        <v>48</v>
      </c>
      <c r="H11122" s="411">
        <v>0.17100000000000001</v>
      </c>
      <c r="I11122" s="412">
        <f>IF(AND(E11122&lt;&gt;"",G11122&lt;&gt;""),IF(D11122="",IF(G11122="OH",VLOOKUP(F11122,UPAH!$B$4:$H$101,7,0),VLOOKUP(F11122,#REF!,4,0)),0),0)</f>
        <v>0</v>
      </c>
      <c r="J11122" s="16">
        <f>H11122*I11122</f>
        <v>0</v>
      </c>
    </row>
    <row r="11123" spans="1:10" ht="13.5" thickBot="1">
      <c r="A11123" s="27"/>
      <c r="B11123" s="110"/>
      <c r="D11123" s="417"/>
      <c r="E11123" s="418"/>
      <c r="F11123" s="418"/>
      <c r="G11123" s="419"/>
      <c r="H11123" s="420" t="s">
        <v>52</v>
      </c>
      <c r="I11123" s="421"/>
      <c r="J11123" s="396">
        <f>SUM(J11119:J11122)</f>
        <v>0</v>
      </c>
    </row>
    <row r="11124" spans="1:10" ht="13">
      <c r="A11124" s="27"/>
      <c r="B11124" s="110"/>
      <c r="D11124" s="406" t="s">
        <v>53</v>
      </c>
      <c r="E11124" s="13" t="s">
        <v>54</v>
      </c>
      <c r="F11124" s="14"/>
      <c r="G11124" s="15"/>
      <c r="H11124" s="451"/>
      <c r="I11124" s="412"/>
      <c r="J11124" s="16"/>
    </row>
    <row r="11125" spans="1:10" ht="13.5" thickBot="1">
      <c r="A11125" s="27"/>
      <c r="B11125" s="110"/>
      <c r="D11125" s="409"/>
      <c r="E11125" s="13" t="s">
        <v>1077</v>
      </c>
      <c r="F11125" s="14"/>
      <c r="G11125" s="410" t="s">
        <v>259</v>
      </c>
      <c r="H11125" s="411">
        <v>1</v>
      </c>
      <c r="I11125" s="412">
        <f>'BAHAN '!G414</f>
        <v>0</v>
      </c>
      <c r="J11125" s="16">
        <f>H11125*I11125</f>
        <v>0</v>
      </c>
    </row>
    <row r="11126" spans="1:10" ht="13.5" thickBot="1">
      <c r="A11126" s="27"/>
      <c r="B11126" s="110"/>
      <c r="D11126" s="417"/>
      <c r="E11126" s="418"/>
      <c r="F11126" s="418"/>
      <c r="G11126" s="419"/>
      <c r="H11126" s="420" t="s">
        <v>64</v>
      </c>
      <c r="I11126" s="421"/>
      <c r="J11126" s="396">
        <f>SUM(J11125)</f>
        <v>0</v>
      </c>
    </row>
    <row r="11127" spans="1:10" ht="13">
      <c r="A11127" s="27"/>
      <c r="B11127" s="110"/>
      <c r="D11127" s="406" t="s">
        <v>65</v>
      </c>
      <c r="E11127" s="13" t="s">
        <v>66</v>
      </c>
      <c r="F11127" s="14"/>
      <c r="G11127" s="15"/>
      <c r="H11127" s="451"/>
      <c r="I11127" s="412"/>
      <c r="J11127" s="16"/>
    </row>
    <row r="11128" spans="1:10" ht="13.5" thickBot="1">
      <c r="A11128" s="27"/>
      <c r="B11128" s="110"/>
      <c r="D11128" s="409"/>
      <c r="E11128" s="13" t="s">
        <v>446</v>
      </c>
      <c r="F11128" s="14"/>
      <c r="G11128" s="410" t="s">
        <v>285</v>
      </c>
      <c r="H11128" s="411">
        <v>0.3</v>
      </c>
      <c r="I11128" s="412">
        <f>Alat!H102</f>
        <v>0</v>
      </c>
      <c r="J11128" s="16">
        <f>H11128*I11128</f>
        <v>0</v>
      </c>
    </row>
    <row r="11129" spans="1:10" ht="13.5" thickBot="1">
      <c r="A11129" s="27"/>
      <c r="B11129" s="110"/>
      <c r="D11129" s="417"/>
      <c r="E11129" s="418"/>
      <c r="F11129" s="418"/>
      <c r="G11129" s="419"/>
      <c r="H11129" s="420" t="s">
        <v>67</v>
      </c>
      <c r="I11129" s="421"/>
      <c r="J11129" s="396">
        <f>J11128</f>
        <v>0</v>
      </c>
    </row>
    <row r="11130" spans="1:10" ht="13">
      <c r="A11130" s="27"/>
      <c r="B11130" s="110"/>
      <c r="D11130" s="444" t="s">
        <v>68</v>
      </c>
      <c r="E11130" s="445" t="s">
        <v>69</v>
      </c>
      <c r="F11130" s="446"/>
      <c r="G11130" s="447"/>
      <c r="H11130" s="448"/>
      <c r="I11130" s="449">
        <f>IF(AND(E11130&lt;&gt;"",G11130&lt;&gt;""),IF(D11130="",IF(G11130="OH",VLOOKUP(E11130,UPAH!$C$4:$H$31,7,0),VLOOKUP(E11130,#REF!,4,0)),0),0)</f>
        <v>0</v>
      </c>
      <c r="J11130" s="16">
        <f>SUM(J11119:J11129)/2</f>
        <v>0</v>
      </c>
    </row>
    <row r="11131" spans="1:10" ht="13.5" thickBot="1">
      <c r="A11131" s="27"/>
      <c r="B11131" s="110"/>
      <c r="D11131" s="431" t="s">
        <v>70</v>
      </c>
      <c r="E11131" s="432" t="s">
        <v>477</v>
      </c>
      <c r="F11131" s="433"/>
      <c r="G11131" s="434"/>
      <c r="H11131" s="22">
        <v>0.1</v>
      </c>
      <c r="I11131" s="436"/>
      <c r="J11131" s="430">
        <f>H11131*J11130</f>
        <v>0</v>
      </c>
    </row>
    <row r="11132" spans="1:10" ht="13.5" thickBot="1">
      <c r="A11132" s="27"/>
      <c r="B11132" s="110"/>
      <c r="D11132" s="401" t="s">
        <v>71</v>
      </c>
      <c r="E11132" s="402" t="s">
        <v>72</v>
      </c>
      <c r="F11132" s="418"/>
      <c r="G11132" s="419"/>
      <c r="H11132" s="442"/>
      <c r="I11132" s="421">
        <f>IF(AND(E11132&lt;&gt;"",G11132&lt;&gt;""),IF(D11132="",IF(G11132="OH",VLOOKUP(E11132,UPAH!$C$4:$H$31,7,0),VLOOKUP(E11132,#REF!,4,0)),0),0)</f>
        <v>0</v>
      </c>
      <c r="J11132" s="396">
        <f>ROUNDDOWN(J11130+J11131,0)</f>
        <v>0</v>
      </c>
    </row>
    <row r="11133" spans="1:10" ht="13">
      <c r="A11133" s="27"/>
      <c r="B11133" s="110"/>
      <c r="D11133" s="11"/>
      <c r="E11133" s="11"/>
      <c r="H11133" s="443"/>
      <c r="I11133" s="17"/>
      <c r="J11133" s="18"/>
    </row>
    <row r="11134" spans="1:10" ht="13.5" thickBot="1">
      <c r="A11134" s="27"/>
      <c r="B11134" s="110"/>
      <c r="C11134" s="11" t="s">
        <v>1597</v>
      </c>
      <c r="D11134" s="10" t="s">
        <v>1696</v>
      </c>
      <c r="H11134" s="443"/>
    </row>
    <row r="11135" spans="1:10" ht="13.5" thickBot="1">
      <c r="A11135" s="27"/>
      <c r="B11135" s="110"/>
      <c r="D11135" s="401" t="s">
        <v>40</v>
      </c>
      <c r="E11135" s="402" t="s">
        <v>41</v>
      </c>
      <c r="F11135" s="402" t="s">
        <v>42</v>
      </c>
      <c r="G11135" s="403" t="s">
        <v>43</v>
      </c>
      <c r="H11135" s="404" t="s">
        <v>44</v>
      </c>
      <c r="I11135" s="402" t="s">
        <v>474</v>
      </c>
      <c r="J11135" s="405" t="s">
        <v>475</v>
      </c>
    </row>
    <row r="11136" spans="1:10" ht="13">
      <c r="A11136" s="27"/>
      <c r="B11136" s="110"/>
      <c r="D11136" s="444" t="s">
        <v>45</v>
      </c>
      <c r="E11136" s="445" t="s">
        <v>46</v>
      </c>
      <c r="F11136" s="446"/>
      <c r="G11136" s="447"/>
      <c r="H11136" s="448"/>
      <c r="I11136" s="449"/>
      <c r="J11136" s="450"/>
    </row>
    <row r="11137" spans="1:10" ht="13">
      <c r="A11137" s="27"/>
      <c r="B11137" s="110"/>
      <c r="D11137" s="409"/>
      <c r="E11137" s="13" t="s">
        <v>47</v>
      </c>
      <c r="F11137" s="13" t="s">
        <v>1918</v>
      </c>
      <c r="G11137" s="410" t="s">
        <v>48</v>
      </c>
      <c r="H11137" s="411">
        <v>1.714</v>
      </c>
      <c r="I11137" s="412">
        <f>IF(AND(E11137&lt;&gt;"",G11137&lt;&gt;""),IF(D11137="",IF(G11137="OH",VLOOKUP(F11137,UPAH!$B$4:$H$101,7,0),VLOOKUP(F11137,#REF!,4,0)),0),0)</f>
        <v>0</v>
      </c>
      <c r="J11137" s="16">
        <f>H11137*I11137</f>
        <v>0</v>
      </c>
    </row>
    <row r="11138" spans="1:10" ht="13">
      <c r="A11138" s="27"/>
      <c r="B11138" s="110"/>
      <c r="D11138" s="409"/>
      <c r="E11138" s="13" t="s">
        <v>283</v>
      </c>
      <c r="F11138" s="13" t="s">
        <v>1913</v>
      </c>
      <c r="G11138" s="410" t="s">
        <v>48</v>
      </c>
      <c r="H11138" s="411">
        <v>0.85699999999999998</v>
      </c>
      <c r="I11138" s="412">
        <f>IF(AND(E11138&lt;&gt;"",G11138&lt;&gt;""),IF(D11138="",IF(G11138="OH",VLOOKUP(F11138,UPAH!$B$4:$H$101,7,0),VLOOKUP(F11138,#REF!,4,0)),0),0)</f>
        <v>0</v>
      </c>
      <c r="J11138" s="16">
        <f>H11138*I11138</f>
        <v>0</v>
      </c>
    </row>
    <row r="11139" spans="1:10" ht="13.5" thickBot="1">
      <c r="A11139" s="27"/>
      <c r="B11139" s="110"/>
      <c r="D11139" s="409"/>
      <c r="E11139" s="13" t="s">
        <v>51</v>
      </c>
      <c r="F11139" s="13" t="s">
        <v>1929</v>
      </c>
      <c r="G11139" s="410" t="s">
        <v>48</v>
      </c>
      <c r="H11139" s="411">
        <v>0.17100000000000001</v>
      </c>
      <c r="I11139" s="412">
        <f>IF(AND(E11139&lt;&gt;"",G11139&lt;&gt;""),IF(D11139="",IF(G11139="OH",VLOOKUP(F11139,UPAH!$B$4:$H$101,7,0),VLOOKUP(F11139,#REF!,4,0)),0),0)</f>
        <v>0</v>
      </c>
      <c r="J11139" s="16">
        <f>H11139*I11139</f>
        <v>0</v>
      </c>
    </row>
    <row r="11140" spans="1:10" ht="13.5" thickBot="1">
      <c r="A11140" s="27"/>
      <c r="B11140" s="110"/>
      <c r="D11140" s="417"/>
      <c r="E11140" s="418"/>
      <c r="F11140" s="418"/>
      <c r="G11140" s="419"/>
      <c r="H11140" s="420" t="s">
        <v>52</v>
      </c>
      <c r="I11140" s="421"/>
      <c r="J11140" s="396">
        <f>SUM(J11136:J11139)</f>
        <v>0</v>
      </c>
    </row>
    <row r="11141" spans="1:10" ht="13">
      <c r="A11141" s="27"/>
      <c r="B11141" s="110"/>
      <c r="D11141" s="406" t="s">
        <v>53</v>
      </c>
      <c r="E11141" s="13" t="s">
        <v>54</v>
      </c>
      <c r="F11141" s="14"/>
      <c r="G11141" s="15"/>
      <c r="H11141" s="451"/>
      <c r="I11141" s="412"/>
      <c r="J11141" s="16"/>
    </row>
    <row r="11142" spans="1:10" ht="13.5" thickBot="1">
      <c r="A11142" s="27"/>
      <c r="B11142" s="110"/>
      <c r="D11142" s="409"/>
      <c r="E11142" s="13" t="s">
        <v>1078</v>
      </c>
      <c r="F11142" s="14"/>
      <c r="G11142" s="410" t="s">
        <v>259</v>
      </c>
      <c r="H11142" s="411">
        <v>1</v>
      </c>
      <c r="I11142" s="412">
        <f>'BAHAN '!G415</f>
        <v>0</v>
      </c>
      <c r="J11142" s="16">
        <f>H11142*I11142</f>
        <v>0</v>
      </c>
    </row>
    <row r="11143" spans="1:10" ht="13.5" thickBot="1">
      <c r="A11143" s="27"/>
      <c r="B11143" s="110"/>
      <c r="D11143" s="417"/>
      <c r="E11143" s="418"/>
      <c r="F11143" s="418"/>
      <c r="G11143" s="419"/>
      <c r="H11143" s="420" t="s">
        <v>64</v>
      </c>
      <c r="I11143" s="421"/>
      <c r="J11143" s="396">
        <f>SUM(J11142)</f>
        <v>0</v>
      </c>
    </row>
    <row r="11144" spans="1:10" ht="13">
      <c r="A11144" s="27"/>
      <c r="B11144" s="110"/>
      <c r="D11144" s="406" t="s">
        <v>65</v>
      </c>
      <c r="E11144" s="13" t="s">
        <v>66</v>
      </c>
      <c r="F11144" s="14"/>
      <c r="G11144" s="15"/>
      <c r="H11144" s="451"/>
      <c r="I11144" s="412"/>
      <c r="J11144" s="16"/>
    </row>
    <row r="11145" spans="1:10" ht="13.5" thickBot="1">
      <c r="A11145" s="27"/>
      <c r="B11145" s="110"/>
      <c r="D11145" s="409"/>
      <c r="E11145" s="13" t="s">
        <v>446</v>
      </c>
      <c r="F11145" s="14"/>
      <c r="G11145" s="410" t="s">
        <v>285</v>
      </c>
      <c r="H11145" s="411">
        <v>0.4</v>
      </c>
      <c r="I11145" s="412">
        <f>Alat!H102</f>
        <v>0</v>
      </c>
      <c r="J11145" s="16">
        <f>H11145*I11145</f>
        <v>0</v>
      </c>
    </row>
    <row r="11146" spans="1:10" ht="13.5" thickBot="1">
      <c r="A11146" s="27"/>
      <c r="B11146" s="110"/>
      <c r="D11146" s="417"/>
      <c r="E11146" s="418"/>
      <c r="F11146" s="418"/>
      <c r="G11146" s="419"/>
      <c r="H11146" s="420" t="s">
        <v>67</v>
      </c>
      <c r="I11146" s="421"/>
      <c r="J11146" s="396">
        <f>J11145</f>
        <v>0</v>
      </c>
    </row>
    <row r="11147" spans="1:10" ht="13">
      <c r="A11147" s="27"/>
      <c r="B11147" s="110"/>
      <c r="D11147" s="444" t="s">
        <v>68</v>
      </c>
      <c r="E11147" s="445" t="s">
        <v>69</v>
      </c>
      <c r="F11147" s="446"/>
      <c r="G11147" s="447"/>
      <c r="H11147" s="448"/>
      <c r="I11147" s="449">
        <f>IF(AND(E11147&lt;&gt;"",G11147&lt;&gt;""),IF(D11147="",IF(G11147="OH",VLOOKUP(E11147,UPAH!$C$4:$H$31,7,0),VLOOKUP(E11147,#REF!,4,0)),0),0)</f>
        <v>0</v>
      </c>
      <c r="J11147" s="16">
        <f>SUM(J11136:J11146)/2</f>
        <v>0</v>
      </c>
    </row>
    <row r="11148" spans="1:10" ht="13.5" thickBot="1">
      <c r="A11148" s="27"/>
      <c r="B11148" s="110"/>
      <c r="D11148" s="431" t="s">
        <v>70</v>
      </c>
      <c r="E11148" s="432" t="s">
        <v>477</v>
      </c>
      <c r="F11148" s="433"/>
      <c r="G11148" s="434"/>
      <c r="H11148" s="22">
        <v>0.1</v>
      </c>
      <c r="I11148" s="436"/>
      <c r="J11148" s="430">
        <f>H11148*J11147</f>
        <v>0</v>
      </c>
    </row>
    <row r="11149" spans="1:10" ht="13.5" thickBot="1">
      <c r="A11149" s="27"/>
      <c r="B11149" s="110"/>
      <c r="D11149" s="401" t="s">
        <v>71</v>
      </c>
      <c r="E11149" s="402" t="s">
        <v>72</v>
      </c>
      <c r="F11149" s="418"/>
      <c r="G11149" s="419"/>
      <c r="H11149" s="442"/>
      <c r="I11149" s="421">
        <f>IF(AND(E11149&lt;&gt;"",G11149&lt;&gt;""),IF(D11149="",IF(G11149="OH",VLOOKUP(E11149,UPAH!$C$4:$H$31,7,0),VLOOKUP(E11149,#REF!,4,0)),0),0)</f>
        <v>0</v>
      </c>
      <c r="J11149" s="396">
        <f>ROUNDDOWN(J11147+J11148,0)</f>
        <v>0</v>
      </c>
    </row>
    <row r="11150" spans="1:10" ht="13">
      <c r="A11150" s="27"/>
      <c r="B11150" s="110"/>
      <c r="D11150" s="11"/>
      <c r="E11150" s="11"/>
      <c r="H11150" s="443"/>
      <c r="I11150" s="17"/>
      <c r="J11150" s="18"/>
    </row>
    <row r="11151" spans="1:10" ht="13.5" thickBot="1">
      <c r="A11151" s="27"/>
      <c r="B11151" s="110"/>
      <c r="C11151" s="11" t="s">
        <v>1730</v>
      </c>
      <c r="D11151" s="10" t="s">
        <v>1731</v>
      </c>
      <c r="H11151" s="443"/>
    </row>
    <row r="11152" spans="1:10" ht="13.5" thickBot="1">
      <c r="A11152" s="27"/>
      <c r="B11152" s="110"/>
      <c r="D11152" s="401" t="s">
        <v>40</v>
      </c>
      <c r="E11152" s="402" t="s">
        <v>41</v>
      </c>
      <c r="F11152" s="402" t="s">
        <v>42</v>
      </c>
      <c r="G11152" s="403" t="s">
        <v>43</v>
      </c>
      <c r="H11152" s="404" t="s">
        <v>44</v>
      </c>
      <c r="I11152" s="402" t="s">
        <v>474</v>
      </c>
      <c r="J11152" s="405" t="s">
        <v>475</v>
      </c>
    </row>
    <row r="11153" spans="1:10" ht="13">
      <c r="A11153" s="27"/>
      <c r="B11153" s="110"/>
      <c r="D11153" s="444" t="s">
        <v>45</v>
      </c>
      <c r="E11153" s="445" t="s">
        <v>46</v>
      </c>
      <c r="F11153" s="446"/>
      <c r="G11153" s="447"/>
      <c r="H11153" s="448"/>
      <c r="I11153" s="449"/>
      <c r="J11153" s="450"/>
    </row>
    <row r="11154" spans="1:10" ht="13">
      <c r="A11154" s="27"/>
      <c r="B11154" s="110"/>
      <c r="D11154" s="409"/>
      <c r="E11154" s="13" t="s">
        <v>47</v>
      </c>
      <c r="F11154" s="13" t="s">
        <v>1918</v>
      </c>
      <c r="G11154" s="410" t="s">
        <v>48</v>
      </c>
      <c r="H11154" s="411">
        <v>2</v>
      </c>
      <c r="I11154" s="412">
        <f>IF(AND(E11154&lt;&gt;"",G11154&lt;&gt;""),IF(D11154="",IF(G11154="OH",VLOOKUP(F11154,UPAH!$B$4:$H$101,7,0),VLOOKUP(F11154,#REF!,4,0)),0),0)</f>
        <v>0</v>
      </c>
      <c r="J11154" s="16">
        <f>H11154*I11154</f>
        <v>0</v>
      </c>
    </row>
    <row r="11155" spans="1:10" ht="13">
      <c r="A11155" s="27"/>
      <c r="B11155" s="110"/>
      <c r="D11155" s="409"/>
      <c r="E11155" s="13" t="s">
        <v>283</v>
      </c>
      <c r="F11155" s="13" t="s">
        <v>1913</v>
      </c>
      <c r="G11155" s="410" t="s">
        <v>48</v>
      </c>
      <c r="H11155" s="411">
        <v>1</v>
      </c>
      <c r="I11155" s="412">
        <f>IF(AND(E11155&lt;&gt;"",G11155&lt;&gt;""),IF(D11155="",IF(G11155="OH",VLOOKUP(F11155,UPAH!$B$4:$H$101,7,0),VLOOKUP(F11155,#REF!,4,0)),0),0)</f>
        <v>0</v>
      </c>
      <c r="J11155" s="16">
        <f>H11155*I11155</f>
        <v>0</v>
      </c>
    </row>
    <row r="11156" spans="1:10" ht="13.5" thickBot="1">
      <c r="A11156" s="27"/>
      <c r="B11156" s="110"/>
      <c r="D11156" s="409"/>
      <c r="E11156" s="13" t="s">
        <v>51</v>
      </c>
      <c r="F11156" s="13" t="s">
        <v>1929</v>
      </c>
      <c r="G11156" s="410" t="s">
        <v>48</v>
      </c>
      <c r="H11156" s="411">
        <v>0.2</v>
      </c>
      <c r="I11156" s="412">
        <f>IF(AND(E11156&lt;&gt;"",G11156&lt;&gt;""),IF(D11156="",IF(G11156="OH",VLOOKUP(F11156,UPAH!$B$4:$H$101,7,0),VLOOKUP(F11156,#REF!,4,0)),0),0)</f>
        <v>0</v>
      </c>
      <c r="J11156" s="16">
        <f>H11156*I11156</f>
        <v>0</v>
      </c>
    </row>
    <row r="11157" spans="1:10" ht="13.5" thickBot="1">
      <c r="A11157" s="27"/>
      <c r="B11157" s="110"/>
      <c r="D11157" s="417"/>
      <c r="E11157" s="418"/>
      <c r="F11157" s="418"/>
      <c r="G11157" s="419"/>
      <c r="H11157" s="420" t="s">
        <v>52</v>
      </c>
      <c r="I11157" s="421"/>
      <c r="J11157" s="396">
        <f>SUM(J11153:J11156)</f>
        <v>0</v>
      </c>
    </row>
    <row r="11158" spans="1:10" ht="13">
      <c r="A11158" s="27"/>
      <c r="B11158" s="110"/>
      <c r="D11158" s="406" t="s">
        <v>53</v>
      </c>
      <c r="E11158" s="13" t="s">
        <v>54</v>
      </c>
      <c r="F11158" s="14"/>
      <c r="G11158" s="15"/>
      <c r="H11158" s="451"/>
      <c r="I11158" s="412"/>
      <c r="J11158" s="16"/>
    </row>
    <row r="11159" spans="1:10" ht="13.5" thickBot="1">
      <c r="A11159" s="27"/>
      <c r="B11159" s="110"/>
      <c r="D11159" s="409"/>
      <c r="E11159" s="13" t="s">
        <v>1079</v>
      </c>
      <c r="F11159" s="14"/>
      <c r="G11159" s="410" t="s">
        <v>259</v>
      </c>
      <c r="H11159" s="411">
        <v>1</v>
      </c>
      <c r="I11159" s="412">
        <f>'BAHAN '!G416</f>
        <v>0</v>
      </c>
      <c r="J11159" s="16">
        <f>H11159*I11159</f>
        <v>0</v>
      </c>
    </row>
    <row r="11160" spans="1:10" ht="13.5" thickBot="1">
      <c r="A11160" s="27"/>
      <c r="B11160" s="110"/>
      <c r="D11160" s="417"/>
      <c r="E11160" s="418"/>
      <c r="F11160" s="418"/>
      <c r="G11160" s="419"/>
      <c r="H11160" s="420" t="s">
        <v>64</v>
      </c>
      <c r="I11160" s="421"/>
      <c r="J11160" s="396">
        <f>SUM(J11159)</f>
        <v>0</v>
      </c>
    </row>
    <row r="11161" spans="1:10" ht="13">
      <c r="A11161" s="27"/>
      <c r="B11161" s="110"/>
      <c r="D11161" s="406" t="s">
        <v>65</v>
      </c>
      <c r="E11161" s="13" t="s">
        <v>66</v>
      </c>
      <c r="F11161" s="14"/>
      <c r="G11161" s="15"/>
      <c r="H11161" s="451"/>
      <c r="I11161" s="412"/>
      <c r="J11161" s="16"/>
    </row>
    <row r="11162" spans="1:10" ht="13.5" thickBot="1">
      <c r="A11162" s="27"/>
      <c r="B11162" s="110"/>
      <c r="D11162" s="409"/>
      <c r="E11162" s="13" t="s">
        <v>446</v>
      </c>
      <c r="F11162" s="14"/>
      <c r="G11162" s="410" t="s">
        <v>285</v>
      </c>
      <c r="H11162" s="411">
        <v>0.5</v>
      </c>
      <c r="I11162" s="412">
        <f>Alat!H102</f>
        <v>0</v>
      </c>
      <c r="J11162" s="16">
        <f>H11162*I11162</f>
        <v>0</v>
      </c>
    </row>
    <row r="11163" spans="1:10" ht="13.5" thickBot="1">
      <c r="A11163" s="27"/>
      <c r="B11163" s="110"/>
      <c r="D11163" s="417"/>
      <c r="E11163" s="418"/>
      <c r="F11163" s="418"/>
      <c r="G11163" s="419"/>
      <c r="H11163" s="420" t="s">
        <v>67</v>
      </c>
      <c r="I11163" s="421"/>
      <c r="J11163" s="396">
        <f>J11162</f>
        <v>0</v>
      </c>
    </row>
    <row r="11164" spans="1:10" ht="13">
      <c r="A11164" s="27"/>
      <c r="B11164" s="110"/>
      <c r="D11164" s="444" t="s">
        <v>68</v>
      </c>
      <c r="E11164" s="445" t="s">
        <v>69</v>
      </c>
      <c r="F11164" s="446"/>
      <c r="G11164" s="447"/>
      <c r="H11164" s="448"/>
      <c r="I11164" s="449">
        <f>IF(AND(E11164&lt;&gt;"",G11164&lt;&gt;""),IF(D11164="",IF(G11164="OH",VLOOKUP(E11164,UPAH!$C$4:$H$31,7,0),VLOOKUP(E11164,#REF!,4,0)),0),0)</f>
        <v>0</v>
      </c>
      <c r="J11164" s="16">
        <f>SUM(J11153:J11163)/2</f>
        <v>0</v>
      </c>
    </row>
    <row r="11165" spans="1:10" ht="13.5" thickBot="1">
      <c r="A11165" s="27"/>
      <c r="B11165" s="110"/>
      <c r="D11165" s="431" t="s">
        <v>70</v>
      </c>
      <c r="E11165" s="432" t="s">
        <v>477</v>
      </c>
      <c r="F11165" s="433"/>
      <c r="G11165" s="434"/>
      <c r="H11165" s="22">
        <v>0.1</v>
      </c>
      <c r="I11165" s="436"/>
      <c r="J11165" s="430">
        <f>H11165*J11164</f>
        <v>0</v>
      </c>
    </row>
    <row r="11166" spans="1:10" ht="13.5" thickBot="1">
      <c r="A11166" s="27"/>
      <c r="B11166" s="110"/>
      <c r="D11166" s="401" t="s">
        <v>71</v>
      </c>
      <c r="E11166" s="402" t="s">
        <v>72</v>
      </c>
      <c r="F11166" s="418"/>
      <c r="G11166" s="419"/>
      <c r="H11166" s="442"/>
      <c r="I11166" s="421">
        <f>IF(AND(E11166&lt;&gt;"",G11166&lt;&gt;""),IF(D11166="",IF(G11166="OH",VLOOKUP(E11166,UPAH!$C$4:$H$31,7,0),VLOOKUP(E11166,#REF!,4,0)),0),0)</f>
        <v>0</v>
      </c>
      <c r="J11166" s="396">
        <f>ROUNDDOWN(J11164+J11165,0)</f>
        <v>0</v>
      </c>
    </row>
    <row r="11167" spans="1:10" ht="13">
      <c r="A11167" s="27"/>
      <c r="B11167" s="110"/>
      <c r="D11167" s="11"/>
      <c r="E11167" s="11"/>
      <c r="H11167" s="443"/>
      <c r="I11167" s="17"/>
      <c r="J11167" s="18"/>
    </row>
    <row r="11168" spans="1:10" ht="13" hidden="1">
      <c r="A11168" s="27"/>
      <c r="B11168" s="110"/>
      <c r="C11168" s="11" t="s">
        <v>1728</v>
      </c>
      <c r="D11168" s="10" t="s">
        <v>1729</v>
      </c>
      <c r="H11168" s="443"/>
    </row>
    <row r="11169" spans="1:10" ht="13.5" hidden="1" thickBot="1">
      <c r="A11169" s="27"/>
      <c r="B11169" s="110"/>
      <c r="D11169" s="401" t="s">
        <v>40</v>
      </c>
      <c r="E11169" s="402" t="s">
        <v>41</v>
      </c>
      <c r="F11169" s="402" t="s">
        <v>42</v>
      </c>
      <c r="G11169" s="403" t="s">
        <v>43</v>
      </c>
      <c r="H11169" s="404" t="s">
        <v>44</v>
      </c>
      <c r="I11169" s="402" t="s">
        <v>474</v>
      </c>
      <c r="J11169" s="405" t="s">
        <v>475</v>
      </c>
    </row>
    <row r="11170" spans="1:10" ht="13" hidden="1">
      <c r="A11170" s="27"/>
      <c r="B11170" s="110"/>
      <c r="D11170" s="444" t="s">
        <v>45</v>
      </c>
      <c r="E11170" s="445" t="s">
        <v>46</v>
      </c>
      <c r="F11170" s="446"/>
      <c r="G11170" s="447"/>
      <c r="H11170" s="448"/>
      <c r="I11170" s="449"/>
      <c r="J11170" s="450"/>
    </row>
    <row r="11171" spans="1:10" ht="13" hidden="1">
      <c r="A11171" s="27"/>
      <c r="B11171" s="110"/>
      <c r="D11171" s="409"/>
      <c r="E11171" s="13" t="s">
        <v>47</v>
      </c>
      <c r="F11171" s="13" t="s">
        <v>1918</v>
      </c>
      <c r="G11171" s="410" t="s">
        <v>48</v>
      </c>
      <c r="H11171" s="411">
        <v>3.4289999999999998</v>
      </c>
      <c r="I11171" s="412">
        <f>IF(AND(E11171&lt;&gt;"",G11171&lt;&gt;""),IF(D11171="",IF(G11171="OH",VLOOKUP(F11171,UPAH!$B$4:$H$101,7,0),VLOOKUP(F11171,#REF!,4,0)),0),0)</f>
        <v>0</v>
      </c>
      <c r="J11171" s="16">
        <f>H11171*I11171</f>
        <v>0</v>
      </c>
    </row>
    <row r="11172" spans="1:10" ht="13" hidden="1">
      <c r="A11172" s="27"/>
      <c r="B11172" s="110"/>
      <c r="D11172" s="409"/>
      <c r="E11172" s="13" t="s">
        <v>283</v>
      </c>
      <c r="F11172" s="13" t="s">
        <v>1913</v>
      </c>
      <c r="G11172" s="410" t="s">
        <v>48</v>
      </c>
      <c r="H11172" s="411">
        <v>1.7150000000000001</v>
      </c>
      <c r="I11172" s="412">
        <f>IF(AND(E11172&lt;&gt;"",G11172&lt;&gt;""),IF(D11172="",IF(G11172="OH",VLOOKUP(F11172,UPAH!$B$4:$H$101,7,0),VLOOKUP(F11172,#REF!,4,0)),0),0)</f>
        <v>0</v>
      </c>
      <c r="J11172" s="16">
        <f>H11172*I11172</f>
        <v>0</v>
      </c>
    </row>
    <row r="11173" spans="1:10" ht="13" hidden="1">
      <c r="A11173" s="27"/>
      <c r="B11173" s="110"/>
      <c r="D11173" s="409"/>
      <c r="E11173" s="13" t="s">
        <v>51</v>
      </c>
      <c r="F11173" s="13" t="s">
        <v>1929</v>
      </c>
      <c r="G11173" s="410" t="s">
        <v>48</v>
      </c>
      <c r="H11173" s="411">
        <v>0.34300000000000003</v>
      </c>
      <c r="I11173" s="412">
        <f>IF(AND(E11173&lt;&gt;"",G11173&lt;&gt;""),IF(D11173="",IF(G11173="OH",VLOOKUP(F11173,UPAH!$B$4:$H$101,7,0),VLOOKUP(F11173,#REF!,4,0)),0),0)</f>
        <v>0</v>
      </c>
      <c r="J11173" s="16">
        <f>H11173*I11173</f>
        <v>0</v>
      </c>
    </row>
    <row r="11174" spans="1:10" ht="13.5" hidden="1" thickBot="1">
      <c r="A11174" s="27"/>
      <c r="B11174" s="110"/>
      <c r="D11174" s="417"/>
      <c r="E11174" s="418"/>
      <c r="F11174" s="418"/>
      <c r="G11174" s="419"/>
      <c r="H11174" s="420" t="s">
        <v>52</v>
      </c>
      <c r="I11174" s="421"/>
      <c r="J11174" s="396">
        <f>SUM(J11170:J11173)</f>
        <v>0</v>
      </c>
    </row>
    <row r="11175" spans="1:10" ht="13" hidden="1">
      <c r="A11175" s="27"/>
      <c r="B11175" s="110"/>
      <c r="D11175" s="406" t="s">
        <v>53</v>
      </c>
      <c r="E11175" s="13" t="s">
        <v>54</v>
      </c>
      <c r="F11175" s="14"/>
      <c r="G11175" s="15"/>
      <c r="H11175" s="451"/>
      <c r="I11175" s="412"/>
      <c r="J11175" s="16"/>
    </row>
    <row r="11176" spans="1:10" ht="13" hidden="1">
      <c r="A11176" s="27"/>
      <c r="B11176" s="110"/>
      <c r="D11176" s="409"/>
      <c r="E11176" s="13" t="s">
        <v>1080</v>
      </c>
      <c r="F11176" s="14"/>
      <c r="G11176" s="410" t="s">
        <v>259</v>
      </c>
      <c r="H11176" s="411">
        <v>1</v>
      </c>
      <c r="I11176" s="412" t="s">
        <v>3187</v>
      </c>
      <c r="J11176" s="16" t="e">
        <f>H11176*I11176</f>
        <v>#VALUE!</v>
      </c>
    </row>
    <row r="11177" spans="1:10" ht="13.5" hidden="1" thickBot="1">
      <c r="A11177" s="27"/>
      <c r="B11177" s="110"/>
      <c r="D11177" s="417"/>
      <c r="E11177" s="418"/>
      <c r="F11177" s="418"/>
      <c r="G11177" s="419"/>
      <c r="H11177" s="420" t="s">
        <v>64</v>
      </c>
      <c r="I11177" s="421"/>
      <c r="J11177" s="396" t="e">
        <f>SUM(J11176)</f>
        <v>#VALUE!</v>
      </c>
    </row>
    <row r="11178" spans="1:10" ht="13" hidden="1">
      <c r="A11178" s="27"/>
      <c r="B11178" s="110"/>
      <c r="D11178" s="406" t="s">
        <v>65</v>
      </c>
      <c r="E11178" s="13" t="s">
        <v>66</v>
      </c>
      <c r="F11178" s="14"/>
      <c r="G11178" s="15"/>
      <c r="H11178" s="451"/>
      <c r="I11178" s="412"/>
      <c r="J11178" s="16"/>
    </row>
    <row r="11179" spans="1:10" ht="13" hidden="1">
      <c r="A11179" s="27"/>
      <c r="B11179" s="110"/>
      <c r="D11179" s="409"/>
      <c r="E11179" s="13" t="s">
        <v>446</v>
      </c>
      <c r="F11179" s="14"/>
      <c r="G11179" s="410" t="s">
        <v>285</v>
      </c>
      <c r="H11179" s="411">
        <v>1</v>
      </c>
      <c r="I11179" s="412">
        <f>Alat!H102</f>
        <v>0</v>
      </c>
      <c r="J11179" s="16">
        <f>H11179*I11179</f>
        <v>0</v>
      </c>
    </row>
    <row r="11180" spans="1:10" ht="13.5" hidden="1" thickBot="1">
      <c r="A11180" s="27"/>
      <c r="B11180" s="110"/>
      <c r="D11180" s="417"/>
      <c r="E11180" s="418"/>
      <c r="F11180" s="418"/>
      <c r="G11180" s="419"/>
      <c r="H11180" s="420" t="s">
        <v>67</v>
      </c>
      <c r="I11180" s="421"/>
      <c r="J11180" s="396">
        <f>J11179</f>
        <v>0</v>
      </c>
    </row>
    <row r="11181" spans="1:10" ht="13" hidden="1">
      <c r="A11181" s="27"/>
      <c r="B11181" s="110"/>
      <c r="D11181" s="444" t="s">
        <v>68</v>
      </c>
      <c r="E11181" s="445" t="s">
        <v>69</v>
      </c>
      <c r="F11181" s="446"/>
      <c r="G11181" s="447"/>
      <c r="H11181" s="448"/>
      <c r="I11181" s="449">
        <f>IF(AND(E11181&lt;&gt;"",G11181&lt;&gt;""),IF(D11181="",IF(G11181="OH",VLOOKUP(E11181,UPAH!$C$4:$H$31,7,0),VLOOKUP(E11181,#REF!,4,0)),0),0)</f>
        <v>0</v>
      </c>
      <c r="J11181" s="16" t="e">
        <f>SUM(J11170:J11180)/2</f>
        <v>#VALUE!</v>
      </c>
    </row>
    <row r="11182" spans="1:10" ht="13" hidden="1">
      <c r="A11182" s="27"/>
      <c r="B11182" s="110"/>
      <c r="D11182" s="431" t="s">
        <v>70</v>
      </c>
      <c r="E11182" s="432" t="s">
        <v>477</v>
      </c>
      <c r="F11182" s="433"/>
      <c r="G11182" s="434"/>
      <c r="H11182" s="22">
        <v>0.1</v>
      </c>
      <c r="I11182" s="436"/>
      <c r="J11182" s="430" t="e">
        <f>H11182*J11181</f>
        <v>#VALUE!</v>
      </c>
    </row>
    <row r="11183" spans="1:10" ht="13.5" hidden="1" thickBot="1">
      <c r="A11183" s="27"/>
      <c r="B11183" s="110"/>
      <c r="D11183" s="401" t="s">
        <v>71</v>
      </c>
      <c r="E11183" s="402" t="s">
        <v>72</v>
      </c>
      <c r="F11183" s="418"/>
      <c r="G11183" s="419"/>
      <c r="H11183" s="442"/>
      <c r="I11183" s="421">
        <f>IF(AND(E11183&lt;&gt;"",G11183&lt;&gt;""),IF(D11183="",IF(G11183="OH",VLOOKUP(E11183,UPAH!$C$4:$H$31,7,0),VLOOKUP(E11183,#REF!,4,0)),0),0)</f>
        <v>0</v>
      </c>
      <c r="J11183" s="396" t="e">
        <f>ROUNDDOWN(J11181+J11182,0)</f>
        <v>#VALUE!</v>
      </c>
    </row>
    <row r="11184" spans="1:10" ht="13" hidden="1">
      <c r="A11184" s="27"/>
      <c r="B11184" s="110"/>
      <c r="D11184" s="11"/>
      <c r="E11184" s="11"/>
      <c r="H11184" s="443"/>
      <c r="I11184" s="17"/>
      <c r="J11184" s="18"/>
    </row>
    <row r="11185" spans="1:10" ht="13" hidden="1">
      <c r="A11185" s="27"/>
      <c r="B11185" s="110"/>
      <c r="C11185" s="11" t="s">
        <v>1726</v>
      </c>
      <c r="D11185" s="10" t="s">
        <v>1727</v>
      </c>
      <c r="H11185" s="443"/>
    </row>
    <row r="11186" spans="1:10" ht="13.5" hidden="1" thickBot="1">
      <c r="A11186" s="27"/>
      <c r="B11186" s="110"/>
      <c r="D11186" s="401" t="s">
        <v>40</v>
      </c>
      <c r="E11186" s="402" t="s">
        <v>41</v>
      </c>
      <c r="F11186" s="402" t="s">
        <v>42</v>
      </c>
      <c r="G11186" s="403" t="s">
        <v>43</v>
      </c>
      <c r="H11186" s="404" t="s">
        <v>44</v>
      </c>
      <c r="I11186" s="402" t="s">
        <v>474</v>
      </c>
      <c r="J11186" s="405" t="s">
        <v>475</v>
      </c>
    </row>
    <row r="11187" spans="1:10" ht="13" hidden="1">
      <c r="A11187" s="27"/>
      <c r="B11187" s="110"/>
      <c r="D11187" s="444" t="s">
        <v>45</v>
      </c>
      <c r="E11187" s="445" t="s">
        <v>46</v>
      </c>
      <c r="F11187" s="446"/>
      <c r="G11187" s="447"/>
      <c r="H11187" s="448"/>
      <c r="I11187" s="449"/>
      <c r="J11187" s="450"/>
    </row>
    <row r="11188" spans="1:10" ht="13" hidden="1">
      <c r="A11188" s="27"/>
      <c r="B11188" s="110"/>
      <c r="D11188" s="409"/>
      <c r="E11188" s="13" t="s">
        <v>47</v>
      </c>
      <c r="F11188" s="13" t="s">
        <v>1918</v>
      </c>
      <c r="G11188" s="410" t="s">
        <v>48</v>
      </c>
      <c r="H11188" s="411">
        <v>3.4289999999999998</v>
      </c>
      <c r="I11188" s="412">
        <f>IF(AND(E11188&lt;&gt;"",G11188&lt;&gt;""),IF(D11188="",IF(G11188="OH",VLOOKUP(F11188,UPAH!$B$4:$H$101,7,0),VLOOKUP(F11188,#REF!,4,0)),0),0)</f>
        <v>0</v>
      </c>
      <c r="J11188" s="16">
        <f>H11188*I11188</f>
        <v>0</v>
      </c>
    </row>
    <row r="11189" spans="1:10" ht="13" hidden="1">
      <c r="A11189" s="27"/>
      <c r="B11189" s="110"/>
      <c r="D11189" s="409"/>
      <c r="E11189" s="13" t="s">
        <v>283</v>
      </c>
      <c r="F11189" s="13" t="s">
        <v>1913</v>
      </c>
      <c r="G11189" s="410" t="s">
        <v>48</v>
      </c>
      <c r="H11189" s="411">
        <v>1.7150000000000001</v>
      </c>
      <c r="I11189" s="412">
        <f>IF(AND(E11189&lt;&gt;"",G11189&lt;&gt;""),IF(D11189="",IF(G11189="OH",VLOOKUP(F11189,UPAH!$B$4:$H$101,7,0),VLOOKUP(F11189,#REF!,4,0)),0),0)</f>
        <v>0</v>
      </c>
      <c r="J11189" s="16">
        <f>H11189*I11189</f>
        <v>0</v>
      </c>
    </row>
    <row r="11190" spans="1:10" ht="13" hidden="1">
      <c r="A11190" s="27"/>
      <c r="B11190" s="110"/>
      <c r="D11190" s="409"/>
      <c r="E11190" s="13" t="s">
        <v>51</v>
      </c>
      <c r="F11190" s="13" t="s">
        <v>1929</v>
      </c>
      <c r="G11190" s="410" t="s">
        <v>48</v>
      </c>
      <c r="H11190" s="411">
        <v>0.34300000000000003</v>
      </c>
      <c r="I11190" s="412">
        <f>IF(AND(E11190&lt;&gt;"",G11190&lt;&gt;""),IF(D11190="",IF(G11190="OH",VLOOKUP(F11190,UPAH!$B$4:$H$101,7,0),VLOOKUP(F11190,#REF!,4,0)),0),0)</f>
        <v>0</v>
      </c>
      <c r="J11190" s="16">
        <f>H11190*I11190</f>
        <v>0</v>
      </c>
    </row>
    <row r="11191" spans="1:10" ht="13.5" hidden="1" thickBot="1">
      <c r="A11191" s="27"/>
      <c r="B11191" s="110"/>
      <c r="D11191" s="417"/>
      <c r="E11191" s="418"/>
      <c r="F11191" s="418"/>
      <c r="G11191" s="419"/>
      <c r="H11191" s="420" t="s">
        <v>52</v>
      </c>
      <c r="I11191" s="421"/>
      <c r="J11191" s="396">
        <f>SUM(J11187:J11190)</f>
        <v>0</v>
      </c>
    </row>
    <row r="11192" spans="1:10" ht="13" hidden="1">
      <c r="A11192" s="27"/>
      <c r="B11192" s="110"/>
      <c r="D11192" s="406" t="s">
        <v>53</v>
      </c>
      <c r="E11192" s="13" t="s">
        <v>54</v>
      </c>
      <c r="F11192" s="14"/>
      <c r="G11192" s="15"/>
      <c r="H11192" s="451"/>
      <c r="I11192" s="412"/>
      <c r="J11192" s="16"/>
    </row>
    <row r="11193" spans="1:10" ht="13" hidden="1">
      <c r="A11193" s="27"/>
      <c r="B11193" s="110"/>
      <c r="D11193" s="409"/>
      <c r="E11193" s="13" t="s">
        <v>1081</v>
      </c>
      <c r="F11193" s="14"/>
      <c r="G11193" s="410" t="s">
        <v>259</v>
      </c>
      <c r="H11193" s="411">
        <v>1</v>
      </c>
      <c r="I11193" s="412" t="s">
        <v>3187</v>
      </c>
      <c r="J11193" s="16" t="e">
        <f>H11193*I11193</f>
        <v>#VALUE!</v>
      </c>
    </row>
    <row r="11194" spans="1:10" ht="13.5" hidden="1" thickBot="1">
      <c r="A11194" s="27"/>
      <c r="B11194" s="110"/>
      <c r="D11194" s="417"/>
      <c r="E11194" s="418"/>
      <c r="F11194" s="418"/>
      <c r="G11194" s="419"/>
      <c r="H11194" s="420" t="s">
        <v>64</v>
      </c>
      <c r="I11194" s="421"/>
      <c r="J11194" s="396" t="e">
        <f>SUM(J11193)</f>
        <v>#VALUE!</v>
      </c>
    </row>
    <row r="11195" spans="1:10" ht="13" hidden="1">
      <c r="A11195" s="27"/>
      <c r="B11195" s="110"/>
      <c r="D11195" s="406" t="s">
        <v>65</v>
      </c>
      <c r="E11195" s="13" t="s">
        <v>66</v>
      </c>
      <c r="F11195" s="14"/>
      <c r="G11195" s="15"/>
      <c r="H11195" s="451"/>
      <c r="I11195" s="412"/>
      <c r="J11195" s="16"/>
    </row>
    <row r="11196" spans="1:10" ht="13" hidden="1">
      <c r="A11196" s="27"/>
      <c r="B11196" s="110"/>
      <c r="D11196" s="409"/>
      <c r="E11196" s="13" t="s">
        <v>446</v>
      </c>
      <c r="F11196" s="14"/>
      <c r="G11196" s="410" t="s">
        <v>285</v>
      </c>
      <c r="H11196" s="411">
        <v>1</v>
      </c>
      <c r="I11196" s="412">
        <f>Alat!H102</f>
        <v>0</v>
      </c>
      <c r="J11196" s="16">
        <f>H11196*I11196</f>
        <v>0</v>
      </c>
    </row>
    <row r="11197" spans="1:10" ht="13.5" hidden="1" thickBot="1">
      <c r="A11197" s="27"/>
      <c r="B11197" s="110"/>
      <c r="D11197" s="417"/>
      <c r="E11197" s="418"/>
      <c r="F11197" s="418"/>
      <c r="G11197" s="419"/>
      <c r="H11197" s="420" t="s">
        <v>67</v>
      </c>
      <c r="I11197" s="421"/>
      <c r="J11197" s="396">
        <f>J11196</f>
        <v>0</v>
      </c>
    </row>
    <row r="11198" spans="1:10" ht="13" hidden="1">
      <c r="A11198" s="27"/>
      <c r="B11198" s="110"/>
      <c r="D11198" s="444" t="s">
        <v>68</v>
      </c>
      <c r="E11198" s="445" t="s">
        <v>69</v>
      </c>
      <c r="F11198" s="446"/>
      <c r="G11198" s="447"/>
      <c r="H11198" s="448"/>
      <c r="I11198" s="449">
        <f>IF(AND(E11198&lt;&gt;"",G11198&lt;&gt;""),IF(D11198="",IF(G11198="OH",VLOOKUP(E11198,UPAH!$C$4:$H$31,7,0),VLOOKUP(E11198,#REF!,4,0)),0),0)</f>
        <v>0</v>
      </c>
      <c r="J11198" s="16" t="e">
        <f>SUM(J11187:J11197)/2</f>
        <v>#VALUE!</v>
      </c>
    </row>
    <row r="11199" spans="1:10" ht="13" hidden="1">
      <c r="A11199" s="27"/>
      <c r="B11199" s="110"/>
      <c r="D11199" s="431" t="s">
        <v>70</v>
      </c>
      <c r="E11199" s="432" t="s">
        <v>477</v>
      </c>
      <c r="F11199" s="433"/>
      <c r="G11199" s="434"/>
      <c r="H11199" s="22">
        <v>0.1</v>
      </c>
      <c r="I11199" s="436"/>
      <c r="J11199" s="430" t="e">
        <f>H11199*J11198</f>
        <v>#VALUE!</v>
      </c>
    </row>
    <row r="11200" spans="1:10" ht="13.5" hidden="1" thickBot="1">
      <c r="A11200" s="27"/>
      <c r="B11200" s="110"/>
      <c r="D11200" s="401" t="s">
        <v>71</v>
      </c>
      <c r="E11200" s="402" t="s">
        <v>72</v>
      </c>
      <c r="F11200" s="418"/>
      <c r="G11200" s="419"/>
      <c r="H11200" s="442"/>
      <c r="I11200" s="421">
        <f>IF(AND(E11200&lt;&gt;"",G11200&lt;&gt;""),IF(D11200="",IF(G11200="OH",VLOOKUP(E11200,UPAH!$C$4:$H$31,7,0),VLOOKUP(E11200,#REF!,4,0)),0),0)</f>
        <v>0</v>
      </c>
      <c r="J11200" s="396" t="e">
        <f>ROUNDDOWN(J11198+J11199,0)</f>
        <v>#VALUE!</v>
      </c>
    </row>
    <row r="11201" spans="1:10" ht="13" hidden="1">
      <c r="A11201" s="27"/>
      <c r="B11201" s="110"/>
      <c r="D11201" s="11"/>
      <c r="E11201" s="11"/>
      <c r="H11201" s="443"/>
      <c r="I11201" s="17"/>
      <c r="J11201" s="18"/>
    </row>
    <row r="11202" spans="1:10" ht="13" hidden="1">
      <c r="A11202" s="27"/>
      <c r="B11202" s="110"/>
      <c r="C11202" s="11" t="s">
        <v>1724</v>
      </c>
      <c r="D11202" s="10" t="s">
        <v>1725</v>
      </c>
      <c r="H11202" s="443"/>
    </row>
    <row r="11203" spans="1:10" ht="13.5" hidden="1" thickBot="1">
      <c r="A11203" s="27"/>
      <c r="B11203" s="110"/>
      <c r="D11203" s="401" t="s">
        <v>40</v>
      </c>
      <c r="E11203" s="402" t="s">
        <v>41</v>
      </c>
      <c r="F11203" s="402" t="s">
        <v>42</v>
      </c>
      <c r="G11203" s="403" t="s">
        <v>43</v>
      </c>
      <c r="H11203" s="404" t="s">
        <v>44</v>
      </c>
      <c r="I11203" s="402" t="s">
        <v>474</v>
      </c>
      <c r="J11203" s="405" t="s">
        <v>475</v>
      </c>
    </row>
    <row r="11204" spans="1:10" ht="13" hidden="1">
      <c r="A11204" s="27"/>
      <c r="B11204" s="110"/>
      <c r="D11204" s="444" t="s">
        <v>45</v>
      </c>
      <c r="E11204" s="445" t="s">
        <v>46</v>
      </c>
      <c r="F11204" s="446"/>
      <c r="G11204" s="447"/>
      <c r="H11204" s="448"/>
      <c r="I11204" s="449"/>
      <c r="J11204" s="450"/>
    </row>
    <row r="11205" spans="1:10" ht="13" hidden="1">
      <c r="A11205" s="27"/>
      <c r="B11205" s="110"/>
      <c r="D11205" s="409"/>
      <c r="E11205" s="13" t="s">
        <v>47</v>
      </c>
      <c r="F11205" s="13" t="s">
        <v>1918</v>
      </c>
      <c r="G11205" s="410" t="s">
        <v>48</v>
      </c>
      <c r="H11205" s="411">
        <v>4</v>
      </c>
      <c r="I11205" s="412">
        <f>IF(AND(E11205&lt;&gt;"",G11205&lt;&gt;""),IF(D11205="",IF(G11205="OH",VLOOKUP(F11205,UPAH!$B$4:$H$101,7,0),VLOOKUP(F11205,#REF!,4,0)),0),0)</f>
        <v>0</v>
      </c>
      <c r="J11205" s="16">
        <f>H11205*I11205</f>
        <v>0</v>
      </c>
    </row>
    <row r="11206" spans="1:10" ht="13" hidden="1">
      <c r="A11206" s="27"/>
      <c r="B11206" s="110"/>
      <c r="D11206" s="409"/>
      <c r="E11206" s="13" t="s">
        <v>283</v>
      </c>
      <c r="F11206" s="13" t="s">
        <v>1913</v>
      </c>
      <c r="G11206" s="410" t="s">
        <v>48</v>
      </c>
      <c r="H11206" s="411">
        <v>2</v>
      </c>
      <c r="I11206" s="412">
        <f>IF(AND(E11206&lt;&gt;"",G11206&lt;&gt;""),IF(D11206="",IF(G11206="OH",VLOOKUP(F11206,UPAH!$B$4:$H$101,7,0),VLOOKUP(F11206,#REF!,4,0)),0),0)</f>
        <v>0</v>
      </c>
      <c r="J11206" s="16">
        <f>H11206*I11206</f>
        <v>0</v>
      </c>
    </row>
    <row r="11207" spans="1:10" ht="13" hidden="1">
      <c r="A11207" s="27"/>
      <c r="B11207" s="110"/>
      <c r="D11207" s="409"/>
      <c r="E11207" s="13" t="s">
        <v>51</v>
      </c>
      <c r="F11207" s="13" t="s">
        <v>1929</v>
      </c>
      <c r="G11207" s="410" t="s">
        <v>48</v>
      </c>
      <c r="H11207" s="411">
        <v>0.4</v>
      </c>
      <c r="I11207" s="412">
        <f>IF(AND(E11207&lt;&gt;"",G11207&lt;&gt;""),IF(D11207="",IF(G11207="OH",VLOOKUP(F11207,UPAH!$B$4:$H$101,7,0),VLOOKUP(F11207,#REF!,4,0)),0),0)</f>
        <v>0</v>
      </c>
      <c r="J11207" s="16">
        <f>H11207*I11207</f>
        <v>0</v>
      </c>
    </row>
    <row r="11208" spans="1:10" ht="13.5" hidden="1" thickBot="1">
      <c r="A11208" s="27"/>
      <c r="B11208" s="110"/>
      <c r="D11208" s="417"/>
      <c r="E11208" s="418"/>
      <c r="F11208" s="418"/>
      <c r="G11208" s="419"/>
      <c r="H11208" s="420" t="s">
        <v>52</v>
      </c>
      <c r="I11208" s="421"/>
      <c r="J11208" s="396">
        <f>SUM(J11204:J11207)</f>
        <v>0</v>
      </c>
    </row>
    <row r="11209" spans="1:10" ht="13" hidden="1">
      <c r="A11209" s="27"/>
      <c r="B11209" s="110"/>
      <c r="D11209" s="406" t="s">
        <v>53</v>
      </c>
      <c r="E11209" s="13" t="s">
        <v>54</v>
      </c>
      <c r="F11209" s="14"/>
      <c r="G11209" s="15"/>
      <c r="H11209" s="451"/>
      <c r="I11209" s="412"/>
      <c r="J11209" s="16"/>
    </row>
    <row r="11210" spans="1:10" ht="13" hidden="1">
      <c r="A11210" s="27"/>
      <c r="B11210" s="110"/>
      <c r="D11210" s="409"/>
      <c r="E11210" s="13" t="s">
        <v>1082</v>
      </c>
      <c r="F11210" s="14"/>
      <c r="G11210" s="410" t="s">
        <v>259</v>
      </c>
      <c r="H11210" s="411">
        <v>1</v>
      </c>
      <c r="I11210" s="412" t="s">
        <v>3187</v>
      </c>
      <c r="J11210" s="16" t="e">
        <f>H11210*I11210</f>
        <v>#VALUE!</v>
      </c>
    </row>
    <row r="11211" spans="1:10" ht="13.5" hidden="1" thickBot="1">
      <c r="A11211" s="27"/>
      <c r="B11211" s="110"/>
      <c r="D11211" s="417"/>
      <c r="E11211" s="418"/>
      <c r="F11211" s="418"/>
      <c r="G11211" s="419"/>
      <c r="H11211" s="420" t="s">
        <v>64</v>
      </c>
      <c r="I11211" s="421"/>
      <c r="J11211" s="396" t="e">
        <f>SUM(J11210)</f>
        <v>#VALUE!</v>
      </c>
    </row>
    <row r="11212" spans="1:10" ht="13" hidden="1">
      <c r="A11212" s="27"/>
      <c r="B11212" s="110"/>
      <c r="D11212" s="406" t="s">
        <v>65</v>
      </c>
      <c r="E11212" s="13" t="s">
        <v>66</v>
      </c>
      <c r="F11212" s="14"/>
      <c r="G11212" s="15"/>
      <c r="H11212" s="451"/>
      <c r="I11212" s="412"/>
      <c r="J11212" s="16"/>
    </row>
    <row r="11213" spans="1:10" ht="13" hidden="1">
      <c r="A11213" s="27"/>
      <c r="B11213" s="110"/>
      <c r="D11213" s="409"/>
      <c r="E11213" s="13" t="s">
        <v>446</v>
      </c>
      <c r="F11213" s="14"/>
      <c r="G11213" s="410" t="s">
        <v>285</v>
      </c>
      <c r="H11213" s="411">
        <v>1</v>
      </c>
      <c r="I11213" s="412">
        <f>Alat!H102</f>
        <v>0</v>
      </c>
      <c r="J11213" s="16">
        <f>H11213*I11213</f>
        <v>0</v>
      </c>
    </row>
    <row r="11214" spans="1:10" ht="13.5" hidden="1" thickBot="1">
      <c r="A11214" s="27"/>
      <c r="B11214" s="110"/>
      <c r="D11214" s="417"/>
      <c r="E11214" s="418"/>
      <c r="F11214" s="418"/>
      <c r="G11214" s="419"/>
      <c r="H11214" s="420" t="s">
        <v>67</v>
      </c>
      <c r="I11214" s="421"/>
      <c r="J11214" s="396">
        <f>J11213</f>
        <v>0</v>
      </c>
    </row>
    <row r="11215" spans="1:10" ht="13" hidden="1">
      <c r="A11215" s="27"/>
      <c r="B11215" s="110"/>
      <c r="D11215" s="444" t="s">
        <v>68</v>
      </c>
      <c r="E11215" s="445" t="s">
        <v>69</v>
      </c>
      <c r="F11215" s="446"/>
      <c r="G11215" s="447"/>
      <c r="H11215" s="448"/>
      <c r="I11215" s="449">
        <f>IF(AND(E11215&lt;&gt;"",G11215&lt;&gt;""),IF(D11215="",IF(G11215="OH",VLOOKUP(E11215,UPAH!$C$4:$H$31,7,0),VLOOKUP(E11215,#REF!,4,0)),0),0)</f>
        <v>0</v>
      </c>
      <c r="J11215" s="16" t="e">
        <f>SUM(J11204:J11214)/2</f>
        <v>#VALUE!</v>
      </c>
    </row>
    <row r="11216" spans="1:10" ht="13" hidden="1">
      <c r="A11216" s="27"/>
      <c r="B11216" s="110"/>
      <c r="D11216" s="431" t="s">
        <v>70</v>
      </c>
      <c r="E11216" s="432" t="s">
        <v>477</v>
      </c>
      <c r="F11216" s="433"/>
      <c r="G11216" s="434"/>
      <c r="H11216" s="22">
        <v>0.1</v>
      </c>
      <c r="I11216" s="436"/>
      <c r="J11216" s="430" t="e">
        <f>H11216*J11215</f>
        <v>#VALUE!</v>
      </c>
    </row>
    <row r="11217" spans="1:10" ht="13.5" hidden="1" thickBot="1">
      <c r="A11217" s="27"/>
      <c r="B11217" s="110"/>
      <c r="D11217" s="401" t="s">
        <v>71</v>
      </c>
      <c r="E11217" s="402" t="s">
        <v>72</v>
      </c>
      <c r="F11217" s="418"/>
      <c r="G11217" s="419"/>
      <c r="H11217" s="442"/>
      <c r="I11217" s="421">
        <f>IF(AND(E11217&lt;&gt;"",G11217&lt;&gt;""),IF(D11217="",IF(G11217="OH",VLOOKUP(E11217,UPAH!$C$4:$H$31,7,0),VLOOKUP(E11217,#REF!,4,0)),0),0)</f>
        <v>0</v>
      </c>
      <c r="J11217" s="396" t="e">
        <f>ROUNDDOWN(J11215+J11216,0)</f>
        <v>#VALUE!</v>
      </c>
    </row>
    <row r="11218" spans="1:10" ht="13" hidden="1">
      <c r="A11218" s="27"/>
      <c r="B11218" s="110"/>
      <c r="D11218" s="11"/>
      <c r="E11218" s="11"/>
      <c r="H11218" s="443"/>
      <c r="I11218" s="17"/>
      <c r="J11218" s="18"/>
    </row>
    <row r="11219" spans="1:10" ht="13" hidden="1">
      <c r="A11219" s="27"/>
      <c r="B11219" s="110"/>
      <c r="C11219" s="11" t="s">
        <v>1722</v>
      </c>
      <c r="D11219" s="10" t="s">
        <v>1723</v>
      </c>
      <c r="H11219" s="443"/>
    </row>
    <row r="11220" spans="1:10" ht="13.5" hidden="1" thickBot="1">
      <c r="A11220" s="27"/>
      <c r="B11220" s="110"/>
      <c r="D11220" s="401" t="s">
        <v>40</v>
      </c>
      <c r="E11220" s="402" t="s">
        <v>41</v>
      </c>
      <c r="F11220" s="402" t="s">
        <v>42</v>
      </c>
      <c r="G11220" s="403" t="s">
        <v>43</v>
      </c>
      <c r="H11220" s="404" t="s">
        <v>44</v>
      </c>
      <c r="I11220" s="402" t="s">
        <v>474</v>
      </c>
      <c r="J11220" s="405" t="s">
        <v>475</v>
      </c>
    </row>
    <row r="11221" spans="1:10" ht="13" hidden="1">
      <c r="A11221" s="27"/>
      <c r="B11221" s="110"/>
      <c r="D11221" s="444" t="s">
        <v>45</v>
      </c>
      <c r="E11221" s="445" t="s">
        <v>46</v>
      </c>
      <c r="F11221" s="446"/>
      <c r="G11221" s="447"/>
      <c r="H11221" s="448"/>
      <c r="I11221" s="449"/>
      <c r="J11221" s="450"/>
    </row>
    <row r="11222" spans="1:10" ht="13" hidden="1">
      <c r="A11222" s="27"/>
      <c r="B11222" s="110"/>
      <c r="D11222" s="409"/>
      <c r="E11222" s="13" t="s">
        <v>47</v>
      </c>
      <c r="F11222" s="13" t="s">
        <v>1918</v>
      </c>
      <c r="G11222" s="410" t="s">
        <v>48</v>
      </c>
      <c r="H11222" s="411">
        <v>1.421</v>
      </c>
      <c r="I11222" s="412">
        <f>IF(AND(E11222&lt;&gt;"",G11222&lt;&gt;""),IF(D11222="",IF(G11222="OH",VLOOKUP(F11222,UPAH!$B$4:$H$101,7,0),VLOOKUP(F11222,#REF!,4,0)),0),0)</f>
        <v>0</v>
      </c>
      <c r="J11222" s="16">
        <f>H11222*I11222</f>
        <v>0</v>
      </c>
    </row>
    <row r="11223" spans="1:10" ht="13" hidden="1">
      <c r="A11223" s="27"/>
      <c r="B11223" s="110"/>
      <c r="D11223" s="409"/>
      <c r="E11223" s="13" t="s">
        <v>283</v>
      </c>
      <c r="F11223" s="13" t="s">
        <v>1913</v>
      </c>
      <c r="G11223" s="410" t="s">
        <v>48</v>
      </c>
      <c r="H11223" s="411">
        <v>0.71099999999999997</v>
      </c>
      <c r="I11223" s="412">
        <f>IF(AND(E11223&lt;&gt;"",G11223&lt;&gt;""),IF(D11223="",IF(G11223="OH",VLOOKUP(F11223,UPAH!$B$4:$H$101,7,0),VLOOKUP(F11223,#REF!,4,0)),0),0)</f>
        <v>0</v>
      </c>
      <c r="J11223" s="16">
        <f>H11223*I11223</f>
        <v>0</v>
      </c>
    </row>
    <row r="11224" spans="1:10" ht="13" hidden="1">
      <c r="A11224" s="27"/>
      <c r="B11224" s="110"/>
      <c r="D11224" s="409"/>
      <c r="E11224" s="13" t="s">
        <v>51</v>
      </c>
      <c r="F11224" s="13" t="s">
        <v>1929</v>
      </c>
      <c r="G11224" s="410" t="s">
        <v>48</v>
      </c>
      <c r="H11224" s="411">
        <v>0.14199999999999999</v>
      </c>
      <c r="I11224" s="412">
        <f>IF(AND(E11224&lt;&gt;"",G11224&lt;&gt;""),IF(D11224="",IF(G11224="OH",VLOOKUP(F11224,UPAH!$B$4:$H$101,7,0),VLOOKUP(F11224,#REF!,4,0)),0),0)</f>
        <v>0</v>
      </c>
      <c r="J11224" s="16">
        <f>H11224*I11224</f>
        <v>0</v>
      </c>
    </row>
    <row r="11225" spans="1:10" ht="13.5" hidden="1" thickBot="1">
      <c r="A11225" s="27"/>
      <c r="B11225" s="110"/>
      <c r="D11225" s="417"/>
      <c r="E11225" s="418"/>
      <c r="F11225" s="418"/>
      <c r="G11225" s="419"/>
      <c r="H11225" s="420" t="s">
        <v>52</v>
      </c>
      <c r="I11225" s="421"/>
      <c r="J11225" s="396">
        <f>SUM(J11221:J11224)</f>
        <v>0</v>
      </c>
    </row>
    <row r="11226" spans="1:10" ht="13" hidden="1">
      <c r="A11226" s="27"/>
      <c r="B11226" s="110"/>
      <c r="D11226" s="406" t="s">
        <v>53</v>
      </c>
      <c r="E11226" s="13" t="s">
        <v>54</v>
      </c>
      <c r="F11226" s="14"/>
      <c r="G11226" s="15"/>
      <c r="H11226" s="451"/>
      <c r="I11226" s="412"/>
      <c r="J11226" s="16"/>
    </row>
    <row r="11227" spans="1:10" ht="13" hidden="1">
      <c r="A11227" s="27"/>
      <c r="B11227" s="110"/>
      <c r="D11227" s="409"/>
      <c r="E11227" s="13" t="s">
        <v>1083</v>
      </c>
      <c r="F11227" s="14"/>
      <c r="G11227" s="410" t="s">
        <v>259</v>
      </c>
      <c r="H11227" s="411">
        <v>1</v>
      </c>
      <c r="I11227" s="412" t="s">
        <v>3187</v>
      </c>
      <c r="J11227" s="16" t="e">
        <f>H11227*I11227</f>
        <v>#VALUE!</v>
      </c>
    </row>
    <row r="11228" spans="1:10" ht="13.5" hidden="1" thickBot="1">
      <c r="A11228" s="27"/>
      <c r="B11228" s="110"/>
      <c r="D11228" s="417"/>
      <c r="E11228" s="418"/>
      <c r="F11228" s="418"/>
      <c r="G11228" s="419"/>
      <c r="H11228" s="420" t="s">
        <v>64</v>
      </c>
      <c r="I11228" s="421"/>
      <c r="J11228" s="396" t="e">
        <f>SUM(J11227)</f>
        <v>#VALUE!</v>
      </c>
    </row>
    <row r="11229" spans="1:10" ht="13" hidden="1">
      <c r="A11229" s="27"/>
      <c r="B11229" s="110"/>
      <c r="D11229" s="406" t="s">
        <v>65</v>
      </c>
      <c r="E11229" s="13" t="s">
        <v>66</v>
      </c>
      <c r="F11229" s="14"/>
      <c r="G11229" s="15"/>
      <c r="H11229" s="451"/>
      <c r="I11229" s="412"/>
      <c r="J11229" s="16"/>
    </row>
    <row r="11230" spans="1:10" ht="13" hidden="1">
      <c r="A11230" s="27"/>
      <c r="B11230" s="110"/>
      <c r="D11230" s="409"/>
      <c r="E11230" s="13" t="s">
        <v>446</v>
      </c>
      <c r="F11230" s="14"/>
      <c r="G11230" s="410" t="s">
        <v>285</v>
      </c>
      <c r="H11230" s="411">
        <v>0.6</v>
      </c>
      <c r="I11230" s="412">
        <f>Alat!H102</f>
        <v>0</v>
      </c>
      <c r="J11230" s="16">
        <f>H11230*I11230</f>
        <v>0</v>
      </c>
    </row>
    <row r="11231" spans="1:10" ht="13" hidden="1">
      <c r="A11231" s="27"/>
      <c r="B11231" s="110"/>
      <c r="D11231" s="409"/>
      <c r="E11231" s="13" t="s">
        <v>404</v>
      </c>
      <c r="F11231" s="14"/>
      <c r="G11231" s="410" t="s">
        <v>285</v>
      </c>
      <c r="H11231" s="411">
        <v>0.3</v>
      </c>
      <c r="I11231" s="412">
        <f>Alat!H27</f>
        <v>0</v>
      </c>
      <c r="J11231" s="16">
        <f>H11231*I11231</f>
        <v>0</v>
      </c>
    </row>
    <row r="11232" spans="1:10" ht="13.5" hidden="1" thickBot="1">
      <c r="A11232" s="27"/>
      <c r="B11232" s="110"/>
      <c r="D11232" s="417"/>
      <c r="E11232" s="418"/>
      <c r="F11232" s="418"/>
      <c r="G11232" s="419"/>
      <c r="H11232" s="420" t="s">
        <v>67</v>
      </c>
      <c r="I11232" s="421"/>
      <c r="J11232" s="396">
        <f>SUM(J11230:J11231)</f>
        <v>0</v>
      </c>
    </row>
    <row r="11233" spans="1:10" ht="13" hidden="1">
      <c r="A11233" s="27"/>
      <c r="B11233" s="110"/>
      <c r="D11233" s="444" t="s">
        <v>68</v>
      </c>
      <c r="E11233" s="445" t="s">
        <v>69</v>
      </c>
      <c r="F11233" s="446"/>
      <c r="G11233" s="447"/>
      <c r="H11233" s="448"/>
      <c r="I11233" s="449">
        <f>IF(AND(E11233&lt;&gt;"",G11233&lt;&gt;""),IF(D11233="",IF(G11233="OH",VLOOKUP(E11233,UPAH!$C$4:$H$31,7,0),VLOOKUP(E11233,#REF!,4,0)),0),0)</f>
        <v>0</v>
      </c>
      <c r="J11233" s="16" t="e">
        <f>SUM(J11222:J11232)/2</f>
        <v>#VALUE!</v>
      </c>
    </row>
    <row r="11234" spans="1:10" ht="13" hidden="1">
      <c r="A11234" s="27"/>
      <c r="B11234" s="110"/>
      <c r="D11234" s="431" t="s">
        <v>70</v>
      </c>
      <c r="E11234" s="432" t="s">
        <v>477</v>
      </c>
      <c r="F11234" s="433"/>
      <c r="G11234" s="434"/>
      <c r="H11234" s="22">
        <v>0.1</v>
      </c>
      <c r="I11234" s="436"/>
      <c r="J11234" s="430" t="e">
        <f>H11234*J11233</f>
        <v>#VALUE!</v>
      </c>
    </row>
    <row r="11235" spans="1:10" ht="13.5" hidden="1" thickBot="1">
      <c r="A11235" s="27"/>
      <c r="B11235" s="110"/>
      <c r="D11235" s="401" t="s">
        <v>71</v>
      </c>
      <c r="E11235" s="402" t="s">
        <v>72</v>
      </c>
      <c r="F11235" s="418"/>
      <c r="G11235" s="419"/>
      <c r="H11235" s="442"/>
      <c r="I11235" s="421">
        <f>IF(AND(E11235&lt;&gt;"",G11235&lt;&gt;""),IF(D11235="",IF(G11235="OH",VLOOKUP(E11235,UPAH!$C$4:$H$31,7,0),VLOOKUP(E11235,#REF!,4,0)),0),0)</f>
        <v>0</v>
      </c>
      <c r="J11235" s="396" t="e">
        <f>ROUNDDOWN(J11233+J11234,0)</f>
        <v>#VALUE!</v>
      </c>
    </row>
    <row r="11236" spans="1:10" ht="13" hidden="1">
      <c r="A11236" s="27"/>
      <c r="B11236" s="110"/>
      <c r="D11236" s="11"/>
      <c r="E11236" s="11"/>
      <c r="H11236" s="443"/>
      <c r="I11236" s="17"/>
      <c r="J11236" s="18"/>
    </row>
    <row r="11237" spans="1:10" ht="13" hidden="1">
      <c r="A11237" s="27"/>
      <c r="B11237" s="110"/>
      <c r="C11237" s="11" t="s">
        <v>1721</v>
      </c>
      <c r="D11237" s="10" t="s">
        <v>1732</v>
      </c>
      <c r="H11237" s="443"/>
    </row>
    <row r="11238" spans="1:10" ht="13.5" hidden="1" thickBot="1">
      <c r="A11238" s="27"/>
      <c r="B11238" s="110"/>
      <c r="D11238" s="401" t="s">
        <v>40</v>
      </c>
      <c r="E11238" s="402" t="s">
        <v>41</v>
      </c>
      <c r="F11238" s="402" t="s">
        <v>42</v>
      </c>
      <c r="G11238" s="403" t="s">
        <v>43</v>
      </c>
      <c r="H11238" s="404" t="s">
        <v>44</v>
      </c>
      <c r="I11238" s="402" t="s">
        <v>474</v>
      </c>
      <c r="J11238" s="405" t="s">
        <v>475</v>
      </c>
    </row>
    <row r="11239" spans="1:10" ht="13" hidden="1">
      <c r="A11239" s="27"/>
      <c r="B11239" s="110"/>
      <c r="D11239" s="444" t="s">
        <v>45</v>
      </c>
      <c r="E11239" s="445" t="s">
        <v>46</v>
      </c>
      <c r="F11239" s="446"/>
      <c r="G11239" s="447"/>
      <c r="H11239" s="448"/>
      <c r="I11239" s="449"/>
      <c r="J11239" s="450"/>
    </row>
    <row r="11240" spans="1:10" ht="13" hidden="1">
      <c r="A11240" s="27"/>
      <c r="B11240" s="110"/>
      <c r="D11240" s="409"/>
      <c r="E11240" s="13" t="s">
        <v>47</v>
      </c>
      <c r="F11240" s="13" t="s">
        <v>1918</v>
      </c>
      <c r="G11240" s="410" t="s">
        <v>48</v>
      </c>
      <c r="H11240" s="411">
        <v>1.429</v>
      </c>
      <c r="I11240" s="412">
        <f>IF(AND(E11240&lt;&gt;"",G11240&lt;&gt;""),IF(D11240="",IF(G11240="OH",VLOOKUP(F11240,UPAH!$B$4:$H$101,7,0),VLOOKUP(F11240,#REF!,4,0)),0),0)</f>
        <v>0</v>
      </c>
      <c r="J11240" s="16">
        <f>H11240*I11240</f>
        <v>0</v>
      </c>
    </row>
    <row r="11241" spans="1:10" ht="13" hidden="1">
      <c r="A11241" s="27"/>
      <c r="B11241" s="110"/>
      <c r="D11241" s="409"/>
      <c r="E11241" s="13" t="s">
        <v>283</v>
      </c>
      <c r="F11241" s="13" t="s">
        <v>1913</v>
      </c>
      <c r="G11241" s="410" t="s">
        <v>48</v>
      </c>
      <c r="H11241" s="411">
        <v>0.71499999999999997</v>
      </c>
      <c r="I11241" s="412">
        <f>IF(AND(E11241&lt;&gt;"",G11241&lt;&gt;""),IF(D11241="",IF(G11241="OH",VLOOKUP(F11241,UPAH!$B$4:$H$101,7,0),VLOOKUP(F11241,#REF!,4,0)),0),0)</f>
        <v>0</v>
      </c>
      <c r="J11241" s="16">
        <f>H11241*I11241</f>
        <v>0</v>
      </c>
    </row>
    <row r="11242" spans="1:10" ht="13" hidden="1">
      <c r="A11242" s="27"/>
      <c r="B11242" s="110"/>
      <c r="D11242" s="409"/>
      <c r="E11242" s="13" t="s">
        <v>51</v>
      </c>
      <c r="F11242" s="13" t="s">
        <v>1929</v>
      </c>
      <c r="G11242" s="410" t="s">
        <v>48</v>
      </c>
      <c r="H11242" s="411">
        <v>0.14299999999999999</v>
      </c>
      <c r="I11242" s="412">
        <f>IF(AND(E11242&lt;&gt;"",G11242&lt;&gt;""),IF(D11242="",IF(G11242="OH",VLOOKUP(F11242,UPAH!$B$4:$H$101,7,0),VLOOKUP(F11242,#REF!,4,0)),0),0)</f>
        <v>0</v>
      </c>
      <c r="J11242" s="16">
        <f>H11242*I11242</f>
        <v>0</v>
      </c>
    </row>
    <row r="11243" spans="1:10" ht="13.5" hidden="1" thickBot="1">
      <c r="A11243" s="27"/>
      <c r="B11243" s="110"/>
      <c r="D11243" s="417"/>
      <c r="E11243" s="418"/>
      <c r="F11243" s="418"/>
      <c r="G11243" s="419"/>
      <c r="H11243" s="420" t="s">
        <v>52</v>
      </c>
      <c r="I11243" s="421"/>
      <c r="J11243" s="396">
        <f>SUM(J11239:J11242)</f>
        <v>0</v>
      </c>
    </row>
    <row r="11244" spans="1:10" ht="13" hidden="1">
      <c r="A11244" s="27"/>
      <c r="B11244" s="110"/>
      <c r="D11244" s="406" t="s">
        <v>53</v>
      </c>
      <c r="E11244" s="13" t="s">
        <v>54</v>
      </c>
      <c r="F11244" s="14"/>
      <c r="G11244" s="15"/>
      <c r="H11244" s="451"/>
      <c r="I11244" s="412"/>
      <c r="J11244" s="16"/>
    </row>
    <row r="11245" spans="1:10" ht="13" hidden="1">
      <c r="A11245" s="27"/>
      <c r="B11245" s="110"/>
      <c r="D11245" s="409"/>
      <c r="E11245" s="13" t="s">
        <v>1084</v>
      </c>
      <c r="F11245" s="14"/>
      <c r="G11245" s="410" t="s">
        <v>259</v>
      </c>
      <c r="H11245" s="411">
        <v>1</v>
      </c>
      <c r="I11245" s="412" t="s">
        <v>3187</v>
      </c>
      <c r="J11245" s="16" t="e">
        <f>H11245*I11245</f>
        <v>#VALUE!</v>
      </c>
    </row>
    <row r="11246" spans="1:10" ht="13.5" hidden="1" thickBot="1">
      <c r="A11246" s="27"/>
      <c r="B11246" s="110"/>
      <c r="D11246" s="417"/>
      <c r="E11246" s="418"/>
      <c r="F11246" s="418"/>
      <c r="G11246" s="419"/>
      <c r="H11246" s="420" t="s">
        <v>64</v>
      </c>
      <c r="I11246" s="421"/>
      <c r="J11246" s="396" t="e">
        <f>SUM(J11245)</f>
        <v>#VALUE!</v>
      </c>
    </row>
    <row r="11247" spans="1:10" ht="13" hidden="1">
      <c r="A11247" s="27"/>
      <c r="B11247" s="110"/>
      <c r="D11247" s="406" t="s">
        <v>65</v>
      </c>
      <c r="E11247" s="13" t="s">
        <v>66</v>
      </c>
      <c r="F11247" s="14"/>
      <c r="G11247" s="15"/>
      <c r="H11247" s="451"/>
      <c r="I11247" s="412"/>
      <c r="J11247" s="16"/>
    </row>
    <row r="11248" spans="1:10" ht="13" hidden="1">
      <c r="A11248" s="27"/>
      <c r="B11248" s="110"/>
      <c r="D11248" s="409"/>
      <c r="E11248" s="13" t="s">
        <v>446</v>
      </c>
      <c r="F11248" s="14"/>
      <c r="G11248" s="410" t="s">
        <v>285</v>
      </c>
      <c r="H11248" s="411">
        <v>0.5</v>
      </c>
      <c r="I11248" s="412">
        <f>Alat!H102</f>
        <v>0</v>
      </c>
      <c r="J11248" s="16">
        <f>H11248*I11248</f>
        <v>0</v>
      </c>
    </row>
    <row r="11249" spans="1:10" ht="13" hidden="1">
      <c r="A11249" s="27"/>
      <c r="B11249" s="110"/>
      <c r="D11249" s="409"/>
      <c r="E11249" s="13" t="s">
        <v>404</v>
      </c>
      <c r="F11249" s="14"/>
      <c r="G11249" s="410" t="s">
        <v>285</v>
      </c>
      <c r="H11249" s="411">
        <v>0.5</v>
      </c>
      <c r="I11249" s="412">
        <f>Alat!H27</f>
        <v>0</v>
      </c>
      <c r="J11249" s="16">
        <f>H11249*I11249</f>
        <v>0</v>
      </c>
    </row>
    <row r="11250" spans="1:10" ht="13.5" hidden="1" thickBot="1">
      <c r="A11250" s="27"/>
      <c r="B11250" s="110"/>
      <c r="D11250" s="417"/>
      <c r="E11250" s="418"/>
      <c r="F11250" s="418"/>
      <c r="G11250" s="419"/>
      <c r="H11250" s="420" t="s">
        <v>67</v>
      </c>
      <c r="I11250" s="421"/>
      <c r="J11250" s="396">
        <f>SUM(J11248:J11249)</f>
        <v>0</v>
      </c>
    </row>
    <row r="11251" spans="1:10" ht="13" hidden="1">
      <c r="A11251" s="27"/>
      <c r="B11251" s="110"/>
      <c r="D11251" s="444" t="s">
        <v>68</v>
      </c>
      <c r="E11251" s="445" t="s">
        <v>69</v>
      </c>
      <c r="F11251" s="446"/>
      <c r="G11251" s="447"/>
      <c r="H11251" s="448"/>
      <c r="I11251" s="449">
        <f>IF(AND(E11251&lt;&gt;"",G11251&lt;&gt;""),IF(D11251="",IF(G11251="OH",VLOOKUP(E11251,UPAH!$C$4:$H$31,7,0),VLOOKUP(E11251,#REF!,4,0)),0),0)</f>
        <v>0</v>
      </c>
      <c r="J11251" s="16" t="e">
        <f>SUM(J11240:J11250)/2</f>
        <v>#VALUE!</v>
      </c>
    </row>
    <row r="11252" spans="1:10" ht="13" hidden="1">
      <c r="A11252" s="27"/>
      <c r="B11252" s="110"/>
      <c r="D11252" s="431" t="s">
        <v>70</v>
      </c>
      <c r="E11252" s="432" t="s">
        <v>477</v>
      </c>
      <c r="F11252" s="433"/>
      <c r="G11252" s="434"/>
      <c r="H11252" s="22">
        <v>0.1</v>
      </c>
      <c r="I11252" s="436"/>
      <c r="J11252" s="430" t="e">
        <f>H11252*J11251</f>
        <v>#VALUE!</v>
      </c>
    </row>
    <row r="11253" spans="1:10" ht="13.5" hidden="1" thickBot="1">
      <c r="A11253" s="27"/>
      <c r="B11253" s="110"/>
      <c r="D11253" s="401" t="s">
        <v>71</v>
      </c>
      <c r="E11253" s="402" t="s">
        <v>72</v>
      </c>
      <c r="F11253" s="418"/>
      <c r="G11253" s="419"/>
      <c r="H11253" s="442"/>
      <c r="I11253" s="421">
        <f>IF(AND(E11253&lt;&gt;"",G11253&lt;&gt;""),IF(D11253="",IF(G11253="OH",VLOOKUP(E11253,UPAH!$C$4:$H$31,7,0),VLOOKUP(E11253,#REF!,4,0)),0),0)</f>
        <v>0</v>
      </c>
      <c r="J11253" s="396" t="e">
        <f>ROUNDDOWN(J11251+J11252,0)</f>
        <v>#VALUE!</v>
      </c>
    </row>
    <row r="11254" spans="1:10" ht="13" hidden="1">
      <c r="A11254" s="27"/>
      <c r="B11254" s="110"/>
      <c r="D11254" s="11"/>
      <c r="E11254" s="11"/>
      <c r="H11254" s="443"/>
      <c r="I11254" s="17"/>
      <c r="J11254" s="18"/>
    </row>
    <row r="11255" spans="1:10" ht="13" hidden="1">
      <c r="A11255" s="27"/>
      <c r="B11255" s="110"/>
      <c r="C11255" s="11" t="s">
        <v>1720</v>
      </c>
      <c r="D11255" s="10" t="s">
        <v>4</v>
      </c>
      <c r="H11255" s="443"/>
    </row>
    <row r="11256" spans="1:10" ht="13.5" hidden="1" thickBot="1">
      <c r="A11256" s="27"/>
      <c r="B11256" s="110"/>
      <c r="D11256" s="401" t="s">
        <v>40</v>
      </c>
      <c r="E11256" s="402" t="s">
        <v>41</v>
      </c>
      <c r="F11256" s="402" t="s">
        <v>42</v>
      </c>
      <c r="G11256" s="403" t="s">
        <v>43</v>
      </c>
      <c r="H11256" s="404" t="s">
        <v>44</v>
      </c>
      <c r="I11256" s="402" t="s">
        <v>474</v>
      </c>
      <c r="J11256" s="405" t="s">
        <v>475</v>
      </c>
    </row>
    <row r="11257" spans="1:10" ht="13" hidden="1">
      <c r="A11257" s="27"/>
      <c r="B11257" s="110"/>
      <c r="D11257" s="444" t="s">
        <v>45</v>
      </c>
      <c r="E11257" s="445" t="s">
        <v>46</v>
      </c>
      <c r="F11257" s="446"/>
      <c r="G11257" s="447"/>
      <c r="H11257" s="448"/>
      <c r="I11257" s="449"/>
      <c r="J11257" s="450"/>
    </row>
    <row r="11258" spans="1:10" ht="13" hidden="1">
      <c r="A11258" s="27"/>
      <c r="B11258" s="110"/>
      <c r="D11258" s="409"/>
      <c r="E11258" s="13" t="s">
        <v>47</v>
      </c>
      <c r="F11258" s="13" t="s">
        <v>1918</v>
      </c>
      <c r="G11258" s="410" t="s">
        <v>48</v>
      </c>
      <c r="H11258" s="411">
        <v>1.786</v>
      </c>
      <c r="I11258" s="412">
        <f>IF(AND(E11258&lt;&gt;"",G11258&lt;&gt;""),IF(D11258="",IF(G11258="OH",VLOOKUP(F11258,UPAH!$B$4:$H$101,7,0),VLOOKUP(F11258,#REF!,4,0)),0),0)</f>
        <v>0</v>
      </c>
      <c r="J11258" s="16">
        <f>H11258*I11258</f>
        <v>0</v>
      </c>
    </row>
    <row r="11259" spans="1:10" ht="13" hidden="1">
      <c r="A11259" s="27"/>
      <c r="B11259" s="110"/>
      <c r="D11259" s="409"/>
      <c r="E11259" s="13" t="s">
        <v>283</v>
      </c>
      <c r="F11259" s="13" t="s">
        <v>1913</v>
      </c>
      <c r="G11259" s="410" t="s">
        <v>48</v>
      </c>
      <c r="H11259" s="411">
        <v>0.89300000000000002</v>
      </c>
      <c r="I11259" s="412">
        <f>IF(AND(E11259&lt;&gt;"",G11259&lt;&gt;""),IF(D11259="",IF(G11259="OH",VLOOKUP(F11259,UPAH!$B$4:$H$101,7,0),VLOOKUP(F11259,#REF!,4,0)),0),0)</f>
        <v>0</v>
      </c>
      <c r="J11259" s="16">
        <f>H11259*I11259</f>
        <v>0</v>
      </c>
    </row>
    <row r="11260" spans="1:10" ht="13" hidden="1">
      <c r="A11260" s="27"/>
      <c r="B11260" s="110"/>
      <c r="D11260" s="409"/>
      <c r="E11260" s="13" t="s">
        <v>51</v>
      </c>
      <c r="F11260" s="13" t="s">
        <v>1929</v>
      </c>
      <c r="G11260" s="410" t="s">
        <v>48</v>
      </c>
      <c r="H11260" s="411">
        <v>0.17899999999999999</v>
      </c>
      <c r="I11260" s="412">
        <f>IF(AND(E11260&lt;&gt;"",G11260&lt;&gt;""),IF(D11260="",IF(G11260="OH",VLOOKUP(F11260,UPAH!$B$4:$H$101,7,0),VLOOKUP(F11260,#REF!,4,0)),0),0)</f>
        <v>0</v>
      </c>
      <c r="J11260" s="16">
        <f>H11260*I11260</f>
        <v>0</v>
      </c>
    </row>
    <row r="11261" spans="1:10" ht="13.5" hidden="1" thickBot="1">
      <c r="A11261" s="27"/>
      <c r="B11261" s="110"/>
      <c r="D11261" s="417"/>
      <c r="E11261" s="418"/>
      <c r="F11261" s="418"/>
      <c r="G11261" s="419"/>
      <c r="H11261" s="420" t="s">
        <v>52</v>
      </c>
      <c r="I11261" s="421"/>
      <c r="J11261" s="396">
        <f>SUM(J11257:J11260)</f>
        <v>0</v>
      </c>
    </row>
    <row r="11262" spans="1:10" ht="13" hidden="1">
      <c r="A11262" s="27"/>
      <c r="B11262" s="110"/>
      <c r="D11262" s="406" t="s">
        <v>53</v>
      </c>
      <c r="E11262" s="13" t="s">
        <v>54</v>
      </c>
      <c r="F11262" s="14"/>
      <c r="G11262" s="15"/>
      <c r="H11262" s="451"/>
      <c r="I11262" s="412"/>
      <c r="J11262" s="16"/>
    </row>
    <row r="11263" spans="1:10" ht="13" hidden="1">
      <c r="A11263" s="27"/>
      <c r="B11263" s="110"/>
      <c r="D11263" s="409"/>
      <c r="E11263" s="13" t="s">
        <v>1085</v>
      </c>
      <c r="F11263" s="14"/>
      <c r="G11263" s="410" t="s">
        <v>259</v>
      </c>
      <c r="H11263" s="411">
        <v>1</v>
      </c>
      <c r="I11263" s="412" t="s">
        <v>3187</v>
      </c>
      <c r="J11263" s="16" t="e">
        <f>H11263*I11263</f>
        <v>#VALUE!</v>
      </c>
    </row>
    <row r="11264" spans="1:10" ht="13.5" hidden="1" thickBot="1">
      <c r="A11264" s="27"/>
      <c r="B11264" s="110"/>
      <c r="D11264" s="417"/>
      <c r="E11264" s="418"/>
      <c r="F11264" s="418"/>
      <c r="G11264" s="419"/>
      <c r="H11264" s="420" t="s">
        <v>64</v>
      </c>
      <c r="I11264" s="421"/>
      <c r="J11264" s="396" t="e">
        <f>SUM(J11263)</f>
        <v>#VALUE!</v>
      </c>
    </row>
    <row r="11265" spans="1:10" ht="13" hidden="1">
      <c r="A11265" s="27"/>
      <c r="B11265" s="110"/>
      <c r="D11265" s="406" t="s">
        <v>65</v>
      </c>
      <c r="E11265" s="13" t="s">
        <v>66</v>
      </c>
      <c r="F11265" s="14"/>
      <c r="G11265" s="15"/>
      <c r="H11265" s="451"/>
      <c r="I11265" s="412"/>
      <c r="J11265" s="16"/>
    </row>
    <row r="11266" spans="1:10" ht="13" hidden="1">
      <c r="A11266" s="27"/>
      <c r="B11266" s="110"/>
      <c r="D11266" s="409"/>
      <c r="E11266" s="13" t="s">
        <v>446</v>
      </c>
      <c r="F11266" s="14"/>
      <c r="G11266" s="410" t="s">
        <v>285</v>
      </c>
      <c r="H11266" s="411">
        <v>0.5</v>
      </c>
      <c r="I11266" s="412">
        <f>Alat!H102</f>
        <v>0</v>
      </c>
      <c r="J11266" s="16">
        <f>H11266*I11266</f>
        <v>0</v>
      </c>
    </row>
    <row r="11267" spans="1:10" ht="13" hidden="1">
      <c r="A11267" s="27"/>
      <c r="B11267" s="110"/>
      <c r="D11267" s="409"/>
      <c r="E11267" s="13" t="s">
        <v>404</v>
      </c>
      <c r="F11267" s="14"/>
      <c r="G11267" s="410" t="s">
        <v>285</v>
      </c>
      <c r="H11267" s="411">
        <v>0.5</v>
      </c>
      <c r="I11267" s="412">
        <f>Alat!H27</f>
        <v>0</v>
      </c>
      <c r="J11267" s="16">
        <f>H11267*I11267</f>
        <v>0</v>
      </c>
    </row>
    <row r="11268" spans="1:10" ht="13.5" hidden="1" thickBot="1">
      <c r="A11268" s="27"/>
      <c r="B11268" s="110"/>
      <c r="D11268" s="417"/>
      <c r="E11268" s="418"/>
      <c r="F11268" s="418"/>
      <c r="G11268" s="419"/>
      <c r="H11268" s="420" t="s">
        <v>67</v>
      </c>
      <c r="I11268" s="421"/>
      <c r="J11268" s="396">
        <f>SUM(J11266:J11267)</f>
        <v>0</v>
      </c>
    </row>
    <row r="11269" spans="1:10" ht="13" hidden="1">
      <c r="A11269" s="27"/>
      <c r="B11269" s="110"/>
      <c r="D11269" s="444" t="s">
        <v>68</v>
      </c>
      <c r="E11269" s="445" t="s">
        <v>69</v>
      </c>
      <c r="F11269" s="446"/>
      <c r="G11269" s="447"/>
      <c r="H11269" s="448"/>
      <c r="I11269" s="449">
        <f>IF(AND(E11269&lt;&gt;"",G11269&lt;&gt;""),IF(D11269="",IF(G11269="OH",VLOOKUP(E11269,UPAH!$C$4:$H$31,7,0),VLOOKUP(E11269,#REF!,4,0)),0),0)</f>
        <v>0</v>
      </c>
      <c r="J11269" s="16" t="e">
        <f>SUM(J11258:J11268)/2</f>
        <v>#VALUE!</v>
      </c>
    </row>
    <row r="11270" spans="1:10" ht="13" hidden="1">
      <c r="A11270" s="27"/>
      <c r="B11270" s="110"/>
      <c r="D11270" s="431" t="s">
        <v>70</v>
      </c>
      <c r="E11270" s="432" t="s">
        <v>477</v>
      </c>
      <c r="F11270" s="433"/>
      <c r="G11270" s="434"/>
      <c r="H11270" s="22">
        <v>0.1</v>
      </c>
      <c r="I11270" s="436"/>
      <c r="J11270" s="430" t="e">
        <f>H11270*J11269</f>
        <v>#VALUE!</v>
      </c>
    </row>
    <row r="11271" spans="1:10" ht="13.5" hidden="1" thickBot="1">
      <c r="A11271" s="27"/>
      <c r="B11271" s="110"/>
      <c r="D11271" s="401" t="s">
        <v>71</v>
      </c>
      <c r="E11271" s="402" t="s">
        <v>72</v>
      </c>
      <c r="F11271" s="418"/>
      <c r="G11271" s="419"/>
      <c r="H11271" s="442"/>
      <c r="I11271" s="421">
        <f>IF(AND(E11271&lt;&gt;"",G11271&lt;&gt;""),IF(D11271="",IF(G11271="OH",VLOOKUP(E11271,UPAH!$C$4:$H$31,7,0),VLOOKUP(E11271,#REF!,4,0)),0),0)</f>
        <v>0</v>
      </c>
      <c r="J11271" s="396" t="e">
        <f>ROUNDDOWN(J11269+J11270,0)</f>
        <v>#VALUE!</v>
      </c>
    </row>
    <row r="11272" spans="1:10" ht="13" hidden="1">
      <c r="A11272" s="27"/>
      <c r="B11272" s="110"/>
      <c r="D11272" s="11"/>
      <c r="E11272" s="11"/>
      <c r="H11272" s="443"/>
      <c r="I11272" s="17"/>
      <c r="J11272" s="18"/>
    </row>
    <row r="11273" spans="1:10" ht="13" hidden="1">
      <c r="A11273" s="27"/>
      <c r="B11273" s="110"/>
      <c r="C11273" s="11" t="s">
        <v>1719</v>
      </c>
      <c r="D11273" s="10" t="s">
        <v>5</v>
      </c>
      <c r="H11273" s="443"/>
    </row>
    <row r="11274" spans="1:10" ht="13.5" hidden="1" thickBot="1">
      <c r="A11274" s="27"/>
      <c r="B11274" s="110"/>
      <c r="D11274" s="401" t="s">
        <v>40</v>
      </c>
      <c r="E11274" s="402" t="s">
        <v>41</v>
      </c>
      <c r="F11274" s="402" t="s">
        <v>42</v>
      </c>
      <c r="G11274" s="403" t="s">
        <v>43</v>
      </c>
      <c r="H11274" s="404" t="s">
        <v>44</v>
      </c>
      <c r="I11274" s="402" t="s">
        <v>474</v>
      </c>
      <c r="J11274" s="405" t="s">
        <v>475</v>
      </c>
    </row>
    <row r="11275" spans="1:10" ht="13" hidden="1">
      <c r="A11275" s="27"/>
      <c r="B11275" s="110"/>
      <c r="D11275" s="444" t="s">
        <v>45</v>
      </c>
      <c r="E11275" s="445" t="s">
        <v>46</v>
      </c>
      <c r="F11275" s="446"/>
      <c r="G11275" s="447"/>
      <c r="H11275" s="448"/>
      <c r="I11275" s="449"/>
      <c r="J11275" s="450"/>
    </row>
    <row r="11276" spans="1:10" ht="13" hidden="1">
      <c r="A11276" s="27"/>
      <c r="B11276" s="110"/>
      <c r="D11276" s="409"/>
      <c r="E11276" s="13" t="s">
        <v>47</v>
      </c>
      <c r="F11276" s="13" t="s">
        <v>1918</v>
      </c>
      <c r="G11276" s="410" t="s">
        <v>48</v>
      </c>
      <c r="H11276" s="411">
        <v>1.714</v>
      </c>
      <c r="I11276" s="412">
        <f>IF(AND(E11276&lt;&gt;"",G11276&lt;&gt;""),IF(D11276="",IF(G11276="OH",VLOOKUP(F11276,UPAH!$B$4:$H$101,7,0),VLOOKUP(F11276,#REF!,4,0)),0),0)</f>
        <v>0</v>
      </c>
      <c r="J11276" s="16">
        <f>H11276*I11276</f>
        <v>0</v>
      </c>
    </row>
    <row r="11277" spans="1:10" ht="13" hidden="1">
      <c r="A11277" s="27"/>
      <c r="B11277" s="110"/>
      <c r="D11277" s="409"/>
      <c r="E11277" s="13" t="s">
        <v>283</v>
      </c>
      <c r="F11277" s="13" t="s">
        <v>1913</v>
      </c>
      <c r="G11277" s="410" t="s">
        <v>48</v>
      </c>
      <c r="H11277" s="411">
        <v>0.85699999999999998</v>
      </c>
      <c r="I11277" s="412">
        <f>IF(AND(E11277&lt;&gt;"",G11277&lt;&gt;""),IF(D11277="",IF(G11277="OH",VLOOKUP(F11277,UPAH!$B$4:$H$101,7,0),VLOOKUP(F11277,#REF!,4,0)),0),0)</f>
        <v>0</v>
      </c>
      <c r="J11277" s="16">
        <f>H11277*I11277</f>
        <v>0</v>
      </c>
    </row>
    <row r="11278" spans="1:10" ht="13" hidden="1">
      <c r="A11278" s="27"/>
      <c r="B11278" s="110"/>
      <c r="D11278" s="409"/>
      <c r="E11278" s="13" t="s">
        <v>51</v>
      </c>
      <c r="F11278" s="13" t="s">
        <v>1929</v>
      </c>
      <c r="G11278" s="410" t="s">
        <v>48</v>
      </c>
      <c r="H11278" s="411">
        <v>0.17100000000000001</v>
      </c>
      <c r="I11278" s="412">
        <f>IF(AND(E11278&lt;&gt;"",G11278&lt;&gt;""),IF(D11278="",IF(G11278="OH",VLOOKUP(F11278,UPAH!$B$4:$H$101,7,0),VLOOKUP(F11278,#REF!,4,0)),0),0)</f>
        <v>0</v>
      </c>
      <c r="J11278" s="16">
        <f>H11278*I11278</f>
        <v>0</v>
      </c>
    </row>
    <row r="11279" spans="1:10" ht="13.5" hidden="1" thickBot="1">
      <c r="A11279" s="27"/>
      <c r="B11279" s="110"/>
      <c r="D11279" s="417"/>
      <c r="E11279" s="418"/>
      <c r="F11279" s="418"/>
      <c r="G11279" s="419"/>
      <c r="H11279" s="420" t="s">
        <v>52</v>
      </c>
      <c r="I11279" s="421"/>
      <c r="J11279" s="396">
        <f>SUM(J11275:J11278)</f>
        <v>0</v>
      </c>
    </row>
    <row r="11280" spans="1:10" ht="13" hidden="1">
      <c r="A11280" s="27"/>
      <c r="B11280" s="110"/>
      <c r="D11280" s="406" t="s">
        <v>53</v>
      </c>
      <c r="E11280" s="13" t="s">
        <v>54</v>
      </c>
      <c r="F11280" s="14"/>
      <c r="G11280" s="15"/>
      <c r="H11280" s="451"/>
      <c r="I11280" s="412"/>
      <c r="J11280" s="16"/>
    </row>
    <row r="11281" spans="1:10" ht="13" hidden="1">
      <c r="A11281" s="27"/>
      <c r="B11281" s="110"/>
      <c r="D11281" s="409"/>
      <c r="E11281" s="13" t="s">
        <v>1086</v>
      </c>
      <c r="F11281" s="14"/>
      <c r="G11281" s="410" t="s">
        <v>259</v>
      </c>
      <c r="H11281" s="411">
        <v>1</v>
      </c>
      <c r="I11281" s="412" t="s">
        <v>3187</v>
      </c>
      <c r="J11281" s="16" t="e">
        <f>H11281*I11281</f>
        <v>#VALUE!</v>
      </c>
    </row>
    <row r="11282" spans="1:10" ht="13.5" hidden="1" thickBot="1">
      <c r="A11282" s="27"/>
      <c r="B11282" s="110"/>
      <c r="D11282" s="417"/>
      <c r="E11282" s="418"/>
      <c r="F11282" s="418"/>
      <c r="G11282" s="419"/>
      <c r="H11282" s="420" t="s">
        <v>64</v>
      </c>
      <c r="I11282" s="421"/>
      <c r="J11282" s="396" t="e">
        <f>SUM(J11281)</f>
        <v>#VALUE!</v>
      </c>
    </row>
    <row r="11283" spans="1:10" ht="13" hidden="1">
      <c r="A11283" s="27"/>
      <c r="B11283" s="110"/>
      <c r="D11283" s="406" t="s">
        <v>65</v>
      </c>
      <c r="E11283" s="13" t="s">
        <v>66</v>
      </c>
      <c r="F11283" s="14"/>
      <c r="G11283" s="15"/>
      <c r="H11283" s="451"/>
      <c r="I11283" s="412"/>
      <c r="J11283" s="16"/>
    </row>
    <row r="11284" spans="1:10" ht="13" hidden="1">
      <c r="A11284" s="27"/>
      <c r="B11284" s="110"/>
      <c r="D11284" s="409"/>
      <c r="E11284" s="13" t="s">
        <v>446</v>
      </c>
      <c r="F11284" s="14"/>
      <c r="G11284" s="410" t="s">
        <v>285</v>
      </c>
      <c r="H11284" s="411">
        <v>0.75</v>
      </c>
      <c r="I11284" s="412">
        <f>Alat!H102</f>
        <v>0</v>
      </c>
      <c r="J11284" s="16">
        <f>H11284*I11284</f>
        <v>0</v>
      </c>
    </row>
    <row r="11285" spans="1:10" ht="13" hidden="1">
      <c r="A11285" s="27"/>
      <c r="B11285" s="110"/>
      <c r="D11285" s="409"/>
      <c r="E11285" s="13" t="s">
        <v>404</v>
      </c>
      <c r="F11285" s="14"/>
      <c r="G11285" s="410" t="s">
        <v>285</v>
      </c>
      <c r="H11285" s="411">
        <v>0.75</v>
      </c>
      <c r="I11285" s="412">
        <f>Alat!H27</f>
        <v>0</v>
      </c>
      <c r="J11285" s="16">
        <f>H11285*I11285</f>
        <v>0</v>
      </c>
    </row>
    <row r="11286" spans="1:10" ht="13.5" hidden="1" thickBot="1">
      <c r="A11286" s="27"/>
      <c r="B11286" s="110"/>
      <c r="D11286" s="417"/>
      <c r="E11286" s="418"/>
      <c r="F11286" s="418"/>
      <c r="G11286" s="419"/>
      <c r="H11286" s="420" t="s">
        <v>67</v>
      </c>
      <c r="I11286" s="421"/>
      <c r="J11286" s="396">
        <f>SUM(J11284:J11285)</f>
        <v>0</v>
      </c>
    </row>
    <row r="11287" spans="1:10" ht="13" hidden="1">
      <c r="A11287" s="27"/>
      <c r="B11287" s="110"/>
      <c r="D11287" s="444" t="s">
        <v>68</v>
      </c>
      <c r="E11287" s="445" t="s">
        <v>69</v>
      </c>
      <c r="F11287" s="446"/>
      <c r="G11287" s="447"/>
      <c r="H11287" s="448"/>
      <c r="I11287" s="449">
        <f>IF(AND(E11287&lt;&gt;"",G11287&lt;&gt;""),IF(D11287="",IF(G11287="OH",VLOOKUP(E11287,UPAH!$C$4:$H$31,7,0),VLOOKUP(E11287,#REF!,4,0)),0),0)</f>
        <v>0</v>
      </c>
      <c r="J11287" s="16" t="e">
        <f>SUM(J11276:J11286)/2</f>
        <v>#VALUE!</v>
      </c>
    </row>
    <row r="11288" spans="1:10" ht="13" hidden="1">
      <c r="A11288" s="27"/>
      <c r="B11288" s="110"/>
      <c r="D11288" s="431" t="s">
        <v>70</v>
      </c>
      <c r="E11288" s="432" t="s">
        <v>477</v>
      </c>
      <c r="F11288" s="433"/>
      <c r="G11288" s="434"/>
      <c r="H11288" s="22">
        <v>0.1</v>
      </c>
      <c r="I11288" s="436"/>
      <c r="J11288" s="430" t="e">
        <f>H11288*J11287</f>
        <v>#VALUE!</v>
      </c>
    </row>
    <row r="11289" spans="1:10" ht="13.5" hidden="1" thickBot="1">
      <c r="A11289" s="27"/>
      <c r="B11289" s="110"/>
      <c r="D11289" s="401" t="s">
        <v>71</v>
      </c>
      <c r="E11289" s="402" t="s">
        <v>72</v>
      </c>
      <c r="F11289" s="418"/>
      <c r="G11289" s="419"/>
      <c r="H11289" s="442"/>
      <c r="I11289" s="421">
        <f>IF(AND(E11289&lt;&gt;"",G11289&lt;&gt;""),IF(D11289="",IF(G11289="OH",VLOOKUP(E11289,UPAH!$C$4:$H$31,7,0),VLOOKUP(E11289,#REF!,4,0)),0),0)</f>
        <v>0</v>
      </c>
      <c r="J11289" s="396" t="e">
        <f>ROUNDDOWN(J11287+J11288,0)</f>
        <v>#VALUE!</v>
      </c>
    </row>
    <row r="11290" spans="1:10" ht="13" hidden="1">
      <c r="A11290" s="27"/>
      <c r="B11290" s="110"/>
      <c r="D11290" s="11"/>
      <c r="E11290" s="11"/>
      <c r="H11290" s="443"/>
      <c r="I11290" s="17"/>
      <c r="J11290" s="18"/>
    </row>
    <row r="11291" spans="1:10" ht="13" hidden="1">
      <c r="A11291" s="27"/>
      <c r="B11291" s="110"/>
      <c r="C11291" s="11" t="s">
        <v>1718</v>
      </c>
      <c r="D11291" s="10" t="s">
        <v>6</v>
      </c>
      <c r="H11291" s="443"/>
    </row>
    <row r="11292" spans="1:10" ht="13.5" hidden="1" thickBot="1">
      <c r="A11292" s="27"/>
      <c r="B11292" s="110"/>
      <c r="D11292" s="401" t="s">
        <v>40</v>
      </c>
      <c r="E11292" s="402" t="s">
        <v>41</v>
      </c>
      <c r="F11292" s="402" t="s">
        <v>42</v>
      </c>
      <c r="G11292" s="403" t="s">
        <v>43</v>
      </c>
      <c r="H11292" s="404" t="s">
        <v>44</v>
      </c>
      <c r="I11292" s="402" t="s">
        <v>474</v>
      </c>
      <c r="J11292" s="405" t="s">
        <v>475</v>
      </c>
    </row>
    <row r="11293" spans="1:10" ht="13" hidden="1">
      <c r="A11293" s="27"/>
      <c r="B11293" s="110"/>
      <c r="D11293" s="444" t="s">
        <v>45</v>
      </c>
      <c r="E11293" s="445" t="s">
        <v>46</v>
      </c>
      <c r="F11293" s="446"/>
      <c r="G11293" s="447"/>
      <c r="H11293" s="448"/>
      <c r="I11293" s="449"/>
      <c r="J11293" s="450"/>
    </row>
    <row r="11294" spans="1:10" ht="13" hidden="1">
      <c r="A11294" s="27"/>
      <c r="B11294" s="110"/>
      <c r="D11294" s="409"/>
      <c r="E11294" s="13" t="s">
        <v>47</v>
      </c>
      <c r="F11294" s="13" t="s">
        <v>1918</v>
      </c>
      <c r="G11294" s="410" t="s">
        <v>48</v>
      </c>
      <c r="H11294" s="411">
        <v>2.5710000000000002</v>
      </c>
      <c r="I11294" s="412">
        <f>IF(AND(E11294&lt;&gt;"",G11294&lt;&gt;""),IF(D11294="",IF(G11294="OH",VLOOKUP(F11294,UPAH!$B$4:$H$101,7,0),VLOOKUP(F11294,#REF!,4,0)),0),0)</f>
        <v>0</v>
      </c>
      <c r="J11294" s="16">
        <f>H11294*I11294</f>
        <v>0</v>
      </c>
    </row>
    <row r="11295" spans="1:10" ht="13" hidden="1">
      <c r="A11295" s="27"/>
      <c r="B11295" s="110"/>
      <c r="D11295" s="409"/>
      <c r="E11295" s="13" t="s">
        <v>283</v>
      </c>
      <c r="F11295" s="13" t="s">
        <v>1913</v>
      </c>
      <c r="G11295" s="410" t="s">
        <v>48</v>
      </c>
      <c r="H11295" s="411">
        <v>1.286</v>
      </c>
      <c r="I11295" s="412">
        <f>IF(AND(E11295&lt;&gt;"",G11295&lt;&gt;""),IF(D11295="",IF(G11295="OH",VLOOKUP(F11295,UPAH!$B$4:$H$101,7,0),VLOOKUP(F11295,#REF!,4,0)),0),0)</f>
        <v>0</v>
      </c>
      <c r="J11295" s="16">
        <f>H11295*I11295</f>
        <v>0</v>
      </c>
    </row>
    <row r="11296" spans="1:10" ht="13" hidden="1">
      <c r="A11296" s="27"/>
      <c r="B11296" s="110"/>
      <c r="D11296" s="409"/>
      <c r="E11296" s="13" t="s">
        <v>51</v>
      </c>
      <c r="F11296" s="13" t="s">
        <v>1929</v>
      </c>
      <c r="G11296" s="410" t="s">
        <v>48</v>
      </c>
      <c r="H11296" s="411">
        <v>0.25700000000000001</v>
      </c>
      <c r="I11296" s="412">
        <f>IF(AND(E11296&lt;&gt;"",G11296&lt;&gt;""),IF(D11296="",IF(G11296="OH",VLOOKUP(F11296,UPAH!$B$4:$H$101,7,0),VLOOKUP(F11296,#REF!,4,0)),0),0)</f>
        <v>0</v>
      </c>
      <c r="J11296" s="16">
        <f>H11296*I11296</f>
        <v>0</v>
      </c>
    </row>
    <row r="11297" spans="1:10" ht="13.5" hidden="1" thickBot="1">
      <c r="A11297" s="27"/>
      <c r="B11297" s="110"/>
      <c r="D11297" s="417"/>
      <c r="E11297" s="418"/>
      <c r="F11297" s="418"/>
      <c r="G11297" s="419"/>
      <c r="H11297" s="420" t="s">
        <v>52</v>
      </c>
      <c r="I11297" s="421"/>
      <c r="J11297" s="396">
        <f>SUM(J11293:J11296)</f>
        <v>0</v>
      </c>
    </row>
    <row r="11298" spans="1:10" ht="13" hidden="1">
      <c r="A11298" s="27"/>
      <c r="B11298" s="110"/>
      <c r="D11298" s="406" t="s">
        <v>53</v>
      </c>
      <c r="E11298" s="13" t="s">
        <v>54</v>
      </c>
      <c r="F11298" s="14"/>
      <c r="G11298" s="15"/>
      <c r="H11298" s="451"/>
      <c r="I11298" s="412"/>
      <c r="J11298" s="16"/>
    </row>
    <row r="11299" spans="1:10" ht="13" hidden="1">
      <c r="A11299" s="27"/>
      <c r="B11299" s="110"/>
      <c r="D11299" s="409"/>
      <c r="E11299" s="13" t="s">
        <v>1087</v>
      </c>
      <c r="F11299" s="14"/>
      <c r="G11299" s="410" t="s">
        <v>259</v>
      </c>
      <c r="H11299" s="411">
        <v>1</v>
      </c>
      <c r="I11299" s="412" t="s">
        <v>3187</v>
      </c>
      <c r="J11299" s="16" t="e">
        <f>H11299*I11299</f>
        <v>#VALUE!</v>
      </c>
    </row>
    <row r="11300" spans="1:10" ht="13.5" hidden="1" thickBot="1">
      <c r="A11300" s="27"/>
      <c r="B11300" s="110"/>
      <c r="D11300" s="417"/>
      <c r="E11300" s="418"/>
      <c r="F11300" s="418"/>
      <c r="G11300" s="419"/>
      <c r="H11300" s="420" t="s">
        <v>64</v>
      </c>
      <c r="I11300" s="421"/>
      <c r="J11300" s="396" t="e">
        <f>SUM(J11299)</f>
        <v>#VALUE!</v>
      </c>
    </row>
    <row r="11301" spans="1:10" ht="13" hidden="1">
      <c r="A11301" s="27"/>
      <c r="B11301" s="110"/>
      <c r="D11301" s="406" t="s">
        <v>65</v>
      </c>
      <c r="E11301" s="13" t="s">
        <v>66</v>
      </c>
      <c r="F11301" s="14"/>
      <c r="G11301" s="15"/>
      <c r="H11301" s="451"/>
      <c r="I11301" s="412"/>
      <c r="J11301" s="16"/>
    </row>
    <row r="11302" spans="1:10" ht="13" hidden="1">
      <c r="A11302" s="27"/>
      <c r="B11302" s="110"/>
      <c r="D11302" s="409"/>
      <c r="E11302" s="13" t="s">
        <v>446</v>
      </c>
      <c r="F11302" s="14"/>
      <c r="G11302" s="410" t="s">
        <v>285</v>
      </c>
      <c r="H11302" s="411">
        <v>1</v>
      </c>
      <c r="I11302" s="412">
        <f>Alat!H102</f>
        <v>0</v>
      </c>
      <c r="J11302" s="16">
        <f>H11302*I11302</f>
        <v>0</v>
      </c>
    </row>
    <row r="11303" spans="1:10" ht="13" hidden="1">
      <c r="A11303" s="27"/>
      <c r="B11303" s="110"/>
      <c r="D11303" s="409"/>
      <c r="E11303" s="13" t="s">
        <v>404</v>
      </c>
      <c r="F11303" s="14"/>
      <c r="G11303" s="410" t="s">
        <v>285</v>
      </c>
      <c r="H11303" s="411">
        <v>1</v>
      </c>
      <c r="I11303" s="412">
        <f>Alat!H27</f>
        <v>0</v>
      </c>
      <c r="J11303" s="16">
        <f>H11303*I11303</f>
        <v>0</v>
      </c>
    </row>
    <row r="11304" spans="1:10" ht="13.5" hidden="1" thickBot="1">
      <c r="A11304" s="27"/>
      <c r="B11304" s="110"/>
      <c r="D11304" s="417"/>
      <c r="E11304" s="418"/>
      <c r="F11304" s="418"/>
      <c r="G11304" s="419"/>
      <c r="H11304" s="420" t="s">
        <v>67</v>
      </c>
      <c r="I11304" s="421"/>
      <c r="J11304" s="396">
        <f>SUM(J11302:J11303)</f>
        <v>0</v>
      </c>
    </row>
    <row r="11305" spans="1:10" ht="13" hidden="1">
      <c r="A11305" s="27"/>
      <c r="B11305" s="110"/>
      <c r="D11305" s="444" t="s">
        <v>68</v>
      </c>
      <c r="E11305" s="445" t="s">
        <v>69</v>
      </c>
      <c r="F11305" s="446"/>
      <c r="G11305" s="447"/>
      <c r="H11305" s="448"/>
      <c r="I11305" s="449">
        <f>IF(AND(E11305&lt;&gt;"",G11305&lt;&gt;""),IF(D11305="",IF(G11305="OH",VLOOKUP(E11305,UPAH!$C$4:$H$31,7,0),VLOOKUP(E11305,#REF!,4,0)),0),0)</f>
        <v>0</v>
      </c>
      <c r="J11305" s="16" t="e">
        <f>SUM(J11294:J11304)/2</f>
        <v>#VALUE!</v>
      </c>
    </row>
    <row r="11306" spans="1:10" ht="13.5" hidden="1" thickBot="1">
      <c r="A11306" s="27"/>
      <c r="B11306" s="110"/>
      <c r="D11306" s="478" t="s">
        <v>70</v>
      </c>
      <c r="E11306" s="479" t="s">
        <v>477</v>
      </c>
      <c r="F11306" s="480"/>
      <c r="G11306" s="481"/>
      <c r="H11306" s="512">
        <v>0.1</v>
      </c>
      <c r="I11306" s="483"/>
      <c r="J11306" s="465" t="e">
        <f>H11306*J11305</f>
        <v>#VALUE!</v>
      </c>
    </row>
    <row r="11307" spans="1:10" ht="13.5" hidden="1" thickBot="1">
      <c r="A11307" s="27"/>
      <c r="B11307" s="110"/>
      <c r="D11307" s="401" t="s">
        <v>71</v>
      </c>
      <c r="E11307" s="402" t="s">
        <v>72</v>
      </c>
      <c r="F11307" s="418"/>
      <c r="G11307" s="419"/>
      <c r="H11307" s="442"/>
      <c r="I11307" s="421">
        <f>IF(AND(E11307&lt;&gt;"",G11307&lt;&gt;""),IF(D11307="",IF(G11307="OH",VLOOKUP(E11307,UPAH!$C$4:$H$31,7,0),VLOOKUP(E11307,#REF!,4,0)),0),0)</f>
        <v>0</v>
      </c>
      <c r="J11307" s="396" t="e">
        <f>ROUNDDOWN(J11305+J11306,0)</f>
        <v>#VALUE!</v>
      </c>
    </row>
    <row r="11308" spans="1:10" ht="13" hidden="1">
      <c r="A11308" s="27"/>
      <c r="B11308" s="110"/>
      <c r="D11308" s="11"/>
      <c r="E11308" s="11"/>
      <c r="H11308" s="443"/>
      <c r="I11308" s="17"/>
      <c r="J11308" s="18"/>
    </row>
    <row r="11309" spans="1:10" ht="13" hidden="1">
      <c r="A11309" s="27"/>
      <c r="B11309" s="110"/>
      <c r="C11309" s="11" t="s">
        <v>1717</v>
      </c>
      <c r="D11309" s="10" t="s">
        <v>7</v>
      </c>
      <c r="H11309" s="443"/>
    </row>
    <row r="11310" spans="1:10" ht="13.5" hidden="1" thickBot="1">
      <c r="A11310" s="27"/>
      <c r="B11310" s="110"/>
      <c r="D11310" s="401" t="s">
        <v>40</v>
      </c>
      <c r="E11310" s="402" t="s">
        <v>41</v>
      </c>
      <c r="F11310" s="402" t="s">
        <v>42</v>
      </c>
      <c r="G11310" s="403" t="s">
        <v>43</v>
      </c>
      <c r="H11310" s="404" t="s">
        <v>44</v>
      </c>
      <c r="I11310" s="402" t="s">
        <v>474</v>
      </c>
      <c r="J11310" s="405" t="s">
        <v>475</v>
      </c>
    </row>
    <row r="11311" spans="1:10" ht="13" hidden="1">
      <c r="A11311" s="27"/>
      <c r="B11311" s="110"/>
      <c r="D11311" s="444" t="s">
        <v>45</v>
      </c>
      <c r="E11311" s="445" t="s">
        <v>46</v>
      </c>
      <c r="F11311" s="446"/>
      <c r="G11311" s="447"/>
      <c r="H11311" s="448"/>
      <c r="I11311" s="449"/>
      <c r="J11311" s="450"/>
    </row>
    <row r="11312" spans="1:10" ht="13" hidden="1">
      <c r="A11312" s="27"/>
      <c r="B11312" s="110"/>
      <c r="D11312" s="409"/>
      <c r="E11312" s="13" t="s">
        <v>47</v>
      </c>
      <c r="F11312" s="13" t="s">
        <v>1918</v>
      </c>
      <c r="G11312" s="410" t="s">
        <v>48</v>
      </c>
      <c r="H11312" s="411">
        <v>3</v>
      </c>
      <c r="I11312" s="412">
        <f>IF(AND(E11312&lt;&gt;"",G11312&lt;&gt;""),IF(D11312="",IF(G11312="OH",VLOOKUP(F11312,UPAH!$B$4:$H$101,7,0),VLOOKUP(F11312,#REF!,4,0)),0),0)</f>
        <v>0</v>
      </c>
      <c r="J11312" s="16">
        <f>H11312*I11312</f>
        <v>0</v>
      </c>
    </row>
    <row r="11313" spans="1:10" ht="13" hidden="1">
      <c r="A11313" s="27"/>
      <c r="B11313" s="110"/>
      <c r="D11313" s="409"/>
      <c r="E11313" s="13" t="s">
        <v>283</v>
      </c>
      <c r="F11313" s="13" t="s">
        <v>1913</v>
      </c>
      <c r="G11313" s="410" t="s">
        <v>48</v>
      </c>
      <c r="H11313" s="411">
        <v>1.5</v>
      </c>
      <c r="I11313" s="412">
        <f>IF(AND(E11313&lt;&gt;"",G11313&lt;&gt;""),IF(D11313="",IF(G11313="OH",VLOOKUP(F11313,UPAH!$B$4:$H$101,7,0),VLOOKUP(F11313,#REF!,4,0)),0),0)</f>
        <v>0</v>
      </c>
      <c r="J11313" s="16">
        <f>H11313*I11313</f>
        <v>0</v>
      </c>
    </row>
    <row r="11314" spans="1:10" ht="13" hidden="1">
      <c r="A11314" s="27"/>
      <c r="B11314" s="110"/>
      <c r="D11314" s="409"/>
      <c r="E11314" s="13" t="s">
        <v>51</v>
      </c>
      <c r="F11314" s="13" t="s">
        <v>1929</v>
      </c>
      <c r="G11314" s="410" t="s">
        <v>48</v>
      </c>
      <c r="H11314" s="411">
        <v>0.3</v>
      </c>
      <c r="I11314" s="412">
        <f>IF(AND(E11314&lt;&gt;"",G11314&lt;&gt;""),IF(D11314="",IF(G11314="OH",VLOOKUP(F11314,UPAH!$B$4:$H$101,7,0),VLOOKUP(F11314,#REF!,4,0)),0),0)</f>
        <v>0</v>
      </c>
      <c r="J11314" s="16">
        <f>H11314*I11314</f>
        <v>0</v>
      </c>
    </row>
    <row r="11315" spans="1:10" ht="13.5" hidden="1" thickBot="1">
      <c r="A11315" s="27"/>
      <c r="B11315" s="110"/>
      <c r="D11315" s="417"/>
      <c r="E11315" s="418"/>
      <c r="F11315" s="418"/>
      <c r="G11315" s="419"/>
      <c r="H11315" s="420" t="s">
        <v>52</v>
      </c>
      <c r="I11315" s="421"/>
      <c r="J11315" s="396">
        <f>SUM(J11311:J11314)</f>
        <v>0</v>
      </c>
    </row>
    <row r="11316" spans="1:10" ht="13" hidden="1">
      <c r="A11316" s="27"/>
      <c r="B11316" s="110"/>
      <c r="D11316" s="406" t="s">
        <v>53</v>
      </c>
      <c r="E11316" s="13" t="s">
        <v>54</v>
      </c>
      <c r="F11316" s="14"/>
      <c r="G11316" s="15"/>
      <c r="H11316" s="451"/>
      <c r="I11316" s="412"/>
      <c r="J11316" s="16"/>
    </row>
    <row r="11317" spans="1:10" ht="13" hidden="1">
      <c r="A11317" s="27"/>
      <c r="B11317" s="110"/>
      <c r="D11317" s="409"/>
      <c r="E11317" s="13" t="s">
        <v>1088</v>
      </c>
      <c r="F11317" s="14"/>
      <c r="G11317" s="410" t="s">
        <v>259</v>
      </c>
      <c r="H11317" s="411">
        <v>1</v>
      </c>
      <c r="I11317" s="412" t="s">
        <v>3187</v>
      </c>
      <c r="J11317" s="16" t="e">
        <f>H11317*I11317</f>
        <v>#VALUE!</v>
      </c>
    </row>
    <row r="11318" spans="1:10" ht="13.5" hidden="1" thickBot="1">
      <c r="A11318" s="27"/>
      <c r="B11318" s="110"/>
      <c r="D11318" s="417"/>
      <c r="E11318" s="418"/>
      <c r="F11318" s="418"/>
      <c r="G11318" s="419"/>
      <c r="H11318" s="420" t="s">
        <v>64</v>
      </c>
      <c r="I11318" s="421"/>
      <c r="J11318" s="396" t="e">
        <f>SUM(J11317)</f>
        <v>#VALUE!</v>
      </c>
    </row>
    <row r="11319" spans="1:10" ht="13" hidden="1">
      <c r="A11319" s="27"/>
      <c r="B11319" s="110"/>
      <c r="D11319" s="406" t="s">
        <v>65</v>
      </c>
      <c r="E11319" s="13" t="s">
        <v>66</v>
      </c>
      <c r="F11319" s="14"/>
      <c r="G11319" s="15"/>
      <c r="H11319" s="451"/>
      <c r="I11319" s="412"/>
      <c r="J11319" s="16"/>
    </row>
    <row r="11320" spans="1:10" ht="13" hidden="1">
      <c r="A11320" s="27"/>
      <c r="B11320" s="110"/>
      <c r="D11320" s="409"/>
      <c r="E11320" s="13" t="s">
        <v>446</v>
      </c>
      <c r="F11320" s="14"/>
      <c r="G11320" s="410" t="s">
        <v>285</v>
      </c>
      <c r="H11320" s="411">
        <v>1</v>
      </c>
      <c r="I11320" s="412">
        <f>Alat!H102</f>
        <v>0</v>
      </c>
      <c r="J11320" s="16">
        <f>H11320*I11320</f>
        <v>0</v>
      </c>
    </row>
    <row r="11321" spans="1:10" ht="13" hidden="1">
      <c r="A11321" s="27"/>
      <c r="B11321" s="110"/>
      <c r="D11321" s="409"/>
      <c r="E11321" s="13" t="s">
        <v>404</v>
      </c>
      <c r="F11321" s="14"/>
      <c r="G11321" s="410" t="s">
        <v>285</v>
      </c>
      <c r="H11321" s="411">
        <v>1</v>
      </c>
      <c r="I11321" s="412">
        <f>Alat!H27</f>
        <v>0</v>
      </c>
      <c r="J11321" s="16">
        <f>H11321*I11321</f>
        <v>0</v>
      </c>
    </row>
    <row r="11322" spans="1:10" ht="13.5" hidden="1" thickBot="1">
      <c r="A11322" s="27"/>
      <c r="B11322" s="110"/>
      <c r="D11322" s="417"/>
      <c r="E11322" s="418"/>
      <c r="F11322" s="418"/>
      <c r="G11322" s="419"/>
      <c r="H11322" s="420" t="s">
        <v>67</v>
      </c>
      <c r="I11322" s="421"/>
      <c r="J11322" s="396">
        <f>SUM(J11320:J11321)</f>
        <v>0</v>
      </c>
    </row>
    <row r="11323" spans="1:10" ht="13" hidden="1">
      <c r="A11323" s="27"/>
      <c r="B11323" s="110"/>
      <c r="D11323" s="444" t="s">
        <v>68</v>
      </c>
      <c r="E11323" s="445" t="s">
        <v>69</v>
      </c>
      <c r="F11323" s="446"/>
      <c r="G11323" s="447"/>
      <c r="H11323" s="448"/>
      <c r="I11323" s="449">
        <f>IF(AND(E11323&lt;&gt;"",G11323&lt;&gt;""),IF(D11323="",IF(G11323="OH",VLOOKUP(E11323,UPAH!$C$4:$H$31,7,0),VLOOKUP(E11323,#REF!,4,0)),0),0)</f>
        <v>0</v>
      </c>
      <c r="J11323" s="16" t="e">
        <f>SUM(J11312:J11322)/2</f>
        <v>#VALUE!</v>
      </c>
    </row>
    <row r="11324" spans="1:10" ht="13" hidden="1">
      <c r="A11324" s="27"/>
      <c r="B11324" s="110"/>
      <c r="D11324" s="431" t="s">
        <v>70</v>
      </c>
      <c r="E11324" s="432" t="s">
        <v>477</v>
      </c>
      <c r="F11324" s="433"/>
      <c r="G11324" s="434"/>
      <c r="H11324" s="22">
        <v>0.1</v>
      </c>
      <c r="I11324" s="436"/>
      <c r="J11324" s="430" t="e">
        <f>H11324*J11323</f>
        <v>#VALUE!</v>
      </c>
    </row>
    <row r="11325" spans="1:10" ht="13.5" hidden="1" thickBot="1">
      <c r="A11325" s="27"/>
      <c r="B11325" s="110"/>
      <c r="D11325" s="401" t="s">
        <v>71</v>
      </c>
      <c r="E11325" s="402" t="s">
        <v>72</v>
      </c>
      <c r="F11325" s="418"/>
      <c r="G11325" s="419"/>
      <c r="H11325" s="442"/>
      <c r="I11325" s="421">
        <f>IF(AND(E11325&lt;&gt;"",G11325&lt;&gt;""),IF(D11325="",IF(G11325="OH",VLOOKUP(E11325,UPAH!$C$4:$H$31,7,0),VLOOKUP(E11325,#REF!,4,0)),0),0)</f>
        <v>0</v>
      </c>
      <c r="J11325" s="396" t="e">
        <f>ROUNDDOWN(J11323+J11324,0)</f>
        <v>#VALUE!</v>
      </c>
    </row>
    <row r="11326" spans="1:10" ht="13" hidden="1">
      <c r="A11326" s="27"/>
      <c r="B11326" s="110"/>
      <c r="D11326" s="11"/>
      <c r="E11326" s="11"/>
      <c r="H11326" s="443"/>
      <c r="I11326" s="17"/>
      <c r="J11326" s="18"/>
    </row>
    <row r="11327" spans="1:10" ht="13" hidden="1">
      <c r="A11327" s="27"/>
      <c r="B11327" s="110"/>
      <c r="C11327" s="11" t="s">
        <v>1716</v>
      </c>
      <c r="D11327" s="10" t="s">
        <v>8</v>
      </c>
      <c r="H11327" s="443"/>
    </row>
    <row r="11328" spans="1:10" ht="13.5" hidden="1" thickBot="1">
      <c r="A11328" s="27"/>
      <c r="B11328" s="110"/>
      <c r="D11328" s="401" t="s">
        <v>40</v>
      </c>
      <c r="E11328" s="402" t="s">
        <v>41</v>
      </c>
      <c r="F11328" s="402" t="s">
        <v>42</v>
      </c>
      <c r="G11328" s="403" t="s">
        <v>43</v>
      </c>
      <c r="H11328" s="404" t="s">
        <v>44</v>
      </c>
      <c r="I11328" s="402" t="s">
        <v>474</v>
      </c>
      <c r="J11328" s="405" t="s">
        <v>475</v>
      </c>
    </row>
    <row r="11329" spans="1:10" ht="13" hidden="1">
      <c r="A11329" s="27"/>
      <c r="B11329" s="110"/>
      <c r="D11329" s="444" t="s">
        <v>45</v>
      </c>
      <c r="E11329" s="445" t="s">
        <v>46</v>
      </c>
      <c r="F11329" s="446"/>
      <c r="G11329" s="447"/>
      <c r="H11329" s="448"/>
      <c r="I11329" s="449"/>
      <c r="J11329" s="450"/>
    </row>
    <row r="11330" spans="1:10" ht="13" hidden="1">
      <c r="A11330" s="27"/>
      <c r="B11330" s="110"/>
      <c r="D11330" s="409"/>
      <c r="E11330" s="13" t="s">
        <v>47</v>
      </c>
      <c r="F11330" s="13" t="s">
        <v>1918</v>
      </c>
      <c r="G11330" s="410" t="s">
        <v>48</v>
      </c>
      <c r="H11330" s="411">
        <v>3</v>
      </c>
      <c r="I11330" s="412">
        <f>IF(AND(E11330&lt;&gt;"",G11330&lt;&gt;""),IF(D11330="",IF(G11330="OH",VLOOKUP(F11330,UPAH!$B$4:$H$101,7,0),VLOOKUP(F11330,#REF!,4,0)),0),0)</f>
        <v>0</v>
      </c>
      <c r="J11330" s="16">
        <f>H11330*I11330</f>
        <v>0</v>
      </c>
    </row>
    <row r="11331" spans="1:10" ht="13" hidden="1">
      <c r="A11331" s="27"/>
      <c r="B11331" s="110"/>
      <c r="D11331" s="409"/>
      <c r="E11331" s="13" t="s">
        <v>283</v>
      </c>
      <c r="F11331" s="13" t="s">
        <v>1913</v>
      </c>
      <c r="G11331" s="410" t="s">
        <v>48</v>
      </c>
      <c r="H11331" s="411">
        <v>1.5</v>
      </c>
      <c r="I11331" s="412">
        <f>IF(AND(E11331&lt;&gt;"",G11331&lt;&gt;""),IF(D11331="",IF(G11331="OH",VLOOKUP(F11331,UPAH!$B$4:$H$101,7,0),VLOOKUP(F11331,#REF!,4,0)),0),0)</f>
        <v>0</v>
      </c>
      <c r="J11331" s="16">
        <f>H11331*I11331</f>
        <v>0</v>
      </c>
    </row>
    <row r="11332" spans="1:10" ht="13" hidden="1">
      <c r="A11332" s="27"/>
      <c r="B11332" s="110"/>
      <c r="D11332" s="409"/>
      <c r="E11332" s="13" t="s">
        <v>51</v>
      </c>
      <c r="F11332" s="13" t="s">
        <v>1929</v>
      </c>
      <c r="G11332" s="410" t="s">
        <v>48</v>
      </c>
      <c r="H11332" s="411">
        <v>0.3</v>
      </c>
      <c r="I11332" s="412">
        <f>IF(AND(E11332&lt;&gt;"",G11332&lt;&gt;""),IF(D11332="",IF(G11332="OH",VLOOKUP(F11332,UPAH!$B$4:$H$101,7,0),VLOOKUP(F11332,#REF!,4,0)),0),0)</f>
        <v>0</v>
      </c>
      <c r="J11332" s="16">
        <f>H11332*I11332</f>
        <v>0</v>
      </c>
    </row>
    <row r="11333" spans="1:10" ht="13.5" hidden="1" thickBot="1">
      <c r="A11333" s="27"/>
      <c r="B11333" s="110"/>
      <c r="D11333" s="417"/>
      <c r="E11333" s="418"/>
      <c r="F11333" s="418"/>
      <c r="G11333" s="419"/>
      <c r="H11333" s="420" t="s">
        <v>52</v>
      </c>
      <c r="I11333" s="421"/>
      <c r="J11333" s="396">
        <f>SUM(J11329:J11332)</f>
        <v>0</v>
      </c>
    </row>
    <row r="11334" spans="1:10" ht="13" hidden="1">
      <c r="A11334" s="27"/>
      <c r="B11334" s="110"/>
      <c r="D11334" s="406" t="s">
        <v>53</v>
      </c>
      <c r="E11334" s="13" t="s">
        <v>54</v>
      </c>
      <c r="F11334" s="14"/>
      <c r="G11334" s="15"/>
      <c r="H11334" s="451"/>
      <c r="I11334" s="412"/>
      <c r="J11334" s="16"/>
    </row>
    <row r="11335" spans="1:10" ht="13" hidden="1">
      <c r="A11335" s="27"/>
      <c r="B11335" s="110"/>
      <c r="D11335" s="409"/>
      <c r="E11335" s="13" t="s">
        <v>1089</v>
      </c>
      <c r="F11335" s="14"/>
      <c r="G11335" s="410" t="s">
        <v>259</v>
      </c>
      <c r="H11335" s="411">
        <v>1</v>
      </c>
      <c r="I11335" s="412" t="s">
        <v>3187</v>
      </c>
      <c r="J11335" s="16" t="e">
        <f>H11335*I11335</f>
        <v>#VALUE!</v>
      </c>
    </row>
    <row r="11336" spans="1:10" ht="13.5" hidden="1" thickBot="1">
      <c r="A11336" s="27"/>
      <c r="B11336" s="110"/>
      <c r="D11336" s="417"/>
      <c r="E11336" s="418"/>
      <c r="F11336" s="418"/>
      <c r="G11336" s="419"/>
      <c r="H11336" s="420" t="s">
        <v>64</v>
      </c>
      <c r="I11336" s="421"/>
      <c r="J11336" s="396" t="e">
        <f>SUM(J11335)</f>
        <v>#VALUE!</v>
      </c>
    </row>
    <row r="11337" spans="1:10" ht="13" hidden="1">
      <c r="A11337" s="27"/>
      <c r="B11337" s="110"/>
      <c r="D11337" s="406" t="s">
        <v>65</v>
      </c>
      <c r="E11337" s="13" t="s">
        <v>66</v>
      </c>
      <c r="F11337" s="14"/>
      <c r="G11337" s="15"/>
      <c r="H11337" s="451"/>
      <c r="I11337" s="412"/>
      <c r="J11337" s="16"/>
    </row>
    <row r="11338" spans="1:10" ht="13" hidden="1">
      <c r="A11338" s="27"/>
      <c r="B11338" s="110"/>
      <c r="D11338" s="409"/>
      <c r="E11338" s="13" t="s">
        <v>446</v>
      </c>
      <c r="F11338" s="14"/>
      <c r="G11338" s="410" t="s">
        <v>285</v>
      </c>
      <c r="H11338" s="411">
        <v>1</v>
      </c>
      <c r="I11338" s="412">
        <f>Alat!H102</f>
        <v>0</v>
      </c>
      <c r="J11338" s="16">
        <f>H11338*I11338</f>
        <v>0</v>
      </c>
    </row>
    <row r="11339" spans="1:10" ht="13" hidden="1">
      <c r="A11339" s="27"/>
      <c r="B11339" s="110"/>
      <c r="D11339" s="409"/>
      <c r="E11339" s="13" t="s">
        <v>404</v>
      </c>
      <c r="F11339" s="14"/>
      <c r="G11339" s="410" t="s">
        <v>285</v>
      </c>
      <c r="H11339" s="411">
        <v>1</v>
      </c>
      <c r="I11339" s="412">
        <f>Alat!H27</f>
        <v>0</v>
      </c>
      <c r="J11339" s="16">
        <f>H11339*I11339</f>
        <v>0</v>
      </c>
    </row>
    <row r="11340" spans="1:10" ht="13.5" hidden="1" thickBot="1">
      <c r="A11340" s="27"/>
      <c r="B11340" s="110"/>
      <c r="D11340" s="417"/>
      <c r="E11340" s="418"/>
      <c r="F11340" s="418"/>
      <c r="G11340" s="419"/>
      <c r="H11340" s="420" t="s">
        <v>67</v>
      </c>
      <c r="I11340" s="421"/>
      <c r="J11340" s="396">
        <f>SUM(J11338:J11339)</f>
        <v>0</v>
      </c>
    </row>
    <row r="11341" spans="1:10" ht="13" hidden="1">
      <c r="A11341" s="27"/>
      <c r="B11341" s="110"/>
      <c r="D11341" s="444" t="s">
        <v>68</v>
      </c>
      <c r="E11341" s="445" t="s">
        <v>69</v>
      </c>
      <c r="F11341" s="446"/>
      <c r="G11341" s="447"/>
      <c r="H11341" s="448"/>
      <c r="I11341" s="449">
        <f>IF(AND(E11341&lt;&gt;"",G11341&lt;&gt;""),IF(D11341="",IF(G11341="OH",VLOOKUP(E11341,UPAH!$C$4:$H$31,7,0),VLOOKUP(E11341,#REF!,4,0)),0),0)</f>
        <v>0</v>
      </c>
      <c r="J11341" s="16" t="e">
        <f>SUM(J11330:J11340)/2</f>
        <v>#VALUE!</v>
      </c>
    </row>
    <row r="11342" spans="1:10" ht="13" hidden="1">
      <c r="A11342" s="27"/>
      <c r="B11342" s="110"/>
      <c r="D11342" s="431" t="s">
        <v>70</v>
      </c>
      <c r="E11342" s="432" t="s">
        <v>477</v>
      </c>
      <c r="F11342" s="433"/>
      <c r="G11342" s="434"/>
      <c r="H11342" s="22">
        <v>0.1</v>
      </c>
      <c r="I11342" s="436"/>
      <c r="J11342" s="430" t="e">
        <f>H11342*J11341</f>
        <v>#VALUE!</v>
      </c>
    </row>
    <row r="11343" spans="1:10" ht="13.5" hidden="1" thickBot="1">
      <c r="A11343" s="27"/>
      <c r="B11343" s="110"/>
      <c r="D11343" s="401" t="s">
        <v>71</v>
      </c>
      <c r="E11343" s="402" t="s">
        <v>72</v>
      </c>
      <c r="F11343" s="418"/>
      <c r="G11343" s="419"/>
      <c r="H11343" s="442"/>
      <c r="I11343" s="421">
        <f>IF(AND(E11343&lt;&gt;"",G11343&lt;&gt;""),IF(D11343="",IF(G11343="OH",VLOOKUP(E11343,UPAH!$C$4:$H$31,7,0),VLOOKUP(E11343,#REF!,4,0)),0),0)</f>
        <v>0</v>
      </c>
      <c r="J11343" s="396" t="e">
        <f>ROUNDDOWN(J11341+J11342,0)</f>
        <v>#VALUE!</v>
      </c>
    </row>
    <row r="11344" spans="1:10" ht="13" hidden="1">
      <c r="A11344" s="27"/>
      <c r="B11344" s="110"/>
      <c r="D11344" s="11"/>
      <c r="E11344" s="11"/>
      <c r="H11344" s="443"/>
      <c r="I11344" s="17"/>
      <c r="J11344" s="18"/>
    </row>
    <row r="11345" spans="1:10" ht="13.5" thickBot="1">
      <c r="A11345" s="27"/>
      <c r="B11345" s="110"/>
      <c r="C11345" s="11" t="s">
        <v>1715</v>
      </c>
      <c r="D11345" s="10" t="s">
        <v>9</v>
      </c>
      <c r="H11345" s="443"/>
    </row>
    <row r="11346" spans="1:10" ht="13.5" thickBot="1">
      <c r="A11346" s="27"/>
      <c r="B11346" s="110"/>
      <c r="D11346" s="401" t="s">
        <v>40</v>
      </c>
      <c r="E11346" s="402" t="s">
        <v>41</v>
      </c>
      <c r="F11346" s="402" t="s">
        <v>42</v>
      </c>
      <c r="G11346" s="403" t="s">
        <v>43</v>
      </c>
      <c r="H11346" s="404" t="s">
        <v>44</v>
      </c>
      <c r="I11346" s="402" t="s">
        <v>474</v>
      </c>
      <c r="J11346" s="405" t="s">
        <v>475</v>
      </c>
    </row>
    <row r="11347" spans="1:10" ht="13">
      <c r="A11347" s="27"/>
      <c r="B11347" s="110"/>
      <c r="D11347" s="444" t="s">
        <v>45</v>
      </c>
      <c r="E11347" s="445" t="s">
        <v>46</v>
      </c>
      <c r="F11347" s="446"/>
      <c r="G11347" s="447"/>
      <c r="H11347" s="448"/>
      <c r="I11347" s="449"/>
      <c r="J11347" s="450"/>
    </row>
    <row r="11348" spans="1:10" ht="13">
      <c r="A11348" s="27"/>
      <c r="B11348" s="110"/>
      <c r="D11348" s="409"/>
      <c r="E11348" s="13" t="s">
        <v>47</v>
      </c>
      <c r="F11348" s="13" t="s">
        <v>1918</v>
      </c>
      <c r="G11348" s="410" t="s">
        <v>48</v>
      </c>
      <c r="H11348" s="411">
        <v>0.106</v>
      </c>
      <c r="I11348" s="412">
        <f>IF(AND(E11348&lt;&gt;"",G11348&lt;&gt;""),IF(D11348="",IF(G11348="OH",VLOOKUP(F11348,UPAH!$B$4:$H$101,7,0),VLOOKUP(F11348,#REF!,4,0)),0),0)</f>
        <v>0</v>
      </c>
      <c r="J11348" s="16">
        <f>H11348*I11348</f>
        <v>0</v>
      </c>
    </row>
    <row r="11349" spans="1:10" ht="13">
      <c r="A11349" s="27"/>
      <c r="B11349" s="110"/>
      <c r="D11349" s="409"/>
      <c r="E11349" s="13" t="s">
        <v>283</v>
      </c>
      <c r="F11349" s="13" t="s">
        <v>1913</v>
      </c>
      <c r="G11349" s="410" t="s">
        <v>48</v>
      </c>
      <c r="H11349" s="411">
        <v>5.2999999999999999E-2</v>
      </c>
      <c r="I11349" s="412">
        <f>IF(AND(E11349&lt;&gt;"",G11349&lt;&gt;""),IF(D11349="",IF(G11349="OH",VLOOKUP(F11349,UPAH!$B$4:$H$101,7,0),VLOOKUP(F11349,#REF!,4,0)),0),0)</f>
        <v>0</v>
      </c>
      <c r="J11349" s="16">
        <f>H11349*I11349</f>
        <v>0</v>
      </c>
    </row>
    <row r="11350" spans="1:10" ht="13.5" thickBot="1">
      <c r="A11350" s="27"/>
      <c r="B11350" s="110"/>
      <c r="D11350" s="409"/>
      <c r="E11350" s="13" t="s">
        <v>51</v>
      </c>
      <c r="F11350" s="13" t="s">
        <v>1929</v>
      </c>
      <c r="G11350" s="410" t="s">
        <v>48</v>
      </c>
      <c r="H11350" s="411">
        <v>1.0999999999999999E-2</v>
      </c>
      <c r="I11350" s="412">
        <f>IF(AND(E11350&lt;&gt;"",G11350&lt;&gt;""),IF(D11350="",IF(G11350="OH",VLOOKUP(F11350,UPAH!$B$4:$H$101,7,0),VLOOKUP(F11350,#REF!,4,0)),0),0)</f>
        <v>0</v>
      </c>
      <c r="J11350" s="16">
        <f>H11350*I11350</f>
        <v>0</v>
      </c>
    </row>
    <row r="11351" spans="1:10" ht="13.5" thickBot="1">
      <c r="A11351" s="27"/>
      <c r="B11351" s="110"/>
      <c r="D11351" s="417"/>
      <c r="E11351" s="418"/>
      <c r="F11351" s="418"/>
      <c r="G11351" s="419"/>
      <c r="H11351" s="420" t="s">
        <v>52</v>
      </c>
      <c r="I11351" s="421"/>
      <c r="J11351" s="396">
        <f>SUM(J11347:J11350)</f>
        <v>0</v>
      </c>
    </row>
    <row r="11352" spans="1:10" ht="13">
      <c r="A11352" s="27"/>
      <c r="B11352" s="110"/>
      <c r="D11352" s="406" t="s">
        <v>53</v>
      </c>
      <c r="E11352" s="13" t="s">
        <v>54</v>
      </c>
      <c r="F11352" s="14"/>
      <c r="G11352" s="15"/>
      <c r="H11352" s="451"/>
      <c r="I11352" s="412"/>
      <c r="J11352" s="16"/>
    </row>
    <row r="11353" spans="1:10" ht="13.5" thickBot="1">
      <c r="A11353" s="27"/>
      <c r="B11353" s="110"/>
      <c r="D11353" s="409"/>
      <c r="E11353" s="13" t="s">
        <v>1090</v>
      </c>
      <c r="F11353" s="14"/>
      <c r="G11353" s="410" t="s">
        <v>259</v>
      </c>
      <c r="H11353" s="411">
        <v>1</v>
      </c>
      <c r="I11353" s="412">
        <f>'BAHAN '!G633</f>
        <v>0</v>
      </c>
      <c r="J11353" s="16">
        <f>H11353*I11353</f>
        <v>0</v>
      </c>
    </row>
    <row r="11354" spans="1:10" ht="13.5" thickBot="1">
      <c r="A11354" s="27"/>
      <c r="B11354" s="110"/>
      <c r="D11354" s="417"/>
      <c r="E11354" s="418"/>
      <c r="F11354" s="418"/>
      <c r="G11354" s="419"/>
      <c r="H11354" s="420" t="s">
        <v>64</v>
      </c>
      <c r="I11354" s="421"/>
      <c r="J11354" s="396">
        <f>SUM(J11353)</f>
        <v>0</v>
      </c>
    </row>
    <row r="11355" spans="1:10" ht="13">
      <c r="A11355" s="27"/>
      <c r="B11355" s="110"/>
      <c r="D11355" s="406" t="s">
        <v>65</v>
      </c>
      <c r="E11355" s="13" t="s">
        <v>66</v>
      </c>
      <c r="F11355" s="14"/>
      <c r="G11355" s="15"/>
      <c r="H11355" s="451"/>
      <c r="I11355" s="412"/>
      <c r="J11355" s="16"/>
    </row>
    <row r="11356" spans="1:10" ht="13.5" thickBot="1">
      <c r="A11356" s="27"/>
      <c r="B11356" s="110"/>
      <c r="D11356" s="409"/>
      <c r="E11356" s="13" t="s">
        <v>446</v>
      </c>
      <c r="F11356" s="14"/>
      <c r="G11356" s="410" t="s">
        <v>285</v>
      </c>
      <c r="H11356" s="411">
        <v>2.8000000000000001E-2</v>
      </c>
      <c r="I11356" s="412">
        <f>Alat!H102</f>
        <v>0</v>
      </c>
      <c r="J11356" s="16">
        <f>H11356*I11356</f>
        <v>0</v>
      </c>
    </row>
    <row r="11357" spans="1:10" ht="13.5" thickBot="1">
      <c r="A11357" s="27"/>
      <c r="B11357" s="110"/>
      <c r="D11357" s="417"/>
      <c r="E11357" s="418"/>
      <c r="F11357" s="418"/>
      <c r="G11357" s="419"/>
      <c r="H11357" s="420" t="s">
        <v>67</v>
      </c>
      <c r="I11357" s="421"/>
      <c r="J11357" s="396">
        <f>J11356</f>
        <v>0</v>
      </c>
    </row>
    <row r="11358" spans="1:10" ht="13">
      <c r="A11358" s="27"/>
      <c r="B11358" s="110"/>
      <c r="D11358" s="444" t="s">
        <v>68</v>
      </c>
      <c r="E11358" s="445" t="s">
        <v>69</v>
      </c>
      <c r="F11358" s="446"/>
      <c r="G11358" s="447"/>
      <c r="H11358" s="448"/>
      <c r="I11358" s="449">
        <f>IF(AND(E11358&lt;&gt;"",G11358&lt;&gt;""),IF(D11358="",IF(G11358="OH",VLOOKUP(E11358,UPAH!$C$4:$H$31,7,0),VLOOKUP(E11358,#REF!,4,0)),0),0)</f>
        <v>0</v>
      </c>
      <c r="J11358" s="16">
        <f>SUM(J11347:J11357)/2</f>
        <v>0</v>
      </c>
    </row>
    <row r="11359" spans="1:10" ht="13.5" thickBot="1">
      <c r="A11359" s="27"/>
      <c r="B11359" s="110"/>
      <c r="D11359" s="431" t="s">
        <v>70</v>
      </c>
      <c r="E11359" s="432" t="s">
        <v>477</v>
      </c>
      <c r="F11359" s="433"/>
      <c r="G11359" s="434"/>
      <c r="H11359" s="22">
        <v>0.1</v>
      </c>
      <c r="I11359" s="436"/>
      <c r="J11359" s="430">
        <f>H11359*J11358</f>
        <v>0</v>
      </c>
    </row>
    <row r="11360" spans="1:10" ht="13.5" thickBot="1">
      <c r="A11360" s="27"/>
      <c r="B11360" s="110"/>
      <c r="D11360" s="401" t="s">
        <v>71</v>
      </c>
      <c r="E11360" s="402" t="s">
        <v>72</v>
      </c>
      <c r="F11360" s="418"/>
      <c r="G11360" s="419"/>
      <c r="H11360" s="442"/>
      <c r="I11360" s="421">
        <f>IF(AND(E11360&lt;&gt;"",G11360&lt;&gt;""),IF(D11360="",IF(G11360="OH",VLOOKUP(E11360,UPAH!$C$4:$H$31,7,0),VLOOKUP(E11360,#REF!,4,0)),0),0)</f>
        <v>0</v>
      </c>
      <c r="J11360" s="396">
        <f>ROUNDDOWN(J11358+J11359,0)</f>
        <v>0</v>
      </c>
    </row>
    <row r="11361" spans="1:10" ht="13">
      <c r="A11361" s="27"/>
      <c r="B11361" s="110"/>
      <c r="D11361" s="11"/>
      <c r="E11361" s="11"/>
      <c r="H11361" s="443"/>
      <c r="I11361" s="17"/>
      <c r="J11361" s="18"/>
    </row>
    <row r="11362" spans="1:10" ht="13.5" thickBot="1">
      <c r="A11362" s="27"/>
      <c r="B11362" s="110"/>
      <c r="C11362" s="11" t="s">
        <v>1714</v>
      </c>
      <c r="D11362" s="10" t="s">
        <v>10</v>
      </c>
      <c r="H11362" s="443"/>
    </row>
    <row r="11363" spans="1:10" ht="13.5" thickBot="1">
      <c r="A11363" s="27"/>
      <c r="B11363" s="110"/>
      <c r="D11363" s="401" t="s">
        <v>40</v>
      </c>
      <c r="E11363" s="402" t="s">
        <v>41</v>
      </c>
      <c r="F11363" s="402" t="s">
        <v>42</v>
      </c>
      <c r="G11363" s="403" t="s">
        <v>43</v>
      </c>
      <c r="H11363" s="404" t="s">
        <v>44</v>
      </c>
      <c r="I11363" s="402" t="s">
        <v>474</v>
      </c>
      <c r="J11363" s="405" t="s">
        <v>475</v>
      </c>
    </row>
    <row r="11364" spans="1:10" ht="13">
      <c r="A11364" s="27"/>
      <c r="B11364" s="110"/>
      <c r="D11364" s="444" t="s">
        <v>45</v>
      </c>
      <c r="E11364" s="445" t="s">
        <v>46</v>
      </c>
      <c r="F11364" s="446"/>
      <c r="G11364" s="447"/>
      <c r="H11364" s="448"/>
      <c r="I11364" s="449"/>
      <c r="J11364" s="450"/>
    </row>
    <row r="11365" spans="1:10" ht="13">
      <c r="A11365" s="27"/>
      <c r="B11365" s="110"/>
      <c r="D11365" s="409"/>
      <c r="E11365" s="13" t="s">
        <v>47</v>
      </c>
      <c r="F11365" s="13" t="s">
        <v>1918</v>
      </c>
      <c r="G11365" s="410" t="s">
        <v>48</v>
      </c>
      <c r="H11365" s="411">
        <v>0.216</v>
      </c>
      <c r="I11365" s="412">
        <f>IF(AND(E11365&lt;&gt;"",G11365&lt;&gt;""),IF(D11365="",IF(G11365="OH",VLOOKUP(F11365,UPAH!$B$4:$H$101,7,0),VLOOKUP(F11365,#REF!,4,0)),0),0)</f>
        <v>0</v>
      </c>
      <c r="J11365" s="16">
        <f>H11365*I11365</f>
        <v>0</v>
      </c>
    </row>
    <row r="11366" spans="1:10" ht="13">
      <c r="A11366" s="27"/>
      <c r="B11366" s="110"/>
      <c r="D11366" s="409"/>
      <c r="E11366" s="13" t="s">
        <v>283</v>
      </c>
      <c r="F11366" s="13" t="s">
        <v>1913</v>
      </c>
      <c r="G11366" s="410" t="s">
        <v>48</v>
      </c>
      <c r="H11366" s="411">
        <v>0.108</v>
      </c>
      <c r="I11366" s="412">
        <f>IF(AND(E11366&lt;&gt;"",G11366&lt;&gt;""),IF(D11366="",IF(G11366="OH",VLOOKUP(F11366,UPAH!$B$4:$H$101,7,0),VLOOKUP(F11366,#REF!,4,0)),0),0)</f>
        <v>0</v>
      </c>
      <c r="J11366" s="16">
        <f>H11366*I11366</f>
        <v>0</v>
      </c>
    </row>
    <row r="11367" spans="1:10" ht="13.5" thickBot="1">
      <c r="A11367" s="27"/>
      <c r="B11367" s="110"/>
      <c r="D11367" s="409"/>
      <c r="E11367" s="13" t="s">
        <v>51</v>
      </c>
      <c r="F11367" s="13" t="s">
        <v>1929</v>
      </c>
      <c r="G11367" s="410" t="s">
        <v>48</v>
      </c>
      <c r="H11367" s="411">
        <v>2.1999999999999999E-2</v>
      </c>
      <c r="I11367" s="412">
        <f>IF(AND(E11367&lt;&gt;"",G11367&lt;&gt;""),IF(D11367="",IF(G11367="OH",VLOOKUP(F11367,UPAH!$B$4:$H$101,7,0),VLOOKUP(F11367,#REF!,4,0)),0),0)</f>
        <v>0</v>
      </c>
      <c r="J11367" s="16">
        <f>H11367*I11367</f>
        <v>0</v>
      </c>
    </row>
    <row r="11368" spans="1:10" ht="13.5" thickBot="1">
      <c r="A11368" s="27"/>
      <c r="B11368" s="110"/>
      <c r="D11368" s="417"/>
      <c r="E11368" s="418"/>
      <c r="F11368" s="418"/>
      <c r="G11368" s="419"/>
      <c r="H11368" s="420" t="s">
        <v>52</v>
      </c>
      <c r="I11368" s="421"/>
      <c r="J11368" s="396">
        <f>SUM(J11364:J11367)</f>
        <v>0</v>
      </c>
    </row>
    <row r="11369" spans="1:10" ht="13">
      <c r="A11369" s="27"/>
      <c r="B11369" s="110"/>
      <c r="D11369" s="406" t="s">
        <v>53</v>
      </c>
      <c r="E11369" s="13" t="s">
        <v>54</v>
      </c>
      <c r="F11369" s="14"/>
      <c r="G11369" s="15"/>
      <c r="H11369" s="451"/>
      <c r="I11369" s="412"/>
      <c r="J11369" s="16"/>
    </row>
    <row r="11370" spans="1:10" ht="13.5" thickBot="1">
      <c r="A11370" s="27"/>
      <c r="B11370" s="110"/>
      <c r="D11370" s="409"/>
      <c r="E11370" s="13" t="s">
        <v>1091</v>
      </c>
      <c r="F11370" s="14"/>
      <c r="G11370" s="410" t="s">
        <v>259</v>
      </c>
      <c r="H11370" s="411">
        <v>1</v>
      </c>
      <c r="I11370" s="412">
        <f>'BAHAN '!G632</f>
        <v>0</v>
      </c>
      <c r="J11370" s="16">
        <f>H11370*I11370</f>
        <v>0</v>
      </c>
    </row>
    <row r="11371" spans="1:10" ht="13.5" thickBot="1">
      <c r="A11371" s="27"/>
      <c r="B11371" s="110"/>
      <c r="D11371" s="417"/>
      <c r="E11371" s="418"/>
      <c r="F11371" s="418"/>
      <c r="G11371" s="419"/>
      <c r="H11371" s="420" t="s">
        <v>64</v>
      </c>
      <c r="I11371" s="421"/>
      <c r="J11371" s="396">
        <f>SUM(J11370)</f>
        <v>0</v>
      </c>
    </row>
    <row r="11372" spans="1:10" ht="13">
      <c r="A11372" s="27"/>
      <c r="B11372" s="110"/>
      <c r="D11372" s="406" t="s">
        <v>65</v>
      </c>
      <c r="E11372" s="13" t="s">
        <v>66</v>
      </c>
      <c r="F11372" s="14"/>
      <c r="G11372" s="15"/>
      <c r="H11372" s="451"/>
      <c r="I11372" s="412"/>
      <c r="J11372" s="16"/>
    </row>
    <row r="11373" spans="1:10" ht="13.5" thickBot="1">
      <c r="A11373" s="27"/>
      <c r="B11373" s="110"/>
      <c r="D11373" s="409"/>
      <c r="E11373" s="13" t="s">
        <v>446</v>
      </c>
      <c r="F11373" s="14"/>
      <c r="G11373" s="410" t="s">
        <v>285</v>
      </c>
      <c r="H11373" s="411">
        <v>2.9000000000000001E-2</v>
      </c>
      <c r="I11373" s="412">
        <f>Alat!H102</f>
        <v>0</v>
      </c>
      <c r="J11373" s="16">
        <f>H11373*I11373</f>
        <v>0</v>
      </c>
    </row>
    <row r="11374" spans="1:10" ht="13.5" thickBot="1">
      <c r="A11374" s="27"/>
      <c r="B11374" s="110"/>
      <c r="D11374" s="417"/>
      <c r="E11374" s="418"/>
      <c r="F11374" s="418"/>
      <c r="G11374" s="419"/>
      <c r="H11374" s="420" t="s">
        <v>67</v>
      </c>
      <c r="I11374" s="421"/>
      <c r="J11374" s="396">
        <f>J11373</f>
        <v>0</v>
      </c>
    </row>
    <row r="11375" spans="1:10" ht="13">
      <c r="A11375" s="27"/>
      <c r="B11375" s="110"/>
      <c r="D11375" s="444" t="s">
        <v>68</v>
      </c>
      <c r="E11375" s="445" t="s">
        <v>69</v>
      </c>
      <c r="F11375" s="446"/>
      <c r="G11375" s="447"/>
      <c r="H11375" s="448"/>
      <c r="I11375" s="449">
        <f>IF(AND(E11375&lt;&gt;"",G11375&lt;&gt;""),IF(D11375="",IF(G11375="OH",VLOOKUP(E11375,UPAH!$C$4:$H$31,7,0),VLOOKUP(E11375,#REF!,4,0)),0),0)</f>
        <v>0</v>
      </c>
      <c r="J11375" s="16">
        <f>SUM(J11364:J11374)/2</f>
        <v>0</v>
      </c>
    </row>
    <row r="11376" spans="1:10" ht="13.5" thickBot="1">
      <c r="A11376" s="27"/>
      <c r="B11376" s="110"/>
      <c r="D11376" s="431" t="s">
        <v>70</v>
      </c>
      <c r="E11376" s="432" t="s">
        <v>477</v>
      </c>
      <c r="F11376" s="433"/>
      <c r="G11376" s="434"/>
      <c r="H11376" s="22">
        <v>0.1</v>
      </c>
      <c r="I11376" s="436"/>
      <c r="J11376" s="430">
        <f>H11376*J11375</f>
        <v>0</v>
      </c>
    </row>
    <row r="11377" spans="1:10" ht="13.5" thickBot="1">
      <c r="A11377" s="27"/>
      <c r="B11377" s="110"/>
      <c r="D11377" s="401" t="s">
        <v>71</v>
      </c>
      <c r="E11377" s="402" t="s">
        <v>72</v>
      </c>
      <c r="F11377" s="418"/>
      <c r="G11377" s="419"/>
      <c r="H11377" s="442"/>
      <c r="I11377" s="421">
        <f>IF(AND(E11377&lt;&gt;"",G11377&lt;&gt;""),IF(D11377="",IF(G11377="OH",VLOOKUP(E11377,UPAH!$C$4:$H$31,7,0),VLOOKUP(E11377,#REF!,4,0)),0),0)</f>
        <v>0</v>
      </c>
      <c r="J11377" s="396">
        <f>ROUNDDOWN(J11375+J11376,0)</f>
        <v>0</v>
      </c>
    </row>
    <row r="11378" spans="1:10" ht="13">
      <c r="A11378" s="27"/>
      <c r="B11378" s="110"/>
      <c r="D11378" s="11"/>
      <c r="E11378" s="11"/>
      <c r="H11378" s="443"/>
      <c r="I11378" s="17"/>
      <c r="J11378" s="18"/>
    </row>
    <row r="11379" spans="1:10" ht="13.5" thickBot="1">
      <c r="A11379" s="27"/>
      <c r="B11379" s="110"/>
      <c r="C11379" s="11" t="s">
        <v>1713</v>
      </c>
      <c r="D11379" s="10" t="s">
        <v>11</v>
      </c>
      <c r="H11379" s="443"/>
    </row>
    <row r="11380" spans="1:10" ht="13.5" thickBot="1">
      <c r="A11380" s="27"/>
      <c r="B11380" s="110"/>
      <c r="D11380" s="401" t="s">
        <v>40</v>
      </c>
      <c r="E11380" s="402" t="s">
        <v>41</v>
      </c>
      <c r="F11380" s="402" t="s">
        <v>42</v>
      </c>
      <c r="G11380" s="403" t="s">
        <v>43</v>
      </c>
      <c r="H11380" s="404" t="s">
        <v>44</v>
      </c>
      <c r="I11380" s="402" t="s">
        <v>474</v>
      </c>
      <c r="J11380" s="405" t="s">
        <v>475</v>
      </c>
    </row>
    <row r="11381" spans="1:10" ht="13">
      <c r="A11381" s="27"/>
      <c r="B11381" s="110"/>
      <c r="D11381" s="444" t="s">
        <v>45</v>
      </c>
      <c r="E11381" s="445" t="s">
        <v>46</v>
      </c>
      <c r="F11381" s="446"/>
      <c r="G11381" s="447"/>
      <c r="H11381" s="448"/>
      <c r="I11381" s="449"/>
      <c r="J11381" s="450"/>
    </row>
    <row r="11382" spans="1:10" ht="13">
      <c r="A11382" s="27"/>
      <c r="B11382" s="110"/>
      <c r="D11382" s="409"/>
      <c r="E11382" s="13" t="s">
        <v>47</v>
      </c>
      <c r="F11382" s="13" t="s">
        <v>1918</v>
      </c>
      <c r="G11382" s="410" t="s">
        <v>48</v>
      </c>
      <c r="H11382" s="411">
        <v>0.32600000000000001</v>
      </c>
      <c r="I11382" s="412">
        <f>IF(AND(E11382&lt;&gt;"",G11382&lt;&gt;""),IF(D11382="",IF(G11382="OH",VLOOKUP(F11382,UPAH!$B$4:$H$101,7,0),VLOOKUP(F11382,#REF!,4,0)),0),0)</f>
        <v>0</v>
      </c>
      <c r="J11382" s="16">
        <f>H11382*I11382</f>
        <v>0</v>
      </c>
    </row>
    <row r="11383" spans="1:10" ht="13">
      <c r="A11383" s="27"/>
      <c r="B11383" s="110"/>
      <c r="D11383" s="409"/>
      <c r="E11383" s="13" t="s">
        <v>283</v>
      </c>
      <c r="F11383" s="13" t="s">
        <v>1913</v>
      </c>
      <c r="G11383" s="410" t="s">
        <v>48</v>
      </c>
      <c r="H11383" s="411">
        <v>0.16300000000000001</v>
      </c>
      <c r="I11383" s="412">
        <f>IF(AND(E11383&lt;&gt;"",G11383&lt;&gt;""),IF(D11383="",IF(G11383="OH",VLOOKUP(F11383,UPAH!$B$4:$H$101,7,0),VLOOKUP(F11383,#REF!,4,0)),0),0)</f>
        <v>0</v>
      </c>
      <c r="J11383" s="16">
        <f>H11383*I11383</f>
        <v>0</v>
      </c>
    </row>
    <row r="11384" spans="1:10" ht="13.5" thickBot="1">
      <c r="A11384" s="27"/>
      <c r="B11384" s="110"/>
      <c r="D11384" s="409"/>
      <c r="E11384" s="13" t="s">
        <v>51</v>
      </c>
      <c r="F11384" s="13" t="s">
        <v>1929</v>
      </c>
      <c r="G11384" s="410" t="s">
        <v>48</v>
      </c>
      <c r="H11384" s="411">
        <v>3.3000000000000002E-2</v>
      </c>
      <c r="I11384" s="412">
        <f>IF(AND(E11384&lt;&gt;"",G11384&lt;&gt;""),IF(D11384="",IF(G11384="OH",VLOOKUP(F11384,UPAH!$B$4:$H$101,7,0),VLOOKUP(F11384,#REF!,4,0)),0),0)</f>
        <v>0</v>
      </c>
      <c r="J11384" s="16">
        <f>H11384*I11384</f>
        <v>0</v>
      </c>
    </row>
    <row r="11385" spans="1:10" ht="13.5" thickBot="1">
      <c r="A11385" s="27"/>
      <c r="B11385" s="110"/>
      <c r="D11385" s="417"/>
      <c r="E11385" s="418"/>
      <c r="F11385" s="418"/>
      <c r="G11385" s="419"/>
      <c r="H11385" s="420" t="s">
        <v>52</v>
      </c>
      <c r="I11385" s="421"/>
      <c r="J11385" s="396">
        <f>SUM(J11381:J11384)</f>
        <v>0</v>
      </c>
    </row>
    <row r="11386" spans="1:10" ht="13">
      <c r="A11386" s="27"/>
      <c r="B11386" s="110"/>
      <c r="D11386" s="406" t="s">
        <v>53</v>
      </c>
      <c r="E11386" s="13" t="s">
        <v>54</v>
      </c>
      <c r="F11386" s="14"/>
      <c r="G11386" s="15"/>
      <c r="H11386" s="451"/>
      <c r="I11386" s="412"/>
      <c r="J11386" s="16"/>
    </row>
    <row r="11387" spans="1:10" ht="13.5" thickBot="1">
      <c r="A11387" s="27"/>
      <c r="B11387" s="110"/>
      <c r="D11387" s="409"/>
      <c r="E11387" s="13" t="s">
        <v>1092</v>
      </c>
      <c r="F11387" s="14"/>
      <c r="G11387" s="410" t="s">
        <v>259</v>
      </c>
      <c r="H11387" s="411">
        <v>1</v>
      </c>
      <c r="I11387" s="412">
        <f>'BAHAN '!G631</f>
        <v>0</v>
      </c>
      <c r="J11387" s="16">
        <f>H11387*I11387</f>
        <v>0</v>
      </c>
    </row>
    <row r="11388" spans="1:10" ht="13.5" thickBot="1">
      <c r="A11388" s="27"/>
      <c r="B11388" s="110"/>
      <c r="D11388" s="417"/>
      <c r="E11388" s="418"/>
      <c r="F11388" s="418"/>
      <c r="G11388" s="419"/>
      <c r="H11388" s="420" t="s">
        <v>64</v>
      </c>
      <c r="I11388" s="421"/>
      <c r="J11388" s="396">
        <f>SUM(J11387)</f>
        <v>0</v>
      </c>
    </row>
    <row r="11389" spans="1:10" ht="13">
      <c r="A11389" s="27"/>
      <c r="B11389" s="110"/>
      <c r="D11389" s="406" t="s">
        <v>65</v>
      </c>
      <c r="E11389" s="13" t="s">
        <v>66</v>
      </c>
      <c r="F11389" s="14"/>
      <c r="G11389" s="15"/>
      <c r="H11389" s="451"/>
      <c r="I11389" s="412"/>
      <c r="J11389" s="16"/>
    </row>
    <row r="11390" spans="1:10" ht="13.5" thickBot="1">
      <c r="A11390" s="27"/>
      <c r="B11390" s="110"/>
      <c r="D11390" s="409"/>
      <c r="E11390" s="13" t="s">
        <v>446</v>
      </c>
      <c r="F11390" s="14"/>
      <c r="G11390" s="410" t="s">
        <v>285</v>
      </c>
      <c r="H11390" s="411">
        <v>3.9E-2</v>
      </c>
      <c r="I11390" s="412">
        <f>Alat!H102</f>
        <v>0</v>
      </c>
      <c r="J11390" s="16">
        <f>H11390*I11390</f>
        <v>0</v>
      </c>
    </row>
    <row r="11391" spans="1:10" ht="13.5" thickBot="1">
      <c r="A11391" s="27"/>
      <c r="B11391" s="110"/>
      <c r="D11391" s="417"/>
      <c r="E11391" s="418"/>
      <c r="F11391" s="418"/>
      <c r="G11391" s="419"/>
      <c r="H11391" s="420" t="s">
        <v>67</v>
      </c>
      <c r="I11391" s="421"/>
      <c r="J11391" s="396">
        <f>J11390</f>
        <v>0</v>
      </c>
    </row>
    <row r="11392" spans="1:10" ht="13">
      <c r="A11392" s="27"/>
      <c r="B11392" s="110"/>
      <c r="D11392" s="444" t="s">
        <v>68</v>
      </c>
      <c r="E11392" s="445" t="s">
        <v>69</v>
      </c>
      <c r="F11392" s="446"/>
      <c r="G11392" s="447"/>
      <c r="H11392" s="448"/>
      <c r="I11392" s="449">
        <f>IF(AND(E11392&lt;&gt;"",G11392&lt;&gt;""),IF(D11392="",IF(G11392="OH",VLOOKUP(E11392,UPAH!$C$4:$H$31,7,0),VLOOKUP(E11392,#REF!,4,0)),0),0)</f>
        <v>0</v>
      </c>
      <c r="J11392" s="16">
        <f>SUM(J11381:J11391)/2</f>
        <v>0</v>
      </c>
    </row>
    <row r="11393" spans="1:10" ht="13.5" thickBot="1">
      <c r="A11393" s="27"/>
      <c r="B11393" s="110"/>
      <c r="D11393" s="431" t="s">
        <v>70</v>
      </c>
      <c r="E11393" s="432" t="s">
        <v>477</v>
      </c>
      <c r="F11393" s="433"/>
      <c r="G11393" s="434"/>
      <c r="H11393" s="22">
        <v>0.1</v>
      </c>
      <c r="I11393" s="436"/>
      <c r="J11393" s="430">
        <f>H11393*J11392</f>
        <v>0</v>
      </c>
    </row>
    <row r="11394" spans="1:10" ht="13.5" thickBot="1">
      <c r="A11394" s="27"/>
      <c r="B11394" s="110"/>
      <c r="D11394" s="401" t="s">
        <v>71</v>
      </c>
      <c r="E11394" s="402" t="s">
        <v>72</v>
      </c>
      <c r="F11394" s="418"/>
      <c r="G11394" s="419"/>
      <c r="H11394" s="442"/>
      <c r="I11394" s="421">
        <f>IF(AND(E11394&lt;&gt;"",G11394&lt;&gt;""),IF(D11394="",IF(G11394="OH",VLOOKUP(E11394,UPAH!$C$4:$H$31,7,0),VLOOKUP(E11394,#REF!,4,0)),0),0)</f>
        <v>0</v>
      </c>
      <c r="J11394" s="396">
        <f>ROUNDDOWN(J11392+J11393,0)</f>
        <v>0</v>
      </c>
    </row>
    <row r="11395" spans="1:10" ht="13">
      <c r="A11395" s="27"/>
      <c r="B11395" s="110"/>
      <c r="D11395" s="11"/>
      <c r="E11395" s="11"/>
      <c r="H11395" s="443"/>
      <c r="I11395" s="17"/>
      <c r="J11395" s="18"/>
    </row>
    <row r="11396" spans="1:10" ht="13" hidden="1">
      <c r="A11396" s="27"/>
      <c r="B11396" s="110"/>
      <c r="C11396" s="11" t="s">
        <v>1712</v>
      </c>
      <c r="D11396" s="10" t="s">
        <v>12</v>
      </c>
      <c r="H11396" s="443"/>
    </row>
    <row r="11397" spans="1:10" ht="13.5" hidden="1" thickBot="1">
      <c r="A11397" s="27"/>
      <c r="B11397" s="110"/>
      <c r="D11397" s="401" t="s">
        <v>40</v>
      </c>
      <c r="E11397" s="402" t="s">
        <v>41</v>
      </c>
      <c r="F11397" s="402" t="s">
        <v>42</v>
      </c>
      <c r="G11397" s="403" t="s">
        <v>43</v>
      </c>
      <c r="H11397" s="404" t="s">
        <v>44</v>
      </c>
      <c r="I11397" s="402" t="s">
        <v>474</v>
      </c>
      <c r="J11397" s="405" t="s">
        <v>475</v>
      </c>
    </row>
    <row r="11398" spans="1:10" ht="13" hidden="1">
      <c r="A11398" s="27"/>
      <c r="B11398" s="110"/>
      <c r="D11398" s="444" t="s">
        <v>45</v>
      </c>
      <c r="E11398" s="445" t="s">
        <v>46</v>
      </c>
      <c r="F11398" s="446"/>
      <c r="G11398" s="447"/>
      <c r="H11398" s="448"/>
      <c r="I11398" s="449"/>
      <c r="J11398" s="450"/>
    </row>
    <row r="11399" spans="1:10" ht="13" hidden="1">
      <c r="A11399" s="27"/>
      <c r="B11399" s="110"/>
      <c r="D11399" s="409"/>
      <c r="E11399" s="13" t="s">
        <v>47</v>
      </c>
      <c r="F11399" s="13" t="s">
        <v>1918</v>
      </c>
      <c r="G11399" s="410" t="s">
        <v>48</v>
      </c>
      <c r="H11399" s="411">
        <v>0.436</v>
      </c>
      <c r="I11399" s="412">
        <f>IF(AND(E11399&lt;&gt;"",G11399&lt;&gt;""),IF(D11399="",IF(G11399="OH",VLOOKUP(F11399,UPAH!$B$4:$H$101,7,0),VLOOKUP(F11399,#REF!,4,0)),0),0)</f>
        <v>0</v>
      </c>
      <c r="J11399" s="16">
        <f>H11399*I11399</f>
        <v>0</v>
      </c>
    </row>
    <row r="11400" spans="1:10" ht="13" hidden="1">
      <c r="A11400" s="27"/>
      <c r="B11400" s="110"/>
      <c r="D11400" s="409"/>
      <c r="E11400" s="13" t="s">
        <v>283</v>
      </c>
      <c r="F11400" s="13" t="s">
        <v>1913</v>
      </c>
      <c r="G11400" s="410" t="s">
        <v>48</v>
      </c>
      <c r="H11400" s="411">
        <v>0.218</v>
      </c>
      <c r="I11400" s="412">
        <f>IF(AND(E11400&lt;&gt;"",G11400&lt;&gt;""),IF(D11400="",IF(G11400="OH",VLOOKUP(F11400,UPAH!$B$4:$H$101,7,0),VLOOKUP(F11400,#REF!,4,0)),0),0)</f>
        <v>0</v>
      </c>
      <c r="J11400" s="16">
        <f>H11400*I11400</f>
        <v>0</v>
      </c>
    </row>
    <row r="11401" spans="1:10" ht="13" hidden="1">
      <c r="A11401" s="27"/>
      <c r="B11401" s="110"/>
      <c r="D11401" s="409"/>
      <c r="E11401" s="13" t="s">
        <v>51</v>
      </c>
      <c r="F11401" s="13" t="s">
        <v>1929</v>
      </c>
      <c r="G11401" s="410" t="s">
        <v>48</v>
      </c>
      <c r="H11401" s="411">
        <v>4.3999999999999997E-2</v>
      </c>
      <c r="I11401" s="412">
        <f>IF(AND(E11401&lt;&gt;"",G11401&lt;&gt;""),IF(D11401="",IF(G11401="OH",VLOOKUP(F11401,UPAH!$B$4:$H$101,7,0),VLOOKUP(F11401,#REF!,4,0)),0),0)</f>
        <v>0</v>
      </c>
      <c r="J11401" s="16">
        <f>H11401*I11401</f>
        <v>0</v>
      </c>
    </row>
    <row r="11402" spans="1:10" ht="13.5" hidden="1" thickBot="1">
      <c r="A11402" s="27"/>
      <c r="B11402" s="110"/>
      <c r="D11402" s="417"/>
      <c r="E11402" s="418"/>
      <c r="F11402" s="418"/>
      <c r="G11402" s="419"/>
      <c r="H11402" s="420" t="s">
        <v>52</v>
      </c>
      <c r="I11402" s="421"/>
      <c r="J11402" s="396">
        <f>SUM(J11398:J11401)</f>
        <v>0</v>
      </c>
    </row>
    <row r="11403" spans="1:10" ht="13" hidden="1">
      <c r="A11403" s="27"/>
      <c r="B11403" s="110"/>
      <c r="D11403" s="406" t="s">
        <v>53</v>
      </c>
      <c r="E11403" s="13" t="s">
        <v>54</v>
      </c>
      <c r="F11403" s="14"/>
      <c r="G11403" s="15"/>
      <c r="H11403" s="451"/>
      <c r="I11403" s="412"/>
      <c r="J11403" s="16"/>
    </row>
    <row r="11404" spans="1:10" ht="13" hidden="1">
      <c r="A11404" s="27"/>
      <c r="B11404" s="110"/>
      <c r="D11404" s="409"/>
      <c r="E11404" s="13" t="s">
        <v>1093</v>
      </c>
      <c r="F11404" s="14"/>
      <c r="G11404" s="410" t="s">
        <v>259</v>
      </c>
      <c r="H11404" s="411">
        <v>1</v>
      </c>
      <c r="I11404" s="412" t="s">
        <v>3187</v>
      </c>
      <c r="J11404" s="16" t="e">
        <f>H11404*I11404</f>
        <v>#VALUE!</v>
      </c>
    </row>
    <row r="11405" spans="1:10" ht="13.5" hidden="1" thickBot="1">
      <c r="A11405" s="27"/>
      <c r="B11405" s="110"/>
      <c r="D11405" s="417"/>
      <c r="E11405" s="418"/>
      <c r="F11405" s="418"/>
      <c r="G11405" s="419"/>
      <c r="H11405" s="420" t="s">
        <v>64</v>
      </c>
      <c r="I11405" s="421"/>
      <c r="J11405" s="396" t="e">
        <f>SUM(J11404)</f>
        <v>#VALUE!</v>
      </c>
    </row>
    <row r="11406" spans="1:10" ht="13" hidden="1">
      <c r="A11406" s="27"/>
      <c r="B11406" s="110"/>
      <c r="D11406" s="406" t="s">
        <v>65</v>
      </c>
      <c r="E11406" s="13" t="s">
        <v>66</v>
      </c>
      <c r="F11406" s="14"/>
      <c r="G11406" s="15"/>
      <c r="H11406" s="451"/>
      <c r="I11406" s="412"/>
      <c r="J11406" s="16"/>
    </row>
    <row r="11407" spans="1:10" ht="13" hidden="1">
      <c r="A11407" s="27"/>
      <c r="B11407" s="110"/>
      <c r="D11407" s="409"/>
      <c r="E11407" s="13" t="s">
        <v>446</v>
      </c>
      <c r="F11407" s="14"/>
      <c r="G11407" s="410" t="s">
        <v>285</v>
      </c>
      <c r="H11407" s="411">
        <v>0.5</v>
      </c>
      <c r="I11407" s="412">
        <f>Alat!H102</f>
        <v>0</v>
      </c>
      <c r="J11407" s="16">
        <f>H11407*I11407</f>
        <v>0</v>
      </c>
    </row>
    <row r="11408" spans="1:10" ht="13.5" hidden="1" thickBot="1">
      <c r="A11408" s="27"/>
      <c r="B11408" s="110"/>
      <c r="D11408" s="417"/>
      <c r="E11408" s="418"/>
      <c r="F11408" s="418"/>
      <c r="G11408" s="419"/>
      <c r="H11408" s="420" t="s">
        <v>67</v>
      </c>
      <c r="I11408" s="421"/>
      <c r="J11408" s="396">
        <f>J11407</f>
        <v>0</v>
      </c>
    </row>
    <row r="11409" spans="1:10" ht="13" hidden="1">
      <c r="A11409" s="27"/>
      <c r="B11409" s="110"/>
      <c r="D11409" s="444" t="s">
        <v>68</v>
      </c>
      <c r="E11409" s="445" t="s">
        <v>69</v>
      </c>
      <c r="F11409" s="446"/>
      <c r="G11409" s="447"/>
      <c r="H11409" s="448"/>
      <c r="I11409" s="449">
        <f>IF(AND(E11409&lt;&gt;"",G11409&lt;&gt;""),IF(D11409="",IF(G11409="OH",VLOOKUP(E11409,UPAH!$C$4:$H$31,7,0),VLOOKUP(E11409,#REF!,4,0)),0),0)</f>
        <v>0</v>
      </c>
      <c r="J11409" s="16" t="e">
        <f>SUM(J11398:J11408)/2</f>
        <v>#VALUE!</v>
      </c>
    </row>
    <row r="11410" spans="1:10" ht="13" hidden="1">
      <c r="A11410" s="27"/>
      <c r="B11410" s="110"/>
      <c r="D11410" s="431" t="s">
        <v>70</v>
      </c>
      <c r="E11410" s="432" t="s">
        <v>477</v>
      </c>
      <c r="F11410" s="433"/>
      <c r="G11410" s="434"/>
      <c r="H11410" s="22">
        <v>0.1</v>
      </c>
      <c r="I11410" s="436"/>
      <c r="J11410" s="430" t="e">
        <f>H11410*J11409</f>
        <v>#VALUE!</v>
      </c>
    </row>
    <row r="11411" spans="1:10" ht="13.5" hidden="1" thickBot="1">
      <c r="A11411" s="27"/>
      <c r="B11411" s="110"/>
      <c r="D11411" s="401" t="s">
        <v>71</v>
      </c>
      <c r="E11411" s="402" t="s">
        <v>72</v>
      </c>
      <c r="F11411" s="418"/>
      <c r="G11411" s="419"/>
      <c r="H11411" s="442"/>
      <c r="I11411" s="421">
        <f>IF(AND(E11411&lt;&gt;"",G11411&lt;&gt;""),IF(D11411="",IF(G11411="OH",VLOOKUP(E11411,UPAH!$C$4:$H$31,7,0),VLOOKUP(E11411,#REF!,4,0)),0),0)</f>
        <v>0</v>
      </c>
      <c r="J11411" s="396" t="e">
        <f>ROUNDDOWN(J11409+J11410,0)</f>
        <v>#VALUE!</v>
      </c>
    </row>
    <row r="11412" spans="1:10" ht="13" hidden="1">
      <c r="A11412" s="27"/>
      <c r="B11412" s="110"/>
      <c r="D11412" s="11"/>
      <c r="E11412" s="11"/>
      <c r="H11412" s="443"/>
      <c r="I11412" s="17"/>
      <c r="J11412" s="18"/>
    </row>
    <row r="11413" spans="1:10" ht="13" hidden="1">
      <c r="A11413" s="27"/>
      <c r="B11413" s="110"/>
      <c r="C11413" s="11" t="s">
        <v>1711</v>
      </c>
      <c r="D11413" s="10" t="s">
        <v>13</v>
      </c>
      <c r="H11413" s="443"/>
    </row>
    <row r="11414" spans="1:10" ht="13.5" hidden="1" thickBot="1">
      <c r="A11414" s="27"/>
      <c r="B11414" s="110"/>
      <c r="D11414" s="401" t="s">
        <v>40</v>
      </c>
      <c r="E11414" s="402" t="s">
        <v>41</v>
      </c>
      <c r="F11414" s="402" t="s">
        <v>42</v>
      </c>
      <c r="G11414" s="403" t="s">
        <v>43</v>
      </c>
      <c r="H11414" s="404" t="s">
        <v>44</v>
      </c>
      <c r="I11414" s="402" t="s">
        <v>474</v>
      </c>
      <c r="J11414" s="405" t="s">
        <v>475</v>
      </c>
    </row>
    <row r="11415" spans="1:10" ht="13" hidden="1">
      <c r="A11415" s="27"/>
      <c r="B11415" s="110"/>
      <c r="D11415" s="444" t="s">
        <v>45</v>
      </c>
      <c r="E11415" s="445" t="s">
        <v>46</v>
      </c>
      <c r="F11415" s="446"/>
      <c r="G11415" s="447"/>
      <c r="H11415" s="448"/>
      <c r="I11415" s="449"/>
      <c r="J11415" s="450"/>
    </row>
    <row r="11416" spans="1:10" ht="13" hidden="1">
      <c r="A11416" s="27"/>
      <c r="B11416" s="110"/>
      <c r="D11416" s="409"/>
      <c r="E11416" s="13" t="s">
        <v>47</v>
      </c>
      <c r="F11416" s="13" t="s">
        <v>1918</v>
      </c>
      <c r="G11416" s="410" t="s">
        <v>48</v>
      </c>
      <c r="H11416" s="411">
        <v>0.65600000000000003</v>
      </c>
      <c r="I11416" s="412">
        <f>IF(AND(E11416&lt;&gt;"",G11416&lt;&gt;""),IF(D11416="",IF(G11416="OH",VLOOKUP(F11416,UPAH!$B$4:$H$101,7,0),VLOOKUP(F11416,#REF!,4,0)),0),0)</f>
        <v>0</v>
      </c>
      <c r="J11416" s="16">
        <f>H11416*I11416</f>
        <v>0</v>
      </c>
    </row>
    <row r="11417" spans="1:10" ht="13" hidden="1">
      <c r="A11417" s="27"/>
      <c r="B11417" s="110"/>
      <c r="D11417" s="409"/>
      <c r="E11417" s="13" t="s">
        <v>283</v>
      </c>
      <c r="F11417" s="13" t="s">
        <v>1913</v>
      </c>
      <c r="G11417" s="410" t="s">
        <v>48</v>
      </c>
      <c r="H11417" s="411">
        <v>0.32800000000000001</v>
      </c>
      <c r="I11417" s="412">
        <f>IF(AND(E11417&lt;&gt;"",G11417&lt;&gt;""),IF(D11417="",IF(G11417="OH",VLOOKUP(F11417,UPAH!$B$4:$H$101,7,0),VLOOKUP(F11417,#REF!,4,0)),0),0)</f>
        <v>0</v>
      </c>
      <c r="J11417" s="16">
        <f>H11417*I11417</f>
        <v>0</v>
      </c>
    </row>
    <row r="11418" spans="1:10" ht="13" hidden="1">
      <c r="A11418" s="27"/>
      <c r="B11418" s="110"/>
      <c r="D11418" s="409"/>
      <c r="E11418" s="13" t="s">
        <v>51</v>
      </c>
      <c r="F11418" s="13" t="s">
        <v>1929</v>
      </c>
      <c r="G11418" s="410" t="s">
        <v>48</v>
      </c>
      <c r="H11418" s="411">
        <v>6.6000000000000003E-2</v>
      </c>
      <c r="I11418" s="412">
        <f>IF(AND(E11418&lt;&gt;"",G11418&lt;&gt;""),IF(D11418="",IF(G11418="OH",VLOOKUP(F11418,UPAH!$B$4:$H$101,7,0),VLOOKUP(F11418,#REF!,4,0)),0),0)</f>
        <v>0</v>
      </c>
      <c r="J11418" s="16">
        <f>H11418*I11418</f>
        <v>0</v>
      </c>
    </row>
    <row r="11419" spans="1:10" ht="13.5" hidden="1" thickBot="1">
      <c r="A11419" s="27"/>
      <c r="B11419" s="110"/>
      <c r="D11419" s="417"/>
      <c r="E11419" s="418"/>
      <c r="F11419" s="418"/>
      <c r="G11419" s="419"/>
      <c r="H11419" s="420" t="s">
        <v>52</v>
      </c>
      <c r="I11419" s="421"/>
      <c r="J11419" s="396">
        <f>SUM(J11415:J11418)</f>
        <v>0</v>
      </c>
    </row>
    <row r="11420" spans="1:10" ht="13" hidden="1">
      <c r="A11420" s="27"/>
      <c r="B11420" s="110"/>
      <c r="D11420" s="406" t="s">
        <v>53</v>
      </c>
      <c r="E11420" s="13" t="s">
        <v>54</v>
      </c>
      <c r="F11420" s="14"/>
      <c r="G11420" s="15"/>
      <c r="H11420" s="451"/>
      <c r="I11420" s="412"/>
      <c r="J11420" s="16"/>
    </row>
    <row r="11421" spans="1:10" ht="13" hidden="1">
      <c r="A11421" s="27"/>
      <c r="B11421" s="110"/>
      <c r="D11421" s="409"/>
      <c r="E11421" s="13" t="s">
        <v>1094</v>
      </c>
      <c r="F11421" s="14"/>
      <c r="G11421" s="410" t="s">
        <v>259</v>
      </c>
      <c r="H11421" s="411">
        <v>1</v>
      </c>
      <c r="I11421" s="412" t="s">
        <v>3187</v>
      </c>
      <c r="J11421" s="16" t="e">
        <f>H11421*I11421</f>
        <v>#VALUE!</v>
      </c>
    </row>
    <row r="11422" spans="1:10" ht="13.5" hidden="1" thickBot="1">
      <c r="A11422" s="27"/>
      <c r="B11422" s="110"/>
      <c r="D11422" s="417"/>
      <c r="E11422" s="418"/>
      <c r="F11422" s="418"/>
      <c r="G11422" s="419"/>
      <c r="H11422" s="420" t="s">
        <v>64</v>
      </c>
      <c r="I11422" s="421"/>
      <c r="J11422" s="396" t="e">
        <f>SUM(J11421)</f>
        <v>#VALUE!</v>
      </c>
    </row>
    <row r="11423" spans="1:10" ht="13" hidden="1">
      <c r="A11423" s="27"/>
      <c r="B11423" s="110"/>
      <c r="D11423" s="406" t="s">
        <v>65</v>
      </c>
      <c r="E11423" s="13" t="s">
        <v>66</v>
      </c>
      <c r="F11423" s="14"/>
      <c r="G11423" s="15"/>
      <c r="H11423" s="451"/>
      <c r="I11423" s="412"/>
      <c r="J11423" s="16"/>
    </row>
    <row r="11424" spans="1:10" ht="13" hidden="1">
      <c r="A11424" s="27"/>
      <c r="B11424" s="110"/>
      <c r="D11424" s="409"/>
      <c r="E11424" s="13" t="s">
        <v>446</v>
      </c>
      <c r="F11424" s="14"/>
      <c r="G11424" s="410" t="s">
        <v>285</v>
      </c>
      <c r="H11424" s="411">
        <v>0.5</v>
      </c>
      <c r="I11424" s="412">
        <f>Alat!H102</f>
        <v>0</v>
      </c>
      <c r="J11424" s="16">
        <f>H11424*I11424</f>
        <v>0</v>
      </c>
    </row>
    <row r="11425" spans="1:10" ht="13.5" hidden="1" thickBot="1">
      <c r="A11425" s="27"/>
      <c r="B11425" s="110"/>
      <c r="D11425" s="417"/>
      <c r="E11425" s="418"/>
      <c r="F11425" s="418"/>
      <c r="G11425" s="419"/>
      <c r="H11425" s="420" t="s">
        <v>67</v>
      </c>
      <c r="I11425" s="421"/>
      <c r="J11425" s="396">
        <f>J11424</f>
        <v>0</v>
      </c>
    </row>
    <row r="11426" spans="1:10" ht="13" hidden="1">
      <c r="A11426" s="27"/>
      <c r="B11426" s="110"/>
      <c r="D11426" s="444" t="s">
        <v>68</v>
      </c>
      <c r="E11426" s="445" t="s">
        <v>69</v>
      </c>
      <c r="F11426" s="446"/>
      <c r="G11426" s="447"/>
      <c r="H11426" s="448"/>
      <c r="I11426" s="449">
        <f>IF(AND(E11426&lt;&gt;"",G11426&lt;&gt;""),IF(D11426="",IF(G11426="OH",VLOOKUP(E11426,UPAH!$C$4:$H$31,7,0),VLOOKUP(E11426,#REF!,4,0)),0),0)</f>
        <v>0</v>
      </c>
      <c r="J11426" s="16" t="e">
        <f>SUM(J11415:J11425)/2</f>
        <v>#VALUE!</v>
      </c>
    </row>
    <row r="11427" spans="1:10" ht="13" hidden="1">
      <c r="A11427" s="27"/>
      <c r="B11427" s="110"/>
      <c r="D11427" s="431" t="s">
        <v>70</v>
      </c>
      <c r="E11427" s="432" t="s">
        <v>477</v>
      </c>
      <c r="F11427" s="433"/>
      <c r="G11427" s="434"/>
      <c r="H11427" s="22">
        <v>0.1</v>
      </c>
      <c r="I11427" s="436"/>
      <c r="J11427" s="430" t="e">
        <f>H11427*J11426</f>
        <v>#VALUE!</v>
      </c>
    </row>
    <row r="11428" spans="1:10" ht="13.5" hidden="1" thickBot="1">
      <c r="A11428" s="27"/>
      <c r="B11428" s="110"/>
      <c r="D11428" s="401" t="s">
        <v>71</v>
      </c>
      <c r="E11428" s="402" t="s">
        <v>72</v>
      </c>
      <c r="F11428" s="418"/>
      <c r="G11428" s="419"/>
      <c r="H11428" s="442"/>
      <c r="I11428" s="421">
        <f>IF(AND(E11428&lt;&gt;"",G11428&lt;&gt;""),IF(D11428="",IF(G11428="OH",VLOOKUP(E11428,UPAH!$C$4:$H$31,7,0),VLOOKUP(E11428,#REF!,4,0)),0),0)</f>
        <v>0</v>
      </c>
      <c r="J11428" s="396" t="e">
        <f>ROUNDDOWN(J11426+J11427,0)</f>
        <v>#VALUE!</v>
      </c>
    </row>
    <row r="11429" spans="1:10" ht="13" hidden="1">
      <c r="A11429" s="27"/>
      <c r="B11429" s="110"/>
      <c r="D11429" s="11"/>
      <c r="E11429" s="11"/>
      <c r="H11429" s="443"/>
      <c r="I11429" s="17"/>
      <c r="J11429" s="18"/>
    </row>
    <row r="11430" spans="1:10" ht="13" hidden="1">
      <c r="A11430" s="27"/>
      <c r="B11430" s="110"/>
      <c r="C11430" s="11" t="s">
        <v>1710</v>
      </c>
      <c r="D11430" s="10" t="s">
        <v>14</v>
      </c>
      <c r="H11430" s="443"/>
    </row>
    <row r="11431" spans="1:10" ht="13.5" hidden="1" thickBot="1">
      <c r="A11431" s="27"/>
      <c r="B11431" s="110"/>
      <c r="D11431" s="401" t="s">
        <v>40</v>
      </c>
      <c r="E11431" s="402" t="s">
        <v>41</v>
      </c>
      <c r="F11431" s="402" t="s">
        <v>42</v>
      </c>
      <c r="G11431" s="403" t="s">
        <v>43</v>
      </c>
      <c r="H11431" s="404" t="s">
        <v>44</v>
      </c>
      <c r="I11431" s="402" t="s">
        <v>474</v>
      </c>
      <c r="J11431" s="405" t="s">
        <v>475</v>
      </c>
    </row>
    <row r="11432" spans="1:10" ht="13" hidden="1">
      <c r="A11432" s="27"/>
      <c r="B11432" s="110"/>
      <c r="D11432" s="444" t="s">
        <v>45</v>
      </c>
      <c r="E11432" s="445" t="s">
        <v>46</v>
      </c>
      <c r="F11432" s="446"/>
      <c r="G11432" s="447"/>
      <c r="H11432" s="448"/>
      <c r="I11432" s="449"/>
      <c r="J11432" s="450"/>
    </row>
    <row r="11433" spans="1:10" ht="13" hidden="1">
      <c r="A11433" s="27"/>
      <c r="B11433" s="110"/>
      <c r="D11433" s="409"/>
      <c r="E11433" s="13" t="s">
        <v>47</v>
      </c>
      <c r="F11433" s="13" t="s">
        <v>1918</v>
      </c>
      <c r="G11433" s="410" t="s">
        <v>48</v>
      </c>
      <c r="H11433" s="411">
        <v>0.76600000000000001</v>
      </c>
      <c r="I11433" s="412">
        <f>IF(AND(E11433&lt;&gt;"",G11433&lt;&gt;""),IF(D11433="",IF(G11433="OH",VLOOKUP(F11433,UPAH!$B$4:$H$101,7,0),VLOOKUP(F11433,#REF!,4,0)),0),0)</f>
        <v>0</v>
      </c>
      <c r="J11433" s="16">
        <f>H11433*I11433</f>
        <v>0</v>
      </c>
    </row>
    <row r="11434" spans="1:10" ht="13" hidden="1">
      <c r="A11434" s="27"/>
      <c r="B11434" s="110"/>
      <c r="D11434" s="409"/>
      <c r="E11434" s="13" t="s">
        <v>283</v>
      </c>
      <c r="F11434" s="13" t="s">
        <v>1913</v>
      </c>
      <c r="G11434" s="410" t="s">
        <v>48</v>
      </c>
      <c r="H11434" s="411">
        <v>0.38300000000000001</v>
      </c>
      <c r="I11434" s="412">
        <f>IF(AND(E11434&lt;&gt;"",G11434&lt;&gt;""),IF(D11434="",IF(G11434="OH",VLOOKUP(F11434,UPAH!$B$4:$H$101,7,0),VLOOKUP(F11434,#REF!,4,0)),0),0)</f>
        <v>0</v>
      </c>
      <c r="J11434" s="16">
        <f>H11434*I11434</f>
        <v>0</v>
      </c>
    </row>
    <row r="11435" spans="1:10" ht="13" hidden="1">
      <c r="A11435" s="27"/>
      <c r="B11435" s="110"/>
      <c r="D11435" s="409"/>
      <c r="E11435" s="13" t="s">
        <v>51</v>
      </c>
      <c r="F11435" s="13" t="s">
        <v>1929</v>
      </c>
      <c r="G11435" s="410" t="s">
        <v>48</v>
      </c>
      <c r="H11435" s="411">
        <v>7.6999999999999999E-2</v>
      </c>
      <c r="I11435" s="412">
        <f>IF(AND(E11435&lt;&gt;"",G11435&lt;&gt;""),IF(D11435="",IF(G11435="OH",VLOOKUP(F11435,UPAH!$B$4:$H$101,7,0),VLOOKUP(F11435,#REF!,4,0)),0),0)</f>
        <v>0</v>
      </c>
      <c r="J11435" s="16">
        <f>H11435*I11435</f>
        <v>0</v>
      </c>
    </row>
    <row r="11436" spans="1:10" ht="13.5" hidden="1" thickBot="1">
      <c r="A11436" s="27"/>
      <c r="B11436" s="110"/>
      <c r="D11436" s="417"/>
      <c r="E11436" s="418"/>
      <c r="F11436" s="418"/>
      <c r="G11436" s="419"/>
      <c r="H11436" s="420" t="s">
        <v>52</v>
      </c>
      <c r="I11436" s="421"/>
      <c r="J11436" s="396">
        <f>SUM(J11432:J11435)</f>
        <v>0</v>
      </c>
    </row>
    <row r="11437" spans="1:10" ht="13" hidden="1">
      <c r="A11437" s="27"/>
      <c r="B11437" s="110"/>
      <c r="D11437" s="406" t="s">
        <v>53</v>
      </c>
      <c r="E11437" s="13" t="s">
        <v>54</v>
      </c>
      <c r="F11437" s="14"/>
      <c r="G11437" s="15"/>
      <c r="H11437" s="451"/>
      <c r="I11437" s="412"/>
      <c r="J11437" s="16"/>
    </row>
    <row r="11438" spans="1:10" ht="13" hidden="1">
      <c r="A11438" s="27"/>
      <c r="B11438" s="110"/>
      <c r="D11438" s="409"/>
      <c r="E11438" s="13" t="s">
        <v>1095</v>
      </c>
      <c r="F11438" s="14"/>
      <c r="G11438" s="410" t="s">
        <v>259</v>
      </c>
      <c r="H11438" s="411">
        <v>1</v>
      </c>
      <c r="I11438" s="412" t="s">
        <v>3187</v>
      </c>
      <c r="J11438" s="16" t="e">
        <f>H11438*I11438</f>
        <v>#VALUE!</v>
      </c>
    </row>
    <row r="11439" spans="1:10" ht="13.5" hidden="1" thickBot="1">
      <c r="A11439" s="27"/>
      <c r="B11439" s="110"/>
      <c r="D11439" s="417"/>
      <c r="E11439" s="418"/>
      <c r="F11439" s="418"/>
      <c r="G11439" s="419"/>
      <c r="H11439" s="420" t="s">
        <v>64</v>
      </c>
      <c r="I11439" s="421"/>
      <c r="J11439" s="396" t="e">
        <f>SUM(J11438)</f>
        <v>#VALUE!</v>
      </c>
    </row>
    <row r="11440" spans="1:10" ht="13" hidden="1">
      <c r="A11440" s="27"/>
      <c r="B11440" s="110"/>
      <c r="D11440" s="406" t="s">
        <v>65</v>
      </c>
      <c r="E11440" s="13" t="s">
        <v>66</v>
      </c>
      <c r="F11440" s="14"/>
      <c r="G11440" s="15"/>
      <c r="H11440" s="451"/>
      <c r="I11440" s="412"/>
      <c r="J11440" s="16"/>
    </row>
    <row r="11441" spans="1:10" ht="13" hidden="1">
      <c r="A11441" s="27"/>
      <c r="B11441" s="110"/>
      <c r="D11441" s="409"/>
      <c r="E11441" s="13" t="s">
        <v>446</v>
      </c>
      <c r="F11441" s="14"/>
      <c r="G11441" s="410" t="s">
        <v>285</v>
      </c>
      <c r="H11441" s="411">
        <v>0.5</v>
      </c>
      <c r="I11441" s="412">
        <f>Alat!H102</f>
        <v>0</v>
      </c>
      <c r="J11441" s="16">
        <f>H11441*I11441</f>
        <v>0</v>
      </c>
    </row>
    <row r="11442" spans="1:10" ht="13.5" hidden="1" thickBot="1">
      <c r="A11442" s="27"/>
      <c r="B11442" s="110"/>
      <c r="D11442" s="417"/>
      <c r="E11442" s="418"/>
      <c r="F11442" s="418"/>
      <c r="G11442" s="419"/>
      <c r="H11442" s="420" t="s">
        <v>67</v>
      </c>
      <c r="I11442" s="421"/>
      <c r="J11442" s="396">
        <f>J11441</f>
        <v>0</v>
      </c>
    </row>
    <row r="11443" spans="1:10" ht="13" hidden="1">
      <c r="A11443" s="27"/>
      <c r="B11443" s="110"/>
      <c r="D11443" s="444" t="s">
        <v>68</v>
      </c>
      <c r="E11443" s="445" t="s">
        <v>69</v>
      </c>
      <c r="F11443" s="446"/>
      <c r="G11443" s="447"/>
      <c r="H11443" s="448"/>
      <c r="I11443" s="449">
        <f>IF(AND(E11443&lt;&gt;"",G11443&lt;&gt;""),IF(D11443="",IF(G11443="OH",VLOOKUP(E11443,UPAH!$C$4:$H$31,7,0),VLOOKUP(E11443,#REF!,4,0)),0),0)</f>
        <v>0</v>
      </c>
      <c r="J11443" s="16" t="e">
        <f>SUM(J11432:J11442)/2</f>
        <v>#VALUE!</v>
      </c>
    </row>
    <row r="11444" spans="1:10" ht="13" hidden="1">
      <c r="A11444" s="27"/>
      <c r="B11444" s="110"/>
      <c r="D11444" s="431" t="s">
        <v>70</v>
      </c>
      <c r="E11444" s="432" t="s">
        <v>477</v>
      </c>
      <c r="F11444" s="433"/>
      <c r="G11444" s="434"/>
      <c r="H11444" s="22">
        <v>0.1</v>
      </c>
      <c r="I11444" s="436"/>
      <c r="J11444" s="430" t="e">
        <f>H11444*J11443</f>
        <v>#VALUE!</v>
      </c>
    </row>
    <row r="11445" spans="1:10" ht="13.5" hidden="1" thickBot="1">
      <c r="A11445" s="27"/>
      <c r="B11445" s="110"/>
      <c r="D11445" s="401" t="s">
        <v>71</v>
      </c>
      <c r="E11445" s="402" t="s">
        <v>72</v>
      </c>
      <c r="F11445" s="418"/>
      <c r="G11445" s="419"/>
      <c r="H11445" s="442"/>
      <c r="I11445" s="421">
        <f>IF(AND(E11445&lt;&gt;"",G11445&lt;&gt;""),IF(D11445="",IF(G11445="OH",VLOOKUP(E11445,UPAH!$C$4:$H$31,7,0),VLOOKUP(E11445,#REF!,4,0)),0),0)</f>
        <v>0</v>
      </c>
      <c r="J11445" s="396" t="e">
        <f>ROUNDDOWN(J11443+J11444,0)</f>
        <v>#VALUE!</v>
      </c>
    </row>
    <row r="11446" spans="1:10" ht="13" hidden="1">
      <c r="A11446" s="27"/>
      <c r="B11446" s="110"/>
      <c r="D11446" s="11"/>
      <c r="E11446" s="11"/>
      <c r="H11446" s="443"/>
      <c r="I11446" s="17"/>
      <c r="J11446" s="18"/>
    </row>
    <row r="11447" spans="1:10" ht="13" hidden="1">
      <c r="A11447" s="27"/>
      <c r="B11447" s="110"/>
      <c r="C11447" s="11" t="s">
        <v>1709</v>
      </c>
      <c r="D11447" s="10" t="s">
        <v>15</v>
      </c>
      <c r="H11447" s="443"/>
    </row>
    <row r="11448" spans="1:10" ht="13.5" hidden="1" thickBot="1">
      <c r="A11448" s="27"/>
      <c r="B11448" s="110"/>
      <c r="D11448" s="401" t="s">
        <v>40</v>
      </c>
      <c r="E11448" s="402" t="s">
        <v>41</v>
      </c>
      <c r="F11448" s="402" t="s">
        <v>42</v>
      </c>
      <c r="G11448" s="403" t="s">
        <v>43</v>
      </c>
      <c r="H11448" s="404" t="s">
        <v>44</v>
      </c>
      <c r="I11448" s="402" t="s">
        <v>474</v>
      </c>
      <c r="J11448" s="405" t="s">
        <v>475</v>
      </c>
    </row>
    <row r="11449" spans="1:10" ht="13" hidden="1">
      <c r="A11449" s="27"/>
      <c r="B11449" s="110"/>
      <c r="D11449" s="444" t="s">
        <v>45</v>
      </c>
      <c r="E11449" s="445" t="s">
        <v>46</v>
      </c>
      <c r="F11449" s="446"/>
      <c r="G11449" s="447"/>
      <c r="H11449" s="448"/>
      <c r="I11449" s="449"/>
      <c r="J11449" s="450"/>
    </row>
    <row r="11450" spans="1:10" ht="13" hidden="1">
      <c r="A11450" s="27"/>
      <c r="B11450" s="110"/>
      <c r="D11450" s="409"/>
      <c r="E11450" s="13" t="s">
        <v>47</v>
      </c>
      <c r="F11450" s="13" t="s">
        <v>1918</v>
      </c>
      <c r="G11450" s="410" t="s">
        <v>48</v>
      </c>
      <c r="H11450" s="411">
        <v>0.876</v>
      </c>
      <c r="I11450" s="412">
        <f>IF(AND(E11450&lt;&gt;"",G11450&lt;&gt;""),IF(D11450="",IF(G11450="OH",VLOOKUP(F11450,UPAH!$B$4:$H$101,7,0),VLOOKUP(F11450,#REF!,4,0)),0),0)</f>
        <v>0</v>
      </c>
      <c r="J11450" s="16">
        <f>H11450*I11450</f>
        <v>0</v>
      </c>
    </row>
    <row r="11451" spans="1:10" ht="13" hidden="1">
      <c r="A11451" s="27"/>
      <c r="B11451" s="110"/>
      <c r="D11451" s="409"/>
      <c r="E11451" s="13" t="s">
        <v>283</v>
      </c>
      <c r="F11451" s="13" t="s">
        <v>1913</v>
      </c>
      <c r="G11451" s="410" t="s">
        <v>48</v>
      </c>
      <c r="H11451" s="411">
        <v>0.438</v>
      </c>
      <c r="I11451" s="412">
        <f>IF(AND(E11451&lt;&gt;"",G11451&lt;&gt;""),IF(D11451="",IF(G11451="OH",VLOOKUP(F11451,UPAH!$B$4:$H$101,7,0),VLOOKUP(F11451,#REF!,4,0)),0),0)</f>
        <v>0</v>
      </c>
      <c r="J11451" s="16">
        <f>H11451*I11451</f>
        <v>0</v>
      </c>
    </row>
    <row r="11452" spans="1:10" ht="13" hidden="1">
      <c r="A11452" s="27"/>
      <c r="B11452" s="110"/>
      <c r="D11452" s="409"/>
      <c r="E11452" s="13" t="s">
        <v>51</v>
      </c>
      <c r="F11452" s="13" t="s">
        <v>1929</v>
      </c>
      <c r="G11452" s="410" t="s">
        <v>48</v>
      </c>
      <c r="H11452" s="411">
        <v>8.7999999999999995E-2</v>
      </c>
      <c r="I11452" s="412">
        <f>IF(AND(E11452&lt;&gt;"",G11452&lt;&gt;""),IF(D11452="",IF(G11452="OH",VLOOKUP(F11452,UPAH!$B$4:$H$101,7,0),VLOOKUP(F11452,#REF!,4,0)),0),0)</f>
        <v>0</v>
      </c>
      <c r="J11452" s="16">
        <f>H11452*I11452</f>
        <v>0</v>
      </c>
    </row>
    <row r="11453" spans="1:10" ht="13.5" hidden="1" thickBot="1">
      <c r="A11453" s="27"/>
      <c r="B11453" s="110"/>
      <c r="D11453" s="417"/>
      <c r="E11453" s="418"/>
      <c r="F11453" s="418"/>
      <c r="G11453" s="419"/>
      <c r="H11453" s="420" t="s">
        <v>52</v>
      </c>
      <c r="I11453" s="421"/>
      <c r="J11453" s="396">
        <f>SUM(J11449:J11452)</f>
        <v>0</v>
      </c>
    </row>
    <row r="11454" spans="1:10" ht="13" hidden="1">
      <c r="A11454" s="27"/>
      <c r="B11454" s="110"/>
      <c r="D11454" s="406" t="s">
        <v>53</v>
      </c>
      <c r="E11454" s="13" t="s">
        <v>54</v>
      </c>
      <c r="F11454" s="14"/>
      <c r="G11454" s="15"/>
      <c r="H11454" s="451"/>
      <c r="I11454" s="412"/>
      <c r="J11454" s="16"/>
    </row>
    <row r="11455" spans="1:10" ht="13" hidden="1">
      <c r="A11455" s="27"/>
      <c r="B11455" s="110"/>
      <c r="D11455" s="409"/>
      <c r="E11455" s="13" t="s">
        <v>1096</v>
      </c>
      <c r="F11455" s="14"/>
      <c r="G11455" s="410" t="s">
        <v>259</v>
      </c>
      <c r="H11455" s="411">
        <v>1</v>
      </c>
      <c r="I11455" s="412" t="s">
        <v>3187</v>
      </c>
      <c r="J11455" s="16" t="e">
        <f>H11455*I11455</f>
        <v>#VALUE!</v>
      </c>
    </row>
    <row r="11456" spans="1:10" ht="13.5" hidden="1" thickBot="1">
      <c r="A11456" s="27"/>
      <c r="B11456" s="110"/>
      <c r="D11456" s="417"/>
      <c r="E11456" s="418"/>
      <c r="F11456" s="418"/>
      <c r="G11456" s="419"/>
      <c r="H11456" s="420" t="s">
        <v>64</v>
      </c>
      <c r="I11456" s="421"/>
      <c r="J11456" s="396" t="e">
        <f>SUM(J11455)</f>
        <v>#VALUE!</v>
      </c>
    </row>
    <row r="11457" spans="1:10" ht="13" hidden="1">
      <c r="A11457" s="27"/>
      <c r="B11457" s="110"/>
      <c r="D11457" s="406" t="s">
        <v>65</v>
      </c>
      <c r="E11457" s="13" t="s">
        <v>66</v>
      </c>
      <c r="F11457" s="14"/>
      <c r="G11457" s="15"/>
      <c r="H11457" s="451"/>
      <c r="I11457" s="412"/>
      <c r="J11457" s="16"/>
    </row>
    <row r="11458" spans="1:10" ht="13" hidden="1">
      <c r="A11458" s="27"/>
      <c r="B11458" s="110"/>
      <c r="D11458" s="409"/>
      <c r="E11458" s="13" t="s">
        <v>446</v>
      </c>
      <c r="F11458" s="14"/>
      <c r="G11458" s="410" t="s">
        <v>285</v>
      </c>
      <c r="H11458" s="411">
        <v>0.6</v>
      </c>
      <c r="I11458" s="412">
        <f>Alat!H102</f>
        <v>0</v>
      </c>
      <c r="J11458" s="16">
        <f>H11458*I11458</f>
        <v>0</v>
      </c>
    </row>
    <row r="11459" spans="1:10" ht="13.5" hidden="1" thickBot="1">
      <c r="A11459" s="27"/>
      <c r="B11459" s="110"/>
      <c r="D11459" s="417"/>
      <c r="E11459" s="418"/>
      <c r="F11459" s="418"/>
      <c r="G11459" s="419"/>
      <c r="H11459" s="420" t="s">
        <v>67</v>
      </c>
      <c r="I11459" s="421"/>
      <c r="J11459" s="396">
        <f>J11458</f>
        <v>0</v>
      </c>
    </row>
    <row r="11460" spans="1:10" ht="13" hidden="1">
      <c r="A11460" s="27"/>
      <c r="B11460" s="110"/>
      <c r="D11460" s="444" t="s">
        <v>68</v>
      </c>
      <c r="E11460" s="445" t="s">
        <v>69</v>
      </c>
      <c r="F11460" s="446"/>
      <c r="G11460" s="447"/>
      <c r="H11460" s="448"/>
      <c r="I11460" s="449">
        <f>IF(AND(E11460&lt;&gt;"",G11460&lt;&gt;""),IF(D11460="",IF(G11460="OH",VLOOKUP(E11460,UPAH!$C$4:$H$31,7,0),VLOOKUP(E11460,#REF!,4,0)),0),0)</f>
        <v>0</v>
      </c>
      <c r="J11460" s="16" t="e">
        <f>SUM(J11449:J11459)/2</f>
        <v>#VALUE!</v>
      </c>
    </row>
    <row r="11461" spans="1:10" ht="13" hidden="1">
      <c r="A11461" s="27"/>
      <c r="B11461" s="110"/>
      <c r="D11461" s="431" t="s">
        <v>70</v>
      </c>
      <c r="E11461" s="432" t="s">
        <v>477</v>
      </c>
      <c r="F11461" s="433"/>
      <c r="G11461" s="434"/>
      <c r="H11461" s="22">
        <v>0.1</v>
      </c>
      <c r="I11461" s="436"/>
      <c r="J11461" s="430" t="e">
        <f>H11461*J11460</f>
        <v>#VALUE!</v>
      </c>
    </row>
    <row r="11462" spans="1:10" ht="13.5" hidden="1" thickBot="1">
      <c r="A11462" s="27"/>
      <c r="B11462" s="110"/>
      <c r="D11462" s="401" t="s">
        <v>71</v>
      </c>
      <c r="E11462" s="402" t="s">
        <v>72</v>
      </c>
      <c r="F11462" s="418"/>
      <c r="G11462" s="419"/>
      <c r="H11462" s="442"/>
      <c r="I11462" s="421">
        <f>IF(AND(E11462&lt;&gt;"",G11462&lt;&gt;""),IF(D11462="",IF(G11462="OH",VLOOKUP(E11462,UPAH!$C$4:$H$31,7,0),VLOOKUP(E11462,#REF!,4,0)),0),0)</f>
        <v>0</v>
      </c>
      <c r="J11462" s="396" t="e">
        <f>ROUNDDOWN(J11460+J11461,0)</f>
        <v>#VALUE!</v>
      </c>
    </row>
    <row r="11463" spans="1:10" ht="13" hidden="1">
      <c r="A11463" s="27"/>
      <c r="B11463" s="110"/>
      <c r="D11463" s="11"/>
      <c r="E11463" s="11"/>
      <c r="H11463" s="443"/>
      <c r="I11463" s="17"/>
      <c r="J11463" s="18"/>
    </row>
    <row r="11464" spans="1:10" ht="13" hidden="1">
      <c r="A11464" s="27"/>
      <c r="B11464" s="110"/>
      <c r="C11464" s="11" t="s">
        <v>1708</v>
      </c>
      <c r="D11464" s="10" t="s">
        <v>16</v>
      </c>
      <c r="H11464" s="443"/>
    </row>
    <row r="11465" spans="1:10" ht="13.5" hidden="1" thickBot="1">
      <c r="A11465" s="27"/>
      <c r="B11465" s="110"/>
      <c r="D11465" s="401" t="s">
        <v>40</v>
      </c>
      <c r="E11465" s="402" t="s">
        <v>41</v>
      </c>
      <c r="F11465" s="402" t="s">
        <v>42</v>
      </c>
      <c r="G11465" s="403" t="s">
        <v>43</v>
      </c>
      <c r="H11465" s="404" t="s">
        <v>44</v>
      </c>
      <c r="I11465" s="402" t="s">
        <v>474</v>
      </c>
      <c r="J11465" s="405" t="s">
        <v>475</v>
      </c>
    </row>
    <row r="11466" spans="1:10" ht="13" hidden="1">
      <c r="A11466" s="27"/>
      <c r="B11466" s="110"/>
      <c r="D11466" s="444" t="s">
        <v>45</v>
      </c>
      <c r="E11466" s="445" t="s">
        <v>46</v>
      </c>
      <c r="F11466" s="446"/>
      <c r="G11466" s="447"/>
      <c r="H11466" s="448"/>
      <c r="I11466" s="449"/>
      <c r="J11466" s="450"/>
    </row>
    <row r="11467" spans="1:10" ht="13" hidden="1">
      <c r="A11467" s="27"/>
      <c r="B11467" s="110"/>
      <c r="D11467" s="409"/>
      <c r="E11467" s="13" t="s">
        <v>47</v>
      </c>
      <c r="F11467" s="13" t="s">
        <v>1918</v>
      </c>
      <c r="G11467" s="410" t="s">
        <v>48</v>
      </c>
      <c r="H11467" s="411">
        <v>1.0960000000000001</v>
      </c>
      <c r="I11467" s="412">
        <f>IF(AND(E11467&lt;&gt;"",G11467&lt;&gt;""),IF(D11467="",IF(G11467="OH",VLOOKUP(F11467,UPAH!$B$4:$H$101,7,0),VLOOKUP(F11467,#REF!,4,0)),0),0)</f>
        <v>0</v>
      </c>
      <c r="J11467" s="16">
        <f>H11467*I11467</f>
        <v>0</v>
      </c>
    </row>
    <row r="11468" spans="1:10" ht="13" hidden="1">
      <c r="A11468" s="27"/>
      <c r="B11468" s="110"/>
      <c r="D11468" s="409"/>
      <c r="E11468" s="13" t="s">
        <v>283</v>
      </c>
      <c r="F11468" s="13" t="s">
        <v>1913</v>
      </c>
      <c r="G11468" s="410" t="s">
        <v>48</v>
      </c>
      <c r="H11468" s="411">
        <v>0.54800000000000004</v>
      </c>
      <c r="I11468" s="412">
        <f>IF(AND(E11468&lt;&gt;"",G11468&lt;&gt;""),IF(D11468="",IF(G11468="OH",VLOOKUP(F11468,UPAH!$B$4:$H$101,7,0),VLOOKUP(F11468,#REF!,4,0)),0),0)</f>
        <v>0</v>
      </c>
      <c r="J11468" s="16">
        <f>H11468*I11468</f>
        <v>0</v>
      </c>
    </row>
    <row r="11469" spans="1:10" ht="13" hidden="1">
      <c r="A11469" s="27"/>
      <c r="B11469" s="110"/>
      <c r="D11469" s="409"/>
      <c r="E11469" s="13" t="s">
        <v>51</v>
      </c>
      <c r="F11469" s="13" t="s">
        <v>1929</v>
      </c>
      <c r="G11469" s="410" t="s">
        <v>48</v>
      </c>
      <c r="H11469" s="411">
        <v>0.11</v>
      </c>
      <c r="I11469" s="412">
        <f>IF(AND(E11469&lt;&gt;"",G11469&lt;&gt;""),IF(D11469="",IF(G11469="OH",VLOOKUP(F11469,UPAH!$B$4:$H$101,7,0),VLOOKUP(F11469,#REF!,4,0)),0),0)</f>
        <v>0</v>
      </c>
      <c r="J11469" s="16">
        <f>H11469*I11469</f>
        <v>0</v>
      </c>
    </row>
    <row r="11470" spans="1:10" ht="13.5" hidden="1" thickBot="1">
      <c r="A11470" s="27"/>
      <c r="B11470" s="110"/>
      <c r="D11470" s="417"/>
      <c r="E11470" s="418"/>
      <c r="F11470" s="418"/>
      <c r="G11470" s="419"/>
      <c r="H11470" s="420" t="s">
        <v>52</v>
      </c>
      <c r="I11470" s="421"/>
      <c r="J11470" s="396">
        <f>SUM(J11466:J11469)</f>
        <v>0</v>
      </c>
    </row>
    <row r="11471" spans="1:10" ht="13" hidden="1">
      <c r="A11471" s="27"/>
      <c r="B11471" s="110"/>
      <c r="D11471" s="406" t="s">
        <v>53</v>
      </c>
      <c r="E11471" s="13" t="s">
        <v>54</v>
      </c>
      <c r="F11471" s="14"/>
      <c r="G11471" s="15"/>
      <c r="H11471" s="451"/>
      <c r="I11471" s="412"/>
      <c r="J11471" s="16"/>
    </row>
    <row r="11472" spans="1:10" ht="13" hidden="1">
      <c r="A11472" s="27"/>
      <c r="B11472" s="110"/>
      <c r="D11472" s="409"/>
      <c r="E11472" s="13" t="s">
        <v>1097</v>
      </c>
      <c r="F11472" s="14"/>
      <c r="G11472" s="410" t="s">
        <v>259</v>
      </c>
      <c r="H11472" s="411">
        <v>1</v>
      </c>
      <c r="I11472" s="412" t="s">
        <v>3187</v>
      </c>
      <c r="J11472" s="16" t="e">
        <f>H11472*I11472</f>
        <v>#VALUE!</v>
      </c>
    </row>
    <row r="11473" spans="1:10" ht="13.5" hidden="1" thickBot="1">
      <c r="A11473" s="27"/>
      <c r="B11473" s="110"/>
      <c r="D11473" s="417"/>
      <c r="E11473" s="418"/>
      <c r="F11473" s="418"/>
      <c r="G11473" s="419"/>
      <c r="H11473" s="420" t="s">
        <v>64</v>
      </c>
      <c r="I11473" s="421"/>
      <c r="J11473" s="396" t="e">
        <f>SUM(J11472)</f>
        <v>#VALUE!</v>
      </c>
    </row>
    <row r="11474" spans="1:10" ht="13" hidden="1">
      <c r="A11474" s="27"/>
      <c r="B11474" s="110"/>
      <c r="D11474" s="406" t="s">
        <v>65</v>
      </c>
      <c r="E11474" s="13" t="s">
        <v>66</v>
      </c>
      <c r="F11474" s="14"/>
      <c r="G11474" s="15"/>
      <c r="H11474" s="451"/>
      <c r="I11474" s="412"/>
      <c r="J11474" s="16"/>
    </row>
    <row r="11475" spans="1:10" ht="13" hidden="1">
      <c r="A11475" s="27"/>
      <c r="B11475" s="110"/>
      <c r="D11475" s="409"/>
      <c r="E11475" s="13" t="s">
        <v>446</v>
      </c>
      <c r="F11475" s="14"/>
      <c r="G11475" s="410" t="s">
        <v>285</v>
      </c>
      <c r="H11475" s="411">
        <v>0.193</v>
      </c>
      <c r="I11475" s="412">
        <f>Alat!H102</f>
        <v>0</v>
      </c>
      <c r="J11475" s="16">
        <f>H11475*I11475</f>
        <v>0</v>
      </c>
    </row>
    <row r="11476" spans="1:10" ht="13" hidden="1">
      <c r="A11476" s="27"/>
      <c r="B11476" s="110"/>
      <c r="D11476" s="409"/>
      <c r="E11476" s="13" t="s">
        <v>404</v>
      </c>
      <c r="F11476" s="14"/>
      <c r="G11476" s="410" t="s">
        <v>285</v>
      </c>
      <c r="H11476" s="411">
        <v>9.6000000000000002E-2</v>
      </c>
      <c r="I11476" s="412">
        <f>Alat!H27</f>
        <v>0</v>
      </c>
      <c r="J11476" s="16">
        <f>H11476*I11476</f>
        <v>0</v>
      </c>
    </row>
    <row r="11477" spans="1:10" ht="13.5" hidden="1" thickBot="1">
      <c r="A11477" s="27"/>
      <c r="B11477" s="110"/>
      <c r="D11477" s="417"/>
      <c r="E11477" s="418"/>
      <c r="F11477" s="418"/>
      <c r="G11477" s="419"/>
      <c r="H11477" s="420" t="s">
        <v>67</v>
      </c>
      <c r="I11477" s="421"/>
      <c r="J11477" s="396">
        <f>SUM(J11475:J11476)</f>
        <v>0</v>
      </c>
    </row>
    <row r="11478" spans="1:10" ht="13" hidden="1">
      <c r="A11478" s="27"/>
      <c r="B11478" s="110"/>
      <c r="D11478" s="444" t="s">
        <v>68</v>
      </c>
      <c r="E11478" s="445" t="s">
        <v>69</v>
      </c>
      <c r="F11478" s="446"/>
      <c r="G11478" s="447"/>
      <c r="H11478" s="448"/>
      <c r="I11478" s="449">
        <f>IF(AND(E11478&lt;&gt;"",G11478&lt;&gt;""),IF(D11478="",IF(G11478="OH",VLOOKUP(E11478,UPAH!$C$4:$H$31,7,0),VLOOKUP(E11478,#REF!,4,0)),0),0)</f>
        <v>0</v>
      </c>
      <c r="J11478" s="16" t="e">
        <f>SUM(J11467:J11477)/2</f>
        <v>#VALUE!</v>
      </c>
    </row>
    <row r="11479" spans="1:10" ht="13" hidden="1">
      <c r="A11479" s="27"/>
      <c r="B11479" s="110"/>
      <c r="D11479" s="431" t="s">
        <v>70</v>
      </c>
      <c r="E11479" s="432" t="s">
        <v>477</v>
      </c>
      <c r="F11479" s="433"/>
      <c r="G11479" s="434"/>
      <c r="H11479" s="22">
        <v>0.1</v>
      </c>
      <c r="I11479" s="436"/>
      <c r="J11479" s="430" t="e">
        <f>H11479*J11478</f>
        <v>#VALUE!</v>
      </c>
    </row>
    <row r="11480" spans="1:10" ht="13.5" hidden="1" thickBot="1">
      <c r="A11480" s="27"/>
      <c r="B11480" s="110"/>
      <c r="D11480" s="401" t="s">
        <v>71</v>
      </c>
      <c r="E11480" s="402" t="s">
        <v>72</v>
      </c>
      <c r="F11480" s="418"/>
      <c r="G11480" s="419"/>
      <c r="H11480" s="442"/>
      <c r="I11480" s="421">
        <f>IF(AND(E11480&lt;&gt;"",G11480&lt;&gt;""),IF(D11480="",IF(G11480="OH",VLOOKUP(E11480,UPAH!$C$4:$H$31,7,0),VLOOKUP(E11480,#REF!,4,0)),0),0)</f>
        <v>0</v>
      </c>
      <c r="J11480" s="396" t="e">
        <f>ROUNDDOWN(J11478+J11479,0)</f>
        <v>#VALUE!</v>
      </c>
    </row>
    <row r="11481" spans="1:10" ht="13" hidden="1">
      <c r="A11481" s="27"/>
      <c r="B11481" s="110"/>
      <c r="D11481" s="11"/>
      <c r="E11481" s="11"/>
      <c r="H11481" s="443"/>
      <c r="I11481" s="17"/>
      <c r="J11481" s="18"/>
    </row>
    <row r="11482" spans="1:10" ht="13" hidden="1">
      <c r="A11482" s="27"/>
      <c r="B11482" s="110"/>
      <c r="C11482" s="11" t="s">
        <v>1707</v>
      </c>
      <c r="D11482" s="10" t="s">
        <v>17</v>
      </c>
      <c r="H11482" s="443"/>
    </row>
    <row r="11483" spans="1:10" ht="13.5" hidden="1" thickBot="1">
      <c r="A11483" s="27"/>
      <c r="B11483" s="110"/>
      <c r="D11483" s="401" t="s">
        <v>40</v>
      </c>
      <c r="E11483" s="402" t="s">
        <v>41</v>
      </c>
      <c r="F11483" s="402" t="s">
        <v>42</v>
      </c>
      <c r="G11483" s="403" t="s">
        <v>43</v>
      </c>
      <c r="H11483" s="404" t="s">
        <v>44</v>
      </c>
      <c r="I11483" s="402" t="s">
        <v>474</v>
      </c>
      <c r="J11483" s="405" t="s">
        <v>475</v>
      </c>
    </row>
    <row r="11484" spans="1:10" ht="13" hidden="1">
      <c r="A11484" s="27"/>
      <c r="B11484" s="110"/>
      <c r="D11484" s="444" t="s">
        <v>45</v>
      </c>
      <c r="E11484" s="445" t="s">
        <v>46</v>
      </c>
      <c r="F11484" s="446"/>
      <c r="G11484" s="447"/>
      <c r="H11484" s="448"/>
      <c r="I11484" s="449"/>
      <c r="J11484" s="450"/>
    </row>
    <row r="11485" spans="1:10" ht="13" hidden="1">
      <c r="A11485" s="27"/>
      <c r="B11485" s="110"/>
      <c r="D11485" s="409"/>
      <c r="E11485" s="13" t="s">
        <v>47</v>
      </c>
      <c r="F11485" s="13" t="s">
        <v>1918</v>
      </c>
      <c r="G11485" s="410" t="s">
        <v>48</v>
      </c>
      <c r="H11485" s="411">
        <v>1.3160000000000001</v>
      </c>
      <c r="I11485" s="412">
        <f>IF(AND(E11485&lt;&gt;"",G11485&lt;&gt;""),IF(D11485="",IF(G11485="OH",VLOOKUP(F11485,UPAH!$B$4:$H$101,7,0),VLOOKUP(F11485,#REF!,4,0)),0),0)</f>
        <v>0</v>
      </c>
      <c r="J11485" s="16">
        <f>H11485*I11485</f>
        <v>0</v>
      </c>
    </row>
    <row r="11486" spans="1:10" ht="13" hidden="1">
      <c r="A11486" s="27"/>
      <c r="B11486" s="110"/>
      <c r="D11486" s="409"/>
      <c r="E11486" s="13" t="s">
        <v>283</v>
      </c>
      <c r="F11486" s="13" t="s">
        <v>1913</v>
      </c>
      <c r="G11486" s="410" t="s">
        <v>48</v>
      </c>
      <c r="H11486" s="411">
        <v>0.65800000000000003</v>
      </c>
      <c r="I11486" s="412">
        <f>IF(AND(E11486&lt;&gt;"",G11486&lt;&gt;""),IF(D11486="",IF(G11486="OH",VLOOKUP(F11486,UPAH!$B$4:$H$101,7,0),VLOOKUP(F11486,#REF!,4,0)),0),0)</f>
        <v>0</v>
      </c>
      <c r="J11486" s="16">
        <f>H11486*I11486</f>
        <v>0</v>
      </c>
    </row>
    <row r="11487" spans="1:10" ht="13" hidden="1">
      <c r="A11487" s="27"/>
      <c r="B11487" s="110"/>
      <c r="D11487" s="409"/>
      <c r="E11487" s="13" t="s">
        <v>51</v>
      </c>
      <c r="F11487" s="13" t="s">
        <v>1929</v>
      </c>
      <c r="G11487" s="410" t="s">
        <v>48</v>
      </c>
      <c r="H11487" s="411">
        <v>0.13200000000000001</v>
      </c>
      <c r="I11487" s="412">
        <f>IF(AND(E11487&lt;&gt;"",G11487&lt;&gt;""),IF(D11487="",IF(G11487="OH",VLOOKUP(F11487,UPAH!$B$4:$H$101,7,0),VLOOKUP(F11487,#REF!,4,0)),0),0)</f>
        <v>0</v>
      </c>
      <c r="J11487" s="16">
        <f>H11487*I11487</f>
        <v>0</v>
      </c>
    </row>
    <row r="11488" spans="1:10" ht="13.5" hidden="1" thickBot="1">
      <c r="A11488" s="27"/>
      <c r="B11488" s="110"/>
      <c r="D11488" s="417"/>
      <c r="E11488" s="418"/>
      <c r="F11488" s="418"/>
      <c r="G11488" s="419"/>
      <c r="H11488" s="420" t="s">
        <v>52</v>
      </c>
      <c r="I11488" s="421"/>
      <c r="J11488" s="396">
        <f>SUM(J11484:J11487)</f>
        <v>0</v>
      </c>
    </row>
    <row r="11489" spans="1:10" ht="13" hidden="1">
      <c r="A11489" s="27"/>
      <c r="B11489" s="110"/>
      <c r="D11489" s="406" t="s">
        <v>53</v>
      </c>
      <c r="E11489" s="13" t="s">
        <v>54</v>
      </c>
      <c r="F11489" s="14"/>
      <c r="G11489" s="15"/>
      <c r="H11489" s="451"/>
      <c r="I11489" s="412"/>
      <c r="J11489" s="16"/>
    </row>
    <row r="11490" spans="1:10" ht="13" hidden="1">
      <c r="A11490" s="27"/>
      <c r="B11490" s="110"/>
      <c r="D11490" s="409"/>
      <c r="E11490" s="13" t="s">
        <v>1098</v>
      </c>
      <c r="F11490" s="14"/>
      <c r="G11490" s="410" t="s">
        <v>259</v>
      </c>
      <c r="H11490" s="411">
        <v>1</v>
      </c>
      <c r="I11490" s="412" t="s">
        <v>3187</v>
      </c>
      <c r="J11490" s="16" t="e">
        <f>H11490*I11490</f>
        <v>#VALUE!</v>
      </c>
    </row>
    <row r="11491" spans="1:10" ht="13.5" hidden="1" thickBot="1">
      <c r="A11491" s="27"/>
      <c r="B11491" s="110"/>
      <c r="D11491" s="417"/>
      <c r="E11491" s="418"/>
      <c r="F11491" s="418"/>
      <c r="G11491" s="419"/>
      <c r="H11491" s="420" t="s">
        <v>64</v>
      </c>
      <c r="I11491" s="421"/>
      <c r="J11491" s="396" t="e">
        <f>SUM(J11490)</f>
        <v>#VALUE!</v>
      </c>
    </row>
    <row r="11492" spans="1:10" ht="13" hidden="1">
      <c r="A11492" s="27"/>
      <c r="B11492" s="110"/>
      <c r="D11492" s="406" t="s">
        <v>65</v>
      </c>
      <c r="E11492" s="13" t="s">
        <v>66</v>
      </c>
      <c r="F11492" s="14"/>
      <c r="G11492" s="15"/>
      <c r="H11492" s="451"/>
      <c r="I11492" s="412"/>
      <c r="J11492" s="16"/>
    </row>
    <row r="11493" spans="1:10" ht="13" hidden="1">
      <c r="A11493" s="27"/>
      <c r="B11493" s="110"/>
      <c r="D11493" s="409"/>
      <c r="E11493" s="13" t="s">
        <v>446</v>
      </c>
      <c r="F11493" s="14"/>
      <c r="G11493" s="410" t="s">
        <v>285</v>
      </c>
      <c r="H11493" s="411">
        <v>0.22500000000000001</v>
      </c>
      <c r="I11493" s="412">
        <f>Alat!H102</f>
        <v>0</v>
      </c>
      <c r="J11493" s="16">
        <f>H11493*I11493</f>
        <v>0</v>
      </c>
    </row>
    <row r="11494" spans="1:10" ht="13" hidden="1">
      <c r="A11494" s="27"/>
      <c r="B11494" s="110"/>
      <c r="D11494" s="409"/>
      <c r="E11494" s="13" t="s">
        <v>404</v>
      </c>
      <c r="F11494" s="14"/>
      <c r="G11494" s="410" t="s">
        <v>285</v>
      </c>
      <c r="H11494" s="411">
        <v>0.113</v>
      </c>
      <c r="I11494" s="412">
        <f>Alat!H27</f>
        <v>0</v>
      </c>
      <c r="J11494" s="16">
        <f>H11494*I11494</f>
        <v>0</v>
      </c>
    </row>
    <row r="11495" spans="1:10" ht="13.5" hidden="1" thickBot="1">
      <c r="A11495" s="27"/>
      <c r="B11495" s="110"/>
      <c r="D11495" s="417"/>
      <c r="E11495" s="418"/>
      <c r="F11495" s="418"/>
      <c r="G11495" s="419"/>
      <c r="H11495" s="420" t="s">
        <v>67</v>
      </c>
      <c r="I11495" s="421"/>
      <c r="J11495" s="396">
        <f>SUM(J11493:J11494)</f>
        <v>0</v>
      </c>
    </row>
    <row r="11496" spans="1:10" ht="13" hidden="1">
      <c r="A11496" s="27"/>
      <c r="B11496" s="110"/>
      <c r="D11496" s="444" t="s">
        <v>68</v>
      </c>
      <c r="E11496" s="445" t="s">
        <v>69</v>
      </c>
      <c r="F11496" s="446"/>
      <c r="G11496" s="447"/>
      <c r="H11496" s="448"/>
      <c r="I11496" s="449">
        <f>IF(AND(E11496&lt;&gt;"",G11496&lt;&gt;""),IF(D11496="",IF(G11496="OH",VLOOKUP(E11496,UPAH!$C$4:$H$31,7,0),VLOOKUP(E11496,#REF!,4,0)),0),0)</f>
        <v>0</v>
      </c>
      <c r="J11496" s="16" t="e">
        <f>SUM(J11485:J11495)/2</f>
        <v>#VALUE!</v>
      </c>
    </row>
    <row r="11497" spans="1:10" ht="13" hidden="1">
      <c r="A11497" s="27"/>
      <c r="B11497" s="110"/>
      <c r="D11497" s="431" t="s">
        <v>70</v>
      </c>
      <c r="E11497" s="432" t="s">
        <v>477</v>
      </c>
      <c r="F11497" s="433"/>
      <c r="G11497" s="434"/>
      <c r="H11497" s="22">
        <v>0.1</v>
      </c>
      <c r="I11497" s="436"/>
      <c r="J11497" s="430" t="e">
        <f>H11497*J11496</f>
        <v>#VALUE!</v>
      </c>
    </row>
    <row r="11498" spans="1:10" ht="13.5" hidden="1" thickBot="1">
      <c r="A11498" s="27"/>
      <c r="B11498" s="110"/>
      <c r="D11498" s="401" t="s">
        <v>71</v>
      </c>
      <c r="E11498" s="402" t="s">
        <v>72</v>
      </c>
      <c r="F11498" s="418"/>
      <c r="G11498" s="419"/>
      <c r="H11498" s="442"/>
      <c r="I11498" s="421">
        <f>IF(AND(E11498&lt;&gt;"",G11498&lt;&gt;""),IF(D11498="",IF(G11498="OH",VLOOKUP(E11498,UPAH!$C$4:$H$31,7,0),VLOOKUP(E11498,#REF!,4,0)),0),0)</f>
        <v>0</v>
      </c>
      <c r="J11498" s="396" t="e">
        <f>ROUNDDOWN(J11496+J11497,0)</f>
        <v>#VALUE!</v>
      </c>
    </row>
    <row r="11499" spans="1:10" ht="13" hidden="1">
      <c r="A11499" s="27"/>
      <c r="B11499" s="110"/>
      <c r="D11499" s="11"/>
      <c r="E11499" s="11"/>
      <c r="H11499" s="443"/>
      <c r="I11499" s="17"/>
      <c r="J11499" s="18"/>
    </row>
    <row r="11500" spans="1:10" ht="13" hidden="1">
      <c r="A11500" s="27"/>
      <c r="B11500" s="110"/>
      <c r="C11500" s="11" t="s">
        <v>1706</v>
      </c>
      <c r="D11500" s="10" t="s">
        <v>18</v>
      </c>
      <c r="H11500" s="443"/>
    </row>
    <row r="11501" spans="1:10" ht="13.5" hidden="1" thickBot="1">
      <c r="A11501" s="27"/>
      <c r="B11501" s="110"/>
      <c r="D11501" s="401" t="s">
        <v>40</v>
      </c>
      <c r="E11501" s="402" t="s">
        <v>41</v>
      </c>
      <c r="F11501" s="402" t="s">
        <v>42</v>
      </c>
      <c r="G11501" s="403" t="s">
        <v>43</v>
      </c>
      <c r="H11501" s="404" t="s">
        <v>44</v>
      </c>
      <c r="I11501" s="402" t="s">
        <v>474</v>
      </c>
      <c r="J11501" s="405" t="s">
        <v>475</v>
      </c>
    </row>
    <row r="11502" spans="1:10" ht="13" hidden="1">
      <c r="A11502" s="27"/>
      <c r="B11502" s="110"/>
      <c r="D11502" s="444" t="s">
        <v>45</v>
      </c>
      <c r="E11502" s="445" t="s">
        <v>46</v>
      </c>
      <c r="F11502" s="446"/>
      <c r="G11502" s="447"/>
      <c r="H11502" s="448"/>
      <c r="I11502" s="449"/>
      <c r="J11502" s="450"/>
    </row>
    <row r="11503" spans="1:10" ht="13" hidden="1">
      <c r="A11503" s="27"/>
      <c r="B11503" s="110"/>
      <c r="D11503" s="409"/>
      <c r="E11503" s="13" t="s">
        <v>47</v>
      </c>
      <c r="F11503" s="13" t="s">
        <v>1918</v>
      </c>
      <c r="G11503" s="410" t="s">
        <v>48</v>
      </c>
      <c r="H11503" s="411">
        <v>1.536</v>
      </c>
      <c r="I11503" s="412">
        <f>IF(AND(E11503&lt;&gt;"",G11503&lt;&gt;""),IF(D11503="",IF(G11503="OH",VLOOKUP(F11503,UPAH!$B$4:$H$101,7,0),VLOOKUP(F11503,#REF!,4,0)),0),0)</f>
        <v>0</v>
      </c>
      <c r="J11503" s="16">
        <f>H11503*I11503</f>
        <v>0</v>
      </c>
    </row>
    <row r="11504" spans="1:10" ht="13" hidden="1">
      <c r="A11504" s="27"/>
      <c r="B11504" s="110"/>
      <c r="D11504" s="409"/>
      <c r="E11504" s="13" t="s">
        <v>283</v>
      </c>
      <c r="F11504" s="13" t="s">
        <v>1913</v>
      </c>
      <c r="G11504" s="410" t="s">
        <v>48</v>
      </c>
      <c r="H11504" s="411">
        <v>0.76800000000000002</v>
      </c>
      <c r="I11504" s="412">
        <f>IF(AND(E11504&lt;&gt;"",G11504&lt;&gt;""),IF(D11504="",IF(G11504="OH",VLOOKUP(F11504,UPAH!$B$4:$H$101,7,0),VLOOKUP(F11504,#REF!,4,0)),0),0)</f>
        <v>0</v>
      </c>
      <c r="J11504" s="16">
        <f>H11504*I11504</f>
        <v>0</v>
      </c>
    </row>
    <row r="11505" spans="1:10" ht="13" hidden="1">
      <c r="A11505" s="27"/>
      <c r="B11505" s="110"/>
      <c r="D11505" s="409"/>
      <c r="E11505" s="13" t="s">
        <v>51</v>
      </c>
      <c r="F11505" s="13" t="s">
        <v>1929</v>
      </c>
      <c r="G11505" s="410" t="s">
        <v>48</v>
      </c>
      <c r="H11505" s="411">
        <v>0.154</v>
      </c>
      <c r="I11505" s="412">
        <f>IF(AND(E11505&lt;&gt;"",G11505&lt;&gt;""),IF(D11505="",IF(G11505="OH",VLOOKUP(F11505,UPAH!$B$4:$H$101,7,0),VLOOKUP(F11505,#REF!,4,0)),0),0)</f>
        <v>0</v>
      </c>
      <c r="J11505" s="16">
        <f>H11505*I11505</f>
        <v>0</v>
      </c>
    </row>
    <row r="11506" spans="1:10" ht="13.5" hidden="1" thickBot="1">
      <c r="A11506" s="27"/>
      <c r="B11506" s="110"/>
      <c r="D11506" s="417"/>
      <c r="E11506" s="418"/>
      <c r="F11506" s="418"/>
      <c r="G11506" s="419"/>
      <c r="H11506" s="420" t="s">
        <v>52</v>
      </c>
      <c r="I11506" s="421"/>
      <c r="J11506" s="396">
        <f>SUM(J11502:J11505)</f>
        <v>0</v>
      </c>
    </row>
    <row r="11507" spans="1:10" ht="13" hidden="1">
      <c r="A11507" s="27"/>
      <c r="B11507" s="110"/>
      <c r="D11507" s="406" t="s">
        <v>53</v>
      </c>
      <c r="E11507" s="13" t="s">
        <v>54</v>
      </c>
      <c r="F11507" s="14"/>
      <c r="G11507" s="15"/>
      <c r="H11507" s="451"/>
      <c r="I11507" s="412"/>
      <c r="J11507" s="16"/>
    </row>
    <row r="11508" spans="1:10" ht="13" hidden="1">
      <c r="A11508" s="27"/>
      <c r="B11508" s="110"/>
      <c r="D11508" s="409"/>
      <c r="E11508" s="13" t="s">
        <v>1099</v>
      </c>
      <c r="F11508" s="14"/>
      <c r="G11508" s="410" t="s">
        <v>259</v>
      </c>
      <c r="H11508" s="411">
        <v>1</v>
      </c>
      <c r="I11508" s="412" t="s">
        <v>3187</v>
      </c>
      <c r="J11508" s="16" t="e">
        <f>H11508*I11508</f>
        <v>#VALUE!</v>
      </c>
    </row>
    <row r="11509" spans="1:10" ht="13.5" hidden="1" thickBot="1">
      <c r="A11509" s="27"/>
      <c r="B11509" s="110"/>
      <c r="D11509" s="417"/>
      <c r="E11509" s="418"/>
      <c r="F11509" s="418"/>
      <c r="G11509" s="419"/>
      <c r="H11509" s="420" t="s">
        <v>64</v>
      </c>
      <c r="I11509" s="421"/>
      <c r="J11509" s="396" t="e">
        <f>SUM(J11508)</f>
        <v>#VALUE!</v>
      </c>
    </row>
    <row r="11510" spans="1:10" ht="13" hidden="1">
      <c r="A11510" s="27"/>
      <c r="B11510" s="110"/>
      <c r="D11510" s="406" t="s">
        <v>65</v>
      </c>
      <c r="E11510" s="13" t="s">
        <v>66</v>
      </c>
      <c r="F11510" s="14"/>
      <c r="G11510" s="15"/>
      <c r="H11510" s="451"/>
      <c r="I11510" s="412"/>
      <c r="J11510" s="16"/>
    </row>
    <row r="11511" spans="1:10" ht="13" hidden="1">
      <c r="A11511" s="27"/>
      <c r="B11511" s="110"/>
      <c r="D11511" s="409"/>
      <c r="E11511" s="13" t="s">
        <v>446</v>
      </c>
      <c r="F11511" s="14"/>
      <c r="G11511" s="410" t="s">
        <v>285</v>
      </c>
      <c r="H11511" s="411">
        <v>0.25700000000000001</v>
      </c>
      <c r="I11511" s="412">
        <f>Alat!H102</f>
        <v>0</v>
      </c>
      <c r="J11511" s="16">
        <f>H11511*I11511</f>
        <v>0</v>
      </c>
    </row>
    <row r="11512" spans="1:10" ht="13" hidden="1">
      <c r="A11512" s="27"/>
      <c r="B11512" s="110"/>
      <c r="D11512" s="409"/>
      <c r="E11512" s="13" t="s">
        <v>404</v>
      </c>
      <c r="F11512" s="14"/>
      <c r="G11512" s="410" t="s">
        <v>285</v>
      </c>
      <c r="H11512" s="411">
        <v>0.129</v>
      </c>
      <c r="I11512" s="412">
        <f>Alat!H27</f>
        <v>0</v>
      </c>
      <c r="J11512" s="16">
        <f>H11512*I11512</f>
        <v>0</v>
      </c>
    </row>
    <row r="11513" spans="1:10" ht="13.5" hidden="1" thickBot="1">
      <c r="A11513" s="27"/>
      <c r="B11513" s="110"/>
      <c r="D11513" s="417"/>
      <c r="E11513" s="418"/>
      <c r="F11513" s="418"/>
      <c r="G11513" s="419"/>
      <c r="H11513" s="420" t="s">
        <v>67</v>
      </c>
      <c r="I11513" s="421"/>
      <c r="J11513" s="396">
        <f>SUM(J11511:J11512)</f>
        <v>0</v>
      </c>
    </row>
    <row r="11514" spans="1:10" ht="13" hidden="1">
      <c r="A11514" s="27"/>
      <c r="B11514" s="110"/>
      <c r="D11514" s="444" t="s">
        <v>68</v>
      </c>
      <c r="E11514" s="445" t="s">
        <v>69</v>
      </c>
      <c r="F11514" s="446"/>
      <c r="G11514" s="447"/>
      <c r="H11514" s="448"/>
      <c r="I11514" s="449">
        <f>IF(AND(E11514&lt;&gt;"",G11514&lt;&gt;""),IF(D11514="",IF(G11514="OH",VLOOKUP(E11514,UPAH!$C$4:$H$31,7,0),VLOOKUP(E11514,#REF!,4,0)),0),0)</f>
        <v>0</v>
      </c>
      <c r="J11514" s="16" t="e">
        <f>SUM(J11503:J11513)/2</f>
        <v>#VALUE!</v>
      </c>
    </row>
    <row r="11515" spans="1:10" ht="13" hidden="1">
      <c r="A11515" s="27"/>
      <c r="B11515" s="110"/>
      <c r="D11515" s="431" t="s">
        <v>70</v>
      </c>
      <c r="E11515" s="432" t="s">
        <v>477</v>
      </c>
      <c r="F11515" s="433"/>
      <c r="G11515" s="434"/>
      <c r="H11515" s="22">
        <v>0.1</v>
      </c>
      <c r="I11515" s="436"/>
      <c r="J11515" s="430" t="e">
        <f>H11515*J11514</f>
        <v>#VALUE!</v>
      </c>
    </row>
    <row r="11516" spans="1:10" ht="13.5" hidden="1" thickBot="1">
      <c r="A11516" s="27"/>
      <c r="B11516" s="110"/>
      <c r="D11516" s="401" t="s">
        <v>71</v>
      </c>
      <c r="E11516" s="402" t="s">
        <v>72</v>
      </c>
      <c r="F11516" s="418"/>
      <c r="G11516" s="419"/>
      <c r="H11516" s="442"/>
      <c r="I11516" s="421">
        <f>IF(AND(E11516&lt;&gt;"",G11516&lt;&gt;""),IF(D11516="",IF(G11516="OH",VLOOKUP(E11516,UPAH!$C$4:$H$31,7,0),VLOOKUP(E11516,#REF!,4,0)),0),0)</f>
        <v>0</v>
      </c>
      <c r="J11516" s="396" t="e">
        <f>ROUNDDOWN(J11514+J11515,0)</f>
        <v>#VALUE!</v>
      </c>
    </row>
    <row r="11517" spans="1:10" ht="13" hidden="1">
      <c r="A11517" s="27"/>
      <c r="B11517" s="110"/>
      <c r="D11517" s="11"/>
      <c r="E11517" s="11"/>
      <c r="H11517" s="443"/>
      <c r="I11517" s="17"/>
      <c r="J11517" s="18"/>
    </row>
    <row r="11518" spans="1:10" ht="13" hidden="1">
      <c r="A11518" s="27"/>
      <c r="B11518" s="110"/>
      <c r="C11518" s="11" t="s">
        <v>1705</v>
      </c>
      <c r="D11518" s="10" t="s">
        <v>19</v>
      </c>
      <c r="H11518" s="443"/>
    </row>
    <row r="11519" spans="1:10" ht="13.5" hidden="1" thickBot="1">
      <c r="A11519" s="27"/>
      <c r="B11519" s="110"/>
      <c r="D11519" s="401" t="s">
        <v>40</v>
      </c>
      <c r="E11519" s="402" t="s">
        <v>41</v>
      </c>
      <c r="F11519" s="402" t="s">
        <v>42</v>
      </c>
      <c r="G11519" s="403" t="s">
        <v>43</v>
      </c>
      <c r="H11519" s="404" t="s">
        <v>44</v>
      </c>
      <c r="I11519" s="402" t="s">
        <v>474</v>
      </c>
      <c r="J11519" s="405" t="s">
        <v>475</v>
      </c>
    </row>
    <row r="11520" spans="1:10" ht="13" hidden="1">
      <c r="A11520" s="27"/>
      <c r="B11520" s="110"/>
      <c r="D11520" s="444" t="s">
        <v>45</v>
      </c>
      <c r="E11520" s="445" t="s">
        <v>46</v>
      </c>
      <c r="F11520" s="446"/>
      <c r="G11520" s="447"/>
      <c r="H11520" s="448"/>
      <c r="I11520" s="449"/>
      <c r="J11520" s="450"/>
    </row>
    <row r="11521" spans="1:10" ht="13" hidden="1">
      <c r="A11521" s="27"/>
      <c r="B11521" s="110"/>
      <c r="D11521" s="409"/>
      <c r="E11521" s="13" t="s">
        <v>47</v>
      </c>
      <c r="F11521" s="13" t="s">
        <v>1918</v>
      </c>
      <c r="G11521" s="410" t="s">
        <v>48</v>
      </c>
      <c r="H11521" s="411">
        <v>1.756</v>
      </c>
      <c r="I11521" s="412">
        <f>IF(AND(E11521&lt;&gt;"",G11521&lt;&gt;""),IF(D11521="",IF(G11521="OH",VLOOKUP(F11521,UPAH!$B$4:$H$101,7,0),VLOOKUP(F11521,#REF!,4,0)),0),0)</f>
        <v>0</v>
      </c>
      <c r="J11521" s="16">
        <f>H11521*I11521</f>
        <v>0</v>
      </c>
    </row>
    <row r="11522" spans="1:10" ht="13" hidden="1">
      <c r="A11522" s="27"/>
      <c r="B11522" s="110"/>
      <c r="D11522" s="409"/>
      <c r="E11522" s="13" t="s">
        <v>283</v>
      </c>
      <c r="F11522" s="13" t="s">
        <v>1913</v>
      </c>
      <c r="G11522" s="410" t="s">
        <v>48</v>
      </c>
      <c r="H11522" s="411">
        <v>0.878</v>
      </c>
      <c r="I11522" s="412">
        <f>IF(AND(E11522&lt;&gt;"",G11522&lt;&gt;""),IF(D11522="",IF(G11522="OH",VLOOKUP(F11522,UPAH!$B$4:$H$101,7,0),VLOOKUP(F11522,#REF!,4,0)),0),0)</f>
        <v>0</v>
      </c>
      <c r="J11522" s="16">
        <f>H11522*I11522</f>
        <v>0</v>
      </c>
    </row>
    <row r="11523" spans="1:10" ht="13" hidden="1">
      <c r="A11523" s="27"/>
      <c r="B11523" s="110"/>
      <c r="D11523" s="409"/>
      <c r="E11523" s="13" t="s">
        <v>51</v>
      </c>
      <c r="F11523" s="13" t="s">
        <v>1929</v>
      </c>
      <c r="G11523" s="410" t="s">
        <v>48</v>
      </c>
      <c r="H11523" s="411">
        <v>0.17599999999999999</v>
      </c>
      <c r="I11523" s="412">
        <f>IF(AND(E11523&lt;&gt;"",G11523&lt;&gt;""),IF(D11523="",IF(G11523="OH",VLOOKUP(F11523,UPAH!$B$4:$H$101,7,0),VLOOKUP(F11523,#REF!,4,0)),0),0)</f>
        <v>0</v>
      </c>
      <c r="J11523" s="16">
        <f>H11523*I11523</f>
        <v>0</v>
      </c>
    </row>
    <row r="11524" spans="1:10" ht="13.5" hidden="1" thickBot="1">
      <c r="A11524" s="27"/>
      <c r="B11524" s="110"/>
      <c r="D11524" s="417"/>
      <c r="E11524" s="418"/>
      <c r="F11524" s="418"/>
      <c r="G11524" s="419"/>
      <c r="H11524" s="420" t="s">
        <v>52</v>
      </c>
      <c r="I11524" s="421"/>
      <c r="J11524" s="396">
        <f>SUM(J11521:J11523)</f>
        <v>0</v>
      </c>
    </row>
    <row r="11525" spans="1:10" ht="13" hidden="1">
      <c r="A11525" s="27"/>
      <c r="B11525" s="110"/>
      <c r="D11525" s="406" t="s">
        <v>53</v>
      </c>
      <c r="E11525" s="13" t="s">
        <v>54</v>
      </c>
      <c r="F11525" s="14"/>
      <c r="G11525" s="15"/>
      <c r="H11525" s="451"/>
      <c r="I11525" s="412"/>
      <c r="J11525" s="16"/>
    </row>
    <row r="11526" spans="1:10" ht="13" hidden="1">
      <c r="A11526" s="27"/>
      <c r="B11526" s="110"/>
      <c r="D11526" s="409"/>
      <c r="E11526" s="13" t="s">
        <v>1100</v>
      </c>
      <c r="F11526" s="14"/>
      <c r="G11526" s="410" t="s">
        <v>259</v>
      </c>
      <c r="H11526" s="411">
        <v>1</v>
      </c>
      <c r="I11526" s="412" t="s">
        <v>3187</v>
      </c>
      <c r="J11526" s="16" t="e">
        <f>H11526*I11526</f>
        <v>#VALUE!</v>
      </c>
    </row>
    <row r="11527" spans="1:10" ht="13.5" hidden="1" thickBot="1">
      <c r="A11527" s="27"/>
      <c r="B11527" s="110"/>
      <c r="D11527" s="417"/>
      <c r="E11527" s="418"/>
      <c r="F11527" s="418"/>
      <c r="G11527" s="419"/>
      <c r="H11527" s="420" t="s">
        <v>64</v>
      </c>
      <c r="I11527" s="421"/>
      <c r="J11527" s="396" t="e">
        <f>SUM(J11526)</f>
        <v>#VALUE!</v>
      </c>
    </row>
    <row r="11528" spans="1:10" ht="13" hidden="1">
      <c r="A11528" s="27"/>
      <c r="B11528" s="110"/>
      <c r="D11528" s="406" t="s">
        <v>65</v>
      </c>
      <c r="E11528" s="13" t="s">
        <v>66</v>
      </c>
      <c r="F11528" s="14"/>
      <c r="G11528" s="15"/>
      <c r="H11528" s="451"/>
      <c r="I11528" s="412"/>
      <c r="J11528" s="16"/>
    </row>
    <row r="11529" spans="1:10" ht="13" hidden="1">
      <c r="A11529" s="27"/>
      <c r="B11529" s="110"/>
      <c r="D11529" s="409"/>
      <c r="E11529" s="13" t="s">
        <v>446</v>
      </c>
      <c r="F11529" s="14"/>
      <c r="G11529" s="410" t="s">
        <v>285</v>
      </c>
      <c r="H11529" s="411">
        <v>0.32100000000000001</v>
      </c>
      <c r="I11529" s="412">
        <f>Alat!H102</f>
        <v>0</v>
      </c>
      <c r="J11529" s="16">
        <f>H11529*I11529</f>
        <v>0</v>
      </c>
    </row>
    <row r="11530" spans="1:10" ht="13" hidden="1">
      <c r="A11530" s="27"/>
      <c r="B11530" s="110"/>
      <c r="D11530" s="409"/>
      <c r="E11530" s="13" t="s">
        <v>404</v>
      </c>
      <c r="F11530" s="14"/>
      <c r="G11530" s="410" t="s">
        <v>285</v>
      </c>
      <c r="H11530" s="411">
        <v>0.161</v>
      </c>
      <c r="I11530" s="412">
        <f>Alat!H27</f>
        <v>0</v>
      </c>
      <c r="J11530" s="16">
        <f>H11530*I11530</f>
        <v>0</v>
      </c>
    </row>
    <row r="11531" spans="1:10" ht="13.5" hidden="1" thickBot="1">
      <c r="A11531" s="27"/>
      <c r="B11531" s="110"/>
      <c r="D11531" s="417"/>
      <c r="E11531" s="418"/>
      <c r="F11531" s="418"/>
      <c r="G11531" s="419"/>
      <c r="H11531" s="420" t="s">
        <v>67</v>
      </c>
      <c r="I11531" s="421"/>
      <c r="J11531" s="396">
        <f>SUM(J11529:J11530)</f>
        <v>0</v>
      </c>
    </row>
    <row r="11532" spans="1:10" ht="13" hidden="1">
      <c r="A11532" s="27"/>
      <c r="B11532" s="110"/>
      <c r="D11532" s="444" t="s">
        <v>68</v>
      </c>
      <c r="E11532" s="445" t="s">
        <v>69</v>
      </c>
      <c r="F11532" s="446"/>
      <c r="G11532" s="447"/>
      <c r="H11532" s="448"/>
      <c r="I11532" s="449">
        <f>IF(AND(E11532&lt;&gt;"",G11532&lt;&gt;""),IF(D11532="",IF(G11532="OH",VLOOKUP(E11532,UPAH!$C$4:$H$31,7,0),VLOOKUP(E11532,#REF!,4,0)),0),0)</f>
        <v>0</v>
      </c>
      <c r="J11532" s="16" t="e">
        <f>SUM(J11521:J11531)/2</f>
        <v>#VALUE!</v>
      </c>
    </row>
    <row r="11533" spans="1:10" ht="13" hidden="1">
      <c r="A11533" s="27"/>
      <c r="B11533" s="110"/>
      <c r="D11533" s="431" t="s">
        <v>70</v>
      </c>
      <c r="E11533" s="432" t="s">
        <v>477</v>
      </c>
      <c r="F11533" s="433"/>
      <c r="G11533" s="434"/>
      <c r="H11533" s="22">
        <v>0.1</v>
      </c>
      <c r="I11533" s="436"/>
      <c r="J11533" s="430" t="e">
        <f>H11533*J11532</f>
        <v>#VALUE!</v>
      </c>
    </row>
    <row r="11534" spans="1:10" ht="13.5" hidden="1" thickBot="1">
      <c r="A11534" s="27"/>
      <c r="B11534" s="110"/>
      <c r="D11534" s="401" t="s">
        <v>71</v>
      </c>
      <c r="E11534" s="402" t="s">
        <v>72</v>
      </c>
      <c r="F11534" s="418"/>
      <c r="G11534" s="419"/>
      <c r="H11534" s="442"/>
      <c r="I11534" s="421">
        <f>IF(AND(E11534&lt;&gt;"",G11534&lt;&gt;""),IF(D11534="",IF(G11534="OH",VLOOKUP(E11534,UPAH!$C$4:$H$31,7,0),VLOOKUP(E11534,#REF!,4,0)),0),0)</f>
        <v>0</v>
      </c>
      <c r="J11534" s="396" t="e">
        <f>ROUNDDOWN(J11532+J11533,0)</f>
        <v>#VALUE!</v>
      </c>
    </row>
    <row r="11535" spans="1:10" ht="13" hidden="1">
      <c r="A11535" s="27"/>
      <c r="B11535" s="110"/>
      <c r="D11535" s="11"/>
      <c r="E11535" s="11"/>
      <c r="H11535" s="443"/>
      <c r="I11535" s="17"/>
      <c r="J11535" s="18"/>
    </row>
    <row r="11536" spans="1:10" ht="13" hidden="1">
      <c r="A11536" s="27"/>
      <c r="B11536" s="110"/>
      <c r="C11536" s="11" t="s">
        <v>1704</v>
      </c>
      <c r="D11536" s="10" t="s">
        <v>20</v>
      </c>
      <c r="H11536" s="443"/>
    </row>
    <row r="11537" spans="1:10" ht="13.5" hidden="1" thickBot="1">
      <c r="A11537" s="27"/>
      <c r="B11537" s="110"/>
      <c r="D11537" s="401" t="s">
        <v>40</v>
      </c>
      <c r="E11537" s="402" t="s">
        <v>41</v>
      </c>
      <c r="F11537" s="402" t="s">
        <v>42</v>
      </c>
      <c r="G11537" s="403" t="s">
        <v>43</v>
      </c>
      <c r="H11537" s="404" t="s">
        <v>44</v>
      </c>
      <c r="I11537" s="402" t="s">
        <v>474</v>
      </c>
      <c r="J11537" s="405" t="s">
        <v>475</v>
      </c>
    </row>
    <row r="11538" spans="1:10" ht="13" hidden="1">
      <c r="A11538" s="27"/>
      <c r="B11538" s="110"/>
      <c r="D11538" s="444" t="s">
        <v>45</v>
      </c>
      <c r="E11538" s="445" t="s">
        <v>46</v>
      </c>
      <c r="F11538" s="446"/>
      <c r="G11538" s="447"/>
      <c r="H11538" s="448"/>
      <c r="I11538" s="449"/>
      <c r="J11538" s="450"/>
    </row>
    <row r="11539" spans="1:10" ht="13" hidden="1">
      <c r="A11539" s="27"/>
      <c r="B11539" s="110"/>
      <c r="D11539" s="409"/>
      <c r="E11539" s="13" t="s">
        <v>47</v>
      </c>
      <c r="F11539" s="13" t="s">
        <v>1918</v>
      </c>
      <c r="G11539" s="410" t="s">
        <v>48</v>
      </c>
      <c r="H11539" s="411">
        <v>1.976</v>
      </c>
      <c r="I11539" s="412">
        <f>IF(AND(E11539&lt;&gt;"",G11539&lt;&gt;""),IF(D11539="",IF(G11539="OH",VLOOKUP(F11539,UPAH!$B$4:$H$101,7,0),VLOOKUP(F11539,#REF!,4,0)),0),0)</f>
        <v>0</v>
      </c>
      <c r="J11539" s="16">
        <f>H11539*I11539</f>
        <v>0</v>
      </c>
    </row>
    <row r="11540" spans="1:10" ht="13" hidden="1">
      <c r="A11540" s="27"/>
      <c r="B11540" s="110"/>
      <c r="D11540" s="409"/>
      <c r="E11540" s="13" t="s">
        <v>283</v>
      </c>
      <c r="F11540" s="13" t="s">
        <v>1913</v>
      </c>
      <c r="G11540" s="410" t="s">
        <v>48</v>
      </c>
      <c r="H11540" s="411">
        <v>0.98799999999999999</v>
      </c>
      <c r="I11540" s="412">
        <f>IF(AND(E11540&lt;&gt;"",G11540&lt;&gt;""),IF(D11540="",IF(G11540="OH",VLOOKUP(F11540,UPAH!$B$4:$H$101,7,0),VLOOKUP(F11540,#REF!,4,0)),0),0)</f>
        <v>0</v>
      </c>
      <c r="J11540" s="16">
        <f>H11540*I11540</f>
        <v>0</v>
      </c>
    </row>
    <row r="11541" spans="1:10" ht="13" hidden="1">
      <c r="A11541" s="27"/>
      <c r="B11541" s="110"/>
      <c r="D11541" s="409"/>
      <c r="E11541" s="13" t="s">
        <v>51</v>
      </c>
      <c r="F11541" s="13" t="s">
        <v>1929</v>
      </c>
      <c r="G11541" s="410" t="s">
        <v>48</v>
      </c>
      <c r="H11541" s="411">
        <v>0.19800000000000001</v>
      </c>
      <c r="I11541" s="412">
        <f>IF(AND(E11541&lt;&gt;"",G11541&lt;&gt;""),IF(D11541="",IF(G11541="OH",VLOOKUP(F11541,UPAH!$B$4:$H$101,7,0),VLOOKUP(F11541,#REF!,4,0)),0),0)</f>
        <v>0</v>
      </c>
      <c r="J11541" s="16">
        <f>H11541*I11541</f>
        <v>0</v>
      </c>
    </row>
    <row r="11542" spans="1:10" ht="13.5" hidden="1" thickBot="1">
      <c r="A11542" s="27"/>
      <c r="B11542" s="110"/>
      <c r="D11542" s="417"/>
      <c r="E11542" s="418"/>
      <c r="F11542" s="418"/>
      <c r="G11542" s="419"/>
      <c r="H11542" s="420" t="s">
        <v>52</v>
      </c>
      <c r="I11542" s="421"/>
      <c r="J11542" s="396">
        <f>SUM(J11538:J11541)</f>
        <v>0</v>
      </c>
    </row>
    <row r="11543" spans="1:10" ht="13" hidden="1">
      <c r="A11543" s="27"/>
      <c r="B11543" s="110"/>
      <c r="D11543" s="406" t="s">
        <v>53</v>
      </c>
      <c r="E11543" s="13" t="s">
        <v>54</v>
      </c>
      <c r="F11543" s="14"/>
      <c r="G11543" s="15"/>
      <c r="H11543" s="451"/>
      <c r="I11543" s="412"/>
      <c r="J11543" s="16"/>
    </row>
    <row r="11544" spans="1:10" ht="13" hidden="1">
      <c r="A11544" s="27"/>
      <c r="B11544" s="110"/>
      <c r="D11544" s="409"/>
      <c r="E11544" s="13" t="s">
        <v>1101</v>
      </c>
      <c r="F11544" s="14"/>
      <c r="G11544" s="410" t="s">
        <v>259</v>
      </c>
      <c r="H11544" s="411">
        <v>1</v>
      </c>
      <c r="I11544" s="412" t="s">
        <v>3187</v>
      </c>
      <c r="J11544" s="16" t="e">
        <f>H11544*I11544</f>
        <v>#VALUE!</v>
      </c>
    </row>
    <row r="11545" spans="1:10" ht="13.5" hidden="1" thickBot="1">
      <c r="A11545" s="27"/>
      <c r="B11545" s="110"/>
      <c r="D11545" s="417"/>
      <c r="E11545" s="418"/>
      <c r="F11545" s="418"/>
      <c r="G11545" s="419"/>
      <c r="H11545" s="420" t="s">
        <v>64</v>
      </c>
      <c r="I11545" s="421"/>
      <c r="J11545" s="396" t="e">
        <f>SUM(J11544)</f>
        <v>#VALUE!</v>
      </c>
    </row>
    <row r="11546" spans="1:10" ht="13" hidden="1">
      <c r="A11546" s="27"/>
      <c r="B11546" s="110"/>
      <c r="D11546" s="406" t="s">
        <v>65</v>
      </c>
      <c r="E11546" s="13" t="s">
        <v>66</v>
      </c>
      <c r="F11546" s="14"/>
      <c r="G11546" s="15"/>
      <c r="H11546" s="451"/>
      <c r="I11546" s="412"/>
      <c r="J11546" s="16"/>
    </row>
    <row r="11547" spans="1:10" ht="13" hidden="1">
      <c r="A11547" s="27"/>
      <c r="B11547" s="110"/>
      <c r="D11547" s="409"/>
      <c r="E11547" s="13" t="s">
        <v>446</v>
      </c>
      <c r="F11547" s="14"/>
      <c r="G11547" s="410" t="s">
        <v>285</v>
      </c>
      <c r="H11547" s="411">
        <v>0.36599999999999999</v>
      </c>
      <c r="I11547" s="412">
        <f>Alat!H102</f>
        <v>0</v>
      </c>
      <c r="J11547" s="16">
        <f>H11547*I11547</f>
        <v>0</v>
      </c>
    </row>
    <row r="11548" spans="1:10" ht="13" hidden="1">
      <c r="A11548" s="27"/>
      <c r="B11548" s="110"/>
      <c r="D11548" s="409"/>
      <c r="E11548" s="13" t="s">
        <v>404</v>
      </c>
      <c r="F11548" s="14"/>
      <c r="G11548" s="410" t="s">
        <v>285</v>
      </c>
      <c r="H11548" s="411">
        <v>0.183</v>
      </c>
      <c r="I11548" s="412">
        <f>Alat!H27</f>
        <v>0</v>
      </c>
      <c r="J11548" s="16">
        <f>H11548*I11548</f>
        <v>0</v>
      </c>
    </row>
    <row r="11549" spans="1:10" ht="13.5" hidden="1" thickBot="1">
      <c r="A11549" s="27"/>
      <c r="B11549" s="110"/>
      <c r="D11549" s="417"/>
      <c r="E11549" s="418"/>
      <c r="F11549" s="418"/>
      <c r="G11549" s="419"/>
      <c r="H11549" s="420" t="s">
        <v>67</v>
      </c>
      <c r="I11549" s="421"/>
      <c r="J11549" s="396">
        <f>SUM(J11547:J11548)</f>
        <v>0</v>
      </c>
    </row>
    <row r="11550" spans="1:10" ht="13" hidden="1">
      <c r="A11550" s="27"/>
      <c r="B11550" s="110"/>
      <c r="D11550" s="444" t="s">
        <v>68</v>
      </c>
      <c r="E11550" s="445" t="s">
        <v>69</v>
      </c>
      <c r="F11550" s="446"/>
      <c r="G11550" s="447"/>
      <c r="H11550" s="448"/>
      <c r="I11550" s="449">
        <f>IF(AND(E11550&lt;&gt;"",G11550&lt;&gt;""),IF(D11550="",IF(G11550="OH",VLOOKUP(E11550,UPAH!$C$4:$H$31,7,0),VLOOKUP(E11550,#REF!,4,0)),0),0)</f>
        <v>0</v>
      </c>
      <c r="J11550" s="16" t="e">
        <f>SUM(J11539:J11549)/2</f>
        <v>#VALUE!</v>
      </c>
    </row>
    <row r="11551" spans="1:10" ht="13" hidden="1">
      <c r="A11551" s="27"/>
      <c r="B11551" s="110"/>
      <c r="D11551" s="431" t="s">
        <v>70</v>
      </c>
      <c r="E11551" s="432" t="s">
        <v>477</v>
      </c>
      <c r="F11551" s="433"/>
      <c r="G11551" s="434"/>
      <c r="H11551" s="22">
        <v>0.1</v>
      </c>
      <c r="I11551" s="436"/>
      <c r="J11551" s="430" t="e">
        <f>H11551*J11550</f>
        <v>#VALUE!</v>
      </c>
    </row>
    <row r="11552" spans="1:10" ht="13.5" hidden="1" thickBot="1">
      <c r="A11552" s="27"/>
      <c r="B11552" s="110"/>
      <c r="D11552" s="401" t="s">
        <v>71</v>
      </c>
      <c r="E11552" s="402" t="s">
        <v>72</v>
      </c>
      <c r="F11552" s="418"/>
      <c r="G11552" s="419"/>
      <c r="H11552" s="442"/>
      <c r="I11552" s="421">
        <f>IF(AND(E11552&lt;&gt;"",G11552&lt;&gt;""),IF(D11552="",IF(G11552="OH",VLOOKUP(E11552,UPAH!$C$4:$H$31,7,0),VLOOKUP(E11552,#REF!,4,0)),0),0)</f>
        <v>0</v>
      </c>
      <c r="J11552" s="396" t="e">
        <f>ROUNDDOWN(J11550+J11551,0)</f>
        <v>#VALUE!</v>
      </c>
    </row>
    <row r="11553" spans="1:10" ht="13" hidden="1">
      <c r="A11553" s="27"/>
      <c r="B11553" s="110"/>
      <c r="D11553" s="11"/>
      <c r="E11553" s="11"/>
      <c r="H11553" s="443"/>
      <c r="I11553" s="17"/>
      <c r="J11553" s="18"/>
    </row>
    <row r="11554" spans="1:10" ht="13" hidden="1">
      <c r="A11554" s="27"/>
      <c r="B11554" s="110"/>
      <c r="C11554" s="11" t="s">
        <v>1703</v>
      </c>
      <c r="D11554" s="10" t="s">
        <v>21</v>
      </c>
      <c r="H11554" s="443"/>
    </row>
    <row r="11555" spans="1:10" ht="13.5" hidden="1" thickBot="1">
      <c r="A11555" s="27"/>
      <c r="B11555" s="110"/>
      <c r="D11555" s="401" t="s">
        <v>40</v>
      </c>
      <c r="E11555" s="402" t="s">
        <v>41</v>
      </c>
      <c r="F11555" s="402" t="s">
        <v>42</v>
      </c>
      <c r="G11555" s="403" t="s">
        <v>43</v>
      </c>
      <c r="H11555" s="404" t="s">
        <v>44</v>
      </c>
      <c r="I11555" s="402" t="s">
        <v>474</v>
      </c>
      <c r="J11555" s="405" t="s">
        <v>475</v>
      </c>
    </row>
    <row r="11556" spans="1:10" ht="13" hidden="1">
      <c r="A11556" s="27"/>
      <c r="B11556" s="110"/>
      <c r="D11556" s="444" t="s">
        <v>45</v>
      </c>
      <c r="E11556" s="445" t="s">
        <v>46</v>
      </c>
      <c r="F11556" s="446"/>
      <c r="G11556" s="447"/>
      <c r="H11556" s="448"/>
      <c r="I11556" s="449"/>
      <c r="J11556" s="450"/>
    </row>
    <row r="11557" spans="1:10" ht="13" hidden="1">
      <c r="A11557" s="27"/>
      <c r="B11557" s="110"/>
      <c r="D11557" s="409"/>
      <c r="E11557" s="13" t="s">
        <v>47</v>
      </c>
      <c r="F11557" s="13" t="s">
        <v>1918</v>
      </c>
      <c r="G11557" s="410" t="s">
        <v>48</v>
      </c>
      <c r="H11557" s="411">
        <v>2.1960000000000002</v>
      </c>
      <c r="I11557" s="412">
        <f>IF(AND(E11557&lt;&gt;"",G11557&lt;&gt;""),IF(D11557="",IF(G11557="OH",VLOOKUP(F11557,UPAH!$B$4:$H$101,7,0),VLOOKUP(F11557,#REF!,4,0)),0),0)</f>
        <v>0</v>
      </c>
      <c r="J11557" s="16">
        <f>H11557*I11557</f>
        <v>0</v>
      </c>
    </row>
    <row r="11558" spans="1:10" ht="13" hidden="1">
      <c r="A11558" s="27"/>
      <c r="B11558" s="110"/>
      <c r="D11558" s="409"/>
      <c r="E11558" s="13" t="s">
        <v>283</v>
      </c>
      <c r="F11558" s="13" t="s">
        <v>1913</v>
      </c>
      <c r="G11558" s="410" t="s">
        <v>48</v>
      </c>
      <c r="H11558" s="411">
        <v>1.0980000000000001</v>
      </c>
      <c r="I11558" s="412">
        <f>IF(AND(E11558&lt;&gt;"",G11558&lt;&gt;""),IF(D11558="",IF(G11558="OH",VLOOKUP(F11558,UPAH!$B$4:$H$101,7,0),VLOOKUP(F11558,#REF!,4,0)),0),0)</f>
        <v>0</v>
      </c>
      <c r="J11558" s="16">
        <f>H11558*I11558</f>
        <v>0</v>
      </c>
    </row>
    <row r="11559" spans="1:10" ht="13" hidden="1">
      <c r="A11559" s="27"/>
      <c r="B11559" s="110"/>
      <c r="D11559" s="409"/>
      <c r="E11559" s="13" t="s">
        <v>51</v>
      </c>
      <c r="F11559" s="13" t="s">
        <v>1929</v>
      </c>
      <c r="G11559" s="410" t="s">
        <v>48</v>
      </c>
      <c r="H11559" s="411">
        <v>0.22</v>
      </c>
      <c r="I11559" s="412">
        <f>IF(AND(E11559&lt;&gt;"",G11559&lt;&gt;""),IF(D11559="",IF(G11559="OH",VLOOKUP(F11559,UPAH!$B$4:$H$101,7,0),VLOOKUP(F11559,#REF!,4,0)),0),0)</f>
        <v>0</v>
      </c>
      <c r="J11559" s="16">
        <f>H11559*I11559</f>
        <v>0</v>
      </c>
    </row>
    <row r="11560" spans="1:10" ht="13.5" hidden="1" thickBot="1">
      <c r="A11560" s="27"/>
      <c r="B11560" s="110"/>
      <c r="D11560" s="417"/>
      <c r="E11560" s="418"/>
      <c r="F11560" s="418"/>
      <c r="G11560" s="419"/>
      <c r="H11560" s="420" t="s">
        <v>52</v>
      </c>
      <c r="I11560" s="421"/>
      <c r="J11560" s="396">
        <f>SUM(J11557:J11559)</f>
        <v>0</v>
      </c>
    </row>
    <row r="11561" spans="1:10" ht="13" hidden="1">
      <c r="A11561" s="27"/>
      <c r="B11561" s="110"/>
      <c r="D11561" s="406" t="s">
        <v>53</v>
      </c>
      <c r="E11561" s="13" t="s">
        <v>54</v>
      </c>
      <c r="F11561" s="14"/>
      <c r="G11561" s="15"/>
      <c r="H11561" s="451"/>
      <c r="I11561" s="412"/>
      <c r="J11561" s="16"/>
    </row>
    <row r="11562" spans="1:10" ht="13" hidden="1">
      <c r="A11562" s="27"/>
      <c r="B11562" s="110"/>
      <c r="D11562" s="409"/>
      <c r="E11562" s="13" t="s">
        <v>1102</v>
      </c>
      <c r="F11562" s="14"/>
      <c r="G11562" s="410" t="s">
        <v>259</v>
      </c>
      <c r="H11562" s="411">
        <v>1</v>
      </c>
      <c r="I11562" s="412" t="s">
        <v>3187</v>
      </c>
      <c r="J11562" s="16" t="e">
        <f>H11562*I11562</f>
        <v>#VALUE!</v>
      </c>
    </row>
    <row r="11563" spans="1:10" ht="13.5" hidden="1" thickBot="1">
      <c r="A11563" s="27"/>
      <c r="B11563" s="110"/>
      <c r="D11563" s="417"/>
      <c r="E11563" s="418"/>
      <c r="F11563" s="418"/>
      <c r="G11563" s="419"/>
      <c r="H11563" s="420" t="s">
        <v>64</v>
      </c>
      <c r="I11563" s="421"/>
      <c r="J11563" s="396" t="e">
        <f>SUM(J11562)</f>
        <v>#VALUE!</v>
      </c>
    </row>
    <row r="11564" spans="1:10" ht="13" hidden="1">
      <c r="A11564" s="27"/>
      <c r="B11564" s="110"/>
      <c r="D11564" s="406" t="s">
        <v>65</v>
      </c>
      <c r="E11564" s="13" t="s">
        <v>66</v>
      </c>
      <c r="F11564" s="14"/>
      <c r="G11564" s="15"/>
      <c r="H11564" s="451"/>
      <c r="I11564" s="412"/>
      <c r="J11564" s="16"/>
    </row>
    <row r="11565" spans="1:10" ht="13" hidden="1">
      <c r="A11565" s="27"/>
      <c r="B11565" s="110"/>
      <c r="D11565" s="409"/>
      <c r="E11565" s="13" t="s">
        <v>446</v>
      </c>
      <c r="F11565" s="14"/>
      <c r="G11565" s="410" t="s">
        <v>285</v>
      </c>
      <c r="H11565" s="411">
        <v>0.38600000000000001</v>
      </c>
      <c r="I11565" s="412">
        <f>Alat!H102</f>
        <v>0</v>
      </c>
      <c r="J11565" s="16">
        <f>H11565*I11565</f>
        <v>0</v>
      </c>
    </row>
    <row r="11566" spans="1:10" ht="13" hidden="1">
      <c r="A11566" s="27"/>
      <c r="B11566" s="110"/>
      <c r="D11566" s="409"/>
      <c r="E11566" s="13" t="s">
        <v>404</v>
      </c>
      <c r="F11566" s="14"/>
      <c r="G11566" s="410" t="s">
        <v>285</v>
      </c>
      <c r="H11566" s="411">
        <v>0.193</v>
      </c>
      <c r="I11566" s="412">
        <f>Alat!H27</f>
        <v>0</v>
      </c>
      <c r="J11566" s="16">
        <f>H11566*I11566</f>
        <v>0</v>
      </c>
    </row>
    <row r="11567" spans="1:10" ht="13.5" hidden="1" thickBot="1">
      <c r="A11567" s="27"/>
      <c r="B11567" s="110"/>
      <c r="D11567" s="417"/>
      <c r="E11567" s="418"/>
      <c r="F11567" s="418"/>
      <c r="G11567" s="419"/>
      <c r="H11567" s="420" t="s">
        <v>67</v>
      </c>
      <c r="I11567" s="421"/>
      <c r="J11567" s="396">
        <f>SUM(J11565:J11566)</f>
        <v>0</v>
      </c>
    </row>
    <row r="11568" spans="1:10" ht="13" hidden="1">
      <c r="A11568" s="27"/>
      <c r="B11568" s="110"/>
      <c r="D11568" s="444" t="s">
        <v>68</v>
      </c>
      <c r="E11568" s="445" t="s">
        <v>69</v>
      </c>
      <c r="F11568" s="446"/>
      <c r="G11568" s="447"/>
      <c r="H11568" s="448"/>
      <c r="I11568" s="449">
        <f>IF(AND(E11568&lt;&gt;"",G11568&lt;&gt;""),IF(D11568="",IF(G11568="OH",VLOOKUP(E11568,UPAH!$C$4:$H$31,7,0),VLOOKUP(E11568,#REF!,4,0)),0),0)</f>
        <v>0</v>
      </c>
      <c r="J11568" s="16" t="e">
        <f>SUM(J11557:J11567)/2</f>
        <v>#VALUE!</v>
      </c>
    </row>
    <row r="11569" spans="1:10" ht="13" hidden="1">
      <c r="A11569" s="27"/>
      <c r="B11569" s="110"/>
      <c r="D11569" s="431" t="s">
        <v>70</v>
      </c>
      <c r="E11569" s="432" t="s">
        <v>477</v>
      </c>
      <c r="F11569" s="433"/>
      <c r="G11569" s="434"/>
      <c r="H11569" s="22">
        <v>0.1</v>
      </c>
      <c r="I11569" s="436"/>
      <c r="J11569" s="430" t="e">
        <f>H11569*J11568</f>
        <v>#VALUE!</v>
      </c>
    </row>
    <row r="11570" spans="1:10" ht="13.5" hidden="1" thickBot="1">
      <c r="A11570" s="27"/>
      <c r="B11570" s="110"/>
      <c r="D11570" s="401" t="s">
        <v>71</v>
      </c>
      <c r="E11570" s="402" t="s">
        <v>72</v>
      </c>
      <c r="F11570" s="418"/>
      <c r="G11570" s="419"/>
      <c r="H11570" s="442"/>
      <c r="I11570" s="421">
        <f>IF(AND(E11570&lt;&gt;"",G11570&lt;&gt;""),IF(D11570="",IF(G11570="OH",VLOOKUP(E11570,UPAH!$C$4:$H$31,7,0),VLOOKUP(E11570,#REF!,4,0)),0),0)</f>
        <v>0</v>
      </c>
      <c r="J11570" s="396" t="e">
        <f>ROUNDDOWN(J11568+J11569,0)</f>
        <v>#VALUE!</v>
      </c>
    </row>
    <row r="11571" spans="1:10" ht="13" hidden="1">
      <c r="A11571" s="27"/>
      <c r="B11571" s="110"/>
      <c r="D11571" s="11"/>
      <c r="E11571" s="11"/>
      <c r="H11571" s="443"/>
      <c r="I11571" s="17"/>
      <c r="J11571" s="18"/>
    </row>
    <row r="11572" spans="1:10" ht="13" hidden="1">
      <c r="A11572" s="27"/>
      <c r="B11572" s="110"/>
      <c r="C11572" s="11" t="s">
        <v>1702</v>
      </c>
      <c r="D11572" s="10" t="s">
        <v>22</v>
      </c>
      <c r="H11572" s="443"/>
    </row>
    <row r="11573" spans="1:10" ht="13.5" hidden="1" thickBot="1">
      <c r="A11573" s="27"/>
      <c r="B11573" s="110"/>
      <c r="D11573" s="401" t="s">
        <v>40</v>
      </c>
      <c r="E11573" s="402" t="s">
        <v>41</v>
      </c>
      <c r="F11573" s="402" t="s">
        <v>42</v>
      </c>
      <c r="G11573" s="403" t="s">
        <v>43</v>
      </c>
      <c r="H11573" s="404" t="s">
        <v>44</v>
      </c>
      <c r="I11573" s="402" t="s">
        <v>474</v>
      </c>
      <c r="J11573" s="405" t="s">
        <v>475</v>
      </c>
    </row>
    <row r="11574" spans="1:10" ht="13" hidden="1">
      <c r="A11574" s="27"/>
      <c r="B11574" s="110"/>
      <c r="D11574" s="444" t="s">
        <v>45</v>
      </c>
      <c r="E11574" s="445" t="s">
        <v>46</v>
      </c>
      <c r="F11574" s="446"/>
      <c r="G11574" s="447"/>
      <c r="H11574" s="448"/>
      <c r="I11574" s="449"/>
      <c r="J11574" s="450"/>
    </row>
    <row r="11575" spans="1:10" ht="13" hidden="1">
      <c r="A11575" s="27"/>
      <c r="B11575" s="110"/>
      <c r="D11575" s="409"/>
      <c r="E11575" s="13" t="s">
        <v>47</v>
      </c>
      <c r="F11575" s="13" t="s">
        <v>1918</v>
      </c>
      <c r="G11575" s="410" t="s">
        <v>48</v>
      </c>
      <c r="H11575" s="411">
        <v>2.4159999999999999</v>
      </c>
      <c r="I11575" s="412">
        <f>IF(AND(E11575&lt;&gt;"",G11575&lt;&gt;""),IF(D11575="",IF(G11575="OH",VLOOKUP(F11575,UPAH!$B$4:$H$101,7,0),VLOOKUP(F11575,#REF!,4,0)),0),0)</f>
        <v>0</v>
      </c>
      <c r="J11575" s="16">
        <f>H11575*I11575</f>
        <v>0</v>
      </c>
    </row>
    <row r="11576" spans="1:10" ht="13" hidden="1">
      <c r="A11576" s="27"/>
      <c r="B11576" s="110"/>
      <c r="D11576" s="409"/>
      <c r="E11576" s="13" t="s">
        <v>283</v>
      </c>
      <c r="F11576" s="13" t="s">
        <v>1913</v>
      </c>
      <c r="G11576" s="410" t="s">
        <v>48</v>
      </c>
      <c r="H11576" s="411">
        <v>1.208</v>
      </c>
      <c r="I11576" s="412">
        <f>IF(AND(E11576&lt;&gt;"",G11576&lt;&gt;""),IF(D11576="",IF(G11576="OH",VLOOKUP(F11576,UPAH!$B$4:$H$101,7,0),VLOOKUP(F11576,#REF!,4,0)),0),0)</f>
        <v>0</v>
      </c>
      <c r="J11576" s="16">
        <f>H11576*I11576</f>
        <v>0</v>
      </c>
    </row>
    <row r="11577" spans="1:10" ht="13" hidden="1">
      <c r="A11577" s="27"/>
      <c r="B11577" s="110"/>
      <c r="D11577" s="409"/>
      <c r="E11577" s="13" t="s">
        <v>51</v>
      </c>
      <c r="F11577" s="13" t="s">
        <v>1929</v>
      </c>
      <c r="G11577" s="410" t="s">
        <v>48</v>
      </c>
      <c r="H11577" s="411">
        <v>0.24199999999999999</v>
      </c>
      <c r="I11577" s="412">
        <f>IF(AND(E11577&lt;&gt;"",G11577&lt;&gt;""),IF(D11577="",IF(G11577="OH",VLOOKUP(F11577,UPAH!$B$4:$H$101,7,0),VLOOKUP(F11577,#REF!,4,0)),0),0)</f>
        <v>0</v>
      </c>
      <c r="J11577" s="16">
        <f>H11577*I11577</f>
        <v>0</v>
      </c>
    </row>
    <row r="11578" spans="1:10" ht="13.5" hidden="1" thickBot="1">
      <c r="A11578" s="27"/>
      <c r="B11578" s="110"/>
      <c r="D11578" s="417"/>
      <c r="E11578" s="418"/>
      <c r="F11578" s="418"/>
      <c r="G11578" s="419"/>
      <c r="H11578" s="420" t="s">
        <v>52</v>
      </c>
      <c r="I11578" s="421"/>
      <c r="J11578" s="396">
        <f>SUM(J11574:J11577)</f>
        <v>0</v>
      </c>
    </row>
    <row r="11579" spans="1:10" ht="13" hidden="1">
      <c r="A11579" s="27"/>
      <c r="B11579" s="110"/>
      <c r="D11579" s="406" t="s">
        <v>53</v>
      </c>
      <c r="E11579" s="13" t="s">
        <v>54</v>
      </c>
      <c r="F11579" s="14"/>
      <c r="G11579" s="15"/>
      <c r="H11579" s="451"/>
      <c r="I11579" s="412"/>
      <c r="J11579" s="16"/>
    </row>
    <row r="11580" spans="1:10" ht="13" hidden="1">
      <c r="A11580" s="27"/>
      <c r="B11580" s="110"/>
      <c r="D11580" s="409"/>
      <c r="E11580" s="13" t="s">
        <v>1103</v>
      </c>
      <c r="F11580" s="14"/>
      <c r="G11580" s="410" t="s">
        <v>259</v>
      </c>
      <c r="H11580" s="411">
        <v>1</v>
      </c>
      <c r="I11580" s="412" t="s">
        <v>3187</v>
      </c>
      <c r="J11580" s="16" t="e">
        <f>H11580*I11580</f>
        <v>#VALUE!</v>
      </c>
    </row>
    <row r="11581" spans="1:10" ht="13.5" hidden="1" thickBot="1">
      <c r="A11581" s="27"/>
      <c r="B11581" s="110"/>
      <c r="D11581" s="417"/>
      <c r="E11581" s="418"/>
      <c r="F11581" s="418"/>
      <c r="G11581" s="419"/>
      <c r="H11581" s="420" t="s">
        <v>64</v>
      </c>
      <c r="I11581" s="421"/>
      <c r="J11581" s="396" t="e">
        <f>SUM(J11580)</f>
        <v>#VALUE!</v>
      </c>
    </row>
    <row r="11582" spans="1:10" ht="13" hidden="1">
      <c r="A11582" s="27"/>
      <c r="B11582" s="110"/>
      <c r="D11582" s="406" t="s">
        <v>65</v>
      </c>
      <c r="E11582" s="13" t="s">
        <v>66</v>
      </c>
      <c r="F11582" s="14"/>
      <c r="G11582" s="15"/>
      <c r="H11582" s="451"/>
      <c r="I11582" s="412"/>
      <c r="J11582" s="16"/>
    </row>
    <row r="11583" spans="1:10" ht="13" hidden="1">
      <c r="A11583" s="27"/>
      <c r="B11583" s="110"/>
      <c r="D11583" s="409"/>
      <c r="E11583" s="13" t="s">
        <v>446</v>
      </c>
      <c r="F11583" s="14"/>
      <c r="G11583" s="410" t="s">
        <v>285</v>
      </c>
      <c r="H11583" s="411">
        <v>0.45</v>
      </c>
      <c r="I11583" s="412">
        <f>Alat!H102</f>
        <v>0</v>
      </c>
      <c r="J11583" s="16">
        <f>H11583*I11583</f>
        <v>0</v>
      </c>
    </row>
    <row r="11584" spans="1:10" ht="13" hidden="1">
      <c r="A11584" s="27"/>
      <c r="B11584" s="110"/>
      <c r="D11584" s="409"/>
      <c r="E11584" s="13" t="s">
        <v>404</v>
      </c>
      <c r="F11584" s="14"/>
      <c r="G11584" s="410" t="s">
        <v>285</v>
      </c>
      <c r="H11584" s="411">
        <v>0.22500000000000001</v>
      </c>
      <c r="I11584" s="412">
        <f>Alat!H27</f>
        <v>0</v>
      </c>
      <c r="J11584" s="16">
        <f>H11584*I11584</f>
        <v>0</v>
      </c>
    </row>
    <row r="11585" spans="1:10" ht="13.5" hidden="1" thickBot="1">
      <c r="A11585" s="27"/>
      <c r="B11585" s="110"/>
      <c r="D11585" s="417"/>
      <c r="E11585" s="418"/>
      <c r="F11585" s="418"/>
      <c r="G11585" s="419"/>
      <c r="H11585" s="420" t="s">
        <v>67</v>
      </c>
      <c r="I11585" s="421"/>
      <c r="J11585" s="396">
        <f>SUM(J11583:J11584)</f>
        <v>0</v>
      </c>
    </row>
    <row r="11586" spans="1:10" ht="13" hidden="1">
      <c r="A11586" s="27"/>
      <c r="B11586" s="110"/>
      <c r="D11586" s="444" t="s">
        <v>68</v>
      </c>
      <c r="E11586" s="445" t="s">
        <v>69</v>
      </c>
      <c r="F11586" s="446"/>
      <c r="G11586" s="447"/>
      <c r="H11586" s="448"/>
      <c r="I11586" s="449">
        <f>IF(AND(E11586&lt;&gt;"",G11586&lt;&gt;""),IF(D11586="",IF(G11586="OH",VLOOKUP(E11586,UPAH!$C$4:$H$31,7,0),VLOOKUP(E11586,#REF!,4,0)),0),0)</f>
        <v>0</v>
      </c>
      <c r="J11586" s="16" t="e">
        <f>SUM(J11575:J11585)/2</f>
        <v>#VALUE!</v>
      </c>
    </row>
    <row r="11587" spans="1:10" ht="13" hidden="1">
      <c r="A11587" s="27"/>
      <c r="B11587" s="110"/>
      <c r="D11587" s="431" t="s">
        <v>70</v>
      </c>
      <c r="E11587" s="432" t="s">
        <v>477</v>
      </c>
      <c r="F11587" s="433"/>
      <c r="G11587" s="434"/>
      <c r="H11587" s="22">
        <v>0.1</v>
      </c>
      <c r="I11587" s="436"/>
      <c r="J11587" s="430" t="e">
        <f>H11587*J11586</f>
        <v>#VALUE!</v>
      </c>
    </row>
    <row r="11588" spans="1:10" ht="13.5" hidden="1" thickBot="1">
      <c r="A11588" s="27"/>
      <c r="B11588" s="110"/>
      <c r="D11588" s="401" t="s">
        <v>71</v>
      </c>
      <c r="E11588" s="402" t="s">
        <v>72</v>
      </c>
      <c r="F11588" s="418"/>
      <c r="G11588" s="419"/>
      <c r="H11588" s="442"/>
      <c r="I11588" s="421">
        <f>IF(AND(E11588&lt;&gt;"",G11588&lt;&gt;""),IF(D11588="",IF(G11588="OH",VLOOKUP(E11588,UPAH!$C$4:$H$31,7,0),VLOOKUP(E11588,#REF!,4,0)),0),0)</f>
        <v>0</v>
      </c>
      <c r="J11588" s="396" t="e">
        <f>ROUNDDOWN(J11586+J11587,0)</f>
        <v>#VALUE!</v>
      </c>
    </row>
    <row r="11589" spans="1:10" ht="13">
      <c r="A11589" s="27"/>
      <c r="B11589" s="110"/>
      <c r="D11589" s="11"/>
      <c r="E11589" s="11"/>
      <c r="H11589" s="443"/>
    </row>
    <row r="11590" spans="1:10" s="27" customFormat="1" ht="13">
      <c r="B11590" s="110"/>
      <c r="C11590" s="452" t="s">
        <v>532</v>
      </c>
      <c r="G11590" s="399"/>
      <c r="H11590" s="453"/>
    </row>
    <row r="11591" spans="1:10" ht="13.5" thickBot="1">
      <c r="A11591" s="27"/>
      <c r="B11591" s="110"/>
      <c r="C11591" s="11" t="s">
        <v>1701</v>
      </c>
      <c r="D11591" s="10" t="s">
        <v>23</v>
      </c>
      <c r="H11591" s="443"/>
    </row>
    <row r="11592" spans="1:10" ht="13.5" thickBot="1">
      <c r="A11592" s="27"/>
      <c r="B11592" s="110"/>
      <c r="D11592" s="401" t="s">
        <v>40</v>
      </c>
      <c r="E11592" s="402" t="s">
        <v>41</v>
      </c>
      <c r="F11592" s="402" t="s">
        <v>42</v>
      </c>
      <c r="G11592" s="403" t="s">
        <v>43</v>
      </c>
      <c r="H11592" s="404" t="s">
        <v>44</v>
      </c>
      <c r="I11592" s="402" t="s">
        <v>474</v>
      </c>
      <c r="J11592" s="405" t="s">
        <v>475</v>
      </c>
    </row>
    <row r="11593" spans="1:10" ht="13">
      <c r="A11593" s="27"/>
      <c r="B11593" s="110"/>
      <c r="D11593" s="444" t="s">
        <v>45</v>
      </c>
      <c r="E11593" s="445" t="s">
        <v>46</v>
      </c>
      <c r="F11593" s="446"/>
      <c r="G11593" s="447"/>
      <c r="H11593" s="448"/>
      <c r="I11593" s="449"/>
      <c r="J11593" s="450"/>
    </row>
    <row r="11594" spans="1:10" ht="13">
      <c r="A11594" s="27"/>
      <c r="B11594" s="110"/>
      <c r="D11594" s="409"/>
      <c r="E11594" s="13" t="s">
        <v>47</v>
      </c>
      <c r="F11594" s="13" t="s">
        <v>1918</v>
      </c>
      <c r="G11594" s="410" t="s">
        <v>48</v>
      </c>
      <c r="H11594" s="411">
        <v>1.466</v>
      </c>
      <c r="I11594" s="412">
        <f>IF(AND(E11594&lt;&gt;"",G11594&lt;&gt;""),IF(D11594="",IF(G11594="OH",VLOOKUP(F11594,UPAH!$B$4:$H$101,7,0),VLOOKUP(F11594,#REF!,4,0)),0),0)</f>
        <v>0</v>
      </c>
      <c r="J11594" s="16">
        <f>H11594*I11594</f>
        <v>0</v>
      </c>
    </row>
    <row r="11595" spans="1:10" ht="13">
      <c r="A11595" s="27"/>
      <c r="B11595" s="110"/>
      <c r="D11595" s="409"/>
      <c r="E11595" s="13" t="s">
        <v>283</v>
      </c>
      <c r="F11595" s="13" t="s">
        <v>1913</v>
      </c>
      <c r="G11595" s="410" t="s">
        <v>48</v>
      </c>
      <c r="H11595" s="411">
        <v>0.73299999999999998</v>
      </c>
      <c r="I11595" s="412">
        <f>IF(AND(E11595&lt;&gt;"",G11595&lt;&gt;""),IF(D11595="",IF(G11595="OH",VLOOKUP(F11595,UPAH!$B$4:$H$101,7,0),VLOOKUP(F11595,#REF!,4,0)),0),0)</f>
        <v>0</v>
      </c>
      <c r="J11595" s="16">
        <f>H11595*I11595</f>
        <v>0</v>
      </c>
    </row>
    <row r="11596" spans="1:10" ht="13.5" thickBot="1">
      <c r="A11596" s="27"/>
      <c r="B11596" s="110"/>
      <c r="D11596" s="409"/>
      <c r="E11596" s="13" t="s">
        <v>51</v>
      </c>
      <c r="F11596" s="13" t="s">
        <v>1929</v>
      </c>
      <c r="G11596" s="410" t="s">
        <v>48</v>
      </c>
      <c r="H11596" s="411">
        <v>0.14699999999999999</v>
      </c>
      <c r="I11596" s="412">
        <f>IF(AND(E11596&lt;&gt;"",G11596&lt;&gt;""),IF(D11596="",IF(G11596="OH",VLOOKUP(F11596,UPAH!$B$4:$H$101,7,0),VLOOKUP(F11596,#REF!,4,0)),0),0)</f>
        <v>0</v>
      </c>
      <c r="J11596" s="16">
        <f>H11596*I11596</f>
        <v>0</v>
      </c>
    </row>
    <row r="11597" spans="1:10" ht="13.5" thickBot="1">
      <c r="A11597" s="27"/>
      <c r="B11597" s="110"/>
      <c r="D11597" s="417"/>
      <c r="E11597" s="418"/>
      <c r="F11597" s="418"/>
      <c r="G11597" s="419"/>
      <c r="H11597" s="420" t="s">
        <v>52</v>
      </c>
      <c r="I11597" s="421"/>
      <c r="J11597" s="396">
        <f>SUM(J11593:J11596)</f>
        <v>0</v>
      </c>
    </row>
    <row r="11598" spans="1:10" ht="13">
      <c r="A11598" s="27"/>
      <c r="B11598" s="110"/>
      <c r="D11598" s="406" t="s">
        <v>53</v>
      </c>
      <c r="E11598" s="13" t="s">
        <v>54</v>
      </c>
      <c r="F11598" s="14"/>
      <c r="G11598" s="15"/>
      <c r="H11598" s="451"/>
      <c r="I11598" s="412"/>
      <c r="J11598" s="16"/>
    </row>
    <row r="11599" spans="1:10" ht="13.5" thickBot="1">
      <c r="A11599" s="27"/>
      <c r="B11599" s="110"/>
      <c r="D11599" s="409"/>
      <c r="E11599" s="13" t="s">
        <v>349</v>
      </c>
      <c r="F11599" s="14"/>
      <c r="G11599" s="410" t="s">
        <v>259</v>
      </c>
      <c r="H11599" s="411">
        <v>1</v>
      </c>
      <c r="I11599" s="412">
        <f>'BAHAN '!G399</f>
        <v>0</v>
      </c>
      <c r="J11599" s="16">
        <f>H11599*I11599</f>
        <v>0</v>
      </c>
    </row>
    <row r="11600" spans="1:10" ht="13.5" thickBot="1">
      <c r="A11600" s="27"/>
      <c r="B11600" s="110"/>
      <c r="D11600" s="417"/>
      <c r="E11600" s="418"/>
      <c r="F11600" s="418"/>
      <c r="G11600" s="419"/>
      <c r="H11600" s="420" t="s">
        <v>64</v>
      </c>
      <c r="I11600" s="421"/>
      <c r="J11600" s="396">
        <f>SUM(J11599)</f>
        <v>0</v>
      </c>
    </row>
    <row r="11601" spans="1:10" ht="13">
      <c r="A11601" s="27"/>
      <c r="B11601" s="110"/>
      <c r="D11601" s="406" t="s">
        <v>65</v>
      </c>
      <c r="E11601" s="13" t="s">
        <v>66</v>
      </c>
      <c r="F11601" s="14"/>
      <c r="G11601" s="15"/>
      <c r="H11601" s="451"/>
      <c r="I11601" s="412"/>
      <c r="J11601" s="16"/>
    </row>
    <row r="11602" spans="1:10" ht="13">
      <c r="A11602" s="27"/>
      <c r="B11602" s="110"/>
      <c r="D11602" s="409"/>
      <c r="E11602" s="13" t="s">
        <v>1075</v>
      </c>
      <c r="F11602" s="14"/>
      <c r="G11602" s="410" t="s">
        <v>285</v>
      </c>
      <c r="H11602" s="411">
        <v>0.60599999999999998</v>
      </c>
      <c r="I11602" s="412">
        <f>Alat!H26</f>
        <v>0</v>
      </c>
      <c r="J11602" s="16">
        <f>H11602*I11602</f>
        <v>0</v>
      </c>
    </row>
    <row r="11603" spans="1:10" ht="13">
      <c r="A11603" s="27"/>
      <c r="B11603" s="110"/>
      <c r="D11603" s="409"/>
      <c r="E11603" s="13" t="s">
        <v>350</v>
      </c>
      <c r="F11603" s="14"/>
      <c r="G11603" s="410" t="s">
        <v>285</v>
      </c>
      <c r="H11603" s="411">
        <v>7.4999999999999997E-2</v>
      </c>
      <c r="I11603" s="412">
        <f>Alat!H42*8</f>
        <v>0</v>
      </c>
      <c r="J11603" s="16">
        <f>H11603*I11603</f>
        <v>0</v>
      </c>
    </row>
    <row r="11604" spans="1:10" ht="13">
      <c r="A11604" s="27"/>
      <c r="B11604" s="110"/>
      <c r="D11604" s="409"/>
      <c r="E11604" s="13" t="s">
        <v>445</v>
      </c>
      <c r="F11604" s="14"/>
      <c r="G11604" s="410" t="s">
        <v>285</v>
      </c>
      <c r="H11604" s="411">
        <v>0.96799999999999997</v>
      </c>
      <c r="I11604" s="412">
        <f>Alat!H65*8</f>
        <v>0</v>
      </c>
      <c r="J11604" s="16">
        <f>H11604*I11604</f>
        <v>0</v>
      </c>
    </row>
    <row r="11605" spans="1:10" ht="13.5" thickBot="1">
      <c r="A11605" s="27"/>
      <c r="B11605" s="110"/>
      <c r="D11605" s="409"/>
      <c r="E11605" s="13" t="s">
        <v>446</v>
      </c>
      <c r="F11605" s="14"/>
      <c r="G11605" s="410" t="s">
        <v>285</v>
      </c>
      <c r="H11605" s="411">
        <v>0.86499999999999999</v>
      </c>
      <c r="I11605" s="412">
        <f>Alat!H102</f>
        <v>0</v>
      </c>
      <c r="J11605" s="16">
        <f>H11605*I11605</f>
        <v>0</v>
      </c>
    </row>
    <row r="11606" spans="1:10" ht="13.5" thickBot="1">
      <c r="A11606" s="27"/>
      <c r="B11606" s="110"/>
      <c r="D11606" s="417"/>
      <c r="E11606" s="418"/>
      <c r="F11606" s="418"/>
      <c r="G11606" s="419"/>
      <c r="H11606" s="420" t="s">
        <v>67</v>
      </c>
      <c r="I11606" s="421"/>
      <c r="J11606" s="396">
        <f>SUM(J11602:J11605)</f>
        <v>0</v>
      </c>
    </row>
    <row r="11607" spans="1:10" ht="13">
      <c r="A11607" s="27"/>
      <c r="B11607" s="110"/>
      <c r="D11607" s="444" t="s">
        <v>68</v>
      </c>
      <c r="E11607" s="445" t="s">
        <v>69</v>
      </c>
      <c r="F11607" s="446"/>
      <c r="G11607" s="447"/>
      <c r="H11607" s="448"/>
      <c r="I11607" s="449">
        <f>IF(AND(E11607&lt;&gt;"",G11607&lt;&gt;""),IF(D11607="",IF(G11607="OH",VLOOKUP(E11607,UPAH!$C$4:$H$31,7,0),VLOOKUP(E11607,#REF!,4,0)),0),0)</f>
        <v>0</v>
      </c>
      <c r="J11607" s="16">
        <f>SUM(J11593:J11606)/2</f>
        <v>0</v>
      </c>
    </row>
    <row r="11608" spans="1:10" ht="13.5" thickBot="1">
      <c r="A11608" s="27"/>
      <c r="B11608" s="110"/>
      <c r="D11608" s="431" t="s">
        <v>70</v>
      </c>
      <c r="E11608" s="432" t="s">
        <v>477</v>
      </c>
      <c r="F11608" s="433"/>
      <c r="G11608" s="434"/>
      <c r="H11608" s="22">
        <v>0.1</v>
      </c>
      <c r="I11608" s="436"/>
      <c r="J11608" s="430">
        <f>H11608*J11607</f>
        <v>0</v>
      </c>
    </row>
    <row r="11609" spans="1:10" ht="13.5" thickBot="1">
      <c r="A11609" s="27"/>
      <c r="B11609" s="110"/>
      <c r="D11609" s="401" t="s">
        <v>71</v>
      </c>
      <c r="E11609" s="402" t="s">
        <v>72</v>
      </c>
      <c r="F11609" s="418"/>
      <c r="G11609" s="419"/>
      <c r="H11609" s="442"/>
      <c r="I11609" s="421">
        <f>IF(AND(E11609&lt;&gt;"",G11609&lt;&gt;""),IF(D11609="",IF(G11609="OH",VLOOKUP(E11609,UPAH!$C$4:$H$31,7,0),VLOOKUP(E11609,#REF!,4,0)),0),0)</f>
        <v>0</v>
      </c>
      <c r="J11609" s="396">
        <f>ROUNDDOWN(J11607+J11608,0)</f>
        <v>0</v>
      </c>
    </row>
    <row r="11610" spans="1:10" ht="13">
      <c r="A11610" s="27"/>
      <c r="B11610" s="110"/>
      <c r="D11610" s="11"/>
      <c r="E11610" s="11"/>
      <c r="H11610" s="443"/>
      <c r="I11610" s="17"/>
      <c r="J11610" s="18"/>
    </row>
    <row r="11611" spans="1:10" ht="13.5" thickBot="1">
      <c r="A11611" s="27"/>
      <c r="B11611" s="110"/>
      <c r="C11611" s="11" t="s">
        <v>1700</v>
      </c>
      <c r="D11611" s="10" t="s">
        <v>24</v>
      </c>
      <c r="H11611" s="443"/>
    </row>
    <row r="11612" spans="1:10" ht="13.5" thickBot="1">
      <c r="A11612" s="27"/>
      <c r="B11612" s="110"/>
      <c r="D11612" s="401" t="s">
        <v>40</v>
      </c>
      <c r="E11612" s="402" t="s">
        <v>41</v>
      </c>
      <c r="F11612" s="402" t="s">
        <v>42</v>
      </c>
      <c r="G11612" s="403" t="s">
        <v>43</v>
      </c>
      <c r="H11612" s="404" t="s">
        <v>44</v>
      </c>
      <c r="I11612" s="402" t="s">
        <v>474</v>
      </c>
      <c r="J11612" s="405" t="s">
        <v>475</v>
      </c>
    </row>
    <row r="11613" spans="1:10" ht="13">
      <c r="A11613" s="27"/>
      <c r="B11613" s="110"/>
      <c r="D11613" s="444" t="s">
        <v>45</v>
      </c>
      <c r="E11613" s="445" t="s">
        <v>46</v>
      </c>
      <c r="F11613" s="446"/>
      <c r="G11613" s="447"/>
      <c r="H11613" s="448"/>
      <c r="I11613" s="449"/>
      <c r="J11613" s="450"/>
    </row>
    <row r="11614" spans="1:10" ht="13">
      <c r="A11614" s="27"/>
      <c r="B11614" s="110"/>
      <c r="D11614" s="409"/>
      <c r="E11614" s="13" t="s">
        <v>47</v>
      </c>
      <c r="F11614" s="13" t="s">
        <v>1918</v>
      </c>
      <c r="G11614" s="410" t="s">
        <v>48</v>
      </c>
      <c r="H11614" s="411">
        <v>1.6459999999999999</v>
      </c>
      <c r="I11614" s="412">
        <f>IF(AND(E11614&lt;&gt;"",G11614&lt;&gt;""),IF(D11614="",IF(G11614="OH",VLOOKUP(F11614,UPAH!$B$4:$H$101,7,0),VLOOKUP(F11614,#REF!,4,0)),0),0)</f>
        <v>0</v>
      </c>
      <c r="J11614" s="16">
        <f>H11614*I11614</f>
        <v>0</v>
      </c>
    </row>
    <row r="11615" spans="1:10" ht="13">
      <c r="A11615" s="27"/>
      <c r="B11615" s="110"/>
      <c r="D11615" s="409"/>
      <c r="E11615" s="13" t="s">
        <v>283</v>
      </c>
      <c r="F11615" s="13" t="s">
        <v>1913</v>
      </c>
      <c r="G11615" s="410" t="s">
        <v>48</v>
      </c>
      <c r="H11615" s="411">
        <v>0.82299999999999995</v>
      </c>
      <c r="I11615" s="412">
        <f>IF(AND(E11615&lt;&gt;"",G11615&lt;&gt;""),IF(D11615="",IF(G11615="OH",VLOOKUP(F11615,UPAH!$B$4:$H$101,7,0),VLOOKUP(F11615,#REF!,4,0)),0),0)</f>
        <v>0</v>
      </c>
      <c r="J11615" s="16">
        <f>H11615*I11615</f>
        <v>0</v>
      </c>
    </row>
    <row r="11616" spans="1:10" ht="13.5" thickBot="1">
      <c r="A11616" s="27"/>
      <c r="B11616" s="110"/>
      <c r="D11616" s="409"/>
      <c r="E11616" s="13" t="s">
        <v>51</v>
      </c>
      <c r="F11616" s="13" t="s">
        <v>1929</v>
      </c>
      <c r="G11616" s="410" t="s">
        <v>48</v>
      </c>
      <c r="H11616" s="411">
        <v>0.16500000000000001</v>
      </c>
      <c r="I11616" s="412">
        <f>IF(AND(E11616&lt;&gt;"",G11616&lt;&gt;""),IF(D11616="",IF(G11616="OH",VLOOKUP(F11616,UPAH!$B$4:$H$101,7,0),VLOOKUP(F11616,#REF!,4,0)),0),0)</f>
        <v>0</v>
      </c>
      <c r="J11616" s="16">
        <f>H11616*I11616</f>
        <v>0</v>
      </c>
    </row>
    <row r="11617" spans="1:10" ht="13.5" thickBot="1">
      <c r="A11617" s="27"/>
      <c r="B11617" s="110"/>
      <c r="D11617" s="417"/>
      <c r="E11617" s="418"/>
      <c r="F11617" s="418"/>
      <c r="G11617" s="419"/>
      <c r="H11617" s="420" t="s">
        <v>52</v>
      </c>
      <c r="I11617" s="421"/>
      <c r="J11617" s="396">
        <f>SUM(J11613:J11616)</f>
        <v>0</v>
      </c>
    </row>
    <row r="11618" spans="1:10" ht="13">
      <c r="A11618" s="27"/>
      <c r="B11618" s="110"/>
      <c r="D11618" s="406" t="s">
        <v>53</v>
      </c>
      <c r="E11618" s="13" t="s">
        <v>54</v>
      </c>
      <c r="F11618" s="14"/>
      <c r="G11618" s="15"/>
      <c r="H11618" s="451"/>
      <c r="I11618" s="412"/>
      <c r="J11618" s="16"/>
    </row>
    <row r="11619" spans="1:10" ht="13.5" thickBot="1">
      <c r="A11619" s="27"/>
      <c r="B11619" s="110"/>
      <c r="D11619" s="409"/>
      <c r="E11619" s="13" t="s">
        <v>351</v>
      </c>
      <c r="F11619" s="14"/>
      <c r="G11619" s="410" t="s">
        <v>259</v>
      </c>
      <c r="H11619" s="411">
        <v>1</v>
      </c>
      <c r="I11619" s="412">
        <f>'BAHAN '!G398</f>
        <v>0</v>
      </c>
      <c r="J11619" s="16">
        <f>H11619*I11619</f>
        <v>0</v>
      </c>
    </row>
    <row r="11620" spans="1:10" ht="13.5" thickBot="1">
      <c r="A11620" s="27"/>
      <c r="B11620" s="110"/>
      <c r="D11620" s="417"/>
      <c r="E11620" s="418"/>
      <c r="F11620" s="418"/>
      <c r="G11620" s="419"/>
      <c r="H11620" s="420" t="s">
        <v>64</v>
      </c>
      <c r="I11620" s="421"/>
      <c r="J11620" s="396">
        <f>SUM(J11619)</f>
        <v>0</v>
      </c>
    </row>
    <row r="11621" spans="1:10" ht="13">
      <c r="A11621" s="27"/>
      <c r="B11621" s="110"/>
      <c r="D11621" s="406" t="s">
        <v>65</v>
      </c>
      <c r="E11621" s="13" t="s">
        <v>66</v>
      </c>
      <c r="F11621" s="14"/>
      <c r="G11621" s="15"/>
      <c r="H11621" s="451"/>
      <c r="I11621" s="412"/>
      <c r="J11621" s="16"/>
    </row>
    <row r="11622" spans="1:10" ht="13">
      <c r="A11622" s="27"/>
      <c r="B11622" s="110"/>
      <c r="D11622" s="409"/>
      <c r="E11622" s="13" t="s">
        <v>1075</v>
      </c>
      <c r="F11622" s="14"/>
      <c r="G11622" s="410" t="s">
        <v>285</v>
      </c>
      <c r="H11622" s="411">
        <v>0.65</v>
      </c>
      <c r="I11622" s="412">
        <f>Alat!H26</f>
        <v>0</v>
      </c>
      <c r="J11622" s="16">
        <f>H11622*I11622</f>
        <v>0</v>
      </c>
    </row>
    <row r="11623" spans="1:10" ht="13">
      <c r="A11623" s="27"/>
      <c r="B11623" s="110"/>
      <c r="D11623" s="409"/>
      <c r="E11623" s="13" t="s">
        <v>350</v>
      </c>
      <c r="F11623" s="14"/>
      <c r="G11623" s="410" t="s">
        <v>285</v>
      </c>
      <c r="H11623" s="411">
        <v>0.159</v>
      </c>
      <c r="I11623" s="412">
        <f>Alat!H42*8</f>
        <v>0</v>
      </c>
      <c r="J11623" s="16">
        <f>H11623*I11623</f>
        <v>0</v>
      </c>
    </row>
    <row r="11624" spans="1:10" ht="13">
      <c r="A11624" s="27"/>
      <c r="B11624" s="110"/>
      <c r="D11624" s="409"/>
      <c r="E11624" s="13" t="s">
        <v>445</v>
      </c>
      <c r="F11624" s="14"/>
      <c r="G11624" s="410" t="s">
        <v>285</v>
      </c>
      <c r="H11624" s="411">
        <v>1.0780000000000001</v>
      </c>
      <c r="I11624" s="412">
        <f>Alat!H65*8</f>
        <v>0</v>
      </c>
      <c r="J11624" s="16">
        <f>H11624*I11624</f>
        <v>0</v>
      </c>
    </row>
    <row r="11625" spans="1:10" ht="13.5" thickBot="1">
      <c r="A11625" s="27"/>
      <c r="B11625" s="110"/>
      <c r="D11625" s="409"/>
      <c r="E11625" s="13" t="s">
        <v>446</v>
      </c>
      <c r="F11625" s="14"/>
      <c r="G11625" s="410" t="s">
        <v>285</v>
      </c>
      <c r="H11625" s="411">
        <v>0.91100000000000003</v>
      </c>
      <c r="I11625" s="412">
        <f>Alat!H102</f>
        <v>0</v>
      </c>
      <c r="J11625" s="16">
        <f>H11625*I11625</f>
        <v>0</v>
      </c>
    </row>
    <row r="11626" spans="1:10" ht="13.5" thickBot="1">
      <c r="A11626" s="27"/>
      <c r="B11626" s="110"/>
      <c r="D11626" s="417"/>
      <c r="E11626" s="418"/>
      <c r="F11626" s="418"/>
      <c r="G11626" s="419"/>
      <c r="H11626" s="420" t="s">
        <v>67</v>
      </c>
      <c r="I11626" s="421"/>
      <c r="J11626" s="396">
        <f>SUM(J11622:J11625)</f>
        <v>0</v>
      </c>
    </row>
    <row r="11627" spans="1:10" ht="13">
      <c r="A11627" s="27"/>
      <c r="B11627" s="110"/>
      <c r="D11627" s="444" t="s">
        <v>68</v>
      </c>
      <c r="E11627" s="445" t="s">
        <v>69</v>
      </c>
      <c r="F11627" s="446"/>
      <c r="G11627" s="447"/>
      <c r="H11627" s="448"/>
      <c r="I11627" s="449">
        <f>IF(AND(E11627&lt;&gt;"",G11627&lt;&gt;""),IF(D11627="",IF(G11627="OH",VLOOKUP(E11627,UPAH!$C$4:$H$31,7,0),VLOOKUP(E11627,#REF!,4,0)),0),0)</f>
        <v>0</v>
      </c>
      <c r="J11627" s="16">
        <f>SUM(J11613:J11626)/2</f>
        <v>0</v>
      </c>
    </row>
    <row r="11628" spans="1:10" ht="13.5" thickBot="1">
      <c r="A11628" s="27"/>
      <c r="B11628" s="110"/>
      <c r="D11628" s="431" t="s">
        <v>70</v>
      </c>
      <c r="E11628" s="432" t="s">
        <v>477</v>
      </c>
      <c r="F11628" s="433"/>
      <c r="G11628" s="434"/>
      <c r="H11628" s="22">
        <v>0.1</v>
      </c>
      <c r="I11628" s="436"/>
      <c r="J11628" s="430">
        <f>H11628*J11627</f>
        <v>0</v>
      </c>
    </row>
    <row r="11629" spans="1:10" ht="13.5" thickBot="1">
      <c r="A11629" s="27"/>
      <c r="B11629" s="110"/>
      <c r="D11629" s="401" t="s">
        <v>71</v>
      </c>
      <c r="E11629" s="402" t="s">
        <v>72</v>
      </c>
      <c r="F11629" s="418"/>
      <c r="G11629" s="419"/>
      <c r="H11629" s="442"/>
      <c r="I11629" s="421">
        <f>IF(AND(E11629&lt;&gt;"",G11629&lt;&gt;""),IF(D11629="",IF(G11629="OH",VLOOKUP(E11629,UPAH!$C$4:$H$31,7,0),VLOOKUP(E11629,#REF!,4,0)),0),0)</f>
        <v>0</v>
      </c>
      <c r="J11629" s="396">
        <f>ROUNDDOWN(J11627+J11628,0)</f>
        <v>0</v>
      </c>
    </row>
    <row r="11630" spans="1:10" ht="13">
      <c r="A11630" s="27"/>
      <c r="B11630" s="110"/>
      <c r="D11630" s="11"/>
      <c r="E11630" s="11"/>
      <c r="H11630" s="443"/>
      <c r="I11630" s="17"/>
      <c r="J11630" s="18"/>
    </row>
    <row r="11631" spans="1:10" ht="13.5" thickBot="1">
      <c r="A11631" s="27"/>
      <c r="B11631" s="110"/>
      <c r="C11631" s="11" t="s">
        <v>1699</v>
      </c>
      <c r="D11631" s="10" t="s">
        <v>25</v>
      </c>
      <c r="H11631" s="443"/>
    </row>
    <row r="11632" spans="1:10" ht="13.5" thickBot="1">
      <c r="A11632" s="27"/>
      <c r="B11632" s="110"/>
      <c r="D11632" s="401" t="s">
        <v>40</v>
      </c>
      <c r="E11632" s="402" t="s">
        <v>41</v>
      </c>
      <c r="F11632" s="402" t="s">
        <v>42</v>
      </c>
      <c r="G11632" s="403" t="s">
        <v>43</v>
      </c>
      <c r="H11632" s="404" t="s">
        <v>44</v>
      </c>
      <c r="I11632" s="402" t="s">
        <v>474</v>
      </c>
      <c r="J11632" s="405" t="s">
        <v>475</v>
      </c>
    </row>
    <row r="11633" spans="1:10" ht="13">
      <c r="A11633" s="27"/>
      <c r="B11633" s="110"/>
      <c r="D11633" s="444" t="s">
        <v>45</v>
      </c>
      <c r="E11633" s="445" t="s">
        <v>46</v>
      </c>
      <c r="F11633" s="446"/>
      <c r="G11633" s="447"/>
      <c r="H11633" s="448"/>
      <c r="I11633" s="449"/>
      <c r="J11633" s="450"/>
    </row>
    <row r="11634" spans="1:10" ht="13">
      <c r="A11634" s="27"/>
      <c r="B11634" s="110"/>
      <c r="D11634" s="409"/>
      <c r="E11634" s="13" t="s">
        <v>47</v>
      </c>
      <c r="F11634" s="13" t="s">
        <v>1918</v>
      </c>
      <c r="G11634" s="410" t="s">
        <v>48</v>
      </c>
      <c r="H11634" s="411">
        <v>2.0960000000000001</v>
      </c>
      <c r="I11634" s="412">
        <f>IF(AND(E11634&lt;&gt;"",G11634&lt;&gt;""),IF(D11634="",IF(G11634="OH",VLOOKUP(F11634,UPAH!$B$4:$H$101,7,0),VLOOKUP(F11634,#REF!,4,0)),0),0)</f>
        <v>0</v>
      </c>
      <c r="J11634" s="16">
        <f>H11634*I11634</f>
        <v>0</v>
      </c>
    </row>
    <row r="11635" spans="1:10" ht="13">
      <c r="A11635" s="27"/>
      <c r="B11635" s="110"/>
      <c r="D11635" s="409"/>
      <c r="E11635" s="13" t="s">
        <v>283</v>
      </c>
      <c r="F11635" s="13" t="s">
        <v>1913</v>
      </c>
      <c r="G11635" s="410" t="s">
        <v>48</v>
      </c>
      <c r="H11635" s="411">
        <v>1.048</v>
      </c>
      <c r="I11635" s="412">
        <f>IF(AND(E11635&lt;&gt;"",G11635&lt;&gt;""),IF(D11635="",IF(G11635="OH",VLOOKUP(F11635,UPAH!$B$4:$H$101,7,0),VLOOKUP(F11635,#REF!,4,0)),0),0)</f>
        <v>0</v>
      </c>
      <c r="J11635" s="16">
        <f>H11635*I11635</f>
        <v>0</v>
      </c>
    </row>
    <row r="11636" spans="1:10" ht="13.5" thickBot="1">
      <c r="A11636" s="27"/>
      <c r="B11636" s="110"/>
      <c r="D11636" s="409"/>
      <c r="E11636" s="13" t="s">
        <v>51</v>
      </c>
      <c r="F11636" s="13" t="s">
        <v>1929</v>
      </c>
      <c r="G11636" s="410" t="s">
        <v>48</v>
      </c>
      <c r="H11636" s="411">
        <v>0.21</v>
      </c>
      <c r="I11636" s="412">
        <f>IF(AND(E11636&lt;&gt;"",G11636&lt;&gt;""),IF(D11636="",IF(G11636="OH",VLOOKUP(F11636,UPAH!$B$4:$H$101,7,0),VLOOKUP(F11636,#REF!,4,0)),0),0)</f>
        <v>0</v>
      </c>
      <c r="J11636" s="16">
        <f>H11636*I11636</f>
        <v>0</v>
      </c>
    </row>
    <row r="11637" spans="1:10" ht="13.5" thickBot="1">
      <c r="A11637" s="27"/>
      <c r="B11637" s="110"/>
      <c r="D11637" s="417"/>
      <c r="E11637" s="418"/>
      <c r="F11637" s="418"/>
      <c r="G11637" s="419"/>
      <c r="H11637" s="420" t="s">
        <v>52</v>
      </c>
      <c r="I11637" s="421"/>
      <c r="J11637" s="396">
        <f>SUM(J11633:J11636)</f>
        <v>0</v>
      </c>
    </row>
    <row r="11638" spans="1:10" ht="13">
      <c r="A11638" s="27"/>
      <c r="B11638" s="110"/>
      <c r="D11638" s="406" t="s">
        <v>53</v>
      </c>
      <c r="E11638" s="13" t="s">
        <v>54</v>
      </c>
      <c r="F11638" s="14"/>
      <c r="G11638" s="15"/>
      <c r="H11638" s="451"/>
      <c r="I11638" s="412"/>
      <c r="J11638" s="16"/>
    </row>
    <row r="11639" spans="1:10" ht="13.5" thickBot="1">
      <c r="A11639" s="27"/>
      <c r="B11639" s="110"/>
      <c r="D11639" s="409"/>
      <c r="E11639" s="13" t="s">
        <v>352</v>
      </c>
      <c r="F11639" s="14"/>
      <c r="G11639" s="410" t="s">
        <v>259</v>
      </c>
      <c r="H11639" s="411">
        <v>1</v>
      </c>
      <c r="I11639" s="412">
        <f>'BAHAN '!G397</f>
        <v>0</v>
      </c>
      <c r="J11639" s="16">
        <f>H11639*I11639</f>
        <v>0</v>
      </c>
    </row>
    <row r="11640" spans="1:10" ht="13.5" thickBot="1">
      <c r="A11640" s="27"/>
      <c r="B11640" s="110"/>
      <c r="D11640" s="417"/>
      <c r="E11640" s="418"/>
      <c r="F11640" s="418"/>
      <c r="G11640" s="419"/>
      <c r="H11640" s="420" t="s">
        <v>64</v>
      </c>
      <c r="I11640" s="421"/>
      <c r="J11640" s="396">
        <f>SUM(J11639)</f>
        <v>0</v>
      </c>
    </row>
    <row r="11641" spans="1:10" ht="13">
      <c r="A11641" s="27"/>
      <c r="B11641" s="110"/>
      <c r="D11641" s="406" t="s">
        <v>65</v>
      </c>
      <c r="E11641" s="13" t="s">
        <v>66</v>
      </c>
      <c r="F11641" s="14"/>
      <c r="G11641" s="15"/>
      <c r="H11641" s="451"/>
      <c r="I11641" s="412"/>
      <c r="J11641" s="16"/>
    </row>
    <row r="11642" spans="1:10" ht="13">
      <c r="A11642" s="27"/>
      <c r="B11642" s="110"/>
      <c r="D11642" s="409"/>
      <c r="E11642" s="13" t="s">
        <v>1075</v>
      </c>
      <c r="F11642" s="14"/>
      <c r="G11642" s="410" t="s">
        <v>285</v>
      </c>
      <c r="H11642" s="411">
        <v>0.76</v>
      </c>
      <c r="I11642" s="412">
        <f>Alat!H26</f>
        <v>0</v>
      </c>
      <c r="J11642" s="16">
        <f>H11642*I11642</f>
        <v>0</v>
      </c>
    </row>
    <row r="11643" spans="1:10" ht="13">
      <c r="A11643" s="27"/>
      <c r="B11643" s="110"/>
      <c r="D11643" s="409"/>
      <c r="E11643" s="13" t="s">
        <v>350</v>
      </c>
      <c r="F11643" s="14"/>
      <c r="G11643" s="410" t="s">
        <v>285</v>
      </c>
      <c r="H11643" s="411">
        <v>0.36899999999999999</v>
      </c>
      <c r="I11643" s="412">
        <f>Alat!H42*8</f>
        <v>0</v>
      </c>
      <c r="J11643" s="16">
        <f>H11643*I11643</f>
        <v>0</v>
      </c>
    </row>
    <row r="11644" spans="1:10" ht="13">
      <c r="A11644" s="27"/>
      <c r="B11644" s="110"/>
      <c r="D11644" s="409"/>
      <c r="E11644" s="13" t="s">
        <v>445</v>
      </c>
      <c r="F11644" s="14"/>
      <c r="G11644" s="410" t="s">
        <v>285</v>
      </c>
      <c r="H11644" s="411">
        <v>1.353</v>
      </c>
      <c r="I11644" s="412">
        <f>Alat!H65*8</f>
        <v>0</v>
      </c>
      <c r="J11644" s="16">
        <f>H11644*I11644</f>
        <v>0</v>
      </c>
    </row>
    <row r="11645" spans="1:10" ht="13.5" thickBot="1">
      <c r="A11645" s="27"/>
      <c r="B11645" s="110"/>
      <c r="D11645" s="409"/>
      <c r="E11645" s="13" t="s">
        <v>446</v>
      </c>
      <c r="F11645" s="14"/>
      <c r="G11645" s="410" t="s">
        <v>285</v>
      </c>
      <c r="H11645" s="411">
        <v>1.026</v>
      </c>
      <c r="I11645" s="412">
        <f>Alat!H102</f>
        <v>0</v>
      </c>
      <c r="J11645" s="16">
        <f>H11645*I11645</f>
        <v>0</v>
      </c>
    </row>
    <row r="11646" spans="1:10" ht="13.5" thickBot="1">
      <c r="A11646" s="27"/>
      <c r="B11646" s="110"/>
      <c r="D11646" s="417"/>
      <c r="E11646" s="418"/>
      <c r="F11646" s="418"/>
      <c r="G11646" s="419"/>
      <c r="H11646" s="420" t="s">
        <v>67</v>
      </c>
      <c r="I11646" s="421"/>
      <c r="J11646" s="396">
        <f>SUM(J11642:J11645)</f>
        <v>0</v>
      </c>
    </row>
    <row r="11647" spans="1:10" ht="13">
      <c r="A11647" s="27"/>
      <c r="B11647" s="110"/>
      <c r="D11647" s="444" t="s">
        <v>68</v>
      </c>
      <c r="E11647" s="445" t="s">
        <v>69</v>
      </c>
      <c r="F11647" s="446"/>
      <c r="G11647" s="447"/>
      <c r="H11647" s="448"/>
      <c r="I11647" s="449">
        <f>IF(AND(E11647&lt;&gt;"",G11647&lt;&gt;""),IF(D11647="",IF(G11647="OH",VLOOKUP(E11647,UPAH!$C$4:$H$31,7,0),VLOOKUP(E11647,#REF!,4,0)),0),0)</f>
        <v>0</v>
      </c>
      <c r="J11647" s="16">
        <f>SUM(J11633:J11646)/2</f>
        <v>0</v>
      </c>
    </row>
    <row r="11648" spans="1:10" ht="13.5" thickBot="1">
      <c r="A11648" s="27"/>
      <c r="B11648" s="110"/>
      <c r="D11648" s="431" t="s">
        <v>70</v>
      </c>
      <c r="E11648" s="432" t="s">
        <v>477</v>
      </c>
      <c r="F11648" s="433"/>
      <c r="G11648" s="434"/>
      <c r="H11648" s="22">
        <v>0.1</v>
      </c>
      <c r="I11648" s="436"/>
      <c r="J11648" s="430">
        <f>H11648*J11647</f>
        <v>0</v>
      </c>
    </row>
    <row r="11649" spans="1:10" ht="13.5" thickBot="1">
      <c r="A11649" s="27"/>
      <c r="B11649" s="110"/>
      <c r="D11649" s="401" t="s">
        <v>71</v>
      </c>
      <c r="E11649" s="402" t="s">
        <v>72</v>
      </c>
      <c r="F11649" s="418"/>
      <c r="G11649" s="419"/>
      <c r="H11649" s="442"/>
      <c r="I11649" s="421">
        <f>IF(AND(E11649&lt;&gt;"",G11649&lt;&gt;""),IF(D11649="",IF(G11649="OH",VLOOKUP(E11649,UPAH!$C$4:$H$31,7,0),VLOOKUP(E11649,#REF!,4,0)),0),0)</f>
        <v>0</v>
      </c>
      <c r="J11649" s="396">
        <f>ROUNDDOWN(J11647+J11648,0)</f>
        <v>0</v>
      </c>
    </row>
    <row r="11650" spans="1:10" ht="13">
      <c r="A11650" s="27"/>
      <c r="B11650" s="110"/>
      <c r="D11650" s="11"/>
      <c r="E11650" s="11"/>
      <c r="H11650" s="443"/>
      <c r="I11650" s="17"/>
      <c r="J11650" s="18"/>
    </row>
    <row r="11651" spans="1:10" ht="13.5" thickBot="1">
      <c r="A11651" s="27"/>
      <c r="B11651" s="110"/>
      <c r="C11651" s="11" t="s">
        <v>1698</v>
      </c>
      <c r="D11651" s="10" t="s">
        <v>26</v>
      </c>
      <c r="H11651" s="443"/>
    </row>
    <row r="11652" spans="1:10" ht="13.5" thickBot="1">
      <c r="A11652" s="27"/>
      <c r="B11652" s="110"/>
      <c r="D11652" s="401" t="s">
        <v>40</v>
      </c>
      <c r="E11652" s="402" t="s">
        <v>41</v>
      </c>
      <c r="F11652" s="402" t="s">
        <v>42</v>
      </c>
      <c r="G11652" s="403" t="s">
        <v>43</v>
      </c>
      <c r="H11652" s="404" t="s">
        <v>44</v>
      </c>
      <c r="I11652" s="402" t="s">
        <v>474</v>
      </c>
      <c r="J11652" s="405" t="s">
        <v>475</v>
      </c>
    </row>
    <row r="11653" spans="1:10" ht="13">
      <c r="A11653" s="27"/>
      <c r="B11653" s="110"/>
      <c r="D11653" s="444" t="s">
        <v>45</v>
      </c>
      <c r="E11653" s="445" t="s">
        <v>46</v>
      </c>
      <c r="F11653" s="446"/>
      <c r="G11653" s="447"/>
      <c r="H11653" s="448"/>
      <c r="I11653" s="449"/>
      <c r="J11653" s="450"/>
    </row>
    <row r="11654" spans="1:10" ht="13">
      <c r="A11654" s="27"/>
      <c r="B11654" s="110"/>
      <c r="D11654" s="409"/>
      <c r="E11654" s="13" t="s">
        <v>47</v>
      </c>
      <c r="F11654" s="13" t="s">
        <v>1918</v>
      </c>
      <c r="G11654" s="410" t="s">
        <v>48</v>
      </c>
      <c r="H11654" s="411">
        <v>2.5459999999999998</v>
      </c>
      <c r="I11654" s="412">
        <f>IF(AND(E11654&lt;&gt;"",G11654&lt;&gt;""),IF(D11654="",IF(G11654="OH",VLOOKUP(F11654,UPAH!$B$4:$H$101,7,0),VLOOKUP(F11654,#REF!,4,0)),0),0)</f>
        <v>0</v>
      </c>
      <c r="J11654" s="16">
        <f>H11654*I11654</f>
        <v>0</v>
      </c>
    </row>
    <row r="11655" spans="1:10" ht="13">
      <c r="A11655" s="27"/>
      <c r="B11655" s="110"/>
      <c r="D11655" s="409"/>
      <c r="E11655" s="13" t="s">
        <v>283</v>
      </c>
      <c r="F11655" s="13" t="s">
        <v>1913</v>
      </c>
      <c r="G11655" s="410" t="s">
        <v>48</v>
      </c>
      <c r="H11655" s="411">
        <v>1.2729999999999999</v>
      </c>
      <c r="I11655" s="412">
        <f>IF(AND(E11655&lt;&gt;"",G11655&lt;&gt;""),IF(D11655="",IF(G11655="OH",VLOOKUP(F11655,UPAH!$B$4:$H$101,7,0),VLOOKUP(F11655,#REF!,4,0)),0),0)</f>
        <v>0</v>
      </c>
      <c r="J11655" s="16">
        <f>H11655*I11655</f>
        <v>0</v>
      </c>
    </row>
    <row r="11656" spans="1:10" ht="13.5" thickBot="1">
      <c r="A11656" s="27"/>
      <c r="B11656" s="110"/>
      <c r="D11656" s="409"/>
      <c r="E11656" s="13" t="s">
        <v>51</v>
      </c>
      <c r="F11656" s="13" t="s">
        <v>1929</v>
      </c>
      <c r="G11656" s="410" t="s">
        <v>48</v>
      </c>
      <c r="H11656" s="411">
        <v>0.255</v>
      </c>
      <c r="I11656" s="412">
        <f>IF(AND(E11656&lt;&gt;"",G11656&lt;&gt;""),IF(D11656="",IF(G11656="OH",VLOOKUP(F11656,UPAH!$B$4:$H$101,7,0),VLOOKUP(F11656,#REF!,4,0)),0),0)</f>
        <v>0</v>
      </c>
      <c r="J11656" s="16">
        <f>H11656*I11656</f>
        <v>0</v>
      </c>
    </row>
    <row r="11657" spans="1:10" ht="13.5" thickBot="1">
      <c r="A11657" s="27"/>
      <c r="B11657" s="110"/>
      <c r="D11657" s="417"/>
      <c r="E11657" s="418"/>
      <c r="F11657" s="418"/>
      <c r="G11657" s="419"/>
      <c r="H11657" s="420" t="s">
        <v>52</v>
      </c>
      <c r="I11657" s="421"/>
      <c r="J11657" s="396">
        <f>SUM(J11653:J11656)</f>
        <v>0</v>
      </c>
    </row>
    <row r="11658" spans="1:10" ht="13">
      <c r="A11658" s="27"/>
      <c r="B11658" s="110"/>
      <c r="D11658" s="406" t="s">
        <v>53</v>
      </c>
      <c r="E11658" s="13" t="s">
        <v>54</v>
      </c>
      <c r="F11658" s="14"/>
      <c r="G11658" s="15"/>
      <c r="H11658" s="451"/>
      <c r="I11658" s="412"/>
      <c r="J11658" s="16"/>
    </row>
    <row r="11659" spans="1:10" ht="13.5" thickBot="1">
      <c r="A11659" s="27"/>
      <c r="B11659" s="110"/>
      <c r="D11659" s="409"/>
      <c r="E11659" s="13" t="s">
        <v>353</v>
      </c>
      <c r="F11659" s="14"/>
      <c r="G11659" s="410" t="s">
        <v>259</v>
      </c>
      <c r="H11659" s="411">
        <v>1</v>
      </c>
      <c r="I11659" s="412">
        <f>'BAHAN '!G396</f>
        <v>0</v>
      </c>
      <c r="J11659" s="16">
        <f>H11659*I11659</f>
        <v>0</v>
      </c>
    </row>
    <row r="11660" spans="1:10" ht="13.5" thickBot="1">
      <c r="A11660" s="27"/>
      <c r="B11660" s="110"/>
      <c r="D11660" s="417"/>
      <c r="E11660" s="418"/>
      <c r="F11660" s="418"/>
      <c r="G11660" s="419"/>
      <c r="H11660" s="420" t="s">
        <v>64</v>
      </c>
      <c r="I11660" s="421"/>
      <c r="J11660" s="396">
        <f>SUM(J11659)</f>
        <v>0</v>
      </c>
    </row>
    <row r="11661" spans="1:10" ht="13">
      <c r="A11661" s="27"/>
      <c r="B11661" s="110"/>
      <c r="D11661" s="406" t="s">
        <v>65</v>
      </c>
      <c r="E11661" s="13" t="s">
        <v>66</v>
      </c>
      <c r="F11661" s="14"/>
      <c r="G11661" s="15"/>
      <c r="H11661" s="451"/>
      <c r="I11661" s="412"/>
      <c r="J11661" s="16"/>
    </row>
    <row r="11662" spans="1:10" ht="13">
      <c r="A11662" s="27"/>
      <c r="B11662" s="110"/>
      <c r="D11662" s="409"/>
      <c r="E11662" s="13" t="s">
        <v>1075</v>
      </c>
      <c r="F11662" s="14"/>
      <c r="G11662" s="410" t="s">
        <v>285</v>
      </c>
      <c r="H11662" s="411">
        <v>0.87</v>
      </c>
      <c r="I11662" s="412">
        <f>Alat!H26</f>
        <v>0</v>
      </c>
      <c r="J11662" s="16">
        <f>H11662*I11662</f>
        <v>0</v>
      </c>
    </row>
    <row r="11663" spans="1:10" ht="13">
      <c r="A11663" s="27"/>
      <c r="B11663" s="110"/>
      <c r="D11663" s="409"/>
      <c r="E11663" s="13" t="s">
        <v>350</v>
      </c>
      <c r="F11663" s="14"/>
      <c r="G11663" s="410" t="s">
        <v>285</v>
      </c>
      <c r="H11663" s="411">
        <v>0.57899999999999996</v>
      </c>
      <c r="I11663" s="412">
        <f>Alat!H42*8</f>
        <v>0</v>
      </c>
      <c r="J11663" s="16">
        <f>H11663*I11663</f>
        <v>0</v>
      </c>
    </row>
    <row r="11664" spans="1:10" ht="13">
      <c r="A11664" s="27"/>
      <c r="B11664" s="110"/>
      <c r="D11664" s="409"/>
      <c r="E11664" s="13" t="s">
        <v>445</v>
      </c>
      <c r="F11664" s="14"/>
      <c r="G11664" s="410" t="s">
        <v>285</v>
      </c>
      <c r="H11664" s="411">
        <v>1.6279999999999999</v>
      </c>
      <c r="I11664" s="412">
        <f>Alat!H65*8</f>
        <v>0</v>
      </c>
      <c r="J11664" s="16">
        <f>H11664*I11664</f>
        <v>0</v>
      </c>
    </row>
    <row r="11665" spans="1:10" ht="13.5" thickBot="1">
      <c r="A11665" s="27"/>
      <c r="B11665" s="110"/>
      <c r="D11665" s="409"/>
      <c r="E11665" s="13" t="s">
        <v>446</v>
      </c>
      <c r="F11665" s="14"/>
      <c r="G11665" s="410" t="s">
        <v>285</v>
      </c>
      <c r="H11665" s="411">
        <v>1.141</v>
      </c>
      <c r="I11665" s="412">
        <f>Alat!H102</f>
        <v>0</v>
      </c>
      <c r="J11665" s="16">
        <f>H11665*I11665</f>
        <v>0</v>
      </c>
    </row>
    <row r="11666" spans="1:10" ht="13.5" thickBot="1">
      <c r="A11666" s="27"/>
      <c r="B11666" s="110"/>
      <c r="D11666" s="417"/>
      <c r="E11666" s="418"/>
      <c r="F11666" s="418"/>
      <c r="G11666" s="419"/>
      <c r="H11666" s="420" t="s">
        <v>67</v>
      </c>
      <c r="I11666" s="421"/>
      <c r="J11666" s="396">
        <f>SUM(J11662:J11665)</f>
        <v>0</v>
      </c>
    </row>
    <row r="11667" spans="1:10" ht="13">
      <c r="A11667" s="27"/>
      <c r="B11667" s="110"/>
      <c r="D11667" s="444" t="s">
        <v>68</v>
      </c>
      <c r="E11667" s="445" t="s">
        <v>69</v>
      </c>
      <c r="F11667" s="446"/>
      <c r="G11667" s="447"/>
      <c r="H11667" s="448"/>
      <c r="I11667" s="449">
        <f>IF(AND(E11667&lt;&gt;"",G11667&lt;&gt;""),IF(D11667="",IF(G11667="OH",VLOOKUP(E11667,UPAH!$C$4:$H$31,7,0),VLOOKUP(E11667,#REF!,4,0)),0),0)</f>
        <v>0</v>
      </c>
      <c r="J11667" s="16">
        <f>SUM(J11654:J11666)/2</f>
        <v>0</v>
      </c>
    </row>
    <row r="11668" spans="1:10" ht="13.5" thickBot="1">
      <c r="A11668" s="27"/>
      <c r="B11668" s="110"/>
      <c r="D11668" s="431" t="s">
        <v>70</v>
      </c>
      <c r="E11668" s="432" t="s">
        <v>477</v>
      </c>
      <c r="F11668" s="433"/>
      <c r="G11668" s="434"/>
      <c r="H11668" s="22">
        <v>0.1</v>
      </c>
      <c r="I11668" s="436"/>
      <c r="J11668" s="430">
        <f>H11668*J11667</f>
        <v>0</v>
      </c>
    </row>
    <row r="11669" spans="1:10" ht="13.5" thickBot="1">
      <c r="A11669" s="27"/>
      <c r="B11669" s="110"/>
      <c r="D11669" s="401" t="s">
        <v>71</v>
      </c>
      <c r="E11669" s="402" t="s">
        <v>72</v>
      </c>
      <c r="F11669" s="418"/>
      <c r="G11669" s="419"/>
      <c r="H11669" s="442"/>
      <c r="I11669" s="421">
        <f>IF(AND(E11669&lt;&gt;"",G11669&lt;&gt;""),IF(D11669="",IF(G11669="OH",VLOOKUP(E11669,UPAH!$C$4:$H$31,7,0),VLOOKUP(E11669,#REF!,4,0)),0),0)</f>
        <v>0</v>
      </c>
      <c r="J11669" s="396">
        <f>ROUNDDOWN(J11667+J11668,0)</f>
        <v>0</v>
      </c>
    </row>
    <row r="11670" spans="1:10" ht="13">
      <c r="A11670" s="27"/>
      <c r="B11670" s="110"/>
      <c r="D11670" s="11"/>
      <c r="E11670" s="11"/>
      <c r="H11670" s="443"/>
      <c r="I11670" s="17"/>
      <c r="J11670" s="18"/>
    </row>
    <row r="11671" spans="1:10" ht="13.5" thickBot="1">
      <c r="A11671" s="27"/>
      <c r="B11671" s="110"/>
      <c r="C11671" s="11" t="s">
        <v>1697</v>
      </c>
      <c r="D11671" s="10" t="s">
        <v>27</v>
      </c>
      <c r="H11671" s="443"/>
    </row>
    <row r="11672" spans="1:10" ht="13.5" thickBot="1">
      <c r="A11672" s="27"/>
      <c r="B11672" s="110"/>
      <c r="D11672" s="401" t="s">
        <v>40</v>
      </c>
      <c r="E11672" s="402" t="s">
        <v>41</v>
      </c>
      <c r="F11672" s="402" t="s">
        <v>42</v>
      </c>
      <c r="G11672" s="403" t="s">
        <v>43</v>
      </c>
      <c r="H11672" s="404" t="s">
        <v>44</v>
      </c>
      <c r="I11672" s="402" t="s">
        <v>474</v>
      </c>
      <c r="J11672" s="405" t="s">
        <v>475</v>
      </c>
    </row>
    <row r="11673" spans="1:10" ht="13">
      <c r="A11673" s="27"/>
      <c r="B11673" s="110"/>
      <c r="D11673" s="444" t="s">
        <v>45</v>
      </c>
      <c r="E11673" s="445" t="s">
        <v>46</v>
      </c>
      <c r="F11673" s="446"/>
      <c r="G11673" s="447"/>
      <c r="H11673" s="448"/>
      <c r="I11673" s="449"/>
      <c r="J11673" s="450"/>
    </row>
    <row r="11674" spans="1:10" ht="13">
      <c r="A11674" s="27"/>
      <c r="B11674" s="110"/>
      <c r="D11674" s="409"/>
      <c r="E11674" s="13" t="s">
        <v>47</v>
      </c>
      <c r="F11674" s="13" t="s">
        <v>1918</v>
      </c>
      <c r="G11674" s="410" t="s">
        <v>48</v>
      </c>
      <c r="H11674" s="411">
        <v>2.996</v>
      </c>
      <c r="I11674" s="412">
        <f>IF(AND(E11674&lt;&gt;"",G11674&lt;&gt;""),IF(D11674="",IF(G11674="OH",VLOOKUP(F11674,UPAH!$B$4:$H$101,7,0),VLOOKUP(F11674,#REF!,4,0)),0),0)</f>
        <v>0</v>
      </c>
      <c r="J11674" s="16">
        <f>H11674*I11674</f>
        <v>0</v>
      </c>
    </row>
    <row r="11675" spans="1:10" ht="13">
      <c r="A11675" s="27"/>
      <c r="B11675" s="110"/>
      <c r="D11675" s="409"/>
      <c r="E11675" s="13" t="s">
        <v>283</v>
      </c>
      <c r="F11675" s="13" t="s">
        <v>1913</v>
      </c>
      <c r="G11675" s="410" t="s">
        <v>48</v>
      </c>
      <c r="H11675" s="411">
        <v>1.498</v>
      </c>
      <c r="I11675" s="412">
        <f>IF(AND(E11675&lt;&gt;"",G11675&lt;&gt;""),IF(D11675="",IF(G11675="OH",VLOOKUP(F11675,UPAH!$B$4:$H$101,7,0),VLOOKUP(F11675,#REF!,4,0)),0),0)</f>
        <v>0</v>
      </c>
      <c r="J11675" s="16">
        <f>H11675*I11675</f>
        <v>0</v>
      </c>
    </row>
    <row r="11676" spans="1:10" ht="13.5" thickBot="1">
      <c r="A11676" s="27"/>
      <c r="B11676" s="110"/>
      <c r="D11676" s="409"/>
      <c r="E11676" s="13" t="s">
        <v>51</v>
      </c>
      <c r="F11676" s="13" t="s">
        <v>1929</v>
      </c>
      <c r="G11676" s="410" t="s">
        <v>48</v>
      </c>
      <c r="H11676" s="411">
        <v>0.3</v>
      </c>
      <c r="I11676" s="412">
        <f>IF(AND(E11676&lt;&gt;"",G11676&lt;&gt;""),IF(D11676="",IF(G11676="OH",VLOOKUP(F11676,UPAH!$B$4:$H$101,7,0),VLOOKUP(F11676,#REF!,4,0)),0),0)</f>
        <v>0</v>
      </c>
      <c r="J11676" s="16">
        <f>H11676*I11676</f>
        <v>0</v>
      </c>
    </row>
    <row r="11677" spans="1:10" ht="13.5" thickBot="1">
      <c r="A11677" s="27"/>
      <c r="B11677" s="110"/>
      <c r="D11677" s="417"/>
      <c r="E11677" s="418"/>
      <c r="F11677" s="418"/>
      <c r="G11677" s="419"/>
      <c r="H11677" s="420" t="s">
        <v>52</v>
      </c>
      <c r="I11677" s="421"/>
      <c r="J11677" s="396">
        <f>SUM(J11673:J11676)</f>
        <v>0</v>
      </c>
    </row>
    <row r="11678" spans="1:10" ht="13">
      <c r="A11678" s="27"/>
      <c r="B11678" s="110"/>
      <c r="D11678" s="406" t="s">
        <v>53</v>
      </c>
      <c r="E11678" s="13" t="s">
        <v>54</v>
      </c>
      <c r="F11678" s="14"/>
      <c r="G11678" s="15"/>
      <c r="H11678" s="451"/>
      <c r="I11678" s="412"/>
      <c r="J11678" s="16"/>
    </row>
    <row r="11679" spans="1:10" ht="13.5" thickBot="1">
      <c r="A11679" s="27"/>
      <c r="B11679" s="110"/>
      <c r="D11679" s="409"/>
      <c r="E11679" s="13" t="s">
        <v>354</v>
      </c>
      <c r="F11679" s="14"/>
      <c r="G11679" s="410" t="s">
        <v>259</v>
      </c>
      <c r="H11679" s="411">
        <v>1</v>
      </c>
      <c r="I11679" s="412">
        <f>'BAHAN '!G395</f>
        <v>0</v>
      </c>
      <c r="J11679" s="16">
        <f>H11679*I11679</f>
        <v>0</v>
      </c>
    </row>
    <row r="11680" spans="1:10" ht="13.5" thickBot="1">
      <c r="A11680" s="27"/>
      <c r="B11680" s="110"/>
      <c r="D11680" s="417"/>
      <c r="E11680" s="418"/>
      <c r="F11680" s="418"/>
      <c r="G11680" s="419"/>
      <c r="H11680" s="420" t="s">
        <v>64</v>
      </c>
      <c r="I11680" s="421"/>
      <c r="J11680" s="396">
        <f>SUM(J11679)</f>
        <v>0</v>
      </c>
    </row>
    <row r="11681" spans="1:10" ht="13">
      <c r="A11681" s="27"/>
      <c r="B11681" s="110"/>
      <c r="D11681" s="406" t="s">
        <v>65</v>
      </c>
      <c r="E11681" s="13" t="s">
        <v>66</v>
      </c>
      <c r="F11681" s="14"/>
      <c r="G11681" s="15"/>
      <c r="H11681" s="451"/>
      <c r="I11681" s="412"/>
      <c r="J11681" s="16"/>
    </row>
    <row r="11682" spans="1:10" ht="13">
      <c r="A11682" s="27"/>
      <c r="B11682" s="110"/>
      <c r="D11682" s="409"/>
      <c r="E11682" s="13" t="s">
        <v>1075</v>
      </c>
      <c r="F11682" s="14"/>
      <c r="G11682" s="410" t="s">
        <v>285</v>
      </c>
      <c r="H11682" s="411">
        <v>0.98</v>
      </c>
      <c r="I11682" s="412">
        <f>Alat!H26</f>
        <v>0</v>
      </c>
      <c r="J11682" s="16">
        <f>H11682*I11682</f>
        <v>0</v>
      </c>
    </row>
    <row r="11683" spans="1:10" ht="13">
      <c r="A11683" s="27"/>
      <c r="B11683" s="110"/>
      <c r="D11683" s="409"/>
      <c r="E11683" s="13" t="s">
        <v>350</v>
      </c>
      <c r="F11683" s="14"/>
      <c r="G11683" s="410" t="s">
        <v>285</v>
      </c>
      <c r="H11683" s="411">
        <v>0.78900000000000003</v>
      </c>
      <c r="I11683" s="412">
        <f>Alat!H42*8</f>
        <v>0</v>
      </c>
      <c r="J11683" s="16">
        <f>H11683*I11683</f>
        <v>0</v>
      </c>
    </row>
    <row r="11684" spans="1:10" ht="13">
      <c r="A11684" s="27"/>
      <c r="B11684" s="110"/>
      <c r="D11684" s="409"/>
      <c r="E11684" s="13" t="s">
        <v>445</v>
      </c>
      <c r="F11684" s="14"/>
      <c r="G11684" s="410" t="s">
        <v>285</v>
      </c>
      <c r="H11684" s="411">
        <v>1.903</v>
      </c>
      <c r="I11684" s="412">
        <f>Alat!H65*8</f>
        <v>0</v>
      </c>
      <c r="J11684" s="16">
        <f>H11684*I11684</f>
        <v>0</v>
      </c>
    </row>
    <row r="11685" spans="1:10" ht="13.5" thickBot="1">
      <c r="A11685" s="27"/>
      <c r="B11685" s="110"/>
      <c r="D11685" s="409"/>
      <c r="E11685" s="13" t="s">
        <v>446</v>
      </c>
      <c r="F11685" s="14"/>
      <c r="G11685" s="410" t="s">
        <v>285</v>
      </c>
      <c r="H11685" s="411">
        <v>1.256</v>
      </c>
      <c r="I11685" s="412">
        <f>Alat!H102</f>
        <v>0</v>
      </c>
      <c r="J11685" s="16">
        <f>H11685*I11685</f>
        <v>0</v>
      </c>
    </row>
    <row r="11686" spans="1:10" ht="13.5" thickBot="1">
      <c r="A11686" s="27"/>
      <c r="B11686" s="110"/>
      <c r="D11686" s="417"/>
      <c r="E11686" s="418"/>
      <c r="F11686" s="418"/>
      <c r="G11686" s="419"/>
      <c r="H11686" s="420" t="s">
        <v>67</v>
      </c>
      <c r="I11686" s="421"/>
      <c r="J11686" s="396">
        <f>SUM(J11682:J11685)</f>
        <v>0</v>
      </c>
    </row>
    <row r="11687" spans="1:10" ht="13">
      <c r="A11687" s="27"/>
      <c r="B11687" s="110"/>
      <c r="D11687" s="444" t="s">
        <v>68</v>
      </c>
      <c r="E11687" s="445" t="s">
        <v>69</v>
      </c>
      <c r="F11687" s="446"/>
      <c r="G11687" s="447"/>
      <c r="H11687" s="448"/>
      <c r="I11687" s="449">
        <f>IF(AND(E11687&lt;&gt;"",G11687&lt;&gt;""),IF(D11687="",IF(G11687="OH",VLOOKUP(E11687,UPAH!$C$4:$H$31,7,0),VLOOKUP(E11687,#REF!,4,0)),0),0)</f>
        <v>0</v>
      </c>
      <c r="J11687" s="16">
        <f>SUM(J11674:J11686)/2</f>
        <v>0</v>
      </c>
    </row>
    <row r="11688" spans="1:10" ht="13.5" thickBot="1">
      <c r="A11688" s="27"/>
      <c r="B11688" s="110"/>
      <c r="D11688" s="431" t="s">
        <v>70</v>
      </c>
      <c r="E11688" s="432" t="s">
        <v>477</v>
      </c>
      <c r="F11688" s="433"/>
      <c r="G11688" s="434"/>
      <c r="H11688" s="22">
        <v>0.1</v>
      </c>
      <c r="I11688" s="436"/>
      <c r="J11688" s="430">
        <f>H11688*J11687</f>
        <v>0</v>
      </c>
    </row>
    <row r="11689" spans="1:10" ht="13.5" thickBot="1">
      <c r="A11689" s="27"/>
      <c r="B11689" s="110"/>
      <c r="D11689" s="401" t="s">
        <v>71</v>
      </c>
      <c r="E11689" s="402" t="s">
        <v>72</v>
      </c>
      <c r="F11689" s="418"/>
      <c r="G11689" s="419"/>
      <c r="H11689" s="442"/>
      <c r="I11689" s="421">
        <f>IF(AND(E11689&lt;&gt;"",G11689&lt;&gt;""),IF(D11689="",IF(G11689="OH",VLOOKUP(E11689,UPAH!$C$4:$H$31,7,0),VLOOKUP(E11689,#REF!,4,0)),0),0)</f>
        <v>0</v>
      </c>
      <c r="J11689" s="396">
        <f>ROUNDDOWN(J11687+J11688,0)</f>
        <v>0</v>
      </c>
    </row>
    <row r="11690" spans="1:10" ht="13">
      <c r="A11690" s="27"/>
      <c r="B11690" s="110"/>
      <c r="D11690" s="11"/>
      <c r="E11690" s="11"/>
      <c r="H11690" s="443"/>
      <c r="I11690" s="17"/>
      <c r="J11690" s="18"/>
    </row>
    <row r="11691" spans="1:10" ht="13.5" thickBot="1">
      <c r="A11691" s="27"/>
      <c r="B11691" s="110"/>
      <c r="C11691" s="11" t="s">
        <v>1754</v>
      </c>
      <c r="D11691" s="10" t="s">
        <v>28</v>
      </c>
      <c r="H11691" s="443"/>
    </row>
    <row r="11692" spans="1:10" ht="13.5" thickBot="1">
      <c r="A11692" s="27"/>
      <c r="B11692" s="110"/>
      <c r="D11692" s="401" t="s">
        <v>40</v>
      </c>
      <c r="E11692" s="402" t="s">
        <v>41</v>
      </c>
      <c r="F11692" s="402" t="s">
        <v>42</v>
      </c>
      <c r="G11692" s="403" t="s">
        <v>43</v>
      </c>
      <c r="H11692" s="404" t="s">
        <v>44</v>
      </c>
      <c r="I11692" s="402" t="s">
        <v>474</v>
      </c>
      <c r="J11692" s="405" t="s">
        <v>475</v>
      </c>
    </row>
    <row r="11693" spans="1:10" ht="13">
      <c r="A11693" s="27"/>
      <c r="B11693" s="110"/>
      <c r="D11693" s="444" t="s">
        <v>45</v>
      </c>
      <c r="E11693" s="445" t="s">
        <v>46</v>
      </c>
      <c r="F11693" s="446"/>
      <c r="G11693" s="447"/>
      <c r="H11693" s="448"/>
      <c r="I11693" s="449"/>
      <c r="J11693" s="450"/>
    </row>
    <row r="11694" spans="1:10" ht="13">
      <c r="A11694" s="27"/>
      <c r="B11694" s="110"/>
      <c r="D11694" s="409"/>
      <c r="E11694" s="13" t="s">
        <v>47</v>
      </c>
      <c r="F11694" s="13" t="s">
        <v>1918</v>
      </c>
      <c r="G11694" s="410" t="s">
        <v>48</v>
      </c>
      <c r="H11694" s="411">
        <v>3.4460000000000002</v>
      </c>
      <c r="I11694" s="412">
        <f>IF(AND(E11694&lt;&gt;"",G11694&lt;&gt;""),IF(D11694="",IF(G11694="OH",VLOOKUP(F11694,UPAH!$B$4:$H$101,7,0),VLOOKUP(F11694,#REF!,4,0)),0),0)</f>
        <v>0</v>
      </c>
      <c r="J11694" s="16">
        <f>H11694*I11694</f>
        <v>0</v>
      </c>
    </row>
    <row r="11695" spans="1:10" ht="13">
      <c r="A11695" s="27"/>
      <c r="B11695" s="110"/>
      <c r="D11695" s="409"/>
      <c r="E11695" s="13" t="s">
        <v>283</v>
      </c>
      <c r="F11695" s="13" t="s">
        <v>1913</v>
      </c>
      <c r="G11695" s="410" t="s">
        <v>48</v>
      </c>
      <c r="H11695" s="411">
        <v>1.7230000000000001</v>
      </c>
      <c r="I11695" s="412">
        <f>IF(AND(E11695&lt;&gt;"",G11695&lt;&gt;""),IF(D11695="",IF(G11695="OH",VLOOKUP(F11695,UPAH!$B$4:$H$101,7,0),VLOOKUP(F11695,#REF!,4,0)),0),0)</f>
        <v>0</v>
      </c>
      <c r="J11695" s="16">
        <f>H11695*I11695</f>
        <v>0</v>
      </c>
    </row>
    <row r="11696" spans="1:10" ht="13.5" thickBot="1">
      <c r="A11696" s="27"/>
      <c r="B11696" s="110"/>
      <c r="D11696" s="409"/>
      <c r="E11696" s="13" t="s">
        <v>51</v>
      </c>
      <c r="F11696" s="13" t="s">
        <v>1929</v>
      </c>
      <c r="G11696" s="410" t="s">
        <v>48</v>
      </c>
      <c r="H11696" s="411">
        <v>0.34499999999999997</v>
      </c>
      <c r="I11696" s="412">
        <f>IF(AND(E11696&lt;&gt;"",G11696&lt;&gt;""),IF(D11696="",IF(G11696="OH",VLOOKUP(F11696,UPAH!$B$4:$H$101,7,0),VLOOKUP(F11696,#REF!,4,0)),0),0)</f>
        <v>0</v>
      </c>
      <c r="J11696" s="16">
        <f>H11696*I11696</f>
        <v>0</v>
      </c>
    </row>
    <row r="11697" spans="1:10" ht="13.5" thickBot="1">
      <c r="A11697" s="27"/>
      <c r="B11697" s="110"/>
      <c r="D11697" s="417"/>
      <c r="E11697" s="418"/>
      <c r="F11697" s="418"/>
      <c r="G11697" s="419"/>
      <c r="H11697" s="420" t="s">
        <v>52</v>
      </c>
      <c r="I11697" s="421"/>
      <c r="J11697" s="396">
        <f>SUM(J11693:J11696)</f>
        <v>0</v>
      </c>
    </row>
    <row r="11698" spans="1:10" ht="13">
      <c r="A11698" s="27"/>
      <c r="B11698" s="110"/>
      <c r="D11698" s="406" t="s">
        <v>53</v>
      </c>
      <c r="E11698" s="13" t="s">
        <v>54</v>
      </c>
      <c r="F11698" s="14"/>
      <c r="G11698" s="15"/>
      <c r="H11698" s="451"/>
      <c r="I11698" s="412"/>
      <c r="J11698" s="16"/>
    </row>
    <row r="11699" spans="1:10" ht="13.5" thickBot="1">
      <c r="A11699" s="27"/>
      <c r="B11699" s="110"/>
      <c r="D11699" s="409"/>
      <c r="E11699" s="13" t="s">
        <v>355</v>
      </c>
      <c r="F11699" s="14"/>
      <c r="G11699" s="410" t="s">
        <v>259</v>
      </c>
      <c r="H11699" s="411">
        <v>1</v>
      </c>
      <c r="I11699" s="412">
        <f>'BAHAN '!G394</f>
        <v>0</v>
      </c>
      <c r="J11699" s="16">
        <f>H11699*I11699</f>
        <v>0</v>
      </c>
    </row>
    <row r="11700" spans="1:10" ht="13.5" thickBot="1">
      <c r="A11700" s="27"/>
      <c r="B11700" s="110"/>
      <c r="D11700" s="417"/>
      <c r="E11700" s="418"/>
      <c r="F11700" s="418"/>
      <c r="G11700" s="419"/>
      <c r="H11700" s="420" t="s">
        <v>64</v>
      </c>
      <c r="I11700" s="421"/>
      <c r="J11700" s="396">
        <f>SUM(J11699)</f>
        <v>0</v>
      </c>
    </row>
    <row r="11701" spans="1:10" ht="13">
      <c r="A11701" s="27"/>
      <c r="B11701" s="110"/>
      <c r="D11701" s="406" t="s">
        <v>65</v>
      </c>
      <c r="E11701" s="13" t="s">
        <v>66</v>
      </c>
      <c r="F11701" s="14"/>
      <c r="G11701" s="15"/>
      <c r="H11701" s="451"/>
      <c r="I11701" s="412"/>
      <c r="J11701" s="16"/>
    </row>
    <row r="11702" spans="1:10" ht="13">
      <c r="A11702" s="27"/>
      <c r="B11702" s="110"/>
      <c r="D11702" s="409"/>
      <c r="E11702" s="13" t="s">
        <v>1075</v>
      </c>
      <c r="F11702" s="14"/>
      <c r="G11702" s="410" t="s">
        <v>285</v>
      </c>
      <c r="H11702" s="411">
        <v>1.0900000000000001</v>
      </c>
      <c r="I11702" s="412">
        <f>Alat!H26</f>
        <v>0</v>
      </c>
      <c r="J11702" s="16">
        <f>H11702*I11702</f>
        <v>0</v>
      </c>
    </row>
    <row r="11703" spans="1:10" ht="13">
      <c r="A11703" s="27"/>
      <c r="B11703" s="110"/>
      <c r="D11703" s="409"/>
      <c r="E11703" s="13" t="s">
        <v>350</v>
      </c>
      <c r="F11703" s="14"/>
      <c r="G11703" s="410" t="s">
        <v>285</v>
      </c>
      <c r="H11703" s="411">
        <v>0.999</v>
      </c>
      <c r="I11703" s="412">
        <f>Alat!H42*8</f>
        <v>0</v>
      </c>
      <c r="J11703" s="16">
        <f>H11703*I11703</f>
        <v>0</v>
      </c>
    </row>
    <row r="11704" spans="1:10" ht="13">
      <c r="A11704" s="27"/>
      <c r="B11704" s="110"/>
      <c r="D11704" s="409"/>
      <c r="E11704" s="13" t="s">
        <v>445</v>
      </c>
      <c r="F11704" s="14"/>
      <c r="G11704" s="410" t="s">
        <v>285</v>
      </c>
      <c r="H11704" s="411">
        <v>2.1779999999999999</v>
      </c>
      <c r="I11704" s="412">
        <f>Alat!H65*8</f>
        <v>0</v>
      </c>
      <c r="J11704" s="16">
        <f>H11704*I11704</f>
        <v>0</v>
      </c>
    </row>
    <row r="11705" spans="1:10" ht="13.5" thickBot="1">
      <c r="A11705" s="27"/>
      <c r="B11705" s="110"/>
      <c r="D11705" s="409"/>
      <c r="E11705" s="13" t="s">
        <v>446</v>
      </c>
      <c r="F11705" s="14"/>
      <c r="G11705" s="410" t="s">
        <v>285</v>
      </c>
      <c r="H11705" s="411">
        <v>1.371</v>
      </c>
      <c r="I11705" s="412">
        <f>Alat!H102</f>
        <v>0</v>
      </c>
      <c r="J11705" s="16">
        <f>H11705*I11705</f>
        <v>0</v>
      </c>
    </row>
    <row r="11706" spans="1:10" ht="13.5" thickBot="1">
      <c r="A11706" s="27"/>
      <c r="B11706" s="110"/>
      <c r="D11706" s="417"/>
      <c r="E11706" s="418"/>
      <c r="F11706" s="418"/>
      <c r="G11706" s="419"/>
      <c r="H11706" s="420" t="s">
        <v>67</v>
      </c>
      <c r="I11706" s="421"/>
      <c r="J11706" s="396">
        <f>SUM(J11702:J11705)</f>
        <v>0</v>
      </c>
    </row>
    <row r="11707" spans="1:10" ht="13">
      <c r="A11707" s="27"/>
      <c r="B11707" s="110"/>
      <c r="D11707" s="444" t="s">
        <v>68</v>
      </c>
      <c r="E11707" s="445" t="s">
        <v>69</v>
      </c>
      <c r="F11707" s="446"/>
      <c r="G11707" s="447"/>
      <c r="H11707" s="448"/>
      <c r="I11707" s="449">
        <f>IF(AND(E11707&lt;&gt;"",G11707&lt;&gt;""),IF(D11707="",IF(G11707="OH",VLOOKUP(E11707,UPAH!$C$4:$H$31,7,0),VLOOKUP(E11707,#REF!,4,0)),0),0)</f>
        <v>0</v>
      </c>
      <c r="J11707" s="16">
        <f>SUM(J11694:J11706)/2</f>
        <v>0</v>
      </c>
    </row>
    <row r="11708" spans="1:10" ht="13.5" thickBot="1">
      <c r="A11708" s="27"/>
      <c r="B11708" s="110"/>
      <c r="D11708" s="431" t="s">
        <v>70</v>
      </c>
      <c r="E11708" s="432" t="s">
        <v>477</v>
      </c>
      <c r="F11708" s="433"/>
      <c r="G11708" s="434"/>
      <c r="H11708" s="22">
        <v>0.1</v>
      </c>
      <c r="I11708" s="436"/>
      <c r="J11708" s="430">
        <f>H11708*J11707</f>
        <v>0</v>
      </c>
    </row>
    <row r="11709" spans="1:10" ht="13.5" thickBot="1">
      <c r="A11709" s="27"/>
      <c r="B11709" s="110"/>
      <c r="D11709" s="401" t="s">
        <v>71</v>
      </c>
      <c r="E11709" s="402" t="s">
        <v>72</v>
      </c>
      <c r="F11709" s="418"/>
      <c r="G11709" s="419"/>
      <c r="H11709" s="442"/>
      <c r="I11709" s="421">
        <f>IF(AND(E11709&lt;&gt;"",G11709&lt;&gt;""),IF(D11709="",IF(G11709="OH",VLOOKUP(E11709,UPAH!$C$4:$H$31,7,0),VLOOKUP(E11709,#REF!,4,0)),0),0)</f>
        <v>0</v>
      </c>
      <c r="J11709" s="396">
        <f>ROUNDDOWN(J11707+J11708,0)</f>
        <v>0</v>
      </c>
    </row>
    <row r="11710" spans="1:10" ht="13">
      <c r="A11710" s="27"/>
      <c r="B11710" s="110"/>
      <c r="D11710" s="11"/>
      <c r="E11710" s="11"/>
      <c r="H11710" s="443"/>
      <c r="I11710" s="17"/>
      <c r="J11710" s="18"/>
    </row>
    <row r="11711" spans="1:10" ht="13.5" thickBot="1">
      <c r="A11711" s="27"/>
      <c r="B11711" s="110"/>
      <c r="C11711" s="11" t="s">
        <v>1753</v>
      </c>
      <c r="D11711" s="10" t="s">
        <v>29</v>
      </c>
      <c r="H11711" s="443"/>
    </row>
    <row r="11712" spans="1:10" ht="13.5" thickBot="1">
      <c r="A11712" s="27"/>
      <c r="B11712" s="110"/>
      <c r="D11712" s="401" t="s">
        <v>40</v>
      </c>
      <c r="E11712" s="402" t="s">
        <v>41</v>
      </c>
      <c r="F11712" s="402" t="s">
        <v>42</v>
      </c>
      <c r="G11712" s="403" t="s">
        <v>43</v>
      </c>
      <c r="H11712" s="404" t="s">
        <v>44</v>
      </c>
      <c r="I11712" s="402" t="s">
        <v>474</v>
      </c>
      <c r="J11712" s="405" t="s">
        <v>475</v>
      </c>
    </row>
    <row r="11713" spans="1:10" ht="13">
      <c r="A11713" s="27"/>
      <c r="B11713" s="110"/>
      <c r="D11713" s="444" t="s">
        <v>45</v>
      </c>
      <c r="E11713" s="445" t="s">
        <v>46</v>
      </c>
      <c r="F11713" s="446"/>
      <c r="G11713" s="447"/>
      <c r="H11713" s="448"/>
      <c r="I11713" s="449"/>
      <c r="J11713" s="450"/>
    </row>
    <row r="11714" spans="1:10" ht="13">
      <c r="A11714" s="27"/>
      <c r="B11714" s="110"/>
      <c r="D11714" s="409"/>
      <c r="E11714" s="13" t="s">
        <v>47</v>
      </c>
      <c r="F11714" s="13" t="s">
        <v>1918</v>
      </c>
      <c r="G11714" s="410" t="s">
        <v>48</v>
      </c>
      <c r="H11714" s="411">
        <v>4.3460000000000001</v>
      </c>
      <c r="I11714" s="412">
        <f>IF(AND(E11714&lt;&gt;"",G11714&lt;&gt;""),IF(D11714="",IF(G11714="OH",VLOOKUP(F11714,UPAH!$B$4:$H$101,7,0),VLOOKUP(F11714,#REF!,4,0)),0),0)</f>
        <v>0</v>
      </c>
      <c r="J11714" s="16">
        <f>H11714*I11714</f>
        <v>0</v>
      </c>
    </row>
    <row r="11715" spans="1:10" ht="13">
      <c r="A11715" s="27"/>
      <c r="B11715" s="110"/>
      <c r="D11715" s="409"/>
      <c r="E11715" s="13" t="s">
        <v>283</v>
      </c>
      <c r="F11715" s="13" t="s">
        <v>1913</v>
      </c>
      <c r="G11715" s="410" t="s">
        <v>48</v>
      </c>
      <c r="H11715" s="411">
        <v>2.173</v>
      </c>
      <c r="I11715" s="412">
        <f>IF(AND(E11715&lt;&gt;"",G11715&lt;&gt;""),IF(D11715="",IF(G11715="OH",VLOOKUP(F11715,UPAH!$B$4:$H$101,7,0),VLOOKUP(F11715,#REF!,4,0)),0),0)</f>
        <v>0</v>
      </c>
      <c r="J11715" s="16">
        <f>H11715*I11715</f>
        <v>0</v>
      </c>
    </row>
    <row r="11716" spans="1:10" ht="13.5" thickBot="1">
      <c r="A11716" s="27"/>
      <c r="B11716" s="110"/>
      <c r="D11716" s="409"/>
      <c r="E11716" s="13" t="s">
        <v>51</v>
      </c>
      <c r="F11716" s="13" t="s">
        <v>1929</v>
      </c>
      <c r="G11716" s="410" t="s">
        <v>48</v>
      </c>
      <c r="H11716" s="411">
        <v>0.435</v>
      </c>
      <c r="I11716" s="412">
        <f>IF(AND(E11716&lt;&gt;"",G11716&lt;&gt;""),IF(D11716="",IF(G11716="OH",VLOOKUP(F11716,UPAH!$B$4:$H$101,7,0),VLOOKUP(F11716,#REF!,4,0)),0),0)</f>
        <v>0</v>
      </c>
      <c r="J11716" s="16">
        <f>H11716*I11716</f>
        <v>0</v>
      </c>
    </row>
    <row r="11717" spans="1:10" ht="13.5" thickBot="1">
      <c r="A11717" s="27"/>
      <c r="B11717" s="110"/>
      <c r="D11717" s="417"/>
      <c r="E11717" s="418"/>
      <c r="F11717" s="418"/>
      <c r="G11717" s="419"/>
      <c r="H11717" s="420" t="s">
        <v>52</v>
      </c>
      <c r="I11717" s="421"/>
      <c r="J11717" s="396">
        <f>SUM(J11714:J11716)</f>
        <v>0</v>
      </c>
    </row>
    <row r="11718" spans="1:10" ht="13">
      <c r="A11718" s="27"/>
      <c r="B11718" s="110"/>
      <c r="D11718" s="406" t="s">
        <v>53</v>
      </c>
      <c r="E11718" s="13" t="s">
        <v>54</v>
      </c>
      <c r="F11718" s="14"/>
      <c r="G11718" s="15"/>
      <c r="H11718" s="451"/>
      <c r="I11718" s="412"/>
      <c r="J11718" s="16"/>
    </row>
    <row r="11719" spans="1:10" ht="13.5" thickBot="1">
      <c r="A11719" s="27"/>
      <c r="B11719" s="110"/>
      <c r="D11719" s="409"/>
      <c r="E11719" s="13" t="s">
        <v>356</v>
      </c>
      <c r="F11719" s="14"/>
      <c r="G11719" s="410" t="s">
        <v>259</v>
      </c>
      <c r="H11719" s="411">
        <v>1</v>
      </c>
      <c r="I11719" s="412">
        <f>'BAHAN '!G392</f>
        <v>0</v>
      </c>
      <c r="J11719" s="16">
        <f>H11719*I11719</f>
        <v>0</v>
      </c>
    </row>
    <row r="11720" spans="1:10" ht="13.5" thickBot="1">
      <c r="A11720" s="27"/>
      <c r="B11720" s="110"/>
      <c r="D11720" s="417"/>
      <c r="E11720" s="418"/>
      <c r="F11720" s="418"/>
      <c r="G11720" s="419"/>
      <c r="H11720" s="420" t="s">
        <v>64</v>
      </c>
      <c r="I11720" s="421"/>
      <c r="J11720" s="396">
        <f>SUM(J11719)</f>
        <v>0</v>
      </c>
    </row>
    <row r="11721" spans="1:10" ht="13">
      <c r="A11721" s="27"/>
      <c r="B11721" s="110"/>
      <c r="D11721" s="406" t="s">
        <v>65</v>
      </c>
      <c r="E11721" s="13" t="s">
        <v>66</v>
      </c>
      <c r="F11721" s="14"/>
      <c r="G11721" s="15"/>
      <c r="H11721" s="451"/>
      <c r="I11721" s="412"/>
      <c r="J11721" s="16"/>
    </row>
    <row r="11722" spans="1:10" ht="13">
      <c r="A11722" s="27"/>
      <c r="B11722" s="110"/>
      <c r="D11722" s="409"/>
      <c r="E11722" s="13" t="s">
        <v>1075</v>
      </c>
      <c r="F11722" s="14"/>
      <c r="G11722" s="410" t="s">
        <v>285</v>
      </c>
      <c r="H11722" s="411">
        <v>1.31</v>
      </c>
      <c r="I11722" s="412">
        <f>Alat!H26</f>
        <v>0</v>
      </c>
      <c r="J11722" s="16">
        <f>H11722*I11722</f>
        <v>0</v>
      </c>
    </row>
    <row r="11723" spans="1:10" ht="13">
      <c r="A11723" s="27"/>
      <c r="B11723" s="110"/>
      <c r="D11723" s="409"/>
      <c r="E11723" s="13" t="s">
        <v>350</v>
      </c>
      <c r="F11723" s="14"/>
      <c r="G11723" s="410" t="s">
        <v>285</v>
      </c>
      <c r="H11723" s="411">
        <v>1.419</v>
      </c>
      <c r="I11723" s="412">
        <f>Alat!H42*8</f>
        <v>0</v>
      </c>
      <c r="J11723" s="16">
        <f>H11723*I11723</f>
        <v>0</v>
      </c>
    </row>
    <row r="11724" spans="1:10" ht="13">
      <c r="A11724" s="27"/>
      <c r="B11724" s="110"/>
      <c r="D11724" s="409"/>
      <c r="E11724" s="13" t="s">
        <v>445</v>
      </c>
      <c r="F11724" s="14"/>
      <c r="G11724" s="410" t="s">
        <v>285</v>
      </c>
      <c r="H11724" s="411">
        <v>2.7280000000000002</v>
      </c>
      <c r="I11724" s="412">
        <f>Alat!H65*8</f>
        <v>0</v>
      </c>
      <c r="J11724" s="16">
        <f>H11724*I11724</f>
        <v>0</v>
      </c>
    </row>
    <row r="11725" spans="1:10" ht="13.5" thickBot="1">
      <c r="A11725" s="27"/>
      <c r="B11725" s="110"/>
      <c r="D11725" s="409"/>
      <c r="E11725" s="13" t="s">
        <v>446</v>
      </c>
      <c r="F11725" s="14"/>
      <c r="G11725" s="410" t="s">
        <v>285</v>
      </c>
      <c r="H11725" s="411">
        <v>1.601</v>
      </c>
      <c r="I11725" s="412">
        <f>Alat!H102</f>
        <v>0</v>
      </c>
      <c r="J11725" s="16">
        <f>H11725*I11725</f>
        <v>0</v>
      </c>
    </row>
    <row r="11726" spans="1:10" ht="13.5" thickBot="1">
      <c r="A11726" s="27"/>
      <c r="B11726" s="110"/>
      <c r="D11726" s="417"/>
      <c r="E11726" s="418"/>
      <c r="F11726" s="418"/>
      <c r="G11726" s="419"/>
      <c r="H11726" s="420" t="s">
        <v>67</v>
      </c>
      <c r="I11726" s="421"/>
      <c r="J11726" s="396">
        <f>SUM(J11722:J11725)</f>
        <v>0</v>
      </c>
    </row>
    <row r="11727" spans="1:10" ht="13">
      <c r="A11727" s="27"/>
      <c r="B11727" s="110"/>
      <c r="D11727" s="444" t="s">
        <v>68</v>
      </c>
      <c r="E11727" s="445" t="s">
        <v>69</v>
      </c>
      <c r="F11727" s="446"/>
      <c r="G11727" s="447"/>
      <c r="H11727" s="448"/>
      <c r="I11727" s="449">
        <f>IF(AND(E11727&lt;&gt;"",G11727&lt;&gt;""),IF(D11727="",IF(G11727="OH",VLOOKUP(E11727,UPAH!$C$4:$H$31,7,0),VLOOKUP(E11727,#REF!,4,0)),0),0)</f>
        <v>0</v>
      </c>
      <c r="J11727" s="16">
        <f>SUM(J11714:J11726)/2</f>
        <v>0</v>
      </c>
    </row>
    <row r="11728" spans="1:10" ht="13.5" thickBot="1">
      <c r="A11728" s="27"/>
      <c r="B11728" s="110"/>
      <c r="D11728" s="431" t="s">
        <v>70</v>
      </c>
      <c r="E11728" s="432" t="s">
        <v>477</v>
      </c>
      <c r="F11728" s="433"/>
      <c r="G11728" s="434"/>
      <c r="H11728" s="22">
        <v>0.1</v>
      </c>
      <c r="I11728" s="436"/>
      <c r="J11728" s="430">
        <f>H11728*J11727</f>
        <v>0</v>
      </c>
    </row>
    <row r="11729" spans="1:10" ht="13.5" thickBot="1">
      <c r="A11729" s="27"/>
      <c r="B11729" s="110"/>
      <c r="D11729" s="401" t="s">
        <v>71</v>
      </c>
      <c r="E11729" s="402" t="s">
        <v>72</v>
      </c>
      <c r="F11729" s="418"/>
      <c r="G11729" s="419"/>
      <c r="H11729" s="442"/>
      <c r="I11729" s="421">
        <f>IF(AND(E11729&lt;&gt;"",G11729&lt;&gt;""),IF(D11729="",IF(G11729="OH",VLOOKUP(E11729,UPAH!$C$4:$H$31,7,0),VLOOKUP(E11729,#REF!,4,0)),0),0)</f>
        <v>0</v>
      </c>
      <c r="J11729" s="396">
        <f>ROUNDDOWN(J11727+J11728,0)</f>
        <v>0</v>
      </c>
    </row>
    <row r="11730" spans="1:10" ht="13">
      <c r="A11730" s="27"/>
      <c r="B11730" s="110"/>
      <c r="D11730" s="11"/>
      <c r="E11730" s="11"/>
      <c r="H11730" s="443"/>
      <c r="I11730" s="17"/>
      <c r="J11730" s="18"/>
    </row>
    <row r="11731" spans="1:10" ht="13.5" thickBot="1">
      <c r="A11731" s="27"/>
      <c r="B11731" s="110"/>
      <c r="C11731" s="11" t="s">
        <v>1752</v>
      </c>
      <c r="D11731" s="10" t="s">
        <v>30</v>
      </c>
      <c r="H11731" s="443"/>
    </row>
    <row r="11732" spans="1:10" ht="13.5" thickBot="1">
      <c r="A11732" s="27"/>
      <c r="B11732" s="110"/>
      <c r="D11732" s="401" t="s">
        <v>40</v>
      </c>
      <c r="E11732" s="402" t="s">
        <v>41</v>
      </c>
      <c r="F11732" s="402" t="s">
        <v>42</v>
      </c>
      <c r="G11732" s="403" t="s">
        <v>43</v>
      </c>
      <c r="H11732" s="404" t="s">
        <v>44</v>
      </c>
      <c r="I11732" s="402" t="s">
        <v>474</v>
      </c>
      <c r="J11732" s="405" t="s">
        <v>475</v>
      </c>
    </row>
    <row r="11733" spans="1:10" ht="13">
      <c r="A11733" s="27"/>
      <c r="B11733" s="110"/>
      <c r="D11733" s="444" t="s">
        <v>45</v>
      </c>
      <c r="E11733" s="445" t="s">
        <v>46</v>
      </c>
      <c r="F11733" s="446"/>
      <c r="G11733" s="447"/>
      <c r="H11733" s="448"/>
      <c r="I11733" s="449"/>
      <c r="J11733" s="450"/>
    </row>
    <row r="11734" spans="1:10" ht="13">
      <c r="A11734" s="27"/>
      <c r="B11734" s="110"/>
      <c r="D11734" s="409"/>
      <c r="E11734" s="13" t="s">
        <v>47</v>
      </c>
      <c r="F11734" s="13" t="s">
        <v>1918</v>
      </c>
      <c r="G11734" s="410" t="s">
        <v>48</v>
      </c>
      <c r="H11734" s="411">
        <v>4.7960000000000003</v>
      </c>
      <c r="I11734" s="412">
        <f>IF(AND(E11734&lt;&gt;"",G11734&lt;&gt;""),IF(D11734="",IF(G11734="OH",VLOOKUP(F11734,UPAH!$B$4:$H$101,7,0),VLOOKUP(F11734,#REF!,4,0)),0),0)</f>
        <v>0</v>
      </c>
      <c r="J11734" s="16">
        <f>H11734*I11734</f>
        <v>0</v>
      </c>
    </row>
    <row r="11735" spans="1:10" ht="13">
      <c r="A11735" s="27"/>
      <c r="B11735" s="110"/>
      <c r="D11735" s="409"/>
      <c r="E11735" s="13" t="s">
        <v>283</v>
      </c>
      <c r="F11735" s="13" t="s">
        <v>1913</v>
      </c>
      <c r="G11735" s="410" t="s">
        <v>48</v>
      </c>
      <c r="H11735" s="411">
        <v>2.3980000000000001</v>
      </c>
      <c r="I11735" s="412">
        <f>IF(AND(E11735&lt;&gt;"",G11735&lt;&gt;""),IF(D11735="",IF(G11735="OH",VLOOKUP(F11735,UPAH!$B$4:$H$101,7,0),VLOOKUP(F11735,#REF!,4,0)),0),0)</f>
        <v>0</v>
      </c>
      <c r="J11735" s="16">
        <f>H11735*I11735</f>
        <v>0</v>
      </c>
    </row>
    <row r="11736" spans="1:10" ht="13.5" thickBot="1">
      <c r="A11736" s="27"/>
      <c r="B11736" s="110"/>
      <c r="D11736" s="409"/>
      <c r="E11736" s="13" t="s">
        <v>51</v>
      </c>
      <c r="F11736" s="13" t="s">
        <v>1929</v>
      </c>
      <c r="G11736" s="410" t="s">
        <v>48</v>
      </c>
      <c r="H11736" s="411">
        <v>0.48</v>
      </c>
      <c r="I11736" s="412">
        <f>IF(AND(E11736&lt;&gt;"",G11736&lt;&gt;""),IF(D11736="",IF(G11736="OH",VLOOKUP(F11736,UPAH!$B$4:$H$101,7,0),VLOOKUP(F11736,#REF!,4,0)),0),0)</f>
        <v>0</v>
      </c>
      <c r="J11736" s="16">
        <f>H11736*I11736</f>
        <v>0</v>
      </c>
    </row>
    <row r="11737" spans="1:10" ht="13.5" thickBot="1">
      <c r="A11737" s="27"/>
      <c r="B11737" s="110"/>
      <c r="D11737" s="417"/>
      <c r="E11737" s="418"/>
      <c r="F11737" s="418"/>
      <c r="G11737" s="419"/>
      <c r="H11737" s="420" t="s">
        <v>52</v>
      </c>
      <c r="I11737" s="421"/>
      <c r="J11737" s="396">
        <f>SUM(J11733:J11736)</f>
        <v>0</v>
      </c>
    </row>
    <row r="11738" spans="1:10" ht="13">
      <c r="A11738" s="27"/>
      <c r="B11738" s="110"/>
      <c r="D11738" s="406" t="s">
        <v>53</v>
      </c>
      <c r="E11738" s="13" t="s">
        <v>54</v>
      </c>
      <c r="F11738" s="14"/>
      <c r="G11738" s="15"/>
      <c r="H11738" s="451"/>
      <c r="I11738" s="412"/>
      <c r="J11738" s="16"/>
    </row>
    <row r="11739" spans="1:10" ht="13.5" thickBot="1">
      <c r="A11739" s="27"/>
      <c r="B11739" s="110"/>
      <c r="D11739" s="409"/>
      <c r="E11739" s="13" t="s">
        <v>357</v>
      </c>
      <c r="F11739" s="14"/>
      <c r="G11739" s="410" t="s">
        <v>259</v>
      </c>
      <c r="H11739" s="411">
        <v>1</v>
      </c>
      <c r="I11739" s="412">
        <f>'BAHAN '!G391</f>
        <v>0</v>
      </c>
      <c r="J11739" s="16">
        <f>H11739*I11739</f>
        <v>0</v>
      </c>
    </row>
    <row r="11740" spans="1:10" ht="13.5" thickBot="1">
      <c r="A11740" s="27"/>
      <c r="B11740" s="110"/>
      <c r="D11740" s="417"/>
      <c r="E11740" s="418"/>
      <c r="F11740" s="418"/>
      <c r="G11740" s="419"/>
      <c r="H11740" s="420" t="s">
        <v>64</v>
      </c>
      <c r="I11740" s="421"/>
      <c r="J11740" s="396">
        <f>SUM(J11739)</f>
        <v>0</v>
      </c>
    </row>
    <row r="11741" spans="1:10" ht="13">
      <c r="A11741" s="27"/>
      <c r="B11741" s="110"/>
      <c r="D11741" s="406" t="s">
        <v>65</v>
      </c>
      <c r="E11741" s="13" t="s">
        <v>66</v>
      </c>
      <c r="F11741" s="14"/>
      <c r="G11741" s="15"/>
      <c r="H11741" s="451"/>
      <c r="I11741" s="412"/>
      <c r="J11741" s="16"/>
    </row>
    <row r="11742" spans="1:10" ht="13">
      <c r="A11742" s="27"/>
      <c r="B11742" s="110"/>
      <c r="D11742" s="409"/>
      <c r="E11742" s="13" t="s">
        <v>1075</v>
      </c>
      <c r="F11742" s="14"/>
      <c r="G11742" s="410" t="s">
        <v>285</v>
      </c>
      <c r="H11742" s="411">
        <v>1.42</v>
      </c>
      <c r="I11742" s="412">
        <f>Alat!H26</f>
        <v>0</v>
      </c>
      <c r="J11742" s="16">
        <f>H11742*I11742</f>
        <v>0</v>
      </c>
    </row>
    <row r="11743" spans="1:10" ht="13">
      <c r="A11743" s="27"/>
      <c r="B11743" s="110"/>
      <c r="D11743" s="409"/>
      <c r="E11743" s="13" t="s">
        <v>350</v>
      </c>
      <c r="F11743" s="14"/>
      <c r="G11743" s="410" t="s">
        <v>285</v>
      </c>
      <c r="H11743" s="411">
        <v>1.629</v>
      </c>
      <c r="I11743" s="412">
        <f>Alat!H42*8</f>
        <v>0</v>
      </c>
      <c r="J11743" s="16">
        <f>H11743*I11743</f>
        <v>0</v>
      </c>
    </row>
    <row r="11744" spans="1:10" ht="13">
      <c r="A11744" s="27"/>
      <c r="B11744" s="110"/>
      <c r="D11744" s="409"/>
      <c r="E11744" s="13" t="s">
        <v>445</v>
      </c>
      <c r="F11744" s="14"/>
      <c r="G11744" s="410" t="s">
        <v>285</v>
      </c>
      <c r="H11744" s="411">
        <v>3.0030000000000001</v>
      </c>
      <c r="I11744" s="412">
        <f>Alat!H65*8</f>
        <v>0</v>
      </c>
      <c r="J11744" s="16">
        <f>H11744*I11744</f>
        <v>0</v>
      </c>
    </row>
    <row r="11745" spans="1:10" ht="13.5" thickBot="1">
      <c r="A11745" s="27"/>
      <c r="B11745" s="110"/>
      <c r="D11745" s="409"/>
      <c r="E11745" s="13" t="s">
        <v>446</v>
      </c>
      <c r="F11745" s="14"/>
      <c r="G11745" s="410" t="s">
        <v>285</v>
      </c>
      <c r="H11745" s="411">
        <v>1.716</v>
      </c>
      <c r="I11745" s="412">
        <f>Alat!H102</f>
        <v>0</v>
      </c>
      <c r="J11745" s="16">
        <f>H11745*I11745</f>
        <v>0</v>
      </c>
    </row>
    <row r="11746" spans="1:10" ht="13.5" thickBot="1">
      <c r="A11746" s="27"/>
      <c r="B11746" s="110"/>
      <c r="D11746" s="417"/>
      <c r="E11746" s="418"/>
      <c r="F11746" s="418"/>
      <c r="G11746" s="419"/>
      <c r="H11746" s="420" t="s">
        <v>67</v>
      </c>
      <c r="I11746" s="421"/>
      <c r="J11746" s="396">
        <f>SUM(J11742:J11745)</f>
        <v>0</v>
      </c>
    </row>
    <row r="11747" spans="1:10" ht="13">
      <c r="A11747" s="27"/>
      <c r="B11747" s="110"/>
      <c r="D11747" s="444" t="s">
        <v>68</v>
      </c>
      <c r="E11747" s="445" t="s">
        <v>69</v>
      </c>
      <c r="F11747" s="446"/>
      <c r="G11747" s="447"/>
      <c r="H11747" s="448"/>
      <c r="I11747" s="449">
        <f>IF(AND(E11747&lt;&gt;"",G11747&lt;&gt;""),IF(D11747="",IF(G11747="OH",VLOOKUP(E11747,UPAH!$C$4:$H$31,7,0),VLOOKUP(E11747,#REF!,4,0)),0),0)</f>
        <v>0</v>
      </c>
      <c r="J11747" s="16">
        <f>SUM(J11734:J11746)/2</f>
        <v>0</v>
      </c>
    </row>
    <row r="11748" spans="1:10" ht="13.5" thickBot="1">
      <c r="A11748" s="27"/>
      <c r="B11748" s="110"/>
      <c r="D11748" s="431" t="s">
        <v>70</v>
      </c>
      <c r="E11748" s="432" t="s">
        <v>477</v>
      </c>
      <c r="F11748" s="433"/>
      <c r="G11748" s="434"/>
      <c r="H11748" s="22">
        <v>0.1</v>
      </c>
      <c r="I11748" s="436"/>
      <c r="J11748" s="430">
        <f>H11748*J11747</f>
        <v>0</v>
      </c>
    </row>
    <row r="11749" spans="1:10" ht="13.5" thickBot="1">
      <c r="A11749" s="27"/>
      <c r="B11749" s="110"/>
      <c r="D11749" s="401" t="s">
        <v>71</v>
      </c>
      <c r="E11749" s="402" t="s">
        <v>72</v>
      </c>
      <c r="F11749" s="418"/>
      <c r="G11749" s="419"/>
      <c r="H11749" s="442"/>
      <c r="I11749" s="421">
        <f>IF(AND(E11749&lt;&gt;"",G11749&lt;&gt;""),IF(D11749="",IF(G11749="OH",VLOOKUP(E11749,UPAH!$C$4:$H$31,7,0),VLOOKUP(E11749,#REF!,4,0)),0),0)</f>
        <v>0</v>
      </c>
      <c r="J11749" s="396">
        <f>ROUNDDOWN(J11747+J11748,0)</f>
        <v>0</v>
      </c>
    </row>
    <row r="11750" spans="1:10" ht="13">
      <c r="A11750" s="27"/>
      <c r="B11750" s="110"/>
      <c r="D11750" s="11"/>
      <c r="E11750" s="11"/>
      <c r="H11750" s="443"/>
      <c r="I11750" s="17"/>
      <c r="J11750" s="18"/>
    </row>
    <row r="11751" spans="1:10" ht="13.5" thickBot="1">
      <c r="A11751" s="27"/>
      <c r="B11751" s="110"/>
      <c r="C11751" s="11" t="s">
        <v>1751</v>
      </c>
      <c r="D11751" s="10" t="s">
        <v>31</v>
      </c>
      <c r="H11751" s="443"/>
    </row>
    <row r="11752" spans="1:10" ht="13.5" thickBot="1">
      <c r="A11752" s="27"/>
      <c r="B11752" s="110"/>
      <c r="D11752" s="401" t="s">
        <v>40</v>
      </c>
      <c r="E11752" s="402" t="s">
        <v>41</v>
      </c>
      <c r="F11752" s="402" t="s">
        <v>42</v>
      </c>
      <c r="G11752" s="403" t="s">
        <v>43</v>
      </c>
      <c r="H11752" s="404" t="s">
        <v>44</v>
      </c>
      <c r="I11752" s="402" t="s">
        <v>474</v>
      </c>
      <c r="J11752" s="405" t="s">
        <v>475</v>
      </c>
    </row>
    <row r="11753" spans="1:10" ht="13">
      <c r="A11753" s="27"/>
      <c r="B11753" s="110"/>
      <c r="D11753" s="444" t="s">
        <v>45</v>
      </c>
      <c r="E11753" s="445" t="s">
        <v>46</v>
      </c>
      <c r="F11753" s="446"/>
      <c r="G11753" s="447"/>
      <c r="H11753" s="448"/>
      <c r="I11753" s="449"/>
      <c r="J11753" s="450"/>
    </row>
    <row r="11754" spans="1:10" ht="13">
      <c r="A11754" s="27"/>
      <c r="B11754" s="110"/>
      <c r="D11754" s="409"/>
      <c r="E11754" s="13" t="s">
        <v>47</v>
      </c>
      <c r="F11754" s="13" t="s">
        <v>1918</v>
      </c>
      <c r="G11754" s="410" t="s">
        <v>48</v>
      </c>
      <c r="H11754" s="411">
        <v>5.2460000000000004</v>
      </c>
      <c r="I11754" s="412">
        <f>IF(AND(E11754&lt;&gt;"",G11754&lt;&gt;""),IF(D11754="",IF(G11754="OH",VLOOKUP(F11754,UPAH!$B$4:$H$101,7,0),VLOOKUP(F11754,#REF!,4,0)),0),0)</f>
        <v>0</v>
      </c>
      <c r="J11754" s="16">
        <f>H11754*I11754</f>
        <v>0</v>
      </c>
    </row>
    <row r="11755" spans="1:10" ht="13">
      <c r="A11755" s="27"/>
      <c r="B11755" s="110"/>
      <c r="D11755" s="409"/>
      <c r="E11755" s="13" t="s">
        <v>283</v>
      </c>
      <c r="F11755" s="13" t="s">
        <v>1913</v>
      </c>
      <c r="G11755" s="410" t="s">
        <v>48</v>
      </c>
      <c r="H11755" s="411">
        <v>2.6230000000000002</v>
      </c>
      <c r="I11755" s="412">
        <f>IF(AND(E11755&lt;&gt;"",G11755&lt;&gt;""),IF(D11755="",IF(G11755="OH",VLOOKUP(F11755,UPAH!$B$4:$H$101,7,0),VLOOKUP(F11755,#REF!,4,0)),0),0)</f>
        <v>0</v>
      </c>
      <c r="J11755" s="16">
        <f>H11755*I11755</f>
        <v>0</v>
      </c>
    </row>
    <row r="11756" spans="1:10" ht="13.5" thickBot="1">
      <c r="A11756" s="27"/>
      <c r="B11756" s="110"/>
      <c r="D11756" s="409"/>
      <c r="E11756" s="13" t="s">
        <v>51</v>
      </c>
      <c r="F11756" s="13" t="s">
        <v>1929</v>
      </c>
      <c r="G11756" s="410" t="s">
        <v>48</v>
      </c>
      <c r="H11756" s="411">
        <v>0.52500000000000002</v>
      </c>
      <c r="I11756" s="412">
        <f>IF(AND(E11756&lt;&gt;"",G11756&lt;&gt;""),IF(D11756="",IF(G11756="OH",VLOOKUP(F11756,UPAH!$B$4:$H$101,7,0),VLOOKUP(F11756,#REF!,4,0)),0),0)</f>
        <v>0</v>
      </c>
      <c r="J11756" s="16">
        <f>H11756*I11756</f>
        <v>0</v>
      </c>
    </row>
    <row r="11757" spans="1:10" ht="13.5" thickBot="1">
      <c r="A11757" s="27"/>
      <c r="B11757" s="110"/>
      <c r="D11757" s="417"/>
      <c r="E11757" s="418"/>
      <c r="F11757" s="418"/>
      <c r="G11757" s="419"/>
      <c r="H11757" s="420" t="s">
        <v>52</v>
      </c>
      <c r="I11757" s="421"/>
      <c r="J11757" s="396">
        <f>SUM(J11753:J11756)</f>
        <v>0</v>
      </c>
    </row>
    <row r="11758" spans="1:10" ht="13">
      <c r="A11758" s="27"/>
      <c r="B11758" s="110"/>
      <c r="D11758" s="406" t="s">
        <v>53</v>
      </c>
      <c r="E11758" s="13" t="s">
        <v>54</v>
      </c>
      <c r="F11758" s="14"/>
      <c r="G11758" s="15"/>
      <c r="H11758" s="451"/>
      <c r="I11758" s="412"/>
      <c r="J11758" s="16"/>
    </row>
    <row r="11759" spans="1:10" ht="13.5" thickBot="1">
      <c r="A11759" s="27"/>
      <c r="B11759" s="110"/>
      <c r="D11759" s="409"/>
      <c r="E11759" s="13" t="s">
        <v>358</v>
      </c>
      <c r="F11759" s="14"/>
      <c r="G11759" s="410" t="s">
        <v>259</v>
      </c>
      <c r="H11759" s="411">
        <v>1</v>
      </c>
      <c r="I11759" s="412">
        <f>'BAHAN '!G390</f>
        <v>0</v>
      </c>
      <c r="J11759" s="16">
        <f>H11759*I11759</f>
        <v>0</v>
      </c>
    </row>
    <row r="11760" spans="1:10" ht="13.5" thickBot="1">
      <c r="A11760" s="27"/>
      <c r="B11760" s="110"/>
      <c r="D11760" s="417"/>
      <c r="E11760" s="418"/>
      <c r="F11760" s="418"/>
      <c r="G11760" s="419"/>
      <c r="H11760" s="420" t="s">
        <v>64</v>
      </c>
      <c r="I11760" s="421"/>
      <c r="J11760" s="396">
        <f>SUM(J11759)</f>
        <v>0</v>
      </c>
    </row>
    <row r="11761" spans="1:10" ht="13">
      <c r="A11761" s="27"/>
      <c r="B11761" s="110"/>
      <c r="D11761" s="406" t="s">
        <v>65</v>
      </c>
      <c r="E11761" s="13" t="s">
        <v>66</v>
      </c>
      <c r="F11761" s="14"/>
      <c r="G11761" s="15"/>
      <c r="H11761" s="451"/>
      <c r="I11761" s="412"/>
      <c r="J11761" s="16"/>
    </row>
    <row r="11762" spans="1:10" ht="13">
      <c r="A11762" s="27"/>
      <c r="B11762" s="110"/>
      <c r="D11762" s="409"/>
      <c r="E11762" s="13" t="s">
        <v>1075</v>
      </c>
      <c r="F11762" s="14"/>
      <c r="G11762" s="410" t="s">
        <v>285</v>
      </c>
      <c r="H11762" s="411">
        <v>1.53</v>
      </c>
      <c r="I11762" s="412">
        <f>Alat!H26</f>
        <v>0</v>
      </c>
      <c r="J11762" s="16">
        <f>H11762*I11762</f>
        <v>0</v>
      </c>
    </row>
    <row r="11763" spans="1:10" ht="13">
      <c r="A11763" s="27"/>
      <c r="B11763" s="110"/>
      <c r="D11763" s="409"/>
      <c r="E11763" s="13" t="s">
        <v>350</v>
      </c>
      <c r="F11763" s="14"/>
      <c r="G11763" s="410" t="s">
        <v>285</v>
      </c>
      <c r="H11763" s="411">
        <v>1.839</v>
      </c>
      <c r="I11763" s="412">
        <f>Alat!H42*8</f>
        <v>0</v>
      </c>
      <c r="J11763" s="16">
        <f>H11763*I11763</f>
        <v>0</v>
      </c>
    </row>
    <row r="11764" spans="1:10" ht="13">
      <c r="A11764" s="27"/>
      <c r="B11764" s="110"/>
      <c r="D11764" s="409"/>
      <c r="E11764" s="13" t="s">
        <v>445</v>
      </c>
      <c r="F11764" s="14"/>
      <c r="G11764" s="410" t="s">
        <v>285</v>
      </c>
      <c r="H11764" s="411">
        <v>3.278</v>
      </c>
      <c r="I11764" s="412">
        <f>Alat!H65*8</f>
        <v>0</v>
      </c>
      <c r="J11764" s="16">
        <f>H11764*I11764</f>
        <v>0</v>
      </c>
    </row>
    <row r="11765" spans="1:10" ht="13.5" thickBot="1">
      <c r="A11765" s="27"/>
      <c r="B11765" s="110"/>
      <c r="D11765" s="409"/>
      <c r="E11765" s="13" t="s">
        <v>446</v>
      </c>
      <c r="F11765" s="14"/>
      <c r="G11765" s="410" t="s">
        <v>285</v>
      </c>
      <c r="H11765" s="411">
        <v>1.831</v>
      </c>
      <c r="I11765" s="412">
        <f>Alat!H102</f>
        <v>0</v>
      </c>
      <c r="J11765" s="16">
        <f>H11765*I11765</f>
        <v>0</v>
      </c>
    </row>
    <row r="11766" spans="1:10" ht="13.5" thickBot="1">
      <c r="A11766" s="27"/>
      <c r="B11766" s="110"/>
      <c r="D11766" s="417"/>
      <c r="E11766" s="418"/>
      <c r="F11766" s="418"/>
      <c r="G11766" s="419"/>
      <c r="H11766" s="420" t="s">
        <v>67</v>
      </c>
      <c r="I11766" s="421"/>
      <c r="J11766" s="396">
        <f>SUM(J11762:J11765)</f>
        <v>0</v>
      </c>
    </row>
    <row r="11767" spans="1:10" ht="13">
      <c r="A11767" s="27"/>
      <c r="B11767" s="110"/>
      <c r="D11767" s="444" t="s">
        <v>68</v>
      </c>
      <c r="E11767" s="445" t="s">
        <v>69</v>
      </c>
      <c r="F11767" s="446"/>
      <c r="G11767" s="447"/>
      <c r="H11767" s="448"/>
      <c r="I11767" s="449">
        <f>IF(AND(E11767&lt;&gt;"",G11767&lt;&gt;""),IF(D11767="",IF(G11767="OH",VLOOKUP(E11767,UPAH!$C$4:$H$31,7,0),VLOOKUP(E11767,#REF!,4,0)),0),0)</f>
        <v>0</v>
      </c>
      <c r="J11767" s="16">
        <f>SUM(J11754:J11766)/2</f>
        <v>0</v>
      </c>
    </row>
    <row r="11768" spans="1:10" ht="13.5" thickBot="1">
      <c r="A11768" s="27"/>
      <c r="B11768" s="110"/>
      <c r="D11768" s="431" t="s">
        <v>70</v>
      </c>
      <c r="E11768" s="432" t="s">
        <v>477</v>
      </c>
      <c r="F11768" s="433"/>
      <c r="G11768" s="434"/>
      <c r="H11768" s="22">
        <v>0.1</v>
      </c>
      <c r="I11768" s="436"/>
      <c r="J11768" s="430">
        <f>H11768*J11767</f>
        <v>0</v>
      </c>
    </row>
    <row r="11769" spans="1:10" ht="13.5" thickBot="1">
      <c r="A11769" s="27"/>
      <c r="B11769" s="110"/>
      <c r="D11769" s="401" t="s">
        <v>71</v>
      </c>
      <c r="E11769" s="402" t="s">
        <v>72</v>
      </c>
      <c r="F11769" s="418"/>
      <c r="G11769" s="419"/>
      <c r="H11769" s="442"/>
      <c r="I11769" s="421">
        <f>IF(AND(E11769&lt;&gt;"",G11769&lt;&gt;""),IF(D11769="",IF(G11769="OH",VLOOKUP(E11769,UPAH!$C$4:$H$31,7,0),VLOOKUP(E11769,#REF!,4,0)),0),0)</f>
        <v>0</v>
      </c>
      <c r="J11769" s="396">
        <f>ROUNDDOWN(J11767+J11768,0)</f>
        <v>0</v>
      </c>
    </row>
    <row r="11770" spans="1:10" ht="13">
      <c r="A11770" s="27"/>
      <c r="B11770" s="110"/>
      <c r="D11770" s="11"/>
      <c r="E11770" s="11"/>
      <c r="H11770" s="443"/>
      <c r="I11770" s="17"/>
      <c r="J11770" s="18"/>
    </row>
    <row r="11771" spans="1:10" ht="13.5" thickBot="1">
      <c r="A11771" s="27"/>
      <c r="B11771" s="110"/>
      <c r="C11771" s="11" t="s">
        <v>1750</v>
      </c>
      <c r="D11771" s="10" t="s">
        <v>1755</v>
      </c>
      <c r="H11771" s="443"/>
    </row>
    <row r="11772" spans="1:10" ht="13.5" thickBot="1">
      <c r="A11772" s="27"/>
      <c r="B11772" s="110"/>
      <c r="D11772" s="401" t="s">
        <v>40</v>
      </c>
      <c r="E11772" s="402" t="s">
        <v>41</v>
      </c>
      <c r="F11772" s="402" t="s">
        <v>42</v>
      </c>
      <c r="G11772" s="403" t="s">
        <v>43</v>
      </c>
      <c r="H11772" s="404" t="s">
        <v>44</v>
      </c>
      <c r="I11772" s="402" t="s">
        <v>474</v>
      </c>
      <c r="J11772" s="405" t="s">
        <v>475</v>
      </c>
    </row>
    <row r="11773" spans="1:10" ht="13">
      <c r="A11773" s="27"/>
      <c r="B11773" s="110"/>
      <c r="D11773" s="444" t="s">
        <v>45</v>
      </c>
      <c r="E11773" s="445" t="s">
        <v>46</v>
      </c>
      <c r="F11773" s="446"/>
      <c r="G11773" s="447"/>
      <c r="H11773" s="448"/>
      <c r="I11773" s="449"/>
      <c r="J11773" s="450"/>
    </row>
    <row r="11774" spans="1:10" ht="13">
      <c r="A11774" s="27"/>
      <c r="B11774" s="110"/>
      <c r="D11774" s="409"/>
      <c r="E11774" s="13" t="s">
        <v>47</v>
      </c>
      <c r="F11774" s="13" t="s">
        <v>1918</v>
      </c>
      <c r="G11774" s="410" t="s">
        <v>48</v>
      </c>
      <c r="H11774" s="411">
        <v>6.1459999999999999</v>
      </c>
      <c r="I11774" s="412">
        <f>IF(AND(E11774&lt;&gt;"",G11774&lt;&gt;""),IF(D11774="",IF(G11774="OH",VLOOKUP(F11774,UPAH!$B$4:$H$101,7,0),VLOOKUP(F11774,#REF!,4,0)),0),0)</f>
        <v>0</v>
      </c>
      <c r="J11774" s="16">
        <f>H11774*I11774</f>
        <v>0</v>
      </c>
    </row>
    <row r="11775" spans="1:10" ht="13">
      <c r="A11775" s="27"/>
      <c r="B11775" s="110"/>
      <c r="D11775" s="409"/>
      <c r="E11775" s="13" t="s">
        <v>283</v>
      </c>
      <c r="F11775" s="13" t="s">
        <v>1913</v>
      </c>
      <c r="G11775" s="410" t="s">
        <v>48</v>
      </c>
      <c r="H11775" s="411">
        <v>3.073</v>
      </c>
      <c r="I11775" s="412">
        <f>IF(AND(E11775&lt;&gt;"",G11775&lt;&gt;""),IF(D11775="",IF(G11775="OH",VLOOKUP(F11775,UPAH!$B$4:$H$101,7,0),VLOOKUP(F11775,#REF!,4,0)),0),0)</f>
        <v>0</v>
      </c>
      <c r="J11775" s="16">
        <f>H11775*I11775</f>
        <v>0</v>
      </c>
    </row>
    <row r="11776" spans="1:10" ht="13.5" thickBot="1">
      <c r="A11776" s="27"/>
      <c r="B11776" s="110"/>
      <c r="D11776" s="409"/>
      <c r="E11776" s="13" t="s">
        <v>51</v>
      </c>
      <c r="F11776" s="13" t="s">
        <v>1929</v>
      </c>
      <c r="G11776" s="410" t="s">
        <v>48</v>
      </c>
      <c r="H11776" s="411">
        <v>0.61499999999999999</v>
      </c>
      <c r="I11776" s="412">
        <f>IF(AND(E11776&lt;&gt;"",G11776&lt;&gt;""),IF(D11776="",IF(G11776="OH",VLOOKUP(F11776,UPAH!$B$4:$H$101,7,0),VLOOKUP(F11776,#REF!,4,0)),0),0)</f>
        <v>0</v>
      </c>
      <c r="J11776" s="16">
        <f>H11776*I11776</f>
        <v>0</v>
      </c>
    </row>
    <row r="11777" spans="1:10" ht="13.5" thickBot="1">
      <c r="A11777" s="27"/>
      <c r="B11777" s="110"/>
      <c r="D11777" s="417"/>
      <c r="E11777" s="418"/>
      <c r="F11777" s="418"/>
      <c r="G11777" s="419"/>
      <c r="H11777" s="420" t="s">
        <v>52</v>
      </c>
      <c r="I11777" s="421"/>
      <c r="J11777" s="396">
        <f>SUM(J11773:J11776)</f>
        <v>0</v>
      </c>
    </row>
    <row r="11778" spans="1:10" ht="13">
      <c r="A11778" s="27"/>
      <c r="B11778" s="110"/>
      <c r="D11778" s="406" t="s">
        <v>53</v>
      </c>
      <c r="E11778" s="13" t="s">
        <v>54</v>
      </c>
      <c r="F11778" s="14"/>
      <c r="G11778" s="15"/>
      <c r="H11778" s="451"/>
      <c r="I11778" s="412"/>
      <c r="J11778" s="16"/>
    </row>
    <row r="11779" spans="1:10" ht="13.5" thickBot="1">
      <c r="A11779" s="27"/>
      <c r="B11779" s="110"/>
      <c r="D11779" s="409"/>
      <c r="E11779" s="13" t="s">
        <v>359</v>
      </c>
      <c r="F11779" s="14"/>
      <c r="G11779" s="410" t="s">
        <v>259</v>
      </c>
      <c r="H11779" s="411">
        <v>1</v>
      </c>
      <c r="I11779" s="412">
        <f>'BAHAN '!G389</f>
        <v>0</v>
      </c>
      <c r="J11779" s="16">
        <f>H11779*I11779</f>
        <v>0</v>
      </c>
    </row>
    <row r="11780" spans="1:10" ht="13.5" thickBot="1">
      <c r="A11780" s="27"/>
      <c r="B11780" s="110"/>
      <c r="D11780" s="417"/>
      <c r="E11780" s="418"/>
      <c r="F11780" s="418"/>
      <c r="G11780" s="419"/>
      <c r="H11780" s="420" t="s">
        <v>64</v>
      </c>
      <c r="I11780" s="421"/>
      <c r="J11780" s="396">
        <f>SUM(J11779)</f>
        <v>0</v>
      </c>
    </row>
    <row r="11781" spans="1:10" ht="13">
      <c r="A11781" s="27"/>
      <c r="B11781" s="110"/>
      <c r="D11781" s="406" t="s">
        <v>65</v>
      </c>
      <c r="E11781" s="13" t="s">
        <v>66</v>
      </c>
      <c r="F11781" s="14"/>
      <c r="G11781" s="15"/>
      <c r="H11781" s="451"/>
      <c r="I11781" s="412"/>
      <c r="J11781" s="16"/>
    </row>
    <row r="11782" spans="1:10" ht="13">
      <c r="A11782" s="27"/>
      <c r="B11782" s="110"/>
      <c r="D11782" s="409"/>
      <c r="E11782" s="13" t="s">
        <v>1075</v>
      </c>
      <c r="F11782" s="14"/>
      <c r="G11782" s="410" t="s">
        <v>285</v>
      </c>
      <c r="H11782" s="411">
        <v>1.75</v>
      </c>
      <c r="I11782" s="412">
        <f>Alat!H26</f>
        <v>0</v>
      </c>
      <c r="J11782" s="16">
        <f>H11782*I11782</f>
        <v>0</v>
      </c>
    </row>
    <row r="11783" spans="1:10" ht="13">
      <c r="A11783" s="27"/>
      <c r="B11783" s="110"/>
      <c r="D11783" s="409"/>
      <c r="E11783" s="13" t="s">
        <v>350</v>
      </c>
      <c r="F11783" s="14"/>
      <c r="G11783" s="410" t="s">
        <v>285</v>
      </c>
      <c r="H11783" s="411">
        <v>2.2589999999999999</v>
      </c>
      <c r="I11783" s="412">
        <f>Alat!H42*8</f>
        <v>0</v>
      </c>
      <c r="J11783" s="16">
        <f>H11783*I11783</f>
        <v>0</v>
      </c>
    </row>
    <row r="11784" spans="1:10" ht="13">
      <c r="A11784" s="27"/>
      <c r="B11784" s="110"/>
      <c r="D11784" s="409"/>
      <c r="E11784" s="13" t="s">
        <v>445</v>
      </c>
      <c r="F11784" s="14"/>
      <c r="G11784" s="410" t="s">
        <v>285</v>
      </c>
      <c r="H11784" s="411">
        <v>3.8279999999999998</v>
      </c>
      <c r="I11784" s="412">
        <f>Alat!H65*8</f>
        <v>0</v>
      </c>
      <c r="J11784" s="16">
        <f>H11784*I11784</f>
        <v>0</v>
      </c>
    </row>
    <row r="11785" spans="1:10" ht="13.5" thickBot="1">
      <c r="A11785" s="27"/>
      <c r="B11785" s="110"/>
      <c r="D11785" s="409"/>
      <c r="E11785" s="13" t="s">
        <v>446</v>
      </c>
      <c r="F11785" s="14"/>
      <c r="G11785" s="410" t="s">
        <v>285</v>
      </c>
      <c r="H11785" s="411">
        <v>2.0609999999999999</v>
      </c>
      <c r="I11785" s="412">
        <f>Alat!H102</f>
        <v>0</v>
      </c>
      <c r="J11785" s="16">
        <f>H11785*I11785</f>
        <v>0</v>
      </c>
    </row>
    <row r="11786" spans="1:10" ht="13.5" thickBot="1">
      <c r="A11786" s="27"/>
      <c r="B11786" s="110"/>
      <c r="D11786" s="417"/>
      <c r="E11786" s="418"/>
      <c r="F11786" s="418"/>
      <c r="G11786" s="419"/>
      <c r="H11786" s="420" t="s">
        <v>67</v>
      </c>
      <c r="I11786" s="421"/>
      <c r="J11786" s="396">
        <f>SUM(J11782:J11785)</f>
        <v>0</v>
      </c>
    </row>
    <row r="11787" spans="1:10" ht="13">
      <c r="A11787" s="27"/>
      <c r="B11787" s="110"/>
      <c r="D11787" s="444" t="s">
        <v>68</v>
      </c>
      <c r="E11787" s="445" t="s">
        <v>69</v>
      </c>
      <c r="F11787" s="446"/>
      <c r="G11787" s="447"/>
      <c r="H11787" s="448"/>
      <c r="I11787" s="449">
        <f>IF(AND(E11787&lt;&gt;"",G11787&lt;&gt;""),IF(D11787="",IF(G11787="OH",VLOOKUP(E11787,UPAH!$C$4:$H$31,7,0),VLOOKUP(E11787,#REF!,4,0)),0),0)</f>
        <v>0</v>
      </c>
      <c r="J11787" s="16">
        <f>SUM(J11773:J11786)/2</f>
        <v>0</v>
      </c>
    </row>
    <row r="11788" spans="1:10" ht="13.5" thickBot="1">
      <c r="A11788" s="27"/>
      <c r="B11788" s="110"/>
      <c r="D11788" s="431" t="s">
        <v>70</v>
      </c>
      <c r="E11788" s="432" t="s">
        <v>477</v>
      </c>
      <c r="F11788" s="433"/>
      <c r="G11788" s="434"/>
      <c r="H11788" s="22">
        <v>0.1</v>
      </c>
      <c r="I11788" s="436"/>
      <c r="J11788" s="430">
        <f>H11788*J11787</f>
        <v>0</v>
      </c>
    </row>
    <row r="11789" spans="1:10" ht="13.5" thickBot="1">
      <c r="A11789" s="27"/>
      <c r="B11789" s="110"/>
      <c r="D11789" s="401" t="s">
        <v>71</v>
      </c>
      <c r="E11789" s="402" t="s">
        <v>72</v>
      </c>
      <c r="F11789" s="418"/>
      <c r="G11789" s="419"/>
      <c r="H11789" s="442"/>
      <c r="I11789" s="421">
        <f>IF(AND(E11789&lt;&gt;"",G11789&lt;&gt;""),IF(D11789="",IF(G11789="OH",VLOOKUP(E11789,UPAH!$C$4:$H$31,7,0),VLOOKUP(E11789,#REF!,4,0)),0),0)</f>
        <v>0</v>
      </c>
      <c r="J11789" s="396">
        <f>ROUNDDOWN(J11787+J11788,0)</f>
        <v>0</v>
      </c>
    </row>
    <row r="11790" spans="1:10" ht="13">
      <c r="A11790" s="27"/>
      <c r="B11790" s="110"/>
      <c r="D11790" s="11"/>
      <c r="E11790" s="11"/>
      <c r="H11790" s="443"/>
      <c r="I11790" s="17"/>
      <c r="J11790" s="18"/>
    </row>
    <row r="11791" spans="1:10" ht="13.5" thickBot="1">
      <c r="A11791" s="27"/>
      <c r="B11791" s="110"/>
      <c r="C11791" s="11" t="s">
        <v>1749</v>
      </c>
      <c r="D11791" s="10" t="s">
        <v>1756</v>
      </c>
      <c r="H11791" s="443"/>
    </row>
    <row r="11792" spans="1:10" ht="13.5" thickBot="1">
      <c r="A11792" s="27"/>
      <c r="B11792" s="110"/>
      <c r="D11792" s="401" t="s">
        <v>40</v>
      </c>
      <c r="E11792" s="402" t="s">
        <v>41</v>
      </c>
      <c r="F11792" s="402" t="s">
        <v>42</v>
      </c>
      <c r="G11792" s="403" t="s">
        <v>43</v>
      </c>
      <c r="H11792" s="404" t="s">
        <v>44</v>
      </c>
      <c r="I11792" s="402" t="s">
        <v>474</v>
      </c>
      <c r="J11792" s="405" t="s">
        <v>475</v>
      </c>
    </row>
    <row r="11793" spans="1:10" ht="13">
      <c r="A11793" s="27"/>
      <c r="B11793" s="110"/>
      <c r="D11793" s="444" t="s">
        <v>45</v>
      </c>
      <c r="E11793" s="445" t="s">
        <v>46</v>
      </c>
      <c r="F11793" s="446"/>
      <c r="G11793" s="447"/>
      <c r="H11793" s="448"/>
      <c r="I11793" s="449"/>
      <c r="J11793" s="450"/>
    </row>
    <row r="11794" spans="1:10" ht="13">
      <c r="A11794" s="27"/>
      <c r="B11794" s="110"/>
      <c r="D11794" s="409"/>
      <c r="E11794" s="13" t="s">
        <v>47</v>
      </c>
      <c r="F11794" s="13" t="s">
        <v>1918</v>
      </c>
      <c r="G11794" s="410" t="s">
        <v>48</v>
      </c>
      <c r="H11794" s="411">
        <v>7.0460000000000003</v>
      </c>
      <c r="I11794" s="412">
        <f>IF(AND(E11794&lt;&gt;"",G11794&lt;&gt;""),IF(D11794="",IF(G11794="OH",VLOOKUP(F11794,UPAH!$B$4:$H$101,7,0),VLOOKUP(F11794,#REF!,4,0)),0),0)</f>
        <v>0</v>
      </c>
      <c r="J11794" s="16">
        <f>H11794*I11794</f>
        <v>0</v>
      </c>
    </row>
    <row r="11795" spans="1:10" ht="13">
      <c r="A11795" s="27"/>
      <c r="B11795" s="110"/>
      <c r="D11795" s="409"/>
      <c r="E11795" s="13" t="s">
        <v>283</v>
      </c>
      <c r="F11795" s="13" t="s">
        <v>1913</v>
      </c>
      <c r="G11795" s="410" t="s">
        <v>48</v>
      </c>
      <c r="H11795" s="411">
        <v>3.5230000000000001</v>
      </c>
      <c r="I11795" s="412">
        <f>IF(AND(E11795&lt;&gt;"",G11795&lt;&gt;""),IF(D11795="",IF(G11795="OH",VLOOKUP(F11795,UPAH!$B$4:$H$101,7,0),VLOOKUP(F11795,#REF!,4,0)),0),0)</f>
        <v>0</v>
      </c>
      <c r="J11795" s="16">
        <f>H11795*I11795</f>
        <v>0</v>
      </c>
    </row>
    <row r="11796" spans="1:10" ht="13.5" thickBot="1">
      <c r="A11796" s="27"/>
      <c r="B11796" s="110"/>
      <c r="D11796" s="409"/>
      <c r="E11796" s="13" t="s">
        <v>51</v>
      </c>
      <c r="F11796" s="13" t="s">
        <v>1929</v>
      </c>
      <c r="G11796" s="410" t="s">
        <v>48</v>
      </c>
      <c r="H11796" s="411">
        <v>0.70499999999999996</v>
      </c>
      <c r="I11796" s="412">
        <f>IF(AND(E11796&lt;&gt;"",G11796&lt;&gt;""),IF(D11796="",IF(G11796="OH",VLOOKUP(F11796,UPAH!$B$4:$H$101,7,0),VLOOKUP(F11796,#REF!,4,0)),0),0)</f>
        <v>0</v>
      </c>
      <c r="J11796" s="16">
        <f>H11796*I11796</f>
        <v>0</v>
      </c>
    </row>
    <row r="11797" spans="1:10" ht="13.5" thickBot="1">
      <c r="A11797" s="27"/>
      <c r="B11797" s="110"/>
      <c r="D11797" s="417"/>
      <c r="E11797" s="418"/>
      <c r="F11797" s="418"/>
      <c r="G11797" s="419"/>
      <c r="H11797" s="420" t="s">
        <v>52</v>
      </c>
      <c r="I11797" s="421"/>
      <c r="J11797" s="396">
        <f>SUM(J11793:J11796)</f>
        <v>0</v>
      </c>
    </row>
    <row r="11798" spans="1:10" ht="13">
      <c r="A11798" s="27"/>
      <c r="B11798" s="110"/>
      <c r="D11798" s="406" t="s">
        <v>53</v>
      </c>
      <c r="E11798" s="13" t="s">
        <v>54</v>
      </c>
      <c r="F11798" s="14"/>
      <c r="G11798" s="15"/>
      <c r="H11798" s="451"/>
      <c r="I11798" s="412"/>
      <c r="J11798" s="16"/>
    </row>
    <row r="11799" spans="1:10" ht="13.5" thickBot="1">
      <c r="A11799" s="27"/>
      <c r="B11799" s="110"/>
      <c r="D11799" s="409"/>
      <c r="E11799" s="13" t="s">
        <v>360</v>
      </c>
      <c r="F11799" s="14"/>
      <c r="G11799" s="410" t="s">
        <v>259</v>
      </c>
      <c r="H11799" s="411">
        <v>1</v>
      </c>
      <c r="I11799" s="412">
        <f>'BAHAN '!G388</f>
        <v>0</v>
      </c>
      <c r="J11799" s="16">
        <f>H11799*I11799</f>
        <v>0</v>
      </c>
    </row>
    <row r="11800" spans="1:10" ht="13.5" thickBot="1">
      <c r="A11800" s="27"/>
      <c r="B11800" s="110"/>
      <c r="D11800" s="417"/>
      <c r="E11800" s="418"/>
      <c r="F11800" s="418"/>
      <c r="G11800" s="419"/>
      <c r="H11800" s="420" t="s">
        <v>64</v>
      </c>
      <c r="I11800" s="421"/>
      <c r="J11800" s="396">
        <f>SUM(J11799)</f>
        <v>0</v>
      </c>
    </row>
    <row r="11801" spans="1:10" ht="13">
      <c r="A11801" s="27"/>
      <c r="B11801" s="110"/>
      <c r="D11801" s="406" t="s">
        <v>65</v>
      </c>
      <c r="E11801" s="13" t="s">
        <v>66</v>
      </c>
      <c r="F11801" s="14"/>
      <c r="G11801" s="15"/>
      <c r="H11801" s="451"/>
      <c r="I11801" s="412"/>
      <c r="J11801" s="16"/>
    </row>
    <row r="11802" spans="1:10" ht="13">
      <c r="A11802" s="27"/>
      <c r="B11802" s="110"/>
      <c r="D11802" s="409"/>
      <c r="E11802" s="13" t="s">
        <v>1075</v>
      </c>
      <c r="F11802" s="14"/>
      <c r="G11802" s="410" t="s">
        <v>285</v>
      </c>
      <c r="H11802" s="411">
        <v>1.97</v>
      </c>
      <c r="I11802" s="412">
        <f>Alat!H26</f>
        <v>0</v>
      </c>
      <c r="J11802" s="16">
        <f>H11802*I11802</f>
        <v>0</v>
      </c>
    </row>
    <row r="11803" spans="1:10" ht="13">
      <c r="A11803" s="27"/>
      <c r="B11803" s="110"/>
      <c r="D11803" s="409"/>
      <c r="E11803" s="13" t="s">
        <v>350</v>
      </c>
      <c r="F11803" s="14"/>
      <c r="G11803" s="410" t="s">
        <v>285</v>
      </c>
      <c r="H11803" s="411">
        <v>2.6789999999999998</v>
      </c>
      <c r="I11803" s="412">
        <f>Alat!H42*8</f>
        <v>0</v>
      </c>
      <c r="J11803" s="16">
        <f>H11803*I11803</f>
        <v>0</v>
      </c>
    </row>
    <row r="11804" spans="1:10" ht="13">
      <c r="A11804" s="27"/>
      <c r="B11804" s="110"/>
      <c r="D11804" s="409"/>
      <c r="E11804" s="13" t="s">
        <v>445</v>
      </c>
      <c r="F11804" s="14"/>
      <c r="G11804" s="410" t="s">
        <v>285</v>
      </c>
      <c r="H11804" s="411">
        <v>4.3780000000000001</v>
      </c>
      <c r="I11804" s="412">
        <f>Alat!H65*8</f>
        <v>0</v>
      </c>
      <c r="J11804" s="16">
        <f>H11804*I11804</f>
        <v>0</v>
      </c>
    </row>
    <row r="11805" spans="1:10" ht="13.5" thickBot="1">
      <c r="A11805" s="27"/>
      <c r="B11805" s="110"/>
      <c r="D11805" s="409"/>
      <c r="E11805" s="13" t="s">
        <v>446</v>
      </c>
      <c r="F11805" s="14"/>
      <c r="G11805" s="410" t="s">
        <v>285</v>
      </c>
      <c r="H11805" s="411">
        <v>2.2909999999999999</v>
      </c>
      <c r="I11805" s="412">
        <f>Alat!H102</f>
        <v>0</v>
      </c>
      <c r="J11805" s="16">
        <f>H11805*I11805</f>
        <v>0</v>
      </c>
    </row>
    <row r="11806" spans="1:10" ht="13.5" thickBot="1">
      <c r="A11806" s="27"/>
      <c r="B11806" s="110"/>
      <c r="D11806" s="417"/>
      <c r="E11806" s="418"/>
      <c r="F11806" s="418"/>
      <c r="G11806" s="419"/>
      <c r="H11806" s="420" t="s">
        <v>67</v>
      </c>
      <c r="I11806" s="421"/>
      <c r="J11806" s="396">
        <f>SUM(J11802:J11805)</f>
        <v>0</v>
      </c>
    </row>
    <row r="11807" spans="1:10" ht="13">
      <c r="A11807" s="27"/>
      <c r="B11807" s="110"/>
      <c r="D11807" s="444" t="s">
        <v>68</v>
      </c>
      <c r="E11807" s="445" t="s">
        <v>69</v>
      </c>
      <c r="F11807" s="446"/>
      <c r="G11807" s="447"/>
      <c r="H11807" s="448"/>
      <c r="I11807" s="449">
        <f>IF(AND(E11807&lt;&gt;"",G11807&lt;&gt;""),IF(D11807="",IF(G11807="OH",VLOOKUP(E11807,UPAH!$C$4:$H$31,7,0),VLOOKUP(E11807,#REF!,4,0)),0),0)</f>
        <v>0</v>
      </c>
      <c r="J11807" s="16">
        <f>SUM(J11794:J11806)/2</f>
        <v>0</v>
      </c>
    </row>
    <row r="11808" spans="1:10" ht="13.5" thickBot="1">
      <c r="A11808" s="27"/>
      <c r="B11808" s="110"/>
      <c r="D11808" s="431" t="s">
        <v>70</v>
      </c>
      <c r="E11808" s="432" t="s">
        <v>477</v>
      </c>
      <c r="F11808" s="433"/>
      <c r="G11808" s="434"/>
      <c r="H11808" s="22">
        <v>0.1</v>
      </c>
      <c r="I11808" s="436"/>
      <c r="J11808" s="430">
        <f>H11808*J11807</f>
        <v>0</v>
      </c>
    </row>
    <row r="11809" spans="1:10" ht="13.5" thickBot="1">
      <c r="A11809" s="27"/>
      <c r="B11809" s="110"/>
      <c r="D11809" s="401" t="s">
        <v>71</v>
      </c>
      <c r="E11809" s="402" t="s">
        <v>72</v>
      </c>
      <c r="F11809" s="418"/>
      <c r="G11809" s="419"/>
      <c r="H11809" s="442"/>
      <c r="I11809" s="421">
        <f>IF(AND(E11809&lt;&gt;"",G11809&lt;&gt;""),IF(D11809="",IF(G11809="OH",VLOOKUP(E11809,UPAH!$C$4:$H$31,7,0),VLOOKUP(E11809,#REF!,4,0)),0),0)</f>
        <v>0</v>
      </c>
      <c r="J11809" s="396">
        <f>ROUNDDOWN(J11807+J11808,0)</f>
        <v>0</v>
      </c>
    </row>
    <row r="11810" spans="1:10" ht="13">
      <c r="A11810" s="27"/>
      <c r="B11810" s="110"/>
      <c r="D11810" s="11"/>
      <c r="E11810" s="11"/>
      <c r="H11810" s="443"/>
      <c r="I11810" s="17"/>
      <c r="J11810" s="18"/>
    </row>
    <row r="11811" spans="1:10" ht="13.5" thickBot="1">
      <c r="A11811" s="27"/>
      <c r="B11811" s="110"/>
      <c r="C11811" s="11" t="s">
        <v>1748</v>
      </c>
      <c r="D11811" s="10" t="s">
        <v>1757</v>
      </c>
      <c r="H11811" s="443"/>
    </row>
    <row r="11812" spans="1:10" ht="13.5" thickBot="1">
      <c r="A11812" s="27"/>
      <c r="B11812" s="110"/>
      <c r="D11812" s="401" t="s">
        <v>40</v>
      </c>
      <c r="E11812" s="402" t="s">
        <v>41</v>
      </c>
      <c r="F11812" s="402" t="s">
        <v>42</v>
      </c>
      <c r="G11812" s="403" t="s">
        <v>43</v>
      </c>
      <c r="H11812" s="404" t="s">
        <v>44</v>
      </c>
      <c r="I11812" s="402" t="s">
        <v>474</v>
      </c>
      <c r="J11812" s="405" t="s">
        <v>475</v>
      </c>
    </row>
    <row r="11813" spans="1:10" ht="13">
      <c r="A11813" s="27"/>
      <c r="B11813" s="110"/>
      <c r="D11813" s="444" t="s">
        <v>45</v>
      </c>
      <c r="E11813" s="445" t="s">
        <v>46</v>
      </c>
      <c r="F11813" s="446"/>
      <c r="G11813" s="447"/>
      <c r="H11813" s="448"/>
      <c r="I11813" s="449"/>
      <c r="J11813" s="450"/>
    </row>
    <row r="11814" spans="1:10" ht="13">
      <c r="A11814" s="27"/>
      <c r="B11814" s="110"/>
      <c r="D11814" s="409"/>
      <c r="E11814" s="13" t="s">
        <v>47</v>
      </c>
      <c r="F11814" s="13" t="s">
        <v>1918</v>
      </c>
      <c r="G11814" s="410" t="s">
        <v>48</v>
      </c>
      <c r="H11814" s="411">
        <v>7.9459999999999997</v>
      </c>
      <c r="I11814" s="412">
        <f>IF(AND(E11814&lt;&gt;"",G11814&lt;&gt;""),IF(D11814="",IF(G11814="OH",VLOOKUP(F11814,UPAH!$B$4:$H$101,7,0),VLOOKUP(F11814,#REF!,4,0)),0),0)</f>
        <v>0</v>
      </c>
      <c r="J11814" s="16">
        <f>H11814*I11814</f>
        <v>0</v>
      </c>
    </row>
    <row r="11815" spans="1:10" ht="13">
      <c r="A11815" s="27"/>
      <c r="B11815" s="110"/>
      <c r="D11815" s="409"/>
      <c r="E11815" s="13" t="s">
        <v>283</v>
      </c>
      <c r="F11815" s="13" t="s">
        <v>1913</v>
      </c>
      <c r="G11815" s="410" t="s">
        <v>48</v>
      </c>
      <c r="H11815" s="411">
        <v>3.9729999999999999</v>
      </c>
      <c r="I11815" s="412">
        <f>IF(AND(E11815&lt;&gt;"",G11815&lt;&gt;""),IF(D11815="",IF(G11815="OH",VLOOKUP(F11815,UPAH!$B$4:$H$101,7,0),VLOOKUP(F11815,#REF!,4,0)),0),0)</f>
        <v>0</v>
      </c>
      <c r="J11815" s="16">
        <f>H11815*I11815</f>
        <v>0</v>
      </c>
    </row>
    <row r="11816" spans="1:10" ht="13.5" thickBot="1">
      <c r="A11816" s="27"/>
      <c r="B11816" s="110"/>
      <c r="D11816" s="409"/>
      <c r="E11816" s="13" t="s">
        <v>51</v>
      </c>
      <c r="F11816" s="13" t="s">
        <v>1929</v>
      </c>
      <c r="G11816" s="410" t="s">
        <v>48</v>
      </c>
      <c r="H11816" s="411">
        <v>0.79500000000000004</v>
      </c>
      <c r="I11816" s="412">
        <f>IF(AND(E11816&lt;&gt;"",G11816&lt;&gt;""),IF(D11816="",IF(G11816="OH",VLOOKUP(F11816,UPAH!$B$4:$H$101,7,0),VLOOKUP(F11816,#REF!,4,0)),0),0)</f>
        <v>0</v>
      </c>
      <c r="J11816" s="16">
        <f>H11816*I11816</f>
        <v>0</v>
      </c>
    </row>
    <row r="11817" spans="1:10" ht="13.5" thickBot="1">
      <c r="A11817" s="27"/>
      <c r="B11817" s="110"/>
      <c r="D11817" s="417"/>
      <c r="E11817" s="418"/>
      <c r="F11817" s="418"/>
      <c r="G11817" s="419"/>
      <c r="H11817" s="420" t="s">
        <v>52</v>
      </c>
      <c r="I11817" s="421"/>
      <c r="J11817" s="396">
        <f>SUM(J11813:J11816)</f>
        <v>0</v>
      </c>
    </row>
    <row r="11818" spans="1:10" ht="13">
      <c r="A11818" s="27"/>
      <c r="B11818" s="110"/>
      <c r="D11818" s="406" t="s">
        <v>53</v>
      </c>
      <c r="E11818" s="13" t="s">
        <v>54</v>
      </c>
      <c r="F11818" s="14"/>
      <c r="G11818" s="15"/>
      <c r="H11818" s="451"/>
      <c r="I11818" s="412"/>
      <c r="J11818" s="16"/>
    </row>
    <row r="11819" spans="1:10" ht="13.5" thickBot="1">
      <c r="A11819" s="27"/>
      <c r="B11819" s="110"/>
      <c r="D11819" s="409"/>
      <c r="E11819" s="13" t="s">
        <v>361</v>
      </c>
      <c r="F11819" s="14"/>
      <c r="G11819" s="410" t="s">
        <v>259</v>
      </c>
      <c r="H11819" s="411">
        <v>1</v>
      </c>
      <c r="I11819" s="412">
        <f>'BAHAN '!G387</f>
        <v>0</v>
      </c>
      <c r="J11819" s="16">
        <f>H11819*I11819</f>
        <v>0</v>
      </c>
    </row>
    <row r="11820" spans="1:10" ht="13.5" thickBot="1">
      <c r="A11820" s="27"/>
      <c r="B11820" s="110"/>
      <c r="D11820" s="417"/>
      <c r="E11820" s="418"/>
      <c r="F11820" s="418"/>
      <c r="G11820" s="419"/>
      <c r="H11820" s="420" t="s">
        <v>64</v>
      </c>
      <c r="I11820" s="421"/>
      <c r="J11820" s="396">
        <f>SUM(J11819)</f>
        <v>0</v>
      </c>
    </row>
    <row r="11821" spans="1:10" ht="13">
      <c r="A11821" s="27"/>
      <c r="B11821" s="110"/>
      <c r="D11821" s="406" t="s">
        <v>65</v>
      </c>
      <c r="E11821" s="13" t="s">
        <v>66</v>
      </c>
      <c r="F11821" s="14"/>
      <c r="G11821" s="15"/>
      <c r="H11821" s="451"/>
      <c r="I11821" s="412"/>
      <c r="J11821" s="16"/>
    </row>
    <row r="11822" spans="1:10" ht="13">
      <c r="A11822" s="27"/>
      <c r="B11822" s="110"/>
      <c r="D11822" s="409"/>
      <c r="E11822" s="13" t="s">
        <v>1075</v>
      </c>
      <c r="F11822" s="14"/>
      <c r="G11822" s="410" t="s">
        <v>285</v>
      </c>
      <c r="H11822" s="411">
        <v>2.19</v>
      </c>
      <c r="I11822" s="412">
        <f>Alat!H26</f>
        <v>0</v>
      </c>
      <c r="J11822" s="16">
        <f>H11822*I11822</f>
        <v>0</v>
      </c>
    </row>
    <row r="11823" spans="1:10" ht="13">
      <c r="A11823" s="27"/>
      <c r="B11823" s="110"/>
      <c r="D11823" s="409"/>
      <c r="E11823" s="13" t="s">
        <v>350</v>
      </c>
      <c r="F11823" s="14"/>
      <c r="G11823" s="410" t="s">
        <v>285</v>
      </c>
      <c r="H11823" s="411">
        <v>3.0990000000000002</v>
      </c>
      <c r="I11823" s="412">
        <f>Alat!H42*8</f>
        <v>0</v>
      </c>
      <c r="J11823" s="16">
        <f>H11823*I11823</f>
        <v>0</v>
      </c>
    </row>
    <row r="11824" spans="1:10" ht="13">
      <c r="A11824" s="27"/>
      <c r="B11824" s="110"/>
      <c r="D11824" s="409"/>
      <c r="E11824" s="13" t="s">
        <v>445</v>
      </c>
      <c r="F11824" s="14"/>
      <c r="G11824" s="410" t="s">
        <v>285</v>
      </c>
      <c r="H11824" s="411">
        <v>4.9279999999999999</v>
      </c>
      <c r="I11824" s="412">
        <f>Alat!H65*8</f>
        <v>0</v>
      </c>
      <c r="J11824" s="16">
        <f>H11824*I11824</f>
        <v>0</v>
      </c>
    </row>
    <row r="11825" spans="1:10" ht="13.5" thickBot="1">
      <c r="A11825" s="27"/>
      <c r="B11825" s="110"/>
      <c r="D11825" s="409"/>
      <c r="E11825" s="13" t="s">
        <v>446</v>
      </c>
      <c r="F11825" s="14"/>
      <c r="G11825" s="410" t="s">
        <v>285</v>
      </c>
      <c r="H11825" s="411">
        <v>2.5209999999999999</v>
      </c>
      <c r="I11825" s="412">
        <f>Alat!H102</f>
        <v>0</v>
      </c>
      <c r="J11825" s="16">
        <f>H11825*I11825</f>
        <v>0</v>
      </c>
    </row>
    <row r="11826" spans="1:10" ht="13.5" thickBot="1">
      <c r="A11826" s="27"/>
      <c r="B11826" s="110"/>
      <c r="D11826" s="503"/>
      <c r="E11826" s="480"/>
      <c r="F11826" s="418"/>
      <c r="G11826" s="419"/>
      <c r="H11826" s="420" t="s">
        <v>67</v>
      </c>
      <c r="I11826" s="421"/>
      <c r="J11826" s="396">
        <f>SUM(J11822:J11825)</f>
        <v>0</v>
      </c>
    </row>
    <row r="11827" spans="1:10" ht="13">
      <c r="A11827" s="27"/>
      <c r="B11827" s="110"/>
      <c r="D11827" s="444" t="s">
        <v>68</v>
      </c>
      <c r="E11827" s="445" t="s">
        <v>69</v>
      </c>
      <c r="F11827" s="446"/>
      <c r="G11827" s="447"/>
      <c r="H11827" s="448"/>
      <c r="I11827" s="449">
        <f>IF(AND(E11827&lt;&gt;"",G11827&lt;&gt;""),IF(D11827="",IF(G11827="OH",VLOOKUP(E11827,UPAH!$C$4:$H$31,7,0),VLOOKUP(E11827,#REF!,4,0)),0),0)</f>
        <v>0</v>
      </c>
      <c r="J11827" s="16">
        <f>SUM(J11814:J11826)/2</f>
        <v>0</v>
      </c>
    </row>
    <row r="11828" spans="1:10" ht="13.5" thickBot="1">
      <c r="A11828" s="27"/>
      <c r="B11828" s="110"/>
      <c r="D11828" s="431" t="s">
        <v>70</v>
      </c>
      <c r="E11828" s="432" t="s">
        <v>477</v>
      </c>
      <c r="F11828" s="433"/>
      <c r="G11828" s="434"/>
      <c r="H11828" s="22">
        <v>0.1</v>
      </c>
      <c r="I11828" s="436"/>
      <c r="J11828" s="430">
        <f>H11828*J11827</f>
        <v>0</v>
      </c>
    </row>
    <row r="11829" spans="1:10" ht="13.5" thickBot="1">
      <c r="A11829" s="27"/>
      <c r="B11829" s="110"/>
      <c r="D11829" s="401" t="s">
        <v>71</v>
      </c>
      <c r="E11829" s="402" t="s">
        <v>72</v>
      </c>
      <c r="F11829" s="418"/>
      <c r="G11829" s="419"/>
      <c r="H11829" s="442"/>
      <c r="I11829" s="421">
        <f>IF(AND(E11829&lt;&gt;"",G11829&lt;&gt;""),IF(D11829="",IF(G11829="OH",VLOOKUP(E11829,UPAH!$C$4:$H$31,7,0),VLOOKUP(E11829,#REF!,4,0)),0),0)</f>
        <v>0</v>
      </c>
      <c r="J11829" s="396">
        <f>ROUNDDOWN(J11827+J11828,0)</f>
        <v>0</v>
      </c>
    </row>
    <row r="11830" spans="1:10" ht="13">
      <c r="A11830" s="27"/>
      <c r="B11830" s="110"/>
      <c r="D11830" s="11"/>
      <c r="E11830" s="11"/>
      <c r="H11830" s="443"/>
    </row>
    <row r="11831" spans="1:10" s="27" customFormat="1" ht="13">
      <c r="B11831" s="110"/>
      <c r="C11831" s="452" t="s">
        <v>534</v>
      </c>
      <c r="G11831" s="399"/>
      <c r="H11831" s="453"/>
    </row>
    <row r="11832" spans="1:10" ht="13.5" thickBot="1">
      <c r="A11832" s="27"/>
      <c r="B11832" s="110"/>
      <c r="C11832" s="11" t="s">
        <v>1747</v>
      </c>
      <c r="D11832" s="10" t="s">
        <v>32</v>
      </c>
      <c r="H11832" s="443"/>
    </row>
    <row r="11833" spans="1:10" ht="13.5" thickBot="1">
      <c r="A11833" s="27"/>
      <c r="B11833" s="110"/>
      <c r="D11833" s="401" t="s">
        <v>40</v>
      </c>
      <c r="E11833" s="402" t="s">
        <v>41</v>
      </c>
      <c r="F11833" s="402" t="s">
        <v>42</v>
      </c>
      <c r="G11833" s="403" t="s">
        <v>43</v>
      </c>
      <c r="H11833" s="404" t="s">
        <v>44</v>
      </c>
      <c r="I11833" s="402" t="s">
        <v>474</v>
      </c>
      <c r="J11833" s="405" t="s">
        <v>475</v>
      </c>
    </row>
    <row r="11834" spans="1:10" ht="13">
      <c r="A11834" s="27"/>
      <c r="B11834" s="110"/>
      <c r="D11834" s="444" t="s">
        <v>45</v>
      </c>
      <c r="E11834" s="445" t="s">
        <v>46</v>
      </c>
      <c r="F11834" s="446"/>
      <c r="G11834" s="447"/>
      <c r="H11834" s="448"/>
      <c r="I11834" s="449"/>
      <c r="J11834" s="450"/>
    </row>
    <row r="11835" spans="1:10" ht="13">
      <c r="A11835" s="27"/>
      <c r="B11835" s="110"/>
      <c r="D11835" s="409"/>
      <c r="E11835" s="13" t="s">
        <v>47</v>
      </c>
      <c r="F11835" s="13" t="s">
        <v>1918</v>
      </c>
      <c r="G11835" s="410" t="s">
        <v>48</v>
      </c>
      <c r="H11835" s="411">
        <v>8.0000000000000002E-3</v>
      </c>
      <c r="I11835" s="412">
        <f>IF(AND(E11835&lt;&gt;"",G11835&lt;&gt;""),IF(D11835="",IF(G11835="OH",VLOOKUP(F11835,UPAH!$B$4:$H$101,7,0),VLOOKUP(F11835,#REF!,4,0)),0),0)</f>
        <v>0</v>
      </c>
      <c r="J11835" s="16">
        <f>H11835*I11835</f>
        <v>0</v>
      </c>
    </row>
    <row r="11836" spans="1:10" ht="13.5" thickBot="1">
      <c r="A11836" s="27"/>
      <c r="B11836" s="110"/>
      <c r="D11836" s="409"/>
      <c r="E11836" s="13" t="s">
        <v>51</v>
      </c>
      <c r="F11836" s="13" t="s">
        <v>1929</v>
      </c>
      <c r="G11836" s="410" t="s">
        <v>48</v>
      </c>
      <c r="H11836" s="411">
        <v>8.0000000000000004E-4</v>
      </c>
      <c r="I11836" s="412">
        <f>IF(AND(E11836&lt;&gt;"",G11836&lt;&gt;""),IF(D11836="",IF(G11836="OH",VLOOKUP(F11836,UPAH!$B$4:$H$101,7,0),VLOOKUP(F11836,#REF!,4,0)),0),0)</f>
        <v>0</v>
      </c>
      <c r="J11836" s="16">
        <f>H11836*I11836</f>
        <v>0</v>
      </c>
    </row>
    <row r="11837" spans="1:10" ht="13.5" thickBot="1">
      <c r="A11837" s="27"/>
      <c r="B11837" s="110"/>
      <c r="D11837" s="417"/>
      <c r="E11837" s="418"/>
      <c r="F11837" s="418"/>
      <c r="G11837" s="419"/>
      <c r="H11837" s="420" t="s">
        <v>52</v>
      </c>
      <c r="I11837" s="421"/>
      <c r="J11837" s="396">
        <f>SUM(J11833:J11836)</f>
        <v>0</v>
      </c>
    </row>
    <row r="11838" spans="1:10" ht="13">
      <c r="A11838" s="27"/>
      <c r="B11838" s="110"/>
      <c r="D11838" s="406" t="s">
        <v>53</v>
      </c>
      <c r="E11838" s="13" t="s">
        <v>54</v>
      </c>
      <c r="F11838" s="14"/>
      <c r="G11838" s="15"/>
      <c r="H11838" s="451"/>
      <c r="I11838" s="412"/>
      <c r="J11838" s="16"/>
    </row>
    <row r="11839" spans="1:10" ht="13">
      <c r="A11839" s="27"/>
      <c r="B11839" s="110"/>
      <c r="D11839" s="409"/>
      <c r="E11839" s="13" t="s">
        <v>362</v>
      </c>
      <c r="F11839" s="14"/>
      <c r="G11839" s="410" t="s">
        <v>375</v>
      </c>
      <c r="H11839" s="411">
        <v>2E-3</v>
      </c>
      <c r="I11839" s="412">
        <f>'BAHAN '!G11</f>
        <v>0</v>
      </c>
      <c r="J11839" s="16">
        <f>H11839*I11839</f>
        <v>0</v>
      </c>
    </row>
    <row r="11840" spans="1:10" ht="13">
      <c r="A11840" s="27"/>
      <c r="B11840" s="110"/>
      <c r="D11840" s="409"/>
      <c r="E11840" s="13" t="s">
        <v>363</v>
      </c>
      <c r="F11840" s="14"/>
      <c r="G11840" s="410" t="s">
        <v>364</v>
      </c>
      <c r="H11840" s="411">
        <v>0.06</v>
      </c>
      <c r="I11840" s="412">
        <f>'BAHAN '!G39</f>
        <v>0</v>
      </c>
      <c r="J11840" s="16">
        <f>H11840*I11840</f>
        <v>0</v>
      </c>
    </row>
    <row r="11841" spans="1:10" ht="13.5" thickBot="1">
      <c r="A11841" s="27"/>
      <c r="B11841" s="110"/>
      <c r="D11841" s="409"/>
      <c r="E11841" s="13" t="s">
        <v>365</v>
      </c>
      <c r="F11841" s="14"/>
      <c r="G11841" s="410" t="s">
        <v>364</v>
      </c>
      <c r="H11841" s="411">
        <v>2E-3</v>
      </c>
      <c r="I11841" s="412">
        <f>'BAHAN '!G55</f>
        <v>0</v>
      </c>
      <c r="J11841" s="16">
        <f>H11841*I11841</f>
        <v>0</v>
      </c>
    </row>
    <row r="11842" spans="1:10" ht="13.5" thickBot="1">
      <c r="A11842" s="27"/>
      <c r="B11842" s="110"/>
      <c r="D11842" s="417"/>
      <c r="E11842" s="418"/>
      <c r="F11842" s="418"/>
      <c r="G11842" s="419"/>
      <c r="H11842" s="420" t="s">
        <v>64</v>
      </c>
      <c r="I11842" s="421"/>
      <c r="J11842" s="396">
        <f>SUM(J11839:J11841)</f>
        <v>0</v>
      </c>
    </row>
    <row r="11843" spans="1:10" ht="13.5" thickBot="1">
      <c r="A11843" s="27"/>
      <c r="B11843" s="110"/>
      <c r="D11843" s="406" t="s">
        <v>65</v>
      </c>
      <c r="E11843" s="13" t="s">
        <v>66</v>
      </c>
      <c r="F11843" s="14"/>
      <c r="G11843" s="15"/>
      <c r="H11843" s="451"/>
      <c r="I11843" s="412">
        <f>IF(AND(E11843&lt;&gt;"",G11843&lt;&gt;""),IF(D11843="",IF(G11843="OH",VLOOKUP(E11843,UPAH!$C$4:$H$31,7,0),VLOOKUP(E11843,#REF!,4,0)),0),0)</f>
        <v>0</v>
      </c>
      <c r="J11843" s="16">
        <f>H11843*I11843</f>
        <v>0</v>
      </c>
    </row>
    <row r="11844" spans="1:10" ht="13.5" thickBot="1">
      <c r="A11844" s="27"/>
      <c r="B11844" s="110"/>
      <c r="D11844" s="417"/>
      <c r="E11844" s="418"/>
      <c r="F11844" s="418"/>
      <c r="G11844" s="419"/>
      <c r="H11844" s="420" t="s">
        <v>67</v>
      </c>
      <c r="I11844" s="421"/>
      <c r="J11844" s="396">
        <f>J11843</f>
        <v>0</v>
      </c>
    </row>
    <row r="11845" spans="1:10" ht="13">
      <c r="A11845" s="27"/>
      <c r="B11845" s="110"/>
      <c r="D11845" s="444" t="s">
        <v>68</v>
      </c>
      <c r="E11845" s="445" t="s">
        <v>69</v>
      </c>
      <c r="F11845" s="446"/>
      <c r="G11845" s="447"/>
      <c r="H11845" s="448"/>
      <c r="I11845" s="449">
        <f>IF(AND(E11845&lt;&gt;"",G11845&lt;&gt;""),IF(D11845="",IF(G11845="OH",VLOOKUP(E11845,UPAH!$C$4:$H$31,7,0),VLOOKUP(E11845,#REF!,4,0)),0),0)</f>
        <v>0</v>
      </c>
      <c r="J11845" s="16">
        <f>SUM(J11834:J11844)/2</f>
        <v>0</v>
      </c>
    </row>
    <row r="11846" spans="1:10" ht="13.5" thickBot="1">
      <c r="A11846" s="27"/>
      <c r="B11846" s="110"/>
      <c r="D11846" s="431" t="s">
        <v>70</v>
      </c>
      <c r="E11846" s="432" t="s">
        <v>477</v>
      </c>
      <c r="F11846" s="433"/>
      <c r="G11846" s="434"/>
      <c r="H11846" s="22">
        <v>0.1</v>
      </c>
      <c r="I11846" s="436"/>
      <c r="J11846" s="430">
        <f>H11846*J11845</f>
        <v>0</v>
      </c>
    </row>
    <row r="11847" spans="1:10" ht="13.5" thickBot="1">
      <c r="A11847" s="27"/>
      <c r="B11847" s="110"/>
      <c r="D11847" s="401" t="s">
        <v>71</v>
      </c>
      <c r="E11847" s="402" t="s">
        <v>72</v>
      </c>
      <c r="F11847" s="418"/>
      <c r="G11847" s="419"/>
      <c r="H11847" s="442"/>
      <c r="I11847" s="421">
        <f>IF(AND(E11847&lt;&gt;"",G11847&lt;&gt;""),IF(D11847="",IF(G11847="OH",VLOOKUP(E11847,UPAH!$C$4:$H$31,7,0),VLOOKUP(E11847,#REF!,4,0)),0),0)</f>
        <v>0</v>
      </c>
      <c r="J11847" s="396">
        <f>ROUNDDOWN(J11845+J11846,0)</f>
        <v>0</v>
      </c>
    </row>
    <row r="11848" spans="1:10" ht="13">
      <c r="A11848" s="27"/>
      <c r="B11848" s="110"/>
      <c r="D11848" s="11"/>
      <c r="E11848" s="11"/>
      <c r="H11848" s="443"/>
      <c r="I11848" s="17"/>
      <c r="J11848" s="18"/>
    </row>
    <row r="11849" spans="1:10" ht="13.5" thickBot="1">
      <c r="A11849" s="27"/>
      <c r="B11849" s="110"/>
      <c r="C11849" s="11" t="s">
        <v>1746</v>
      </c>
      <c r="D11849" s="10" t="s">
        <v>33</v>
      </c>
      <c r="H11849" s="443"/>
    </row>
    <row r="11850" spans="1:10" ht="13.5" thickBot="1">
      <c r="A11850" s="27"/>
      <c r="B11850" s="110"/>
      <c r="D11850" s="401" t="s">
        <v>40</v>
      </c>
      <c r="E11850" s="402" t="s">
        <v>41</v>
      </c>
      <c r="F11850" s="402" t="s">
        <v>42</v>
      </c>
      <c r="G11850" s="403" t="s">
        <v>43</v>
      </c>
      <c r="H11850" s="404" t="s">
        <v>44</v>
      </c>
      <c r="I11850" s="402" t="s">
        <v>474</v>
      </c>
      <c r="J11850" s="405" t="s">
        <v>475</v>
      </c>
    </row>
    <row r="11851" spans="1:10" ht="13">
      <c r="A11851" s="27"/>
      <c r="B11851" s="110"/>
      <c r="D11851" s="444" t="s">
        <v>45</v>
      </c>
      <c r="E11851" s="445" t="s">
        <v>46</v>
      </c>
      <c r="F11851" s="446"/>
      <c r="G11851" s="447"/>
      <c r="H11851" s="448"/>
      <c r="I11851" s="449"/>
      <c r="J11851" s="450"/>
    </row>
    <row r="11852" spans="1:10" ht="13">
      <c r="A11852" s="27"/>
      <c r="B11852" s="110"/>
      <c r="D11852" s="409"/>
      <c r="E11852" s="13" t="s">
        <v>47</v>
      </c>
      <c r="F11852" s="13" t="s">
        <v>1918</v>
      </c>
      <c r="G11852" s="410" t="s">
        <v>48</v>
      </c>
      <c r="H11852" s="411">
        <v>8.0000000000000002E-3</v>
      </c>
      <c r="I11852" s="412">
        <f>IF(AND(E11852&lt;&gt;"",G11852&lt;&gt;""),IF(D11852="",IF(G11852="OH",VLOOKUP(F11852,UPAH!$B$4:$H$101,7,0),VLOOKUP(F11852,#REF!,4,0)),0),0)</f>
        <v>0</v>
      </c>
      <c r="J11852" s="16">
        <f>H11852*I11852</f>
        <v>0</v>
      </c>
    </row>
    <row r="11853" spans="1:10" ht="13.5" thickBot="1">
      <c r="A11853" s="27"/>
      <c r="B11853" s="110"/>
      <c r="D11853" s="409"/>
      <c r="E11853" s="13" t="s">
        <v>51</v>
      </c>
      <c r="F11853" s="13" t="s">
        <v>1929</v>
      </c>
      <c r="G11853" s="410" t="s">
        <v>48</v>
      </c>
      <c r="H11853" s="411">
        <v>8.0000000000000004E-4</v>
      </c>
      <c r="I11853" s="412">
        <f>IF(AND(E11853&lt;&gt;"",G11853&lt;&gt;""),IF(D11853="",IF(G11853="OH",VLOOKUP(F11853,UPAH!$B$4:$H$101,7,0),VLOOKUP(F11853,#REF!,4,0)),0),0)</f>
        <v>0</v>
      </c>
      <c r="J11853" s="16">
        <f>H11853*I11853</f>
        <v>0</v>
      </c>
    </row>
    <row r="11854" spans="1:10" ht="13.5" thickBot="1">
      <c r="A11854" s="27"/>
      <c r="B11854" s="110"/>
      <c r="D11854" s="417"/>
      <c r="E11854" s="418"/>
      <c r="F11854" s="418"/>
      <c r="G11854" s="419"/>
      <c r="H11854" s="420" t="s">
        <v>52</v>
      </c>
      <c r="I11854" s="421"/>
      <c r="J11854" s="396">
        <f>SUM(J11850:J11853)</f>
        <v>0</v>
      </c>
    </row>
    <row r="11855" spans="1:10" ht="13">
      <c r="A11855" s="27"/>
      <c r="B11855" s="110"/>
      <c r="D11855" s="406" t="s">
        <v>53</v>
      </c>
      <c r="E11855" s="13" t="s">
        <v>54</v>
      </c>
      <c r="F11855" s="14"/>
      <c r="G11855" s="15"/>
      <c r="H11855" s="451"/>
      <c r="I11855" s="412"/>
      <c r="J11855" s="16"/>
    </row>
    <row r="11856" spans="1:10" ht="13">
      <c r="A11856" s="27"/>
      <c r="B11856" s="110"/>
      <c r="D11856" s="409"/>
      <c r="E11856" s="13" t="s">
        <v>362</v>
      </c>
      <c r="F11856" s="14"/>
      <c r="G11856" s="410" t="s">
        <v>375</v>
      </c>
      <c r="H11856" s="411">
        <v>4.0000000000000001E-3</v>
      </c>
      <c r="I11856" s="412">
        <f>'BAHAN '!G11</f>
        <v>0</v>
      </c>
      <c r="J11856" s="16">
        <f>H11856*I11856</f>
        <v>0</v>
      </c>
    </row>
    <row r="11857" spans="1:10" ht="13">
      <c r="A11857" s="27"/>
      <c r="B11857" s="110"/>
      <c r="D11857" s="409"/>
      <c r="E11857" s="13" t="s">
        <v>363</v>
      </c>
      <c r="F11857" s="14"/>
      <c r="G11857" s="410" t="s">
        <v>364</v>
      </c>
      <c r="H11857" s="411">
        <v>0.06</v>
      </c>
      <c r="I11857" s="412">
        <f t="shared" ref="I11857:I11858" si="43">I11840</f>
        <v>0</v>
      </c>
      <c r="J11857" s="16">
        <f>H11857*I11857</f>
        <v>0</v>
      </c>
    </row>
    <row r="11858" spans="1:10" ht="13.5" thickBot="1">
      <c r="A11858" s="27"/>
      <c r="B11858" s="110"/>
      <c r="D11858" s="409"/>
      <c r="E11858" s="13" t="s">
        <v>365</v>
      </c>
      <c r="F11858" s="14"/>
      <c r="G11858" s="410" t="s">
        <v>364</v>
      </c>
      <c r="H11858" s="411">
        <v>2E-3</v>
      </c>
      <c r="I11858" s="412">
        <f t="shared" si="43"/>
        <v>0</v>
      </c>
      <c r="J11858" s="16">
        <f>H11858*I11858</f>
        <v>0</v>
      </c>
    </row>
    <row r="11859" spans="1:10" ht="13.5" thickBot="1">
      <c r="A11859" s="27"/>
      <c r="B11859" s="110"/>
      <c r="D11859" s="417"/>
      <c r="E11859" s="418"/>
      <c r="F11859" s="418"/>
      <c r="G11859" s="419"/>
      <c r="H11859" s="420" t="s">
        <v>64</v>
      </c>
      <c r="I11859" s="421"/>
      <c r="J11859" s="396">
        <f>SUM(J11856:J11858)</f>
        <v>0</v>
      </c>
    </row>
    <row r="11860" spans="1:10" ht="13.5" thickBot="1">
      <c r="A11860" s="27"/>
      <c r="B11860" s="110"/>
      <c r="D11860" s="406" t="s">
        <v>65</v>
      </c>
      <c r="E11860" s="13" t="s">
        <v>66</v>
      </c>
      <c r="F11860" s="14"/>
      <c r="G11860" s="15"/>
      <c r="H11860" s="451"/>
      <c r="I11860" s="412">
        <f>IF(AND(E11860&lt;&gt;"",G11860&lt;&gt;""),IF(D11860="",IF(G11860="OH",VLOOKUP(E11860,UPAH!$C$4:$H$31,7,0),VLOOKUP(E11860,#REF!,4,0)),0),0)</f>
        <v>0</v>
      </c>
      <c r="J11860" s="16">
        <f>H11860*I11860</f>
        <v>0</v>
      </c>
    </row>
    <row r="11861" spans="1:10" ht="13.5" thickBot="1">
      <c r="A11861" s="27"/>
      <c r="B11861" s="110"/>
      <c r="D11861" s="417"/>
      <c r="E11861" s="418"/>
      <c r="F11861" s="418"/>
      <c r="G11861" s="419"/>
      <c r="H11861" s="420" t="s">
        <v>67</v>
      </c>
      <c r="I11861" s="421"/>
      <c r="J11861" s="396">
        <f>J11860</f>
        <v>0</v>
      </c>
    </row>
    <row r="11862" spans="1:10" ht="13">
      <c r="A11862" s="27"/>
      <c r="B11862" s="110"/>
      <c r="D11862" s="444" t="s">
        <v>68</v>
      </c>
      <c r="E11862" s="445" t="s">
        <v>69</v>
      </c>
      <c r="F11862" s="446"/>
      <c r="G11862" s="447"/>
      <c r="H11862" s="448"/>
      <c r="I11862" s="449">
        <f>IF(AND(E11862&lt;&gt;"",G11862&lt;&gt;""),IF(D11862="",IF(G11862="OH",VLOOKUP(E11862,UPAH!$C$4:$H$31,7,0),VLOOKUP(E11862,#REF!,4,0)),0),0)</f>
        <v>0</v>
      </c>
      <c r="J11862" s="16">
        <f>SUM(J11851:J11861)/2</f>
        <v>0</v>
      </c>
    </row>
    <row r="11863" spans="1:10" ht="13.5" thickBot="1">
      <c r="A11863" s="27"/>
      <c r="B11863" s="110"/>
      <c r="D11863" s="431" t="s">
        <v>70</v>
      </c>
      <c r="E11863" s="432" t="s">
        <v>477</v>
      </c>
      <c r="F11863" s="433"/>
      <c r="G11863" s="434"/>
      <c r="H11863" s="22">
        <v>0.1</v>
      </c>
      <c r="I11863" s="436"/>
      <c r="J11863" s="430">
        <f>H11863*J11862</f>
        <v>0</v>
      </c>
    </row>
    <row r="11864" spans="1:10" ht="13.5" thickBot="1">
      <c r="A11864" s="27"/>
      <c r="B11864" s="110"/>
      <c r="D11864" s="401" t="s">
        <v>71</v>
      </c>
      <c r="E11864" s="402" t="s">
        <v>72</v>
      </c>
      <c r="F11864" s="418"/>
      <c r="G11864" s="419"/>
      <c r="H11864" s="442"/>
      <c r="I11864" s="421">
        <f>IF(AND(E11864&lt;&gt;"",G11864&lt;&gt;""),IF(D11864="",IF(G11864="OH",VLOOKUP(E11864,UPAH!$C$4:$H$31,7,0),VLOOKUP(E11864,#REF!,4,0)),0),0)</f>
        <v>0</v>
      </c>
      <c r="J11864" s="396">
        <f>ROUNDDOWN(J11862+J11863,0)</f>
        <v>0</v>
      </c>
    </row>
    <row r="11865" spans="1:10" ht="13">
      <c r="A11865" s="27"/>
      <c r="B11865" s="110"/>
      <c r="D11865" s="11"/>
      <c r="E11865" s="11"/>
      <c r="H11865" s="443"/>
      <c r="I11865" s="17"/>
      <c r="J11865" s="18"/>
    </row>
    <row r="11866" spans="1:10" ht="13.5" thickBot="1">
      <c r="A11866" s="27"/>
      <c r="B11866" s="110"/>
      <c r="C11866" s="11" t="s">
        <v>1745</v>
      </c>
      <c r="D11866" s="10" t="s">
        <v>34</v>
      </c>
      <c r="H11866" s="443"/>
    </row>
    <row r="11867" spans="1:10" ht="13.5" thickBot="1">
      <c r="A11867" s="27"/>
      <c r="B11867" s="110"/>
      <c r="D11867" s="401" t="s">
        <v>40</v>
      </c>
      <c r="E11867" s="402" t="s">
        <v>41</v>
      </c>
      <c r="F11867" s="402" t="s">
        <v>42</v>
      </c>
      <c r="G11867" s="403" t="s">
        <v>43</v>
      </c>
      <c r="H11867" s="404" t="s">
        <v>44</v>
      </c>
      <c r="I11867" s="402" t="s">
        <v>474</v>
      </c>
      <c r="J11867" s="405" t="s">
        <v>475</v>
      </c>
    </row>
    <row r="11868" spans="1:10" ht="13">
      <c r="A11868" s="27"/>
      <c r="B11868" s="110"/>
      <c r="D11868" s="444" t="s">
        <v>45</v>
      </c>
      <c r="E11868" s="445" t="s">
        <v>46</v>
      </c>
      <c r="F11868" s="446"/>
      <c r="G11868" s="447"/>
      <c r="H11868" s="448"/>
      <c r="I11868" s="449"/>
      <c r="J11868" s="450"/>
    </row>
    <row r="11869" spans="1:10" ht="13">
      <c r="A11869" s="27"/>
      <c r="B11869" s="110"/>
      <c r="D11869" s="409"/>
      <c r="E11869" s="13" t="s">
        <v>47</v>
      </c>
      <c r="F11869" s="13" t="s">
        <v>1918</v>
      </c>
      <c r="G11869" s="410" t="s">
        <v>48</v>
      </c>
      <c r="H11869" s="411">
        <v>8.0000000000000002E-3</v>
      </c>
      <c r="I11869" s="412">
        <f>IF(AND(E11869&lt;&gt;"",G11869&lt;&gt;""),IF(D11869="",IF(G11869="OH",VLOOKUP(F11869,UPAH!$B$4:$H$101,7,0),VLOOKUP(F11869,#REF!,4,0)),0),0)</f>
        <v>0</v>
      </c>
      <c r="J11869" s="16">
        <f>H11869*I11869</f>
        <v>0</v>
      </c>
    </row>
    <row r="11870" spans="1:10" ht="13.5" thickBot="1">
      <c r="A11870" s="27"/>
      <c r="B11870" s="110"/>
      <c r="D11870" s="409"/>
      <c r="E11870" s="13" t="s">
        <v>51</v>
      </c>
      <c r="F11870" s="13" t="s">
        <v>1929</v>
      </c>
      <c r="G11870" s="410" t="s">
        <v>48</v>
      </c>
      <c r="H11870" s="411">
        <v>8.0000000000000004E-4</v>
      </c>
      <c r="I11870" s="412">
        <f>IF(AND(E11870&lt;&gt;"",G11870&lt;&gt;""),IF(D11870="",IF(G11870="OH",VLOOKUP(F11870,UPAH!$B$4:$H$101,7,0),VLOOKUP(F11870,#REF!,4,0)),0),0)</f>
        <v>0</v>
      </c>
      <c r="J11870" s="16">
        <f>H11870*I11870</f>
        <v>0</v>
      </c>
    </row>
    <row r="11871" spans="1:10" ht="13.5" thickBot="1">
      <c r="A11871" s="27"/>
      <c r="B11871" s="110"/>
      <c r="D11871" s="417"/>
      <c r="E11871" s="418"/>
      <c r="F11871" s="418"/>
      <c r="G11871" s="419"/>
      <c r="H11871" s="420" t="s">
        <v>52</v>
      </c>
      <c r="I11871" s="421"/>
      <c r="J11871" s="396">
        <f>SUM(J11867:J11870)</f>
        <v>0</v>
      </c>
    </row>
    <row r="11872" spans="1:10" ht="13">
      <c r="A11872" s="27"/>
      <c r="B11872" s="110"/>
      <c r="D11872" s="406" t="s">
        <v>53</v>
      </c>
      <c r="E11872" s="13" t="s">
        <v>54</v>
      </c>
      <c r="F11872" s="14"/>
      <c r="G11872" s="15"/>
      <c r="H11872" s="451"/>
      <c r="I11872" s="412"/>
      <c r="J11872" s="16"/>
    </row>
    <row r="11873" spans="1:10" ht="13">
      <c r="A11873" s="27"/>
      <c r="B11873" s="110"/>
      <c r="D11873" s="409"/>
      <c r="E11873" s="13" t="s">
        <v>362</v>
      </c>
      <c r="F11873" s="14"/>
      <c r="G11873" s="410" t="s">
        <v>375</v>
      </c>
      <c r="H11873" s="411">
        <v>8.0000000000000002E-3</v>
      </c>
      <c r="I11873" s="412">
        <f>'BAHAN '!G11</f>
        <v>0</v>
      </c>
      <c r="J11873" s="16">
        <f>H11873*I11873</f>
        <v>0</v>
      </c>
    </row>
    <row r="11874" spans="1:10" ht="13">
      <c r="A11874" s="27"/>
      <c r="B11874" s="110"/>
      <c r="D11874" s="409"/>
      <c r="E11874" s="13" t="s">
        <v>363</v>
      </c>
      <c r="F11874" s="14"/>
      <c r="G11874" s="410" t="s">
        <v>364</v>
      </c>
      <c r="H11874" s="411">
        <v>0.06</v>
      </c>
      <c r="I11874" s="412">
        <f t="shared" ref="I11874:I11875" si="44">I11840</f>
        <v>0</v>
      </c>
      <c r="J11874" s="16">
        <f>H11874*I11874</f>
        <v>0</v>
      </c>
    </row>
    <row r="11875" spans="1:10" ht="13.5" thickBot="1">
      <c r="A11875" s="27"/>
      <c r="B11875" s="110"/>
      <c r="D11875" s="409"/>
      <c r="E11875" s="13" t="s">
        <v>365</v>
      </c>
      <c r="F11875" s="14"/>
      <c r="G11875" s="410" t="s">
        <v>364</v>
      </c>
      <c r="H11875" s="411">
        <v>2E-3</v>
      </c>
      <c r="I11875" s="412">
        <f t="shared" si="44"/>
        <v>0</v>
      </c>
      <c r="J11875" s="16">
        <f>H11875*I11875</f>
        <v>0</v>
      </c>
    </row>
    <row r="11876" spans="1:10" ht="13.5" thickBot="1">
      <c r="A11876" s="27"/>
      <c r="B11876" s="110"/>
      <c r="D11876" s="417"/>
      <c r="E11876" s="418"/>
      <c r="F11876" s="418"/>
      <c r="G11876" s="419"/>
      <c r="H11876" s="420" t="s">
        <v>64</v>
      </c>
      <c r="I11876" s="421"/>
      <c r="J11876" s="396">
        <f>SUM(J11873:J11875)</f>
        <v>0</v>
      </c>
    </row>
    <row r="11877" spans="1:10" ht="13.5" thickBot="1">
      <c r="A11877" s="27"/>
      <c r="B11877" s="110"/>
      <c r="D11877" s="406" t="s">
        <v>65</v>
      </c>
      <c r="E11877" s="13" t="s">
        <v>66</v>
      </c>
      <c r="F11877" s="14"/>
      <c r="G11877" s="15"/>
      <c r="H11877" s="451"/>
      <c r="I11877" s="412">
        <f>IF(AND(E11877&lt;&gt;"",G11877&lt;&gt;""),IF(D11877="",IF(G11877="OH",VLOOKUP(E11877,UPAH!$C$4:$H$31,7,0),VLOOKUP(E11877,#REF!,4,0)),0),0)</f>
        <v>0</v>
      </c>
      <c r="J11877" s="16">
        <f>H11877*I11877</f>
        <v>0</v>
      </c>
    </row>
    <row r="11878" spans="1:10" ht="13.5" thickBot="1">
      <c r="A11878" s="27"/>
      <c r="B11878" s="110"/>
      <c r="D11878" s="417"/>
      <c r="E11878" s="418"/>
      <c r="F11878" s="418"/>
      <c r="G11878" s="419"/>
      <c r="H11878" s="420" t="s">
        <v>67</v>
      </c>
      <c r="I11878" s="421"/>
      <c r="J11878" s="396">
        <f>J11877</f>
        <v>0</v>
      </c>
    </row>
    <row r="11879" spans="1:10" ht="13">
      <c r="A11879" s="27"/>
      <c r="B11879" s="110"/>
      <c r="D11879" s="444" t="s">
        <v>68</v>
      </c>
      <c r="E11879" s="445" t="s">
        <v>69</v>
      </c>
      <c r="F11879" s="446"/>
      <c r="G11879" s="447"/>
      <c r="H11879" s="448"/>
      <c r="I11879" s="449">
        <f>IF(AND(E11879&lt;&gt;"",G11879&lt;&gt;""),IF(D11879="",IF(G11879="OH",VLOOKUP(E11879,UPAH!$C$4:$H$31,7,0),VLOOKUP(E11879,#REF!,4,0)),0),0)</f>
        <v>0</v>
      </c>
      <c r="J11879" s="16">
        <f>SUM(J11868:J11878)/2</f>
        <v>0</v>
      </c>
    </row>
    <row r="11880" spans="1:10" ht="13.5" thickBot="1">
      <c r="A11880" s="27"/>
      <c r="B11880" s="110"/>
      <c r="D11880" s="431" t="s">
        <v>70</v>
      </c>
      <c r="E11880" s="432" t="s">
        <v>477</v>
      </c>
      <c r="F11880" s="433"/>
      <c r="G11880" s="434"/>
      <c r="H11880" s="22">
        <v>0.1</v>
      </c>
      <c r="I11880" s="436"/>
      <c r="J11880" s="430">
        <f>H11880*J11879</f>
        <v>0</v>
      </c>
    </row>
    <row r="11881" spans="1:10" ht="13.5" thickBot="1">
      <c r="A11881" s="27"/>
      <c r="B11881" s="110"/>
      <c r="D11881" s="401" t="s">
        <v>71</v>
      </c>
      <c r="E11881" s="402" t="s">
        <v>72</v>
      </c>
      <c r="F11881" s="418"/>
      <c r="G11881" s="419"/>
      <c r="H11881" s="442"/>
      <c r="I11881" s="421">
        <f>IF(AND(E11881&lt;&gt;"",G11881&lt;&gt;""),IF(D11881="",IF(G11881="OH",VLOOKUP(E11881,UPAH!$C$4:$H$31,7,0),VLOOKUP(E11881,#REF!,4,0)),0),0)</f>
        <v>0</v>
      </c>
      <c r="J11881" s="396">
        <f>ROUNDDOWN(J11879+J11880,0)</f>
        <v>0</v>
      </c>
    </row>
    <row r="11882" spans="1:10" ht="13">
      <c r="A11882" s="27"/>
      <c r="B11882" s="110"/>
      <c r="D11882" s="11"/>
      <c r="E11882" s="11"/>
      <c r="H11882" s="443"/>
      <c r="I11882" s="17"/>
      <c r="J11882" s="18"/>
    </row>
    <row r="11883" spans="1:10" ht="13.5" thickBot="1">
      <c r="A11883" s="27"/>
      <c r="B11883" s="110"/>
      <c r="C11883" s="11" t="s">
        <v>1744</v>
      </c>
      <c r="D11883" s="10" t="s">
        <v>35</v>
      </c>
      <c r="H11883" s="443"/>
    </row>
    <row r="11884" spans="1:10" ht="13.5" thickBot="1">
      <c r="A11884" s="27"/>
      <c r="B11884" s="110"/>
      <c r="D11884" s="401" t="s">
        <v>40</v>
      </c>
      <c r="E11884" s="402" t="s">
        <v>41</v>
      </c>
      <c r="F11884" s="402" t="s">
        <v>42</v>
      </c>
      <c r="G11884" s="403" t="s">
        <v>43</v>
      </c>
      <c r="H11884" s="404" t="s">
        <v>44</v>
      </c>
      <c r="I11884" s="402" t="s">
        <v>474</v>
      </c>
      <c r="J11884" s="405" t="s">
        <v>475</v>
      </c>
    </row>
    <row r="11885" spans="1:10" ht="13">
      <c r="A11885" s="27"/>
      <c r="B11885" s="110"/>
      <c r="D11885" s="444" t="s">
        <v>45</v>
      </c>
      <c r="E11885" s="445" t="s">
        <v>46</v>
      </c>
      <c r="F11885" s="446"/>
      <c r="G11885" s="447"/>
      <c r="H11885" s="448"/>
      <c r="I11885" s="449"/>
      <c r="J11885" s="450"/>
    </row>
    <row r="11886" spans="1:10" ht="13">
      <c r="A11886" s="27"/>
      <c r="B11886" s="110"/>
      <c r="D11886" s="409"/>
      <c r="E11886" s="13" t="s">
        <v>47</v>
      </c>
      <c r="F11886" s="13" t="s">
        <v>1918</v>
      </c>
      <c r="G11886" s="410" t="s">
        <v>48</v>
      </c>
      <c r="H11886" s="411">
        <v>8.0000000000000002E-3</v>
      </c>
      <c r="I11886" s="412">
        <f>IF(AND(E11886&lt;&gt;"",G11886&lt;&gt;""),IF(D11886="",IF(G11886="OH",VLOOKUP(F11886,UPAH!$B$4:$H$101,7,0),VLOOKUP(F11886,#REF!,4,0)),0),0)</f>
        <v>0</v>
      </c>
      <c r="J11886" s="16">
        <f>H11886*I11886</f>
        <v>0</v>
      </c>
    </row>
    <row r="11887" spans="1:10" ht="13.5" thickBot="1">
      <c r="A11887" s="27"/>
      <c r="B11887" s="110"/>
      <c r="D11887" s="409"/>
      <c r="E11887" s="13" t="s">
        <v>51</v>
      </c>
      <c r="F11887" s="13" t="s">
        <v>1929</v>
      </c>
      <c r="G11887" s="410" t="s">
        <v>48</v>
      </c>
      <c r="H11887" s="411">
        <v>8.0000000000000004E-4</v>
      </c>
      <c r="I11887" s="412">
        <f>IF(AND(E11887&lt;&gt;"",G11887&lt;&gt;""),IF(D11887="",IF(G11887="OH",VLOOKUP(F11887,UPAH!$B$4:$H$101,7,0),VLOOKUP(F11887,#REF!,4,0)),0),0)</f>
        <v>0</v>
      </c>
      <c r="J11887" s="16">
        <f>H11887*I11887</f>
        <v>0</v>
      </c>
    </row>
    <row r="11888" spans="1:10" ht="13.5" thickBot="1">
      <c r="A11888" s="27"/>
      <c r="B11888" s="110"/>
      <c r="D11888" s="417"/>
      <c r="E11888" s="418"/>
      <c r="F11888" s="418"/>
      <c r="G11888" s="419"/>
      <c r="H11888" s="420" t="s">
        <v>52</v>
      </c>
      <c r="I11888" s="421"/>
      <c r="J11888" s="396">
        <f>SUM(J11884:J11887)</f>
        <v>0</v>
      </c>
    </row>
    <row r="11889" spans="1:10" ht="13">
      <c r="A11889" s="27"/>
      <c r="B11889" s="110"/>
      <c r="D11889" s="406" t="s">
        <v>53</v>
      </c>
      <c r="E11889" s="13" t="s">
        <v>54</v>
      </c>
      <c r="F11889" s="14"/>
      <c r="G11889" s="15"/>
      <c r="H11889" s="451"/>
      <c r="I11889" s="412"/>
      <c r="J11889" s="16"/>
    </row>
    <row r="11890" spans="1:10" ht="13">
      <c r="A11890" s="27"/>
      <c r="B11890" s="110"/>
      <c r="D11890" s="409"/>
      <c r="E11890" s="13" t="s">
        <v>362</v>
      </c>
      <c r="F11890" s="14"/>
      <c r="G11890" s="410" t="s">
        <v>375</v>
      </c>
      <c r="H11890" s="411">
        <v>1.7999999999999999E-2</v>
      </c>
      <c r="I11890" s="412">
        <f>'BAHAN '!G11</f>
        <v>0</v>
      </c>
      <c r="J11890" s="16">
        <f>H11890*I11890</f>
        <v>0</v>
      </c>
    </row>
    <row r="11891" spans="1:10" ht="13">
      <c r="A11891" s="27"/>
      <c r="B11891" s="110"/>
      <c r="D11891" s="409"/>
      <c r="E11891" s="13" t="s">
        <v>363</v>
      </c>
      <c r="F11891" s="14"/>
      <c r="G11891" s="410" t="s">
        <v>364</v>
      </c>
      <c r="H11891" s="411">
        <v>0.06</v>
      </c>
      <c r="I11891" s="412">
        <f t="shared" ref="I11891:I11892" si="45">I11840</f>
        <v>0</v>
      </c>
      <c r="J11891" s="16">
        <f>H11891*I11891</f>
        <v>0</v>
      </c>
    </row>
    <row r="11892" spans="1:10" ht="13.5" thickBot="1">
      <c r="A11892" s="27"/>
      <c r="B11892" s="110"/>
      <c r="D11892" s="409"/>
      <c r="E11892" s="13" t="s">
        <v>365</v>
      </c>
      <c r="F11892" s="14"/>
      <c r="G11892" s="410" t="s">
        <v>364</v>
      </c>
      <c r="H11892" s="411">
        <v>2E-3</v>
      </c>
      <c r="I11892" s="412">
        <f t="shared" si="45"/>
        <v>0</v>
      </c>
      <c r="J11892" s="16">
        <f>H11892*I11892</f>
        <v>0</v>
      </c>
    </row>
    <row r="11893" spans="1:10" ht="13.5" thickBot="1">
      <c r="A11893" s="27"/>
      <c r="B11893" s="110"/>
      <c r="D11893" s="417"/>
      <c r="E11893" s="418"/>
      <c r="F11893" s="418"/>
      <c r="G11893" s="419"/>
      <c r="H11893" s="420" t="s">
        <v>64</v>
      </c>
      <c r="I11893" s="421"/>
      <c r="J11893" s="396">
        <f>SUM(J11890:J11892)</f>
        <v>0</v>
      </c>
    </row>
    <row r="11894" spans="1:10" ht="13.5" thickBot="1">
      <c r="A11894" s="27"/>
      <c r="B11894" s="110"/>
      <c r="D11894" s="406" t="s">
        <v>65</v>
      </c>
      <c r="E11894" s="13" t="s">
        <v>66</v>
      </c>
      <c r="F11894" s="14"/>
      <c r="G11894" s="15"/>
      <c r="H11894" s="451"/>
      <c r="I11894" s="412">
        <f>IF(AND(E11894&lt;&gt;"",G11894&lt;&gt;""),IF(D11894="",IF(G11894="OH",VLOOKUP(E11894,UPAH!$C$4:$H$31,7,0),VLOOKUP(E11894,#REF!,4,0)),0),0)</f>
        <v>0</v>
      </c>
      <c r="J11894" s="16">
        <f>H11894*I11894</f>
        <v>0</v>
      </c>
    </row>
    <row r="11895" spans="1:10" ht="13.5" thickBot="1">
      <c r="A11895" s="27"/>
      <c r="B11895" s="110"/>
      <c r="D11895" s="417"/>
      <c r="E11895" s="418"/>
      <c r="F11895" s="418"/>
      <c r="G11895" s="419"/>
      <c r="H11895" s="420" t="s">
        <v>67</v>
      </c>
      <c r="I11895" s="421"/>
      <c r="J11895" s="396">
        <f>J11894</f>
        <v>0</v>
      </c>
    </row>
    <row r="11896" spans="1:10" ht="13">
      <c r="A11896" s="27"/>
      <c r="B11896" s="110"/>
      <c r="D11896" s="444" t="s">
        <v>68</v>
      </c>
      <c r="E11896" s="445" t="s">
        <v>69</v>
      </c>
      <c r="F11896" s="446"/>
      <c r="G11896" s="447"/>
      <c r="H11896" s="448"/>
      <c r="I11896" s="449">
        <f>IF(AND(E11896&lt;&gt;"",G11896&lt;&gt;""),IF(D11896="",IF(G11896="OH",VLOOKUP(E11896,UPAH!$C$4:$H$31,7,0),VLOOKUP(E11896,#REF!,4,0)),0),0)</f>
        <v>0</v>
      </c>
      <c r="J11896" s="16">
        <f>SUM(J11885:J11895)/2</f>
        <v>0</v>
      </c>
    </row>
    <row r="11897" spans="1:10" ht="13.5" thickBot="1">
      <c r="A11897" s="27"/>
      <c r="B11897" s="110"/>
      <c r="D11897" s="431" t="s">
        <v>70</v>
      </c>
      <c r="E11897" s="432" t="s">
        <v>477</v>
      </c>
      <c r="F11897" s="433"/>
      <c r="G11897" s="434"/>
      <c r="H11897" s="22">
        <v>0.1</v>
      </c>
      <c r="I11897" s="436"/>
      <c r="J11897" s="430">
        <f>H11897*J11896</f>
        <v>0</v>
      </c>
    </row>
    <row r="11898" spans="1:10" ht="13.5" thickBot="1">
      <c r="A11898" s="27"/>
      <c r="B11898" s="110"/>
      <c r="D11898" s="401" t="s">
        <v>71</v>
      </c>
      <c r="E11898" s="402" t="s">
        <v>72</v>
      </c>
      <c r="F11898" s="418"/>
      <c r="G11898" s="419"/>
      <c r="H11898" s="442"/>
      <c r="I11898" s="421">
        <f>IF(AND(E11898&lt;&gt;"",G11898&lt;&gt;""),IF(D11898="",IF(G11898="OH",VLOOKUP(E11898,UPAH!$C$4:$H$31,7,0),VLOOKUP(E11898,#REF!,4,0)),0),0)</f>
        <v>0</v>
      </c>
      <c r="J11898" s="396">
        <f>ROUNDDOWN(J11896+J11897,0)</f>
        <v>0</v>
      </c>
    </row>
    <row r="11899" spans="1:10" ht="13">
      <c r="A11899" s="27"/>
      <c r="B11899" s="110"/>
      <c r="D11899" s="11"/>
      <c r="E11899" s="11"/>
      <c r="H11899" s="443"/>
      <c r="I11899" s="17"/>
      <c r="J11899" s="18"/>
    </row>
    <row r="11900" spans="1:10" ht="13.5" thickBot="1">
      <c r="A11900" s="27"/>
      <c r="B11900" s="110"/>
      <c r="C11900" s="11" t="s">
        <v>1743</v>
      </c>
      <c r="D11900" s="10" t="s">
        <v>36</v>
      </c>
      <c r="H11900" s="443"/>
    </row>
    <row r="11901" spans="1:10" ht="13.5" thickBot="1">
      <c r="A11901" s="27"/>
      <c r="B11901" s="110"/>
      <c r="D11901" s="401" t="s">
        <v>40</v>
      </c>
      <c r="E11901" s="402" t="s">
        <v>41</v>
      </c>
      <c r="F11901" s="402" t="s">
        <v>42</v>
      </c>
      <c r="G11901" s="403" t="s">
        <v>43</v>
      </c>
      <c r="H11901" s="404" t="s">
        <v>44</v>
      </c>
      <c r="I11901" s="402" t="s">
        <v>474</v>
      </c>
      <c r="J11901" s="405" t="s">
        <v>475</v>
      </c>
    </row>
    <row r="11902" spans="1:10" ht="13">
      <c r="A11902" s="27"/>
      <c r="B11902" s="110"/>
      <c r="D11902" s="444" t="s">
        <v>45</v>
      </c>
      <c r="E11902" s="445" t="s">
        <v>46</v>
      </c>
      <c r="F11902" s="446"/>
      <c r="G11902" s="447"/>
      <c r="H11902" s="448"/>
      <c r="I11902" s="449"/>
      <c r="J11902" s="450"/>
    </row>
    <row r="11903" spans="1:10" ht="13">
      <c r="A11903" s="27"/>
      <c r="B11903" s="110"/>
      <c r="D11903" s="409"/>
      <c r="E11903" s="13" t="s">
        <v>47</v>
      </c>
      <c r="F11903" s="13" t="s">
        <v>1918</v>
      </c>
      <c r="G11903" s="410" t="s">
        <v>48</v>
      </c>
      <c r="H11903" s="411">
        <v>8.0000000000000002E-3</v>
      </c>
      <c r="I11903" s="412">
        <f>IF(AND(E11903&lt;&gt;"",G11903&lt;&gt;""),IF(D11903="",IF(G11903="OH",VLOOKUP(F11903,UPAH!$B$4:$H$101,7,0),VLOOKUP(F11903,#REF!,4,0)),0),0)</f>
        <v>0</v>
      </c>
      <c r="J11903" s="16">
        <f>H11903*I11903</f>
        <v>0</v>
      </c>
    </row>
    <row r="11904" spans="1:10" ht="13.5" thickBot="1">
      <c r="A11904" s="27"/>
      <c r="B11904" s="110"/>
      <c r="D11904" s="409"/>
      <c r="E11904" s="13" t="s">
        <v>51</v>
      </c>
      <c r="F11904" s="13" t="s">
        <v>1929</v>
      </c>
      <c r="G11904" s="410" t="s">
        <v>48</v>
      </c>
      <c r="H11904" s="411">
        <v>8.0000000000000004E-4</v>
      </c>
      <c r="I11904" s="412">
        <f>IF(AND(E11904&lt;&gt;"",G11904&lt;&gt;""),IF(D11904="",IF(G11904="OH",VLOOKUP(F11904,UPAH!$B$4:$H$101,7,0),VLOOKUP(F11904,#REF!,4,0)),0),0)</f>
        <v>0</v>
      </c>
      <c r="J11904" s="16">
        <f>H11904*I11904</f>
        <v>0</v>
      </c>
    </row>
    <row r="11905" spans="1:10" ht="13.5" thickBot="1">
      <c r="A11905" s="27"/>
      <c r="B11905" s="110"/>
      <c r="D11905" s="417"/>
      <c r="E11905" s="418"/>
      <c r="F11905" s="418"/>
      <c r="G11905" s="419"/>
      <c r="H11905" s="420" t="s">
        <v>52</v>
      </c>
      <c r="I11905" s="421"/>
      <c r="J11905" s="396">
        <f>SUM(J11901:J11904)</f>
        <v>0</v>
      </c>
    </row>
    <row r="11906" spans="1:10" ht="13">
      <c r="A11906" s="27"/>
      <c r="B11906" s="110"/>
      <c r="D11906" s="406" t="s">
        <v>53</v>
      </c>
      <c r="E11906" s="13" t="s">
        <v>54</v>
      </c>
      <c r="F11906" s="14"/>
      <c r="G11906" s="15"/>
      <c r="H11906" s="451"/>
      <c r="I11906" s="412"/>
      <c r="J11906" s="16"/>
    </row>
    <row r="11907" spans="1:10" ht="13">
      <c r="A11907" s="27"/>
      <c r="B11907" s="110"/>
      <c r="D11907" s="409"/>
      <c r="E11907" s="13" t="s">
        <v>362</v>
      </c>
      <c r="F11907" s="14"/>
      <c r="G11907" s="410" t="s">
        <v>375</v>
      </c>
      <c r="H11907" s="411">
        <v>3.1E-2</v>
      </c>
      <c r="I11907" s="412">
        <f>'BAHAN '!G11</f>
        <v>0</v>
      </c>
      <c r="J11907" s="16">
        <f>H11907*I11907</f>
        <v>0</v>
      </c>
    </row>
    <row r="11908" spans="1:10" ht="13">
      <c r="A11908" s="27"/>
      <c r="B11908" s="110"/>
      <c r="D11908" s="409"/>
      <c r="E11908" s="13" t="s">
        <v>363</v>
      </c>
      <c r="F11908" s="14"/>
      <c r="G11908" s="410" t="s">
        <v>364</v>
      </c>
      <c r="H11908" s="411">
        <v>0.06</v>
      </c>
      <c r="I11908" s="412">
        <f t="shared" ref="I11908:I11909" si="46">I11840</f>
        <v>0</v>
      </c>
      <c r="J11908" s="16">
        <f>H11908*I11908</f>
        <v>0</v>
      </c>
    </row>
    <row r="11909" spans="1:10" ht="13.5" thickBot="1">
      <c r="A11909" s="27"/>
      <c r="B11909" s="110"/>
      <c r="D11909" s="409"/>
      <c r="E11909" s="13" t="s">
        <v>365</v>
      </c>
      <c r="F11909" s="14"/>
      <c r="G11909" s="410" t="s">
        <v>364</v>
      </c>
      <c r="H11909" s="411">
        <v>2E-3</v>
      </c>
      <c r="I11909" s="412">
        <f t="shared" si="46"/>
        <v>0</v>
      </c>
      <c r="J11909" s="16">
        <f>H11909*I11909</f>
        <v>0</v>
      </c>
    </row>
    <row r="11910" spans="1:10" ht="13.5" thickBot="1">
      <c r="A11910" s="27"/>
      <c r="B11910" s="110"/>
      <c r="D11910" s="417"/>
      <c r="E11910" s="418"/>
      <c r="F11910" s="418"/>
      <c r="G11910" s="419"/>
      <c r="H11910" s="420" t="s">
        <v>64</v>
      </c>
      <c r="I11910" s="421"/>
      <c r="J11910" s="396">
        <f>SUM(J11907:J11909)</f>
        <v>0</v>
      </c>
    </row>
    <row r="11911" spans="1:10" ht="13.5" thickBot="1">
      <c r="A11911" s="27"/>
      <c r="B11911" s="110"/>
      <c r="D11911" s="406" t="s">
        <v>65</v>
      </c>
      <c r="E11911" s="13" t="s">
        <v>66</v>
      </c>
      <c r="F11911" s="14"/>
      <c r="G11911" s="15"/>
      <c r="H11911" s="451"/>
      <c r="I11911" s="412">
        <f>IF(AND(E11911&lt;&gt;"",G11911&lt;&gt;""),IF(D11911="",IF(G11911="OH",VLOOKUP(E11911,UPAH!$C$4:$H$31,7,0),VLOOKUP(E11911,#REF!,4,0)),0),0)</f>
        <v>0</v>
      </c>
      <c r="J11911" s="16">
        <f>H11911*I11911</f>
        <v>0</v>
      </c>
    </row>
    <row r="11912" spans="1:10" ht="13.5" thickBot="1">
      <c r="A11912" s="27"/>
      <c r="B11912" s="110"/>
      <c r="D11912" s="417"/>
      <c r="E11912" s="418"/>
      <c r="F11912" s="418"/>
      <c r="G11912" s="419"/>
      <c r="H11912" s="420" t="s">
        <v>67</v>
      </c>
      <c r="I11912" s="421"/>
      <c r="J11912" s="396">
        <f>J11911</f>
        <v>0</v>
      </c>
    </row>
    <row r="11913" spans="1:10" ht="13">
      <c r="A11913" s="27"/>
      <c r="B11913" s="110"/>
      <c r="D11913" s="444" t="s">
        <v>68</v>
      </c>
      <c r="E11913" s="445" t="s">
        <v>69</v>
      </c>
      <c r="F11913" s="446"/>
      <c r="G11913" s="447"/>
      <c r="H11913" s="448"/>
      <c r="I11913" s="449">
        <f>IF(AND(E11913&lt;&gt;"",G11913&lt;&gt;""),IF(D11913="",IF(G11913="OH",VLOOKUP(E11913,UPAH!$C$4:$H$31,7,0),VLOOKUP(E11913,#REF!,4,0)),0),0)</f>
        <v>0</v>
      </c>
      <c r="J11913" s="16">
        <f>SUM(J11902:J11912)/2</f>
        <v>0</v>
      </c>
    </row>
    <row r="11914" spans="1:10" ht="13.5" thickBot="1">
      <c r="A11914" s="27"/>
      <c r="B11914" s="110"/>
      <c r="D11914" s="431" t="s">
        <v>70</v>
      </c>
      <c r="E11914" s="432" t="s">
        <v>477</v>
      </c>
      <c r="F11914" s="433"/>
      <c r="G11914" s="434"/>
      <c r="H11914" s="22">
        <v>0.1</v>
      </c>
      <c r="I11914" s="436"/>
      <c r="J11914" s="430">
        <f>H11914*J11913</f>
        <v>0</v>
      </c>
    </row>
    <row r="11915" spans="1:10" ht="13.5" thickBot="1">
      <c r="A11915" s="27"/>
      <c r="B11915" s="110"/>
      <c r="D11915" s="401" t="s">
        <v>71</v>
      </c>
      <c r="E11915" s="402" t="s">
        <v>72</v>
      </c>
      <c r="F11915" s="418"/>
      <c r="G11915" s="419"/>
      <c r="H11915" s="442"/>
      <c r="I11915" s="421">
        <f>IF(AND(E11915&lt;&gt;"",G11915&lt;&gt;""),IF(D11915="",IF(G11915="OH",VLOOKUP(E11915,UPAH!$C$4:$H$31,7,0),VLOOKUP(E11915,#REF!,4,0)),0),0)</f>
        <v>0</v>
      </c>
      <c r="J11915" s="396">
        <f>ROUNDDOWN(J11913+J11914,0)</f>
        <v>0</v>
      </c>
    </row>
    <row r="11916" spans="1:10" ht="13">
      <c r="A11916" s="27"/>
      <c r="B11916" s="110"/>
      <c r="D11916" s="11"/>
      <c r="E11916" s="11"/>
      <c r="H11916" s="443"/>
      <c r="I11916" s="17"/>
      <c r="J11916" s="18"/>
    </row>
    <row r="11917" spans="1:10" ht="13.5" thickBot="1">
      <c r="A11917" s="27"/>
      <c r="B11917" s="110"/>
      <c r="C11917" s="11" t="s">
        <v>1742</v>
      </c>
      <c r="D11917" s="10" t="s">
        <v>1758</v>
      </c>
      <c r="H11917" s="443"/>
    </row>
    <row r="11918" spans="1:10" ht="13.5" thickBot="1">
      <c r="A11918" s="27"/>
      <c r="B11918" s="110"/>
      <c r="D11918" s="401" t="s">
        <v>40</v>
      </c>
      <c r="E11918" s="402" t="s">
        <v>41</v>
      </c>
      <c r="F11918" s="402" t="s">
        <v>42</v>
      </c>
      <c r="G11918" s="403" t="s">
        <v>43</v>
      </c>
      <c r="H11918" s="404" t="s">
        <v>44</v>
      </c>
      <c r="I11918" s="402" t="s">
        <v>474</v>
      </c>
      <c r="J11918" s="405" t="s">
        <v>475</v>
      </c>
    </row>
    <row r="11919" spans="1:10" ht="13">
      <c r="A11919" s="27"/>
      <c r="B11919" s="110"/>
      <c r="D11919" s="444" t="s">
        <v>45</v>
      </c>
      <c r="E11919" s="445" t="s">
        <v>46</v>
      </c>
      <c r="F11919" s="446"/>
      <c r="G11919" s="447"/>
      <c r="H11919" s="448"/>
      <c r="I11919" s="449"/>
      <c r="J11919" s="450"/>
    </row>
    <row r="11920" spans="1:10" ht="13">
      <c r="A11920" s="27"/>
      <c r="B11920" s="110"/>
      <c r="D11920" s="409"/>
      <c r="E11920" s="13" t="s">
        <v>47</v>
      </c>
      <c r="F11920" s="13" t="s">
        <v>1918</v>
      </c>
      <c r="G11920" s="410" t="s">
        <v>48</v>
      </c>
      <c r="H11920" s="411">
        <v>8.0000000000000002E-3</v>
      </c>
      <c r="I11920" s="412">
        <f>IF(AND(E11920&lt;&gt;"",G11920&lt;&gt;""),IF(D11920="",IF(G11920="OH",VLOOKUP(F11920,UPAH!$B$4:$H$101,7,0),VLOOKUP(F11920,#REF!,4,0)),0),0)</f>
        <v>0</v>
      </c>
      <c r="J11920" s="16">
        <f>H11920*I11920</f>
        <v>0</v>
      </c>
    </row>
    <row r="11921" spans="1:10" ht="13.5" thickBot="1">
      <c r="A11921" s="27"/>
      <c r="B11921" s="110"/>
      <c r="D11921" s="409"/>
      <c r="E11921" s="13" t="s">
        <v>51</v>
      </c>
      <c r="F11921" s="13" t="s">
        <v>1929</v>
      </c>
      <c r="G11921" s="410" t="s">
        <v>48</v>
      </c>
      <c r="H11921" s="411">
        <v>8.0000000000000004E-4</v>
      </c>
      <c r="I11921" s="412">
        <f>IF(AND(E11921&lt;&gt;"",G11921&lt;&gt;""),IF(D11921="",IF(G11921="OH",VLOOKUP(F11921,UPAH!$B$4:$H$101,7,0),VLOOKUP(F11921,#REF!,4,0)),0),0)</f>
        <v>0</v>
      </c>
      <c r="J11921" s="16">
        <f>H11921*I11921</f>
        <v>0</v>
      </c>
    </row>
    <row r="11922" spans="1:10" ht="13.5" thickBot="1">
      <c r="A11922" s="27"/>
      <c r="B11922" s="110"/>
      <c r="D11922" s="417"/>
      <c r="E11922" s="418"/>
      <c r="F11922" s="418"/>
      <c r="G11922" s="419"/>
      <c r="H11922" s="420" t="s">
        <v>52</v>
      </c>
      <c r="I11922" s="421"/>
      <c r="J11922" s="396">
        <f>SUM(J11918:J11921)</f>
        <v>0</v>
      </c>
    </row>
    <row r="11923" spans="1:10" ht="13">
      <c r="A11923" s="27"/>
      <c r="B11923" s="110"/>
      <c r="D11923" s="406" t="s">
        <v>53</v>
      </c>
      <c r="E11923" s="13" t="s">
        <v>54</v>
      </c>
      <c r="F11923" s="14"/>
      <c r="G11923" s="15"/>
      <c r="H11923" s="451"/>
      <c r="I11923" s="412"/>
      <c r="J11923" s="16"/>
    </row>
    <row r="11924" spans="1:10" ht="13">
      <c r="A11924" s="27"/>
      <c r="B11924" s="110"/>
      <c r="D11924" s="409"/>
      <c r="E11924" s="13" t="s">
        <v>362</v>
      </c>
      <c r="F11924" s="14"/>
      <c r="G11924" s="410" t="s">
        <v>375</v>
      </c>
      <c r="H11924" s="411">
        <v>4.9000000000000002E-2</v>
      </c>
      <c r="I11924" s="412">
        <f>'BAHAN '!G11</f>
        <v>0</v>
      </c>
      <c r="J11924" s="16">
        <f>H11924*I11924</f>
        <v>0</v>
      </c>
    </row>
    <row r="11925" spans="1:10" ht="13">
      <c r="A11925" s="27"/>
      <c r="B11925" s="110"/>
      <c r="D11925" s="409"/>
      <c r="E11925" s="13" t="s">
        <v>363</v>
      </c>
      <c r="F11925" s="14"/>
      <c r="G11925" s="410" t="s">
        <v>364</v>
      </c>
      <c r="H11925" s="411">
        <v>0.06</v>
      </c>
      <c r="I11925" s="412">
        <f t="shared" ref="I11925:I11926" si="47">I11840</f>
        <v>0</v>
      </c>
      <c r="J11925" s="16">
        <f>H11925*I11925</f>
        <v>0</v>
      </c>
    </row>
    <row r="11926" spans="1:10" ht="13.5" thickBot="1">
      <c r="A11926" s="27"/>
      <c r="B11926" s="110"/>
      <c r="D11926" s="409"/>
      <c r="E11926" s="13" t="s">
        <v>365</v>
      </c>
      <c r="F11926" s="14"/>
      <c r="G11926" s="410" t="s">
        <v>364</v>
      </c>
      <c r="H11926" s="411">
        <v>2E-3</v>
      </c>
      <c r="I11926" s="412">
        <f t="shared" si="47"/>
        <v>0</v>
      </c>
      <c r="J11926" s="16">
        <f>H11926*I11926</f>
        <v>0</v>
      </c>
    </row>
    <row r="11927" spans="1:10" ht="13.5" thickBot="1">
      <c r="A11927" s="27"/>
      <c r="B11927" s="110"/>
      <c r="D11927" s="417"/>
      <c r="E11927" s="418"/>
      <c r="F11927" s="418"/>
      <c r="G11927" s="419"/>
      <c r="H11927" s="420" t="s">
        <v>64</v>
      </c>
      <c r="I11927" s="421"/>
      <c r="J11927" s="396">
        <f>SUM(J11924:J11926)</f>
        <v>0</v>
      </c>
    </row>
    <row r="11928" spans="1:10" ht="13.5" thickBot="1">
      <c r="A11928" s="27"/>
      <c r="B11928" s="110"/>
      <c r="D11928" s="406" t="s">
        <v>65</v>
      </c>
      <c r="E11928" s="13" t="s">
        <v>66</v>
      </c>
      <c r="F11928" s="14"/>
      <c r="G11928" s="15"/>
      <c r="H11928" s="451"/>
      <c r="I11928" s="412">
        <f>IF(AND(E11928&lt;&gt;"",G11928&lt;&gt;""),IF(D11928="",IF(G11928="OH",VLOOKUP(E11928,UPAH!$C$4:$H$31,7,0),VLOOKUP(E11928,#REF!,4,0)),0),0)</f>
        <v>0</v>
      </c>
      <c r="J11928" s="16">
        <f>H11928*I11928</f>
        <v>0</v>
      </c>
    </row>
    <row r="11929" spans="1:10" ht="13.5" thickBot="1">
      <c r="A11929" s="27"/>
      <c r="B11929" s="110"/>
      <c r="D11929" s="417"/>
      <c r="E11929" s="418"/>
      <c r="F11929" s="418"/>
      <c r="G11929" s="419"/>
      <c r="H11929" s="420" t="s">
        <v>67</v>
      </c>
      <c r="I11929" s="421"/>
      <c r="J11929" s="396">
        <f>J11928</f>
        <v>0</v>
      </c>
    </row>
    <row r="11930" spans="1:10" ht="13">
      <c r="A11930" s="27"/>
      <c r="B11930" s="110"/>
      <c r="D11930" s="444" t="s">
        <v>68</v>
      </c>
      <c r="E11930" s="445" t="s">
        <v>69</v>
      </c>
      <c r="F11930" s="446"/>
      <c r="G11930" s="447"/>
      <c r="H11930" s="448"/>
      <c r="I11930" s="449">
        <f>IF(AND(E11930&lt;&gt;"",G11930&lt;&gt;""),IF(D11930="",IF(G11930="OH",VLOOKUP(E11930,UPAH!$C$4:$H$31,7,0),VLOOKUP(E11930,#REF!,4,0)),0),0)</f>
        <v>0</v>
      </c>
      <c r="J11930" s="16">
        <f>SUM(J11919:J11929)/2</f>
        <v>0</v>
      </c>
    </row>
    <row r="11931" spans="1:10" ht="13.5" thickBot="1">
      <c r="A11931" s="27"/>
      <c r="B11931" s="110"/>
      <c r="D11931" s="431" t="s">
        <v>70</v>
      </c>
      <c r="E11931" s="432" t="s">
        <v>477</v>
      </c>
      <c r="F11931" s="433"/>
      <c r="G11931" s="434"/>
      <c r="H11931" s="22">
        <v>0.1</v>
      </c>
      <c r="I11931" s="436"/>
      <c r="J11931" s="430">
        <f>H11931*J11930</f>
        <v>0</v>
      </c>
    </row>
    <row r="11932" spans="1:10" ht="13.5" thickBot="1">
      <c r="A11932" s="27"/>
      <c r="B11932" s="110"/>
      <c r="D11932" s="401" t="s">
        <v>71</v>
      </c>
      <c r="E11932" s="402" t="s">
        <v>72</v>
      </c>
      <c r="F11932" s="418"/>
      <c r="G11932" s="419"/>
      <c r="H11932" s="442"/>
      <c r="I11932" s="421">
        <f>IF(AND(E11932&lt;&gt;"",G11932&lt;&gt;""),IF(D11932="",IF(G11932="OH",VLOOKUP(E11932,UPAH!$C$4:$H$31,7,0),VLOOKUP(E11932,#REF!,4,0)),0),0)</f>
        <v>0</v>
      </c>
      <c r="J11932" s="396">
        <f>ROUNDDOWN(J11930+J11931,0)</f>
        <v>0</v>
      </c>
    </row>
    <row r="11933" spans="1:10" ht="13">
      <c r="A11933" s="27"/>
      <c r="B11933" s="110"/>
      <c r="D11933" s="11"/>
      <c r="E11933" s="11"/>
      <c r="H11933" s="443"/>
      <c r="I11933" s="17"/>
      <c r="J11933" s="18"/>
    </row>
    <row r="11934" spans="1:10" ht="13.5" thickBot="1">
      <c r="A11934" s="27"/>
      <c r="B11934" s="110"/>
      <c r="C11934" s="11" t="s">
        <v>1741</v>
      </c>
      <c r="D11934" s="10" t="s">
        <v>37</v>
      </c>
      <c r="H11934" s="443"/>
    </row>
    <row r="11935" spans="1:10" ht="13.5" thickBot="1">
      <c r="A11935" s="27"/>
      <c r="B11935" s="110"/>
      <c r="D11935" s="401" t="s">
        <v>40</v>
      </c>
      <c r="E11935" s="402" t="s">
        <v>41</v>
      </c>
      <c r="F11935" s="402" t="s">
        <v>42</v>
      </c>
      <c r="G11935" s="403" t="s">
        <v>43</v>
      </c>
      <c r="H11935" s="404" t="s">
        <v>44</v>
      </c>
      <c r="I11935" s="402" t="s">
        <v>474</v>
      </c>
      <c r="J11935" s="405" t="s">
        <v>475</v>
      </c>
    </row>
    <row r="11936" spans="1:10" ht="13">
      <c r="A11936" s="27"/>
      <c r="B11936" s="110"/>
      <c r="D11936" s="444" t="s">
        <v>45</v>
      </c>
      <c r="E11936" s="445" t="s">
        <v>46</v>
      </c>
      <c r="F11936" s="446"/>
      <c r="G11936" s="447"/>
      <c r="H11936" s="448"/>
      <c r="I11936" s="449"/>
      <c r="J11936" s="450"/>
    </row>
    <row r="11937" spans="1:10" ht="13">
      <c r="A11937" s="27"/>
      <c r="B11937" s="110"/>
      <c r="D11937" s="409"/>
      <c r="E11937" s="13" t="s">
        <v>47</v>
      </c>
      <c r="F11937" s="13" t="s">
        <v>1918</v>
      </c>
      <c r="G11937" s="410" t="s">
        <v>48</v>
      </c>
      <c r="H11937" s="411">
        <v>8.0000000000000002E-3</v>
      </c>
      <c r="I11937" s="412">
        <f>IF(AND(E11937&lt;&gt;"",G11937&lt;&gt;""),IF(D11937="",IF(G11937="OH",VLOOKUP(F11937,UPAH!$B$4:$H$101,7,0),VLOOKUP(F11937,#REF!,4,0)),0),0)</f>
        <v>0</v>
      </c>
      <c r="J11937" s="16">
        <f>H11937*I11937</f>
        <v>0</v>
      </c>
    </row>
    <row r="11938" spans="1:10" ht="13.5" thickBot="1">
      <c r="A11938" s="27"/>
      <c r="B11938" s="110"/>
      <c r="D11938" s="409"/>
      <c r="E11938" s="13" t="s">
        <v>51</v>
      </c>
      <c r="F11938" s="13" t="s">
        <v>1929</v>
      </c>
      <c r="G11938" s="410" t="s">
        <v>48</v>
      </c>
      <c r="H11938" s="411">
        <v>8.0000000000000004E-4</v>
      </c>
      <c r="I11938" s="412">
        <f>IF(AND(E11938&lt;&gt;"",G11938&lt;&gt;""),IF(D11938="",IF(G11938="OH",VLOOKUP(F11938,UPAH!$B$4:$H$101,7,0),VLOOKUP(F11938,#REF!,4,0)),0),0)</f>
        <v>0</v>
      </c>
      <c r="J11938" s="16">
        <f>H11938*I11938</f>
        <v>0</v>
      </c>
    </row>
    <row r="11939" spans="1:10" ht="13.5" thickBot="1">
      <c r="A11939" s="27"/>
      <c r="B11939" s="110"/>
      <c r="D11939" s="417"/>
      <c r="E11939" s="418"/>
      <c r="F11939" s="418"/>
      <c r="G11939" s="419"/>
      <c r="H11939" s="420" t="s">
        <v>52</v>
      </c>
      <c r="I11939" s="421"/>
      <c r="J11939" s="396">
        <f>SUM(J11935:J11938)</f>
        <v>0</v>
      </c>
    </row>
    <row r="11940" spans="1:10" ht="13">
      <c r="A11940" s="27"/>
      <c r="B11940" s="110"/>
      <c r="D11940" s="406" t="s">
        <v>53</v>
      </c>
      <c r="E11940" s="13" t="s">
        <v>54</v>
      </c>
      <c r="F11940" s="14"/>
      <c r="G11940" s="15"/>
      <c r="H11940" s="451"/>
      <c r="I11940" s="412"/>
      <c r="J11940" s="16"/>
    </row>
    <row r="11941" spans="1:10" ht="13">
      <c r="A11941" s="27"/>
      <c r="B11941" s="110"/>
      <c r="D11941" s="409"/>
      <c r="E11941" s="13" t="s">
        <v>362</v>
      </c>
      <c r="F11941" s="14"/>
      <c r="G11941" s="410" t="s">
        <v>375</v>
      </c>
      <c r="H11941" s="411">
        <v>7.0999999999999994E-2</v>
      </c>
      <c r="I11941" s="412">
        <f>'BAHAN '!G11</f>
        <v>0</v>
      </c>
      <c r="J11941" s="16">
        <f>H11941*I11941</f>
        <v>0</v>
      </c>
    </row>
    <row r="11942" spans="1:10" ht="13">
      <c r="A11942" s="27"/>
      <c r="B11942" s="110"/>
      <c r="D11942" s="409"/>
      <c r="E11942" s="13" t="s">
        <v>363</v>
      </c>
      <c r="F11942" s="14"/>
      <c r="G11942" s="410" t="s">
        <v>364</v>
      </c>
      <c r="H11942" s="411">
        <v>0.06</v>
      </c>
      <c r="I11942" s="412">
        <f t="shared" ref="I11942:I11943" si="48">I11840</f>
        <v>0</v>
      </c>
      <c r="J11942" s="16">
        <f>H11942*I11942</f>
        <v>0</v>
      </c>
    </row>
    <row r="11943" spans="1:10" ht="13.5" thickBot="1">
      <c r="A11943" s="27"/>
      <c r="B11943" s="110"/>
      <c r="D11943" s="409"/>
      <c r="E11943" s="13" t="s">
        <v>365</v>
      </c>
      <c r="F11943" s="14"/>
      <c r="G11943" s="410" t="s">
        <v>364</v>
      </c>
      <c r="H11943" s="411">
        <v>2E-3</v>
      </c>
      <c r="I11943" s="412">
        <f t="shared" si="48"/>
        <v>0</v>
      </c>
      <c r="J11943" s="16">
        <f>H11943*I11943</f>
        <v>0</v>
      </c>
    </row>
    <row r="11944" spans="1:10" ht="13.5" thickBot="1">
      <c r="A11944" s="27"/>
      <c r="B11944" s="110"/>
      <c r="D11944" s="417"/>
      <c r="E11944" s="418"/>
      <c r="F11944" s="418"/>
      <c r="G11944" s="419"/>
      <c r="H11944" s="420" t="s">
        <v>64</v>
      </c>
      <c r="I11944" s="421"/>
      <c r="J11944" s="396">
        <f>SUM(J11941:J11943)</f>
        <v>0</v>
      </c>
    </row>
    <row r="11945" spans="1:10" ht="13.5" thickBot="1">
      <c r="A11945" s="27"/>
      <c r="B11945" s="110"/>
      <c r="D11945" s="406" t="s">
        <v>65</v>
      </c>
      <c r="E11945" s="13" t="s">
        <v>66</v>
      </c>
      <c r="F11945" s="14"/>
      <c r="G11945" s="15"/>
      <c r="H11945" s="451"/>
      <c r="I11945" s="412">
        <f>IF(AND(E11945&lt;&gt;"",G11945&lt;&gt;""),IF(D11945="",IF(G11945="OH",VLOOKUP(E11945,UPAH!$C$4:$H$31,7,0),VLOOKUP(E11945,#REF!,4,0)),0),0)</f>
        <v>0</v>
      </c>
      <c r="J11945" s="16">
        <f>H11945*I11945</f>
        <v>0</v>
      </c>
    </row>
    <row r="11946" spans="1:10" ht="13.5" thickBot="1">
      <c r="A11946" s="27"/>
      <c r="B11946" s="110"/>
      <c r="D11946" s="417"/>
      <c r="E11946" s="418"/>
      <c r="F11946" s="418"/>
      <c r="G11946" s="419"/>
      <c r="H11946" s="420" t="s">
        <v>67</v>
      </c>
      <c r="I11946" s="421"/>
      <c r="J11946" s="396">
        <f>J11945</f>
        <v>0</v>
      </c>
    </row>
    <row r="11947" spans="1:10" ht="13">
      <c r="A11947" s="27"/>
      <c r="B11947" s="110"/>
      <c r="D11947" s="444" t="s">
        <v>68</v>
      </c>
      <c r="E11947" s="445" t="s">
        <v>69</v>
      </c>
      <c r="F11947" s="446"/>
      <c r="G11947" s="447"/>
      <c r="H11947" s="448"/>
      <c r="I11947" s="449">
        <f>IF(AND(E11947&lt;&gt;"",G11947&lt;&gt;""),IF(D11947="",IF(G11947="OH",VLOOKUP(E11947,UPAH!$C$4:$H$31,7,0),VLOOKUP(E11947,#REF!,4,0)),0),0)</f>
        <v>0</v>
      </c>
      <c r="J11947" s="16">
        <f>SUM(J11936:J11946)/2</f>
        <v>0</v>
      </c>
    </row>
    <row r="11948" spans="1:10" ht="13.5" thickBot="1">
      <c r="A11948" s="27"/>
      <c r="B11948" s="110"/>
      <c r="D11948" s="431" t="s">
        <v>70</v>
      </c>
      <c r="E11948" s="432" t="s">
        <v>477</v>
      </c>
      <c r="F11948" s="433"/>
      <c r="G11948" s="434"/>
      <c r="H11948" s="22">
        <v>0.1</v>
      </c>
      <c r="I11948" s="436"/>
      <c r="J11948" s="430">
        <f>H11948*J11947</f>
        <v>0</v>
      </c>
    </row>
    <row r="11949" spans="1:10" ht="13.5" thickBot="1">
      <c r="A11949" s="27"/>
      <c r="B11949" s="110"/>
      <c r="D11949" s="401" t="s">
        <v>71</v>
      </c>
      <c r="E11949" s="402" t="s">
        <v>72</v>
      </c>
      <c r="F11949" s="418"/>
      <c r="G11949" s="419"/>
      <c r="H11949" s="442"/>
      <c r="I11949" s="421">
        <f>IF(AND(E11949&lt;&gt;"",G11949&lt;&gt;""),IF(D11949="",IF(G11949="OH",VLOOKUP(E11949,UPAH!$C$4:$H$31,7,0),VLOOKUP(E11949,#REF!,4,0)),0),0)</f>
        <v>0</v>
      </c>
      <c r="J11949" s="396">
        <f>ROUNDDOWN(J11947+J11948,0)</f>
        <v>0</v>
      </c>
    </row>
    <row r="11950" spans="1:10" ht="13">
      <c r="A11950" s="27"/>
      <c r="B11950" s="110"/>
      <c r="D11950" s="11"/>
      <c r="E11950" s="11"/>
      <c r="H11950" s="443"/>
    </row>
    <row r="11951" spans="1:10" ht="13.5" thickBot="1">
      <c r="A11951" s="27"/>
      <c r="B11951" s="110"/>
      <c r="C11951" s="11" t="s">
        <v>1740</v>
      </c>
      <c r="D11951" s="10" t="s">
        <v>38</v>
      </c>
      <c r="H11951" s="443"/>
    </row>
    <row r="11952" spans="1:10" ht="13.5" thickBot="1">
      <c r="A11952" s="27"/>
      <c r="B11952" s="110"/>
      <c r="D11952" s="401" t="s">
        <v>40</v>
      </c>
      <c r="E11952" s="402" t="s">
        <v>41</v>
      </c>
      <c r="F11952" s="402" t="s">
        <v>42</v>
      </c>
      <c r="G11952" s="403" t="s">
        <v>43</v>
      </c>
      <c r="H11952" s="404" t="s">
        <v>44</v>
      </c>
      <c r="I11952" s="402" t="s">
        <v>474</v>
      </c>
      <c r="J11952" s="405" t="s">
        <v>475</v>
      </c>
    </row>
    <row r="11953" spans="1:10" ht="13">
      <c r="A11953" s="27"/>
      <c r="B11953" s="110"/>
      <c r="D11953" s="444" t="s">
        <v>45</v>
      </c>
      <c r="E11953" s="445" t="s">
        <v>46</v>
      </c>
      <c r="F11953" s="446"/>
      <c r="G11953" s="447"/>
      <c r="H11953" s="448"/>
      <c r="I11953" s="449"/>
      <c r="J11953" s="450"/>
    </row>
    <row r="11954" spans="1:10" ht="13">
      <c r="A11954" s="27"/>
      <c r="B11954" s="110"/>
      <c r="D11954" s="409"/>
      <c r="E11954" s="13" t="s">
        <v>47</v>
      </c>
      <c r="F11954" s="13" t="s">
        <v>1918</v>
      </c>
      <c r="G11954" s="410" t="s">
        <v>48</v>
      </c>
      <c r="H11954" s="411">
        <v>8.0000000000000002E-3</v>
      </c>
      <c r="I11954" s="412">
        <f>IF(AND(E11954&lt;&gt;"",G11954&lt;&gt;""),IF(D11954="",IF(G11954="OH",VLOOKUP(F11954,UPAH!$B$4:$H$101,7,0),VLOOKUP(F11954,#REF!,4,0)),0),0)</f>
        <v>0</v>
      </c>
      <c r="J11954" s="16">
        <f>H11954*I11954</f>
        <v>0</v>
      </c>
    </row>
    <row r="11955" spans="1:10" ht="13.5" thickBot="1">
      <c r="A11955" s="27"/>
      <c r="B11955" s="110"/>
      <c r="D11955" s="409"/>
      <c r="E11955" s="13" t="s">
        <v>51</v>
      </c>
      <c r="F11955" s="13" t="s">
        <v>1929</v>
      </c>
      <c r="G11955" s="410" t="s">
        <v>48</v>
      </c>
      <c r="H11955" s="411">
        <v>8.0000000000000004E-4</v>
      </c>
      <c r="I11955" s="412">
        <f>IF(AND(E11955&lt;&gt;"",G11955&lt;&gt;""),IF(D11955="",IF(G11955="OH",VLOOKUP(F11955,UPAH!$B$4:$H$101,7,0),VLOOKUP(F11955,#REF!,4,0)),0),0)</f>
        <v>0</v>
      </c>
      <c r="J11955" s="16">
        <f>H11955*I11955</f>
        <v>0</v>
      </c>
    </row>
    <row r="11956" spans="1:10" ht="13.5" thickBot="1">
      <c r="A11956" s="27"/>
      <c r="B11956" s="110"/>
      <c r="D11956" s="417"/>
      <c r="E11956" s="418"/>
      <c r="F11956" s="418"/>
      <c r="G11956" s="419"/>
      <c r="H11956" s="420" t="s">
        <v>52</v>
      </c>
      <c r="I11956" s="421"/>
      <c r="J11956" s="396">
        <f>SUM(J11952:J11955)</f>
        <v>0</v>
      </c>
    </row>
    <row r="11957" spans="1:10" ht="13">
      <c r="A11957" s="27"/>
      <c r="B11957" s="110"/>
      <c r="D11957" s="406" t="s">
        <v>53</v>
      </c>
      <c r="E11957" s="13" t="s">
        <v>54</v>
      </c>
      <c r="F11957" s="14"/>
      <c r="G11957" s="15"/>
      <c r="H11957" s="451"/>
      <c r="I11957" s="412"/>
      <c r="J11957" s="16"/>
    </row>
    <row r="11958" spans="1:10" ht="13">
      <c r="A11958" s="27"/>
      <c r="B11958" s="110"/>
      <c r="D11958" s="409"/>
      <c r="E11958" s="13" t="s">
        <v>362</v>
      </c>
      <c r="F11958" s="14"/>
      <c r="G11958" s="410" t="s">
        <v>375</v>
      </c>
      <c r="H11958" s="411">
        <v>0.126</v>
      </c>
      <c r="I11958" s="412">
        <f>'BAHAN '!G11</f>
        <v>0</v>
      </c>
      <c r="J11958" s="16">
        <f>H11958*I11958</f>
        <v>0</v>
      </c>
    </row>
    <row r="11959" spans="1:10" ht="13">
      <c r="A11959" s="27"/>
      <c r="B11959" s="110"/>
      <c r="D11959" s="409"/>
      <c r="E11959" s="13" t="s">
        <v>363</v>
      </c>
      <c r="F11959" s="14"/>
      <c r="G11959" s="410" t="s">
        <v>364</v>
      </c>
      <c r="H11959" s="411">
        <v>0.06</v>
      </c>
      <c r="I11959" s="412">
        <f t="shared" ref="I11959:I11960" si="49">I11840</f>
        <v>0</v>
      </c>
      <c r="J11959" s="16">
        <f>H11959*I11959</f>
        <v>0</v>
      </c>
    </row>
    <row r="11960" spans="1:10" ht="13.5" thickBot="1">
      <c r="A11960" s="27"/>
      <c r="B11960" s="110"/>
      <c r="D11960" s="409"/>
      <c r="E11960" s="13" t="s">
        <v>365</v>
      </c>
      <c r="F11960" s="14"/>
      <c r="G11960" s="410" t="s">
        <v>364</v>
      </c>
      <c r="H11960" s="411">
        <v>2E-3</v>
      </c>
      <c r="I11960" s="412">
        <f t="shared" si="49"/>
        <v>0</v>
      </c>
      <c r="J11960" s="16">
        <f>H11960*I11960</f>
        <v>0</v>
      </c>
    </row>
    <row r="11961" spans="1:10" ht="13.5" thickBot="1">
      <c r="A11961" s="27"/>
      <c r="B11961" s="110"/>
      <c r="D11961" s="417"/>
      <c r="E11961" s="418"/>
      <c r="F11961" s="418"/>
      <c r="G11961" s="419"/>
      <c r="H11961" s="420" t="s">
        <v>64</v>
      </c>
      <c r="I11961" s="421"/>
      <c r="J11961" s="396">
        <f>SUM(J11958:J11960)</f>
        <v>0</v>
      </c>
    </row>
    <row r="11962" spans="1:10" ht="13.5" thickBot="1">
      <c r="A11962" s="27"/>
      <c r="B11962" s="110"/>
      <c r="D11962" s="406" t="s">
        <v>65</v>
      </c>
      <c r="E11962" s="13" t="s">
        <v>66</v>
      </c>
      <c r="F11962" s="14"/>
      <c r="G11962" s="15"/>
      <c r="H11962" s="451"/>
      <c r="I11962" s="412">
        <f>IF(AND(E11962&lt;&gt;"",G11962&lt;&gt;""),IF(D11962="",IF(G11962="OH",VLOOKUP(E11962,UPAH!$C$4:$H$31,7,0),VLOOKUP(E11962,#REF!,4,0)),0),0)</f>
        <v>0</v>
      </c>
      <c r="J11962" s="16">
        <f>H11962*I11962</f>
        <v>0</v>
      </c>
    </row>
    <row r="11963" spans="1:10" ht="13.5" thickBot="1">
      <c r="A11963" s="27"/>
      <c r="B11963" s="110"/>
      <c r="D11963" s="417"/>
      <c r="E11963" s="418"/>
      <c r="F11963" s="418"/>
      <c r="G11963" s="419"/>
      <c r="H11963" s="420" t="s">
        <v>67</v>
      </c>
      <c r="I11963" s="421"/>
      <c r="J11963" s="396">
        <f>J11962</f>
        <v>0</v>
      </c>
    </row>
    <row r="11964" spans="1:10" ht="13">
      <c r="A11964" s="27"/>
      <c r="B11964" s="110"/>
      <c r="D11964" s="444" t="s">
        <v>68</v>
      </c>
      <c r="E11964" s="445" t="s">
        <v>69</v>
      </c>
      <c r="F11964" s="446"/>
      <c r="G11964" s="447"/>
      <c r="H11964" s="448"/>
      <c r="I11964" s="449">
        <f>IF(AND(E11964&lt;&gt;"",G11964&lt;&gt;""),IF(D11964="",IF(G11964="OH",VLOOKUP(E11964,UPAH!$C$4:$H$31,7,0),VLOOKUP(E11964,#REF!,4,0)),0),0)</f>
        <v>0</v>
      </c>
      <c r="J11964" s="16">
        <f>SUM(J11953:J11963)/2</f>
        <v>0</v>
      </c>
    </row>
    <row r="11965" spans="1:10" ht="13.5" thickBot="1">
      <c r="A11965" s="27"/>
      <c r="B11965" s="110"/>
      <c r="D11965" s="431" t="s">
        <v>70</v>
      </c>
      <c r="E11965" s="432" t="s">
        <v>477</v>
      </c>
      <c r="F11965" s="433"/>
      <c r="G11965" s="434"/>
      <c r="H11965" s="22">
        <v>0.1</v>
      </c>
      <c r="I11965" s="436"/>
      <c r="J11965" s="430">
        <f>H11965*J11964</f>
        <v>0</v>
      </c>
    </row>
    <row r="11966" spans="1:10" ht="13.5" thickBot="1">
      <c r="A11966" s="27"/>
      <c r="B11966" s="110"/>
      <c r="D11966" s="401" t="s">
        <v>71</v>
      </c>
      <c r="E11966" s="402" t="s">
        <v>72</v>
      </c>
      <c r="F11966" s="418"/>
      <c r="G11966" s="419"/>
      <c r="H11966" s="442"/>
      <c r="I11966" s="421">
        <f>IF(AND(E11966&lt;&gt;"",G11966&lt;&gt;""),IF(D11966="",IF(G11966="OH",VLOOKUP(E11966,UPAH!$C$4:$H$31,7,0),VLOOKUP(E11966,#REF!,4,0)),0),0)</f>
        <v>0</v>
      </c>
      <c r="J11966" s="396">
        <f>ROUNDDOWN(J11964+J11965,0)</f>
        <v>0</v>
      </c>
    </row>
    <row r="11967" spans="1:10" ht="13">
      <c r="A11967" s="27"/>
      <c r="B11967" s="110"/>
      <c r="D11967" s="11"/>
      <c r="E11967" s="11"/>
      <c r="H11967" s="443"/>
    </row>
    <row r="11968" spans="1:10" ht="13.5" thickBot="1">
      <c r="A11968" s="27"/>
      <c r="B11968" s="110"/>
      <c r="C11968" s="11" t="s">
        <v>1739</v>
      </c>
      <c r="D11968" s="10" t="s">
        <v>39</v>
      </c>
      <c r="H11968" s="443"/>
    </row>
    <row r="11969" spans="1:10" ht="13.5" thickBot="1">
      <c r="A11969" s="27"/>
      <c r="B11969" s="110"/>
      <c r="D11969" s="401" t="s">
        <v>40</v>
      </c>
      <c r="E11969" s="402" t="s">
        <v>41</v>
      </c>
      <c r="F11969" s="402" t="s">
        <v>42</v>
      </c>
      <c r="G11969" s="403" t="s">
        <v>43</v>
      </c>
      <c r="H11969" s="404" t="s">
        <v>44</v>
      </c>
      <c r="I11969" s="402" t="s">
        <v>474</v>
      </c>
      <c r="J11969" s="405" t="s">
        <v>475</v>
      </c>
    </row>
    <row r="11970" spans="1:10" ht="13">
      <c r="A11970" s="27"/>
      <c r="B11970" s="110"/>
      <c r="D11970" s="444" t="s">
        <v>45</v>
      </c>
      <c r="E11970" s="445" t="s">
        <v>46</v>
      </c>
      <c r="F11970" s="446"/>
      <c r="G11970" s="447"/>
      <c r="H11970" s="448"/>
      <c r="I11970" s="449"/>
      <c r="J11970" s="450"/>
    </row>
    <row r="11971" spans="1:10" ht="13">
      <c r="A11971" s="27"/>
      <c r="B11971" s="110"/>
      <c r="D11971" s="409"/>
      <c r="E11971" s="13" t="s">
        <v>47</v>
      </c>
      <c r="F11971" s="13" t="s">
        <v>1918</v>
      </c>
      <c r="G11971" s="410" t="s">
        <v>48</v>
      </c>
      <c r="H11971" s="411">
        <v>8.0000000000000002E-3</v>
      </c>
      <c r="I11971" s="412">
        <f>IF(AND(E11971&lt;&gt;"",G11971&lt;&gt;""),IF(D11971="",IF(G11971="OH",VLOOKUP(F11971,UPAH!$B$4:$H$101,7,0),VLOOKUP(F11971,#REF!,4,0)),0),0)</f>
        <v>0</v>
      </c>
      <c r="J11971" s="16">
        <f>H11971*I11971</f>
        <v>0</v>
      </c>
    </row>
    <row r="11972" spans="1:10" ht="13.5" thickBot="1">
      <c r="A11972" s="27"/>
      <c r="B11972" s="110"/>
      <c r="D11972" s="409"/>
      <c r="E11972" s="13" t="s">
        <v>51</v>
      </c>
      <c r="F11972" s="13" t="s">
        <v>1929</v>
      </c>
      <c r="G11972" s="410" t="s">
        <v>48</v>
      </c>
      <c r="H11972" s="411">
        <v>8.0000000000000004E-4</v>
      </c>
      <c r="I11972" s="412">
        <f>IF(AND(E11972&lt;&gt;"",G11972&lt;&gt;""),IF(D11972="",IF(G11972="OH",VLOOKUP(F11972,UPAH!$B$4:$H$101,7,0),VLOOKUP(F11972,#REF!,4,0)),0),0)</f>
        <v>0</v>
      </c>
      <c r="J11972" s="16">
        <f>H11972*I11972</f>
        <v>0</v>
      </c>
    </row>
    <row r="11973" spans="1:10" ht="13.5" thickBot="1">
      <c r="A11973" s="27"/>
      <c r="B11973" s="110"/>
      <c r="D11973" s="417"/>
      <c r="E11973" s="418"/>
      <c r="F11973" s="418"/>
      <c r="G11973" s="419"/>
      <c r="H11973" s="420" t="s">
        <v>52</v>
      </c>
      <c r="I11973" s="421"/>
      <c r="J11973" s="396">
        <f>SUM(J11969:J11972)</f>
        <v>0</v>
      </c>
    </row>
    <row r="11974" spans="1:10" ht="13">
      <c r="A11974" s="27"/>
      <c r="B11974" s="110"/>
      <c r="D11974" s="406" t="s">
        <v>53</v>
      </c>
      <c r="E11974" s="13" t="s">
        <v>54</v>
      </c>
      <c r="F11974" s="14"/>
      <c r="G11974" s="15"/>
      <c r="H11974" s="451"/>
      <c r="I11974" s="412"/>
      <c r="J11974" s="16"/>
    </row>
    <row r="11975" spans="1:10" ht="13">
      <c r="A11975" s="27"/>
      <c r="B11975" s="110"/>
      <c r="D11975" s="409"/>
      <c r="E11975" s="13" t="s">
        <v>362</v>
      </c>
      <c r="F11975" s="14"/>
      <c r="G11975" s="410" t="s">
        <v>375</v>
      </c>
      <c r="H11975" s="411">
        <v>0.158</v>
      </c>
      <c r="I11975" s="412">
        <f>'BAHAN '!G11</f>
        <v>0</v>
      </c>
      <c r="J11975" s="16">
        <f>H11975*I11975</f>
        <v>0</v>
      </c>
    </row>
    <row r="11976" spans="1:10" ht="13">
      <c r="A11976" s="27"/>
      <c r="B11976" s="110"/>
      <c r="D11976" s="409"/>
      <c r="E11976" s="13" t="s">
        <v>363</v>
      </c>
      <c r="F11976" s="14"/>
      <c r="G11976" s="410" t="s">
        <v>364</v>
      </c>
      <c r="H11976" s="411">
        <v>0.06</v>
      </c>
      <c r="I11976" s="412">
        <f t="shared" ref="I11976:I11977" si="50">I11840</f>
        <v>0</v>
      </c>
      <c r="J11976" s="16">
        <f>H11976*I11976</f>
        <v>0</v>
      </c>
    </row>
    <row r="11977" spans="1:10" ht="13.5" thickBot="1">
      <c r="A11977" s="27"/>
      <c r="B11977" s="110"/>
      <c r="D11977" s="409"/>
      <c r="E11977" s="13" t="s">
        <v>365</v>
      </c>
      <c r="F11977" s="14"/>
      <c r="G11977" s="410" t="s">
        <v>364</v>
      </c>
      <c r="H11977" s="411">
        <v>2E-3</v>
      </c>
      <c r="I11977" s="412">
        <f t="shared" si="50"/>
        <v>0</v>
      </c>
      <c r="J11977" s="16">
        <f>H11977*I11977</f>
        <v>0</v>
      </c>
    </row>
    <row r="11978" spans="1:10" ht="13.5" thickBot="1">
      <c r="A11978" s="27"/>
      <c r="B11978" s="110"/>
      <c r="D11978" s="417"/>
      <c r="E11978" s="418"/>
      <c r="F11978" s="418"/>
      <c r="G11978" s="419"/>
      <c r="H11978" s="420" t="s">
        <v>64</v>
      </c>
      <c r="I11978" s="421"/>
      <c r="J11978" s="396">
        <f>SUM(J11975:J11977)</f>
        <v>0</v>
      </c>
    </row>
    <row r="11979" spans="1:10" ht="13.5" thickBot="1">
      <c r="A11979" s="27"/>
      <c r="B11979" s="110"/>
      <c r="D11979" s="406" t="s">
        <v>65</v>
      </c>
      <c r="E11979" s="13" t="s">
        <v>66</v>
      </c>
      <c r="F11979" s="14"/>
      <c r="G11979" s="15"/>
      <c r="H11979" s="451"/>
      <c r="I11979" s="412">
        <f>IF(AND(E11979&lt;&gt;"",G11979&lt;&gt;""),IF(D11979="",IF(G11979="OH",VLOOKUP(E11979,UPAH!$C$4:$H$31,7,0),VLOOKUP(E11979,#REF!,4,0)),0),0)</f>
        <v>0</v>
      </c>
      <c r="J11979" s="16">
        <f>H11979*I11979</f>
        <v>0</v>
      </c>
    </row>
    <row r="11980" spans="1:10" ht="13.5" thickBot="1">
      <c r="A11980" s="27"/>
      <c r="B11980" s="110"/>
      <c r="D11980" s="417"/>
      <c r="E11980" s="418"/>
      <c r="F11980" s="418"/>
      <c r="G11980" s="419"/>
      <c r="H11980" s="420" t="s">
        <v>67</v>
      </c>
      <c r="I11980" s="421"/>
      <c r="J11980" s="396">
        <f>J11979</f>
        <v>0</v>
      </c>
    </row>
    <row r="11981" spans="1:10" ht="13">
      <c r="A11981" s="27"/>
      <c r="B11981" s="110"/>
      <c r="D11981" s="444" t="s">
        <v>68</v>
      </c>
      <c r="E11981" s="445" t="s">
        <v>69</v>
      </c>
      <c r="F11981" s="446"/>
      <c r="G11981" s="447"/>
      <c r="H11981" s="448"/>
      <c r="I11981" s="449">
        <f>IF(AND(E11981&lt;&gt;"",G11981&lt;&gt;""),IF(D11981="",IF(G11981="OH",VLOOKUP(E11981,UPAH!$C$4:$H$31,7,0),VLOOKUP(E11981,#REF!,4,0)),0),0)</f>
        <v>0</v>
      </c>
      <c r="J11981" s="16">
        <f>SUM(J11970:J11980)/2</f>
        <v>0</v>
      </c>
    </row>
    <row r="11982" spans="1:10" ht="13.5" thickBot="1">
      <c r="A11982" s="27"/>
      <c r="B11982" s="110"/>
      <c r="D11982" s="431" t="s">
        <v>70</v>
      </c>
      <c r="E11982" s="432" t="s">
        <v>477</v>
      </c>
      <c r="F11982" s="433"/>
      <c r="G11982" s="434"/>
      <c r="H11982" s="22">
        <v>0.1</v>
      </c>
      <c r="I11982" s="436"/>
      <c r="J11982" s="430">
        <f>H11982*J11981</f>
        <v>0</v>
      </c>
    </row>
    <row r="11983" spans="1:10" ht="13.5" thickBot="1">
      <c r="A11983" s="27"/>
      <c r="B11983" s="110"/>
      <c r="D11983" s="401" t="s">
        <v>71</v>
      </c>
      <c r="E11983" s="402" t="s">
        <v>72</v>
      </c>
      <c r="F11983" s="418"/>
      <c r="G11983" s="419"/>
      <c r="H11983" s="442"/>
      <c r="I11983" s="421">
        <f>IF(AND(E11983&lt;&gt;"",G11983&lt;&gt;""),IF(D11983="",IF(G11983="OH",VLOOKUP(E11983,UPAH!$C$4:$H$31,7,0),VLOOKUP(E11983,#REF!,4,0)),0),0)</f>
        <v>0</v>
      </c>
      <c r="J11983" s="396">
        <f>ROUNDDOWN(J11981+J11982,0)</f>
        <v>0</v>
      </c>
    </row>
    <row r="11984" spans="1:10" ht="13">
      <c r="A11984" s="27"/>
      <c r="B11984" s="110"/>
      <c r="D11984" s="11"/>
      <c r="E11984" s="11"/>
      <c r="H11984" s="443"/>
    </row>
    <row r="11985" spans="1:10" ht="13.5" thickBot="1">
      <c r="A11985" s="27"/>
      <c r="B11985" s="110"/>
      <c r="C11985" s="11" t="s">
        <v>1738</v>
      </c>
      <c r="D11985" s="10" t="s">
        <v>1759</v>
      </c>
      <c r="H11985" s="443"/>
    </row>
    <row r="11986" spans="1:10" ht="13.5" thickBot="1">
      <c r="A11986" s="27"/>
      <c r="B11986" s="110"/>
      <c r="D11986" s="401" t="s">
        <v>40</v>
      </c>
      <c r="E11986" s="402" t="s">
        <v>41</v>
      </c>
      <c r="F11986" s="402" t="s">
        <v>42</v>
      </c>
      <c r="G11986" s="403" t="s">
        <v>43</v>
      </c>
      <c r="H11986" s="404" t="s">
        <v>44</v>
      </c>
      <c r="I11986" s="402" t="s">
        <v>474</v>
      </c>
      <c r="J11986" s="405" t="s">
        <v>475</v>
      </c>
    </row>
    <row r="11987" spans="1:10" ht="13">
      <c r="A11987" s="27"/>
      <c r="B11987" s="110"/>
      <c r="D11987" s="406" t="s">
        <v>45</v>
      </c>
      <c r="E11987" s="13" t="s">
        <v>46</v>
      </c>
      <c r="F11987" s="14"/>
      <c r="G11987" s="15"/>
      <c r="H11987" s="451"/>
      <c r="I11987" s="412"/>
      <c r="J11987" s="16"/>
    </row>
    <row r="11988" spans="1:10" ht="13">
      <c r="A11988" s="27"/>
      <c r="B11988" s="110"/>
      <c r="D11988" s="409"/>
      <c r="E11988" s="13" t="s">
        <v>47</v>
      </c>
      <c r="F11988" s="13" t="s">
        <v>1918</v>
      </c>
      <c r="G11988" s="410" t="s">
        <v>48</v>
      </c>
      <c r="H11988" s="411">
        <v>8.0000000000000002E-3</v>
      </c>
      <c r="I11988" s="412">
        <f>IF(AND(E11988&lt;&gt;"",G11988&lt;&gt;""),IF(D11988="",IF(G11988="OH",VLOOKUP(F11988,UPAH!$B$4:$H$101,7,0),VLOOKUP(F11988,#REF!,4,0)),0),0)</f>
        <v>0</v>
      </c>
      <c r="J11988" s="16">
        <f>H11988*I11988</f>
        <v>0</v>
      </c>
    </row>
    <row r="11989" spans="1:10" ht="13.5" thickBot="1">
      <c r="A11989" s="27"/>
      <c r="B11989" s="110"/>
      <c r="D11989" s="409"/>
      <c r="E11989" s="13" t="s">
        <v>51</v>
      </c>
      <c r="F11989" s="13" t="s">
        <v>1929</v>
      </c>
      <c r="G11989" s="410" t="s">
        <v>48</v>
      </c>
      <c r="H11989" s="411">
        <v>8.0000000000000004E-4</v>
      </c>
      <c r="I11989" s="412">
        <f>IF(AND(E11989&lt;&gt;"",G11989&lt;&gt;""),IF(D11989="",IF(G11989="OH",VLOOKUP(F11989,UPAH!$B$4:$H$101,7,0),VLOOKUP(F11989,#REF!,4,0)),0),0)</f>
        <v>0</v>
      </c>
      <c r="J11989" s="16">
        <f>H11989*I11989</f>
        <v>0</v>
      </c>
    </row>
    <row r="11990" spans="1:10" ht="13.5" thickBot="1">
      <c r="A11990" s="27"/>
      <c r="B11990" s="110"/>
      <c r="D11990" s="417"/>
      <c r="E11990" s="418"/>
      <c r="F11990" s="418"/>
      <c r="G11990" s="419"/>
      <c r="H11990" s="420" t="s">
        <v>52</v>
      </c>
      <c r="I11990" s="421"/>
      <c r="J11990" s="396">
        <f>SUM(J11986:J11989)</f>
        <v>0</v>
      </c>
    </row>
    <row r="11991" spans="1:10" ht="13">
      <c r="A11991" s="27"/>
      <c r="B11991" s="110"/>
      <c r="D11991" s="406" t="s">
        <v>53</v>
      </c>
      <c r="E11991" s="13" t="s">
        <v>54</v>
      </c>
      <c r="F11991" s="14"/>
      <c r="G11991" s="15"/>
      <c r="H11991" s="451"/>
      <c r="I11991" s="412"/>
      <c r="J11991" s="16"/>
    </row>
    <row r="11992" spans="1:10" ht="13">
      <c r="A11992" s="27"/>
      <c r="B11992" s="110"/>
      <c r="D11992" s="409"/>
      <c r="E11992" s="13" t="s">
        <v>362</v>
      </c>
      <c r="F11992" s="14"/>
      <c r="G11992" s="410" t="s">
        <v>375</v>
      </c>
      <c r="H11992" s="411">
        <v>0.28299999999999997</v>
      </c>
      <c r="I11992" s="412">
        <f>'BAHAN '!G11</f>
        <v>0</v>
      </c>
      <c r="J11992" s="16">
        <f>H11992*I11992</f>
        <v>0</v>
      </c>
    </row>
    <row r="11993" spans="1:10" ht="13">
      <c r="A11993" s="27"/>
      <c r="B11993" s="110"/>
      <c r="D11993" s="409"/>
      <c r="E11993" s="13" t="s">
        <v>363</v>
      </c>
      <c r="F11993" s="14"/>
      <c r="G11993" s="410" t="s">
        <v>364</v>
      </c>
      <c r="H11993" s="411">
        <v>0.06</v>
      </c>
      <c r="I11993" s="412">
        <f t="shared" ref="I11993:I11994" si="51">I11840</f>
        <v>0</v>
      </c>
      <c r="J11993" s="16">
        <f>H11993*I11993</f>
        <v>0</v>
      </c>
    </row>
    <row r="11994" spans="1:10" ht="13.5" thickBot="1">
      <c r="A11994" s="27"/>
      <c r="B11994" s="110"/>
      <c r="D11994" s="409"/>
      <c r="E11994" s="13" t="s">
        <v>365</v>
      </c>
      <c r="F11994" s="14"/>
      <c r="G11994" s="410" t="s">
        <v>364</v>
      </c>
      <c r="H11994" s="411">
        <v>2E-3</v>
      </c>
      <c r="I11994" s="412">
        <f t="shared" si="51"/>
        <v>0</v>
      </c>
      <c r="J11994" s="16">
        <f>H11994*I11994</f>
        <v>0</v>
      </c>
    </row>
    <row r="11995" spans="1:10" ht="13.5" thickBot="1">
      <c r="A11995" s="27"/>
      <c r="B11995" s="110"/>
      <c r="D11995" s="417"/>
      <c r="E11995" s="418"/>
      <c r="F11995" s="418"/>
      <c r="G11995" s="419"/>
      <c r="H11995" s="420" t="s">
        <v>64</v>
      </c>
      <c r="I11995" s="421"/>
      <c r="J11995" s="396">
        <f>SUM(J11992:J11994)</f>
        <v>0</v>
      </c>
    </row>
    <row r="11996" spans="1:10" ht="13.5" thickBot="1">
      <c r="A11996" s="27"/>
      <c r="B11996" s="110"/>
      <c r="D11996" s="406" t="s">
        <v>65</v>
      </c>
      <c r="E11996" s="13" t="s">
        <v>66</v>
      </c>
      <c r="F11996" s="14"/>
      <c r="G11996" s="15"/>
      <c r="H11996" s="451"/>
      <c r="I11996" s="412">
        <f>IF(AND(E11996&lt;&gt;"",G11996&lt;&gt;""),IF(D11996="",IF(G11996="OH",VLOOKUP(E11996,UPAH!$C$4:$H$31,7,0),VLOOKUP(E11996,#REF!,4,0)),0),0)</f>
        <v>0</v>
      </c>
      <c r="J11996" s="16">
        <f>H11996*I11996</f>
        <v>0</v>
      </c>
    </row>
    <row r="11997" spans="1:10" ht="13.5" thickBot="1">
      <c r="A11997" s="27"/>
      <c r="B11997" s="110"/>
      <c r="D11997" s="417"/>
      <c r="E11997" s="418"/>
      <c r="F11997" s="418"/>
      <c r="G11997" s="419"/>
      <c r="H11997" s="420" t="s">
        <v>67</v>
      </c>
      <c r="I11997" s="421"/>
      <c r="J11997" s="396">
        <f>J11996</f>
        <v>0</v>
      </c>
    </row>
    <row r="11998" spans="1:10" ht="13">
      <c r="A11998" s="27"/>
      <c r="B11998" s="110"/>
      <c r="D11998" s="444" t="s">
        <v>68</v>
      </c>
      <c r="E11998" s="445" t="s">
        <v>69</v>
      </c>
      <c r="F11998" s="446"/>
      <c r="G11998" s="447"/>
      <c r="H11998" s="448"/>
      <c r="I11998" s="449">
        <f>IF(AND(E11998&lt;&gt;"",G11998&lt;&gt;""),IF(D11998="",IF(G11998="OH",VLOOKUP(E11998,UPAH!$C$4:$H$31,7,0),VLOOKUP(E11998,#REF!,4,0)),0),0)</f>
        <v>0</v>
      </c>
      <c r="J11998" s="16">
        <f>SUM(J11987:J11997)/2</f>
        <v>0</v>
      </c>
    </row>
    <row r="11999" spans="1:10" ht="13.5" thickBot="1">
      <c r="A11999" s="27"/>
      <c r="B11999" s="110"/>
      <c r="D11999" s="431" t="s">
        <v>70</v>
      </c>
      <c r="E11999" s="432" t="s">
        <v>477</v>
      </c>
      <c r="F11999" s="433"/>
      <c r="G11999" s="434"/>
      <c r="H11999" s="22">
        <v>0.1</v>
      </c>
      <c r="I11999" s="436"/>
      <c r="J11999" s="430">
        <f>H11999*J11998</f>
        <v>0</v>
      </c>
    </row>
    <row r="12000" spans="1:10" ht="13.5" thickBot="1">
      <c r="A12000" s="27"/>
      <c r="B12000" s="110"/>
      <c r="D12000" s="401" t="s">
        <v>71</v>
      </c>
      <c r="E12000" s="402" t="s">
        <v>72</v>
      </c>
      <c r="F12000" s="418"/>
      <c r="G12000" s="419"/>
      <c r="H12000" s="442"/>
      <c r="I12000" s="421">
        <f>IF(AND(E12000&lt;&gt;"",G12000&lt;&gt;""),IF(D12000="",IF(G12000="OH",VLOOKUP(E12000,UPAH!$C$4:$H$31,7,0),VLOOKUP(E12000,#REF!,4,0)),0),0)</f>
        <v>0</v>
      </c>
      <c r="J12000" s="396">
        <f>ROUNDDOWN(J11998+J11999,0)</f>
        <v>0</v>
      </c>
    </row>
    <row r="12001" spans="1:10" ht="13">
      <c r="A12001" s="27"/>
      <c r="B12001" s="110"/>
      <c r="D12001" s="11"/>
      <c r="E12001" s="11"/>
      <c r="H12001" s="443"/>
      <c r="I12001" s="17"/>
      <c r="J12001" s="18"/>
    </row>
    <row r="12002" spans="1:10" s="27" customFormat="1" ht="13">
      <c r="B12002" s="110"/>
      <c r="C12002" s="27" t="s">
        <v>1735</v>
      </c>
      <c r="D12002" s="452"/>
      <c r="E12002" s="452"/>
      <c r="G12002" s="399"/>
      <c r="H12002" s="453"/>
      <c r="I12002" s="553"/>
      <c r="J12002" s="28"/>
    </row>
    <row r="12003" spans="1:10" ht="13.5" thickBot="1">
      <c r="A12003" s="27"/>
      <c r="B12003" s="110"/>
      <c r="C12003" s="11" t="s">
        <v>1737</v>
      </c>
      <c r="D12003" s="10" t="s">
        <v>1736</v>
      </c>
      <c r="H12003" s="443"/>
    </row>
    <row r="12004" spans="1:10" ht="13.5" thickBot="1">
      <c r="A12004" s="27"/>
      <c r="B12004" s="110"/>
      <c r="D12004" s="401" t="s">
        <v>40</v>
      </c>
      <c r="E12004" s="402" t="s">
        <v>41</v>
      </c>
      <c r="F12004" s="402" t="s">
        <v>42</v>
      </c>
      <c r="G12004" s="403" t="s">
        <v>43</v>
      </c>
      <c r="H12004" s="404" t="s">
        <v>44</v>
      </c>
      <c r="I12004" s="402" t="s">
        <v>474</v>
      </c>
      <c r="J12004" s="405" t="s">
        <v>475</v>
      </c>
    </row>
    <row r="12005" spans="1:10" ht="13">
      <c r="A12005" s="27"/>
      <c r="B12005" s="110"/>
      <c r="D12005" s="406" t="s">
        <v>45</v>
      </c>
      <c r="E12005" s="13" t="s">
        <v>46</v>
      </c>
      <c r="F12005" s="14"/>
      <c r="G12005" s="15"/>
      <c r="H12005" s="451"/>
      <c r="I12005" s="412"/>
      <c r="J12005" s="16"/>
    </row>
    <row r="12006" spans="1:10" ht="13.5" thickBot="1">
      <c r="A12006" s="27"/>
      <c r="B12006" s="110"/>
      <c r="D12006" s="409"/>
      <c r="E12006" s="554" t="s">
        <v>366</v>
      </c>
      <c r="F12006" s="13"/>
      <c r="G12006" s="410" t="s">
        <v>160</v>
      </c>
      <c r="H12006" s="555">
        <v>1</v>
      </c>
      <c r="I12006" s="412">
        <f>UPAH!H16</f>
        <v>0</v>
      </c>
      <c r="J12006" s="16">
        <f>H12006*I12006</f>
        <v>0</v>
      </c>
    </row>
    <row r="12007" spans="1:10" ht="13.5" thickBot="1">
      <c r="A12007" s="27"/>
      <c r="B12007" s="110"/>
      <c r="D12007" s="417"/>
      <c r="E12007" s="418"/>
      <c r="F12007" s="418"/>
      <c r="G12007" s="419"/>
      <c r="H12007" s="420" t="s">
        <v>52</v>
      </c>
      <c r="I12007" s="421"/>
      <c r="J12007" s="396">
        <f>SUM(J12004:J12006)</f>
        <v>0</v>
      </c>
    </row>
    <row r="12008" spans="1:10" ht="13">
      <c r="A12008" s="27"/>
      <c r="B12008" s="110"/>
      <c r="D12008" s="406" t="s">
        <v>53</v>
      </c>
      <c r="E12008" s="13" t="s">
        <v>54</v>
      </c>
      <c r="F12008" s="14"/>
      <c r="G12008" s="15"/>
      <c r="H12008" s="451"/>
      <c r="I12008" s="412"/>
      <c r="J12008" s="16"/>
    </row>
    <row r="12009" spans="1:10" ht="13">
      <c r="A12009" s="27"/>
      <c r="B12009" s="110"/>
      <c r="D12009" s="409"/>
      <c r="E12009" s="467" t="s">
        <v>1779</v>
      </c>
      <c r="F12009" s="21"/>
      <c r="G12009" s="410" t="s">
        <v>368</v>
      </c>
      <c r="H12009" s="411">
        <v>3</v>
      </c>
      <c r="I12009" s="412">
        <f>'BAHAN '!G1009</f>
        <v>0</v>
      </c>
      <c r="J12009" s="16">
        <f t="shared" ref="J12009:J12017" si="52">H12009*I12009</f>
        <v>0</v>
      </c>
    </row>
    <row r="12010" spans="1:10" ht="13">
      <c r="A12010" s="27"/>
      <c r="B12010" s="110"/>
      <c r="D12010" s="409"/>
      <c r="E12010" s="13" t="s">
        <v>392</v>
      </c>
      <c r="F12010" s="21"/>
      <c r="G12010" s="410" t="s">
        <v>113</v>
      </c>
      <c r="H12010" s="411">
        <v>24</v>
      </c>
      <c r="I12010" s="412">
        <f>'BAHAN '!G997</f>
        <v>0</v>
      </c>
      <c r="J12010" s="16">
        <f t="shared" si="52"/>
        <v>0</v>
      </c>
    </row>
    <row r="12011" spans="1:10" ht="13">
      <c r="A12011" s="27"/>
      <c r="B12011" s="110"/>
      <c r="D12011" s="409"/>
      <c r="E12011" s="13" t="s">
        <v>450</v>
      </c>
      <c r="F12011" s="21"/>
      <c r="G12011" s="410" t="s">
        <v>259</v>
      </c>
      <c r="H12011" s="411">
        <v>3</v>
      </c>
      <c r="I12011" s="412">
        <f>'BAHAN '!G1000</f>
        <v>0</v>
      </c>
      <c r="J12011" s="16">
        <f t="shared" si="52"/>
        <v>0</v>
      </c>
    </row>
    <row r="12012" spans="1:10" ht="13">
      <c r="A12012" s="27"/>
      <c r="B12012" s="110"/>
      <c r="D12012" s="409"/>
      <c r="E12012" s="467" t="s">
        <v>1783</v>
      </c>
      <c r="F12012" s="21"/>
      <c r="G12012" s="410" t="s">
        <v>259</v>
      </c>
      <c r="H12012" s="411">
        <v>4</v>
      </c>
      <c r="I12012" s="412">
        <f>'BAHAN '!G1008</f>
        <v>0</v>
      </c>
      <c r="J12012" s="16">
        <f t="shared" si="52"/>
        <v>0</v>
      </c>
    </row>
    <row r="12013" spans="1:10" ht="13">
      <c r="A12013" s="27"/>
      <c r="B12013" s="110"/>
      <c r="D12013" s="409"/>
      <c r="E12013" s="467" t="s">
        <v>371</v>
      </c>
      <c r="F12013" s="21"/>
      <c r="G12013" s="410" t="s">
        <v>259</v>
      </c>
      <c r="H12013" s="411">
        <v>3</v>
      </c>
      <c r="I12013" s="412">
        <f>'BAHAN '!G1003</f>
        <v>0</v>
      </c>
      <c r="J12013" s="16">
        <f t="shared" si="52"/>
        <v>0</v>
      </c>
    </row>
    <row r="12014" spans="1:10" ht="13">
      <c r="A12014" s="27"/>
      <c r="B12014" s="110"/>
      <c r="D12014" s="409"/>
      <c r="E12014" s="13" t="s">
        <v>3186</v>
      </c>
      <c r="F12014" s="21"/>
      <c r="G12014" s="410" t="s">
        <v>259</v>
      </c>
      <c r="H12014" s="411">
        <v>24</v>
      </c>
      <c r="I12014" s="412">
        <f>'BAHAN '!G1001</f>
        <v>0</v>
      </c>
      <c r="J12014" s="16">
        <f t="shared" si="52"/>
        <v>0</v>
      </c>
    </row>
    <row r="12015" spans="1:10" ht="13">
      <c r="A12015" s="27"/>
      <c r="B12015" s="110"/>
      <c r="D12015" s="409"/>
      <c r="E12015" s="467" t="s">
        <v>1782</v>
      </c>
      <c r="F12015" s="21"/>
      <c r="G12015" s="410" t="s">
        <v>259</v>
      </c>
      <c r="H12015" s="411">
        <v>1</v>
      </c>
      <c r="I12015" s="412">
        <f>'BAHAN '!G1006</f>
        <v>0</v>
      </c>
      <c r="J12015" s="16">
        <f t="shared" si="52"/>
        <v>0</v>
      </c>
    </row>
    <row r="12016" spans="1:10" ht="13">
      <c r="A12016" s="27"/>
      <c r="B12016" s="110"/>
      <c r="D12016" s="409"/>
      <c r="E12016" s="467" t="s">
        <v>1781</v>
      </c>
      <c r="F12016" s="21"/>
      <c r="G12016" s="410" t="s">
        <v>259</v>
      </c>
      <c r="H12016" s="411">
        <v>1</v>
      </c>
      <c r="I12016" s="412">
        <f>'BAHAN '!G722</f>
        <v>0</v>
      </c>
      <c r="J12016" s="16">
        <f t="shared" si="52"/>
        <v>0</v>
      </c>
    </row>
    <row r="12017" spans="1:10" ht="13.5" thickBot="1">
      <c r="A12017" s="27"/>
      <c r="B12017" s="110"/>
      <c r="D12017" s="409"/>
      <c r="E12017" s="13" t="s">
        <v>1784</v>
      </c>
      <c r="F12017" s="14"/>
      <c r="G12017" s="410" t="s">
        <v>259</v>
      </c>
      <c r="H12017" s="411">
        <v>1</v>
      </c>
      <c r="I12017" s="412">
        <f>'BAHAN '!G1007</f>
        <v>0</v>
      </c>
      <c r="J12017" s="16">
        <f t="shared" si="52"/>
        <v>0</v>
      </c>
    </row>
    <row r="12018" spans="1:10" ht="13.5" thickBot="1">
      <c r="A12018" s="27"/>
      <c r="B12018" s="110"/>
      <c r="D12018" s="417"/>
      <c r="E12018" s="418"/>
      <c r="F12018" s="418"/>
      <c r="G12018" s="419"/>
      <c r="H12018" s="420" t="s">
        <v>64</v>
      </c>
      <c r="I12018" s="421"/>
      <c r="J12018" s="396">
        <f>SUM(J12009:J12017)</f>
        <v>0</v>
      </c>
    </row>
    <row r="12019" spans="1:10" ht="13.5" thickBot="1">
      <c r="A12019" s="27"/>
      <c r="B12019" s="110"/>
      <c r="D12019" s="406" t="s">
        <v>65</v>
      </c>
      <c r="E12019" s="13" t="s">
        <v>66</v>
      </c>
      <c r="F12019" s="14"/>
      <c r="G12019" s="15"/>
      <c r="H12019" s="451"/>
      <c r="I12019" s="412">
        <f>IF(AND(E12019&lt;&gt;"",G12019&lt;&gt;""),IF(D12019="",IF(G12019="OH",VLOOKUP(E12019,UPAH!$C$4:$H$31,7,0),VLOOKUP(E12019,#REF!,4,0)),0),0)</f>
        <v>0</v>
      </c>
      <c r="J12019" s="16">
        <f>H12019*I12019</f>
        <v>0</v>
      </c>
    </row>
    <row r="12020" spans="1:10" ht="13.5" thickBot="1">
      <c r="A12020" s="27"/>
      <c r="B12020" s="110"/>
      <c r="D12020" s="417"/>
      <c r="E12020" s="418"/>
      <c r="F12020" s="418"/>
      <c r="G12020" s="419"/>
      <c r="H12020" s="420" t="s">
        <v>67</v>
      </c>
      <c r="I12020" s="421"/>
      <c r="J12020" s="396">
        <f>J12019</f>
        <v>0</v>
      </c>
    </row>
    <row r="12021" spans="1:10" ht="13">
      <c r="A12021" s="27"/>
      <c r="B12021" s="110"/>
      <c r="D12021" s="444" t="s">
        <v>68</v>
      </c>
      <c r="E12021" s="445" t="s">
        <v>69</v>
      </c>
      <c r="F12021" s="446"/>
      <c r="G12021" s="447"/>
      <c r="H12021" s="448"/>
      <c r="I12021" s="449">
        <f>IF(AND(E12021&lt;&gt;"",G12021&lt;&gt;""),IF(D12021="",IF(G12021="OH",VLOOKUP(E12021,UPAH!$C$4:$H$31,7,0),VLOOKUP(E12021,#REF!,4,0)),0),0)</f>
        <v>0</v>
      </c>
      <c r="J12021" s="16">
        <f>SUM(J12005:J12020)/2</f>
        <v>0</v>
      </c>
    </row>
    <row r="12022" spans="1:10" ht="13.5" thickBot="1">
      <c r="A12022" s="27"/>
      <c r="B12022" s="110"/>
      <c r="D12022" s="431" t="s">
        <v>70</v>
      </c>
      <c r="E12022" s="432" t="s">
        <v>477</v>
      </c>
      <c r="F12022" s="433"/>
      <c r="G12022" s="434"/>
      <c r="H12022" s="22">
        <v>0.1</v>
      </c>
      <c r="I12022" s="436"/>
      <c r="J12022" s="430">
        <f>H12022*J12021</f>
        <v>0</v>
      </c>
    </row>
    <row r="12023" spans="1:10" ht="13.5" thickBot="1">
      <c r="A12023" s="27"/>
      <c r="B12023" s="110"/>
      <c r="D12023" s="401" t="s">
        <v>71</v>
      </c>
      <c r="E12023" s="402" t="s">
        <v>72</v>
      </c>
      <c r="F12023" s="418"/>
      <c r="G12023" s="419"/>
      <c r="H12023" s="442"/>
      <c r="I12023" s="421">
        <f>IF(AND(E12023&lt;&gt;"",G12023&lt;&gt;""),IF(D12023="",IF(G12023="OH",VLOOKUP(E12023,UPAH!$C$4:$H$31,7,0),VLOOKUP(E12023,#REF!,4,0)),0),0)</f>
        <v>0</v>
      </c>
      <c r="J12023" s="396">
        <f>ROUNDDOWN(J12021+J12022,0)</f>
        <v>0</v>
      </c>
    </row>
    <row r="12024" spans="1:10" ht="13">
      <c r="A12024" s="27"/>
      <c r="B12024" s="110"/>
      <c r="D12024" s="11"/>
      <c r="E12024" s="11"/>
      <c r="H12024" s="443"/>
      <c r="I12024" s="17"/>
      <c r="J12024" s="18"/>
    </row>
    <row r="12025" spans="1:10" ht="13.5" thickBot="1">
      <c r="A12025" s="27"/>
      <c r="B12025" s="110"/>
      <c r="C12025" s="11" t="s">
        <v>1785</v>
      </c>
      <c r="D12025" s="556" t="s">
        <v>3184</v>
      </c>
      <c r="E12025" s="9"/>
      <c r="F12025" s="9"/>
      <c r="G12025" s="557"/>
      <c r="H12025" s="558"/>
      <c r="I12025" s="559"/>
    </row>
    <row r="12026" spans="1:10" ht="13.5" thickBot="1">
      <c r="A12026" s="27"/>
      <c r="B12026" s="110"/>
      <c r="D12026" s="401" t="s">
        <v>40</v>
      </c>
      <c r="E12026" s="402" t="s">
        <v>41</v>
      </c>
      <c r="F12026" s="402" t="s">
        <v>42</v>
      </c>
      <c r="G12026" s="403" t="s">
        <v>43</v>
      </c>
      <c r="H12026" s="404" t="s">
        <v>44</v>
      </c>
      <c r="I12026" s="402" t="s">
        <v>474</v>
      </c>
      <c r="J12026" s="405" t="s">
        <v>475</v>
      </c>
    </row>
    <row r="12027" spans="1:10" ht="13">
      <c r="A12027" s="27"/>
      <c r="B12027" s="110"/>
      <c r="D12027" s="406" t="s">
        <v>45</v>
      </c>
      <c r="E12027" s="13" t="s">
        <v>46</v>
      </c>
      <c r="F12027" s="14"/>
      <c r="G12027" s="15"/>
      <c r="H12027" s="451"/>
      <c r="I12027" s="412"/>
      <c r="J12027" s="16"/>
    </row>
    <row r="12028" spans="1:10" ht="13.5" thickBot="1">
      <c r="A12028" s="27"/>
      <c r="B12028" s="110"/>
      <c r="D12028" s="409"/>
      <c r="E12028" s="554" t="s">
        <v>366</v>
      </c>
      <c r="F12028" s="13"/>
      <c r="G12028" s="410" t="s">
        <v>160</v>
      </c>
      <c r="H12028" s="555">
        <v>1</v>
      </c>
      <c r="I12028" s="412">
        <f>UPAH!H16</f>
        <v>0</v>
      </c>
      <c r="J12028" s="16">
        <f>H12028*I12028</f>
        <v>0</v>
      </c>
    </row>
    <row r="12029" spans="1:10" ht="13.5" thickBot="1">
      <c r="A12029" s="27"/>
      <c r="B12029" s="110"/>
      <c r="D12029" s="417"/>
      <c r="E12029" s="418"/>
      <c r="F12029" s="418"/>
      <c r="G12029" s="419"/>
      <c r="H12029" s="420" t="s">
        <v>52</v>
      </c>
      <c r="I12029" s="421"/>
      <c r="J12029" s="396">
        <f>SUM(J12028:J12028)</f>
        <v>0</v>
      </c>
    </row>
    <row r="12030" spans="1:10" ht="13">
      <c r="A12030" s="27"/>
      <c r="B12030" s="110"/>
      <c r="D12030" s="406" t="s">
        <v>53</v>
      </c>
      <c r="E12030" s="13" t="s">
        <v>54</v>
      </c>
      <c r="F12030" s="14"/>
      <c r="G12030" s="15"/>
      <c r="H12030" s="451"/>
      <c r="I12030" s="412"/>
      <c r="J12030" s="16"/>
    </row>
    <row r="12031" spans="1:10" ht="13">
      <c r="A12031" s="27"/>
      <c r="B12031" s="110"/>
      <c r="D12031" s="406"/>
      <c r="E12031" s="13" t="s">
        <v>392</v>
      </c>
      <c r="F12031" s="14"/>
      <c r="G12031" s="410" t="s">
        <v>391</v>
      </c>
      <c r="H12031" s="454">
        <v>15</v>
      </c>
      <c r="I12031" s="412">
        <f>'BAHAN '!G997</f>
        <v>0</v>
      </c>
      <c r="J12031" s="16">
        <f t="shared" ref="J12031:J12037" si="53">H12031*I12031</f>
        <v>0</v>
      </c>
    </row>
    <row r="12032" spans="1:10" ht="13">
      <c r="A12032" s="27"/>
      <c r="B12032" s="110"/>
      <c r="D12032" s="406"/>
      <c r="E12032" s="467" t="s">
        <v>1779</v>
      </c>
      <c r="F12032" s="14"/>
      <c r="G12032" s="410" t="s">
        <v>368</v>
      </c>
      <c r="H12032" s="454">
        <v>3</v>
      </c>
      <c r="I12032" s="412">
        <f>'BAHAN '!G1009</f>
        <v>0</v>
      </c>
      <c r="J12032" s="16">
        <f t="shared" si="53"/>
        <v>0</v>
      </c>
    </row>
    <row r="12033" spans="1:10" ht="13">
      <c r="A12033" s="27"/>
      <c r="B12033" s="110"/>
      <c r="D12033" s="406"/>
      <c r="E12033" s="13" t="s">
        <v>448</v>
      </c>
      <c r="F12033" s="14"/>
      <c r="G12033" s="410" t="s">
        <v>259</v>
      </c>
      <c r="H12033" s="454">
        <v>1</v>
      </c>
      <c r="I12033" s="412">
        <f>'BAHAN '!G999</f>
        <v>0</v>
      </c>
      <c r="J12033" s="16">
        <f t="shared" si="53"/>
        <v>0</v>
      </c>
    </row>
    <row r="12034" spans="1:10" ht="13">
      <c r="A12034" s="27"/>
      <c r="B12034" s="110"/>
      <c r="D12034" s="406"/>
      <c r="E12034" s="13" t="s">
        <v>450</v>
      </c>
      <c r="F12034" s="14"/>
      <c r="G12034" s="410" t="s">
        <v>259</v>
      </c>
      <c r="H12034" s="454">
        <v>1</v>
      </c>
      <c r="I12034" s="412">
        <f>'BAHAN '!G1000</f>
        <v>0</v>
      </c>
      <c r="J12034" s="16">
        <f t="shared" si="53"/>
        <v>0</v>
      </c>
    </row>
    <row r="12035" spans="1:10" ht="13">
      <c r="A12035" s="27"/>
      <c r="B12035" s="110"/>
      <c r="D12035" s="406"/>
      <c r="E12035" s="458" t="s">
        <v>400</v>
      </c>
      <c r="F12035" s="14"/>
      <c r="G12035" s="410" t="s">
        <v>259</v>
      </c>
      <c r="H12035" s="454">
        <v>24</v>
      </c>
      <c r="I12035" s="412">
        <f>'BAHAN '!G1001</f>
        <v>0</v>
      </c>
      <c r="J12035" s="16">
        <f t="shared" si="53"/>
        <v>0</v>
      </c>
    </row>
    <row r="12036" spans="1:10" ht="13">
      <c r="A12036" s="27"/>
      <c r="B12036" s="110"/>
      <c r="D12036" s="409"/>
      <c r="E12036" s="467" t="s">
        <v>1783</v>
      </c>
      <c r="F12036" s="14"/>
      <c r="G12036" s="410" t="s">
        <v>259</v>
      </c>
      <c r="H12036" s="454">
        <v>2</v>
      </c>
      <c r="I12036" s="412">
        <f>'BAHAN '!G1008</f>
        <v>0</v>
      </c>
      <c r="J12036" s="16">
        <f t="shared" si="53"/>
        <v>0</v>
      </c>
    </row>
    <row r="12037" spans="1:10" ht="13.5" thickBot="1">
      <c r="A12037" s="27"/>
      <c r="B12037" s="110"/>
      <c r="D12037" s="409"/>
      <c r="E12037" s="13" t="s">
        <v>3185</v>
      </c>
      <c r="F12037" s="14"/>
      <c r="G12037" s="410" t="s">
        <v>259</v>
      </c>
      <c r="H12037" s="454">
        <v>1</v>
      </c>
      <c r="I12037" s="412">
        <f>'BAHAN '!G694</f>
        <v>0</v>
      </c>
      <c r="J12037" s="16">
        <f t="shared" si="53"/>
        <v>0</v>
      </c>
    </row>
    <row r="12038" spans="1:10" ht="13.5" thickBot="1">
      <c r="A12038" s="27"/>
      <c r="B12038" s="110"/>
      <c r="D12038" s="417"/>
      <c r="E12038" s="418"/>
      <c r="F12038" s="418"/>
      <c r="G12038" s="419"/>
      <c r="H12038" s="420" t="s">
        <v>64</v>
      </c>
      <c r="I12038" s="421"/>
      <c r="J12038" s="396">
        <f>SUM(J12031:J12037)</f>
        <v>0</v>
      </c>
    </row>
    <row r="12039" spans="1:10" ht="13.5" thickBot="1">
      <c r="A12039" s="27"/>
      <c r="B12039" s="110"/>
      <c r="D12039" s="406" t="s">
        <v>65</v>
      </c>
      <c r="E12039" s="13" t="s">
        <v>66</v>
      </c>
      <c r="F12039" s="14"/>
      <c r="G12039" s="15"/>
      <c r="H12039" s="451"/>
      <c r="I12039" s="412">
        <f>IF(AND(E12039&lt;&gt;"",G12039&lt;&gt;""),IF(D12039="",IF(G12039="OH",VLOOKUP(E12039,UPAH!$C$4:$H$31,7,0),VLOOKUP(E12039,#REF!,4,0)),0),0)</f>
        <v>0</v>
      </c>
      <c r="J12039" s="16">
        <f>H12039*I12039</f>
        <v>0</v>
      </c>
    </row>
    <row r="12040" spans="1:10" ht="13.5" thickBot="1">
      <c r="A12040" s="27"/>
      <c r="B12040" s="110"/>
      <c r="D12040" s="417"/>
      <c r="E12040" s="418"/>
      <c r="F12040" s="418"/>
      <c r="G12040" s="419"/>
      <c r="H12040" s="420" t="s">
        <v>67</v>
      </c>
      <c r="I12040" s="421"/>
      <c r="J12040" s="396">
        <f>J12039</f>
        <v>0</v>
      </c>
    </row>
    <row r="12041" spans="1:10" ht="13">
      <c r="A12041" s="27"/>
      <c r="B12041" s="110"/>
      <c r="D12041" s="444" t="s">
        <v>68</v>
      </c>
      <c r="E12041" s="445" t="s">
        <v>69</v>
      </c>
      <c r="F12041" s="446"/>
      <c r="G12041" s="447"/>
      <c r="H12041" s="448"/>
      <c r="I12041" s="449">
        <f>IF(AND(E12041&lt;&gt;"",G12041&lt;&gt;""),IF(D12041="",IF(G12041="OH",VLOOKUP(E12041,UPAH!$C$4:$H$31,7,0),VLOOKUP(E12041,#REF!,4,0)),0),0)</f>
        <v>0</v>
      </c>
      <c r="J12041" s="16">
        <f>SUM(J12028:J12040)/2</f>
        <v>0</v>
      </c>
    </row>
    <row r="12042" spans="1:10" ht="13.5" thickBot="1">
      <c r="A12042" s="27"/>
      <c r="B12042" s="110"/>
      <c r="D12042" s="431" t="s">
        <v>70</v>
      </c>
      <c r="E12042" s="432" t="s">
        <v>477</v>
      </c>
      <c r="F12042" s="433"/>
      <c r="G12042" s="434"/>
      <c r="H12042" s="22">
        <v>0.1</v>
      </c>
      <c r="I12042" s="436"/>
      <c r="J12042" s="430">
        <f>H12042*J12041</f>
        <v>0</v>
      </c>
    </row>
    <row r="12043" spans="1:10" ht="13.5" thickBot="1">
      <c r="A12043" s="27"/>
      <c r="B12043" s="110"/>
      <c r="D12043" s="401" t="s">
        <v>71</v>
      </c>
      <c r="E12043" s="402" t="s">
        <v>72</v>
      </c>
      <c r="F12043" s="418"/>
      <c r="G12043" s="419"/>
      <c r="H12043" s="442"/>
      <c r="I12043" s="421">
        <f>IF(AND(E12043&lt;&gt;"",G12043&lt;&gt;""),IF(D12043="",IF(G12043="OH",VLOOKUP(E12043,UPAH!$C$4:$H$31,7,0),VLOOKUP(E12043,#REF!,4,0)),0),0)</f>
        <v>0</v>
      </c>
      <c r="J12043" s="396">
        <f>ROUNDDOWN(J12041+J12042,0)</f>
        <v>0</v>
      </c>
    </row>
    <row r="12044" spans="1:10" ht="10.5" customHeight="1">
      <c r="B12044" s="110"/>
      <c r="D12044" s="11"/>
      <c r="E12044" s="11"/>
      <c r="H12044" s="443"/>
      <c r="I12044" s="17"/>
      <c r="J12044" s="18"/>
    </row>
    <row r="12045" spans="1:10" customFormat="1" ht="15" thickBot="1">
      <c r="C12045" s="12"/>
      <c r="D12045" s="11" t="s">
        <v>3204</v>
      </c>
      <c r="E12045" s="10"/>
      <c r="F12045" s="10"/>
      <c r="G12045" s="12"/>
      <c r="H12045" s="397"/>
      <c r="I12045" s="10"/>
      <c r="J12045" s="10"/>
    </row>
    <row r="12046" spans="1:10" customFormat="1" ht="15" thickBot="1">
      <c r="C12046" s="10"/>
      <c r="D12046" s="560" t="s">
        <v>40</v>
      </c>
      <c r="E12046" s="561" t="s">
        <v>41</v>
      </c>
      <c r="F12046" s="561" t="s">
        <v>42</v>
      </c>
      <c r="G12046" s="561" t="s">
        <v>43</v>
      </c>
      <c r="H12046" s="561" t="s">
        <v>44</v>
      </c>
      <c r="I12046" s="561" t="s">
        <v>474</v>
      </c>
      <c r="J12046" s="562" t="s">
        <v>475</v>
      </c>
    </row>
    <row r="12047" spans="1:10" customFormat="1" ht="14.5">
      <c r="C12047" s="10"/>
      <c r="D12047" s="406" t="s">
        <v>45</v>
      </c>
      <c r="E12047" s="13" t="s">
        <v>46</v>
      </c>
      <c r="F12047" s="14"/>
      <c r="G12047" s="15"/>
      <c r="H12047" s="407"/>
      <c r="I12047" s="14"/>
      <c r="J12047" s="408"/>
    </row>
    <row r="12048" spans="1:10" customFormat="1" ht="14.5">
      <c r="C12048" s="10"/>
      <c r="D12048" s="409"/>
      <c r="E12048" s="13" t="s">
        <v>47</v>
      </c>
      <c r="F12048" s="13" t="s">
        <v>1918</v>
      </c>
      <c r="G12048" s="410" t="s">
        <v>48</v>
      </c>
      <c r="H12048" s="411">
        <v>0.56599999999999995</v>
      </c>
      <c r="I12048" s="412">
        <f>IF(AND(E12048&lt;&gt;"",G12048&lt;&gt;""),IF(D12048="",IF(G12048="OH",VLOOKUP(F12048,UPAH!$B$4:$H$101,7,0),0),0),0)</f>
        <v>0</v>
      </c>
      <c r="J12048" s="16">
        <f>H12048*I12048</f>
        <v>0</v>
      </c>
    </row>
    <row r="12049" spans="3:10" customFormat="1" ht="15" thickBot="1">
      <c r="C12049" s="10"/>
      <c r="D12049" s="413"/>
      <c r="E12049" s="414" t="s">
        <v>51</v>
      </c>
      <c r="F12049" s="414" t="s">
        <v>1929</v>
      </c>
      <c r="G12049" s="415" t="s">
        <v>48</v>
      </c>
      <c r="H12049" s="416">
        <v>5.3900000000000003E-2</v>
      </c>
      <c r="I12049" s="412">
        <f>IF(AND(E12049&lt;&gt;"",G12049&lt;&gt;""),IF(D12049="",IF(G12049="OH",VLOOKUP(F12049,UPAH!$B$4:$H$101,7,0),0),0),0)</f>
        <v>0</v>
      </c>
      <c r="J12049" s="16">
        <f>H12049*I12049</f>
        <v>0</v>
      </c>
    </row>
    <row r="12050" spans="3:10" customFormat="1" ht="15" thickBot="1">
      <c r="C12050" s="10"/>
      <c r="D12050" s="417"/>
      <c r="E12050" s="418"/>
      <c r="F12050" s="418"/>
      <c r="G12050" s="419"/>
      <c r="H12050" s="420" t="s">
        <v>52</v>
      </c>
      <c r="I12050" s="421"/>
      <c r="J12050" s="396">
        <f>SUM(J12048:J12049)</f>
        <v>0</v>
      </c>
    </row>
    <row r="12051" spans="3:10" customFormat="1" ht="14.5">
      <c r="C12051" s="10"/>
      <c r="D12051" s="422" t="s">
        <v>53</v>
      </c>
      <c r="E12051" s="423" t="s">
        <v>54</v>
      </c>
      <c r="F12051" s="424"/>
      <c r="G12051" s="425"/>
      <c r="H12051" s="426"/>
      <c r="I12051" s="427"/>
      <c r="J12051" s="428"/>
    </row>
    <row r="12052" spans="3:10" customFormat="1" ht="14.5">
      <c r="C12052" s="10"/>
      <c r="D12052" s="409"/>
      <c r="E12052" s="13"/>
      <c r="F12052" s="14"/>
      <c r="G12052" s="410"/>
      <c r="H12052" s="411"/>
      <c r="I12052" s="412"/>
      <c r="J12052" s="16"/>
    </row>
    <row r="12053" spans="3:10" customFormat="1" ht="15" thickBot="1">
      <c r="C12053" s="10"/>
      <c r="D12053" s="413"/>
      <c r="E12053" s="414"/>
      <c r="F12053" s="429"/>
      <c r="G12053" s="415"/>
      <c r="H12053" s="416"/>
      <c r="I12053" s="412"/>
      <c r="J12053" s="430"/>
    </row>
    <row r="12054" spans="3:10" customFormat="1" ht="15" thickBot="1">
      <c r="C12054" s="10"/>
      <c r="D12054" s="417"/>
      <c r="E12054" s="418"/>
      <c r="F12054" s="418"/>
      <c r="G12054" s="419"/>
      <c r="H12054" s="420" t="s">
        <v>64</v>
      </c>
      <c r="I12054" s="421"/>
      <c r="J12054" s="396">
        <f>SUM(J12051:J12053)</f>
        <v>0</v>
      </c>
    </row>
    <row r="12055" spans="3:10" customFormat="1" ht="14.5">
      <c r="C12055" s="10"/>
      <c r="D12055" s="444" t="s">
        <v>65</v>
      </c>
      <c r="E12055" s="445" t="s">
        <v>66</v>
      </c>
      <c r="F12055" s="446"/>
      <c r="G12055" s="447"/>
      <c r="H12055" s="448"/>
      <c r="I12055" s="449"/>
      <c r="J12055" s="450"/>
    </row>
    <row r="12056" spans="3:10" customFormat="1" ht="14.5">
      <c r="C12056" s="10"/>
      <c r="D12056" s="406"/>
      <c r="E12056" s="13" t="s">
        <v>3205</v>
      </c>
      <c r="F12056" s="14" t="s">
        <v>2962</v>
      </c>
      <c r="G12056" s="15" t="s">
        <v>137</v>
      </c>
      <c r="H12056" s="451">
        <v>0.11749999999999999</v>
      </c>
      <c r="I12056" s="412">
        <f>IF(AND(E12056&lt;&gt;"",G12056&lt;&gt;""),IF(D12056="",IF(G12056="OH",VLOOKUP(F12056,UPAH!$B$4:$H$101,7,0),VLOOKUP(F12056,Alat!E$9:J$132,4,0)),0),0)/3</f>
        <v>0</v>
      </c>
      <c r="J12056" s="16">
        <f>H12056*I12056</f>
        <v>0</v>
      </c>
    </row>
    <row r="12057" spans="3:10" customFormat="1" ht="14.5">
      <c r="C12057" s="10"/>
      <c r="D12057" s="406"/>
      <c r="E12057" s="13"/>
      <c r="F12057" s="14"/>
      <c r="G12057" s="15"/>
      <c r="H12057" s="451"/>
      <c r="I12057" s="412"/>
      <c r="J12057" s="16"/>
    </row>
    <row r="12058" spans="3:10" customFormat="1" ht="15" thickBot="1">
      <c r="C12058" s="10"/>
      <c r="D12058" s="516"/>
      <c r="E12058" s="460"/>
      <c r="F12058" s="461"/>
      <c r="G12058" s="517"/>
      <c r="H12058" s="518"/>
      <c r="I12058" s="464"/>
      <c r="J12058" s="465"/>
    </row>
    <row r="12059" spans="3:10" customFormat="1" ht="15" thickBot="1">
      <c r="C12059" s="10"/>
      <c r="D12059" s="417"/>
      <c r="E12059" s="418"/>
      <c r="F12059" s="418"/>
      <c r="G12059" s="419"/>
      <c r="H12059" s="420" t="s">
        <v>67</v>
      </c>
      <c r="I12059" s="421"/>
      <c r="J12059" s="396">
        <f>SUM(J12055:J12058)</f>
        <v>0</v>
      </c>
    </row>
    <row r="12060" spans="3:10" customFormat="1" ht="14.5">
      <c r="C12060" s="10"/>
      <c r="D12060" s="422" t="s">
        <v>68</v>
      </c>
      <c r="E12060" s="423" t="s">
        <v>69</v>
      </c>
      <c r="F12060" s="424"/>
      <c r="G12060" s="425"/>
      <c r="H12060" s="426"/>
      <c r="I12060" s="427"/>
      <c r="J12060" s="428">
        <f>SUM(J12048:J12059)/2</f>
        <v>0</v>
      </c>
    </row>
    <row r="12061" spans="3:10" customFormat="1" ht="15" thickBot="1">
      <c r="C12061" s="10"/>
      <c r="D12061" s="438" t="s">
        <v>70</v>
      </c>
      <c r="E12061" s="414" t="s">
        <v>477</v>
      </c>
      <c r="F12061" s="429"/>
      <c r="G12061" s="439"/>
      <c r="H12061" s="440">
        <v>0.1</v>
      </c>
      <c r="I12061" s="441"/>
      <c r="J12061" s="430">
        <f>H12061*J12060</f>
        <v>0</v>
      </c>
    </row>
    <row r="12062" spans="3:10" customFormat="1" ht="15" thickBot="1">
      <c r="C12062" s="10"/>
      <c r="D12062" s="401" t="s">
        <v>71</v>
      </c>
      <c r="E12062" s="402" t="s">
        <v>72</v>
      </c>
      <c r="F12062" s="418"/>
      <c r="G12062" s="419"/>
      <c r="H12062" s="442"/>
      <c r="I12062" s="421"/>
      <c r="J12062" s="396">
        <f>ROUNDDOWN(J12060+J12061,0)</f>
        <v>0</v>
      </c>
    </row>
    <row r="12063" spans="3:10" customFormat="1" ht="14.5">
      <c r="C12063" s="10"/>
      <c r="D12063" s="11"/>
      <c r="E12063" s="11"/>
      <c r="F12063" s="10"/>
      <c r="G12063" s="12"/>
      <c r="H12063" s="443"/>
      <c r="I12063" s="10"/>
      <c r="J12063" s="10"/>
    </row>
    <row r="12064" spans="3:10" customFormat="1" ht="14.5"/>
    <row r="12065" spans="3:10" customFormat="1" ht="15" thickBot="1">
      <c r="C12065" s="12"/>
      <c r="D12065" s="11" t="s">
        <v>3855</v>
      </c>
      <c r="E12065" s="10"/>
      <c r="F12065" s="10"/>
      <c r="G12065" s="12"/>
      <c r="H12065" s="397"/>
      <c r="I12065" s="10"/>
      <c r="J12065" s="10"/>
    </row>
    <row r="12066" spans="3:10" customFormat="1" ht="15" thickBot="1">
      <c r="C12066" s="10"/>
      <c r="D12066" s="560" t="s">
        <v>40</v>
      </c>
      <c r="E12066" s="561" t="s">
        <v>41</v>
      </c>
      <c r="F12066" s="561" t="s">
        <v>42</v>
      </c>
      <c r="G12066" s="561" t="s">
        <v>43</v>
      </c>
      <c r="H12066" s="561" t="s">
        <v>44</v>
      </c>
      <c r="I12066" s="561" t="s">
        <v>474</v>
      </c>
      <c r="J12066" s="562" t="s">
        <v>475</v>
      </c>
    </row>
    <row r="12067" spans="3:10" customFormat="1" ht="14.5">
      <c r="C12067" s="10"/>
      <c r="D12067" s="406" t="s">
        <v>45</v>
      </c>
      <c r="E12067" s="13" t="s">
        <v>46</v>
      </c>
      <c r="F12067" s="14"/>
      <c r="G12067" s="15"/>
      <c r="H12067" s="407"/>
      <c r="I12067" s="14"/>
      <c r="J12067" s="408"/>
    </row>
    <row r="12068" spans="3:10" customFormat="1" ht="14.5">
      <c r="C12068" s="10"/>
      <c r="D12068" s="409"/>
      <c r="E12068" s="13" t="s">
        <v>47</v>
      </c>
      <c r="F12068" s="13" t="s">
        <v>1918</v>
      </c>
      <c r="G12068" s="410" t="s">
        <v>48</v>
      </c>
      <c r="H12068" s="411">
        <v>0.15</v>
      </c>
      <c r="I12068" s="412">
        <f>IF(AND(E12068&lt;&gt;"",G12068&lt;&gt;""),IF(D12068="",IF(G12068="OH",VLOOKUP(F12068,UPAH!$B$4:$H$101,7,0),0),0),0)</f>
        <v>0</v>
      </c>
      <c r="J12068" s="16">
        <f>H12068*I12068</f>
        <v>0</v>
      </c>
    </row>
    <row r="12069" spans="3:10" customFormat="1" ht="14.5">
      <c r="C12069" s="10"/>
      <c r="D12069" s="413"/>
      <c r="E12069" s="414" t="s">
        <v>115</v>
      </c>
      <c r="F12069" s="414" t="s">
        <v>1921</v>
      </c>
      <c r="G12069" s="410" t="s">
        <v>48</v>
      </c>
      <c r="H12069" s="416">
        <v>0.2</v>
      </c>
      <c r="I12069" s="412">
        <f>IF(AND(E12069&lt;&gt;"",G12069&lt;&gt;""),IF(D12069="",IF(G12069="OH",VLOOKUP(F12069,UPAH!$B$4:$H$101,7,0),0),0),0)</f>
        <v>0</v>
      </c>
      <c r="J12069" s="16">
        <f>H12069*I12069</f>
        <v>0</v>
      </c>
    </row>
    <row r="12070" spans="3:10" customFormat="1" ht="14.5">
      <c r="C12070" s="10"/>
      <c r="D12070" s="413"/>
      <c r="E12070" s="414" t="s">
        <v>97</v>
      </c>
      <c r="F12070" s="414" t="s">
        <v>1928</v>
      </c>
      <c r="G12070" s="410" t="s">
        <v>48</v>
      </c>
      <c r="H12070" s="416">
        <v>0.02</v>
      </c>
      <c r="I12070" s="412">
        <f>IF(AND(E12070&lt;&gt;"",G12070&lt;&gt;""),IF(D12070="",IF(G12070="OH",VLOOKUP(F12070,UPAH!$B$4:$H$101,7,0),0),0),0)</f>
        <v>0</v>
      </c>
      <c r="J12070" s="16">
        <f>H12070*I12070</f>
        <v>0</v>
      </c>
    </row>
    <row r="12071" spans="3:10" customFormat="1" ht="15" thickBot="1">
      <c r="C12071" s="10"/>
      <c r="D12071" s="413"/>
      <c r="E12071" s="414" t="s">
        <v>51</v>
      </c>
      <c r="F12071" s="414" t="s">
        <v>1929</v>
      </c>
      <c r="G12071" s="410" t="s">
        <v>48</v>
      </c>
      <c r="H12071" s="416">
        <v>0.01</v>
      </c>
      <c r="I12071" s="412">
        <f>IF(AND(E12071&lt;&gt;"",G12071&lt;&gt;""),IF(D12071="",IF(G12071="OH",VLOOKUP(F12071,UPAH!$B$4:$H$101,7,0),0),0),0)</f>
        <v>0</v>
      </c>
      <c r="J12071" s="16">
        <f>H12071*I12071</f>
        <v>0</v>
      </c>
    </row>
    <row r="12072" spans="3:10" customFormat="1" ht="15" thickBot="1">
      <c r="C12072" s="10"/>
      <c r="D12072" s="417"/>
      <c r="E12072" s="418"/>
      <c r="F12072" s="418"/>
      <c r="G12072" s="419"/>
      <c r="H12072" s="420" t="s">
        <v>52</v>
      </c>
      <c r="I12072" s="421"/>
      <c r="J12072" s="396">
        <f>SUM(J12068:J12071)</f>
        <v>0</v>
      </c>
    </row>
    <row r="12073" spans="3:10" customFormat="1" ht="14.5">
      <c r="C12073" s="10"/>
      <c r="D12073" s="422" t="s">
        <v>53</v>
      </c>
      <c r="E12073" s="423" t="s">
        <v>54</v>
      </c>
      <c r="F12073" s="424"/>
      <c r="G12073" s="425"/>
      <c r="H12073" s="426"/>
      <c r="I12073" s="427"/>
      <c r="J12073" s="428"/>
    </row>
    <row r="12074" spans="3:10" customFormat="1" ht="14.5">
      <c r="C12074" s="10"/>
      <c r="D12074" s="409"/>
      <c r="E12074" s="13" t="s">
        <v>3856</v>
      </c>
      <c r="F12074" s="14"/>
      <c r="G12074" s="410" t="s">
        <v>124</v>
      </c>
      <c r="H12074" s="411">
        <v>2</v>
      </c>
      <c r="I12074" s="563">
        <f>+'BAHAN '!G900</f>
        <v>0</v>
      </c>
      <c r="J12074" s="16">
        <f>H12074*I12074</f>
        <v>0</v>
      </c>
    </row>
    <row r="12075" spans="3:10" customFormat="1" ht="14.5">
      <c r="C12075" s="10"/>
      <c r="D12075" s="413"/>
      <c r="E12075" s="414" t="s">
        <v>2011</v>
      </c>
      <c r="F12075" s="429"/>
      <c r="G12075" s="415" t="s">
        <v>1959</v>
      </c>
      <c r="H12075" s="416">
        <v>8.0000000000000002E-3</v>
      </c>
      <c r="I12075" s="412">
        <f>'BAHAN '!G59</f>
        <v>0</v>
      </c>
      <c r="J12075" s="16">
        <f>H12075*I12075</f>
        <v>0</v>
      </c>
    </row>
    <row r="12076" spans="3:10" customFormat="1" ht="14.5">
      <c r="C12076" s="10"/>
      <c r="D12076" s="413"/>
      <c r="E12076" s="414" t="s">
        <v>2017</v>
      </c>
      <c r="F12076" s="429"/>
      <c r="G12076" s="415" t="s">
        <v>57</v>
      </c>
      <c r="H12076" s="416">
        <v>3</v>
      </c>
      <c r="I12076" s="412">
        <f>'BAHAN '!G72</f>
        <v>0</v>
      </c>
      <c r="J12076" s="16">
        <f>H12076*I12076</f>
        <v>0</v>
      </c>
    </row>
    <row r="12077" spans="3:10" customFormat="1" ht="15" thickBot="1">
      <c r="C12077" s="10"/>
      <c r="D12077" s="413"/>
      <c r="E12077" s="414"/>
      <c r="F12077" s="429"/>
      <c r="G12077" s="415"/>
      <c r="H12077" s="416"/>
      <c r="I12077" s="412"/>
      <c r="J12077" s="430"/>
    </row>
    <row r="12078" spans="3:10" customFormat="1" ht="15" thickBot="1">
      <c r="C12078" s="10"/>
      <c r="D12078" s="417"/>
      <c r="E12078" s="418"/>
      <c r="F12078" s="418"/>
      <c r="G12078" s="419"/>
      <c r="H12078" s="420" t="s">
        <v>64</v>
      </c>
      <c r="I12078" s="421"/>
      <c r="J12078" s="396">
        <f>SUM(J12073:J12077)</f>
        <v>0</v>
      </c>
    </row>
    <row r="12079" spans="3:10" customFormat="1" ht="14.5">
      <c r="C12079" s="10"/>
      <c r="D12079" s="444" t="s">
        <v>65</v>
      </c>
      <c r="E12079" s="445" t="s">
        <v>66</v>
      </c>
      <c r="F12079" s="446"/>
      <c r="G12079" s="447"/>
      <c r="H12079" s="448"/>
      <c r="I12079" s="449"/>
      <c r="J12079" s="450"/>
    </row>
    <row r="12080" spans="3:10" customFormat="1" ht="14.5">
      <c r="C12080" s="10"/>
      <c r="D12080" s="406"/>
      <c r="E12080" s="13"/>
      <c r="F12080" s="14"/>
      <c r="G12080" s="15"/>
      <c r="H12080" s="451"/>
      <c r="I12080" s="412"/>
      <c r="J12080" s="16"/>
    </row>
    <row r="12081" spans="3:10" customFormat="1" ht="15" thickBot="1">
      <c r="C12081" s="10"/>
      <c r="D12081" s="516"/>
      <c r="E12081" s="460"/>
      <c r="F12081" s="461"/>
      <c r="G12081" s="517"/>
      <c r="H12081" s="518"/>
      <c r="I12081" s="464"/>
      <c r="J12081" s="465"/>
    </row>
    <row r="12082" spans="3:10" customFormat="1" ht="15" thickBot="1">
      <c r="C12082" s="10"/>
      <c r="D12082" s="417"/>
      <c r="E12082" s="418"/>
      <c r="F12082" s="418"/>
      <c r="G12082" s="419"/>
      <c r="H12082" s="420" t="s">
        <v>67</v>
      </c>
      <c r="I12082" s="421"/>
      <c r="J12082" s="396">
        <f>SUM(J12079:J12081)</f>
        <v>0</v>
      </c>
    </row>
    <row r="12083" spans="3:10" customFormat="1" ht="14.5">
      <c r="C12083" s="10"/>
      <c r="D12083" s="422" t="s">
        <v>68</v>
      </c>
      <c r="E12083" s="423" t="s">
        <v>69</v>
      </c>
      <c r="F12083" s="424"/>
      <c r="G12083" s="425"/>
      <c r="H12083" s="426"/>
      <c r="I12083" s="427"/>
      <c r="J12083" s="428">
        <f>SUM(J12068:J12082)/2</f>
        <v>0</v>
      </c>
    </row>
    <row r="12084" spans="3:10" customFormat="1" ht="15" thickBot="1">
      <c r="C12084" s="10"/>
      <c r="D12084" s="438" t="s">
        <v>70</v>
      </c>
      <c r="E12084" s="414" t="s">
        <v>477</v>
      </c>
      <c r="F12084" s="429"/>
      <c r="G12084" s="439"/>
      <c r="H12084" s="440">
        <v>0.1</v>
      </c>
      <c r="I12084" s="441"/>
      <c r="J12084" s="430">
        <f>H12084*J12083</f>
        <v>0</v>
      </c>
    </row>
    <row r="12085" spans="3:10" customFormat="1" ht="15" thickBot="1">
      <c r="C12085" s="10"/>
      <c r="D12085" s="401" t="s">
        <v>71</v>
      </c>
      <c r="E12085" s="402" t="s">
        <v>72</v>
      </c>
      <c r="F12085" s="418"/>
      <c r="G12085" s="419"/>
      <c r="H12085" s="442"/>
      <c r="I12085" s="421"/>
      <c r="J12085" s="396">
        <f>ROUNDDOWN(J12083+J12084,0)</f>
        <v>0</v>
      </c>
    </row>
    <row r="12086" spans="3:10" customFormat="1" ht="14.5">
      <c r="C12086" s="10"/>
      <c r="D12086" s="11"/>
      <c r="E12086" s="11"/>
      <c r="F12086" s="10"/>
      <c r="G12086" s="12"/>
      <c r="H12086" s="443"/>
      <c r="I12086" s="17"/>
      <c r="J12086" s="18"/>
    </row>
    <row r="12087" spans="3:10" customFormat="1" ht="15" thickBot="1">
      <c r="C12087" s="12"/>
      <c r="D12087" s="11" t="s">
        <v>4070</v>
      </c>
      <c r="E12087" s="10"/>
      <c r="F12087" s="10"/>
      <c r="G12087" s="12"/>
      <c r="H12087" s="397"/>
      <c r="I12087" s="10"/>
      <c r="J12087" s="10"/>
    </row>
    <row r="12088" spans="3:10" customFormat="1" ht="15" thickBot="1">
      <c r="C12088" s="10"/>
      <c r="D12088" s="560" t="s">
        <v>40</v>
      </c>
      <c r="E12088" s="561" t="s">
        <v>41</v>
      </c>
      <c r="F12088" s="561" t="s">
        <v>42</v>
      </c>
      <c r="G12088" s="561" t="s">
        <v>43</v>
      </c>
      <c r="H12088" s="561" t="s">
        <v>44</v>
      </c>
      <c r="I12088" s="561" t="s">
        <v>474</v>
      </c>
      <c r="J12088" s="562" t="s">
        <v>475</v>
      </c>
    </row>
    <row r="12089" spans="3:10" customFormat="1" ht="14.5">
      <c r="C12089" s="10"/>
      <c r="D12089" s="406" t="s">
        <v>45</v>
      </c>
      <c r="E12089" s="13" t="s">
        <v>46</v>
      </c>
      <c r="F12089" s="14"/>
      <c r="G12089" s="15"/>
      <c r="H12089" s="407"/>
      <c r="I12089" s="14"/>
      <c r="J12089" s="408"/>
    </row>
    <row r="12090" spans="3:10" customFormat="1" ht="14.5">
      <c r="C12090" s="10"/>
      <c r="D12090" s="409"/>
      <c r="E12090" s="13" t="s">
        <v>47</v>
      </c>
      <c r="F12090" s="13" t="s">
        <v>1918</v>
      </c>
      <c r="G12090" s="410" t="s">
        <v>48</v>
      </c>
      <c r="H12090" s="411">
        <v>0.2</v>
      </c>
      <c r="I12090" s="412">
        <f>IF(AND(E12090&lt;&gt;"",G12090&lt;&gt;""),IF(D12090="",IF(G12090="OH",VLOOKUP(F12090,UPAH!$B$4:$H$101,7,0),0),0),0)</f>
        <v>0</v>
      </c>
      <c r="J12090" s="16">
        <f>H12090*I12090</f>
        <v>0</v>
      </c>
    </row>
    <row r="12091" spans="3:10" customFormat="1" ht="14.5">
      <c r="C12091" s="10"/>
      <c r="D12091" s="413"/>
      <c r="E12091" s="414" t="s">
        <v>115</v>
      </c>
      <c r="F12091" s="414" t="s">
        <v>1921</v>
      </c>
      <c r="G12091" s="410" t="s">
        <v>48</v>
      </c>
      <c r="H12091" s="416">
        <v>0.1</v>
      </c>
      <c r="I12091" s="412">
        <f>IF(AND(E12091&lt;&gt;"",G12091&lt;&gt;""),IF(D12091="",IF(G12091="OH",VLOOKUP(F12091,UPAH!$B$4:$H$101,7,0),0),0),0)</f>
        <v>0</v>
      </c>
      <c r="J12091" s="16">
        <f>H12091*I12091</f>
        <v>0</v>
      </c>
    </row>
    <row r="12092" spans="3:10" customFormat="1" ht="14.5">
      <c r="C12092" s="10"/>
      <c r="D12092" s="413"/>
      <c r="E12092" s="414" t="s">
        <v>97</v>
      </c>
      <c r="F12092" s="414" t="s">
        <v>1928</v>
      </c>
      <c r="G12092" s="410" t="s">
        <v>48</v>
      </c>
      <c r="H12092" s="416">
        <v>0.01</v>
      </c>
      <c r="I12092" s="412">
        <f>IF(AND(E12092&lt;&gt;"",G12092&lt;&gt;""),IF(D12092="",IF(G12092="OH",VLOOKUP(F12092,UPAH!$B$4:$H$101,7,0),0),0),0)</f>
        <v>0</v>
      </c>
      <c r="J12092" s="16">
        <f>H12092*I12092</f>
        <v>0</v>
      </c>
    </row>
    <row r="12093" spans="3:10" customFormat="1" ht="15" thickBot="1">
      <c r="C12093" s="10"/>
      <c r="D12093" s="413"/>
      <c r="E12093" s="414" t="s">
        <v>51</v>
      </c>
      <c r="F12093" s="414" t="s">
        <v>1929</v>
      </c>
      <c r="G12093" s="410" t="s">
        <v>48</v>
      </c>
      <c r="H12093" s="416">
        <v>3.0000000000000001E-3</v>
      </c>
      <c r="I12093" s="412">
        <f>IF(AND(E12093&lt;&gt;"",G12093&lt;&gt;""),IF(D12093="",IF(G12093="OH",VLOOKUP(F12093,UPAH!$B$4:$H$101,7,0),0),0),0)</f>
        <v>0</v>
      </c>
      <c r="J12093" s="16">
        <f>H12093*I12093</f>
        <v>0</v>
      </c>
    </row>
    <row r="12094" spans="3:10" customFormat="1" ht="15" thickBot="1">
      <c r="C12094" s="10"/>
      <c r="D12094" s="417"/>
      <c r="E12094" s="418"/>
      <c r="F12094" s="418"/>
      <c r="G12094" s="419"/>
      <c r="H12094" s="420" t="s">
        <v>52</v>
      </c>
      <c r="I12094" s="421"/>
      <c r="J12094" s="396">
        <f>SUM(J12090:J12093)</f>
        <v>0</v>
      </c>
    </row>
    <row r="12095" spans="3:10" customFormat="1" ht="14.5">
      <c r="C12095" s="10"/>
      <c r="D12095" s="422" t="s">
        <v>53</v>
      </c>
      <c r="E12095" s="423" t="s">
        <v>54</v>
      </c>
      <c r="F12095" s="424"/>
      <c r="G12095" s="425"/>
      <c r="H12095" s="426"/>
      <c r="I12095" s="427"/>
      <c r="J12095" s="428"/>
    </row>
    <row r="12096" spans="3:10" customFormat="1" ht="14.5">
      <c r="C12096" s="10"/>
      <c r="D12096" s="409"/>
      <c r="E12096" s="13" t="s">
        <v>4071</v>
      </c>
      <c r="F12096" s="14"/>
      <c r="G12096" s="410" t="s">
        <v>376</v>
      </c>
      <c r="H12096" s="411">
        <v>1.05</v>
      </c>
      <c r="I12096" s="563">
        <f>+'BAHAN '!G63</f>
        <v>0</v>
      </c>
      <c r="J12096" s="16">
        <f>H12096*I12096</f>
        <v>0</v>
      </c>
    </row>
    <row r="12097" spans="3:10" customFormat="1" ht="14.5">
      <c r="C12097" s="10"/>
      <c r="D12097" s="413"/>
      <c r="E12097" s="414" t="s">
        <v>3857</v>
      </c>
      <c r="F12097" s="429"/>
      <c r="G12097" s="415" t="s">
        <v>1959</v>
      </c>
      <c r="H12097" s="416">
        <v>0.06</v>
      </c>
      <c r="I12097" s="412">
        <f>+'BAHAN '!G58</f>
        <v>0</v>
      </c>
      <c r="J12097" s="16">
        <f>H12097*I12097</f>
        <v>0</v>
      </c>
    </row>
    <row r="12098" spans="3:10" customFormat="1" ht="14.5">
      <c r="C12098" s="10"/>
      <c r="D12098" s="413"/>
      <c r="E12098" s="414" t="s">
        <v>126</v>
      </c>
      <c r="F12098" s="429"/>
      <c r="G12098" s="415" t="s">
        <v>1959</v>
      </c>
      <c r="H12098" s="416">
        <v>3.0000000000000001E-3</v>
      </c>
      <c r="I12098" s="412">
        <f>'BAHAN '!G94</f>
        <v>0</v>
      </c>
      <c r="J12098" s="16">
        <f>H12098*I12098</f>
        <v>0</v>
      </c>
    </row>
    <row r="12099" spans="3:10" customFormat="1" ht="15" thickBot="1">
      <c r="C12099" s="10"/>
      <c r="D12099" s="413"/>
      <c r="E12099" s="414"/>
      <c r="F12099" s="429"/>
      <c r="G12099" s="415"/>
      <c r="H12099" s="416"/>
      <c r="I12099" s="412"/>
      <c r="J12099" s="430"/>
    </row>
    <row r="12100" spans="3:10" customFormat="1" ht="15" thickBot="1">
      <c r="C12100" s="10"/>
      <c r="D12100" s="417"/>
      <c r="E12100" s="418"/>
      <c r="F12100" s="418"/>
      <c r="G12100" s="419"/>
      <c r="H12100" s="420" t="s">
        <v>64</v>
      </c>
      <c r="I12100" s="421"/>
      <c r="J12100" s="396">
        <f>SUM(J12095:J12099)</f>
        <v>0</v>
      </c>
    </row>
    <row r="12101" spans="3:10" customFormat="1" ht="14.5">
      <c r="C12101" s="10"/>
      <c r="D12101" s="444" t="s">
        <v>65</v>
      </c>
      <c r="E12101" s="445" t="s">
        <v>66</v>
      </c>
      <c r="F12101" s="446"/>
      <c r="G12101" s="447"/>
      <c r="H12101" s="448"/>
      <c r="I12101" s="449"/>
      <c r="J12101" s="450"/>
    </row>
    <row r="12102" spans="3:10" customFormat="1" ht="14.5">
      <c r="C12102" s="10"/>
      <c r="D12102" s="406"/>
      <c r="E12102" s="13"/>
      <c r="F12102" s="14"/>
      <c r="G12102" s="15"/>
      <c r="H12102" s="451"/>
      <c r="I12102" s="412"/>
      <c r="J12102" s="16"/>
    </row>
    <row r="12103" spans="3:10" customFormat="1" ht="15" thickBot="1">
      <c r="C12103" s="10"/>
      <c r="D12103" s="516"/>
      <c r="E12103" s="460"/>
      <c r="F12103" s="461"/>
      <c r="G12103" s="517"/>
      <c r="H12103" s="518"/>
      <c r="I12103" s="464"/>
      <c r="J12103" s="465"/>
    </row>
    <row r="12104" spans="3:10" customFormat="1" ht="15" thickBot="1">
      <c r="C12104" s="10"/>
      <c r="D12104" s="417"/>
      <c r="E12104" s="418"/>
      <c r="F12104" s="418"/>
      <c r="G12104" s="419"/>
      <c r="H12104" s="420" t="s">
        <v>67</v>
      </c>
      <c r="I12104" s="421"/>
      <c r="J12104" s="396">
        <f>SUM(J12101:J12103)</f>
        <v>0</v>
      </c>
    </row>
    <row r="12105" spans="3:10" customFormat="1" ht="14.5">
      <c r="C12105" s="10"/>
      <c r="D12105" s="422" t="s">
        <v>68</v>
      </c>
      <c r="E12105" s="423" t="s">
        <v>69</v>
      </c>
      <c r="F12105" s="424"/>
      <c r="G12105" s="425"/>
      <c r="H12105" s="426"/>
      <c r="I12105" s="427"/>
      <c r="J12105" s="428">
        <f>SUM(J12090:J12104)/2</f>
        <v>0</v>
      </c>
    </row>
    <row r="12106" spans="3:10" customFormat="1" ht="15" thickBot="1">
      <c r="C12106" s="10"/>
      <c r="D12106" s="438" t="s">
        <v>70</v>
      </c>
      <c r="E12106" s="414" t="s">
        <v>477</v>
      </c>
      <c r="F12106" s="429"/>
      <c r="G12106" s="439"/>
      <c r="H12106" s="440">
        <v>0.1</v>
      </c>
      <c r="I12106" s="441"/>
      <c r="J12106" s="430">
        <f>H12106*J12105</f>
        <v>0</v>
      </c>
    </row>
    <row r="12107" spans="3:10" customFormat="1" ht="15" thickBot="1">
      <c r="C12107" s="10"/>
      <c r="D12107" s="401" t="s">
        <v>71</v>
      </c>
      <c r="E12107" s="402" t="s">
        <v>72</v>
      </c>
      <c r="F12107" s="418"/>
      <c r="G12107" s="419"/>
      <c r="H12107" s="442"/>
      <c r="I12107" s="421"/>
      <c r="J12107" s="396">
        <f>ROUNDDOWN(J12105+J12106,0)</f>
        <v>0</v>
      </c>
    </row>
    <row r="12108" spans="3:10" customFormat="1" ht="14.5">
      <c r="C12108" s="10"/>
      <c r="D12108" s="11"/>
      <c r="E12108" s="11"/>
      <c r="F12108" s="10"/>
      <c r="G12108" s="12"/>
      <c r="H12108" s="443"/>
      <c r="I12108" s="17"/>
      <c r="J12108" s="18"/>
    </row>
    <row r="12109" spans="3:10" customFormat="1" ht="15" thickBot="1">
      <c r="C12109" s="10"/>
      <c r="D12109" s="10" t="s">
        <v>3226</v>
      </c>
      <c r="E12109" s="10"/>
      <c r="F12109" s="10"/>
      <c r="G12109" s="12"/>
      <c r="H12109" s="443"/>
      <c r="I12109" s="10"/>
      <c r="J12109" s="10"/>
    </row>
    <row r="12110" spans="3:10" customFormat="1" ht="15" thickBot="1">
      <c r="C12110" s="10"/>
      <c r="D12110" s="401" t="s">
        <v>40</v>
      </c>
      <c r="E12110" s="402" t="s">
        <v>41</v>
      </c>
      <c r="F12110" s="402" t="s">
        <v>42</v>
      </c>
      <c r="G12110" s="403" t="s">
        <v>43</v>
      </c>
      <c r="H12110" s="404" t="s">
        <v>44</v>
      </c>
      <c r="I12110" s="402" t="s">
        <v>474</v>
      </c>
      <c r="J12110" s="405" t="s">
        <v>475</v>
      </c>
    </row>
    <row r="12111" spans="3:10" customFormat="1" ht="14.5">
      <c r="C12111" s="10"/>
      <c r="D12111" s="406" t="s">
        <v>45</v>
      </c>
      <c r="E12111" s="13" t="s">
        <v>46</v>
      </c>
      <c r="F12111" s="14"/>
      <c r="G12111" s="15"/>
      <c r="H12111" s="451"/>
      <c r="I12111" s="412"/>
      <c r="J12111" s="16"/>
    </row>
    <row r="12112" spans="3:10" customFormat="1" ht="14.5">
      <c r="C12112" s="10"/>
      <c r="D12112" s="409"/>
      <c r="E12112" s="13" t="s">
        <v>47</v>
      </c>
      <c r="F12112" s="13" t="s">
        <v>1918</v>
      </c>
      <c r="G12112" s="410" t="s">
        <v>48</v>
      </c>
      <c r="H12112" s="411">
        <v>0.35</v>
      </c>
      <c r="I12112" s="412">
        <f>IF(AND(E12112&lt;&gt;"",G12112&lt;&gt;""),IF(D12112="",IF(G12112="OH",VLOOKUP(F12112,UPAH!$B$4:$H$101,7,0),VLOOKUP(F12112,#REF!,4,0)),0),0)</f>
        <v>0</v>
      </c>
      <c r="J12112" s="16">
        <f>H12112*I12112</f>
        <v>0</v>
      </c>
    </row>
    <row r="12113" spans="3:10" customFormat="1" ht="14.5">
      <c r="C12113" s="10"/>
      <c r="D12113" s="409"/>
      <c r="E12113" s="13" t="s">
        <v>485</v>
      </c>
      <c r="F12113" s="13" t="s">
        <v>1923</v>
      </c>
      <c r="G12113" s="410" t="s">
        <v>48</v>
      </c>
      <c r="H12113" s="411">
        <v>0.35</v>
      </c>
      <c r="I12113" s="412">
        <f>IF(AND(E12113&lt;&gt;"",G12113&lt;&gt;""),IF(D12113="",IF(G12113="OH",VLOOKUP(F12113,UPAH!$B$4:$H$101,7,0),VLOOKUP(F12113,#REF!,4,0)),0),0)</f>
        <v>0</v>
      </c>
      <c r="J12113" s="16">
        <f>H12113*I12113</f>
        <v>0</v>
      </c>
    </row>
    <row r="12114" spans="3:10" customFormat="1" ht="14.5">
      <c r="C12114" s="10"/>
      <c r="D12114" s="409"/>
      <c r="E12114" s="13" t="s">
        <v>97</v>
      </c>
      <c r="F12114" s="13" t="s">
        <v>1928</v>
      </c>
      <c r="G12114" s="410" t="s">
        <v>48</v>
      </c>
      <c r="H12114" s="411">
        <v>3.5000000000000003E-2</v>
      </c>
      <c r="I12114" s="412">
        <f>IF(AND(E12114&lt;&gt;"",G12114&lt;&gt;""),IF(D12114="",IF(G12114="OH",VLOOKUP(F12114,UPAH!$B$4:$H$101,7,0),VLOOKUP(F12114,#REF!,4,0)),0),0)</f>
        <v>0</v>
      </c>
      <c r="J12114" s="16">
        <f>H12114*I12114</f>
        <v>0</v>
      </c>
    </row>
    <row r="12115" spans="3:10" customFormat="1" ht="15" thickBot="1">
      <c r="C12115" s="10"/>
      <c r="D12115" s="409"/>
      <c r="E12115" s="13" t="s">
        <v>51</v>
      </c>
      <c r="F12115" s="13" t="s">
        <v>1929</v>
      </c>
      <c r="G12115" s="410" t="s">
        <v>48</v>
      </c>
      <c r="H12115" s="411">
        <v>1.7999999999999999E-2</v>
      </c>
      <c r="I12115" s="412">
        <f>IF(AND(E12115&lt;&gt;"",G12115&lt;&gt;""),IF(D12115="",IF(G12115="OH",VLOOKUP(F12115,UPAH!$B$4:$H$101,7,0),VLOOKUP(F12115,#REF!,4,0)),0),0)</f>
        <v>0</v>
      </c>
      <c r="J12115" s="16">
        <f>H12115*I12115</f>
        <v>0</v>
      </c>
    </row>
    <row r="12116" spans="3:10" customFormat="1" ht="15" thickBot="1">
      <c r="C12116" s="10"/>
      <c r="D12116" s="417"/>
      <c r="E12116" s="418"/>
      <c r="F12116" s="418"/>
      <c r="G12116" s="419"/>
      <c r="H12116" s="420" t="s">
        <v>52</v>
      </c>
      <c r="I12116" s="421"/>
      <c r="J12116" s="396">
        <f>SUM(J12112:J12115)</f>
        <v>0</v>
      </c>
    </row>
    <row r="12117" spans="3:10" customFormat="1" ht="14.5">
      <c r="C12117" s="10"/>
      <c r="D12117" s="406" t="s">
        <v>53</v>
      </c>
      <c r="E12117" s="13" t="s">
        <v>54</v>
      </c>
      <c r="F12117" s="14"/>
      <c r="G12117" s="15"/>
      <c r="H12117" s="451"/>
      <c r="I12117" s="412"/>
      <c r="J12117" s="16"/>
    </row>
    <row r="12118" spans="3:10" customFormat="1" ht="14.5">
      <c r="C12118" s="10"/>
      <c r="D12118" s="409"/>
      <c r="E12118" s="13" t="s">
        <v>3227</v>
      </c>
      <c r="F12118" s="14"/>
      <c r="G12118" s="410" t="s">
        <v>156</v>
      </c>
      <c r="H12118" s="411">
        <v>4</v>
      </c>
      <c r="I12118" s="412">
        <f>$I$2548</f>
        <v>0</v>
      </c>
      <c r="J12118" s="16">
        <f>H12118*I12118</f>
        <v>0</v>
      </c>
    </row>
    <row r="12119" spans="3:10" customFormat="1" ht="14.5">
      <c r="C12119" s="10"/>
      <c r="D12119" s="409"/>
      <c r="E12119" s="13" t="s">
        <v>3228</v>
      </c>
      <c r="F12119" s="14"/>
      <c r="G12119" s="410" t="s">
        <v>3170</v>
      </c>
      <c r="H12119" s="411">
        <v>2</v>
      </c>
      <c r="I12119" s="412"/>
      <c r="J12119" s="16"/>
    </row>
    <row r="12120" spans="3:10" customFormat="1" ht="15" thickBot="1">
      <c r="C12120" s="10"/>
      <c r="D12120" s="409"/>
      <c r="E12120" s="13" t="s">
        <v>157</v>
      </c>
      <c r="F12120" s="14"/>
      <c r="G12120" s="410" t="s">
        <v>158</v>
      </c>
      <c r="H12120" s="411">
        <v>1</v>
      </c>
      <c r="I12120" s="412">
        <f>J12118</f>
        <v>0</v>
      </c>
      <c r="J12120" s="16">
        <f>H12120*I12120</f>
        <v>0</v>
      </c>
    </row>
    <row r="12121" spans="3:10" customFormat="1" ht="15" thickBot="1">
      <c r="C12121" s="10"/>
      <c r="D12121" s="417"/>
      <c r="E12121" s="418"/>
      <c r="F12121" s="418"/>
      <c r="G12121" s="419"/>
      <c r="H12121" s="420" t="s">
        <v>64</v>
      </c>
      <c r="I12121" s="421"/>
      <c r="J12121" s="396">
        <f>SUM(J12117:J12120)</f>
        <v>0</v>
      </c>
    </row>
    <row r="12122" spans="3:10" customFormat="1" ht="15" thickBot="1">
      <c r="C12122" s="10"/>
      <c r="D12122" s="406" t="s">
        <v>65</v>
      </c>
      <c r="E12122" s="13" t="s">
        <v>66</v>
      </c>
      <c r="F12122" s="14"/>
      <c r="G12122" s="15"/>
      <c r="H12122" s="451"/>
      <c r="I12122" s="412">
        <f>IF(AND(E12122&lt;&gt;"",G12122&lt;&gt;""),IF(D12122="",IF(G12122="OH",VLOOKUP(E12122,UPAH!$C$4:$H$31,7,0),VLOOKUP(E12122,#REF!,4,0)),0),0)</f>
        <v>0</v>
      </c>
      <c r="J12122" s="16">
        <f>H12122*I12122</f>
        <v>0</v>
      </c>
    </row>
    <row r="12123" spans="3:10" customFormat="1" ht="15" thickBot="1">
      <c r="C12123" s="10"/>
      <c r="D12123" s="417"/>
      <c r="E12123" s="418"/>
      <c r="F12123" s="418"/>
      <c r="G12123" s="419"/>
      <c r="H12123" s="420" t="s">
        <v>67</v>
      </c>
      <c r="I12123" s="421"/>
      <c r="J12123" s="396">
        <f>J12122</f>
        <v>0</v>
      </c>
    </row>
    <row r="12124" spans="3:10" customFormat="1" ht="14.5">
      <c r="C12124" s="10"/>
      <c r="D12124" s="444" t="s">
        <v>68</v>
      </c>
      <c r="E12124" s="445" t="s">
        <v>69</v>
      </c>
      <c r="F12124" s="446"/>
      <c r="G12124" s="447"/>
      <c r="H12124" s="448"/>
      <c r="I12124" s="449">
        <f>IF(AND(E12124&lt;&gt;"",G12124&lt;&gt;""),IF(D12124="",IF(G12124="OH",VLOOKUP(E12124,UPAH!$C$4:$H$31,7,0),VLOOKUP(E12124,#REF!,4,0)),0),0)</f>
        <v>0</v>
      </c>
      <c r="J12124" s="16">
        <f>SUM(J12110:J12123)/2</f>
        <v>0</v>
      </c>
    </row>
    <row r="12125" spans="3:10" customFormat="1" ht="15" thickBot="1">
      <c r="C12125" s="10"/>
      <c r="D12125" s="431" t="s">
        <v>70</v>
      </c>
      <c r="E12125" s="432" t="s">
        <v>477</v>
      </c>
      <c r="F12125" s="433"/>
      <c r="G12125" s="434"/>
      <c r="H12125" s="22">
        <v>0.1</v>
      </c>
      <c r="I12125" s="436"/>
      <c r="J12125" s="430">
        <f>H12125*J12124</f>
        <v>0</v>
      </c>
    </row>
    <row r="12126" spans="3:10" customFormat="1" ht="15" thickBot="1">
      <c r="C12126" s="10"/>
      <c r="D12126" s="401" t="s">
        <v>71</v>
      </c>
      <c r="E12126" s="402" t="s">
        <v>72</v>
      </c>
      <c r="F12126" s="418"/>
      <c r="G12126" s="419"/>
      <c r="H12126" s="442"/>
      <c r="I12126" s="421">
        <f>IF(AND(E12126&lt;&gt;"",G12126&lt;&gt;""),IF(D12126="",IF(G12126="OH",VLOOKUP(E12126,UPAH!$C$4:$H$31,7,0),VLOOKUP(E12126,#REF!,4,0)),0),0)</f>
        <v>0</v>
      </c>
      <c r="J12126" s="396">
        <f>ROUNDDOWN(J12124+J12125,0)</f>
        <v>0</v>
      </c>
    </row>
    <row r="12127" spans="3:10" customFormat="1" ht="14.5">
      <c r="C12127" s="10"/>
      <c r="D12127" s="11"/>
      <c r="E12127" s="11"/>
      <c r="F12127" s="10"/>
      <c r="G12127" s="12"/>
      <c r="H12127" s="443"/>
      <c r="I12127" s="17"/>
      <c r="J12127" s="18"/>
    </row>
    <row r="12128" spans="3:10" customFormat="1" ht="15" thickBot="1">
      <c r="C12128" s="12"/>
      <c r="D12128" s="11" t="s">
        <v>4088</v>
      </c>
      <c r="E12128" s="10"/>
      <c r="F12128" s="10"/>
      <c r="G12128" s="12"/>
      <c r="H12128" s="397"/>
      <c r="I12128" s="10"/>
      <c r="J12128" s="10"/>
    </row>
    <row r="12129" spans="3:10" customFormat="1" ht="15" thickBot="1">
      <c r="C12129" s="10"/>
      <c r="D12129" s="560" t="s">
        <v>40</v>
      </c>
      <c r="E12129" s="561" t="s">
        <v>41</v>
      </c>
      <c r="F12129" s="561" t="s">
        <v>42</v>
      </c>
      <c r="G12129" s="561" t="s">
        <v>43</v>
      </c>
      <c r="H12129" s="561" t="s">
        <v>44</v>
      </c>
      <c r="I12129" s="561" t="s">
        <v>474</v>
      </c>
      <c r="J12129" s="562" t="s">
        <v>475</v>
      </c>
    </row>
    <row r="12130" spans="3:10" customFormat="1" ht="14.5">
      <c r="C12130" s="10"/>
      <c r="D12130" s="406" t="s">
        <v>45</v>
      </c>
      <c r="E12130" s="13" t="s">
        <v>46</v>
      </c>
      <c r="F12130" s="14"/>
      <c r="G12130" s="15"/>
      <c r="H12130" s="407"/>
      <c r="I12130" s="14"/>
      <c r="J12130" s="408"/>
    </row>
    <row r="12131" spans="3:10" customFormat="1" ht="14.5">
      <c r="C12131" s="10"/>
      <c r="D12131" s="409"/>
      <c r="E12131" s="13" t="s">
        <v>47</v>
      </c>
      <c r="F12131" s="13" t="s">
        <v>1918</v>
      </c>
      <c r="G12131" s="410" t="s">
        <v>48</v>
      </c>
      <c r="H12131" s="411">
        <v>1.9E-2</v>
      </c>
      <c r="I12131" s="412">
        <f>IF(AND(E12131&lt;&gt;"",G12131&lt;&gt;""),IF(D12131="",IF(G12131="OH",VLOOKUP(F12131,UPAH!$B$4:$H$101,7,0),0),0),0)</f>
        <v>0</v>
      </c>
      <c r="J12131" s="16">
        <f>H12131*I12131</f>
        <v>0</v>
      </c>
    </row>
    <row r="12132" spans="3:10" customFormat="1" ht="14.5">
      <c r="C12132" s="10"/>
      <c r="D12132" s="413"/>
      <c r="E12132" s="414" t="s">
        <v>115</v>
      </c>
      <c r="F12132" s="414" t="s">
        <v>1921</v>
      </c>
      <c r="G12132" s="410" t="s">
        <v>48</v>
      </c>
      <c r="H12132" s="416">
        <v>1.9E-2</v>
      </c>
      <c r="I12132" s="412">
        <f>IF(AND(E12132&lt;&gt;"",G12132&lt;&gt;""),IF(D12132="",IF(G12132="OH",VLOOKUP(F12132,UPAH!$B$4:$H$101,7,0),0),0),0)</f>
        <v>0</v>
      </c>
      <c r="J12132" s="16">
        <f>H12132*I12132</f>
        <v>0</v>
      </c>
    </row>
    <row r="12133" spans="3:10" customFormat="1" ht="15" thickBot="1">
      <c r="C12133" s="10"/>
      <c r="D12133" s="413"/>
      <c r="E12133" s="414" t="s">
        <v>51</v>
      </c>
      <c r="F12133" s="414" t="s">
        <v>1929</v>
      </c>
      <c r="G12133" s="410" t="s">
        <v>48</v>
      </c>
      <c r="H12133" s="416">
        <v>1E-3</v>
      </c>
      <c r="I12133" s="412">
        <f>IF(AND(E12133&lt;&gt;"",G12133&lt;&gt;""),IF(D12133="",IF(G12133="OH",VLOOKUP(F12133,UPAH!$B$4:$H$101,7,0),0),0),0)</f>
        <v>0</v>
      </c>
      <c r="J12133" s="16">
        <f>H12133*I12133</f>
        <v>0</v>
      </c>
    </row>
    <row r="12134" spans="3:10" customFormat="1" ht="15" thickBot="1">
      <c r="C12134" s="10"/>
      <c r="D12134" s="417"/>
      <c r="E12134" s="418"/>
      <c r="F12134" s="418"/>
      <c r="G12134" s="419"/>
      <c r="H12134" s="420" t="s">
        <v>52</v>
      </c>
      <c r="I12134" s="421"/>
      <c r="J12134" s="396">
        <f>SUM(J12131:J12133)</f>
        <v>0</v>
      </c>
    </row>
    <row r="12135" spans="3:10" customFormat="1" ht="14.5">
      <c r="C12135" s="10"/>
      <c r="D12135" s="422" t="s">
        <v>53</v>
      </c>
      <c r="E12135" s="423" t="s">
        <v>54</v>
      </c>
      <c r="F12135" s="424"/>
      <c r="G12135" s="425"/>
      <c r="H12135" s="426"/>
      <c r="I12135" s="427"/>
      <c r="J12135" s="428"/>
    </row>
    <row r="12136" spans="3:10" customFormat="1" ht="14.5">
      <c r="C12136" s="10"/>
      <c r="D12136" s="409"/>
      <c r="E12136" s="13" t="s">
        <v>4089</v>
      </c>
      <c r="F12136" s="14"/>
      <c r="G12136" s="410" t="s">
        <v>375</v>
      </c>
      <c r="H12136" s="411">
        <v>0.01</v>
      </c>
      <c r="I12136" s="563">
        <f>+HSP!F62</f>
        <v>0</v>
      </c>
      <c r="J12136" s="16">
        <f>H12136*I12136</f>
        <v>0</v>
      </c>
    </row>
    <row r="12137" spans="3:10" customFormat="1" ht="14.5">
      <c r="C12137" s="10"/>
      <c r="D12137" s="413"/>
      <c r="E12137" s="414" t="s">
        <v>100</v>
      </c>
      <c r="F12137" s="429"/>
      <c r="G12137" s="415" t="s">
        <v>375</v>
      </c>
      <c r="H12137" s="416">
        <v>0.01</v>
      </c>
      <c r="I12137" s="412">
        <f>+HSP!F35</f>
        <v>0</v>
      </c>
      <c r="J12137" s="16">
        <f>H12137*I12137</f>
        <v>0</v>
      </c>
    </row>
    <row r="12138" spans="3:10" customFormat="1" ht="26">
      <c r="C12138" s="10"/>
      <c r="D12138" s="413"/>
      <c r="E12138" s="945" t="s">
        <v>4090</v>
      </c>
      <c r="F12138" s="429"/>
      <c r="G12138" s="415" t="s">
        <v>376</v>
      </c>
      <c r="H12138" s="416">
        <v>1.5599999999999999E-2</v>
      </c>
      <c r="I12138" s="412">
        <f>+HSP!F180</f>
        <v>0</v>
      </c>
      <c r="J12138" s="16">
        <f>H12138*I12138</f>
        <v>0</v>
      </c>
    </row>
    <row r="12139" spans="3:10" customFormat="1" ht="15" thickBot="1">
      <c r="C12139" s="10"/>
      <c r="D12139" s="413"/>
      <c r="E12139" s="414" t="s">
        <v>4091</v>
      </c>
      <c r="F12139" s="429"/>
      <c r="G12139" s="415" t="s">
        <v>259</v>
      </c>
      <c r="H12139" s="416">
        <v>1</v>
      </c>
      <c r="I12139" s="412">
        <v>0</v>
      </c>
      <c r="J12139" s="16">
        <f>H12139*I12139</f>
        <v>0</v>
      </c>
    </row>
    <row r="12140" spans="3:10" customFormat="1" ht="15" thickBot="1">
      <c r="C12140" s="10"/>
      <c r="D12140" s="417"/>
      <c r="E12140" s="418"/>
      <c r="F12140" s="418"/>
      <c r="G12140" s="419"/>
      <c r="H12140" s="420" t="s">
        <v>64</v>
      </c>
      <c r="I12140" s="421"/>
      <c r="J12140" s="396">
        <f>SUM(J12135:J12139)</f>
        <v>0</v>
      </c>
    </row>
    <row r="12141" spans="3:10" customFormat="1" ht="14.5">
      <c r="C12141" s="10"/>
      <c r="D12141" s="444" t="s">
        <v>65</v>
      </c>
      <c r="E12141" s="445" t="s">
        <v>66</v>
      </c>
      <c r="F12141" s="446"/>
      <c r="G12141" s="447"/>
      <c r="H12141" s="448"/>
      <c r="I12141" s="449"/>
      <c r="J12141" s="450"/>
    </row>
    <row r="12142" spans="3:10" customFormat="1" ht="14.5">
      <c r="C12142" s="10"/>
      <c r="D12142" s="406"/>
      <c r="E12142" s="13"/>
      <c r="F12142" s="14"/>
      <c r="G12142" s="15"/>
      <c r="H12142" s="451"/>
      <c r="I12142" s="412"/>
      <c r="J12142" s="16"/>
    </row>
    <row r="12143" spans="3:10" customFormat="1" ht="15" thickBot="1">
      <c r="C12143" s="10"/>
      <c r="D12143" s="516"/>
      <c r="E12143" s="460"/>
      <c r="F12143" s="461"/>
      <c r="G12143" s="517"/>
      <c r="H12143" s="518"/>
      <c r="I12143" s="464"/>
      <c r="J12143" s="465"/>
    </row>
    <row r="12144" spans="3:10" customFormat="1" ht="15" thickBot="1">
      <c r="C12144" s="10"/>
      <c r="D12144" s="417"/>
      <c r="E12144" s="418"/>
      <c r="F12144" s="418"/>
      <c r="G12144" s="419"/>
      <c r="H12144" s="420" t="s">
        <v>67</v>
      </c>
      <c r="I12144" s="421"/>
      <c r="J12144" s="396">
        <f>SUM(J12141:J12143)</f>
        <v>0</v>
      </c>
    </row>
    <row r="12145" spans="3:10" customFormat="1" ht="14.5">
      <c r="C12145" s="10"/>
      <c r="D12145" s="422" t="s">
        <v>68</v>
      </c>
      <c r="E12145" s="423" t="s">
        <v>69</v>
      </c>
      <c r="F12145" s="424"/>
      <c r="G12145" s="425"/>
      <c r="H12145" s="426"/>
      <c r="I12145" s="427"/>
      <c r="J12145" s="428">
        <f>+J12134+J12140+J12144</f>
        <v>0</v>
      </c>
    </row>
    <row r="12146" spans="3:10" customFormat="1" ht="15" thickBot="1">
      <c r="C12146" s="10"/>
      <c r="D12146" s="438" t="s">
        <v>70</v>
      </c>
      <c r="E12146" s="414" t="s">
        <v>477</v>
      </c>
      <c r="F12146" s="429"/>
      <c r="G12146" s="439"/>
      <c r="H12146" s="440">
        <v>0.1</v>
      </c>
      <c r="I12146" s="441"/>
      <c r="J12146" s="430">
        <f>H12146*J12145</f>
        <v>0</v>
      </c>
    </row>
    <row r="12147" spans="3:10" customFormat="1" ht="15" thickBot="1">
      <c r="C12147" s="10"/>
      <c r="D12147" s="401" t="s">
        <v>71</v>
      </c>
      <c r="E12147" s="402" t="s">
        <v>72</v>
      </c>
      <c r="F12147" s="418"/>
      <c r="G12147" s="419"/>
      <c r="H12147" s="442"/>
      <c r="I12147" s="421"/>
      <c r="J12147" s="396">
        <f>ROUNDDOWN(J12145+J12146,0)</f>
        <v>0</v>
      </c>
    </row>
    <row r="12148" spans="3:10" customFormat="1" ht="14.5">
      <c r="C12148" s="10"/>
      <c r="D12148" s="11"/>
      <c r="E12148" s="11"/>
      <c r="F12148" s="10"/>
      <c r="G12148" s="12"/>
      <c r="H12148" s="443"/>
      <c r="I12148" s="17"/>
      <c r="J12148" s="18"/>
    </row>
    <row r="12149" spans="3:10" customFormat="1" ht="15" thickBot="1">
      <c r="C12149" s="12"/>
      <c r="D12149" s="11" t="s">
        <v>4092</v>
      </c>
      <c r="E12149" s="10"/>
      <c r="F12149" s="10"/>
      <c r="G12149" s="12"/>
      <c r="H12149" s="397"/>
      <c r="I12149" s="10"/>
      <c r="J12149" s="10"/>
    </row>
    <row r="12150" spans="3:10" customFormat="1" ht="15" thickBot="1">
      <c r="C12150" s="10"/>
      <c r="D12150" s="560" t="s">
        <v>40</v>
      </c>
      <c r="E12150" s="561" t="s">
        <v>41</v>
      </c>
      <c r="F12150" s="561" t="s">
        <v>42</v>
      </c>
      <c r="G12150" s="561" t="s">
        <v>43</v>
      </c>
      <c r="H12150" s="561" t="s">
        <v>44</v>
      </c>
      <c r="I12150" s="561" t="s">
        <v>474</v>
      </c>
      <c r="J12150" s="562" t="s">
        <v>475</v>
      </c>
    </row>
    <row r="12151" spans="3:10" customFormat="1" ht="14.5">
      <c r="C12151" s="10"/>
      <c r="D12151" s="406" t="s">
        <v>45</v>
      </c>
      <c r="E12151" s="13" t="s">
        <v>46</v>
      </c>
      <c r="F12151" s="14"/>
      <c r="G12151" s="15"/>
      <c r="H12151" s="407"/>
      <c r="I12151" s="14"/>
      <c r="J12151" s="408"/>
    </row>
    <row r="12152" spans="3:10" customFormat="1" ht="14.5">
      <c r="C12152" s="10"/>
      <c r="D12152" s="409"/>
      <c r="E12152" s="13" t="s">
        <v>47</v>
      </c>
      <c r="F12152" s="13" t="s">
        <v>1918</v>
      </c>
      <c r="G12152" s="410" t="s">
        <v>48</v>
      </c>
      <c r="H12152" s="411">
        <v>1.9E-2</v>
      </c>
      <c r="I12152" s="412">
        <f>IF(AND(E12152&lt;&gt;"",G12152&lt;&gt;""),IF(D12152="",IF(G12152="OH",VLOOKUP(F12152,UPAH!$B$4:$H$101,7,0),0),0),0)</f>
        <v>0</v>
      </c>
      <c r="J12152" s="16">
        <f>H12152*I12152</f>
        <v>0</v>
      </c>
    </row>
    <row r="12153" spans="3:10" customFormat="1" ht="14.5">
      <c r="C12153" s="10"/>
      <c r="D12153" s="413"/>
      <c r="E12153" s="414" t="s">
        <v>115</v>
      </c>
      <c r="F12153" s="414" t="s">
        <v>1921</v>
      </c>
      <c r="G12153" s="410" t="s">
        <v>48</v>
      </c>
      <c r="H12153" s="416">
        <v>1.9E-2</v>
      </c>
      <c r="I12153" s="412">
        <f>IF(AND(E12153&lt;&gt;"",G12153&lt;&gt;""),IF(D12153="",IF(G12153="OH",VLOOKUP(F12153,UPAH!$B$4:$H$101,7,0),0),0),0)</f>
        <v>0</v>
      </c>
      <c r="J12153" s="16">
        <f>H12153*I12153</f>
        <v>0</v>
      </c>
    </row>
    <row r="12154" spans="3:10" customFormat="1" ht="15" thickBot="1">
      <c r="C12154" s="10"/>
      <c r="D12154" s="413"/>
      <c r="E12154" s="414" t="s">
        <v>51</v>
      </c>
      <c r="F12154" s="414" t="s">
        <v>1929</v>
      </c>
      <c r="G12154" s="410" t="s">
        <v>48</v>
      </c>
      <c r="H12154" s="416">
        <v>1E-3</v>
      </c>
      <c r="I12154" s="412">
        <f>IF(AND(E12154&lt;&gt;"",G12154&lt;&gt;""),IF(D12154="",IF(G12154="OH",VLOOKUP(F12154,UPAH!$B$4:$H$101,7,0),0),0),0)</f>
        <v>0</v>
      </c>
      <c r="J12154" s="16">
        <f>H12154*I12154</f>
        <v>0</v>
      </c>
    </row>
    <row r="12155" spans="3:10" customFormat="1" ht="15" thickBot="1">
      <c r="C12155" s="10"/>
      <c r="D12155" s="417"/>
      <c r="E12155" s="418"/>
      <c r="F12155" s="418"/>
      <c r="G12155" s="419"/>
      <c r="H12155" s="420" t="s">
        <v>52</v>
      </c>
      <c r="I12155" s="421"/>
      <c r="J12155" s="396">
        <f>SUM(J12152:J12154)</f>
        <v>0</v>
      </c>
    </row>
    <row r="12156" spans="3:10" customFormat="1" ht="14.5">
      <c r="C12156" s="10"/>
      <c r="D12156" s="422" t="s">
        <v>53</v>
      </c>
      <c r="E12156" s="423" t="s">
        <v>54</v>
      </c>
      <c r="F12156" s="424"/>
      <c r="G12156" s="425"/>
      <c r="H12156" s="426"/>
      <c r="I12156" s="427"/>
      <c r="J12156" s="428"/>
    </row>
    <row r="12157" spans="3:10" customFormat="1" ht="14.5">
      <c r="C12157" s="10"/>
      <c r="D12157" s="409"/>
      <c r="E12157" s="13" t="s">
        <v>4089</v>
      </c>
      <c r="F12157" s="14"/>
      <c r="G12157" s="410" t="s">
        <v>375</v>
      </c>
      <c r="H12157" s="411">
        <v>0.01</v>
      </c>
      <c r="I12157" s="563">
        <f>I12136</f>
        <v>0</v>
      </c>
      <c r="J12157" s="16">
        <f>H12157*I12157</f>
        <v>0</v>
      </c>
    </row>
    <row r="12158" spans="3:10" customFormat="1" ht="14.5">
      <c r="C12158" s="10"/>
      <c r="D12158" s="413"/>
      <c r="E12158" s="414" t="s">
        <v>100</v>
      </c>
      <c r="F12158" s="429"/>
      <c r="G12158" s="415" t="s">
        <v>375</v>
      </c>
      <c r="H12158" s="416">
        <v>0.01</v>
      </c>
      <c r="I12158" s="412">
        <f>I12137</f>
        <v>0</v>
      </c>
      <c r="J12158" s="16">
        <f>H12158*I12158</f>
        <v>0</v>
      </c>
    </row>
    <row r="12159" spans="3:10" customFormat="1" ht="26">
      <c r="C12159" s="10"/>
      <c r="D12159" s="413"/>
      <c r="E12159" s="945" t="s">
        <v>4090</v>
      </c>
      <c r="F12159" s="429"/>
      <c r="G12159" s="415" t="s">
        <v>376</v>
      </c>
      <c r="H12159" s="416">
        <v>1.5599999999999999E-2</v>
      </c>
      <c r="I12159" s="412">
        <f>I12138</f>
        <v>0</v>
      </c>
      <c r="J12159" s="16">
        <f>H12159*I12159</f>
        <v>0</v>
      </c>
    </row>
    <row r="12160" spans="3:10" customFormat="1" ht="15" thickBot="1">
      <c r="C12160" s="10"/>
      <c r="D12160" s="413"/>
      <c r="E12160" s="414" t="s">
        <v>4093</v>
      </c>
      <c r="F12160" s="429"/>
      <c r="G12160" s="415" t="s">
        <v>259</v>
      </c>
      <c r="H12160" s="416">
        <v>1</v>
      </c>
      <c r="I12160" s="412">
        <v>0</v>
      </c>
      <c r="J12160" s="16">
        <f>H12160*I12160</f>
        <v>0</v>
      </c>
    </row>
    <row r="12161" spans="1:10" customFormat="1" ht="15" thickBot="1">
      <c r="C12161" s="10"/>
      <c r="D12161" s="417"/>
      <c r="E12161" s="418"/>
      <c r="F12161" s="418"/>
      <c r="G12161" s="419"/>
      <c r="H12161" s="420" t="s">
        <v>64</v>
      </c>
      <c r="I12161" s="421"/>
      <c r="J12161" s="396">
        <f>SUM(J12156:J12160)</f>
        <v>0</v>
      </c>
    </row>
    <row r="12162" spans="1:10" customFormat="1" ht="14.5">
      <c r="C12162" s="10"/>
      <c r="D12162" s="444" t="s">
        <v>65</v>
      </c>
      <c r="E12162" s="445" t="s">
        <v>66</v>
      </c>
      <c r="F12162" s="446"/>
      <c r="G12162" s="447"/>
      <c r="H12162" s="448"/>
      <c r="I12162" s="449"/>
      <c r="J12162" s="450"/>
    </row>
    <row r="12163" spans="1:10" customFormat="1" ht="14.5">
      <c r="C12163" s="10"/>
      <c r="D12163" s="406"/>
      <c r="E12163" s="13"/>
      <c r="F12163" s="14"/>
      <c r="G12163" s="15"/>
      <c r="H12163" s="451"/>
      <c r="I12163" s="412"/>
      <c r="J12163" s="16"/>
    </row>
    <row r="12164" spans="1:10" customFormat="1" ht="15" thickBot="1">
      <c r="C12164" s="10"/>
      <c r="D12164" s="516"/>
      <c r="E12164" s="460"/>
      <c r="F12164" s="461"/>
      <c r="G12164" s="517"/>
      <c r="H12164" s="518"/>
      <c r="I12164" s="464"/>
      <c r="J12164" s="465"/>
    </row>
    <row r="12165" spans="1:10" customFormat="1" ht="15" thickBot="1">
      <c r="C12165" s="10"/>
      <c r="D12165" s="417"/>
      <c r="E12165" s="418"/>
      <c r="F12165" s="418"/>
      <c r="G12165" s="419"/>
      <c r="H12165" s="420" t="s">
        <v>67</v>
      </c>
      <c r="I12165" s="421"/>
      <c r="J12165" s="396">
        <f>SUM(J12162:J12164)</f>
        <v>0</v>
      </c>
    </row>
    <row r="12166" spans="1:10" customFormat="1" ht="14.5">
      <c r="C12166" s="10"/>
      <c r="D12166" s="422" t="s">
        <v>68</v>
      </c>
      <c r="E12166" s="423" t="s">
        <v>69</v>
      </c>
      <c r="F12166" s="424"/>
      <c r="G12166" s="425"/>
      <c r="H12166" s="426"/>
      <c r="I12166" s="427"/>
      <c r="J12166" s="428">
        <f>+J12155+J12161+J12165</f>
        <v>0</v>
      </c>
    </row>
    <row r="12167" spans="1:10" customFormat="1" ht="15" thickBot="1">
      <c r="C12167" s="10"/>
      <c r="D12167" s="438" t="s">
        <v>70</v>
      </c>
      <c r="E12167" s="414" t="s">
        <v>477</v>
      </c>
      <c r="F12167" s="429"/>
      <c r="G12167" s="439"/>
      <c r="H12167" s="440">
        <v>0.1</v>
      </c>
      <c r="I12167" s="441"/>
      <c r="J12167" s="430">
        <f>H12167*J12166</f>
        <v>0</v>
      </c>
    </row>
    <row r="12168" spans="1:10" customFormat="1" ht="15" thickBot="1">
      <c r="C12168" s="10"/>
      <c r="D12168" s="401" t="s">
        <v>71</v>
      </c>
      <c r="E12168" s="402" t="s">
        <v>72</v>
      </c>
      <c r="F12168" s="418"/>
      <c r="G12168" s="419"/>
      <c r="H12168" s="442"/>
      <c r="I12168" s="421"/>
      <c r="J12168" s="396">
        <f>ROUNDDOWN(J12166+J12167,0)</f>
        <v>0</v>
      </c>
    </row>
    <row r="12170" spans="1:10" ht="13">
      <c r="A12170" s="27"/>
      <c r="B12170" s="110"/>
      <c r="D12170" s="11"/>
      <c r="E12170" s="11"/>
      <c r="H12170" s="443"/>
      <c r="I12170" s="17"/>
      <c r="J12170" s="18"/>
    </row>
    <row r="12171" spans="1:10" ht="13.5" thickBot="1">
      <c r="A12171" s="27"/>
      <c r="B12171" s="110"/>
      <c r="C12171" s="11"/>
      <c r="D12171" s="11" t="s">
        <v>4117</v>
      </c>
      <c r="H12171" s="443"/>
    </row>
    <row r="12172" spans="1:10" ht="13.5" thickBot="1">
      <c r="A12172" s="27"/>
      <c r="B12172" s="110"/>
      <c r="D12172" s="401" t="s">
        <v>40</v>
      </c>
      <c r="E12172" s="402" t="s">
        <v>41</v>
      </c>
      <c r="F12172" s="402" t="s">
        <v>42</v>
      </c>
      <c r="G12172" s="403" t="s">
        <v>43</v>
      </c>
      <c r="H12172" s="404" t="s">
        <v>44</v>
      </c>
      <c r="I12172" s="402" t="s">
        <v>474</v>
      </c>
      <c r="J12172" s="405" t="s">
        <v>475</v>
      </c>
    </row>
    <row r="12173" spans="1:10" ht="13">
      <c r="A12173" s="27"/>
      <c r="B12173" s="110"/>
      <c r="D12173" s="406" t="s">
        <v>45</v>
      </c>
      <c r="E12173" s="13" t="s">
        <v>46</v>
      </c>
      <c r="F12173" s="14"/>
      <c r="G12173" s="15"/>
      <c r="H12173" s="451"/>
      <c r="I12173" s="412"/>
      <c r="J12173" s="16"/>
    </row>
    <row r="12174" spans="1:10" ht="13">
      <c r="A12174" s="27"/>
      <c r="B12174" s="110"/>
      <c r="D12174" s="409"/>
      <c r="E12174" s="13" t="s">
        <v>47</v>
      </c>
      <c r="F12174" s="13" t="s">
        <v>1918</v>
      </c>
      <c r="G12174" s="410" t="s">
        <v>48</v>
      </c>
      <c r="H12174" s="411">
        <v>5.0099999999999999E-2</v>
      </c>
      <c r="I12174" s="412">
        <f>IF(AND(E12174&lt;&gt;"",G12174&lt;&gt;""),IF(D12174="",IF(G12174="OH",VLOOKUP(F12174,UPAH!$B$4:$H$101,7,0),VLOOKUP(F12174,#REF!,4,0)),0),0)</f>
        <v>0</v>
      </c>
      <c r="J12174" s="16">
        <f>H12174*I12174</f>
        <v>0</v>
      </c>
    </row>
    <row r="12175" spans="1:10" ht="13">
      <c r="A12175" s="27"/>
      <c r="B12175" s="110"/>
      <c r="D12175" s="409"/>
      <c r="E12175" s="13" t="s">
        <v>81</v>
      </c>
      <c r="F12175" s="13" t="s">
        <v>1922</v>
      </c>
      <c r="G12175" s="410" t="s">
        <v>48</v>
      </c>
      <c r="H12175" s="411">
        <v>5.0099999999999999E-2</v>
      </c>
      <c r="I12175" s="412">
        <f>IF(AND(E12175&lt;&gt;"",G12175&lt;&gt;""),IF(D12175="",IF(G12175="OH",VLOOKUP(F12175,UPAH!$B$4:$H$101,7,0),VLOOKUP(F12175,#REF!,4,0)),0),0)</f>
        <v>0</v>
      </c>
      <c r="J12175" s="16">
        <f>H12175*I12175</f>
        <v>0</v>
      </c>
    </row>
    <row r="12176" spans="1:10" ht="13.5" thickBot="1">
      <c r="A12176" s="27"/>
      <c r="B12176" s="110"/>
      <c r="D12176" s="409"/>
      <c r="E12176" s="13" t="s">
        <v>51</v>
      </c>
      <c r="F12176" s="13" t="s">
        <v>1929</v>
      </c>
      <c r="G12176" s="410" t="s">
        <v>48</v>
      </c>
      <c r="H12176" s="411">
        <v>2.5000000000000001E-3</v>
      </c>
      <c r="I12176" s="412">
        <f>IF(AND(E12176&lt;&gt;"",G12176&lt;&gt;""),IF(D12176="",IF(G12176="OH",VLOOKUP(F12176,UPAH!$B$4:$H$101,7,0),VLOOKUP(F12176,#REF!,4,0)),0),0)</f>
        <v>0</v>
      </c>
      <c r="J12176" s="16">
        <f>H12176*I12176</f>
        <v>0</v>
      </c>
    </row>
    <row r="12177" spans="1:10" ht="13.5" thickBot="1">
      <c r="A12177" s="27"/>
      <c r="B12177" s="110"/>
      <c r="D12177" s="417"/>
      <c r="E12177" s="418"/>
      <c r="F12177" s="418"/>
      <c r="G12177" s="419"/>
      <c r="H12177" s="420" t="s">
        <v>52</v>
      </c>
      <c r="I12177" s="421"/>
      <c r="J12177" s="396">
        <f>SUM(J12174:J12176)</f>
        <v>0</v>
      </c>
    </row>
    <row r="12178" spans="1:10" ht="13">
      <c r="A12178" s="27"/>
      <c r="B12178" s="110"/>
      <c r="D12178" s="406" t="s">
        <v>53</v>
      </c>
      <c r="E12178" s="13" t="s">
        <v>54</v>
      </c>
      <c r="F12178" s="14"/>
      <c r="G12178" s="15"/>
      <c r="H12178" s="451"/>
      <c r="I12178" s="412"/>
      <c r="J12178" s="16"/>
    </row>
    <row r="12179" spans="1:10" ht="13">
      <c r="A12179" s="27"/>
      <c r="B12179" s="110"/>
      <c r="D12179" s="409">
        <v>1</v>
      </c>
      <c r="E12179" s="13" t="s">
        <v>4118</v>
      </c>
      <c r="F12179" s="13"/>
      <c r="G12179" s="410" t="s">
        <v>375</v>
      </c>
      <c r="H12179" s="411">
        <v>2.5000000000000001E-2</v>
      </c>
      <c r="I12179" s="412">
        <f>HSP!F62</f>
        <v>0</v>
      </c>
      <c r="J12179" s="16">
        <f t="shared" ref="J12179:J12182" si="54">H12179*I12179</f>
        <v>0</v>
      </c>
    </row>
    <row r="12180" spans="1:10" ht="13">
      <c r="A12180" s="27"/>
      <c r="B12180" s="110"/>
      <c r="D12180" s="409">
        <v>2</v>
      </c>
      <c r="E12180" s="13" t="s">
        <v>4119</v>
      </c>
      <c r="F12180" s="13"/>
      <c r="G12180" s="410" t="s">
        <v>375</v>
      </c>
      <c r="H12180" s="411">
        <v>2.5000000000000001E-2</v>
      </c>
      <c r="I12180" s="412">
        <f>HSP!F35</f>
        <v>0</v>
      </c>
      <c r="J12180" s="16">
        <f t="shared" si="54"/>
        <v>0</v>
      </c>
    </row>
    <row r="12181" spans="1:10" ht="13">
      <c r="A12181" s="27"/>
      <c r="B12181" s="110"/>
      <c r="D12181" s="409">
        <v>3</v>
      </c>
      <c r="E12181" s="13" t="s">
        <v>4120</v>
      </c>
      <c r="F12181" s="13"/>
      <c r="G12181" s="410" t="s">
        <v>376</v>
      </c>
      <c r="H12181" s="411">
        <v>7.6999999999999999E-2</v>
      </c>
      <c r="I12181" s="412">
        <f>HSP!F180</f>
        <v>0</v>
      </c>
      <c r="J12181" s="16">
        <f t="shared" si="54"/>
        <v>0</v>
      </c>
    </row>
    <row r="12182" spans="1:10" ht="13.5" thickBot="1">
      <c r="A12182" s="27"/>
      <c r="B12182" s="110"/>
      <c r="D12182" s="409">
        <v>4</v>
      </c>
      <c r="E12182" s="13" t="s">
        <v>4121</v>
      </c>
      <c r="F12182" s="13"/>
      <c r="G12182" s="410" t="s">
        <v>128</v>
      </c>
      <c r="H12182" s="411">
        <v>1</v>
      </c>
      <c r="I12182" s="412">
        <f>'BAHAN '!G106</f>
        <v>0</v>
      </c>
      <c r="J12182" s="16">
        <f t="shared" si="54"/>
        <v>0</v>
      </c>
    </row>
    <row r="12183" spans="1:10" ht="13.5" thickBot="1">
      <c r="A12183" s="27"/>
      <c r="B12183" s="110"/>
      <c r="D12183" s="417"/>
      <c r="E12183" s="418"/>
      <c r="F12183" s="418"/>
      <c r="G12183" s="419"/>
      <c r="H12183" s="420" t="s">
        <v>64</v>
      </c>
      <c r="I12183" s="421"/>
      <c r="J12183" s="396">
        <f>SUM(J12178:J12182)</f>
        <v>0</v>
      </c>
    </row>
    <row r="12184" spans="1:10" ht="13">
      <c r="A12184" s="27"/>
      <c r="B12184" s="110"/>
      <c r="D12184" s="406" t="s">
        <v>65</v>
      </c>
      <c r="E12184" s="13" t="s">
        <v>66</v>
      </c>
      <c r="F12184" s="14"/>
      <c r="G12184" s="15"/>
      <c r="H12184" s="451"/>
      <c r="I12184" s="412"/>
      <c r="J12184" s="16"/>
    </row>
    <row r="12185" spans="1:10" ht="13">
      <c r="A12185" s="27"/>
      <c r="B12185" s="110"/>
      <c r="D12185" s="409">
        <v>1</v>
      </c>
      <c r="E12185" s="13" t="s">
        <v>4122</v>
      </c>
      <c r="F12185" s="13"/>
      <c r="G12185" s="410" t="s">
        <v>4123</v>
      </c>
      <c r="H12185" s="411">
        <v>5.0099999999999999E-2</v>
      </c>
      <c r="I12185" s="412">
        <f>Alat!H39</f>
        <v>0</v>
      </c>
      <c r="J12185" s="16">
        <f t="shared" ref="J12185" si="55">H12185*I12185</f>
        <v>0</v>
      </c>
    </row>
    <row r="12186" spans="1:10" ht="13.5" thickBot="1">
      <c r="A12186" s="27"/>
      <c r="B12186" s="110"/>
      <c r="D12186" s="409"/>
      <c r="E12186" s="13"/>
      <c r="F12186" s="13"/>
      <c r="G12186" s="410"/>
      <c r="H12186" s="411"/>
      <c r="I12186" s="412"/>
      <c r="J12186" s="16"/>
    </row>
    <row r="12187" spans="1:10" ht="13.5" thickBot="1">
      <c r="A12187" s="27"/>
      <c r="B12187" s="110"/>
      <c r="D12187" s="417"/>
      <c r="E12187" s="418"/>
      <c r="F12187" s="418"/>
      <c r="G12187" s="419"/>
      <c r="H12187" s="420" t="s">
        <v>67</v>
      </c>
      <c r="I12187" s="421"/>
      <c r="J12187" s="396">
        <f>J12185</f>
        <v>0</v>
      </c>
    </row>
    <row r="12188" spans="1:10" ht="13">
      <c r="A12188" s="27"/>
      <c r="B12188" s="110"/>
      <c r="D12188" s="444" t="s">
        <v>68</v>
      </c>
      <c r="E12188" s="445" t="s">
        <v>69</v>
      </c>
      <c r="F12188" s="446"/>
      <c r="G12188" s="447"/>
      <c r="H12188" s="448"/>
      <c r="I12188" s="449">
        <f>IF(AND(E12188&lt;&gt;"",G12188&lt;&gt;""),IF(D12188="",IF(G12188="OH",VLOOKUP(E12188,UPAH!$C$4:$H$31,7,0),VLOOKUP(E12188,#REF!,4,0)),0),0)</f>
        <v>0</v>
      </c>
      <c r="J12188" s="16">
        <f>J12177+J12183+J12187</f>
        <v>0</v>
      </c>
    </row>
    <row r="12189" spans="1:10" ht="13.5" thickBot="1">
      <c r="A12189" s="27"/>
      <c r="B12189" s="110"/>
      <c r="D12189" s="431" t="s">
        <v>70</v>
      </c>
      <c r="E12189" s="432" t="s">
        <v>477</v>
      </c>
      <c r="F12189" s="433"/>
      <c r="G12189" s="434"/>
      <c r="H12189" s="22">
        <v>0.1</v>
      </c>
      <c r="I12189" s="436"/>
      <c r="J12189" s="430">
        <f>H12189*J12188</f>
        <v>0</v>
      </c>
    </row>
    <row r="12190" spans="1:10" ht="13.5" thickBot="1">
      <c r="A12190" s="27"/>
      <c r="B12190" s="110"/>
      <c r="D12190" s="401" t="s">
        <v>71</v>
      </c>
      <c r="E12190" s="402" t="s">
        <v>72</v>
      </c>
      <c r="F12190" s="418"/>
      <c r="G12190" s="419"/>
      <c r="H12190" s="442"/>
      <c r="I12190" s="421">
        <f>IF(AND(E12190&lt;&gt;"",G12190&lt;&gt;""),IF(D12190="",IF(G12190="OH",VLOOKUP(E12190,UPAH!$C$4:$H$31,7,0),VLOOKUP(E12190,#REF!,4,0)),0),0)</f>
        <v>0</v>
      </c>
      <c r="J12190" s="396">
        <f>ROUNDDOWN(J12188+J12189,0)</f>
        <v>0</v>
      </c>
    </row>
    <row r="12191" spans="1:10" ht="13">
      <c r="A12191" s="27"/>
      <c r="B12191" s="110"/>
      <c r="D12191" s="11"/>
      <c r="E12191" s="11"/>
      <c r="H12191" s="443"/>
      <c r="I12191" s="17"/>
      <c r="J12191" s="18"/>
    </row>
    <row r="12192" spans="1:10" customFormat="1" ht="15" thickBot="1">
      <c r="C12192" s="12"/>
      <c r="D12192" s="11" t="s">
        <v>4098</v>
      </c>
      <c r="E12192" s="10"/>
      <c r="F12192" s="10"/>
      <c r="G12192" s="12"/>
      <c r="H12192" s="397"/>
      <c r="I12192" s="10"/>
      <c r="J12192" s="10"/>
    </row>
    <row r="12193" spans="3:10" customFormat="1" ht="15" thickBot="1">
      <c r="C12193" s="10"/>
      <c r="D12193" s="560" t="s">
        <v>40</v>
      </c>
      <c r="E12193" s="561" t="s">
        <v>41</v>
      </c>
      <c r="F12193" s="561" t="s">
        <v>42</v>
      </c>
      <c r="G12193" s="561" t="s">
        <v>43</v>
      </c>
      <c r="H12193" s="561" t="s">
        <v>44</v>
      </c>
      <c r="I12193" s="561" t="s">
        <v>474</v>
      </c>
      <c r="J12193" s="562" t="s">
        <v>475</v>
      </c>
    </row>
    <row r="12194" spans="3:10" customFormat="1" ht="14.5">
      <c r="C12194" s="10"/>
      <c r="D12194" s="406" t="s">
        <v>45</v>
      </c>
      <c r="E12194" s="13" t="s">
        <v>46</v>
      </c>
      <c r="F12194" s="14"/>
      <c r="G12194" s="15"/>
      <c r="H12194" s="407"/>
      <c r="I12194" s="14"/>
      <c r="J12194" s="408"/>
    </row>
    <row r="12195" spans="3:10" customFormat="1" ht="14.5">
      <c r="C12195" s="10"/>
      <c r="D12195" s="409"/>
      <c r="E12195" s="13" t="s">
        <v>47</v>
      </c>
      <c r="F12195" s="13" t="s">
        <v>1918</v>
      </c>
      <c r="G12195" s="410" t="s">
        <v>48</v>
      </c>
      <c r="H12195" s="411">
        <v>3.2</v>
      </c>
      <c r="I12195" s="412">
        <f>IF(AND(E12195&lt;&gt;"",G12195&lt;&gt;""),IF(D12195="",IF(G12195="OH",VLOOKUP(F12195,UPAH!$B$4:$H$101,7,0),0),0),0)</f>
        <v>0</v>
      </c>
      <c r="J12195" s="16">
        <f>H12195*I12195</f>
        <v>0</v>
      </c>
    </row>
    <row r="12196" spans="3:10" customFormat="1" ht="14.5">
      <c r="C12196" s="10"/>
      <c r="D12196" s="413"/>
      <c r="E12196" s="414" t="s">
        <v>115</v>
      </c>
      <c r="F12196" s="414" t="s">
        <v>1921</v>
      </c>
      <c r="G12196" s="410" t="s">
        <v>48</v>
      </c>
      <c r="H12196" s="416">
        <v>1.1499999999999999</v>
      </c>
      <c r="I12196" s="412">
        <f>IF(AND(E12196&lt;&gt;"",G12196&lt;&gt;""),IF(D12196="",IF(G12196="OH",VLOOKUP(F12196,UPAH!$B$4:$H$101,7,0),0),0),0)</f>
        <v>0</v>
      </c>
      <c r="J12196" s="16">
        <f>H12196*I12196</f>
        <v>0</v>
      </c>
    </row>
    <row r="12197" spans="3:10" customFormat="1" ht="14.5">
      <c r="C12197" s="10"/>
      <c r="D12197" s="413"/>
      <c r="E12197" s="414" t="s">
        <v>97</v>
      </c>
      <c r="F12197" s="414" t="s">
        <v>1928</v>
      </c>
      <c r="G12197" s="410" t="s">
        <v>48</v>
      </c>
      <c r="H12197" s="416">
        <v>1.0999999999999999E-2</v>
      </c>
      <c r="I12197" s="412">
        <f>IF(AND(E12197&lt;&gt;"",G12197&lt;&gt;""),IF(D12197="",IF(G12197="OH",VLOOKUP(F12197,UPAH!$B$4:$H$101,7,0),0),0),0)</f>
        <v>0</v>
      </c>
      <c r="J12197" s="16">
        <f>H12197*I12197</f>
        <v>0</v>
      </c>
    </row>
    <row r="12198" spans="3:10" customFormat="1" ht="15" thickBot="1">
      <c r="C12198" s="10"/>
      <c r="D12198" s="413"/>
      <c r="E12198" s="414" t="s">
        <v>51</v>
      </c>
      <c r="F12198" s="414" t="s">
        <v>1929</v>
      </c>
      <c r="G12198" s="410" t="s">
        <v>48</v>
      </c>
      <c r="H12198" s="416">
        <v>1.6E-2</v>
      </c>
      <c r="I12198" s="412">
        <f>IF(AND(E12198&lt;&gt;"",G12198&lt;&gt;""),IF(D12198="",IF(G12198="OH",VLOOKUP(F12198,UPAH!$B$4:$H$101,7,0),0),0),0)</f>
        <v>0</v>
      </c>
      <c r="J12198" s="16">
        <f>H12198*I12198</f>
        <v>0</v>
      </c>
    </row>
    <row r="12199" spans="3:10" customFormat="1" ht="15" thickBot="1">
      <c r="C12199" s="10"/>
      <c r="D12199" s="417"/>
      <c r="E12199" s="418"/>
      <c r="F12199" s="418"/>
      <c r="G12199" s="419"/>
      <c r="H12199" s="420" t="s">
        <v>52</v>
      </c>
      <c r="I12199" s="421"/>
      <c r="J12199" s="396">
        <f>SUM(J12195:J12198)</f>
        <v>0</v>
      </c>
    </row>
    <row r="12200" spans="3:10" customFormat="1" ht="14.5">
      <c r="C12200" s="10"/>
      <c r="D12200" s="422" t="s">
        <v>53</v>
      </c>
      <c r="E12200" s="423" t="s">
        <v>54</v>
      </c>
      <c r="F12200" s="424"/>
      <c r="G12200" s="425"/>
      <c r="H12200" s="426"/>
      <c r="I12200" s="427"/>
      <c r="J12200" s="428"/>
    </row>
    <row r="12201" spans="3:10" customFormat="1" ht="14.5">
      <c r="C12201" s="10"/>
      <c r="D12201" s="409"/>
      <c r="E12201" s="13" t="s">
        <v>86</v>
      </c>
      <c r="F12201" s="14"/>
      <c r="G12201" s="410" t="s">
        <v>124</v>
      </c>
      <c r="H12201" s="411">
        <v>123</v>
      </c>
      <c r="I12201" s="563">
        <f>+'BAHAN '!G15</f>
        <v>0</v>
      </c>
      <c r="J12201" s="16">
        <f>H12201*I12201</f>
        <v>0</v>
      </c>
    </row>
    <row r="12202" spans="3:10" customFormat="1" ht="14.5">
      <c r="C12202" s="10"/>
      <c r="D12202" s="413"/>
      <c r="E12202" s="414" t="s">
        <v>3596</v>
      </c>
      <c r="F12202" s="429"/>
      <c r="G12202" s="415" t="s">
        <v>93</v>
      </c>
      <c r="H12202" s="416">
        <v>114</v>
      </c>
      <c r="I12202" s="412">
        <f>+I2779</f>
        <v>0</v>
      </c>
      <c r="J12202" s="16">
        <f>H12202*I12202</f>
        <v>0</v>
      </c>
    </row>
    <row r="12203" spans="3:10" customFormat="1" ht="14.5">
      <c r="C12203" s="10"/>
      <c r="D12203" s="413"/>
      <c r="E12203" s="945" t="s">
        <v>101</v>
      </c>
      <c r="F12203" s="429"/>
      <c r="G12203" s="415" t="s">
        <v>375</v>
      </c>
      <c r="H12203" s="416">
        <v>0.184</v>
      </c>
      <c r="I12203" s="412">
        <f>+I4486</f>
        <v>0</v>
      </c>
      <c r="J12203" s="16">
        <f>H12203*I12203</f>
        <v>0</v>
      </c>
    </row>
    <row r="12204" spans="3:10" customFormat="1" ht="15" thickBot="1">
      <c r="C12204" s="10"/>
      <c r="D12204" s="413"/>
      <c r="E12204" s="414" t="s">
        <v>4097</v>
      </c>
      <c r="F12204" s="429"/>
      <c r="G12204" s="415" t="s">
        <v>376</v>
      </c>
      <c r="H12204" s="416">
        <v>1</v>
      </c>
      <c r="I12204" s="412">
        <v>0</v>
      </c>
      <c r="J12204" s="16">
        <f>H12204*I12204</f>
        <v>0</v>
      </c>
    </row>
    <row r="12205" spans="3:10" customFormat="1" ht="15" thickBot="1">
      <c r="C12205" s="10"/>
      <c r="D12205" s="417"/>
      <c r="E12205" s="418"/>
      <c r="F12205" s="418"/>
      <c r="G12205" s="419"/>
      <c r="H12205" s="420" t="s">
        <v>64</v>
      </c>
      <c r="I12205" s="421"/>
      <c r="J12205" s="396">
        <f>SUM(J12200:J12204)</f>
        <v>0</v>
      </c>
    </row>
    <row r="12206" spans="3:10" customFormat="1" ht="14.5">
      <c r="C12206" s="10"/>
      <c r="D12206" s="444" t="s">
        <v>65</v>
      </c>
      <c r="E12206" s="445" t="s">
        <v>66</v>
      </c>
      <c r="F12206" s="446"/>
      <c r="G12206" s="447"/>
      <c r="H12206" s="448"/>
      <c r="I12206" s="449"/>
      <c r="J12206" s="450"/>
    </row>
    <row r="12207" spans="3:10" customFormat="1" ht="14.5">
      <c r="C12207" s="10"/>
      <c r="D12207" s="406"/>
      <c r="E12207" s="13"/>
      <c r="F12207" s="14"/>
      <c r="G12207" s="15"/>
      <c r="H12207" s="451"/>
      <c r="I12207" s="412"/>
      <c r="J12207" s="16"/>
    </row>
    <row r="12208" spans="3:10" customFormat="1" ht="15" thickBot="1">
      <c r="C12208" s="10"/>
      <c r="D12208" s="516"/>
      <c r="E12208" s="460"/>
      <c r="F12208" s="461"/>
      <c r="G12208" s="517"/>
      <c r="H12208" s="518"/>
      <c r="I12208" s="464"/>
      <c r="J12208" s="465"/>
    </row>
    <row r="12209" spans="3:10" customFormat="1" ht="15" thickBot="1">
      <c r="C12209" s="10"/>
      <c r="D12209" s="417"/>
      <c r="E12209" s="418"/>
      <c r="F12209" s="418"/>
      <c r="G12209" s="419"/>
      <c r="H12209" s="420" t="s">
        <v>67</v>
      </c>
      <c r="I12209" s="421"/>
      <c r="J12209" s="396">
        <f>SUM(J12206:J12208)</f>
        <v>0</v>
      </c>
    </row>
    <row r="12210" spans="3:10" customFormat="1" ht="14.5">
      <c r="C12210" s="10"/>
      <c r="D12210" s="422" t="s">
        <v>68</v>
      </c>
      <c r="E12210" s="423" t="s">
        <v>69</v>
      </c>
      <c r="F12210" s="424"/>
      <c r="G12210" s="425"/>
      <c r="H12210" s="426"/>
      <c r="I12210" s="427"/>
      <c r="J12210" s="428">
        <f>+J12199+J12205+J12209</f>
        <v>0</v>
      </c>
    </row>
    <row r="12211" spans="3:10" customFormat="1" ht="15" thickBot="1">
      <c r="C12211" s="10"/>
      <c r="D12211" s="438" t="s">
        <v>70</v>
      </c>
      <c r="E12211" s="414" t="s">
        <v>477</v>
      </c>
      <c r="F12211" s="429"/>
      <c r="G12211" s="439"/>
      <c r="H12211" s="440">
        <v>0.1</v>
      </c>
      <c r="I12211" s="441"/>
      <c r="J12211" s="430">
        <f>H12211*J12210</f>
        <v>0</v>
      </c>
    </row>
    <row r="12212" spans="3:10" customFormat="1" ht="15" thickBot="1">
      <c r="C12212" s="10"/>
      <c r="D12212" s="401" t="s">
        <v>71</v>
      </c>
      <c r="E12212" s="402" t="s">
        <v>72</v>
      </c>
      <c r="F12212" s="418"/>
      <c r="G12212" s="419"/>
      <c r="H12212" s="442"/>
      <c r="I12212" s="421"/>
      <c r="J12212" s="396">
        <f>ROUNDDOWN(J12210+J12211,0)</f>
        <v>0</v>
      </c>
    </row>
    <row r="12214" spans="3:10" customFormat="1" ht="15" thickBot="1">
      <c r="C12214" s="12"/>
      <c r="D12214" s="11" t="s">
        <v>4128</v>
      </c>
      <c r="E12214" s="10"/>
      <c r="F12214" s="10"/>
      <c r="G12214" s="12"/>
      <c r="H12214" s="397"/>
      <c r="I12214" s="10"/>
      <c r="J12214" s="10"/>
    </row>
    <row r="12215" spans="3:10" customFormat="1" ht="15" thickBot="1">
      <c r="C12215" s="10"/>
      <c r="D12215" s="560" t="s">
        <v>40</v>
      </c>
      <c r="E12215" s="561" t="s">
        <v>41</v>
      </c>
      <c r="F12215" s="561" t="s">
        <v>42</v>
      </c>
      <c r="G12215" s="561" t="s">
        <v>43</v>
      </c>
      <c r="H12215" s="561" t="s">
        <v>44</v>
      </c>
      <c r="I12215" s="561" t="s">
        <v>474</v>
      </c>
      <c r="J12215" s="562" t="s">
        <v>475</v>
      </c>
    </row>
    <row r="12216" spans="3:10" customFormat="1" ht="14.5">
      <c r="C12216" s="10"/>
      <c r="D12216" s="406" t="s">
        <v>45</v>
      </c>
      <c r="E12216" s="13" t="s">
        <v>46</v>
      </c>
      <c r="F12216" s="14"/>
      <c r="G12216" s="15"/>
      <c r="H12216" s="407"/>
      <c r="I12216" s="14"/>
      <c r="J12216" s="408"/>
    </row>
    <row r="12217" spans="3:10" customFormat="1" ht="14.5">
      <c r="C12217" s="10"/>
      <c r="D12217" s="413"/>
      <c r="E12217" s="945" t="s">
        <v>47</v>
      </c>
      <c r="F12217" s="429" t="s">
        <v>1918</v>
      </c>
      <c r="G12217" s="415" t="s">
        <v>48</v>
      </c>
      <c r="H12217" s="416">
        <v>0.20080000000000001</v>
      </c>
      <c r="I12217" s="412">
        <f>IF(AND(E12217&lt;&gt;"",G12217&lt;&gt;""),IF(D12217="",IF(G12217="OH",VLOOKUP(F12217,UPAH!$B$4:$H$101,7,0),0),0),0)</f>
        <v>0</v>
      </c>
      <c r="J12217" s="16">
        <f>H12217*I12217</f>
        <v>0</v>
      </c>
    </row>
    <row r="12218" spans="3:10" customFormat="1" ht="15" thickBot="1">
      <c r="C12218" s="10"/>
      <c r="D12218" s="413"/>
      <c r="E12218" s="945" t="s">
        <v>51</v>
      </c>
      <c r="F12218" s="429" t="s">
        <v>1929</v>
      </c>
      <c r="G12218" s="415" t="s">
        <v>48</v>
      </c>
      <c r="H12218" s="416">
        <v>2.01E-2</v>
      </c>
      <c r="I12218" s="412">
        <f>IF(AND(E12218&lt;&gt;"",G12218&lt;&gt;""),IF(D12218="",IF(G12218="OH",VLOOKUP(F12218,UPAH!$B$4:$H$101,7,0),0),0),0)</f>
        <v>0</v>
      </c>
      <c r="J12218" s="16">
        <f>H12218*I12218</f>
        <v>0</v>
      </c>
    </row>
    <row r="12219" spans="3:10" customFormat="1" ht="15" thickBot="1">
      <c r="C12219" s="10"/>
      <c r="D12219" s="417"/>
      <c r="E12219" s="418"/>
      <c r="F12219" s="418"/>
      <c r="G12219" s="419"/>
      <c r="H12219" s="420" t="s">
        <v>52</v>
      </c>
      <c r="I12219" s="421"/>
      <c r="J12219" s="396">
        <f>SUM(J12217:J12218)</f>
        <v>0</v>
      </c>
    </row>
    <row r="12220" spans="3:10" customFormat="1" ht="14.5">
      <c r="C12220" s="10"/>
      <c r="D12220" s="422" t="s">
        <v>53</v>
      </c>
      <c r="E12220" s="423" t="s">
        <v>54</v>
      </c>
      <c r="F12220" s="424"/>
      <c r="G12220" s="425"/>
      <c r="H12220" s="426"/>
      <c r="I12220" s="427"/>
      <c r="J12220" s="428"/>
    </row>
    <row r="12221" spans="3:10" customFormat="1" ht="14.5">
      <c r="C12221" s="10"/>
      <c r="D12221" s="413"/>
      <c r="E12221" s="945" t="s">
        <v>4129</v>
      </c>
      <c r="F12221" s="429"/>
      <c r="G12221" s="952" t="s">
        <v>170</v>
      </c>
      <c r="H12221" s="416">
        <v>0.2306</v>
      </c>
      <c r="I12221" s="412">
        <f>'BAHAN '!G9</f>
        <v>0</v>
      </c>
      <c r="J12221" s="16">
        <f>H12221*I12221</f>
        <v>0</v>
      </c>
    </row>
    <row r="12222" spans="3:10" customFormat="1" ht="14.5">
      <c r="C12222" s="10"/>
      <c r="D12222" s="413"/>
      <c r="E12222" s="945" t="s">
        <v>4130</v>
      </c>
      <c r="F12222" s="429"/>
      <c r="G12222" s="952" t="s">
        <v>170</v>
      </c>
      <c r="H12222" s="416">
        <v>0.4536</v>
      </c>
      <c r="I12222" s="412">
        <f>'BAHAN '!G10</f>
        <v>0</v>
      </c>
      <c r="J12222" s="16">
        <f>H12222*I12222</f>
        <v>0</v>
      </c>
    </row>
    <row r="12223" spans="3:10" customFormat="1" ht="14.5">
      <c r="C12223" s="10"/>
      <c r="D12223" s="413"/>
      <c r="E12223" s="945" t="s">
        <v>4131</v>
      </c>
      <c r="F12223" s="429"/>
      <c r="G12223" s="952" t="s">
        <v>57</v>
      </c>
      <c r="H12223" s="416">
        <v>9.9749999999999996</v>
      </c>
      <c r="I12223" s="412">
        <f>'BAHAN '!G72</f>
        <v>0</v>
      </c>
      <c r="J12223" s="16">
        <f>H12223*I12223</f>
        <v>0</v>
      </c>
    </row>
    <row r="12224" spans="3:10" customFormat="1" ht="15" thickBot="1">
      <c r="C12224" s="10"/>
      <c r="D12224" s="413"/>
      <c r="E12224" s="945" t="s">
        <v>1965</v>
      </c>
      <c r="F12224" s="429"/>
      <c r="G12224" s="952" t="s">
        <v>57</v>
      </c>
      <c r="H12224" s="416">
        <v>53.869</v>
      </c>
      <c r="I12224" s="412">
        <f>'BAHAN '!G13</f>
        <v>0</v>
      </c>
      <c r="J12224" s="16">
        <f>H12224*I12224</f>
        <v>0</v>
      </c>
    </row>
    <row r="12225" spans="3:10" customFormat="1" ht="15" thickBot="1">
      <c r="C12225" s="10"/>
      <c r="D12225" s="417"/>
      <c r="E12225" s="418"/>
      <c r="F12225" s="418"/>
      <c r="G12225" s="419"/>
      <c r="H12225" s="420" t="s">
        <v>64</v>
      </c>
      <c r="I12225" s="421"/>
      <c r="J12225" s="396">
        <f>SUM(J12220:J12224)</f>
        <v>0</v>
      </c>
    </row>
    <row r="12226" spans="3:10" customFormat="1" ht="14.5">
      <c r="C12226" s="10"/>
      <c r="D12226" s="444" t="s">
        <v>65</v>
      </c>
      <c r="E12226" s="445" t="s">
        <v>66</v>
      </c>
      <c r="F12226" s="446"/>
      <c r="G12226" s="447"/>
      <c r="H12226" s="448"/>
      <c r="I12226" s="449"/>
      <c r="J12226" s="450"/>
    </row>
    <row r="12227" spans="3:10" customFormat="1" ht="14.5">
      <c r="C12227" s="10"/>
      <c r="D12227" s="413"/>
      <c r="E12227" s="945" t="s">
        <v>4125</v>
      </c>
      <c r="F12227" s="429"/>
      <c r="G12227" s="415" t="s">
        <v>137</v>
      </c>
      <c r="H12227" s="416">
        <v>8.6999999999999994E-3</v>
      </c>
      <c r="I12227" s="412">
        <v>0</v>
      </c>
      <c r="J12227" s="16">
        <f t="shared" ref="J12227:J12233" si="56">H12227*I12227</f>
        <v>0</v>
      </c>
    </row>
    <row r="12228" spans="3:10" customFormat="1" ht="14.5">
      <c r="C12228" s="10"/>
      <c r="D12228" s="413"/>
      <c r="E12228" s="945" t="s">
        <v>4132</v>
      </c>
      <c r="F12228" s="429"/>
      <c r="G12228" s="415" t="s">
        <v>137</v>
      </c>
      <c r="H12228" s="416">
        <v>2.01E-2</v>
      </c>
      <c r="I12228" s="412">
        <v>0</v>
      </c>
      <c r="J12228" s="16">
        <f t="shared" si="56"/>
        <v>0</v>
      </c>
    </row>
    <row r="12229" spans="3:10" customFormat="1" ht="14.5">
      <c r="C12229" s="10"/>
      <c r="D12229" s="413"/>
      <c r="E12229" s="945" t="s">
        <v>4133</v>
      </c>
      <c r="F12229" s="429"/>
      <c r="G12229" s="415" t="s">
        <v>137</v>
      </c>
      <c r="H12229" s="416">
        <v>2.01E-2</v>
      </c>
      <c r="I12229" s="412">
        <v>0</v>
      </c>
      <c r="J12229" s="16">
        <f t="shared" si="56"/>
        <v>0</v>
      </c>
    </row>
    <row r="12230" spans="3:10" customFormat="1" ht="14.5">
      <c r="C12230" s="10"/>
      <c r="D12230" s="413"/>
      <c r="E12230" s="945" t="s">
        <v>3205</v>
      </c>
      <c r="F12230" s="429"/>
      <c r="G12230" s="415" t="s">
        <v>137</v>
      </c>
      <c r="H12230" s="416">
        <v>4.9000000000000002E-2</v>
      </c>
      <c r="I12230" s="412">
        <v>0</v>
      </c>
      <c r="J12230" s="16">
        <f t="shared" si="56"/>
        <v>0</v>
      </c>
    </row>
    <row r="12231" spans="3:10" customFormat="1" ht="14.5">
      <c r="C12231" s="10"/>
      <c r="D12231" s="413"/>
      <c r="E12231" s="945" t="s">
        <v>4134</v>
      </c>
      <c r="F12231" s="429"/>
      <c r="G12231" s="415" t="s">
        <v>137</v>
      </c>
      <c r="H12231" s="416">
        <v>2.9100000000000001E-2</v>
      </c>
      <c r="I12231" s="412">
        <v>0</v>
      </c>
      <c r="J12231" s="16">
        <f t="shared" si="56"/>
        <v>0</v>
      </c>
    </row>
    <row r="12232" spans="3:10" customFormat="1" ht="14.5">
      <c r="C12232" s="10"/>
      <c r="D12232" s="413"/>
      <c r="E12232" s="945" t="s">
        <v>4126</v>
      </c>
      <c r="F12232" s="429"/>
      <c r="G12232" s="415" t="s">
        <v>137</v>
      </c>
      <c r="H12232" s="416">
        <v>8.8999999999999999E-3</v>
      </c>
      <c r="I12232" s="412">
        <v>0</v>
      </c>
      <c r="J12232" s="16">
        <f t="shared" si="56"/>
        <v>0</v>
      </c>
    </row>
    <row r="12233" spans="3:10" customFormat="1" ht="15" thickBot="1">
      <c r="C12233" s="10"/>
      <c r="D12233" s="413"/>
      <c r="E12233" s="945" t="s">
        <v>4135</v>
      </c>
      <c r="F12233" s="429"/>
      <c r="G12233" s="415" t="s">
        <v>137</v>
      </c>
      <c r="H12233" s="416">
        <v>1.6400000000000001E-2</v>
      </c>
      <c r="I12233" s="412">
        <v>0</v>
      </c>
      <c r="J12233" s="16">
        <f t="shared" si="56"/>
        <v>0</v>
      </c>
    </row>
    <row r="12234" spans="3:10" customFormat="1" ht="15" thickBot="1">
      <c r="C12234" s="10"/>
      <c r="D12234" s="417"/>
      <c r="E12234" s="418"/>
      <c r="F12234" s="418"/>
      <c r="G12234" s="419"/>
      <c r="H12234" s="420" t="s">
        <v>67</v>
      </c>
      <c r="I12234" s="421"/>
      <c r="J12234" s="396">
        <f>SUM(J12226:J12233)</f>
        <v>0</v>
      </c>
    </row>
    <row r="12235" spans="3:10" customFormat="1" ht="14.5">
      <c r="C12235" s="10"/>
      <c r="D12235" s="422" t="s">
        <v>68</v>
      </c>
      <c r="E12235" s="423" t="s">
        <v>69</v>
      </c>
      <c r="F12235" s="424"/>
      <c r="G12235" s="425"/>
      <c r="H12235" s="426"/>
      <c r="I12235" s="427"/>
      <c r="J12235" s="428">
        <f>+J12219+J12225+J12234</f>
        <v>0</v>
      </c>
    </row>
    <row r="12236" spans="3:10" customFormat="1" ht="15" thickBot="1">
      <c r="C12236" s="10"/>
      <c r="D12236" s="438" t="s">
        <v>70</v>
      </c>
      <c r="E12236" s="414" t="s">
        <v>477</v>
      </c>
      <c r="F12236" s="429"/>
      <c r="G12236" s="439"/>
      <c r="H12236" s="440">
        <v>0.1</v>
      </c>
      <c r="I12236" s="441"/>
      <c r="J12236" s="430">
        <f>H12236*J12235</f>
        <v>0</v>
      </c>
    </row>
    <row r="12237" spans="3:10" customFormat="1" ht="15" thickBot="1">
      <c r="C12237" s="10"/>
      <c r="D12237" s="401" t="s">
        <v>71</v>
      </c>
      <c r="E12237" s="402" t="s">
        <v>72</v>
      </c>
      <c r="F12237" s="418"/>
      <c r="G12237" s="419"/>
      <c r="H12237" s="442"/>
      <c r="I12237" s="421"/>
      <c r="J12237" s="396">
        <f>ROUNDDOWN(J12235+J12236,0)</f>
        <v>0</v>
      </c>
    </row>
  </sheetData>
  <protectedRanges>
    <protectedRange password="CF35" sqref="H12028 D12025 E12006 H12006 E12028" name="Range1"/>
  </protectedRanges>
  <dataConsolidate/>
  <mergeCells count="2">
    <mergeCell ref="C1:J1"/>
    <mergeCell ref="C2:J2"/>
  </mergeCells>
  <conditionalFormatting sqref="G12221:G12224">
    <cfRule type="expression" dxfId="2" priority="1">
      <formula>AND(NOT($D12221=""),NOT($G12221=""),$H12221=0)</formula>
    </cfRule>
    <cfRule type="expression" dxfId="1" priority="2">
      <formula>$K12221="HAPUS"</formula>
    </cfRule>
    <cfRule type="containsErrors" dxfId="0" priority="3">
      <formula>ISERROR(G12221)</formula>
    </cfRule>
  </conditionalFormatting>
  <printOptions horizontalCentered="1"/>
  <pageMargins left="0.39370078740157483" right="0.39370078740157483" top="0.59055118110236227" bottom="0.59055118110236227" header="0.31496062992125984" footer="0.31496062992125984"/>
  <pageSetup paperSize="9" scale="75" fitToHeight="215" orientation="portrait" r:id="rId1"/>
  <rowBreaks count="2" manualBreakCount="2">
    <brk id="73" min="3" max="9" man="1"/>
    <brk id="7641" min="3"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U51"/>
  <sheetViews>
    <sheetView view="pageBreakPreview" topLeftCell="B1" zoomScale="60" zoomScaleNormal="100" workbookViewId="0">
      <selection activeCell="O16" sqref="O16"/>
    </sheetView>
  </sheetViews>
  <sheetFormatPr defaultRowHeight="14.5"/>
  <cols>
    <col min="2" max="2" width="11.08984375" customWidth="1"/>
    <col min="3" max="3" width="32.54296875" customWidth="1"/>
    <col min="4" max="4" width="15.54296875" customWidth="1"/>
    <col min="5" max="7" width="9.08984375" hidden="1" customWidth="1"/>
    <col min="8" max="8" width="23.90625" customWidth="1"/>
    <col min="9" max="9" width="11.08984375" customWidth="1"/>
    <col min="11" max="11" width="27.54296875" customWidth="1"/>
    <col min="12" max="12" width="20.90625" customWidth="1"/>
    <col min="13" max="13" width="11.453125" style="2" customWidth="1"/>
    <col min="14" max="14" width="29.36328125" style="2" customWidth="1"/>
    <col min="15" max="15" width="20.90625" customWidth="1"/>
    <col min="19" max="19" width="17.08984375" customWidth="1"/>
  </cols>
  <sheetData>
    <row r="1" spans="2:16" ht="21">
      <c r="B1" s="1754" t="s">
        <v>2873</v>
      </c>
      <c r="C1" s="1754"/>
      <c r="D1" s="1754"/>
      <c r="E1" s="1754"/>
      <c r="F1" s="1754"/>
      <c r="G1" s="1754"/>
      <c r="H1" s="1754"/>
      <c r="I1" s="25"/>
      <c r="K1" s="366"/>
      <c r="L1" s="367"/>
      <c r="M1" s="368"/>
    </row>
    <row r="2" spans="2:16">
      <c r="K2" s="372"/>
      <c r="L2" s="372"/>
    </row>
    <row r="3" spans="2:16" ht="18.5">
      <c r="B3" s="49" t="s">
        <v>42</v>
      </c>
      <c r="C3" s="49" t="s">
        <v>41</v>
      </c>
      <c r="D3" s="49" t="s">
        <v>43</v>
      </c>
      <c r="E3" s="49"/>
      <c r="F3" s="49"/>
      <c r="G3" s="49"/>
      <c r="H3" s="50" t="s">
        <v>1846</v>
      </c>
      <c r="I3" s="49" t="s">
        <v>2874</v>
      </c>
      <c r="K3" s="372"/>
      <c r="L3" s="372"/>
      <c r="M3" s="41"/>
      <c r="N3" s="372"/>
      <c r="O3" s="374"/>
      <c r="P3" s="372"/>
    </row>
    <row r="4" spans="2:16" ht="39">
      <c r="B4" s="44" t="s">
        <v>1918</v>
      </c>
      <c r="C4" s="45" t="s">
        <v>451</v>
      </c>
      <c r="D4" s="46" t="s">
        <v>3672</v>
      </c>
      <c r="E4" s="42">
        <v>1</v>
      </c>
      <c r="F4" s="47">
        <v>1</v>
      </c>
      <c r="G4" s="47">
        <v>1</v>
      </c>
      <c r="H4" s="48">
        <v>0</v>
      </c>
      <c r="I4" s="42"/>
      <c r="K4" s="377"/>
      <c r="L4" s="366"/>
      <c r="O4" s="7"/>
    </row>
    <row r="5" spans="2:16" ht="15" thickBot="1">
      <c r="B5" s="43" t="s">
        <v>1919</v>
      </c>
      <c r="C5" s="3" t="s">
        <v>452</v>
      </c>
      <c r="D5" s="4" t="s">
        <v>48</v>
      </c>
      <c r="E5" s="5">
        <v>2</v>
      </c>
      <c r="F5" s="6">
        <v>2</v>
      </c>
      <c r="G5" s="6">
        <v>2</v>
      </c>
      <c r="H5" s="48">
        <v>0</v>
      </c>
      <c r="I5" s="42"/>
      <c r="K5" s="377"/>
      <c r="L5" s="366"/>
      <c r="O5" s="7"/>
    </row>
    <row r="6" spans="2:16">
      <c r="B6" s="43" t="s">
        <v>1920</v>
      </c>
      <c r="C6" s="3" t="s">
        <v>453</v>
      </c>
      <c r="D6" s="4" t="s">
        <v>48</v>
      </c>
      <c r="E6" s="19">
        <v>3</v>
      </c>
      <c r="F6" s="20">
        <v>3</v>
      </c>
      <c r="G6" s="20">
        <v>3</v>
      </c>
      <c r="H6" s="48">
        <v>0</v>
      </c>
      <c r="I6" s="42"/>
      <c r="K6" s="377"/>
      <c r="L6" s="366"/>
      <c r="M6" s="40"/>
      <c r="N6" s="40"/>
      <c r="O6" s="7"/>
    </row>
    <row r="7" spans="2:16" ht="15" thickBot="1">
      <c r="B7" s="43" t="s">
        <v>1921</v>
      </c>
      <c r="C7" s="3" t="s">
        <v>454</v>
      </c>
      <c r="D7" s="4" t="s">
        <v>48</v>
      </c>
      <c r="E7" s="5">
        <v>4</v>
      </c>
      <c r="F7" s="6">
        <v>4</v>
      </c>
      <c r="G7" s="6">
        <v>4</v>
      </c>
      <c r="H7" s="48">
        <v>0</v>
      </c>
      <c r="I7" s="42"/>
      <c r="K7" s="377"/>
      <c r="L7" s="366"/>
      <c r="O7" s="7"/>
    </row>
    <row r="8" spans="2:16">
      <c r="B8" s="43" t="s">
        <v>1922</v>
      </c>
      <c r="C8" s="3" t="s">
        <v>455</v>
      </c>
      <c r="D8" s="4" t="s">
        <v>48</v>
      </c>
      <c r="E8" s="19">
        <v>5</v>
      </c>
      <c r="F8" s="20">
        <v>5</v>
      </c>
      <c r="G8" s="20">
        <v>5</v>
      </c>
      <c r="H8" s="48">
        <v>0</v>
      </c>
      <c r="I8" s="42"/>
      <c r="K8" s="377"/>
      <c r="L8" s="366"/>
      <c r="O8" s="7"/>
    </row>
    <row r="9" spans="2:16" ht="15" thickBot="1">
      <c r="B9" s="43" t="s">
        <v>1923</v>
      </c>
      <c r="C9" s="3" t="s">
        <v>456</v>
      </c>
      <c r="D9" s="4" t="s">
        <v>48</v>
      </c>
      <c r="E9" s="5">
        <v>6</v>
      </c>
      <c r="F9" s="6">
        <v>6</v>
      </c>
      <c r="G9" s="6">
        <v>6</v>
      </c>
      <c r="H9" s="48">
        <v>0</v>
      </c>
      <c r="I9" s="42"/>
      <c r="K9" s="377"/>
      <c r="L9" s="366"/>
      <c r="O9" s="7"/>
    </row>
    <row r="10" spans="2:16">
      <c r="B10" s="43" t="s">
        <v>1924</v>
      </c>
      <c r="C10" s="3" t="s">
        <v>3171</v>
      </c>
      <c r="D10" s="4" t="s">
        <v>48</v>
      </c>
      <c r="E10" s="19">
        <v>7</v>
      </c>
      <c r="F10" s="20">
        <v>7</v>
      </c>
      <c r="G10" s="20">
        <v>7</v>
      </c>
      <c r="H10" s="48">
        <v>0</v>
      </c>
      <c r="I10" s="42"/>
      <c r="K10" s="377"/>
      <c r="L10" s="366"/>
      <c r="O10" s="7"/>
    </row>
    <row r="11" spans="2:16" ht="15" thickBot="1">
      <c r="B11" s="43" t="s">
        <v>1925</v>
      </c>
      <c r="C11" s="3" t="s">
        <v>458</v>
      </c>
      <c r="D11" s="4" t="s">
        <v>48</v>
      </c>
      <c r="E11" s="5">
        <v>8</v>
      </c>
      <c r="F11" s="6">
        <v>8</v>
      </c>
      <c r="G11" s="6">
        <v>8</v>
      </c>
      <c r="H11" s="48">
        <v>0</v>
      </c>
      <c r="I11" s="42"/>
      <c r="K11" s="377"/>
      <c r="L11" s="366"/>
      <c r="O11" s="7"/>
    </row>
    <row r="12" spans="2:16">
      <c r="B12" s="43" t="s">
        <v>1926</v>
      </c>
      <c r="C12" s="3" t="s">
        <v>459</v>
      </c>
      <c r="D12" s="4" t="s">
        <v>48</v>
      </c>
      <c r="E12" s="19">
        <v>9</v>
      </c>
      <c r="F12" s="20">
        <v>9</v>
      </c>
      <c r="G12" s="20">
        <v>9</v>
      </c>
      <c r="H12" s="48">
        <v>0</v>
      </c>
      <c r="I12" s="42"/>
      <c r="K12" s="377"/>
      <c r="L12" s="366"/>
      <c r="O12" s="7"/>
    </row>
    <row r="13" spans="2:16" ht="15" thickBot="1">
      <c r="B13" s="43" t="s">
        <v>1927</v>
      </c>
      <c r="C13" s="38" t="s">
        <v>3172</v>
      </c>
      <c r="D13" s="4" t="s">
        <v>48</v>
      </c>
      <c r="E13" s="5">
        <v>10</v>
      </c>
      <c r="F13" s="6">
        <v>10</v>
      </c>
      <c r="G13" s="6">
        <v>10</v>
      </c>
      <c r="H13" s="48">
        <v>0</v>
      </c>
      <c r="I13" s="42"/>
      <c r="K13" s="377"/>
      <c r="L13" s="366"/>
      <c r="O13" s="7"/>
    </row>
    <row r="14" spans="2:16">
      <c r="B14" s="43" t="s">
        <v>1910</v>
      </c>
      <c r="C14" s="3" t="s">
        <v>3173</v>
      </c>
      <c r="D14" s="4" t="s">
        <v>48</v>
      </c>
      <c r="E14" s="19">
        <v>11</v>
      </c>
      <c r="F14" s="20">
        <v>11</v>
      </c>
      <c r="G14" s="20">
        <v>11</v>
      </c>
      <c r="H14" s="48">
        <v>0</v>
      </c>
      <c r="I14" s="42"/>
      <c r="K14" s="377"/>
      <c r="L14" s="366"/>
      <c r="O14" s="7"/>
    </row>
    <row r="15" spans="2:16" ht="15" thickBot="1">
      <c r="B15" s="43" t="s">
        <v>1911</v>
      </c>
      <c r="C15" s="3" t="s">
        <v>3174</v>
      </c>
      <c r="D15" s="4" t="s">
        <v>48</v>
      </c>
      <c r="E15" s="5">
        <v>12</v>
      </c>
      <c r="F15" s="6">
        <v>12</v>
      </c>
      <c r="G15" s="6">
        <v>12</v>
      </c>
      <c r="H15" s="48">
        <v>0</v>
      </c>
      <c r="I15" s="42"/>
      <c r="K15" s="377"/>
      <c r="L15" s="366"/>
      <c r="O15" s="7"/>
    </row>
    <row r="16" spans="2:16">
      <c r="B16" s="43" t="s">
        <v>1912</v>
      </c>
      <c r="C16" s="3" t="s">
        <v>462</v>
      </c>
      <c r="D16" s="4" t="s">
        <v>48</v>
      </c>
      <c r="E16" s="19">
        <v>13</v>
      </c>
      <c r="F16" s="20">
        <v>13</v>
      </c>
      <c r="G16" s="20">
        <v>13</v>
      </c>
      <c r="H16" s="48">
        <v>0</v>
      </c>
      <c r="I16" s="42"/>
      <c r="K16" s="377"/>
      <c r="L16" s="366"/>
      <c r="O16" s="7"/>
    </row>
    <row r="17" spans="2:15" ht="15" thickBot="1">
      <c r="B17" s="43" t="s">
        <v>1913</v>
      </c>
      <c r="C17" s="3" t="s">
        <v>463</v>
      </c>
      <c r="D17" s="4" t="s">
        <v>48</v>
      </c>
      <c r="E17" s="5">
        <v>14</v>
      </c>
      <c r="F17" s="6">
        <v>14</v>
      </c>
      <c r="G17" s="6">
        <v>14</v>
      </c>
      <c r="H17" s="48">
        <v>0</v>
      </c>
      <c r="I17" s="42"/>
      <c r="K17" s="377"/>
      <c r="L17" s="366"/>
      <c r="O17" s="7"/>
    </row>
    <row r="18" spans="2:15">
      <c r="B18" s="43" t="s">
        <v>1914</v>
      </c>
      <c r="C18" s="3" t="s">
        <v>464</v>
      </c>
      <c r="D18" s="4" t="s">
        <v>48</v>
      </c>
      <c r="E18" s="19">
        <v>15</v>
      </c>
      <c r="F18" s="20">
        <v>15</v>
      </c>
      <c r="G18" s="20">
        <v>15</v>
      </c>
      <c r="H18" s="48">
        <v>0</v>
      </c>
      <c r="I18" s="42"/>
      <c r="K18" s="377"/>
      <c r="L18" s="366"/>
      <c r="O18" s="7"/>
    </row>
    <row r="19" spans="2:15" ht="15" thickBot="1">
      <c r="B19" s="43" t="s">
        <v>1928</v>
      </c>
      <c r="C19" s="3" t="s">
        <v>465</v>
      </c>
      <c r="D19" s="4" t="s">
        <v>48</v>
      </c>
      <c r="E19" s="5">
        <v>16</v>
      </c>
      <c r="F19" s="6">
        <v>16</v>
      </c>
      <c r="G19" s="6">
        <v>16</v>
      </c>
      <c r="H19" s="48">
        <v>0</v>
      </c>
      <c r="I19" s="42"/>
      <c r="K19" s="377"/>
      <c r="L19" s="366"/>
      <c r="O19" s="7"/>
    </row>
    <row r="20" spans="2:15">
      <c r="B20" s="43" t="s">
        <v>1929</v>
      </c>
      <c r="C20" s="3" t="s">
        <v>466</v>
      </c>
      <c r="D20" s="4" t="s">
        <v>48</v>
      </c>
      <c r="E20" s="19">
        <v>17</v>
      </c>
      <c r="F20" s="20">
        <v>17</v>
      </c>
      <c r="G20" s="20">
        <v>17</v>
      </c>
      <c r="H20" s="48">
        <v>0</v>
      </c>
      <c r="I20" s="42"/>
      <c r="K20" s="377"/>
      <c r="L20" s="366"/>
      <c r="O20" s="7"/>
    </row>
    <row r="21" spans="2:15" ht="15" thickBot="1">
      <c r="B21" s="43" t="s">
        <v>1930</v>
      </c>
      <c r="C21" s="39" t="s">
        <v>3175</v>
      </c>
      <c r="D21" s="4" t="s">
        <v>48</v>
      </c>
      <c r="E21" s="5">
        <v>18</v>
      </c>
      <c r="F21" s="6">
        <v>18</v>
      </c>
      <c r="G21" s="6">
        <v>18</v>
      </c>
      <c r="H21" s="48">
        <v>0</v>
      </c>
      <c r="I21" s="42"/>
      <c r="K21" s="377"/>
      <c r="L21" s="366"/>
      <c r="O21" s="7"/>
    </row>
    <row r="22" spans="2:15">
      <c r="B22" s="43" t="s">
        <v>1932</v>
      </c>
      <c r="C22" s="39" t="s">
        <v>3176</v>
      </c>
      <c r="D22" s="4" t="s">
        <v>48</v>
      </c>
      <c r="E22" s="19">
        <v>19</v>
      </c>
      <c r="F22" s="20">
        <v>19</v>
      </c>
      <c r="G22" s="20">
        <v>19</v>
      </c>
      <c r="H22" s="48">
        <v>0</v>
      </c>
      <c r="I22" s="42"/>
      <c r="K22" s="377"/>
      <c r="L22" s="366"/>
      <c r="O22" s="7"/>
    </row>
    <row r="23" spans="2:15" ht="15" thickBot="1">
      <c r="B23" s="43" t="s">
        <v>1931</v>
      </c>
      <c r="C23" s="39" t="s">
        <v>3177</v>
      </c>
      <c r="D23" s="4" t="s">
        <v>48</v>
      </c>
      <c r="E23" s="5">
        <v>20</v>
      </c>
      <c r="F23" s="6">
        <v>20</v>
      </c>
      <c r="G23" s="6">
        <v>20</v>
      </c>
      <c r="H23" s="48">
        <v>0</v>
      </c>
      <c r="I23" s="42"/>
      <c r="K23" s="377"/>
      <c r="L23" s="366"/>
      <c r="O23" s="7"/>
    </row>
    <row r="24" spans="2:15">
      <c r="B24" s="43" t="s">
        <v>1933</v>
      </c>
      <c r="C24" s="39" t="s">
        <v>3178</v>
      </c>
      <c r="D24" s="4" t="s">
        <v>48</v>
      </c>
      <c r="E24" s="19">
        <v>21</v>
      </c>
      <c r="F24" s="20">
        <v>21</v>
      </c>
      <c r="G24" s="20">
        <v>21</v>
      </c>
      <c r="H24" s="48">
        <v>0</v>
      </c>
      <c r="I24" s="42"/>
      <c r="K24" s="377"/>
      <c r="L24" s="366"/>
      <c r="O24" s="7"/>
    </row>
    <row r="25" spans="2:15" ht="15" thickBot="1">
      <c r="B25" s="43" t="s">
        <v>1934</v>
      </c>
      <c r="C25" s="39" t="s">
        <v>3179</v>
      </c>
      <c r="D25" s="4" t="s">
        <v>48</v>
      </c>
      <c r="E25" s="5">
        <v>22</v>
      </c>
      <c r="F25" s="6">
        <v>22</v>
      </c>
      <c r="G25" s="6">
        <v>22</v>
      </c>
      <c r="H25" s="48">
        <v>0</v>
      </c>
      <c r="I25" s="42"/>
      <c r="K25" s="377"/>
      <c r="L25" s="366"/>
      <c r="O25" s="7"/>
    </row>
    <row r="26" spans="2:15">
      <c r="B26" s="43" t="s">
        <v>1935</v>
      </c>
      <c r="C26" s="39" t="s">
        <v>3180</v>
      </c>
      <c r="D26" s="4" t="s">
        <v>48</v>
      </c>
      <c r="E26" s="19">
        <v>23</v>
      </c>
      <c r="F26" s="20">
        <v>23</v>
      </c>
      <c r="G26" s="20">
        <v>23</v>
      </c>
      <c r="H26" s="48">
        <v>0</v>
      </c>
      <c r="I26" s="42"/>
      <c r="K26" s="377"/>
      <c r="L26" s="366"/>
      <c r="O26" s="7"/>
    </row>
    <row r="27" spans="2:15" ht="15" thickBot="1">
      <c r="B27" s="43" t="s">
        <v>1938</v>
      </c>
      <c r="C27" s="39" t="s">
        <v>3181</v>
      </c>
      <c r="D27" s="4" t="s">
        <v>48</v>
      </c>
      <c r="E27" s="5">
        <v>24</v>
      </c>
      <c r="F27" s="6">
        <v>24</v>
      </c>
      <c r="G27" s="6">
        <v>24</v>
      </c>
      <c r="H27" s="48">
        <v>0</v>
      </c>
      <c r="I27" s="42"/>
      <c r="K27" s="377"/>
      <c r="L27" s="366"/>
      <c r="O27" s="7"/>
    </row>
    <row r="28" spans="2:15">
      <c r="B28" s="43" t="s">
        <v>1936</v>
      </c>
      <c r="C28" s="39" t="s">
        <v>3182</v>
      </c>
      <c r="D28" s="4" t="s">
        <v>48</v>
      </c>
      <c r="E28" s="19">
        <v>25</v>
      </c>
      <c r="F28" s="20">
        <v>25</v>
      </c>
      <c r="G28" s="20">
        <v>25</v>
      </c>
      <c r="H28" s="48">
        <v>0</v>
      </c>
      <c r="I28" s="42"/>
      <c r="K28" s="377"/>
      <c r="L28" s="366"/>
      <c r="O28" s="7"/>
    </row>
    <row r="29" spans="2:15" ht="15" thickBot="1">
      <c r="B29" s="43" t="s">
        <v>1915</v>
      </c>
      <c r="C29" s="3" t="s">
        <v>3183</v>
      </c>
      <c r="D29" s="4" t="s">
        <v>48</v>
      </c>
      <c r="E29" s="5">
        <v>26</v>
      </c>
      <c r="F29" s="6">
        <v>26</v>
      </c>
      <c r="G29" s="6">
        <v>26</v>
      </c>
      <c r="H29" s="48">
        <v>0</v>
      </c>
      <c r="I29" s="42"/>
      <c r="K29" s="377"/>
      <c r="L29" s="366"/>
      <c r="O29" s="7"/>
    </row>
    <row r="30" spans="2:15">
      <c r="B30" s="43"/>
      <c r="C30" s="3" t="s">
        <v>469</v>
      </c>
      <c r="D30" s="4" t="s">
        <v>48</v>
      </c>
      <c r="E30" s="19">
        <v>27</v>
      </c>
      <c r="F30" s="20">
        <v>27</v>
      </c>
      <c r="G30" s="20">
        <v>27</v>
      </c>
      <c r="H30" s="48">
        <v>0</v>
      </c>
      <c r="I30" s="42"/>
      <c r="K30" s="377"/>
      <c r="L30" s="366"/>
      <c r="O30" s="7"/>
    </row>
    <row r="31" spans="2:15">
      <c r="B31" s="43"/>
      <c r="C31" s="3" t="s">
        <v>470</v>
      </c>
      <c r="D31" s="4" t="s">
        <v>48</v>
      </c>
      <c r="E31" s="5">
        <v>28</v>
      </c>
      <c r="F31" s="6">
        <v>28</v>
      </c>
      <c r="G31" s="6">
        <v>28</v>
      </c>
      <c r="H31" s="48">
        <v>0</v>
      </c>
      <c r="I31" s="42"/>
      <c r="K31" s="377"/>
      <c r="L31" s="366"/>
      <c r="O31" s="7"/>
    </row>
    <row r="33" spans="1:21">
      <c r="A33" s="1755"/>
      <c r="B33" s="1755"/>
      <c r="C33" s="1755"/>
      <c r="H33" s="1755"/>
      <c r="I33" s="1755"/>
    </row>
    <row r="34" spans="1:21">
      <c r="A34" s="1756"/>
      <c r="B34" s="1756"/>
      <c r="C34" s="1756"/>
      <c r="E34" s="26"/>
      <c r="F34" s="26"/>
      <c r="G34" s="26"/>
      <c r="H34" s="1756"/>
      <c r="I34" s="1756"/>
      <c r="K34" s="366"/>
      <c r="L34" s="366"/>
      <c r="M34" s="366"/>
      <c r="N34" s="366"/>
      <c r="O34" s="366"/>
      <c r="P34" s="366"/>
      <c r="Q34" s="366"/>
      <c r="R34" s="366"/>
      <c r="S34" s="366"/>
      <c r="T34" s="366"/>
      <c r="U34" s="366"/>
    </row>
    <row r="35" spans="1:21">
      <c r="A35" s="26"/>
      <c r="B35" s="26"/>
      <c r="C35" s="26"/>
      <c r="E35" s="26"/>
      <c r="F35" s="26"/>
      <c r="G35" s="26"/>
      <c r="H35" s="26"/>
      <c r="I35" s="26"/>
      <c r="K35" s="366"/>
      <c r="L35" s="367"/>
      <c r="M35" s="368"/>
      <c r="N35" s="366"/>
      <c r="O35" s="366"/>
      <c r="P35" s="366"/>
      <c r="Q35" s="366"/>
      <c r="R35" s="366"/>
      <c r="S35" s="366"/>
      <c r="T35" s="366"/>
      <c r="U35" s="366"/>
    </row>
    <row r="36" spans="1:21">
      <c r="A36" s="26"/>
      <c r="B36" s="26"/>
      <c r="C36" s="26"/>
      <c r="K36" s="366"/>
      <c r="L36" s="367"/>
      <c r="M36" s="368"/>
      <c r="N36" s="366"/>
      <c r="O36" s="366"/>
      <c r="P36" s="366"/>
      <c r="Q36" s="366"/>
      <c r="R36" s="366"/>
      <c r="S36" s="369"/>
      <c r="T36" s="370"/>
      <c r="U36" s="366"/>
    </row>
    <row r="37" spans="1:21">
      <c r="A37" s="26"/>
      <c r="B37" s="26"/>
      <c r="C37" s="26"/>
      <c r="K37" s="366"/>
      <c r="L37" s="371"/>
      <c r="M37" s="366"/>
      <c r="N37" s="366"/>
      <c r="O37" s="366"/>
      <c r="P37" s="366"/>
      <c r="Q37" s="366"/>
      <c r="R37" s="366"/>
      <c r="S37" s="369"/>
      <c r="T37" s="370"/>
      <c r="U37" s="366"/>
    </row>
    <row r="38" spans="1:21">
      <c r="A38" s="26"/>
      <c r="B38" s="26"/>
      <c r="C38" s="26"/>
      <c r="K38" s="366"/>
      <c r="L38" s="371"/>
      <c r="M38" s="366"/>
      <c r="N38" s="366"/>
      <c r="O38" s="366"/>
      <c r="P38" s="366"/>
      <c r="Q38" s="366"/>
      <c r="R38" s="366"/>
      <c r="S38" s="369"/>
      <c r="T38" s="370"/>
      <c r="U38" s="366"/>
    </row>
    <row r="39" spans="1:21">
      <c r="A39" s="26"/>
      <c r="B39" s="26"/>
      <c r="C39" s="26"/>
      <c r="K39" s="366"/>
      <c r="L39" s="371"/>
      <c r="M39" s="366"/>
      <c r="N39" s="372"/>
      <c r="O39" s="372"/>
      <c r="P39" s="372"/>
      <c r="Q39" s="372"/>
      <c r="R39" s="372"/>
      <c r="S39" s="369"/>
      <c r="T39" s="370"/>
      <c r="U39" s="373"/>
    </row>
    <row r="40" spans="1:21">
      <c r="A40" s="1757"/>
      <c r="B40" s="1756"/>
      <c r="C40" s="1756"/>
      <c r="H40" s="1757"/>
      <c r="I40" s="1757"/>
      <c r="K40" s="372"/>
      <c r="L40" s="374"/>
      <c r="M40" s="372"/>
      <c r="N40" s="372"/>
      <c r="O40" s="372"/>
      <c r="P40" s="372"/>
      <c r="Q40" s="371"/>
      <c r="R40" s="372"/>
      <c r="S40" s="375"/>
      <c r="T40" s="376"/>
      <c r="U40" s="366"/>
    </row>
    <row r="41" spans="1:21">
      <c r="A41" s="1758"/>
      <c r="B41" s="1758"/>
      <c r="C41" s="1758"/>
      <c r="H41" s="1755"/>
      <c r="I41" s="1755"/>
    </row>
    <row r="43" spans="1:21">
      <c r="B43" s="1755"/>
      <c r="C43" s="1755"/>
      <c r="D43" s="1755"/>
      <c r="E43" s="1755"/>
      <c r="F43" s="1755"/>
      <c r="G43" s="1755"/>
      <c r="H43" s="1755"/>
      <c r="I43" s="1755"/>
    </row>
    <row r="44" spans="1:21">
      <c r="B44" s="1756"/>
      <c r="C44" s="1756"/>
      <c r="D44" s="1756"/>
      <c r="E44" s="1756"/>
      <c r="F44" s="1756"/>
      <c r="G44" s="1756"/>
      <c r="H44" s="1756"/>
      <c r="I44" s="1756"/>
    </row>
    <row r="45" spans="1:21">
      <c r="B45" s="1756"/>
      <c r="C45" s="1756"/>
      <c r="D45" s="1756"/>
      <c r="E45" s="1756"/>
      <c r="F45" s="1756"/>
      <c r="G45" s="1756"/>
      <c r="H45" s="1756"/>
      <c r="I45" s="1756"/>
    </row>
    <row r="50" spans="2:9">
      <c r="B50" s="1757"/>
      <c r="C50" s="1757"/>
      <c r="D50" s="1757"/>
      <c r="E50" s="1757"/>
      <c r="F50" s="1757"/>
      <c r="G50" s="1757"/>
      <c r="H50" s="1757"/>
      <c r="I50" s="1757"/>
    </row>
    <row r="51" spans="2:9">
      <c r="B51" s="1755"/>
      <c r="C51" s="1755"/>
      <c r="D51" s="1755"/>
      <c r="E51" s="1755"/>
      <c r="F51" s="1755"/>
      <c r="G51" s="1755"/>
      <c r="H51" s="1755"/>
      <c r="I51" s="1755"/>
    </row>
  </sheetData>
  <mergeCells count="14">
    <mergeCell ref="B43:I43"/>
    <mergeCell ref="B44:I44"/>
    <mergeCell ref="B45:I45"/>
    <mergeCell ref="B50:I50"/>
    <mergeCell ref="B51:I51"/>
    <mergeCell ref="B1:H1"/>
    <mergeCell ref="H33:I33"/>
    <mergeCell ref="H34:I34"/>
    <mergeCell ref="H40:I40"/>
    <mergeCell ref="H41:I41"/>
    <mergeCell ref="A33:C33"/>
    <mergeCell ref="A34:C34"/>
    <mergeCell ref="A40:C40"/>
    <mergeCell ref="A41:C41"/>
  </mergeCells>
  <printOptions horizontalCentered="1"/>
  <pageMargins left="0.70866141732283472" right="0.70866141732283472" top="0.74803149606299213" bottom="0.55118110236220474" header="0.31496062992125984" footer="0.31496062992125984"/>
  <pageSetup paperSize="9" scale="88"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N1058"/>
  <sheetViews>
    <sheetView view="pageBreakPreview" topLeftCell="A1015" zoomScale="60" zoomScaleNormal="100" workbookViewId="0">
      <selection activeCell="G31" sqref="G31"/>
    </sheetView>
  </sheetViews>
  <sheetFormatPr defaultColWidth="9.08984375" defaultRowHeight="15.5"/>
  <cols>
    <col min="1" max="1" width="9.08984375" style="23"/>
    <col min="2" max="2" width="12.08984375" style="23" hidden="1" customWidth="1"/>
    <col min="3" max="3" width="9.54296875" style="23" customWidth="1"/>
    <col min="4" max="4" width="9.08984375" style="23" hidden="1" customWidth="1"/>
    <col min="5" max="5" width="62.90625" style="23" customWidth="1"/>
    <col min="6" max="6" width="10" style="23" customWidth="1"/>
    <col min="7" max="7" width="18.453125" style="23" customWidth="1"/>
    <col min="8" max="8" width="7.453125" style="23" customWidth="1"/>
    <col min="9" max="16384" width="9.08984375" style="23"/>
  </cols>
  <sheetData>
    <row r="1" spans="1:8" ht="18.5">
      <c r="C1" s="1760" t="s">
        <v>1951</v>
      </c>
      <c r="D1" s="1760"/>
      <c r="E1" s="1760"/>
      <c r="F1" s="1760"/>
      <c r="G1" s="1760"/>
      <c r="H1" s="1760"/>
    </row>
    <row r="2" spans="1:8">
      <c r="H2" s="24"/>
    </row>
    <row r="3" spans="1:8">
      <c r="C3" s="1759" t="s">
        <v>1952</v>
      </c>
      <c r="D3" s="1759" t="s">
        <v>1952</v>
      </c>
      <c r="E3" s="1759" t="s">
        <v>1953</v>
      </c>
      <c r="F3" s="1761" t="s">
        <v>1954</v>
      </c>
      <c r="G3" s="120" t="s">
        <v>1955</v>
      </c>
      <c r="H3" s="1762" t="s">
        <v>1956</v>
      </c>
    </row>
    <row r="4" spans="1:8">
      <c r="C4" s="1759"/>
      <c r="D4" s="1759"/>
      <c r="E4" s="1759"/>
      <c r="F4" s="1761"/>
      <c r="G4" s="120" t="s">
        <v>1957</v>
      </c>
      <c r="H4" s="1762"/>
    </row>
    <row r="5" spans="1:8">
      <c r="C5" s="121"/>
      <c r="D5" s="121"/>
      <c r="E5" s="121"/>
      <c r="F5" s="121"/>
      <c r="G5" s="121"/>
      <c r="H5" s="121"/>
    </row>
    <row r="6" spans="1:8" hidden="1">
      <c r="A6" s="23">
        <v>1</v>
      </c>
      <c r="B6" s="23">
        <v>1</v>
      </c>
      <c r="C6" s="121">
        <v>1</v>
      </c>
      <c r="D6" s="122">
        <v>1</v>
      </c>
      <c r="E6" s="121" t="s">
        <v>1958</v>
      </c>
      <c r="F6" s="123" t="s">
        <v>1959</v>
      </c>
      <c r="G6" s="124">
        <v>525555.32725795964</v>
      </c>
      <c r="H6" s="121"/>
    </row>
    <row r="7" spans="1:8" hidden="1">
      <c r="A7" s="23">
        <v>1</v>
      </c>
      <c r="B7" s="23">
        <v>1</v>
      </c>
      <c r="C7" s="121">
        <v>1</v>
      </c>
      <c r="D7" s="122">
        <v>2</v>
      </c>
      <c r="E7" s="121" t="s">
        <v>1960</v>
      </c>
      <c r="F7" s="123" t="s">
        <v>1959</v>
      </c>
      <c r="G7" s="124">
        <v>452603.61661222711</v>
      </c>
      <c r="H7" s="121"/>
    </row>
    <row r="8" spans="1:8" hidden="1">
      <c r="A8" s="23">
        <v>1</v>
      </c>
      <c r="B8" s="23">
        <v>1</v>
      </c>
      <c r="C8" s="121">
        <v>1</v>
      </c>
      <c r="D8" s="122">
        <v>3</v>
      </c>
      <c r="E8" s="121" t="s">
        <v>1961</v>
      </c>
      <c r="F8" s="123" t="s">
        <v>1959</v>
      </c>
      <c r="G8" s="124">
        <v>371229.6851</v>
      </c>
      <c r="H8" s="121"/>
    </row>
    <row r="9" spans="1:8">
      <c r="B9" s="23">
        <v>1</v>
      </c>
      <c r="C9" s="125">
        <v>1</v>
      </c>
      <c r="D9" s="122">
        <v>4</v>
      </c>
      <c r="E9" s="121" t="s">
        <v>1962</v>
      </c>
      <c r="F9" s="123" t="s">
        <v>1959</v>
      </c>
      <c r="G9" s="124">
        <v>0</v>
      </c>
      <c r="H9" s="121"/>
    </row>
    <row r="10" spans="1:8">
      <c r="B10" s="23">
        <v>1</v>
      </c>
      <c r="C10" s="125">
        <f>+C9+1</f>
        <v>2</v>
      </c>
      <c r="D10" s="122">
        <v>5</v>
      </c>
      <c r="E10" s="121" t="s">
        <v>1963</v>
      </c>
      <c r="F10" s="123" t="s">
        <v>1959</v>
      </c>
      <c r="G10" s="124">
        <v>0</v>
      </c>
      <c r="H10" s="121"/>
    </row>
    <row r="11" spans="1:8">
      <c r="B11" s="23">
        <v>1</v>
      </c>
      <c r="C11" s="125">
        <f t="shared" ref="C11:C74" si="0">+C10+1</f>
        <v>3</v>
      </c>
      <c r="D11" s="122">
        <v>6</v>
      </c>
      <c r="E11" s="121" t="s">
        <v>108</v>
      </c>
      <c r="F11" s="123" t="s">
        <v>1964</v>
      </c>
      <c r="G11" s="124">
        <v>0</v>
      </c>
      <c r="H11" s="121"/>
    </row>
    <row r="12" spans="1:8">
      <c r="B12" s="23">
        <v>1</v>
      </c>
      <c r="C12" s="125">
        <f t="shared" si="0"/>
        <v>4</v>
      </c>
      <c r="D12" s="122">
        <v>7</v>
      </c>
      <c r="E12" s="121" t="s">
        <v>244</v>
      </c>
      <c r="F12" s="123" t="s">
        <v>245</v>
      </c>
      <c r="G12" s="124">
        <v>0</v>
      </c>
      <c r="H12" s="121"/>
    </row>
    <row r="13" spans="1:8">
      <c r="B13" s="23" t="s">
        <v>543</v>
      </c>
      <c r="C13" s="125">
        <f t="shared" si="0"/>
        <v>5</v>
      </c>
      <c r="D13" s="122">
        <v>8</v>
      </c>
      <c r="E13" s="121" t="s">
        <v>1965</v>
      </c>
      <c r="F13" s="123" t="s">
        <v>57</v>
      </c>
      <c r="G13" s="124">
        <v>0</v>
      </c>
      <c r="H13" s="121"/>
    </row>
    <row r="14" spans="1:8">
      <c r="B14" s="23" t="s">
        <v>3662</v>
      </c>
      <c r="C14" s="125">
        <f t="shared" si="0"/>
        <v>6</v>
      </c>
      <c r="D14" s="122">
        <v>9</v>
      </c>
      <c r="E14" s="121" t="s">
        <v>1966</v>
      </c>
      <c r="F14" s="123" t="s">
        <v>1967</v>
      </c>
      <c r="G14" s="124">
        <v>0</v>
      </c>
      <c r="H14" s="121"/>
    </row>
    <row r="15" spans="1:8">
      <c r="B15" s="23">
        <v>1</v>
      </c>
      <c r="C15" s="125">
        <f t="shared" si="0"/>
        <v>7</v>
      </c>
      <c r="D15" s="122">
        <v>10</v>
      </c>
      <c r="E15" s="121" t="s">
        <v>86</v>
      </c>
      <c r="F15" s="123" t="s">
        <v>87</v>
      </c>
      <c r="G15" s="124">
        <v>0</v>
      </c>
      <c r="H15" s="121"/>
    </row>
    <row r="16" spans="1:8">
      <c r="B16" s="23">
        <v>1</v>
      </c>
      <c r="C16" s="125">
        <f t="shared" si="0"/>
        <v>8</v>
      </c>
      <c r="D16" s="122">
        <v>11</v>
      </c>
      <c r="E16" s="121" t="s">
        <v>1968</v>
      </c>
      <c r="F16" s="123" t="s">
        <v>87</v>
      </c>
      <c r="G16" s="124">
        <v>0</v>
      </c>
      <c r="H16" s="121"/>
    </row>
    <row r="17" spans="2:8">
      <c r="B17" s="23">
        <v>1</v>
      </c>
      <c r="C17" s="125">
        <f t="shared" si="0"/>
        <v>9</v>
      </c>
      <c r="D17" s="122">
        <v>12</v>
      </c>
      <c r="E17" s="121" t="s">
        <v>1969</v>
      </c>
      <c r="F17" s="123" t="s">
        <v>1970</v>
      </c>
      <c r="G17" s="124">
        <v>0</v>
      </c>
      <c r="H17" s="121"/>
    </row>
    <row r="18" spans="2:8">
      <c r="B18" s="23">
        <v>1</v>
      </c>
      <c r="C18" s="125">
        <f t="shared" si="0"/>
        <v>10</v>
      </c>
      <c r="D18" s="122">
        <v>13</v>
      </c>
      <c r="E18" s="121" t="s">
        <v>1971</v>
      </c>
      <c r="F18" s="123" t="s">
        <v>57</v>
      </c>
      <c r="G18" s="124">
        <v>0</v>
      </c>
      <c r="H18" s="121"/>
    </row>
    <row r="19" spans="2:8">
      <c r="B19" s="23">
        <v>1</v>
      </c>
      <c r="C19" s="125">
        <f t="shared" si="0"/>
        <v>11</v>
      </c>
      <c r="D19" s="122">
        <v>14</v>
      </c>
      <c r="E19" s="121" t="s">
        <v>1972</v>
      </c>
      <c r="F19" s="123" t="s">
        <v>87</v>
      </c>
      <c r="G19" s="124">
        <v>0</v>
      </c>
      <c r="H19" s="121"/>
    </row>
    <row r="20" spans="2:8">
      <c r="B20" s="23">
        <v>1</v>
      </c>
      <c r="C20" s="125">
        <f t="shared" si="0"/>
        <v>12</v>
      </c>
      <c r="D20" s="122">
        <v>15</v>
      </c>
      <c r="E20" s="121" t="s">
        <v>1973</v>
      </c>
      <c r="F20" s="123" t="s">
        <v>1959</v>
      </c>
      <c r="G20" s="124">
        <v>0</v>
      </c>
      <c r="H20" s="121"/>
    </row>
    <row r="21" spans="2:8">
      <c r="B21" s="23">
        <v>1</v>
      </c>
      <c r="C21" s="125">
        <f t="shared" si="0"/>
        <v>13</v>
      </c>
      <c r="D21" s="122">
        <v>16</v>
      </c>
      <c r="E21" s="121" t="s">
        <v>1974</v>
      </c>
      <c r="F21" s="123" t="s">
        <v>1959</v>
      </c>
      <c r="G21" s="124">
        <v>0</v>
      </c>
      <c r="H21" s="121"/>
    </row>
    <row r="22" spans="2:8">
      <c r="B22" s="23">
        <v>1</v>
      </c>
      <c r="C22" s="125">
        <f t="shared" si="0"/>
        <v>14</v>
      </c>
      <c r="D22" s="122">
        <v>17</v>
      </c>
      <c r="E22" s="121" t="s">
        <v>1975</v>
      </c>
      <c r="F22" s="123" t="s">
        <v>1959</v>
      </c>
      <c r="G22" s="124">
        <v>0</v>
      </c>
      <c r="H22" s="121"/>
    </row>
    <row r="23" spans="2:8">
      <c r="B23" s="23">
        <v>1</v>
      </c>
      <c r="C23" s="125">
        <f t="shared" si="0"/>
        <v>15</v>
      </c>
      <c r="D23" s="122">
        <v>18</v>
      </c>
      <c r="E23" s="121" t="s">
        <v>1976</v>
      </c>
      <c r="F23" s="123" t="s">
        <v>1970</v>
      </c>
      <c r="G23" s="124">
        <v>0</v>
      </c>
      <c r="H23" s="121"/>
    </row>
    <row r="24" spans="2:8">
      <c r="B24" s="23">
        <v>1</v>
      </c>
      <c r="C24" s="125">
        <f t="shared" si="0"/>
        <v>16</v>
      </c>
      <c r="D24" s="122">
        <v>19</v>
      </c>
      <c r="E24" s="121" t="s">
        <v>1977</v>
      </c>
      <c r="F24" s="123" t="s">
        <v>1970</v>
      </c>
      <c r="G24" s="124">
        <v>0</v>
      </c>
      <c r="H24" s="121"/>
    </row>
    <row r="25" spans="2:8">
      <c r="B25" s="23">
        <v>1</v>
      </c>
      <c r="C25" s="125">
        <f t="shared" si="0"/>
        <v>17</v>
      </c>
      <c r="D25" s="122">
        <v>20</v>
      </c>
      <c r="E25" s="121" t="s">
        <v>1978</v>
      </c>
      <c r="F25" s="123" t="s">
        <v>1970</v>
      </c>
      <c r="G25" s="124">
        <v>0</v>
      </c>
      <c r="H25" s="121"/>
    </row>
    <row r="26" spans="2:8">
      <c r="B26" s="23">
        <v>1</v>
      </c>
      <c r="C26" s="125">
        <f t="shared" si="0"/>
        <v>18</v>
      </c>
      <c r="D26" s="122">
        <v>21</v>
      </c>
      <c r="E26" s="121" t="s">
        <v>1979</v>
      </c>
      <c r="F26" s="123" t="s">
        <v>1970</v>
      </c>
      <c r="G26" s="124">
        <v>0</v>
      </c>
      <c r="H26" s="121"/>
    </row>
    <row r="27" spans="2:8">
      <c r="B27" s="23">
        <v>1</v>
      </c>
      <c r="C27" s="125">
        <f t="shared" si="0"/>
        <v>19</v>
      </c>
      <c r="D27" s="122">
        <v>22</v>
      </c>
      <c r="E27" s="121" t="s">
        <v>1980</v>
      </c>
      <c r="F27" s="123" t="s">
        <v>1970</v>
      </c>
      <c r="G27" s="124">
        <v>0</v>
      </c>
      <c r="H27" s="121"/>
    </row>
    <row r="28" spans="2:8">
      <c r="B28" s="23">
        <v>1</v>
      </c>
      <c r="C28" s="125">
        <f t="shared" si="0"/>
        <v>20</v>
      </c>
      <c r="D28" s="122">
        <v>23</v>
      </c>
      <c r="E28" s="121" t="s">
        <v>1981</v>
      </c>
      <c r="F28" s="123" t="s">
        <v>1970</v>
      </c>
      <c r="G28" s="124">
        <v>0</v>
      </c>
      <c r="H28" s="121"/>
    </row>
    <row r="29" spans="2:8">
      <c r="B29" s="23">
        <v>1</v>
      </c>
      <c r="C29" s="125">
        <f t="shared" si="0"/>
        <v>21</v>
      </c>
      <c r="D29" s="122">
        <v>24</v>
      </c>
      <c r="E29" s="121" t="s">
        <v>1982</v>
      </c>
      <c r="F29" s="123" t="s">
        <v>1970</v>
      </c>
      <c r="G29" s="124">
        <v>0</v>
      </c>
      <c r="H29" s="121"/>
    </row>
    <row r="30" spans="2:8">
      <c r="B30" s="23">
        <v>1</v>
      </c>
      <c r="C30" s="125">
        <f t="shared" si="0"/>
        <v>22</v>
      </c>
      <c r="D30" s="122">
        <v>25</v>
      </c>
      <c r="E30" s="121" t="s">
        <v>1983</v>
      </c>
      <c r="F30" s="123" t="s">
        <v>1970</v>
      </c>
      <c r="G30" s="124">
        <v>0</v>
      </c>
      <c r="H30" s="121"/>
    </row>
    <row r="31" spans="2:8">
      <c r="B31" s="23">
        <v>1</v>
      </c>
      <c r="C31" s="125">
        <f t="shared" si="0"/>
        <v>23</v>
      </c>
      <c r="D31" s="122">
        <v>26</v>
      </c>
      <c r="E31" s="121" t="s">
        <v>1984</v>
      </c>
      <c r="F31" s="123" t="s">
        <v>1970</v>
      </c>
      <c r="G31" s="124">
        <v>0</v>
      </c>
      <c r="H31" s="121"/>
    </row>
    <row r="32" spans="2:8">
      <c r="B32" s="23">
        <v>1</v>
      </c>
      <c r="C32" s="125">
        <f t="shared" si="0"/>
        <v>24</v>
      </c>
      <c r="D32" s="122">
        <v>27</v>
      </c>
      <c r="E32" s="121" t="s">
        <v>1985</v>
      </c>
      <c r="F32" s="123" t="s">
        <v>1959</v>
      </c>
      <c r="G32" s="124">
        <v>0</v>
      </c>
      <c r="H32" s="121"/>
    </row>
    <row r="33" spans="2:8">
      <c r="B33" s="23">
        <v>1</v>
      </c>
      <c r="C33" s="125">
        <f t="shared" si="0"/>
        <v>25</v>
      </c>
      <c r="D33" s="122">
        <v>28</v>
      </c>
      <c r="E33" s="121" t="s">
        <v>1986</v>
      </c>
      <c r="F33" s="123" t="s">
        <v>1959</v>
      </c>
      <c r="G33" s="124">
        <v>0</v>
      </c>
      <c r="H33" s="121"/>
    </row>
    <row r="34" spans="2:8">
      <c r="B34" s="23">
        <v>1</v>
      </c>
      <c r="C34" s="125">
        <f t="shared" si="0"/>
        <v>26</v>
      </c>
      <c r="D34" s="122">
        <v>29</v>
      </c>
      <c r="E34" s="121" t="s">
        <v>1987</v>
      </c>
      <c r="F34" s="123" t="s">
        <v>1959</v>
      </c>
      <c r="G34" s="124">
        <v>0</v>
      </c>
      <c r="H34" s="121"/>
    </row>
    <row r="35" spans="2:8">
      <c r="B35" s="23">
        <v>1</v>
      </c>
      <c r="C35" s="125">
        <f t="shared" si="0"/>
        <v>27</v>
      </c>
      <c r="D35" s="122">
        <v>30</v>
      </c>
      <c r="E35" s="121" t="s">
        <v>1988</v>
      </c>
      <c r="F35" s="123" t="s">
        <v>1959</v>
      </c>
      <c r="G35" s="124">
        <v>0</v>
      </c>
      <c r="H35" s="121"/>
    </row>
    <row r="36" spans="2:8">
      <c r="B36" s="23">
        <v>1</v>
      </c>
      <c r="C36" s="125">
        <f t="shared" si="0"/>
        <v>28</v>
      </c>
      <c r="D36" s="122">
        <v>31</v>
      </c>
      <c r="E36" s="121" t="s">
        <v>1989</v>
      </c>
      <c r="F36" s="123" t="s">
        <v>1970</v>
      </c>
      <c r="G36" s="124">
        <v>0</v>
      </c>
      <c r="H36" s="121"/>
    </row>
    <row r="37" spans="2:8">
      <c r="B37" s="23">
        <v>1</v>
      </c>
      <c r="C37" s="125">
        <f t="shared" si="0"/>
        <v>29</v>
      </c>
      <c r="D37" s="122">
        <v>32</v>
      </c>
      <c r="E37" s="121" t="s">
        <v>1990</v>
      </c>
      <c r="F37" s="123" t="s">
        <v>1970</v>
      </c>
      <c r="G37" s="124">
        <v>0</v>
      </c>
      <c r="H37" s="121"/>
    </row>
    <row r="38" spans="2:8">
      <c r="B38" s="23">
        <v>1</v>
      </c>
      <c r="C38" s="125">
        <f t="shared" si="0"/>
        <v>30</v>
      </c>
      <c r="D38" s="122">
        <v>33</v>
      </c>
      <c r="E38" s="121" t="s">
        <v>1991</v>
      </c>
      <c r="F38" s="123" t="s">
        <v>1964</v>
      </c>
      <c r="G38" s="124">
        <v>0</v>
      </c>
      <c r="H38" s="121"/>
    </row>
    <row r="39" spans="2:8">
      <c r="B39" s="23">
        <v>1</v>
      </c>
      <c r="C39" s="125">
        <f t="shared" si="0"/>
        <v>31</v>
      </c>
      <c r="D39" s="122">
        <v>34</v>
      </c>
      <c r="E39" s="121" t="s">
        <v>1992</v>
      </c>
      <c r="F39" s="123" t="s">
        <v>1964</v>
      </c>
      <c r="G39" s="124">
        <v>0</v>
      </c>
      <c r="H39" s="121"/>
    </row>
    <row r="40" spans="2:8">
      <c r="B40" s="23">
        <v>1</v>
      </c>
      <c r="C40" s="125">
        <f t="shared" si="0"/>
        <v>32</v>
      </c>
      <c r="D40" s="122">
        <v>35</v>
      </c>
      <c r="E40" s="121" t="s">
        <v>1993</v>
      </c>
      <c r="F40" s="123" t="s">
        <v>57</v>
      </c>
      <c r="G40" s="124">
        <v>0</v>
      </c>
      <c r="H40" s="121"/>
    </row>
    <row r="41" spans="2:8">
      <c r="B41" s="23">
        <v>1</v>
      </c>
      <c r="C41" s="125">
        <f t="shared" si="0"/>
        <v>33</v>
      </c>
      <c r="D41" s="122">
        <v>36</v>
      </c>
      <c r="E41" s="121" t="s">
        <v>1994</v>
      </c>
      <c r="F41" s="123" t="s">
        <v>87</v>
      </c>
      <c r="G41" s="124">
        <v>0</v>
      </c>
      <c r="H41" s="121"/>
    </row>
    <row r="42" spans="2:8">
      <c r="B42" s="23">
        <v>1</v>
      </c>
      <c r="C42" s="125">
        <f t="shared" si="0"/>
        <v>34</v>
      </c>
      <c r="D42" s="122">
        <v>37</v>
      </c>
      <c r="E42" s="121" t="s">
        <v>1995</v>
      </c>
      <c r="F42" s="123" t="s">
        <v>1970</v>
      </c>
      <c r="G42" s="124">
        <v>0</v>
      </c>
      <c r="H42" s="121"/>
    </row>
    <row r="43" spans="2:8">
      <c r="B43" s="23">
        <v>1</v>
      </c>
      <c r="C43" s="125">
        <f t="shared" si="0"/>
        <v>35</v>
      </c>
      <c r="D43" s="122">
        <v>38</v>
      </c>
      <c r="E43" s="121" t="s">
        <v>1996</v>
      </c>
      <c r="F43" s="123" t="s">
        <v>1997</v>
      </c>
      <c r="G43" s="124">
        <v>0</v>
      </c>
      <c r="H43" s="121"/>
    </row>
    <row r="44" spans="2:8">
      <c r="B44" s="23">
        <v>1</v>
      </c>
      <c r="C44" s="125">
        <f t="shared" si="0"/>
        <v>36</v>
      </c>
      <c r="D44" s="122">
        <v>39</v>
      </c>
      <c r="E44" s="121" t="s">
        <v>1998</v>
      </c>
      <c r="F44" s="123" t="s">
        <v>87</v>
      </c>
      <c r="G44" s="124">
        <v>0</v>
      </c>
      <c r="H44" s="121"/>
    </row>
    <row r="45" spans="2:8">
      <c r="B45" s="23">
        <v>1</v>
      </c>
      <c r="C45" s="125">
        <f t="shared" si="0"/>
        <v>37</v>
      </c>
      <c r="D45" s="122">
        <v>40</v>
      </c>
      <c r="E45" s="121" t="s">
        <v>1999</v>
      </c>
      <c r="F45" s="123" t="s">
        <v>57</v>
      </c>
      <c r="G45" s="124">
        <v>0</v>
      </c>
      <c r="H45" s="121"/>
    </row>
    <row r="46" spans="2:8">
      <c r="B46" s="23">
        <v>1</v>
      </c>
      <c r="C46" s="125">
        <f t="shared" si="0"/>
        <v>38</v>
      </c>
      <c r="D46" s="122">
        <v>41</v>
      </c>
      <c r="E46" s="121" t="s">
        <v>2000</v>
      </c>
      <c r="F46" s="123" t="s">
        <v>1959</v>
      </c>
      <c r="G46" s="124">
        <v>0</v>
      </c>
      <c r="H46" s="121"/>
    </row>
    <row r="47" spans="2:8">
      <c r="B47" s="23">
        <v>1</v>
      </c>
      <c r="C47" s="125">
        <f t="shared" si="0"/>
        <v>39</v>
      </c>
      <c r="D47" s="122">
        <v>42</v>
      </c>
      <c r="E47" s="121" t="s">
        <v>243</v>
      </c>
      <c r="F47" s="123" t="s">
        <v>57</v>
      </c>
      <c r="G47" s="124">
        <v>0</v>
      </c>
      <c r="H47" s="121"/>
    </row>
    <row r="48" spans="2:8">
      <c r="B48" s="23">
        <v>1</v>
      </c>
      <c r="C48" s="125">
        <f t="shared" si="0"/>
        <v>40</v>
      </c>
      <c r="D48" s="122">
        <v>43</v>
      </c>
      <c r="E48" s="121" t="s">
        <v>2001</v>
      </c>
      <c r="F48" s="123" t="s">
        <v>87</v>
      </c>
      <c r="G48" s="124">
        <v>0</v>
      </c>
      <c r="H48" s="121"/>
    </row>
    <row r="49" spans="1:8">
      <c r="B49" s="23">
        <v>1</v>
      </c>
      <c r="C49" s="125">
        <f t="shared" si="0"/>
        <v>41</v>
      </c>
      <c r="D49" s="122">
        <v>44</v>
      </c>
      <c r="E49" s="121" t="s">
        <v>2002</v>
      </c>
      <c r="F49" s="123" t="s">
        <v>1959</v>
      </c>
      <c r="G49" s="124">
        <v>0</v>
      </c>
      <c r="H49" s="121"/>
    </row>
    <row r="50" spans="1:8">
      <c r="B50" s="23">
        <v>1</v>
      </c>
      <c r="C50" s="125">
        <f t="shared" si="0"/>
        <v>42</v>
      </c>
      <c r="D50" s="122">
        <v>45</v>
      </c>
      <c r="E50" s="121" t="s">
        <v>3200</v>
      </c>
      <c r="F50" s="123" t="s">
        <v>57</v>
      </c>
      <c r="G50" s="124">
        <v>0</v>
      </c>
      <c r="H50" s="121"/>
    </row>
    <row r="51" spans="1:8">
      <c r="B51" s="23">
        <v>1</v>
      </c>
      <c r="C51" s="125">
        <f t="shared" si="0"/>
        <v>43</v>
      </c>
      <c r="D51" s="122">
        <v>46</v>
      </c>
      <c r="E51" s="121" t="s">
        <v>2003</v>
      </c>
      <c r="F51" s="123" t="s">
        <v>1959</v>
      </c>
      <c r="G51" s="124">
        <v>0</v>
      </c>
      <c r="H51" s="121"/>
    </row>
    <row r="52" spans="1:8">
      <c r="B52" s="23">
        <v>1</v>
      </c>
      <c r="C52" s="125">
        <f t="shared" si="0"/>
        <v>44</v>
      </c>
      <c r="D52" s="122">
        <v>47</v>
      </c>
      <c r="E52" s="121" t="s">
        <v>2004</v>
      </c>
      <c r="F52" s="123" t="s">
        <v>57</v>
      </c>
      <c r="G52" s="124">
        <v>0</v>
      </c>
      <c r="H52" s="121"/>
    </row>
    <row r="53" spans="1:8">
      <c r="B53" s="23">
        <v>1</v>
      </c>
      <c r="C53" s="125">
        <f t="shared" si="0"/>
        <v>45</v>
      </c>
      <c r="D53" s="122">
        <v>48</v>
      </c>
      <c r="E53" s="121" t="s">
        <v>2005</v>
      </c>
      <c r="F53" s="123" t="s">
        <v>57</v>
      </c>
      <c r="G53" s="124">
        <v>0</v>
      </c>
      <c r="H53" s="121"/>
    </row>
    <row r="54" spans="1:8">
      <c r="B54" s="23">
        <v>1</v>
      </c>
      <c r="C54" s="125">
        <f t="shared" si="0"/>
        <v>46</v>
      </c>
      <c r="D54" s="122">
        <v>49</v>
      </c>
      <c r="E54" s="121" t="s">
        <v>2006</v>
      </c>
      <c r="F54" s="123" t="s">
        <v>1964</v>
      </c>
      <c r="G54" s="124">
        <v>0</v>
      </c>
      <c r="H54" s="121"/>
    </row>
    <row r="55" spans="1:8">
      <c r="B55" s="23">
        <v>1</v>
      </c>
      <c r="C55" s="125">
        <f t="shared" si="0"/>
        <v>47</v>
      </c>
      <c r="D55" s="122">
        <v>50</v>
      </c>
      <c r="E55" s="121" t="s">
        <v>2007</v>
      </c>
      <c r="F55" s="123" t="s">
        <v>1964</v>
      </c>
      <c r="G55" s="124">
        <v>0</v>
      </c>
      <c r="H55" s="121"/>
    </row>
    <row r="56" spans="1:8">
      <c r="B56" s="23">
        <v>1</v>
      </c>
      <c r="C56" s="125">
        <f t="shared" si="0"/>
        <v>48</v>
      </c>
      <c r="D56" s="122">
        <v>51</v>
      </c>
      <c r="E56" s="121" t="s">
        <v>2008</v>
      </c>
      <c r="F56" s="123" t="s">
        <v>1964</v>
      </c>
      <c r="G56" s="124">
        <v>0</v>
      </c>
      <c r="H56" s="121"/>
    </row>
    <row r="57" spans="1:8">
      <c r="B57" s="23">
        <v>1</v>
      </c>
      <c r="C57" s="125">
        <f t="shared" si="0"/>
        <v>49</v>
      </c>
      <c r="D57" s="122">
        <v>52</v>
      </c>
      <c r="E57" s="121" t="s">
        <v>2009</v>
      </c>
      <c r="F57" s="123" t="s">
        <v>1964</v>
      </c>
      <c r="G57" s="124">
        <v>0</v>
      </c>
      <c r="H57" s="121"/>
    </row>
    <row r="58" spans="1:8">
      <c r="B58" s="23">
        <v>1</v>
      </c>
      <c r="C58" s="125">
        <f t="shared" si="0"/>
        <v>50</v>
      </c>
      <c r="D58" s="122">
        <v>53</v>
      </c>
      <c r="E58" s="121" t="s">
        <v>2010</v>
      </c>
      <c r="F58" s="123" t="s">
        <v>1959</v>
      </c>
      <c r="G58" s="124">
        <v>0</v>
      </c>
      <c r="H58" s="121"/>
    </row>
    <row r="59" spans="1:8">
      <c r="B59" s="23">
        <v>1</v>
      </c>
      <c r="C59" s="125">
        <f t="shared" si="0"/>
        <v>51</v>
      </c>
      <c r="D59" s="122">
        <v>54</v>
      </c>
      <c r="E59" s="121" t="s">
        <v>2011</v>
      </c>
      <c r="F59" s="123" t="s">
        <v>1959</v>
      </c>
      <c r="G59" s="124">
        <v>0</v>
      </c>
      <c r="H59" s="121"/>
    </row>
    <row r="60" spans="1:8">
      <c r="B60" s="23">
        <v>1</v>
      </c>
      <c r="C60" s="125">
        <f t="shared" si="0"/>
        <v>52</v>
      </c>
      <c r="D60" s="122">
        <v>55</v>
      </c>
      <c r="E60" s="121" t="s">
        <v>3201</v>
      </c>
      <c r="F60" s="123" t="s">
        <v>57</v>
      </c>
      <c r="G60" s="124">
        <v>0</v>
      </c>
      <c r="H60" s="121"/>
    </row>
    <row r="61" spans="1:8" ht="14.4" customHeight="1">
      <c r="A61" s="23">
        <v>1</v>
      </c>
      <c r="B61" s="23">
        <v>1</v>
      </c>
      <c r="C61" s="125">
        <f t="shared" si="0"/>
        <v>53</v>
      </c>
      <c r="D61" s="122">
        <v>56</v>
      </c>
      <c r="E61" s="121" t="s">
        <v>2012</v>
      </c>
      <c r="F61" s="123" t="s">
        <v>1959</v>
      </c>
      <c r="G61" s="124">
        <v>0</v>
      </c>
      <c r="H61" s="121"/>
    </row>
    <row r="62" spans="1:8">
      <c r="B62" s="23">
        <v>1</v>
      </c>
      <c r="C62" s="125">
        <f t="shared" si="0"/>
        <v>54</v>
      </c>
      <c r="D62" s="122">
        <v>57</v>
      </c>
      <c r="E62" s="121" t="s">
        <v>2013</v>
      </c>
      <c r="F62" s="123" t="s">
        <v>87</v>
      </c>
      <c r="G62" s="124">
        <v>0</v>
      </c>
      <c r="H62" s="121"/>
    </row>
    <row r="63" spans="1:8">
      <c r="B63" s="23">
        <v>1</v>
      </c>
      <c r="C63" s="125">
        <f t="shared" si="0"/>
        <v>55</v>
      </c>
      <c r="D63" s="122">
        <v>58</v>
      </c>
      <c r="E63" s="121" t="s">
        <v>2013</v>
      </c>
      <c r="F63" s="123" t="s">
        <v>380</v>
      </c>
      <c r="G63" s="124">
        <v>0</v>
      </c>
      <c r="H63" s="121"/>
    </row>
    <row r="64" spans="1:8">
      <c r="B64" s="23">
        <v>1</v>
      </c>
      <c r="C64" s="125">
        <f t="shared" si="0"/>
        <v>56</v>
      </c>
      <c r="D64" s="122">
        <v>59</v>
      </c>
      <c r="E64" s="121" t="s">
        <v>3195</v>
      </c>
      <c r="F64" s="123" t="s">
        <v>87</v>
      </c>
      <c r="G64" s="124">
        <v>0</v>
      </c>
      <c r="H64" s="121"/>
    </row>
    <row r="65" spans="2:8">
      <c r="B65" s="23">
        <v>1</v>
      </c>
      <c r="C65" s="125">
        <f t="shared" si="0"/>
        <v>57</v>
      </c>
      <c r="D65" s="122">
        <v>60</v>
      </c>
      <c r="E65" s="121" t="s">
        <v>3195</v>
      </c>
      <c r="F65" s="123" t="s">
        <v>380</v>
      </c>
      <c r="G65" s="124">
        <v>0</v>
      </c>
      <c r="H65" s="121"/>
    </row>
    <row r="66" spans="2:8">
      <c r="B66" s="23">
        <v>1</v>
      </c>
      <c r="C66" s="125">
        <f t="shared" si="0"/>
        <v>58</v>
      </c>
      <c r="D66" s="122">
        <v>61</v>
      </c>
      <c r="E66" s="121" t="s">
        <v>2014</v>
      </c>
      <c r="F66" s="123" t="s">
        <v>87</v>
      </c>
      <c r="G66" s="124">
        <v>0</v>
      </c>
      <c r="H66" s="121"/>
    </row>
    <row r="67" spans="2:8">
      <c r="B67" s="23">
        <v>1</v>
      </c>
      <c r="C67" s="125">
        <f t="shared" si="0"/>
        <v>59</v>
      </c>
      <c r="D67" s="122">
        <v>62</v>
      </c>
      <c r="E67" s="121" t="s">
        <v>2014</v>
      </c>
      <c r="F67" s="123" t="s">
        <v>380</v>
      </c>
      <c r="G67" s="124">
        <v>0</v>
      </c>
      <c r="H67" s="121"/>
    </row>
    <row r="68" spans="2:8">
      <c r="B68" s="23">
        <v>1</v>
      </c>
      <c r="C68" s="125">
        <f t="shared" si="0"/>
        <v>60</v>
      </c>
      <c r="D68" s="122">
        <v>63</v>
      </c>
      <c r="E68" s="121" t="s">
        <v>3196</v>
      </c>
      <c r="F68" s="123" t="s">
        <v>87</v>
      </c>
      <c r="G68" s="124">
        <v>0</v>
      </c>
      <c r="H68" s="121"/>
    </row>
    <row r="69" spans="2:8">
      <c r="B69" s="23">
        <v>1</v>
      </c>
      <c r="C69" s="125">
        <f t="shared" si="0"/>
        <v>61</v>
      </c>
      <c r="D69" s="122">
        <v>64</v>
      </c>
      <c r="E69" s="121" t="s">
        <v>3196</v>
      </c>
      <c r="F69" s="123" t="s">
        <v>380</v>
      </c>
      <c r="G69" s="124">
        <v>0</v>
      </c>
      <c r="H69" s="121"/>
    </row>
    <row r="70" spans="2:8">
      <c r="B70" s="23">
        <v>1</v>
      </c>
      <c r="C70" s="125">
        <f t="shared" si="0"/>
        <v>62</v>
      </c>
      <c r="D70" s="122">
        <v>65</v>
      </c>
      <c r="E70" s="121" t="s">
        <v>2015</v>
      </c>
      <c r="F70" s="123" t="s">
        <v>1964</v>
      </c>
      <c r="G70" s="124">
        <v>0</v>
      </c>
      <c r="H70" s="121"/>
    </row>
    <row r="71" spans="2:8">
      <c r="B71" s="23">
        <v>1</v>
      </c>
      <c r="C71" s="125">
        <f t="shared" si="0"/>
        <v>63</v>
      </c>
      <c r="D71" s="122">
        <v>66</v>
      </c>
      <c r="E71" s="121" t="s">
        <v>2016</v>
      </c>
      <c r="F71" s="123" t="s">
        <v>1964</v>
      </c>
      <c r="G71" s="124">
        <v>0</v>
      </c>
      <c r="H71" s="121"/>
    </row>
    <row r="72" spans="2:8">
      <c r="B72" s="23">
        <v>1</v>
      </c>
      <c r="C72" s="125">
        <f t="shared" si="0"/>
        <v>64</v>
      </c>
      <c r="D72" s="122">
        <v>67</v>
      </c>
      <c r="E72" s="121" t="s">
        <v>2017</v>
      </c>
      <c r="F72" s="123" t="s">
        <v>57</v>
      </c>
      <c r="G72" s="124">
        <v>0</v>
      </c>
      <c r="H72" s="121"/>
    </row>
    <row r="73" spans="2:8">
      <c r="B73" s="23">
        <v>1</v>
      </c>
      <c r="C73" s="125">
        <f t="shared" si="0"/>
        <v>65</v>
      </c>
      <c r="D73" s="122">
        <v>68</v>
      </c>
      <c r="E73" s="121" t="s">
        <v>2018</v>
      </c>
      <c r="F73" s="123" t="s">
        <v>57</v>
      </c>
      <c r="G73" s="124">
        <v>0</v>
      </c>
      <c r="H73" s="121"/>
    </row>
    <row r="74" spans="2:8">
      <c r="B74" s="23">
        <v>1</v>
      </c>
      <c r="C74" s="125">
        <f t="shared" si="0"/>
        <v>66</v>
      </c>
      <c r="D74" s="122">
        <v>69</v>
      </c>
      <c r="E74" s="121" t="s">
        <v>442</v>
      </c>
      <c r="F74" s="123" t="s">
        <v>57</v>
      </c>
      <c r="G74" s="124">
        <v>0</v>
      </c>
      <c r="H74" s="121"/>
    </row>
    <row r="75" spans="2:8">
      <c r="B75" s="23">
        <v>1</v>
      </c>
      <c r="C75" s="125">
        <f t="shared" ref="C75:C138" si="1">+C74+1</f>
        <v>67</v>
      </c>
      <c r="D75" s="122">
        <v>70</v>
      </c>
      <c r="E75" s="121" t="s">
        <v>2890</v>
      </c>
      <c r="F75" s="123" t="s">
        <v>57</v>
      </c>
      <c r="G75" s="124">
        <v>0</v>
      </c>
      <c r="H75" s="121"/>
    </row>
    <row r="76" spans="2:8">
      <c r="B76" s="23">
        <v>1</v>
      </c>
      <c r="C76" s="125">
        <f t="shared" si="1"/>
        <v>68</v>
      </c>
      <c r="D76" s="122">
        <v>71</v>
      </c>
      <c r="E76" s="121" t="s">
        <v>2019</v>
      </c>
      <c r="F76" s="123" t="s">
        <v>1959</v>
      </c>
      <c r="G76" s="124">
        <v>0</v>
      </c>
      <c r="H76" s="121"/>
    </row>
    <row r="77" spans="2:8">
      <c r="B77" s="23">
        <v>1</v>
      </c>
      <c r="C77" s="125">
        <f t="shared" si="1"/>
        <v>69</v>
      </c>
      <c r="D77" s="122">
        <v>72</v>
      </c>
      <c r="E77" s="121" t="s">
        <v>2020</v>
      </c>
      <c r="F77" s="123" t="s">
        <v>57</v>
      </c>
      <c r="G77" s="124">
        <v>0</v>
      </c>
      <c r="H77" s="121"/>
    </row>
    <row r="78" spans="2:8">
      <c r="B78" s="23">
        <v>1</v>
      </c>
      <c r="C78" s="125">
        <f t="shared" si="1"/>
        <v>70</v>
      </c>
      <c r="D78" s="122">
        <v>73</v>
      </c>
      <c r="E78" s="121" t="s">
        <v>2021</v>
      </c>
      <c r="F78" s="123" t="s">
        <v>1959</v>
      </c>
      <c r="G78" s="124">
        <v>0</v>
      </c>
      <c r="H78" s="121"/>
    </row>
    <row r="79" spans="2:8">
      <c r="B79" s="23">
        <v>1</v>
      </c>
      <c r="C79" s="125">
        <f t="shared" si="1"/>
        <v>71</v>
      </c>
      <c r="D79" s="122">
        <v>74</v>
      </c>
      <c r="E79" s="121" t="s">
        <v>102</v>
      </c>
      <c r="F79" s="123" t="s">
        <v>1959</v>
      </c>
      <c r="G79" s="124">
        <v>0</v>
      </c>
      <c r="H79" s="121"/>
    </row>
    <row r="80" spans="2:8">
      <c r="B80" s="23">
        <v>1</v>
      </c>
      <c r="C80" s="125">
        <f t="shared" si="1"/>
        <v>72</v>
      </c>
      <c r="D80" s="122">
        <v>75</v>
      </c>
      <c r="E80" s="121" t="s">
        <v>2022</v>
      </c>
      <c r="F80" s="123" t="s">
        <v>1959</v>
      </c>
      <c r="G80" s="124">
        <v>0</v>
      </c>
      <c r="H80" s="121"/>
    </row>
    <row r="81" spans="2:8">
      <c r="B81" s="23">
        <v>1</v>
      </c>
      <c r="C81" s="125">
        <f t="shared" si="1"/>
        <v>73</v>
      </c>
      <c r="D81" s="122">
        <v>76</v>
      </c>
      <c r="E81" s="121" t="s">
        <v>2023</v>
      </c>
      <c r="F81" s="123" t="s">
        <v>87</v>
      </c>
      <c r="G81" s="124">
        <v>0</v>
      </c>
      <c r="H81" s="121"/>
    </row>
    <row r="82" spans="2:8">
      <c r="B82" s="23">
        <v>1</v>
      </c>
      <c r="C82" s="125">
        <f t="shared" si="1"/>
        <v>74</v>
      </c>
      <c r="D82" s="122">
        <v>77</v>
      </c>
      <c r="E82" s="121" t="s">
        <v>2024</v>
      </c>
      <c r="F82" s="123" t="s">
        <v>1997</v>
      </c>
      <c r="G82" s="124">
        <v>0</v>
      </c>
      <c r="H82" s="121"/>
    </row>
    <row r="83" spans="2:8">
      <c r="B83" s="23">
        <v>1</v>
      </c>
      <c r="C83" s="125">
        <f t="shared" si="1"/>
        <v>75</v>
      </c>
      <c r="D83" s="122">
        <v>78</v>
      </c>
      <c r="E83" s="121" t="s">
        <v>2025</v>
      </c>
      <c r="F83" s="123" t="s">
        <v>1997</v>
      </c>
      <c r="G83" s="124">
        <v>0</v>
      </c>
      <c r="H83" s="121"/>
    </row>
    <row r="84" spans="2:8">
      <c r="B84" s="23">
        <v>1</v>
      </c>
      <c r="C84" s="125">
        <f t="shared" si="1"/>
        <v>76</v>
      </c>
      <c r="D84" s="122">
        <v>79</v>
      </c>
      <c r="E84" s="121" t="s">
        <v>135</v>
      </c>
      <c r="F84" s="123" t="s">
        <v>57</v>
      </c>
      <c r="G84" s="124">
        <v>0</v>
      </c>
      <c r="H84" s="121"/>
    </row>
    <row r="85" spans="2:8">
      <c r="B85" s="23">
        <v>1</v>
      </c>
      <c r="C85" s="125">
        <f t="shared" si="1"/>
        <v>77</v>
      </c>
      <c r="D85" s="122">
        <v>80</v>
      </c>
      <c r="E85" s="121" t="s">
        <v>2026</v>
      </c>
      <c r="F85" s="123" t="s">
        <v>1997</v>
      </c>
      <c r="G85" s="124">
        <v>0</v>
      </c>
      <c r="H85" s="121"/>
    </row>
    <row r="86" spans="2:8">
      <c r="B86" s="23">
        <v>1</v>
      </c>
      <c r="C86" s="125">
        <f t="shared" si="1"/>
        <v>78</v>
      </c>
      <c r="D86" s="122">
        <v>81</v>
      </c>
      <c r="E86" s="121" t="s">
        <v>2027</v>
      </c>
      <c r="F86" s="123" t="s">
        <v>1997</v>
      </c>
      <c r="G86" s="124">
        <v>0</v>
      </c>
      <c r="H86" s="121"/>
    </row>
    <row r="87" spans="2:8">
      <c r="B87" s="23">
        <v>1</v>
      </c>
      <c r="C87" s="125">
        <f t="shared" si="1"/>
        <v>79</v>
      </c>
      <c r="D87" s="122">
        <v>82</v>
      </c>
      <c r="E87" s="121" t="s">
        <v>2028</v>
      </c>
      <c r="F87" s="123" t="s">
        <v>1997</v>
      </c>
      <c r="G87" s="124">
        <v>0</v>
      </c>
      <c r="H87" s="121"/>
    </row>
    <row r="88" spans="2:8">
      <c r="B88" s="23">
        <v>1</v>
      </c>
      <c r="C88" s="125">
        <f t="shared" si="1"/>
        <v>80</v>
      </c>
      <c r="D88" s="122">
        <v>83</v>
      </c>
      <c r="E88" s="121" t="s">
        <v>2029</v>
      </c>
      <c r="F88" s="123" t="s">
        <v>1997</v>
      </c>
      <c r="G88" s="124">
        <v>0</v>
      </c>
      <c r="H88" s="121"/>
    </row>
    <row r="89" spans="2:8">
      <c r="B89" s="23">
        <v>1</v>
      </c>
      <c r="C89" s="125">
        <f t="shared" si="1"/>
        <v>81</v>
      </c>
      <c r="D89" s="122">
        <v>84</v>
      </c>
      <c r="E89" s="121" t="s">
        <v>2030</v>
      </c>
      <c r="F89" s="123" t="s">
        <v>1997</v>
      </c>
      <c r="G89" s="124">
        <v>0</v>
      </c>
      <c r="H89" s="121"/>
    </row>
    <row r="90" spans="2:8">
      <c r="B90" s="23">
        <v>1</v>
      </c>
      <c r="C90" s="125">
        <f t="shared" si="1"/>
        <v>82</v>
      </c>
      <c r="D90" s="122">
        <v>85</v>
      </c>
      <c r="E90" s="121" t="s">
        <v>2031</v>
      </c>
      <c r="F90" s="123" t="s">
        <v>1997</v>
      </c>
      <c r="G90" s="124">
        <v>0</v>
      </c>
      <c r="H90" s="121"/>
    </row>
    <row r="91" spans="2:8">
      <c r="B91" s="23">
        <v>1</v>
      </c>
      <c r="C91" s="125">
        <f t="shared" si="1"/>
        <v>83</v>
      </c>
      <c r="D91" s="122">
        <v>86</v>
      </c>
      <c r="E91" s="121" t="s">
        <v>2032</v>
      </c>
      <c r="F91" s="123" t="s">
        <v>1997</v>
      </c>
      <c r="G91" s="124">
        <v>0</v>
      </c>
      <c r="H91" s="121"/>
    </row>
    <row r="92" spans="2:8">
      <c r="B92" s="23">
        <v>1</v>
      </c>
      <c r="C92" s="125">
        <f t="shared" si="1"/>
        <v>84</v>
      </c>
      <c r="D92" s="122">
        <v>87</v>
      </c>
      <c r="E92" s="121" t="s">
        <v>2033</v>
      </c>
      <c r="F92" s="123" t="s">
        <v>1997</v>
      </c>
      <c r="G92" s="124">
        <v>0</v>
      </c>
      <c r="H92" s="121"/>
    </row>
    <row r="93" spans="2:8">
      <c r="B93" s="23">
        <v>1</v>
      </c>
      <c r="C93" s="125">
        <f t="shared" si="1"/>
        <v>85</v>
      </c>
      <c r="D93" s="122">
        <v>88</v>
      </c>
      <c r="E93" s="121" t="s">
        <v>2034</v>
      </c>
      <c r="F93" s="123" t="s">
        <v>1997</v>
      </c>
      <c r="G93" s="124">
        <v>0</v>
      </c>
      <c r="H93" s="121"/>
    </row>
    <row r="94" spans="2:8">
      <c r="B94" s="23">
        <v>1</v>
      </c>
      <c r="C94" s="125">
        <f t="shared" si="1"/>
        <v>86</v>
      </c>
      <c r="D94" s="122">
        <v>89</v>
      </c>
      <c r="E94" s="121" t="s">
        <v>2035</v>
      </c>
      <c r="F94" s="123" t="s">
        <v>1997</v>
      </c>
      <c r="G94" s="124">
        <v>0</v>
      </c>
      <c r="H94" s="121"/>
    </row>
    <row r="95" spans="2:8">
      <c r="B95" s="23">
        <v>1</v>
      </c>
      <c r="C95" s="125">
        <f t="shared" si="1"/>
        <v>87</v>
      </c>
      <c r="D95" s="122">
        <v>90</v>
      </c>
      <c r="E95" s="121" t="s">
        <v>2036</v>
      </c>
      <c r="F95" s="123" t="s">
        <v>1997</v>
      </c>
      <c r="G95" s="124">
        <v>0</v>
      </c>
      <c r="H95" s="121"/>
    </row>
    <row r="96" spans="2:8">
      <c r="B96" s="23">
        <v>1</v>
      </c>
      <c r="C96" s="125">
        <f t="shared" si="1"/>
        <v>88</v>
      </c>
      <c r="D96" s="122">
        <v>91</v>
      </c>
      <c r="E96" s="121" t="s">
        <v>2037</v>
      </c>
      <c r="F96" s="123" t="s">
        <v>1997</v>
      </c>
      <c r="G96" s="124">
        <v>0</v>
      </c>
      <c r="H96" s="121"/>
    </row>
    <row r="97" spans="2:8">
      <c r="B97" s="23">
        <v>1</v>
      </c>
      <c r="C97" s="125">
        <f t="shared" si="1"/>
        <v>89</v>
      </c>
      <c r="D97" s="122">
        <v>92</v>
      </c>
      <c r="E97" s="121" t="s">
        <v>2038</v>
      </c>
      <c r="F97" s="123" t="s">
        <v>1997</v>
      </c>
      <c r="G97" s="124">
        <v>0</v>
      </c>
      <c r="H97" s="121"/>
    </row>
    <row r="98" spans="2:8">
      <c r="B98" s="23">
        <v>1</v>
      </c>
      <c r="C98" s="125">
        <f t="shared" si="1"/>
        <v>90</v>
      </c>
      <c r="D98" s="122">
        <v>93</v>
      </c>
      <c r="E98" s="121" t="s">
        <v>84</v>
      </c>
      <c r="F98" s="123" t="s">
        <v>57</v>
      </c>
      <c r="G98" s="124">
        <v>0</v>
      </c>
      <c r="H98" s="121"/>
    </row>
    <row r="99" spans="2:8">
      <c r="B99" s="23">
        <v>1</v>
      </c>
      <c r="C99" s="125">
        <f t="shared" si="1"/>
        <v>91</v>
      </c>
      <c r="D99" s="122">
        <v>94</v>
      </c>
      <c r="E99" s="121" t="s">
        <v>2039</v>
      </c>
      <c r="F99" s="123" t="s">
        <v>252</v>
      </c>
      <c r="G99" s="124">
        <v>0</v>
      </c>
      <c r="H99" s="121"/>
    </row>
    <row r="100" spans="2:8">
      <c r="B100" s="23">
        <v>1</v>
      </c>
      <c r="C100" s="125">
        <f t="shared" si="1"/>
        <v>92</v>
      </c>
      <c r="D100" s="122">
        <v>95</v>
      </c>
      <c r="E100" s="121" t="s">
        <v>2040</v>
      </c>
      <c r="F100" s="123" t="s">
        <v>252</v>
      </c>
      <c r="G100" s="124">
        <v>0</v>
      </c>
      <c r="H100" s="121"/>
    </row>
    <row r="101" spans="2:8">
      <c r="B101" s="23">
        <v>1</v>
      </c>
      <c r="C101" s="125">
        <f t="shared" si="1"/>
        <v>93</v>
      </c>
      <c r="D101" s="122">
        <v>96</v>
      </c>
      <c r="E101" s="121" t="s">
        <v>2041</v>
      </c>
      <c r="F101" s="123" t="s">
        <v>252</v>
      </c>
      <c r="G101" s="124">
        <v>0</v>
      </c>
      <c r="H101" s="121"/>
    </row>
    <row r="102" spans="2:8">
      <c r="B102" s="23">
        <v>1</v>
      </c>
      <c r="C102" s="125">
        <f t="shared" si="1"/>
        <v>94</v>
      </c>
      <c r="D102" s="122">
        <v>97</v>
      </c>
      <c r="E102" s="121" t="s">
        <v>2042</v>
      </c>
      <c r="F102" s="123" t="s">
        <v>87</v>
      </c>
      <c r="G102" s="124">
        <v>0</v>
      </c>
      <c r="H102" s="121"/>
    </row>
    <row r="103" spans="2:8">
      <c r="B103" s="23">
        <v>1</v>
      </c>
      <c r="C103" s="125">
        <f t="shared" si="1"/>
        <v>95</v>
      </c>
      <c r="D103" s="122">
        <v>98</v>
      </c>
      <c r="E103" s="121" t="s">
        <v>2043</v>
      </c>
      <c r="F103" s="123" t="s">
        <v>87</v>
      </c>
      <c r="G103" s="124">
        <v>0</v>
      </c>
      <c r="H103" s="121"/>
    </row>
    <row r="104" spans="2:8">
      <c r="B104" s="23">
        <v>1</v>
      </c>
      <c r="C104" s="125">
        <f t="shared" si="1"/>
        <v>96</v>
      </c>
      <c r="D104" s="122">
        <v>99</v>
      </c>
      <c r="E104" s="121" t="s">
        <v>2044</v>
      </c>
      <c r="F104" s="123" t="s">
        <v>87</v>
      </c>
      <c r="G104" s="124">
        <v>0</v>
      </c>
      <c r="H104" s="121"/>
    </row>
    <row r="105" spans="2:8">
      <c r="B105" s="23">
        <v>1</v>
      </c>
      <c r="C105" s="125">
        <f t="shared" si="1"/>
        <v>97</v>
      </c>
      <c r="D105" s="122">
        <v>100</v>
      </c>
      <c r="E105" s="121" t="s">
        <v>2045</v>
      </c>
      <c r="F105" s="123" t="s">
        <v>87</v>
      </c>
      <c r="G105" s="124">
        <v>0</v>
      </c>
      <c r="H105" s="121"/>
    </row>
    <row r="106" spans="2:8">
      <c r="B106" s="23">
        <v>1</v>
      </c>
      <c r="C106" s="125">
        <f t="shared" si="1"/>
        <v>98</v>
      </c>
      <c r="D106" s="122">
        <v>101</v>
      </c>
      <c r="E106" s="121" t="s">
        <v>4124</v>
      </c>
      <c r="F106" s="123" t="s">
        <v>87</v>
      </c>
      <c r="G106" s="124">
        <v>0</v>
      </c>
      <c r="H106" s="121"/>
    </row>
    <row r="107" spans="2:8">
      <c r="B107" s="23">
        <v>1</v>
      </c>
      <c r="C107" s="125">
        <f t="shared" si="1"/>
        <v>99</v>
      </c>
      <c r="D107" s="122">
        <v>102</v>
      </c>
      <c r="E107" s="121" t="s">
        <v>2046</v>
      </c>
      <c r="F107" s="123" t="s">
        <v>87</v>
      </c>
      <c r="G107" s="124">
        <v>0</v>
      </c>
      <c r="H107" s="121"/>
    </row>
    <row r="108" spans="2:8">
      <c r="B108" s="23">
        <v>1</v>
      </c>
      <c r="C108" s="125">
        <f t="shared" si="1"/>
        <v>100</v>
      </c>
      <c r="D108" s="122">
        <v>103</v>
      </c>
      <c r="E108" s="121" t="s">
        <v>2047</v>
      </c>
      <c r="F108" s="123" t="s">
        <v>87</v>
      </c>
      <c r="G108" s="124">
        <v>0</v>
      </c>
      <c r="H108" s="121"/>
    </row>
    <row r="109" spans="2:8">
      <c r="B109" s="23">
        <v>1</v>
      </c>
      <c r="C109" s="125">
        <f t="shared" si="1"/>
        <v>101</v>
      </c>
      <c r="D109" s="122">
        <v>104</v>
      </c>
      <c r="E109" s="121" t="s">
        <v>2048</v>
      </c>
      <c r="F109" s="123" t="s">
        <v>87</v>
      </c>
      <c r="G109" s="124">
        <v>0</v>
      </c>
      <c r="H109" s="121"/>
    </row>
    <row r="110" spans="2:8">
      <c r="B110" s="23">
        <v>1</v>
      </c>
      <c r="C110" s="125">
        <f t="shared" si="1"/>
        <v>102</v>
      </c>
      <c r="D110" s="122">
        <v>105</v>
      </c>
      <c r="E110" s="121" t="s">
        <v>2049</v>
      </c>
      <c r="F110" s="123" t="s">
        <v>57</v>
      </c>
      <c r="G110" s="124">
        <v>0</v>
      </c>
      <c r="H110" s="121"/>
    </row>
    <row r="111" spans="2:8">
      <c r="B111" s="23">
        <v>1</v>
      </c>
      <c r="C111" s="125">
        <f t="shared" si="1"/>
        <v>103</v>
      </c>
      <c r="D111" s="122">
        <v>106</v>
      </c>
      <c r="E111" s="121" t="s">
        <v>2050</v>
      </c>
      <c r="F111" s="123" t="s">
        <v>57</v>
      </c>
      <c r="G111" s="124">
        <v>0</v>
      </c>
      <c r="H111" s="121"/>
    </row>
    <row r="112" spans="2:8">
      <c r="B112" s="23">
        <v>1</v>
      </c>
      <c r="C112" s="125">
        <f t="shared" si="1"/>
        <v>104</v>
      </c>
      <c r="D112" s="122">
        <v>107</v>
      </c>
      <c r="E112" s="121" t="s">
        <v>2051</v>
      </c>
      <c r="F112" s="123" t="s">
        <v>74</v>
      </c>
      <c r="G112" s="124">
        <v>0</v>
      </c>
      <c r="H112" s="121"/>
    </row>
    <row r="113" spans="2:8">
      <c r="B113" s="23">
        <v>1</v>
      </c>
      <c r="C113" s="125">
        <f t="shared" si="1"/>
        <v>105</v>
      </c>
      <c r="D113" s="122">
        <v>108</v>
      </c>
      <c r="E113" s="121" t="s">
        <v>2052</v>
      </c>
      <c r="F113" s="123" t="s">
        <v>74</v>
      </c>
      <c r="G113" s="124">
        <v>0</v>
      </c>
      <c r="H113" s="121"/>
    </row>
    <row r="114" spans="2:8">
      <c r="B114" s="23">
        <v>1</v>
      </c>
      <c r="C114" s="125">
        <f t="shared" si="1"/>
        <v>106</v>
      </c>
      <c r="D114" s="122">
        <v>109</v>
      </c>
      <c r="E114" s="121" t="s">
        <v>2053</v>
      </c>
      <c r="F114" s="123" t="s">
        <v>74</v>
      </c>
      <c r="G114" s="124">
        <v>0</v>
      </c>
      <c r="H114" s="121"/>
    </row>
    <row r="115" spans="2:8">
      <c r="B115" s="23">
        <v>1</v>
      </c>
      <c r="C115" s="125">
        <f t="shared" si="1"/>
        <v>107</v>
      </c>
      <c r="D115" s="122">
        <v>110</v>
      </c>
      <c r="E115" s="121" t="s">
        <v>2054</v>
      </c>
      <c r="F115" s="123" t="s">
        <v>74</v>
      </c>
      <c r="G115" s="124">
        <v>0</v>
      </c>
      <c r="H115" s="121"/>
    </row>
    <row r="116" spans="2:8">
      <c r="B116" s="23">
        <v>1</v>
      </c>
      <c r="C116" s="125">
        <f t="shared" si="1"/>
        <v>108</v>
      </c>
      <c r="D116" s="122">
        <v>111</v>
      </c>
      <c r="E116" s="121" t="s">
        <v>2055</v>
      </c>
      <c r="F116" s="123" t="s">
        <v>57</v>
      </c>
      <c r="G116" s="124">
        <v>0</v>
      </c>
      <c r="H116" s="121"/>
    </row>
    <row r="117" spans="2:8">
      <c r="B117" s="23">
        <v>1</v>
      </c>
      <c r="C117" s="125">
        <f t="shared" si="1"/>
        <v>109</v>
      </c>
      <c r="D117" s="122">
        <v>112</v>
      </c>
      <c r="E117" s="121" t="s">
        <v>2056</v>
      </c>
      <c r="F117" s="123" t="s">
        <v>1997</v>
      </c>
      <c r="G117" s="124">
        <v>0</v>
      </c>
      <c r="H117" s="121"/>
    </row>
    <row r="118" spans="2:8">
      <c r="B118" s="23">
        <v>1</v>
      </c>
      <c r="C118" s="125">
        <f t="shared" si="1"/>
        <v>110</v>
      </c>
      <c r="D118" s="122">
        <v>113</v>
      </c>
      <c r="E118" s="121" t="s">
        <v>2057</v>
      </c>
      <c r="F118" s="123" t="s">
        <v>1997</v>
      </c>
      <c r="G118" s="124">
        <v>0</v>
      </c>
      <c r="H118" s="121"/>
    </row>
    <row r="119" spans="2:8">
      <c r="B119" s="23">
        <v>1</v>
      </c>
      <c r="C119" s="125">
        <f t="shared" si="1"/>
        <v>111</v>
      </c>
      <c r="D119" s="122" t="s">
        <v>3207</v>
      </c>
      <c r="E119" s="121" t="s">
        <v>2057</v>
      </c>
      <c r="F119" s="123" t="s">
        <v>74</v>
      </c>
      <c r="G119" s="124">
        <v>0</v>
      </c>
      <c r="H119" s="121"/>
    </row>
    <row r="120" spans="2:8">
      <c r="B120" s="23">
        <v>1</v>
      </c>
      <c r="C120" s="125">
        <f t="shared" si="1"/>
        <v>112</v>
      </c>
      <c r="D120" s="122">
        <v>114</v>
      </c>
      <c r="E120" s="121" t="s">
        <v>2058</v>
      </c>
      <c r="F120" s="123" t="s">
        <v>57</v>
      </c>
      <c r="G120" s="124">
        <v>0</v>
      </c>
      <c r="H120" s="121"/>
    </row>
    <row r="121" spans="2:8">
      <c r="B121" s="23">
        <v>1</v>
      </c>
      <c r="C121" s="125">
        <f t="shared" si="1"/>
        <v>113</v>
      </c>
      <c r="D121" s="122">
        <v>115</v>
      </c>
      <c r="E121" s="121" t="s">
        <v>2059</v>
      </c>
      <c r="F121" s="123" t="s">
        <v>1997</v>
      </c>
      <c r="G121" s="124">
        <v>0</v>
      </c>
      <c r="H121" s="121"/>
    </row>
    <row r="122" spans="2:8">
      <c r="B122" s="23">
        <v>1</v>
      </c>
      <c r="C122" s="125">
        <f t="shared" si="1"/>
        <v>114</v>
      </c>
      <c r="D122" s="122">
        <v>116</v>
      </c>
      <c r="E122" s="121" t="s">
        <v>2060</v>
      </c>
      <c r="F122" s="123" t="s">
        <v>1997</v>
      </c>
      <c r="G122" s="124">
        <v>0</v>
      </c>
      <c r="H122" s="121"/>
    </row>
    <row r="123" spans="2:8">
      <c r="B123" s="23">
        <v>1</v>
      </c>
      <c r="C123" s="125">
        <f t="shared" si="1"/>
        <v>115</v>
      </c>
      <c r="D123" s="122">
        <v>117</v>
      </c>
      <c r="E123" s="121" t="s">
        <v>2061</v>
      </c>
      <c r="F123" s="123" t="s">
        <v>1997</v>
      </c>
      <c r="G123" s="124">
        <v>0</v>
      </c>
      <c r="H123" s="121"/>
    </row>
    <row r="124" spans="2:8">
      <c r="B124" s="23">
        <v>1</v>
      </c>
      <c r="C124" s="125">
        <f t="shared" si="1"/>
        <v>116</v>
      </c>
      <c r="D124" s="122">
        <v>118</v>
      </c>
      <c r="E124" s="121" t="s">
        <v>2062</v>
      </c>
      <c r="F124" s="123" t="s">
        <v>87</v>
      </c>
      <c r="G124" s="124">
        <v>0</v>
      </c>
      <c r="H124" s="121"/>
    </row>
    <row r="125" spans="2:8">
      <c r="B125" s="23">
        <v>1</v>
      </c>
      <c r="C125" s="125">
        <f t="shared" si="1"/>
        <v>117</v>
      </c>
      <c r="D125" s="122">
        <v>119</v>
      </c>
      <c r="E125" s="121" t="s">
        <v>2063</v>
      </c>
      <c r="F125" s="123" t="s">
        <v>57</v>
      </c>
      <c r="G125" s="124">
        <v>0</v>
      </c>
      <c r="H125" s="121"/>
    </row>
    <row r="126" spans="2:8">
      <c r="B126" s="23">
        <v>1</v>
      </c>
      <c r="C126" s="125">
        <f t="shared" si="1"/>
        <v>118</v>
      </c>
      <c r="D126" s="122">
        <v>120</v>
      </c>
      <c r="E126" s="121" t="s">
        <v>2064</v>
      </c>
      <c r="F126" s="123" t="s">
        <v>57</v>
      </c>
      <c r="G126" s="124">
        <v>0</v>
      </c>
      <c r="H126" s="121"/>
    </row>
    <row r="127" spans="2:8">
      <c r="B127" s="23">
        <v>1</v>
      </c>
      <c r="C127" s="125">
        <f t="shared" si="1"/>
        <v>119</v>
      </c>
      <c r="D127" s="122">
        <v>121</v>
      </c>
      <c r="E127" s="121" t="s">
        <v>2065</v>
      </c>
      <c r="F127" s="123" t="s">
        <v>57</v>
      </c>
      <c r="G127" s="124">
        <v>0</v>
      </c>
      <c r="H127" s="121"/>
    </row>
    <row r="128" spans="2:8">
      <c r="B128" s="23">
        <v>1</v>
      </c>
      <c r="C128" s="125">
        <f t="shared" si="1"/>
        <v>120</v>
      </c>
      <c r="D128" s="122">
        <v>122</v>
      </c>
      <c r="E128" s="121" t="s">
        <v>2066</v>
      </c>
      <c r="F128" s="123" t="s">
        <v>57</v>
      </c>
      <c r="G128" s="124">
        <v>0</v>
      </c>
      <c r="H128" s="121"/>
    </row>
    <row r="129" spans="2:8">
      <c r="B129" s="23">
        <v>1</v>
      </c>
      <c r="C129" s="125">
        <f t="shared" si="1"/>
        <v>121</v>
      </c>
      <c r="D129" s="122">
        <v>123</v>
      </c>
      <c r="E129" s="121" t="s">
        <v>2067</v>
      </c>
      <c r="F129" s="123" t="s">
        <v>57</v>
      </c>
      <c r="G129" s="124">
        <v>0</v>
      </c>
      <c r="H129" s="121"/>
    </row>
    <row r="130" spans="2:8">
      <c r="B130" s="23">
        <v>1</v>
      </c>
      <c r="C130" s="125">
        <f t="shared" si="1"/>
        <v>122</v>
      </c>
      <c r="D130" s="122">
        <v>124</v>
      </c>
      <c r="E130" s="121" t="s">
        <v>2068</v>
      </c>
      <c r="F130" s="123" t="s">
        <v>57</v>
      </c>
      <c r="G130" s="124">
        <v>0</v>
      </c>
      <c r="H130" s="121"/>
    </row>
    <row r="131" spans="2:8">
      <c r="B131" s="23">
        <v>1</v>
      </c>
      <c r="C131" s="125">
        <f t="shared" si="1"/>
        <v>123</v>
      </c>
      <c r="D131" s="122">
        <v>125</v>
      </c>
      <c r="E131" s="121" t="s">
        <v>2068</v>
      </c>
      <c r="F131" s="123" t="s">
        <v>259</v>
      </c>
      <c r="G131" s="124">
        <v>0</v>
      </c>
      <c r="H131" s="121"/>
    </row>
    <row r="132" spans="2:8">
      <c r="B132" s="23">
        <v>1</v>
      </c>
      <c r="C132" s="125">
        <f t="shared" si="1"/>
        <v>124</v>
      </c>
      <c r="D132" s="122">
        <v>126</v>
      </c>
      <c r="E132" s="121" t="s">
        <v>2069</v>
      </c>
      <c r="F132" s="123" t="s">
        <v>57</v>
      </c>
      <c r="G132" s="124">
        <v>0</v>
      </c>
      <c r="H132" s="121"/>
    </row>
    <row r="133" spans="2:8">
      <c r="B133" s="23">
        <v>1</v>
      </c>
      <c r="C133" s="125">
        <f t="shared" si="1"/>
        <v>125</v>
      </c>
      <c r="D133" s="122">
        <v>127</v>
      </c>
      <c r="E133" s="121" t="s">
        <v>2070</v>
      </c>
      <c r="F133" s="123" t="s">
        <v>57</v>
      </c>
      <c r="G133" s="124">
        <v>0</v>
      </c>
      <c r="H133" s="121"/>
    </row>
    <row r="134" spans="2:8">
      <c r="B134" s="23">
        <v>1</v>
      </c>
      <c r="C134" s="125">
        <f t="shared" si="1"/>
        <v>126</v>
      </c>
      <c r="D134" s="122">
        <v>128</v>
      </c>
      <c r="E134" s="121" t="s">
        <v>2894</v>
      </c>
      <c r="F134" s="123" t="s">
        <v>259</v>
      </c>
      <c r="G134" s="124">
        <v>0</v>
      </c>
      <c r="H134" s="121"/>
    </row>
    <row r="135" spans="2:8">
      <c r="B135" s="23">
        <v>1</v>
      </c>
      <c r="C135" s="125">
        <f t="shared" si="1"/>
        <v>127</v>
      </c>
      <c r="D135" s="122">
        <v>129</v>
      </c>
      <c r="E135" s="121" t="s">
        <v>144</v>
      </c>
      <c r="F135" s="123" t="s">
        <v>1970</v>
      </c>
      <c r="G135" s="124">
        <v>0</v>
      </c>
      <c r="H135" s="121"/>
    </row>
    <row r="136" spans="2:8">
      <c r="B136" s="23">
        <v>1</v>
      </c>
      <c r="C136" s="125">
        <f t="shared" si="1"/>
        <v>128</v>
      </c>
      <c r="D136" s="122">
        <v>130</v>
      </c>
      <c r="E136" s="121" t="s">
        <v>2071</v>
      </c>
      <c r="F136" s="123" t="s">
        <v>87</v>
      </c>
      <c r="G136" s="124">
        <v>0</v>
      </c>
      <c r="H136" s="121"/>
    </row>
    <row r="137" spans="2:8">
      <c r="B137" s="23">
        <v>1</v>
      </c>
      <c r="C137" s="125">
        <f t="shared" si="1"/>
        <v>129</v>
      </c>
      <c r="D137" s="122">
        <v>131</v>
      </c>
      <c r="E137" s="121" t="s">
        <v>2072</v>
      </c>
      <c r="F137" s="123" t="s">
        <v>1997</v>
      </c>
      <c r="G137" s="124">
        <v>0</v>
      </c>
      <c r="H137" s="121"/>
    </row>
    <row r="138" spans="2:8">
      <c r="B138" s="23">
        <v>1</v>
      </c>
      <c r="C138" s="125">
        <f t="shared" si="1"/>
        <v>130</v>
      </c>
      <c r="D138" s="122">
        <v>132</v>
      </c>
      <c r="E138" s="121" t="s">
        <v>2073</v>
      </c>
      <c r="F138" s="123" t="s">
        <v>1997</v>
      </c>
      <c r="G138" s="124">
        <v>0</v>
      </c>
      <c r="H138" s="121"/>
    </row>
    <row r="139" spans="2:8">
      <c r="B139" s="23">
        <v>1</v>
      </c>
      <c r="C139" s="125">
        <f t="shared" ref="C139:C204" si="2">+C138+1</f>
        <v>131</v>
      </c>
      <c r="D139" s="122">
        <v>133</v>
      </c>
      <c r="E139" s="121" t="s">
        <v>2074</v>
      </c>
      <c r="F139" s="123" t="s">
        <v>1970</v>
      </c>
      <c r="G139" s="124">
        <v>0</v>
      </c>
      <c r="H139" s="121"/>
    </row>
    <row r="140" spans="2:8">
      <c r="B140" s="23">
        <v>1</v>
      </c>
      <c r="C140" s="125">
        <f t="shared" si="2"/>
        <v>132</v>
      </c>
      <c r="D140" s="122">
        <v>134</v>
      </c>
      <c r="E140" s="121" t="s">
        <v>2075</v>
      </c>
      <c r="F140" s="123" t="s">
        <v>87</v>
      </c>
      <c r="G140" s="124">
        <v>0</v>
      </c>
      <c r="H140" s="121"/>
    </row>
    <row r="141" spans="2:8">
      <c r="B141" s="23">
        <v>1</v>
      </c>
      <c r="C141" s="125">
        <f t="shared" si="2"/>
        <v>133</v>
      </c>
      <c r="D141" s="122">
        <v>135</v>
      </c>
      <c r="E141" s="121" t="s">
        <v>2076</v>
      </c>
      <c r="F141" s="123" t="s">
        <v>87</v>
      </c>
      <c r="G141" s="124">
        <v>0</v>
      </c>
      <c r="H141" s="121"/>
    </row>
    <row r="142" spans="2:8">
      <c r="B142" s="23">
        <v>1</v>
      </c>
      <c r="C142" s="125">
        <f t="shared" si="2"/>
        <v>134</v>
      </c>
      <c r="D142" s="122">
        <v>136</v>
      </c>
      <c r="E142" s="121" t="s">
        <v>2077</v>
      </c>
      <c r="F142" s="123" t="s">
        <v>57</v>
      </c>
      <c r="G142" s="124">
        <v>0</v>
      </c>
      <c r="H142" s="121"/>
    </row>
    <row r="143" spans="2:8">
      <c r="B143" s="23">
        <v>1</v>
      </c>
      <c r="C143" s="125">
        <f t="shared" si="2"/>
        <v>135</v>
      </c>
      <c r="D143" s="122">
        <v>137</v>
      </c>
      <c r="E143" s="121" t="s">
        <v>2078</v>
      </c>
      <c r="F143" s="123" t="s">
        <v>2079</v>
      </c>
      <c r="G143" s="124">
        <v>0</v>
      </c>
      <c r="H143" s="121"/>
    </row>
    <row r="144" spans="2:8">
      <c r="B144" s="23">
        <v>1</v>
      </c>
      <c r="C144" s="125">
        <f t="shared" si="2"/>
        <v>136</v>
      </c>
      <c r="D144" s="122">
        <v>138</v>
      </c>
      <c r="E144" s="121" t="s">
        <v>2080</v>
      </c>
      <c r="F144" s="123" t="s">
        <v>2079</v>
      </c>
      <c r="G144" s="124">
        <v>0</v>
      </c>
      <c r="H144" s="121"/>
    </row>
    <row r="145" spans="2:8">
      <c r="B145" s="23">
        <v>1</v>
      </c>
      <c r="C145" s="125">
        <f t="shared" si="2"/>
        <v>137</v>
      </c>
      <c r="D145" s="122">
        <v>139</v>
      </c>
      <c r="E145" s="121" t="s">
        <v>2081</v>
      </c>
      <c r="F145" s="123" t="s">
        <v>2079</v>
      </c>
      <c r="G145" s="124">
        <v>0</v>
      </c>
      <c r="H145" s="121"/>
    </row>
    <row r="146" spans="2:8">
      <c r="B146" s="23">
        <v>1</v>
      </c>
      <c r="C146" s="125">
        <f t="shared" si="2"/>
        <v>138</v>
      </c>
      <c r="D146" s="122">
        <v>140</v>
      </c>
      <c r="E146" s="121" t="s">
        <v>2082</v>
      </c>
      <c r="F146" s="123" t="s">
        <v>2079</v>
      </c>
      <c r="G146" s="124">
        <v>0</v>
      </c>
      <c r="H146" s="121"/>
    </row>
    <row r="147" spans="2:8">
      <c r="B147" s="23">
        <v>1</v>
      </c>
      <c r="C147" s="125">
        <f t="shared" si="2"/>
        <v>139</v>
      </c>
      <c r="D147" s="122">
        <v>141</v>
      </c>
      <c r="E147" s="121" t="s">
        <v>2083</v>
      </c>
      <c r="F147" s="123" t="s">
        <v>2079</v>
      </c>
      <c r="G147" s="124">
        <v>0</v>
      </c>
      <c r="H147" s="121"/>
    </row>
    <row r="148" spans="2:8">
      <c r="B148" s="23">
        <v>1</v>
      </c>
      <c r="C148" s="125">
        <f t="shared" si="2"/>
        <v>140</v>
      </c>
      <c r="D148" s="122">
        <v>142</v>
      </c>
      <c r="E148" s="121" t="s">
        <v>2084</v>
      </c>
      <c r="F148" s="123" t="s">
        <v>57</v>
      </c>
      <c r="G148" s="124">
        <v>0</v>
      </c>
      <c r="H148" s="121"/>
    </row>
    <row r="149" spans="2:8">
      <c r="B149" s="23">
        <v>1</v>
      </c>
      <c r="C149" s="125">
        <f t="shared" si="2"/>
        <v>141</v>
      </c>
      <c r="D149" s="122">
        <v>143</v>
      </c>
      <c r="E149" s="121" t="s">
        <v>2085</v>
      </c>
      <c r="F149" s="123" t="s">
        <v>2079</v>
      </c>
      <c r="G149" s="124">
        <v>0</v>
      </c>
      <c r="H149" s="121"/>
    </row>
    <row r="150" spans="2:8">
      <c r="B150" s="23">
        <v>1</v>
      </c>
      <c r="C150" s="125">
        <f t="shared" si="2"/>
        <v>142</v>
      </c>
      <c r="D150" s="122">
        <v>144</v>
      </c>
      <c r="E150" s="121" t="s">
        <v>2086</v>
      </c>
      <c r="F150" s="123" t="s">
        <v>2079</v>
      </c>
      <c r="G150" s="124">
        <v>0</v>
      </c>
      <c r="H150" s="121"/>
    </row>
    <row r="151" spans="2:8">
      <c r="B151" s="23">
        <v>1</v>
      </c>
      <c r="C151" s="125">
        <f t="shared" si="2"/>
        <v>143</v>
      </c>
      <c r="D151" s="122">
        <v>145</v>
      </c>
      <c r="E151" s="121" t="s">
        <v>2087</v>
      </c>
      <c r="F151" s="123" t="s">
        <v>2079</v>
      </c>
      <c r="G151" s="124">
        <v>0</v>
      </c>
      <c r="H151" s="121"/>
    </row>
    <row r="152" spans="2:8">
      <c r="B152" s="23">
        <v>1</v>
      </c>
      <c r="C152" s="125">
        <f t="shared" si="2"/>
        <v>144</v>
      </c>
      <c r="D152" s="122">
        <v>146</v>
      </c>
      <c r="E152" s="121" t="s">
        <v>2088</v>
      </c>
      <c r="F152" s="123" t="s">
        <v>2079</v>
      </c>
      <c r="G152" s="124">
        <v>0</v>
      </c>
      <c r="H152" s="121"/>
    </row>
    <row r="153" spans="2:8">
      <c r="B153" s="23">
        <v>1</v>
      </c>
      <c r="C153" s="125">
        <f t="shared" si="2"/>
        <v>145</v>
      </c>
      <c r="D153" s="122">
        <v>147</v>
      </c>
      <c r="E153" s="121" t="s">
        <v>2089</v>
      </c>
      <c r="F153" s="123" t="s">
        <v>2079</v>
      </c>
      <c r="G153" s="124">
        <v>0</v>
      </c>
      <c r="H153" s="121"/>
    </row>
    <row r="154" spans="2:8">
      <c r="B154" s="23">
        <v>1</v>
      </c>
      <c r="C154" s="125">
        <f t="shared" si="2"/>
        <v>146</v>
      </c>
      <c r="D154" s="122">
        <v>148</v>
      </c>
      <c r="E154" s="121" t="s">
        <v>2090</v>
      </c>
      <c r="F154" s="123" t="s">
        <v>2079</v>
      </c>
      <c r="G154" s="124">
        <v>0</v>
      </c>
      <c r="H154" s="121"/>
    </row>
    <row r="155" spans="2:8">
      <c r="B155" s="23">
        <v>1</v>
      </c>
      <c r="C155" s="125">
        <f t="shared" si="2"/>
        <v>147</v>
      </c>
      <c r="D155" s="122">
        <v>149</v>
      </c>
      <c r="E155" s="121" t="s">
        <v>3209</v>
      </c>
      <c r="F155" s="123" t="s">
        <v>87</v>
      </c>
      <c r="G155" s="124">
        <v>0</v>
      </c>
      <c r="H155" s="121"/>
    </row>
    <row r="156" spans="2:8">
      <c r="B156" s="23">
        <v>1</v>
      </c>
      <c r="C156" s="125">
        <f t="shared" si="2"/>
        <v>148</v>
      </c>
      <c r="D156" s="122">
        <v>150</v>
      </c>
      <c r="E156" s="121" t="s">
        <v>3210</v>
      </c>
      <c r="F156" s="123" t="s">
        <v>87</v>
      </c>
      <c r="G156" s="124">
        <v>0</v>
      </c>
      <c r="H156" s="121"/>
    </row>
    <row r="157" spans="2:8">
      <c r="B157" s="23">
        <v>1</v>
      </c>
      <c r="C157" s="125">
        <f t="shared" si="2"/>
        <v>149</v>
      </c>
      <c r="D157" s="122">
        <v>151</v>
      </c>
      <c r="E157" s="121" t="s">
        <v>103</v>
      </c>
      <c r="F157" s="123" t="s">
        <v>1959</v>
      </c>
      <c r="G157" s="124">
        <v>0</v>
      </c>
      <c r="H157" s="121"/>
    </row>
    <row r="158" spans="2:8">
      <c r="B158" s="23">
        <v>1</v>
      </c>
      <c r="C158" s="125">
        <f t="shared" si="2"/>
        <v>150</v>
      </c>
      <c r="D158" s="122">
        <v>152</v>
      </c>
      <c r="E158" s="121" t="s">
        <v>62</v>
      </c>
      <c r="F158" s="123" t="s">
        <v>2091</v>
      </c>
      <c r="G158" s="124">
        <v>0</v>
      </c>
      <c r="H158" s="121"/>
    </row>
    <row r="159" spans="2:8">
      <c r="B159" s="23">
        <v>1</v>
      </c>
      <c r="C159" s="125">
        <f t="shared" si="2"/>
        <v>151</v>
      </c>
      <c r="D159" s="122">
        <v>153</v>
      </c>
      <c r="E159" s="121" t="s">
        <v>2092</v>
      </c>
      <c r="F159" s="123" t="s">
        <v>87</v>
      </c>
      <c r="G159" s="124">
        <v>0</v>
      </c>
      <c r="H159" s="121"/>
    </row>
    <row r="160" spans="2:8">
      <c r="B160" s="23">
        <v>1</v>
      </c>
      <c r="C160" s="125">
        <f t="shared" si="2"/>
        <v>152</v>
      </c>
      <c r="D160" s="122">
        <v>154</v>
      </c>
      <c r="E160" s="121" t="s">
        <v>2093</v>
      </c>
      <c r="F160" s="123" t="s">
        <v>87</v>
      </c>
      <c r="G160" s="124">
        <v>0</v>
      </c>
      <c r="H160" s="121"/>
    </row>
    <row r="161" spans="2:8">
      <c r="B161" s="23">
        <v>1</v>
      </c>
      <c r="C161" s="125">
        <f t="shared" si="2"/>
        <v>153</v>
      </c>
      <c r="D161" s="122">
        <v>155</v>
      </c>
      <c r="E161" s="121" t="s">
        <v>2094</v>
      </c>
      <c r="F161" s="123" t="s">
        <v>87</v>
      </c>
      <c r="G161" s="124">
        <v>0</v>
      </c>
      <c r="H161" s="121"/>
    </row>
    <row r="162" spans="2:8">
      <c r="B162" s="23">
        <v>1</v>
      </c>
      <c r="C162" s="125">
        <f t="shared" si="2"/>
        <v>154</v>
      </c>
      <c r="D162" s="122">
        <v>156</v>
      </c>
      <c r="E162" s="121" t="s">
        <v>90</v>
      </c>
      <c r="F162" s="123" t="s">
        <v>57</v>
      </c>
      <c r="G162" s="124">
        <v>0</v>
      </c>
      <c r="H162" s="121"/>
    </row>
    <row r="163" spans="2:8">
      <c r="B163" s="23">
        <v>1</v>
      </c>
      <c r="C163" s="125">
        <f t="shared" si="2"/>
        <v>155</v>
      </c>
      <c r="D163" s="122">
        <v>157</v>
      </c>
      <c r="E163" s="121" t="s">
        <v>235</v>
      </c>
      <c r="F163" s="123" t="s">
        <v>74</v>
      </c>
      <c r="G163" s="124">
        <v>0</v>
      </c>
      <c r="H163" s="121"/>
    </row>
    <row r="164" spans="2:8">
      <c r="B164" s="23">
        <v>1</v>
      </c>
      <c r="C164" s="125">
        <f t="shared" si="2"/>
        <v>156</v>
      </c>
      <c r="D164" s="122">
        <v>158</v>
      </c>
      <c r="E164" s="121" t="s">
        <v>2095</v>
      </c>
      <c r="F164" s="123" t="s">
        <v>57</v>
      </c>
      <c r="G164" s="124">
        <v>0</v>
      </c>
      <c r="H164" s="121"/>
    </row>
    <row r="165" spans="2:8">
      <c r="B165" s="23">
        <v>1</v>
      </c>
      <c r="C165" s="125">
        <f t="shared" si="2"/>
        <v>157</v>
      </c>
      <c r="D165" s="122">
        <v>159</v>
      </c>
      <c r="E165" s="121" t="s">
        <v>2096</v>
      </c>
      <c r="F165" s="123" t="s">
        <v>57</v>
      </c>
      <c r="G165" s="124">
        <v>0</v>
      </c>
      <c r="H165" s="121"/>
    </row>
    <row r="166" spans="2:8">
      <c r="B166" s="23">
        <v>1</v>
      </c>
      <c r="C166" s="125">
        <f t="shared" si="2"/>
        <v>158</v>
      </c>
      <c r="D166" s="122">
        <v>160</v>
      </c>
      <c r="E166" s="121" t="s">
        <v>2097</v>
      </c>
      <c r="F166" s="123" t="s">
        <v>57</v>
      </c>
      <c r="G166" s="124">
        <v>0</v>
      </c>
      <c r="H166" s="121"/>
    </row>
    <row r="167" spans="2:8">
      <c r="B167" s="23">
        <v>1</v>
      </c>
      <c r="C167" s="125">
        <f t="shared" si="2"/>
        <v>159</v>
      </c>
      <c r="D167" s="122">
        <v>161</v>
      </c>
      <c r="E167" s="121" t="s">
        <v>2098</v>
      </c>
      <c r="F167" s="123" t="s">
        <v>57</v>
      </c>
      <c r="G167" s="124">
        <v>0</v>
      </c>
      <c r="H167" s="121"/>
    </row>
    <row r="168" spans="2:8">
      <c r="B168" s="23">
        <v>1</v>
      </c>
      <c r="C168" s="125">
        <f t="shared" si="2"/>
        <v>160</v>
      </c>
      <c r="D168" s="122">
        <v>162</v>
      </c>
      <c r="E168" s="121" t="s">
        <v>2099</v>
      </c>
      <c r="F168" s="123" t="s">
        <v>57</v>
      </c>
      <c r="G168" s="124">
        <v>0</v>
      </c>
      <c r="H168" s="121"/>
    </row>
    <row r="169" spans="2:8">
      <c r="B169" s="23">
        <v>1</v>
      </c>
      <c r="C169" s="125">
        <f t="shared" si="2"/>
        <v>161</v>
      </c>
      <c r="D169" s="122">
        <v>163</v>
      </c>
      <c r="E169" s="121" t="s">
        <v>2100</v>
      </c>
      <c r="F169" s="123" t="s">
        <v>57</v>
      </c>
      <c r="G169" s="124">
        <v>0</v>
      </c>
      <c r="H169" s="121"/>
    </row>
    <row r="170" spans="2:8">
      <c r="B170" s="23">
        <v>1</v>
      </c>
      <c r="C170" s="125">
        <f t="shared" si="2"/>
        <v>162</v>
      </c>
      <c r="D170" s="122">
        <v>164</v>
      </c>
      <c r="E170" s="121" t="s">
        <v>2101</v>
      </c>
      <c r="F170" s="123" t="s">
        <v>57</v>
      </c>
      <c r="G170" s="124">
        <v>0</v>
      </c>
      <c r="H170" s="121"/>
    </row>
    <row r="171" spans="2:8">
      <c r="B171" s="23">
        <v>1</v>
      </c>
      <c r="C171" s="125">
        <f t="shared" si="2"/>
        <v>163</v>
      </c>
      <c r="D171" s="122">
        <v>165</v>
      </c>
      <c r="E171" s="121" t="s">
        <v>2102</v>
      </c>
      <c r="F171" s="123" t="s">
        <v>57</v>
      </c>
      <c r="G171" s="124">
        <v>0</v>
      </c>
      <c r="H171" s="121"/>
    </row>
    <row r="172" spans="2:8">
      <c r="C172" s="125">
        <f t="shared" si="2"/>
        <v>164</v>
      </c>
      <c r="D172" s="122"/>
      <c r="E172" s="121" t="s">
        <v>3574</v>
      </c>
      <c r="F172" s="123" t="s">
        <v>93</v>
      </c>
      <c r="G172" s="124">
        <v>0</v>
      </c>
      <c r="H172" s="121"/>
    </row>
    <row r="173" spans="2:8">
      <c r="C173" s="125">
        <f t="shared" si="2"/>
        <v>165</v>
      </c>
      <c r="D173" s="122"/>
      <c r="E173" s="121" t="s">
        <v>3575</v>
      </c>
      <c r="F173" s="123" t="s">
        <v>93</v>
      </c>
      <c r="G173" s="124">
        <v>0</v>
      </c>
      <c r="H173" s="121"/>
    </row>
    <row r="174" spans="2:8">
      <c r="B174" s="23">
        <v>1</v>
      </c>
      <c r="C174" s="125">
        <f t="shared" si="2"/>
        <v>166</v>
      </c>
      <c r="D174" s="122">
        <v>166</v>
      </c>
      <c r="E174" s="121" t="s">
        <v>2103</v>
      </c>
      <c r="F174" s="123" t="s">
        <v>57</v>
      </c>
      <c r="G174" s="124">
        <v>0</v>
      </c>
      <c r="H174" s="121"/>
    </row>
    <row r="175" spans="2:8">
      <c r="B175" s="23">
        <v>1</v>
      </c>
      <c r="C175" s="125">
        <f t="shared" si="2"/>
        <v>167</v>
      </c>
      <c r="D175" s="122">
        <v>167</v>
      </c>
      <c r="E175" s="121" t="s">
        <v>2104</v>
      </c>
      <c r="F175" s="123" t="s">
        <v>57</v>
      </c>
      <c r="G175" s="124">
        <v>0</v>
      </c>
      <c r="H175" s="121"/>
    </row>
    <row r="176" spans="2:8">
      <c r="B176" s="23">
        <v>1</v>
      </c>
      <c r="C176" s="125">
        <f t="shared" si="2"/>
        <v>168</v>
      </c>
      <c r="D176" s="122">
        <v>168</v>
      </c>
      <c r="E176" s="121" t="s">
        <v>2105</v>
      </c>
      <c r="F176" s="123" t="s">
        <v>57</v>
      </c>
      <c r="G176" s="124">
        <v>0</v>
      </c>
      <c r="H176" s="121"/>
    </row>
    <row r="177" spans="2:8">
      <c r="B177" s="23">
        <v>1</v>
      </c>
      <c r="C177" s="125">
        <f t="shared" si="2"/>
        <v>169</v>
      </c>
      <c r="D177" s="122">
        <v>169</v>
      </c>
      <c r="E177" s="121" t="s">
        <v>2106</v>
      </c>
      <c r="F177" s="123" t="s">
        <v>57</v>
      </c>
      <c r="G177" s="124">
        <v>0</v>
      </c>
      <c r="H177" s="121"/>
    </row>
    <row r="178" spans="2:8">
      <c r="B178" s="23">
        <v>1</v>
      </c>
      <c r="C178" s="125">
        <f t="shared" si="2"/>
        <v>170</v>
      </c>
      <c r="D178" s="122">
        <v>170</v>
      </c>
      <c r="E178" s="121" t="s">
        <v>2107</v>
      </c>
      <c r="F178" s="123" t="s">
        <v>57</v>
      </c>
      <c r="G178" s="124">
        <v>0</v>
      </c>
      <c r="H178" s="121"/>
    </row>
    <row r="179" spans="2:8">
      <c r="B179" s="23">
        <v>1</v>
      </c>
      <c r="C179" s="125">
        <f t="shared" si="2"/>
        <v>171</v>
      </c>
      <c r="D179" s="122">
        <v>171</v>
      </c>
      <c r="E179" s="121" t="s">
        <v>233</v>
      </c>
      <c r="F179" s="123" t="s">
        <v>87</v>
      </c>
      <c r="G179" s="124">
        <v>0</v>
      </c>
      <c r="H179" s="121"/>
    </row>
    <row r="180" spans="2:8">
      <c r="B180" s="23">
        <v>1</v>
      </c>
      <c r="C180" s="125">
        <f t="shared" si="2"/>
        <v>172</v>
      </c>
      <c r="D180" s="122">
        <v>172</v>
      </c>
      <c r="E180" s="121" t="s">
        <v>2108</v>
      </c>
      <c r="F180" s="123" t="s">
        <v>1964</v>
      </c>
      <c r="G180" s="124">
        <v>0</v>
      </c>
      <c r="H180" s="121"/>
    </row>
    <row r="181" spans="2:8">
      <c r="B181" s="23">
        <v>1</v>
      </c>
      <c r="C181" s="125">
        <f t="shared" si="2"/>
        <v>173</v>
      </c>
      <c r="D181" s="122">
        <v>173</v>
      </c>
      <c r="E181" s="121" t="s">
        <v>2109</v>
      </c>
      <c r="F181" s="123" t="s">
        <v>1964</v>
      </c>
      <c r="G181" s="124">
        <v>0</v>
      </c>
      <c r="H181" s="121"/>
    </row>
    <row r="182" spans="2:8">
      <c r="B182" s="23">
        <v>1</v>
      </c>
      <c r="C182" s="125">
        <f t="shared" si="2"/>
        <v>174</v>
      </c>
      <c r="D182" s="122">
        <v>174</v>
      </c>
      <c r="E182" s="121" t="s">
        <v>2110</v>
      </c>
      <c r="F182" s="123" t="s">
        <v>1997</v>
      </c>
      <c r="G182" s="124">
        <v>0</v>
      </c>
      <c r="H182" s="121"/>
    </row>
    <row r="183" spans="2:8">
      <c r="B183" s="23">
        <v>1</v>
      </c>
      <c r="C183" s="125">
        <f t="shared" si="2"/>
        <v>175</v>
      </c>
      <c r="D183" s="122">
        <v>175</v>
      </c>
      <c r="E183" s="121" t="s">
        <v>2111</v>
      </c>
      <c r="F183" s="123" t="s">
        <v>57</v>
      </c>
      <c r="G183" s="124">
        <v>0</v>
      </c>
      <c r="H183" s="121"/>
    </row>
    <row r="184" spans="2:8">
      <c r="B184" s="23">
        <v>1</v>
      </c>
      <c r="C184" s="125">
        <f t="shared" si="2"/>
        <v>176</v>
      </c>
      <c r="D184" s="122">
        <v>176</v>
      </c>
      <c r="E184" s="121" t="s">
        <v>2112</v>
      </c>
      <c r="F184" s="123" t="s">
        <v>57</v>
      </c>
      <c r="G184" s="124">
        <v>0</v>
      </c>
      <c r="H184" s="121"/>
    </row>
    <row r="185" spans="2:8">
      <c r="B185" s="23">
        <v>1</v>
      </c>
      <c r="C185" s="125">
        <f t="shared" si="2"/>
        <v>177</v>
      </c>
      <c r="D185" s="122">
        <v>177</v>
      </c>
      <c r="E185" s="121" t="s">
        <v>237</v>
      </c>
      <c r="F185" s="123" t="s">
        <v>1964</v>
      </c>
      <c r="G185" s="124">
        <v>0</v>
      </c>
      <c r="H185" s="121"/>
    </row>
    <row r="186" spans="2:8">
      <c r="B186" s="23">
        <v>1</v>
      </c>
      <c r="C186" s="125">
        <f t="shared" si="2"/>
        <v>178</v>
      </c>
      <c r="D186" s="122">
        <v>178</v>
      </c>
      <c r="E186" s="121" t="s">
        <v>2113</v>
      </c>
      <c r="F186" s="123" t="s">
        <v>57</v>
      </c>
      <c r="G186" s="124">
        <v>0</v>
      </c>
      <c r="H186" s="121"/>
    </row>
    <row r="187" spans="2:8">
      <c r="B187" s="23">
        <v>1</v>
      </c>
      <c r="C187" s="125">
        <f t="shared" si="2"/>
        <v>179</v>
      </c>
      <c r="D187" s="122">
        <v>179</v>
      </c>
      <c r="E187" s="121" t="s">
        <v>228</v>
      </c>
      <c r="F187" s="123" t="s">
        <v>57</v>
      </c>
      <c r="G187" s="124">
        <v>0</v>
      </c>
      <c r="H187" s="121"/>
    </row>
    <row r="188" spans="2:8">
      <c r="B188" s="23">
        <v>1</v>
      </c>
      <c r="C188" s="125">
        <f t="shared" si="2"/>
        <v>180</v>
      </c>
      <c r="D188" s="122">
        <v>180</v>
      </c>
      <c r="E188" s="121" t="s">
        <v>2114</v>
      </c>
      <c r="F188" s="123" t="s">
        <v>1964</v>
      </c>
      <c r="G188" s="124">
        <v>0</v>
      </c>
      <c r="H188" s="121"/>
    </row>
    <row r="189" spans="2:8">
      <c r="B189" s="23">
        <v>1</v>
      </c>
      <c r="C189" s="125">
        <f t="shared" si="2"/>
        <v>181</v>
      </c>
      <c r="D189" s="122">
        <v>181</v>
      </c>
      <c r="E189" s="121" t="s">
        <v>236</v>
      </c>
      <c r="F189" s="123" t="s">
        <v>1964</v>
      </c>
      <c r="G189" s="124">
        <v>0</v>
      </c>
      <c r="H189" s="121"/>
    </row>
    <row r="190" spans="2:8">
      <c r="B190" s="23">
        <v>1</v>
      </c>
      <c r="C190" s="125">
        <f t="shared" si="2"/>
        <v>182</v>
      </c>
      <c r="D190" s="122">
        <v>182</v>
      </c>
      <c r="E190" s="121" t="s">
        <v>2115</v>
      </c>
      <c r="F190" s="123" t="s">
        <v>1970</v>
      </c>
      <c r="G190" s="124">
        <v>0</v>
      </c>
      <c r="H190" s="121"/>
    </row>
    <row r="191" spans="2:8">
      <c r="B191" s="23">
        <v>1</v>
      </c>
      <c r="C191" s="125">
        <f t="shared" si="2"/>
        <v>183</v>
      </c>
      <c r="D191" s="122">
        <v>183</v>
      </c>
      <c r="E191" s="121" t="s">
        <v>2116</v>
      </c>
      <c r="F191" s="123" t="s">
        <v>380</v>
      </c>
      <c r="G191" s="124">
        <v>0</v>
      </c>
      <c r="H191" s="121"/>
    </row>
    <row r="192" spans="2:8">
      <c r="B192" s="23">
        <v>1</v>
      </c>
      <c r="C192" s="125">
        <f t="shared" si="2"/>
        <v>184</v>
      </c>
      <c r="D192" s="122">
        <v>184</v>
      </c>
      <c r="E192" s="121" t="s">
        <v>2117</v>
      </c>
      <c r="F192" s="123" t="s">
        <v>2118</v>
      </c>
      <c r="G192" s="124">
        <v>0</v>
      </c>
      <c r="H192" s="121"/>
    </row>
    <row r="193" spans="2:10">
      <c r="B193" s="23">
        <v>1</v>
      </c>
      <c r="C193" s="125">
        <f t="shared" si="2"/>
        <v>185</v>
      </c>
      <c r="D193" s="122">
        <v>185</v>
      </c>
      <c r="E193" s="121" t="s">
        <v>2119</v>
      </c>
      <c r="F193" s="123" t="s">
        <v>2118</v>
      </c>
      <c r="G193" s="124">
        <v>0</v>
      </c>
      <c r="H193" s="121"/>
    </row>
    <row r="194" spans="2:10">
      <c r="B194" s="23">
        <v>1</v>
      </c>
      <c r="C194" s="125">
        <f t="shared" si="2"/>
        <v>186</v>
      </c>
      <c r="D194" s="122">
        <v>186</v>
      </c>
      <c r="E194" s="121" t="s">
        <v>2120</v>
      </c>
      <c r="F194" s="123" t="s">
        <v>2118</v>
      </c>
      <c r="G194" s="124">
        <v>0</v>
      </c>
      <c r="H194" s="121"/>
    </row>
    <row r="195" spans="2:10">
      <c r="B195" s="23">
        <v>1</v>
      </c>
      <c r="C195" s="125">
        <f t="shared" si="2"/>
        <v>187</v>
      </c>
      <c r="D195" s="122">
        <v>187</v>
      </c>
      <c r="E195" s="121" t="s">
        <v>2121</v>
      </c>
      <c r="F195" s="123" t="s">
        <v>2118</v>
      </c>
      <c r="G195" s="124">
        <v>0</v>
      </c>
      <c r="H195" s="121"/>
    </row>
    <row r="196" spans="2:10">
      <c r="B196" s="23">
        <v>1</v>
      </c>
      <c r="C196" s="125">
        <f t="shared" si="2"/>
        <v>188</v>
      </c>
      <c r="D196" s="122">
        <v>188</v>
      </c>
      <c r="E196" s="121" t="s">
        <v>2122</v>
      </c>
      <c r="F196" s="123" t="s">
        <v>1959</v>
      </c>
      <c r="G196" s="124">
        <v>0</v>
      </c>
      <c r="H196" s="121"/>
    </row>
    <row r="197" spans="2:10">
      <c r="B197" s="23">
        <v>1</v>
      </c>
      <c r="C197" s="125">
        <f t="shared" si="2"/>
        <v>189</v>
      </c>
      <c r="D197" s="122">
        <v>189</v>
      </c>
      <c r="E197" s="121" t="s">
        <v>2123</v>
      </c>
      <c r="F197" s="123" t="s">
        <v>1959</v>
      </c>
      <c r="G197" s="124">
        <v>0</v>
      </c>
      <c r="H197" s="121"/>
    </row>
    <row r="198" spans="2:10">
      <c r="B198" s="23">
        <v>1</v>
      </c>
      <c r="C198" s="125">
        <f t="shared" si="2"/>
        <v>190</v>
      </c>
      <c r="D198" s="122">
        <v>190</v>
      </c>
      <c r="E198" s="121" t="s">
        <v>2124</v>
      </c>
      <c r="F198" s="123" t="s">
        <v>1959</v>
      </c>
      <c r="G198" s="124">
        <v>0</v>
      </c>
      <c r="H198" s="121"/>
    </row>
    <row r="199" spans="2:10">
      <c r="B199" s="23">
        <v>1</v>
      </c>
      <c r="C199" s="125">
        <f t="shared" si="2"/>
        <v>191</v>
      </c>
      <c r="D199" s="122">
        <v>191</v>
      </c>
      <c r="E199" s="121" t="s">
        <v>2127</v>
      </c>
      <c r="F199" s="123" t="s">
        <v>1959</v>
      </c>
      <c r="G199" s="124">
        <v>0</v>
      </c>
      <c r="H199" s="121"/>
      <c r="J199" s="121"/>
    </row>
    <row r="200" spans="2:10">
      <c r="B200" s="23">
        <v>1</v>
      </c>
      <c r="C200" s="125">
        <f t="shared" si="2"/>
        <v>192</v>
      </c>
      <c r="D200" s="122">
        <v>192</v>
      </c>
      <c r="E200" s="121" t="s">
        <v>2126</v>
      </c>
      <c r="F200" s="123" t="s">
        <v>1959</v>
      </c>
      <c r="G200" s="124">
        <v>0</v>
      </c>
      <c r="H200" s="121"/>
    </row>
    <row r="201" spans="2:10">
      <c r="B201" s="23">
        <v>1</v>
      </c>
      <c r="C201" s="125">
        <f t="shared" si="2"/>
        <v>193</v>
      </c>
      <c r="D201" s="122">
        <v>193</v>
      </c>
      <c r="E201" s="121" t="s">
        <v>2125</v>
      </c>
      <c r="F201" s="123" t="s">
        <v>1959</v>
      </c>
      <c r="G201" s="124">
        <v>0</v>
      </c>
      <c r="H201" s="121"/>
    </row>
    <row r="202" spans="2:10">
      <c r="B202" s="23">
        <v>1</v>
      </c>
      <c r="C202" s="125">
        <f t="shared" si="2"/>
        <v>194</v>
      </c>
      <c r="D202" s="122">
        <v>194</v>
      </c>
      <c r="E202" s="121" t="s">
        <v>2128</v>
      </c>
      <c r="F202" s="123" t="s">
        <v>1959</v>
      </c>
      <c r="G202" s="124">
        <v>0</v>
      </c>
      <c r="H202" s="121"/>
    </row>
    <row r="203" spans="2:10">
      <c r="B203" s="23">
        <v>1</v>
      </c>
      <c r="C203" s="125">
        <f t="shared" si="2"/>
        <v>195</v>
      </c>
      <c r="D203" s="122">
        <v>195</v>
      </c>
      <c r="E203" s="121" t="s">
        <v>2129</v>
      </c>
      <c r="F203" s="123" t="s">
        <v>74</v>
      </c>
      <c r="G203" s="124">
        <v>0</v>
      </c>
      <c r="H203" s="121"/>
    </row>
    <row r="204" spans="2:10">
      <c r="B204" s="23">
        <v>1</v>
      </c>
      <c r="C204" s="125">
        <f t="shared" si="2"/>
        <v>196</v>
      </c>
      <c r="D204" s="122">
        <v>196</v>
      </c>
      <c r="E204" s="121" t="s">
        <v>2130</v>
      </c>
      <c r="F204" s="123" t="s">
        <v>74</v>
      </c>
      <c r="G204" s="124">
        <v>0</v>
      </c>
      <c r="H204" s="121"/>
    </row>
    <row r="205" spans="2:10">
      <c r="B205" s="23">
        <v>1</v>
      </c>
      <c r="C205" s="125">
        <f t="shared" ref="C205:C268" si="3">+C204+1</f>
        <v>197</v>
      </c>
      <c r="D205" s="122">
        <v>197</v>
      </c>
      <c r="E205" s="121" t="s">
        <v>2131</v>
      </c>
      <c r="F205" s="123" t="s">
        <v>74</v>
      </c>
      <c r="G205" s="124">
        <v>0</v>
      </c>
      <c r="H205" s="121"/>
    </row>
    <row r="206" spans="2:10">
      <c r="B206" s="23">
        <v>1</v>
      </c>
      <c r="C206" s="125">
        <f t="shared" si="3"/>
        <v>198</v>
      </c>
      <c r="D206" s="122">
        <v>198</v>
      </c>
      <c r="E206" s="121" t="s">
        <v>2132</v>
      </c>
      <c r="F206" s="123" t="s">
        <v>1970</v>
      </c>
      <c r="G206" s="124">
        <v>0</v>
      </c>
      <c r="H206" s="121"/>
    </row>
    <row r="207" spans="2:10">
      <c r="B207" s="23">
        <v>1</v>
      </c>
      <c r="C207" s="125">
        <f t="shared" si="3"/>
        <v>199</v>
      </c>
      <c r="D207" s="122">
        <v>199</v>
      </c>
      <c r="E207" s="121" t="s">
        <v>2133</v>
      </c>
      <c r="F207" s="123" t="s">
        <v>1970</v>
      </c>
      <c r="G207" s="124">
        <v>0</v>
      </c>
      <c r="H207" s="121"/>
    </row>
    <row r="208" spans="2:10">
      <c r="B208" s="23">
        <v>1</v>
      </c>
      <c r="C208" s="125">
        <f t="shared" si="3"/>
        <v>200</v>
      </c>
      <c r="D208" s="122">
        <v>200</v>
      </c>
      <c r="E208" s="121" t="s">
        <v>2134</v>
      </c>
      <c r="F208" s="123" t="s">
        <v>1970</v>
      </c>
      <c r="G208" s="124">
        <v>0</v>
      </c>
      <c r="H208" s="121"/>
    </row>
    <row r="209" spans="2:8">
      <c r="B209" s="23">
        <v>1</v>
      </c>
      <c r="C209" s="125">
        <f t="shared" si="3"/>
        <v>201</v>
      </c>
      <c r="D209" s="122">
        <v>201</v>
      </c>
      <c r="E209" s="121" t="s">
        <v>2135</v>
      </c>
      <c r="F209" s="123" t="s">
        <v>156</v>
      </c>
      <c r="G209" s="124">
        <v>0</v>
      </c>
      <c r="H209" s="121"/>
    </row>
    <row r="210" spans="2:8">
      <c r="B210" s="23">
        <v>1</v>
      </c>
      <c r="C210" s="125">
        <f t="shared" si="3"/>
        <v>202</v>
      </c>
      <c r="D210" s="122">
        <v>202</v>
      </c>
      <c r="E210" s="121" t="s">
        <v>2136</v>
      </c>
      <c r="F210" s="123" t="s">
        <v>87</v>
      </c>
      <c r="G210" s="124">
        <v>0</v>
      </c>
      <c r="H210" s="121"/>
    </row>
    <row r="211" spans="2:8">
      <c r="B211" s="23">
        <v>1</v>
      </c>
      <c r="C211" s="125">
        <f t="shared" si="3"/>
        <v>203</v>
      </c>
      <c r="D211" s="122">
        <v>203</v>
      </c>
      <c r="E211" s="121" t="s">
        <v>2137</v>
      </c>
      <c r="F211" s="123" t="s">
        <v>87</v>
      </c>
      <c r="G211" s="124">
        <v>0</v>
      </c>
      <c r="H211" s="121"/>
    </row>
    <row r="212" spans="2:8">
      <c r="B212" s="23">
        <v>1</v>
      </c>
      <c r="C212" s="125">
        <f t="shared" si="3"/>
        <v>204</v>
      </c>
      <c r="D212" s="122">
        <v>204</v>
      </c>
      <c r="E212" s="121" t="s">
        <v>2138</v>
      </c>
      <c r="F212" s="123" t="s">
        <v>1970</v>
      </c>
      <c r="G212" s="124">
        <v>0</v>
      </c>
      <c r="H212" s="121"/>
    </row>
    <row r="213" spans="2:8">
      <c r="B213" s="23">
        <v>1</v>
      </c>
      <c r="C213" s="125">
        <f t="shared" si="3"/>
        <v>205</v>
      </c>
      <c r="D213" s="122">
        <v>205</v>
      </c>
      <c r="E213" s="121" t="s">
        <v>2139</v>
      </c>
      <c r="F213" s="123" t="s">
        <v>1997</v>
      </c>
      <c r="G213" s="124">
        <v>0</v>
      </c>
      <c r="H213" s="121"/>
    </row>
    <row r="214" spans="2:8">
      <c r="B214" s="23">
        <v>1</v>
      </c>
      <c r="C214" s="125">
        <f t="shared" si="3"/>
        <v>206</v>
      </c>
      <c r="D214" s="122">
        <v>206</v>
      </c>
      <c r="E214" s="121" t="s">
        <v>2140</v>
      </c>
      <c r="F214" s="123" t="s">
        <v>1997</v>
      </c>
      <c r="G214" s="124">
        <v>0</v>
      </c>
      <c r="H214" s="121"/>
    </row>
    <row r="215" spans="2:8">
      <c r="B215" s="23">
        <v>1</v>
      </c>
      <c r="C215" s="125">
        <f t="shared" si="3"/>
        <v>207</v>
      </c>
      <c r="D215" s="122">
        <v>207</v>
      </c>
      <c r="E215" s="121" t="s">
        <v>2141</v>
      </c>
      <c r="F215" s="123" t="s">
        <v>87</v>
      </c>
      <c r="G215" s="124">
        <v>0</v>
      </c>
      <c r="H215" s="121"/>
    </row>
    <row r="216" spans="2:8">
      <c r="B216" s="23">
        <v>1</v>
      </c>
      <c r="C216" s="125">
        <f t="shared" si="3"/>
        <v>208</v>
      </c>
      <c r="D216" s="122">
        <v>208</v>
      </c>
      <c r="E216" s="121" t="s">
        <v>2142</v>
      </c>
      <c r="F216" s="123" t="s">
        <v>93</v>
      </c>
      <c r="G216" s="124">
        <v>0</v>
      </c>
      <c r="H216" s="121"/>
    </row>
    <row r="217" spans="2:8">
      <c r="B217" s="23">
        <v>1</v>
      </c>
      <c r="C217" s="125">
        <f t="shared" si="3"/>
        <v>209</v>
      </c>
      <c r="D217" s="122">
        <v>209</v>
      </c>
      <c r="E217" s="121" t="s">
        <v>2143</v>
      </c>
      <c r="F217" s="123" t="s">
        <v>74</v>
      </c>
      <c r="G217" s="124">
        <v>0</v>
      </c>
      <c r="H217" s="121"/>
    </row>
    <row r="218" spans="2:8">
      <c r="B218" s="23">
        <v>1</v>
      </c>
      <c r="C218" s="125">
        <f t="shared" si="3"/>
        <v>210</v>
      </c>
      <c r="D218" s="122">
        <v>210</v>
      </c>
      <c r="E218" s="121" t="s">
        <v>2144</v>
      </c>
      <c r="F218" s="123" t="s">
        <v>87</v>
      </c>
      <c r="G218" s="124">
        <v>0</v>
      </c>
      <c r="H218" s="121"/>
    </row>
    <row r="219" spans="2:8">
      <c r="B219" s="23">
        <v>1</v>
      </c>
      <c r="C219" s="125">
        <f t="shared" si="3"/>
        <v>211</v>
      </c>
      <c r="D219" s="122">
        <v>211</v>
      </c>
      <c r="E219" s="121" t="s">
        <v>2145</v>
      </c>
      <c r="F219" s="123" t="s">
        <v>87</v>
      </c>
      <c r="G219" s="124">
        <v>0</v>
      </c>
      <c r="H219" s="121"/>
    </row>
    <row r="220" spans="2:8">
      <c r="B220" s="23">
        <v>1</v>
      </c>
      <c r="C220" s="125">
        <f t="shared" si="3"/>
        <v>212</v>
      </c>
      <c r="D220" s="122">
        <v>212</v>
      </c>
      <c r="E220" s="121" t="s">
        <v>2146</v>
      </c>
      <c r="F220" s="123" t="s">
        <v>87</v>
      </c>
      <c r="G220" s="124">
        <v>0</v>
      </c>
      <c r="H220" s="121"/>
    </row>
    <row r="221" spans="2:8">
      <c r="B221" s="23">
        <v>1</v>
      </c>
      <c r="C221" s="125">
        <f t="shared" si="3"/>
        <v>213</v>
      </c>
      <c r="D221" s="122">
        <v>213</v>
      </c>
      <c r="E221" s="121" t="s">
        <v>2147</v>
      </c>
      <c r="F221" s="123" t="s">
        <v>74</v>
      </c>
      <c r="G221" s="124">
        <v>0</v>
      </c>
      <c r="H221" s="121"/>
    </row>
    <row r="222" spans="2:8">
      <c r="B222" s="23">
        <v>1</v>
      </c>
      <c r="C222" s="125">
        <f t="shared" si="3"/>
        <v>214</v>
      </c>
      <c r="D222" s="122">
        <v>214</v>
      </c>
      <c r="E222" s="121" t="s">
        <v>2148</v>
      </c>
      <c r="F222" s="123" t="s">
        <v>74</v>
      </c>
      <c r="G222" s="124">
        <v>0</v>
      </c>
      <c r="H222" s="121"/>
    </row>
    <row r="223" spans="2:8">
      <c r="B223" s="23">
        <v>1</v>
      </c>
      <c r="C223" s="125">
        <f t="shared" si="3"/>
        <v>215</v>
      </c>
      <c r="D223" s="122">
        <v>215</v>
      </c>
      <c r="E223" s="121" t="s">
        <v>2149</v>
      </c>
      <c r="F223" s="123" t="s">
        <v>87</v>
      </c>
      <c r="G223" s="124">
        <v>0</v>
      </c>
      <c r="H223" s="121"/>
    </row>
    <row r="224" spans="2:8">
      <c r="B224" s="23">
        <v>1</v>
      </c>
      <c r="C224" s="125">
        <f t="shared" si="3"/>
        <v>216</v>
      </c>
      <c r="D224" s="122">
        <v>216</v>
      </c>
      <c r="E224" s="121" t="s">
        <v>2150</v>
      </c>
      <c r="F224" s="123" t="s">
        <v>87</v>
      </c>
      <c r="G224" s="124">
        <v>0</v>
      </c>
      <c r="H224" s="121"/>
    </row>
    <row r="225" spans="2:8">
      <c r="B225" s="23">
        <v>1</v>
      </c>
      <c r="C225" s="125">
        <f t="shared" si="3"/>
        <v>217</v>
      </c>
      <c r="D225" s="122">
        <v>217</v>
      </c>
      <c r="E225" s="121" t="s">
        <v>2151</v>
      </c>
      <c r="F225" s="123" t="s">
        <v>87</v>
      </c>
      <c r="G225" s="124">
        <v>0</v>
      </c>
      <c r="H225" s="121"/>
    </row>
    <row r="226" spans="2:8">
      <c r="B226" s="23">
        <v>1</v>
      </c>
      <c r="C226" s="125">
        <f t="shared" si="3"/>
        <v>218</v>
      </c>
      <c r="D226" s="122">
        <v>218</v>
      </c>
      <c r="E226" s="121" t="s">
        <v>2152</v>
      </c>
      <c r="F226" s="123" t="s">
        <v>2153</v>
      </c>
      <c r="G226" s="124">
        <v>0</v>
      </c>
      <c r="H226" s="121"/>
    </row>
    <row r="227" spans="2:8">
      <c r="B227" s="23">
        <v>1</v>
      </c>
      <c r="C227" s="125">
        <f t="shared" si="3"/>
        <v>219</v>
      </c>
      <c r="D227" s="122">
        <v>219</v>
      </c>
      <c r="E227" s="121" t="s">
        <v>2154</v>
      </c>
      <c r="F227" s="123" t="s">
        <v>74</v>
      </c>
      <c r="G227" s="124">
        <v>0</v>
      </c>
      <c r="H227" s="121"/>
    </row>
    <row r="228" spans="2:8">
      <c r="B228" s="23">
        <v>1</v>
      </c>
      <c r="C228" s="125">
        <f t="shared" si="3"/>
        <v>220</v>
      </c>
      <c r="D228" s="122">
        <v>220</v>
      </c>
      <c r="E228" s="121" t="s">
        <v>192</v>
      </c>
      <c r="F228" s="123" t="s">
        <v>87</v>
      </c>
      <c r="G228" s="124">
        <v>0</v>
      </c>
      <c r="H228" s="121"/>
    </row>
    <row r="229" spans="2:8">
      <c r="B229" s="23">
        <v>1</v>
      </c>
      <c r="C229" s="125">
        <f t="shared" si="3"/>
        <v>221</v>
      </c>
      <c r="D229" s="122">
        <v>221</v>
      </c>
      <c r="E229" s="121" t="s">
        <v>2155</v>
      </c>
      <c r="F229" s="123" t="s">
        <v>87</v>
      </c>
      <c r="G229" s="124">
        <v>0</v>
      </c>
      <c r="H229" s="121"/>
    </row>
    <row r="230" spans="2:8">
      <c r="B230" s="23">
        <v>1</v>
      </c>
      <c r="C230" s="125">
        <f t="shared" si="3"/>
        <v>222</v>
      </c>
      <c r="D230" s="122">
        <v>222</v>
      </c>
      <c r="E230" s="121" t="s">
        <v>2156</v>
      </c>
      <c r="F230" s="123" t="s">
        <v>87</v>
      </c>
      <c r="G230" s="124">
        <v>0</v>
      </c>
      <c r="H230" s="121"/>
    </row>
    <row r="231" spans="2:8">
      <c r="B231" s="23">
        <v>1</v>
      </c>
      <c r="C231" s="125">
        <f t="shared" si="3"/>
        <v>223</v>
      </c>
      <c r="D231" s="122">
        <v>223</v>
      </c>
      <c r="E231" s="121" t="s">
        <v>2157</v>
      </c>
      <c r="F231" s="123" t="s">
        <v>1970</v>
      </c>
      <c r="G231" s="124">
        <v>0</v>
      </c>
      <c r="H231" s="121"/>
    </row>
    <row r="232" spans="2:8">
      <c r="B232" s="23">
        <v>1</v>
      </c>
      <c r="C232" s="125">
        <f t="shared" si="3"/>
        <v>224</v>
      </c>
      <c r="D232" s="122">
        <v>224</v>
      </c>
      <c r="E232" s="121" t="s">
        <v>2158</v>
      </c>
      <c r="F232" s="123" t="s">
        <v>74</v>
      </c>
      <c r="G232" s="124">
        <v>0</v>
      </c>
      <c r="H232" s="121"/>
    </row>
    <row r="233" spans="2:8">
      <c r="B233" s="23">
        <v>1</v>
      </c>
      <c r="C233" s="125">
        <f t="shared" si="3"/>
        <v>225</v>
      </c>
      <c r="D233" s="122">
        <v>225</v>
      </c>
      <c r="E233" s="121" t="s">
        <v>2159</v>
      </c>
      <c r="F233" s="123" t="s">
        <v>74</v>
      </c>
      <c r="G233" s="124">
        <v>0</v>
      </c>
      <c r="H233" s="121"/>
    </row>
    <row r="234" spans="2:8">
      <c r="B234" s="23">
        <v>1</v>
      </c>
      <c r="C234" s="125">
        <f t="shared" si="3"/>
        <v>226</v>
      </c>
      <c r="D234" s="122">
        <v>226</v>
      </c>
      <c r="E234" s="121" t="s">
        <v>2160</v>
      </c>
      <c r="F234" s="123" t="s">
        <v>74</v>
      </c>
      <c r="G234" s="124">
        <v>0</v>
      </c>
      <c r="H234" s="121"/>
    </row>
    <row r="235" spans="2:8">
      <c r="B235" s="23">
        <v>1</v>
      </c>
      <c r="C235" s="125">
        <f t="shared" si="3"/>
        <v>227</v>
      </c>
      <c r="D235" s="122">
        <v>227</v>
      </c>
      <c r="E235" s="121" t="s">
        <v>2161</v>
      </c>
      <c r="F235" s="123" t="s">
        <v>74</v>
      </c>
      <c r="G235" s="124">
        <v>0</v>
      </c>
      <c r="H235" s="121"/>
    </row>
    <row r="236" spans="2:8">
      <c r="B236" s="23">
        <v>1</v>
      </c>
      <c r="C236" s="125">
        <f t="shared" si="3"/>
        <v>228</v>
      </c>
      <c r="D236" s="122">
        <v>228</v>
      </c>
      <c r="E236" s="121" t="s">
        <v>2162</v>
      </c>
      <c r="F236" s="123" t="s">
        <v>74</v>
      </c>
      <c r="G236" s="124">
        <v>0</v>
      </c>
      <c r="H236" s="121"/>
    </row>
    <row r="237" spans="2:8">
      <c r="B237" s="23">
        <v>1</v>
      </c>
      <c r="C237" s="125">
        <f t="shared" si="3"/>
        <v>229</v>
      </c>
      <c r="D237" s="122">
        <v>229</v>
      </c>
      <c r="E237" s="121" t="s">
        <v>2163</v>
      </c>
      <c r="F237" s="123" t="s">
        <v>74</v>
      </c>
      <c r="G237" s="124">
        <v>0</v>
      </c>
      <c r="H237" s="121"/>
    </row>
    <row r="238" spans="2:8">
      <c r="B238" s="23">
        <v>1</v>
      </c>
      <c r="C238" s="125">
        <f t="shared" si="3"/>
        <v>230</v>
      </c>
      <c r="D238" s="122">
        <v>230</v>
      </c>
      <c r="E238" s="121" t="s">
        <v>2164</v>
      </c>
      <c r="F238" s="123" t="s">
        <v>74</v>
      </c>
      <c r="G238" s="124">
        <v>0</v>
      </c>
      <c r="H238" s="121"/>
    </row>
    <row r="239" spans="2:8">
      <c r="B239" s="23">
        <v>1</v>
      </c>
      <c r="C239" s="125">
        <f t="shared" si="3"/>
        <v>231</v>
      </c>
      <c r="D239" s="122">
        <v>231</v>
      </c>
      <c r="E239" s="121" t="s">
        <v>2165</v>
      </c>
      <c r="F239" s="123" t="s">
        <v>74</v>
      </c>
      <c r="G239" s="124">
        <v>0</v>
      </c>
      <c r="H239" s="121"/>
    </row>
    <row r="240" spans="2:8">
      <c r="B240" s="23">
        <v>1</v>
      </c>
      <c r="C240" s="125">
        <f t="shared" si="3"/>
        <v>232</v>
      </c>
      <c r="D240" s="122">
        <v>232</v>
      </c>
      <c r="E240" s="121" t="s">
        <v>2166</v>
      </c>
      <c r="F240" s="123" t="s">
        <v>74</v>
      </c>
      <c r="G240" s="124">
        <v>0</v>
      </c>
      <c r="H240" s="121"/>
    </row>
    <row r="241" spans="2:14">
      <c r="B241" s="23">
        <v>1</v>
      </c>
      <c r="C241" s="125">
        <f t="shared" si="3"/>
        <v>233</v>
      </c>
      <c r="D241" s="122">
        <v>233</v>
      </c>
      <c r="E241" s="121" t="s">
        <v>2167</v>
      </c>
      <c r="F241" s="123" t="s">
        <v>74</v>
      </c>
      <c r="G241" s="124">
        <v>0</v>
      </c>
      <c r="H241" s="121"/>
    </row>
    <row r="242" spans="2:14">
      <c r="B242" s="23">
        <v>1</v>
      </c>
      <c r="C242" s="125">
        <f t="shared" si="3"/>
        <v>234</v>
      </c>
      <c r="D242" s="122">
        <v>234</v>
      </c>
      <c r="E242" s="121" t="s">
        <v>2168</v>
      </c>
      <c r="F242" s="123" t="s">
        <v>74</v>
      </c>
      <c r="G242" s="124">
        <v>0</v>
      </c>
      <c r="H242" s="121"/>
    </row>
    <row r="243" spans="2:14">
      <c r="B243" s="23">
        <v>1</v>
      </c>
      <c r="C243" s="125">
        <f t="shared" si="3"/>
        <v>235</v>
      </c>
      <c r="D243" s="122">
        <v>235</v>
      </c>
      <c r="E243" s="121" t="s">
        <v>2169</v>
      </c>
      <c r="F243" s="123" t="s">
        <v>74</v>
      </c>
      <c r="G243" s="124">
        <v>0</v>
      </c>
      <c r="H243" s="121"/>
    </row>
    <row r="244" spans="2:14">
      <c r="B244" s="23">
        <v>1</v>
      </c>
      <c r="C244" s="125">
        <f t="shared" si="3"/>
        <v>236</v>
      </c>
      <c r="D244" s="122">
        <v>236</v>
      </c>
      <c r="E244" s="121" t="s">
        <v>2170</v>
      </c>
      <c r="F244" s="123" t="s">
        <v>74</v>
      </c>
      <c r="G244" s="124">
        <v>0</v>
      </c>
      <c r="H244" s="121"/>
    </row>
    <row r="245" spans="2:14">
      <c r="B245" s="23">
        <v>1</v>
      </c>
      <c r="C245" s="125">
        <f t="shared" si="3"/>
        <v>237</v>
      </c>
      <c r="D245" s="122">
        <v>237</v>
      </c>
      <c r="E245" s="121" t="s">
        <v>2171</v>
      </c>
      <c r="F245" s="123" t="s">
        <v>87</v>
      </c>
      <c r="G245" s="124">
        <v>0</v>
      </c>
      <c r="H245" s="121"/>
    </row>
    <row r="246" spans="2:14">
      <c r="B246" s="23">
        <v>1</v>
      </c>
      <c r="C246" s="125">
        <f t="shared" si="3"/>
        <v>238</v>
      </c>
      <c r="D246" s="122">
        <v>238</v>
      </c>
      <c r="E246" s="121" t="s">
        <v>2172</v>
      </c>
      <c r="F246" s="123" t="s">
        <v>376</v>
      </c>
      <c r="G246" s="124">
        <v>0</v>
      </c>
      <c r="H246" s="121"/>
    </row>
    <row r="247" spans="2:14">
      <c r="B247" s="23">
        <v>1</v>
      </c>
      <c r="C247" s="125">
        <f t="shared" si="3"/>
        <v>239</v>
      </c>
      <c r="D247" s="122">
        <v>239</v>
      </c>
      <c r="E247" s="121" t="s">
        <v>2173</v>
      </c>
      <c r="F247" s="123" t="s">
        <v>87</v>
      </c>
      <c r="G247" s="124">
        <v>0</v>
      </c>
      <c r="H247" s="121"/>
    </row>
    <row r="248" spans="2:14">
      <c r="B248" s="23">
        <v>1</v>
      </c>
      <c r="C248" s="125">
        <f t="shared" si="3"/>
        <v>240</v>
      </c>
      <c r="D248" s="122">
        <v>240</v>
      </c>
      <c r="E248" s="121" t="s">
        <v>2174</v>
      </c>
      <c r="F248" s="123" t="s">
        <v>87</v>
      </c>
      <c r="G248" s="124">
        <v>0</v>
      </c>
      <c r="H248" s="121"/>
    </row>
    <row r="249" spans="2:14">
      <c r="B249" s="23">
        <v>1</v>
      </c>
      <c r="C249" s="125">
        <f t="shared" si="3"/>
        <v>241</v>
      </c>
      <c r="D249" s="122">
        <v>241</v>
      </c>
      <c r="E249" s="121" t="s">
        <v>2175</v>
      </c>
      <c r="F249" s="123" t="s">
        <v>87</v>
      </c>
      <c r="G249" s="124">
        <v>0</v>
      </c>
      <c r="H249" s="121"/>
    </row>
    <row r="250" spans="2:14">
      <c r="B250" s="23">
        <v>1</v>
      </c>
      <c r="C250" s="125">
        <f t="shared" si="3"/>
        <v>242</v>
      </c>
      <c r="D250" s="122">
        <v>242</v>
      </c>
      <c r="E250" s="121" t="s">
        <v>2176</v>
      </c>
      <c r="F250" s="123" t="s">
        <v>87</v>
      </c>
      <c r="G250" s="124">
        <v>0</v>
      </c>
      <c r="H250" s="121"/>
    </row>
    <row r="251" spans="2:14">
      <c r="B251" s="23">
        <v>1</v>
      </c>
      <c r="C251" s="125">
        <f t="shared" si="3"/>
        <v>243</v>
      </c>
      <c r="D251" s="122">
        <v>243</v>
      </c>
      <c r="E251" s="121" t="s">
        <v>2177</v>
      </c>
      <c r="F251" s="123" t="s">
        <v>87</v>
      </c>
      <c r="G251" s="124">
        <v>0</v>
      </c>
      <c r="H251" s="121"/>
    </row>
    <row r="252" spans="2:14">
      <c r="B252" s="23">
        <v>1</v>
      </c>
      <c r="C252" s="125">
        <f t="shared" si="3"/>
        <v>244</v>
      </c>
      <c r="D252" s="122">
        <v>244</v>
      </c>
      <c r="E252" s="121" t="s">
        <v>2178</v>
      </c>
      <c r="F252" s="123" t="s">
        <v>87</v>
      </c>
      <c r="G252" s="124">
        <v>0</v>
      </c>
      <c r="H252" s="121"/>
      <c r="N252" s="23">
        <f>0.6*0.6</f>
        <v>0.36</v>
      </c>
    </row>
    <row r="253" spans="2:14">
      <c r="B253" s="23">
        <v>1</v>
      </c>
      <c r="C253" s="125">
        <f t="shared" si="3"/>
        <v>245</v>
      </c>
      <c r="D253" s="122">
        <v>245</v>
      </c>
      <c r="E253" s="121" t="s">
        <v>2179</v>
      </c>
      <c r="F253" s="123" t="s">
        <v>87</v>
      </c>
      <c r="G253" s="124">
        <v>0</v>
      </c>
      <c r="H253" s="121"/>
      <c r="N253" s="23">
        <f>1/N252</f>
        <v>2.7777777777777777</v>
      </c>
    </row>
    <row r="254" spans="2:14">
      <c r="B254" s="23">
        <v>1</v>
      </c>
      <c r="C254" s="125">
        <f t="shared" si="3"/>
        <v>246</v>
      </c>
      <c r="D254" s="122">
        <v>246</v>
      </c>
      <c r="E254" s="121" t="s">
        <v>2180</v>
      </c>
      <c r="F254" s="123" t="s">
        <v>87</v>
      </c>
      <c r="G254" s="124">
        <v>0</v>
      </c>
      <c r="H254" s="121"/>
    </row>
    <row r="255" spans="2:14">
      <c r="B255" s="23">
        <v>1</v>
      </c>
      <c r="C255" s="125">
        <f t="shared" si="3"/>
        <v>247</v>
      </c>
      <c r="D255" s="122">
        <v>247</v>
      </c>
      <c r="E255" s="121" t="s">
        <v>2181</v>
      </c>
      <c r="F255" s="123" t="s">
        <v>87</v>
      </c>
      <c r="G255" s="124">
        <v>0</v>
      </c>
      <c r="H255" s="121"/>
    </row>
    <row r="256" spans="2:14">
      <c r="B256" s="23">
        <v>1</v>
      </c>
      <c r="C256" s="125">
        <f t="shared" si="3"/>
        <v>248</v>
      </c>
      <c r="D256" s="122">
        <v>248</v>
      </c>
      <c r="E256" s="121" t="s">
        <v>2182</v>
      </c>
      <c r="F256" s="123" t="s">
        <v>87</v>
      </c>
      <c r="G256" s="124">
        <v>0</v>
      </c>
      <c r="H256" s="121"/>
    </row>
    <row r="257" spans="2:8">
      <c r="B257" s="23">
        <v>1</v>
      </c>
      <c r="C257" s="125">
        <f t="shared" si="3"/>
        <v>249</v>
      </c>
      <c r="D257" s="122">
        <v>249</v>
      </c>
      <c r="E257" s="121" t="s">
        <v>2183</v>
      </c>
      <c r="F257" s="123" t="s">
        <v>87</v>
      </c>
      <c r="G257" s="124">
        <v>0</v>
      </c>
      <c r="H257" s="121"/>
    </row>
    <row r="258" spans="2:8">
      <c r="B258" s="23">
        <v>1</v>
      </c>
      <c r="C258" s="125">
        <f t="shared" si="3"/>
        <v>250</v>
      </c>
      <c r="D258" s="122">
        <v>250</v>
      </c>
      <c r="E258" s="121" t="s">
        <v>2184</v>
      </c>
      <c r="F258" s="123" t="s">
        <v>87</v>
      </c>
      <c r="G258" s="124">
        <v>0</v>
      </c>
      <c r="H258" s="121"/>
    </row>
    <row r="259" spans="2:8">
      <c r="B259" s="23">
        <v>1</v>
      </c>
      <c r="C259" s="125">
        <f t="shared" si="3"/>
        <v>251</v>
      </c>
      <c r="D259" s="122">
        <v>251</v>
      </c>
      <c r="E259" s="121" t="s">
        <v>2185</v>
      </c>
      <c r="F259" s="123" t="s">
        <v>87</v>
      </c>
      <c r="G259" s="124">
        <v>0</v>
      </c>
      <c r="H259" s="121"/>
    </row>
    <row r="260" spans="2:8">
      <c r="B260" s="23">
        <v>1</v>
      </c>
      <c r="C260" s="125">
        <f t="shared" si="3"/>
        <v>252</v>
      </c>
      <c r="D260" s="122">
        <v>252</v>
      </c>
      <c r="E260" s="121" t="s">
        <v>2186</v>
      </c>
      <c r="F260" s="123" t="s">
        <v>87</v>
      </c>
      <c r="G260" s="124">
        <v>0</v>
      </c>
      <c r="H260" s="121"/>
    </row>
    <row r="261" spans="2:8">
      <c r="B261" s="23">
        <v>1</v>
      </c>
      <c r="C261" s="125">
        <f t="shared" si="3"/>
        <v>253</v>
      </c>
      <c r="D261" s="122">
        <v>253</v>
      </c>
      <c r="E261" s="121" t="s">
        <v>2187</v>
      </c>
      <c r="F261" s="123" t="s">
        <v>87</v>
      </c>
      <c r="G261" s="124">
        <v>0</v>
      </c>
      <c r="H261" s="121"/>
    </row>
    <row r="262" spans="2:8">
      <c r="B262" s="23">
        <v>1</v>
      </c>
      <c r="C262" s="125">
        <f t="shared" si="3"/>
        <v>254</v>
      </c>
      <c r="D262" s="122">
        <v>254</v>
      </c>
      <c r="E262" s="121" t="s">
        <v>2188</v>
      </c>
      <c r="F262" s="123" t="s">
        <v>87</v>
      </c>
      <c r="G262" s="124">
        <v>0</v>
      </c>
      <c r="H262" s="121"/>
    </row>
    <row r="263" spans="2:8">
      <c r="B263" s="23">
        <v>1</v>
      </c>
      <c r="C263" s="125">
        <f t="shared" si="3"/>
        <v>255</v>
      </c>
      <c r="D263" s="122">
        <v>255</v>
      </c>
      <c r="E263" s="121" t="s">
        <v>2189</v>
      </c>
      <c r="F263" s="123" t="s">
        <v>87</v>
      </c>
      <c r="G263" s="124">
        <v>0</v>
      </c>
      <c r="H263" s="121"/>
    </row>
    <row r="264" spans="2:8">
      <c r="B264" s="23">
        <v>1</v>
      </c>
      <c r="C264" s="125">
        <f t="shared" si="3"/>
        <v>256</v>
      </c>
      <c r="D264" s="122">
        <v>256</v>
      </c>
      <c r="E264" s="121" t="s">
        <v>2190</v>
      </c>
      <c r="F264" s="123" t="s">
        <v>87</v>
      </c>
      <c r="G264" s="124">
        <v>0</v>
      </c>
      <c r="H264" s="121"/>
    </row>
    <row r="265" spans="2:8">
      <c r="B265" s="23">
        <v>1</v>
      </c>
      <c r="C265" s="125">
        <f t="shared" si="3"/>
        <v>257</v>
      </c>
      <c r="D265" s="122">
        <v>257</v>
      </c>
      <c r="E265" s="121" t="s">
        <v>2191</v>
      </c>
      <c r="F265" s="123" t="s">
        <v>87</v>
      </c>
      <c r="G265" s="124">
        <v>0</v>
      </c>
      <c r="H265" s="121"/>
    </row>
    <row r="266" spans="2:8">
      <c r="B266" s="23">
        <v>1</v>
      </c>
      <c r="C266" s="125">
        <f t="shared" si="3"/>
        <v>258</v>
      </c>
      <c r="D266" s="122">
        <v>258</v>
      </c>
      <c r="E266" s="121" t="s">
        <v>2192</v>
      </c>
      <c r="F266" s="123" t="s">
        <v>87</v>
      </c>
      <c r="G266" s="124">
        <v>0</v>
      </c>
      <c r="H266" s="121"/>
    </row>
    <row r="267" spans="2:8">
      <c r="B267" s="23">
        <v>1</v>
      </c>
      <c r="C267" s="125">
        <f t="shared" si="3"/>
        <v>259</v>
      </c>
      <c r="D267" s="122">
        <v>259</v>
      </c>
      <c r="E267" s="121" t="s">
        <v>2193</v>
      </c>
      <c r="F267" s="123" t="s">
        <v>87</v>
      </c>
      <c r="G267" s="124">
        <v>0</v>
      </c>
      <c r="H267" s="121"/>
    </row>
    <row r="268" spans="2:8">
      <c r="B268" s="23">
        <v>1</v>
      </c>
      <c r="C268" s="125">
        <f t="shared" si="3"/>
        <v>260</v>
      </c>
      <c r="D268" s="122">
        <v>260</v>
      </c>
      <c r="E268" s="121" t="s">
        <v>2194</v>
      </c>
      <c r="F268" s="123" t="s">
        <v>87</v>
      </c>
      <c r="G268" s="124">
        <v>0</v>
      </c>
      <c r="H268" s="121"/>
    </row>
    <row r="269" spans="2:8">
      <c r="B269" s="23">
        <v>1</v>
      </c>
      <c r="C269" s="125">
        <f t="shared" ref="C269:C334" si="4">+C268+1</f>
        <v>261</v>
      </c>
      <c r="D269" s="122">
        <v>261</v>
      </c>
      <c r="E269" s="121" t="s">
        <v>2195</v>
      </c>
      <c r="F269" s="123" t="s">
        <v>87</v>
      </c>
      <c r="G269" s="124">
        <v>0</v>
      </c>
      <c r="H269" s="121"/>
    </row>
    <row r="270" spans="2:8">
      <c r="B270" s="23">
        <v>1</v>
      </c>
      <c r="C270" s="125">
        <f t="shared" si="4"/>
        <v>262</v>
      </c>
      <c r="D270" s="122">
        <v>262</v>
      </c>
      <c r="E270" s="121" t="s">
        <v>2196</v>
      </c>
      <c r="F270" s="123" t="s">
        <v>87</v>
      </c>
      <c r="G270" s="124">
        <v>0</v>
      </c>
      <c r="H270" s="121"/>
    </row>
    <row r="271" spans="2:8">
      <c r="B271" s="23">
        <v>1</v>
      </c>
      <c r="C271" s="125">
        <f t="shared" si="4"/>
        <v>263</v>
      </c>
      <c r="D271" s="122">
        <v>263</v>
      </c>
      <c r="E271" s="121" t="s">
        <v>2197</v>
      </c>
      <c r="F271" s="123" t="s">
        <v>87</v>
      </c>
      <c r="G271" s="124">
        <v>0</v>
      </c>
      <c r="H271" s="121"/>
    </row>
    <row r="272" spans="2:8">
      <c r="B272" s="23">
        <v>1</v>
      </c>
      <c r="C272" s="125">
        <f t="shared" si="4"/>
        <v>264</v>
      </c>
      <c r="D272" s="122">
        <v>264</v>
      </c>
      <c r="E272" s="121" t="s">
        <v>2198</v>
      </c>
      <c r="F272" s="123" t="s">
        <v>87</v>
      </c>
      <c r="G272" s="124">
        <v>0</v>
      </c>
      <c r="H272" s="121"/>
    </row>
    <row r="273" spans="2:8">
      <c r="B273" s="23">
        <v>1</v>
      </c>
      <c r="C273" s="125">
        <f t="shared" si="4"/>
        <v>265</v>
      </c>
      <c r="D273" s="122">
        <v>265</v>
      </c>
      <c r="E273" s="121" t="s">
        <v>2199</v>
      </c>
      <c r="F273" s="123" t="s">
        <v>87</v>
      </c>
      <c r="G273" s="124">
        <v>0</v>
      </c>
      <c r="H273" s="121"/>
    </row>
    <row r="274" spans="2:8">
      <c r="B274" s="23">
        <v>1</v>
      </c>
      <c r="C274" s="125">
        <f t="shared" si="4"/>
        <v>266</v>
      </c>
      <c r="D274" s="122">
        <v>266</v>
      </c>
      <c r="E274" s="121" t="s">
        <v>2200</v>
      </c>
      <c r="F274" s="123" t="s">
        <v>87</v>
      </c>
      <c r="G274" s="124">
        <v>0</v>
      </c>
      <c r="H274" s="121"/>
    </row>
    <row r="275" spans="2:8">
      <c r="B275" s="23">
        <v>1</v>
      </c>
      <c r="C275" s="125">
        <f t="shared" si="4"/>
        <v>267</v>
      </c>
      <c r="D275" s="122">
        <v>267</v>
      </c>
      <c r="E275" s="121" t="s">
        <v>2201</v>
      </c>
      <c r="F275" s="123" t="s">
        <v>87</v>
      </c>
      <c r="G275" s="124">
        <v>0</v>
      </c>
      <c r="H275" s="121"/>
    </row>
    <row r="276" spans="2:8">
      <c r="B276" s="23">
        <v>1</v>
      </c>
      <c r="C276" s="125">
        <f t="shared" si="4"/>
        <v>268</v>
      </c>
      <c r="D276" s="122">
        <v>268</v>
      </c>
      <c r="E276" s="121" t="s">
        <v>2202</v>
      </c>
      <c r="F276" s="123" t="s">
        <v>87</v>
      </c>
      <c r="G276" s="124">
        <v>0</v>
      </c>
      <c r="H276" s="121"/>
    </row>
    <row r="277" spans="2:8">
      <c r="B277" s="23">
        <v>1</v>
      </c>
      <c r="C277" s="125">
        <f t="shared" si="4"/>
        <v>269</v>
      </c>
      <c r="D277" s="122">
        <v>269</v>
      </c>
      <c r="E277" s="121" t="s">
        <v>2203</v>
      </c>
      <c r="F277" s="123" t="s">
        <v>87</v>
      </c>
      <c r="G277" s="124">
        <v>0</v>
      </c>
      <c r="H277" s="121"/>
    </row>
    <row r="278" spans="2:8">
      <c r="B278" s="23">
        <v>1</v>
      </c>
      <c r="C278" s="125">
        <f t="shared" si="4"/>
        <v>270</v>
      </c>
      <c r="D278" s="122">
        <v>270</v>
      </c>
      <c r="E278" s="121" t="s">
        <v>2204</v>
      </c>
      <c r="F278" s="123" t="s">
        <v>87</v>
      </c>
      <c r="G278" s="124">
        <v>0</v>
      </c>
      <c r="H278" s="121"/>
    </row>
    <row r="279" spans="2:8">
      <c r="B279" s="23">
        <v>1</v>
      </c>
      <c r="C279" s="125">
        <f t="shared" si="4"/>
        <v>271</v>
      </c>
      <c r="D279" s="122">
        <v>271</v>
      </c>
      <c r="E279" s="121" t="s">
        <v>2205</v>
      </c>
      <c r="F279" s="123" t="s">
        <v>87</v>
      </c>
      <c r="G279" s="124">
        <v>0</v>
      </c>
      <c r="H279" s="121"/>
    </row>
    <row r="280" spans="2:8">
      <c r="B280" s="23">
        <v>1</v>
      </c>
      <c r="C280" s="125">
        <f t="shared" si="4"/>
        <v>272</v>
      </c>
      <c r="D280" s="122">
        <v>272</v>
      </c>
      <c r="E280" s="121" t="s">
        <v>2206</v>
      </c>
      <c r="F280" s="123" t="s">
        <v>87</v>
      </c>
      <c r="G280" s="124">
        <v>0</v>
      </c>
      <c r="H280" s="121"/>
    </row>
    <row r="281" spans="2:8">
      <c r="B281" s="23">
        <v>1</v>
      </c>
      <c r="C281" s="125">
        <f t="shared" si="4"/>
        <v>273</v>
      </c>
      <c r="D281" s="122">
        <v>273</v>
      </c>
      <c r="E281" s="121" t="s">
        <v>2207</v>
      </c>
      <c r="F281" s="123" t="s">
        <v>87</v>
      </c>
      <c r="G281" s="124">
        <v>0</v>
      </c>
      <c r="H281" s="121"/>
    </row>
    <row r="282" spans="2:8">
      <c r="B282" s="23">
        <v>1</v>
      </c>
      <c r="C282" s="125">
        <f t="shared" si="4"/>
        <v>274</v>
      </c>
      <c r="D282" s="122">
        <v>274</v>
      </c>
      <c r="E282" s="121" t="s">
        <v>2208</v>
      </c>
      <c r="F282" s="123" t="s">
        <v>87</v>
      </c>
      <c r="G282" s="124">
        <v>0</v>
      </c>
      <c r="H282" s="121"/>
    </row>
    <row r="283" spans="2:8">
      <c r="B283" s="23">
        <v>1</v>
      </c>
      <c r="C283" s="125">
        <f t="shared" si="4"/>
        <v>275</v>
      </c>
      <c r="D283" s="122">
        <v>275</v>
      </c>
      <c r="E283" s="121" t="s">
        <v>2209</v>
      </c>
      <c r="F283" s="123" t="s">
        <v>87</v>
      </c>
      <c r="G283" s="124">
        <v>0</v>
      </c>
      <c r="H283" s="121"/>
    </row>
    <row r="284" spans="2:8">
      <c r="B284" s="23">
        <v>1</v>
      </c>
      <c r="C284" s="125">
        <f t="shared" si="4"/>
        <v>276</v>
      </c>
      <c r="D284" s="122">
        <v>276</v>
      </c>
      <c r="E284" s="121" t="s">
        <v>2210</v>
      </c>
      <c r="F284" s="123" t="s">
        <v>87</v>
      </c>
      <c r="G284" s="124">
        <v>0</v>
      </c>
      <c r="H284" s="121"/>
    </row>
    <row r="285" spans="2:8">
      <c r="B285" s="23">
        <v>1</v>
      </c>
      <c r="C285" s="125">
        <f t="shared" si="4"/>
        <v>277</v>
      </c>
      <c r="D285" s="122">
        <v>277</v>
      </c>
      <c r="E285" s="121" t="s">
        <v>2211</v>
      </c>
      <c r="F285" s="123" t="s">
        <v>87</v>
      </c>
      <c r="G285" s="124">
        <v>0</v>
      </c>
      <c r="H285" s="121"/>
    </row>
    <row r="286" spans="2:8">
      <c r="B286" s="23">
        <v>1</v>
      </c>
      <c r="C286" s="125">
        <f t="shared" si="4"/>
        <v>278</v>
      </c>
      <c r="D286" s="122">
        <v>278</v>
      </c>
      <c r="E286" s="121" t="s">
        <v>2212</v>
      </c>
      <c r="F286" s="123" t="s">
        <v>87</v>
      </c>
      <c r="G286" s="124">
        <v>0</v>
      </c>
      <c r="H286" s="121"/>
    </row>
    <row r="287" spans="2:8">
      <c r="B287" s="23">
        <v>1</v>
      </c>
      <c r="C287" s="125">
        <f t="shared" si="4"/>
        <v>279</v>
      </c>
      <c r="D287" s="122">
        <v>279</v>
      </c>
      <c r="E287" s="121" t="s">
        <v>2213</v>
      </c>
      <c r="F287" s="123" t="s">
        <v>87</v>
      </c>
      <c r="G287" s="124">
        <v>0</v>
      </c>
      <c r="H287" s="121"/>
    </row>
    <row r="288" spans="2:8">
      <c r="B288" s="23">
        <v>1</v>
      </c>
      <c r="C288" s="125">
        <f t="shared" si="4"/>
        <v>280</v>
      </c>
      <c r="D288" s="122">
        <v>280</v>
      </c>
      <c r="E288" s="121" t="s">
        <v>2214</v>
      </c>
      <c r="F288" s="123" t="s">
        <v>87</v>
      </c>
      <c r="G288" s="124">
        <v>0</v>
      </c>
      <c r="H288" s="121"/>
    </row>
    <row r="289" spans="2:8">
      <c r="B289" s="23">
        <v>1</v>
      </c>
      <c r="C289" s="125">
        <f t="shared" si="4"/>
        <v>281</v>
      </c>
      <c r="D289" s="122">
        <v>281</v>
      </c>
      <c r="E289" s="121" t="s">
        <v>2215</v>
      </c>
      <c r="F289" s="123" t="s">
        <v>87</v>
      </c>
      <c r="G289" s="124">
        <v>0</v>
      </c>
      <c r="H289" s="121"/>
    </row>
    <row r="290" spans="2:8">
      <c r="B290" s="23">
        <v>1</v>
      </c>
      <c r="C290" s="125">
        <f t="shared" si="4"/>
        <v>282</v>
      </c>
      <c r="D290" s="122">
        <v>282</v>
      </c>
      <c r="E290" s="121" t="s">
        <v>2216</v>
      </c>
      <c r="F290" s="123" t="s">
        <v>87</v>
      </c>
      <c r="G290" s="124">
        <v>0</v>
      </c>
      <c r="H290" s="121"/>
    </row>
    <row r="291" spans="2:8">
      <c r="B291" s="23">
        <v>1</v>
      </c>
      <c r="C291" s="125">
        <f t="shared" si="4"/>
        <v>283</v>
      </c>
      <c r="D291" s="122">
        <v>283</v>
      </c>
      <c r="E291" s="121" t="s">
        <v>2217</v>
      </c>
      <c r="F291" s="123" t="s">
        <v>87</v>
      </c>
      <c r="G291" s="124">
        <v>0</v>
      </c>
      <c r="H291" s="121"/>
    </row>
    <row r="292" spans="2:8">
      <c r="B292" s="23">
        <v>1</v>
      </c>
      <c r="C292" s="125">
        <f t="shared" si="4"/>
        <v>284</v>
      </c>
      <c r="D292" s="122">
        <v>284</v>
      </c>
      <c r="E292" s="121" t="s">
        <v>2218</v>
      </c>
      <c r="F292" s="123" t="s">
        <v>87</v>
      </c>
      <c r="G292" s="124">
        <v>0</v>
      </c>
      <c r="H292" s="121"/>
    </row>
    <row r="293" spans="2:8">
      <c r="B293" s="23">
        <v>1</v>
      </c>
      <c r="C293" s="125">
        <f t="shared" si="4"/>
        <v>285</v>
      </c>
      <c r="D293" s="122">
        <v>285</v>
      </c>
      <c r="E293" s="121" t="s">
        <v>2219</v>
      </c>
      <c r="F293" s="123" t="s">
        <v>87</v>
      </c>
      <c r="G293" s="124">
        <v>0</v>
      </c>
      <c r="H293" s="121"/>
    </row>
    <row r="294" spans="2:8">
      <c r="B294" s="23">
        <v>1</v>
      </c>
      <c r="C294" s="125">
        <f t="shared" si="4"/>
        <v>286</v>
      </c>
      <c r="D294" s="122">
        <v>286</v>
      </c>
      <c r="E294" s="121" t="s">
        <v>2220</v>
      </c>
      <c r="F294" s="123" t="s">
        <v>87</v>
      </c>
      <c r="G294" s="124">
        <v>0</v>
      </c>
      <c r="H294" s="121"/>
    </row>
    <row r="295" spans="2:8">
      <c r="B295" s="23">
        <v>1</v>
      </c>
      <c r="C295" s="125">
        <f t="shared" si="4"/>
        <v>287</v>
      </c>
      <c r="D295" s="122">
        <v>287</v>
      </c>
      <c r="E295" s="121" t="s">
        <v>2221</v>
      </c>
      <c r="F295" s="123" t="s">
        <v>87</v>
      </c>
      <c r="G295" s="124">
        <v>0</v>
      </c>
      <c r="H295" s="121"/>
    </row>
    <row r="296" spans="2:8">
      <c r="B296" s="23">
        <v>1</v>
      </c>
      <c r="C296" s="125">
        <f t="shared" si="4"/>
        <v>288</v>
      </c>
      <c r="D296" s="122">
        <v>288</v>
      </c>
      <c r="E296" s="121" t="s">
        <v>2222</v>
      </c>
      <c r="F296" s="123" t="s">
        <v>87</v>
      </c>
      <c r="G296" s="124">
        <v>0</v>
      </c>
      <c r="H296" s="121"/>
    </row>
    <row r="297" spans="2:8">
      <c r="B297" s="23">
        <v>1</v>
      </c>
      <c r="C297" s="125">
        <f t="shared" si="4"/>
        <v>289</v>
      </c>
      <c r="D297" s="122">
        <v>289</v>
      </c>
      <c r="E297" s="121" t="s">
        <v>2223</v>
      </c>
      <c r="F297" s="123" t="s">
        <v>87</v>
      </c>
      <c r="G297" s="124">
        <v>0</v>
      </c>
      <c r="H297" s="121"/>
    </row>
    <row r="298" spans="2:8">
      <c r="B298" s="23">
        <v>1</v>
      </c>
      <c r="C298" s="125">
        <f t="shared" si="4"/>
        <v>290</v>
      </c>
      <c r="D298" s="122">
        <v>290</v>
      </c>
      <c r="E298" s="121" t="s">
        <v>2224</v>
      </c>
      <c r="F298" s="123" t="s">
        <v>87</v>
      </c>
      <c r="G298" s="124">
        <v>0</v>
      </c>
      <c r="H298" s="121"/>
    </row>
    <row r="299" spans="2:8">
      <c r="B299" s="23">
        <v>1</v>
      </c>
      <c r="C299" s="125">
        <f t="shared" si="4"/>
        <v>291</v>
      </c>
      <c r="D299" s="122">
        <v>291</v>
      </c>
      <c r="E299" s="121" t="s">
        <v>2225</v>
      </c>
      <c r="F299" s="123" t="s">
        <v>87</v>
      </c>
      <c r="G299" s="124">
        <v>0</v>
      </c>
      <c r="H299" s="121"/>
    </row>
    <row r="300" spans="2:8">
      <c r="B300" s="23">
        <v>1</v>
      </c>
      <c r="C300" s="125">
        <f t="shared" si="4"/>
        <v>292</v>
      </c>
      <c r="D300" s="122">
        <v>292</v>
      </c>
      <c r="E300" s="121" t="s">
        <v>2226</v>
      </c>
      <c r="F300" s="123" t="s">
        <v>87</v>
      </c>
      <c r="G300" s="124">
        <v>0</v>
      </c>
      <c r="H300" s="121"/>
    </row>
    <row r="301" spans="2:8">
      <c r="B301" s="23">
        <v>1</v>
      </c>
      <c r="C301" s="125">
        <f t="shared" si="4"/>
        <v>293</v>
      </c>
      <c r="D301" s="122">
        <v>293</v>
      </c>
      <c r="E301" s="121" t="s">
        <v>2227</v>
      </c>
      <c r="F301" s="123" t="s">
        <v>87</v>
      </c>
      <c r="G301" s="124">
        <v>0</v>
      </c>
      <c r="H301" s="121"/>
    </row>
    <row r="302" spans="2:8">
      <c r="B302" s="23">
        <v>1</v>
      </c>
      <c r="C302" s="125">
        <f t="shared" si="4"/>
        <v>294</v>
      </c>
      <c r="D302" s="122">
        <v>294</v>
      </c>
      <c r="E302" s="121" t="s">
        <v>2228</v>
      </c>
      <c r="F302" s="123" t="s">
        <v>87</v>
      </c>
      <c r="G302" s="124">
        <v>0</v>
      </c>
      <c r="H302" s="121"/>
    </row>
    <row r="303" spans="2:8">
      <c r="B303" s="23">
        <v>1</v>
      </c>
      <c r="C303" s="125">
        <f t="shared" si="4"/>
        <v>295</v>
      </c>
      <c r="D303" s="122">
        <v>295</v>
      </c>
      <c r="E303" s="121" t="s">
        <v>2229</v>
      </c>
      <c r="F303" s="123" t="s">
        <v>87</v>
      </c>
      <c r="G303" s="124">
        <v>0</v>
      </c>
      <c r="H303" s="121"/>
    </row>
    <row r="304" spans="2:8">
      <c r="B304" s="23">
        <v>1</v>
      </c>
      <c r="C304" s="125">
        <f t="shared" si="4"/>
        <v>296</v>
      </c>
      <c r="D304" s="122">
        <v>296</v>
      </c>
      <c r="E304" s="121" t="s">
        <v>2230</v>
      </c>
      <c r="F304" s="123" t="s">
        <v>87</v>
      </c>
      <c r="G304" s="124">
        <v>0</v>
      </c>
      <c r="H304" s="121"/>
    </row>
    <row r="305" spans="2:8">
      <c r="B305" s="23">
        <v>1</v>
      </c>
      <c r="C305" s="125">
        <f t="shared" si="4"/>
        <v>297</v>
      </c>
      <c r="D305" s="122">
        <v>297</v>
      </c>
      <c r="E305" s="121" t="s">
        <v>2231</v>
      </c>
      <c r="F305" s="123" t="s">
        <v>87</v>
      </c>
      <c r="G305" s="124">
        <v>0</v>
      </c>
      <c r="H305" s="121"/>
    </row>
    <row r="306" spans="2:8">
      <c r="B306" s="23">
        <v>1</v>
      </c>
      <c r="C306" s="125">
        <f t="shared" si="4"/>
        <v>298</v>
      </c>
      <c r="D306" s="122">
        <v>298</v>
      </c>
      <c r="E306" s="121" t="s">
        <v>2232</v>
      </c>
      <c r="F306" s="123" t="s">
        <v>87</v>
      </c>
      <c r="G306" s="124">
        <v>0</v>
      </c>
      <c r="H306" s="121"/>
    </row>
    <row r="307" spans="2:8">
      <c r="C307" s="125">
        <f t="shared" si="4"/>
        <v>299</v>
      </c>
      <c r="D307" s="122"/>
      <c r="E307" s="121" t="s">
        <v>3557</v>
      </c>
      <c r="F307" s="123" t="s">
        <v>259</v>
      </c>
      <c r="G307" s="124">
        <v>0</v>
      </c>
      <c r="H307" s="121"/>
    </row>
    <row r="308" spans="2:8">
      <c r="C308" s="125">
        <f t="shared" si="4"/>
        <v>300</v>
      </c>
      <c r="D308" s="122"/>
      <c r="E308" s="121" t="s">
        <v>3558</v>
      </c>
      <c r="F308" s="123" t="s">
        <v>259</v>
      </c>
      <c r="G308" s="124">
        <v>0</v>
      </c>
      <c r="H308" s="121"/>
    </row>
    <row r="309" spans="2:8">
      <c r="C309" s="125">
        <f t="shared" si="4"/>
        <v>301</v>
      </c>
      <c r="D309" s="122"/>
      <c r="E309" s="121" t="s">
        <v>3559</v>
      </c>
      <c r="F309" s="123" t="s">
        <v>259</v>
      </c>
      <c r="G309" s="124">
        <v>0</v>
      </c>
      <c r="H309" s="121"/>
    </row>
    <row r="310" spans="2:8">
      <c r="B310" s="23">
        <v>1</v>
      </c>
      <c r="C310" s="125">
        <f t="shared" si="4"/>
        <v>302</v>
      </c>
      <c r="D310" s="122">
        <v>299</v>
      </c>
      <c r="E310" s="121" t="s">
        <v>2233</v>
      </c>
      <c r="F310" s="123" t="s">
        <v>87</v>
      </c>
      <c r="G310" s="124">
        <v>0</v>
      </c>
      <c r="H310" s="121"/>
    </row>
    <row r="311" spans="2:8">
      <c r="B311" s="23">
        <v>1</v>
      </c>
      <c r="C311" s="125">
        <f t="shared" si="4"/>
        <v>303</v>
      </c>
      <c r="D311" s="122">
        <v>300</v>
      </c>
      <c r="E311" s="121" t="s">
        <v>2234</v>
      </c>
      <c r="F311" s="123" t="s">
        <v>87</v>
      </c>
      <c r="G311" s="124">
        <v>0</v>
      </c>
      <c r="H311" s="121"/>
    </row>
    <row r="312" spans="2:8">
      <c r="B312" s="23">
        <v>1</v>
      </c>
      <c r="C312" s="125">
        <f t="shared" si="4"/>
        <v>304</v>
      </c>
      <c r="D312" s="122">
        <v>301</v>
      </c>
      <c r="E312" s="121" t="s">
        <v>2235</v>
      </c>
      <c r="F312" s="123" t="s">
        <v>87</v>
      </c>
      <c r="G312" s="124">
        <v>0</v>
      </c>
      <c r="H312" s="121"/>
    </row>
    <row r="313" spans="2:8">
      <c r="B313" s="23">
        <v>1</v>
      </c>
      <c r="C313" s="125">
        <f t="shared" si="4"/>
        <v>305</v>
      </c>
      <c r="D313" s="122">
        <v>302</v>
      </c>
      <c r="E313" s="121" t="s">
        <v>2236</v>
      </c>
      <c r="F313" s="123" t="s">
        <v>87</v>
      </c>
      <c r="G313" s="124">
        <v>0</v>
      </c>
      <c r="H313" s="121"/>
    </row>
    <row r="314" spans="2:8">
      <c r="B314" s="23">
        <v>1</v>
      </c>
      <c r="C314" s="125">
        <f t="shared" si="4"/>
        <v>306</v>
      </c>
      <c r="D314" s="122">
        <v>303</v>
      </c>
      <c r="E314" s="121" t="s">
        <v>2237</v>
      </c>
      <c r="F314" s="123" t="s">
        <v>1970</v>
      </c>
      <c r="G314" s="124">
        <v>0</v>
      </c>
      <c r="H314" s="121"/>
    </row>
    <row r="315" spans="2:8">
      <c r="B315" s="23">
        <v>1</v>
      </c>
      <c r="C315" s="125">
        <f t="shared" si="4"/>
        <v>307</v>
      </c>
      <c r="D315" s="122">
        <v>304</v>
      </c>
      <c r="E315" s="121" t="s">
        <v>2238</v>
      </c>
      <c r="F315" s="123" t="s">
        <v>87</v>
      </c>
      <c r="G315" s="124">
        <v>0</v>
      </c>
      <c r="H315" s="121"/>
    </row>
    <row r="316" spans="2:8">
      <c r="B316" s="23">
        <v>1</v>
      </c>
      <c r="C316" s="125">
        <f t="shared" si="4"/>
        <v>308</v>
      </c>
      <c r="D316" s="122">
        <v>305</v>
      </c>
      <c r="E316" s="121" t="s">
        <v>2239</v>
      </c>
      <c r="F316" s="123" t="s">
        <v>87</v>
      </c>
      <c r="G316" s="124">
        <v>0</v>
      </c>
      <c r="H316" s="121"/>
    </row>
    <row r="317" spans="2:8">
      <c r="B317" s="23">
        <v>1</v>
      </c>
      <c r="C317" s="125">
        <f t="shared" si="4"/>
        <v>309</v>
      </c>
      <c r="D317" s="122">
        <v>306</v>
      </c>
      <c r="E317" s="121" t="s">
        <v>2240</v>
      </c>
      <c r="F317" s="123" t="s">
        <v>87</v>
      </c>
      <c r="G317" s="124">
        <v>0</v>
      </c>
      <c r="H317" s="121"/>
    </row>
    <row r="318" spans="2:8">
      <c r="B318" s="23">
        <v>1</v>
      </c>
      <c r="C318" s="125">
        <f t="shared" si="4"/>
        <v>310</v>
      </c>
      <c r="D318" s="122">
        <v>307</v>
      </c>
      <c r="E318" s="121" t="s">
        <v>2241</v>
      </c>
      <c r="F318" s="123" t="s">
        <v>87</v>
      </c>
      <c r="G318" s="124">
        <v>0</v>
      </c>
      <c r="H318" s="121"/>
    </row>
    <row r="319" spans="2:8">
      <c r="B319" s="23">
        <v>1</v>
      </c>
      <c r="C319" s="125">
        <f t="shared" si="4"/>
        <v>311</v>
      </c>
      <c r="D319" s="122">
        <v>308</v>
      </c>
      <c r="E319" s="121" t="s">
        <v>2242</v>
      </c>
      <c r="F319" s="123" t="s">
        <v>87</v>
      </c>
      <c r="G319" s="124">
        <v>0</v>
      </c>
      <c r="H319" s="121"/>
    </row>
    <row r="320" spans="2:8">
      <c r="B320" s="23">
        <v>1</v>
      </c>
      <c r="C320" s="125">
        <f t="shared" si="4"/>
        <v>312</v>
      </c>
      <c r="D320" s="122">
        <v>309</v>
      </c>
      <c r="E320" s="121" t="s">
        <v>2243</v>
      </c>
      <c r="F320" s="123" t="s">
        <v>87</v>
      </c>
      <c r="G320" s="124">
        <v>0</v>
      </c>
      <c r="H320" s="121"/>
    </row>
    <row r="321" spans="2:8">
      <c r="B321" s="23">
        <v>1</v>
      </c>
      <c r="C321" s="125">
        <f t="shared" si="4"/>
        <v>313</v>
      </c>
      <c r="D321" s="122">
        <v>310</v>
      </c>
      <c r="E321" s="121" t="s">
        <v>2244</v>
      </c>
      <c r="F321" s="123" t="s">
        <v>252</v>
      </c>
      <c r="G321" s="124">
        <v>0</v>
      </c>
      <c r="H321" s="121"/>
    </row>
    <row r="322" spans="2:8">
      <c r="B322" s="23">
        <v>1</v>
      </c>
      <c r="C322" s="125">
        <f t="shared" si="4"/>
        <v>314</v>
      </c>
      <c r="D322" s="122">
        <v>311</v>
      </c>
      <c r="E322" s="121" t="s">
        <v>2245</v>
      </c>
      <c r="F322" s="123" t="s">
        <v>252</v>
      </c>
      <c r="G322" s="124">
        <v>0</v>
      </c>
      <c r="H322" s="121"/>
    </row>
    <row r="323" spans="2:8">
      <c r="B323" s="23">
        <v>1</v>
      </c>
      <c r="C323" s="125">
        <f t="shared" si="4"/>
        <v>315</v>
      </c>
      <c r="D323" s="122">
        <v>312</v>
      </c>
      <c r="E323" s="121" t="s">
        <v>2246</v>
      </c>
      <c r="F323" s="123" t="s">
        <v>1997</v>
      </c>
      <c r="G323" s="124">
        <v>0</v>
      </c>
      <c r="H323" s="121"/>
    </row>
    <row r="324" spans="2:8">
      <c r="B324" s="23">
        <v>1</v>
      </c>
      <c r="C324" s="125">
        <f t="shared" si="4"/>
        <v>316</v>
      </c>
      <c r="D324" s="122">
        <v>313</v>
      </c>
      <c r="E324" s="121" t="s">
        <v>2247</v>
      </c>
      <c r="F324" s="123" t="s">
        <v>87</v>
      </c>
      <c r="G324" s="124">
        <v>0</v>
      </c>
      <c r="H324" s="121"/>
    </row>
    <row r="325" spans="2:8">
      <c r="B325" s="23">
        <v>1</v>
      </c>
      <c r="C325" s="125">
        <f t="shared" si="4"/>
        <v>317</v>
      </c>
      <c r="D325" s="122">
        <v>314</v>
      </c>
      <c r="E325" s="121" t="s">
        <v>2248</v>
      </c>
      <c r="F325" s="123" t="s">
        <v>87</v>
      </c>
      <c r="G325" s="124">
        <v>0</v>
      </c>
      <c r="H325" s="121"/>
    </row>
    <row r="326" spans="2:8">
      <c r="B326" s="23">
        <v>1</v>
      </c>
      <c r="C326" s="125">
        <f t="shared" si="4"/>
        <v>318</v>
      </c>
      <c r="D326" s="122">
        <v>315</v>
      </c>
      <c r="E326" s="121" t="s">
        <v>2249</v>
      </c>
      <c r="F326" s="123" t="s">
        <v>87</v>
      </c>
      <c r="G326" s="124">
        <v>0</v>
      </c>
      <c r="H326" s="121"/>
    </row>
    <row r="327" spans="2:8">
      <c r="B327" s="23">
        <v>1</v>
      </c>
      <c r="C327" s="125">
        <f t="shared" si="4"/>
        <v>319</v>
      </c>
      <c r="D327" s="122">
        <v>316</v>
      </c>
      <c r="E327" s="121" t="s">
        <v>2250</v>
      </c>
      <c r="F327" s="123" t="s">
        <v>87</v>
      </c>
      <c r="G327" s="124">
        <v>0</v>
      </c>
      <c r="H327" s="121"/>
    </row>
    <row r="328" spans="2:8">
      <c r="B328" s="23">
        <v>1</v>
      </c>
      <c r="C328" s="125">
        <f t="shared" si="4"/>
        <v>320</v>
      </c>
      <c r="D328" s="122">
        <v>317</v>
      </c>
      <c r="E328" s="121" t="s">
        <v>2251</v>
      </c>
      <c r="F328" s="123" t="s">
        <v>87</v>
      </c>
      <c r="G328" s="124">
        <v>0</v>
      </c>
      <c r="H328" s="121"/>
    </row>
    <row r="329" spans="2:8">
      <c r="B329" s="23">
        <v>1</v>
      </c>
      <c r="C329" s="125">
        <f t="shared" si="4"/>
        <v>321</v>
      </c>
      <c r="D329" s="122">
        <v>318</v>
      </c>
      <c r="E329" s="121" t="s">
        <v>2252</v>
      </c>
      <c r="F329" s="123" t="s">
        <v>1997</v>
      </c>
      <c r="G329" s="124">
        <v>0</v>
      </c>
      <c r="H329" s="121"/>
    </row>
    <row r="330" spans="2:8">
      <c r="B330" s="23">
        <v>1</v>
      </c>
      <c r="C330" s="125">
        <f t="shared" si="4"/>
        <v>322</v>
      </c>
      <c r="D330" s="122">
        <v>319</v>
      </c>
      <c r="E330" s="121" t="s">
        <v>2253</v>
      </c>
      <c r="F330" s="123" t="s">
        <v>1997</v>
      </c>
      <c r="G330" s="124">
        <v>0</v>
      </c>
      <c r="H330" s="121"/>
    </row>
    <row r="331" spans="2:8">
      <c r="B331" s="23">
        <v>1</v>
      </c>
      <c r="C331" s="125">
        <f t="shared" si="4"/>
        <v>323</v>
      </c>
      <c r="D331" s="122">
        <v>320</v>
      </c>
      <c r="E331" s="121" t="s">
        <v>2254</v>
      </c>
      <c r="F331" s="123" t="s">
        <v>1997</v>
      </c>
      <c r="G331" s="124">
        <v>0</v>
      </c>
      <c r="H331" s="121"/>
    </row>
    <row r="332" spans="2:8">
      <c r="B332" s="23">
        <v>1</v>
      </c>
      <c r="C332" s="125">
        <f t="shared" si="4"/>
        <v>324</v>
      </c>
      <c r="D332" s="122">
        <v>321</v>
      </c>
      <c r="E332" s="121" t="s">
        <v>2255</v>
      </c>
      <c r="F332" s="123" t="s">
        <v>1997</v>
      </c>
      <c r="G332" s="124">
        <v>0</v>
      </c>
      <c r="H332" s="121"/>
    </row>
    <row r="333" spans="2:8">
      <c r="B333" s="23">
        <v>1</v>
      </c>
      <c r="C333" s="125">
        <f t="shared" si="4"/>
        <v>325</v>
      </c>
      <c r="D333" s="122">
        <v>322</v>
      </c>
      <c r="E333" s="121" t="s">
        <v>2256</v>
      </c>
      <c r="F333" s="123" t="s">
        <v>1997</v>
      </c>
      <c r="G333" s="124">
        <v>0</v>
      </c>
      <c r="H333" s="121"/>
    </row>
    <row r="334" spans="2:8">
      <c r="B334" s="23">
        <v>1</v>
      </c>
      <c r="C334" s="125">
        <f t="shared" si="4"/>
        <v>326</v>
      </c>
      <c r="D334" s="122">
        <v>323</v>
      </c>
      <c r="E334" s="121" t="s">
        <v>2257</v>
      </c>
      <c r="F334" s="123" t="s">
        <v>1997</v>
      </c>
      <c r="G334" s="124">
        <v>0</v>
      </c>
      <c r="H334" s="121"/>
    </row>
    <row r="335" spans="2:8">
      <c r="B335" s="23">
        <v>1</v>
      </c>
      <c r="C335" s="125">
        <f t="shared" ref="C335:C398" si="5">+C334+1</f>
        <v>327</v>
      </c>
      <c r="D335" s="122">
        <v>324</v>
      </c>
      <c r="E335" s="121" t="s">
        <v>2258</v>
      </c>
      <c r="F335" s="123" t="s">
        <v>1997</v>
      </c>
      <c r="G335" s="124">
        <v>0</v>
      </c>
      <c r="H335" s="121"/>
    </row>
    <row r="336" spans="2:8">
      <c r="B336" s="23">
        <v>1</v>
      </c>
      <c r="C336" s="125">
        <f t="shared" si="5"/>
        <v>328</v>
      </c>
      <c r="D336" s="122">
        <v>325</v>
      </c>
      <c r="E336" s="121" t="s">
        <v>2259</v>
      </c>
      <c r="F336" s="123" t="s">
        <v>1997</v>
      </c>
      <c r="G336" s="124">
        <v>0</v>
      </c>
      <c r="H336" s="121"/>
    </row>
    <row r="337" spans="2:8">
      <c r="B337" s="23">
        <v>1</v>
      </c>
      <c r="C337" s="125">
        <f t="shared" si="5"/>
        <v>329</v>
      </c>
      <c r="D337" s="122">
        <v>326</v>
      </c>
      <c r="E337" s="121" t="s">
        <v>2260</v>
      </c>
      <c r="F337" s="123" t="s">
        <v>1997</v>
      </c>
      <c r="G337" s="124">
        <v>0</v>
      </c>
      <c r="H337" s="121"/>
    </row>
    <row r="338" spans="2:8">
      <c r="B338" s="23">
        <v>1</v>
      </c>
      <c r="C338" s="125">
        <f t="shared" si="5"/>
        <v>330</v>
      </c>
      <c r="D338" s="122">
        <v>327</v>
      </c>
      <c r="E338" s="121" t="s">
        <v>2261</v>
      </c>
      <c r="F338" s="123" t="s">
        <v>1997</v>
      </c>
      <c r="G338" s="124">
        <v>0</v>
      </c>
      <c r="H338" s="121"/>
    </row>
    <row r="339" spans="2:8">
      <c r="B339" s="23">
        <v>1</v>
      </c>
      <c r="C339" s="125">
        <f t="shared" si="5"/>
        <v>331</v>
      </c>
      <c r="D339" s="122">
        <v>328</v>
      </c>
      <c r="E339" s="121" t="s">
        <v>2262</v>
      </c>
      <c r="F339" s="123" t="s">
        <v>1997</v>
      </c>
      <c r="G339" s="124">
        <v>0</v>
      </c>
      <c r="H339" s="121"/>
    </row>
    <row r="340" spans="2:8">
      <c r="B340" s="23">
        <v>1</v>
      </c>
      <c r="C340" s="125">
        <f t="shared" si="5"/>
        <v>332</v>
      </c>
      <c r="D340" s="122">
        <v>329</v>
      </c>
      <c r="E340" s="121" t="s">
        <v>2263</v>
      </c>
      <c r="F340" s="123" t="s">
        <v>1997</v>
      </c>
      <c r="G340" s="124">
        <v>0</v>
      </c>
      <c r="H340" s="121"/>
    </row>
    <row r="341" spans="2:8">
      <c r="B341" s="23">
        <v>1</v>
      </c>
      <c r="C341" s="125">
        <f t="shared" si="5"/>
        <v>333</v>
      </c>
      <c r="D341" s="122">
        <v>330</v>
      </c>
      <c r="E341" s="121" t="s">
        <v>2264</v>
      </c>
      <c r="F341" s="123" t="s">
        <v>1997</v>
      </c>
      <c r="G341" s="124">
        <v>0</v>
      </c>
      <c r="H341" s="121"/>
    </row>
    <row r="342" spans="2:8">
      <c r="B342" s="23">
        <v>1</v>
      </c>
      <c r="C342" s="125">
        <f t="shared" si="5"/>
        <v>334</v>
      </c>
      <c r="D342" s="122">
        <v>331</v>
      </c>
      <c r="E342" s="121" t="s">
        <v>2265</v>
      </c>
      <c r="F342" s="123" t="s">
        <v>1997</v>
      </c>
      <c r="G342" s="124">
        <v>0</v>
      </c>
      <c r="H342" s="121"/>
    </row>
    <row r="343" spans="2:8">
      <c r="B343" s="23">
        <v>1</v>
      </c>
      <c r="C343" s="125">
        <f t="shared" si="5"/>
        <v>335</v>
      </c>
      <c r="D343" s="122">
        <v>332</v>
      </c>
      <c r="E343" s="121" t="s">
        <v>2266</v>
      </c>
      <c r="F343" s="123" t="s">
        <v>1997</v>
      </c>
      <c r="G343" s="124">
        <v>0</v>
      </c>
      <c r="H343" s="121"/>
    </row>
    <row r="344" spans="2:8">
      <c r="B344" s="23">
        <v>1</v>
      </c>
      <c r="C344" s="125">
        <f t="shared" si="5"/>
        <v>336</v>
      </c>
      <c r="D344" s="122">
        <v>333</v>
      </c>
      <c r="E344" s="121" t="s">
        <v>2267</v>
      </c>
      <c r="F344" s="123" t="s">
        <v>1997</v>
      </c>
      <c r="G344" s="124">
        <v>0</v>
      </c>
      <c r="H344" s="121"/>
    </row>
    <row r="345" spans="2:8">
      <c r="B345" s="23">
        <v>1</v>
      </c>
      <c r="C345" s="125">
        <f t="shared" si="5"/>
        <v>337</v>
      </c>
      <c r="D345" s="122">
        <v>334</v>
      </c>
      <c r="E345" s="121" t="s">
        <v>2268</v>
      </c>
      <c r="F345" s="123" t="s">
        <v>1997</v>
      </c>
      <c r="G345" s="124">
        <v>0</v>
      </c>
      <c r="H345" s="121"/>
    </row>
    <row r="346" spans="2:8">
      <c r="B346" s="23">
        <v>1</v>
      </c>
      <c r="C346" s="125">
        <f t="shared" si="5"/>
        <v>338</v>
      </c>
      <c r="D346" s="122">
        <v>335</v>
      </c>
      <c r="E346" s="121" t="s">
        <v>2269</v>
      </c>
      <c r="F346" s="123" t="s">
        <v>1997</v>
      </c>
      <c r="G346" s="124">
        <v>0</v>
      </c>
      <c r="H346" s="121"/>
    </row>
    <row r="347" spans="2:8">
      <c r="B347" s="23">
        <v>1</v>
      </c>
      <c r="C347" s="125">
        <f t="shared" si="5"/>
        <v>339</v>
      </c>
      <c r="D347" s="122">
        <v>336</v>
      </c>
      <c r="E347" s="121" t="s">
        <v>2270</v>
      </c>
      <c r="F347" s="123" t="s">
        <v>1997</v>
      </c>
      <c r="G347" s="124">
        <v>0</v>
      </c>
      <c r="H347" s="121"/>
    </row>
    <row r="348" spans="2:8">
      <c r="B348" s="23">
        <v>1</v>
      </c>
      <c r="C348" s="125">
        <f t="shared" si="5"/>
        <v>340</v>
      </c>
      <c r="D348" s="122">
        <v>337</v>
      </c>
      <c r="E348" s="121" t="s">
        <v>2271</v>
      </c>
      <c r="F348" s="123" t="s">
        <v>1997</v>
      </c>
      <c r="G348" s="124">
        <v>0</v>
      </c>
      <c r="H348" s="121"/>
    </row>
    <row r="349" spans="2:8">
      <c r="B349" s="23">
        <v>1</v>
      </c>
      <c r="C349" s="125">
        <f t="shared" si="5"/>
        <v>341</v>
      </c>
      <c r="D349" s="122">
        <v>338</v>
      </c>
      <c r="E349" s="121" t="s">
        <v>2272</v>
      </c>
      <c r="F349" s="123" t="s">
        <v>1997</v>
      </c>
      <c r="G349" s="124">
        <v>0</v>
      </c>
      <c r="H349" s="121"/>
    </row>
    <row r="350" spans="2:8">
      <c r="B350" s="23">
        <v>1</v>
      </c>
      <c r="C350" s="125">
        <f t="shared" si="5"/>
        <v>342</v>
      </c>
      <c r="D350" s="122">
        <v>339</v>
      </c>
      <c r="E350" s="121" t="s">
        <v>2273</v>
      </c>
      <c r="F350" s="123" t="s">
        <v>1997</v>
      </c>
      <c r="G350" s="124">
        <v>0</v>
      </c>
      <c r="H350" s="121"/>
    </row>
    <row r="351" spans="2:8">
      <c r="B351" s="23">
        <v>1</v>
      </c>
      <c r="C351" s="125">
        <f t="shared" si="5"/>
        <v>343</v>
      </c>
      <c r="D351" s="122">
        <v>340</v>
      </c>
      <c r="E351" s="121" t="s">
        <v>2274</v>
      </c>
      <c r="F351" s="123" t="s">
        <v>1997</v>
      </c>
      <c r="G351" s="124">
        <v>0</v>
      </c>
      <c r="H351" s="121"/>
    </row>
    <row r="352" spans="2:8">
      <c r="B352" s="23">
        <v>1</v>
      </c>
      <c r="C352" s="125">
        <f t="shared" si="5"/>
        <v>344</v>
      </c>
      <c r="D352" s="122">
        <v>341</v>
      </c>
      <c r="E352" s="121" t="s">
        <v>2275</v>
      </c>
      <c r="F352" s="123" t="s">
        <v>1997</v>
      </c>
      <c r="G352" s="124">
        <v>0</v>
      </c>
      <c r="H352" s="121"/>
    </row>
    <row r="353" spans="2:8">
      <c r="B353" s="23">
        <v>1</v>
      </c>
      <c r="C353" s="125">
        <f t="shared" si="5"/>
        <v>345</v>
      </c>
      <c r="D353" s="122">
        <v>342</v>
      </c>
      <c r="E353" s="121" t="s">
        <v>2276</v>
      </c>
      <c r="F353" s="123" t="s">
        <v>1997</v>
      </c>
      <c r="G353" s="124">
        <v>0</v>
      </c>
      <c r="H353" s="121"/>
    </row>
    <row r="354" spans="2:8">
      <c r="B354" s="23">
        <v>1</v>
      </c>
      <c r="C354" s="125">
        <f t="shared" si="5"/>
        <v>346</v>
      </c>
      <c r="D354" s="122">
        <v>343</v>
      </c>
      <c r="E354" s="121" t="s">
        <v>2277</v>
      </c>
      <c r="F354" s="123" t="s">
        <v>1997</v>
      </c>
      <c r="G354" s="124">
        <v>0</v>
      </c>
      <c r="H354" s="121"/>
    </row>
    <row r="355" spans="2:8">
      <c r="B355" s="23">
        <v>1</v>
      </c>
      <c r="C355" s="125">
        <f t="shared" si="5"/>
        <v>347</v>
      </c>
      <c r="D355" s="122">
        <v>344</v>
      </c>
      <c r="E355" s="121" t="s">
        <v>2278</v>
      </c>
      <c r="F355" s="123" t="s">
        <v>1997</v>
      </c>
      <c r="G355" s="124">
        <v>0</v>
      </c>
      <c r="H355" s="121"/>
    </row>
    <row r="356" spans="2:8">
      <c r="B356" s="23">
        <v>1</v>
      </c>
      <c r="C356" s="125">
        <f t="shared" si="5"/>
        <v>348</v>
      </c>
      <c r="D356" s="122">
        <v>345</v>
      </c>
      <c r="E356" s="121" t="s">
        <v>2279</v>
      </c>
      <c r="F356" s="123" t="s">
        <v>1997</v>
      </c>
      <c r="G356" s="124">
        <v>0</v>
      </c>
      <c r="H356" s="121"/>
    </row>
    <row r="357" spans="2:8">
      <c r="B357" s="23">
        <v>1</v>
      </c>
      <c r="C357" s="125">
        <f t="shared" si="5"/>
        <v>349</v>
      </c>
      <c r="D357" s="122">
        <v>346</v>
      </c>
      <c r="E357" s="121" t="s">
        <v>2280</v>
      </c>
      <c r="F357" s="123" t="s">
        <v>1997</v>
      </c>
      <c r="G357" s="124">
        <v>0</v>
      </c>
      <c r="H357" s="121"/>
    </row>
    <row r="358" spans="2:8">
      <c r="B358" s="23">
        <v>1</v>
      </c>
      <c r="C358" s="125">
        <f t="shared" si="5"/>
        <v>350</v>
      </c>
      <c r="D358" s="122">
        <v>347</v>
      </c>
      <c r="E358" s="121" t="s">
        <v>2281</v>
      </c>
      <c r="F358" s="123" t="s">
        <v>2282</v>
      </c>
      <c r="G358" s="124">
        <v>0</v>
      </c>
      <c r="H358" s="121"/>
    </row>
    <row r="359" spans="2:8">
      <c r="B359" s="23">
        <v>1</v>
      </c>
      <c r="C359" s="125">
        <f t="shared" si="5"/>
        <v>351</v>
      </c>
      <c r="D359" s="122">
        <v>348</v>
      </c>
      <c r="E359" s="121" t="s">
        <v>2283</v>
      </c>
      <c r="F359" s="123" t="s">
        <v>2282</v>
      </c>
      <c r="G359" s="124">
        <v>0</v>
      </c>
      <c r="H359" s="121"/>
    </row>
    <row r="360" spans="2:8">
      <c r="B360" s="23">
        <v>1</v>
      </c>
      <c r="C360" s="125">
        <f t="shared" si="5"/>
        <v>352</v>
      </c>
      <c r="D360" s="122">
        <v>349</v>
      </c>
      <c r="E360" s="121" t="s">
        <v>2284</v>
      </c>
      <c r="F360" s="123" t="s">
        <v>2282</v>
      </c>
      <c r="G360" s="124">
        <v>0</v>
      </c>
      <c r="H360" s="121"/>
    </row>
    <row r="361" spans="2:8">
      <c r="B361" s="23">
        <v>1</v>
      </c>
      <c r="C361" s="125">
        <f t="shared" si="5"/>
        <v>353</v>
      </c>
      <c r="D361" s="122">
        <v>350</v>
      </c>
      <c r="E361" s="121" t="s">
        <v>2285</v>
      </c>
      <c r="F361" s="123" t="s">
        <v>2282</v>
      </c>
      <c r="G361" s="124">
        <v>0</v>
      </c>
      <c r="H361" s="121"/>
    </row>
    <row r="362" spans="2:8">
      <c r="B362" s="23">
        <v>1</v>
      </c>
      <c r="C362" s="125">
        <f t="shared" si="5"/>
        <v>354</v>
      </c>
      <c r="D362" s="122">
        <v>351</v>
      </c>
      <c r="E362" s="121" t="s">
        <v>2286</v>
      </c>
      <c r="F362" s="123" t="s">
        <v>2282</v>
      </c>
      <c r="G362" s="124">
        <v>0</v>
      </c>
      <c r="H362" s="121"/>
    </row>
    <row r="363" spans="2:8">
      <c r="B363" s="23">
        <v>1</v>
      </c>
      <c r="C363" s="125">
        <f t="shared" si="5"/>
        <v>355</v>
      </c>
      <c r="D363" s="122">
        <v>352</v>
      </c>
      <c r="E363" s="121" t="s">
        <v>2287</v>
      </c>
      <c r="F363" s="123" t="s">
        <v>2282</v>
      </c>
      <c r="G363" s="124">
        <v>0</v>
      </c>
      <c r="H363" s="121"/>
    </row>
    <row r="364" spans="2:8">
      <c r="B364" s="23">
        <v>1</v>
      </c>
      <c r="C364" s="125">
        <f t="shared" si="5"/>
        <v>356</v>
      </c>
      <c r="D364" s="122">
        <v>353</v>
      </c>
      <c r="E364" s="121" t="s">
        <v>2288</v>
      </c>
      <c r="F364" s="123" t="s">
        <v>2282</v>
      </c>
      <c r="G364" s="124">
        <v>0</v>
      </c>
      <c r="H364" s="121"/>
    </row>
    <row r="365" spans="2:8">
      <c r="B365" s="23">
        <v>1</v>
      </c>
      <c r="C365" s="125">
        <f t="shared" si="5"/>
        <v>357</v>
      </c>
      <c r="D365" s="122">
        <v>354</v>
      </c>
      <c r="E365" s="121" t="s">
        <v>2289</v>
      </c>
      <c r="F365" s="123" t="s">
        <v>2282</v>
      </c>
      <c r="G365" s="124">
        <v>0</v>
      </c>
      <c r="H365" s="121"/>
    </row>
    <row r="366" spans="2:8">
      <c r="B366" s="23">
        <v>1</v>
      </c>
      <c r="C366" s="125">
        <f t="shared" si="5"/>
        <v>358</v>
      </c>
      <c r="D366" s="122">
        <v>355</v>
      </c>
      <c r="E366" s="121" t="s">
        <v>2290</v>
      </c>
      <c r="F366" s="123" t="s">
        <v>2282</v>
      </c>
      <c r="G366" s="124">
        <v>0</v>
      </c>
      <c r="H366" s="121"/>
    </row>
    <row r="367" spans="2:8">
      <c r="B367" s="23">
        <v>1</v>
      </c>
      <c r="C367" s="125">
        <f t="shared" si="5"/>
        <v>359</v>
      </c>
      <c r="D367" s="122">
        <v>356</v>
      </c>
      <c r="E367" s="121" t="s">
        <v>2291</v>
      </c>
      <c r="F367" s="123" t="s">
        <v>2282</v>
      </c>
      <c r="G367" s="124">
        <v>0</v>
      </c>
      <c r="H367" s="121"/>
    </row>
    <row r="368" spans="2:8">
      <c r="B368" s="23">
        <v>1</v>
      </c>
      <c r="C368" s="125">
        <f t="shared" si="5"/>
        <v>360</v>
      </c>
      <c r="D368" s="122">
        <v>357</v>
      </c>
      <c r="E368" s="121" t="s">
        <v>2292</v>
      </c>
      <c r="F368" s="123" t="s">
        <v>2282</v>
      </c>
      <c r="G368" s="124">
        <v>0</v>
      </c>
      <c r="H368" s="121"/>
    </row>
    <row r="369" spans="2:8">
      <c r="B369" s="23">
        <v>1</v>
      </c>
      <c r="C369" s="125">
        <f t="shared" si="5"/>
        <v>361</v>
      </c>
      <c r="D369" s="122">
        <v>358</v>
      </c>
      <c r="E369" s="121" t="s">
        <v>2293</v>
      </c>
      <c r="F369" s="123" t="s">
        <v>2282</v>
      </c>
      <c r="G369" s="124">
        <v>0</v>
      </c>
      <c r="H369" s="121"/>
    </row>
    <row r="370" spans="2:8">
      <c r="B370" s="23">
        <v>1</v>
      </c>
      <c r="C370" s="125">
        <f t="shared" si="5"/>
        <v>362</v>
      </c>
      <c r="D370" s="122">
        <v>359</v>
      </c>
      <c r="E370" s="121" t="s">
        <v>2294</v>
      </c>
      <c r="F370" s="123" t="s">
        <v>2282</v>
      </c>
      <c r="G370" s="124">
        <v>0</v>
      </c>
      <c r="H370" s="121"/>
    </row>
    <row r="371" spans="2:8">
      <c r="B371" s="23">
        <v>1</v>
      </c>
      <c r="C371" s="125">
        <f t="shared" si="5"/>
        <v>363</v>
      </c>
      <c r="D371" s="122">
        <v>360</v>
      </c>
      <c r="E371" s="121" t="s">
        <v>2295</v>
      </c>
      <c r="F371" s="123" t="s">
        <v>2282</v>
      </c>
      <c r="G371" s="124">
        <v>0</v>
      </c>
      <c r="H371" s="121"/>
    </row>
    <row r="372" spans="2:8">
      <c r="B372" s="23">
        <v>1</v>
      </c>
      <c r="C372" s="125">
        <f t="shared" si="5"/>
        <v>364</v>
      </c>
      <c r="D372" s="122">
        <v>361</v>
      </c>
      <c r="E372" s="121" t="s">
        <v>2296</v>
      </c>
      <c r="F372" s="123" t="s">
        <v>2282</v>
      </c>
      <c r="G372" s="124">
        <v>0</v>
      </c>
      <c r="H372" s="121"/>
    </row>
    <row r="373" spans="2:8">
      <c r="B373" s="23">
        <v>1</v>
      </c>
      <c r="C373" s="125">
        <f t="shared" si="5"/>
        <v>365</v>
      </c>
      <c r="D373" s="122">
        <v>362</v>
      </c>
      <c r="E373" s="121" t="s">
        <v>2297</v>
      </c>
      <c r="F373" s="123" t="s">
        <v>2282</v>
      </c>
      <c r="G373" s="124">
        <v>0</v>
      </c>
      <c r="H373" s="121"/>
    </row>
    <row r="374" spans="2:8">
      <c r="B374" s="23">
        <v>1</v>
      </c>
      <c r="C374" s="125">
        <f t="shared" si="5"/>
        <v>366</v>
      </c>
      <c r="D374" s="122">
        <v>363</v>
      </c>
      <c r="E374" s="121" t="s">
        <v>2298</v>
      </c>
      <c r="F374" s="123" t="s">
        <v>2282</v>
      </c>
      <c r="G374" s="124">
        <v>0</v>
      </c>
      <c r="H374" s="121"/>
    </row>
    <row r="375" spans="2:8">
      <c r="B375" s="23">
        <v>1</v>
      </c>
      <c r="C375" s="125">
        <f t="shared" si="5"/>
        <v>367</v>
      </c>
      <c r="D375" s="122">
        <v>364</v>
      </c>
      <c r="E375" s="121" t="s">
        <v>2299</v>
      </c>
      <c r="F375" s="123" t="s">
        <v>2282</v>
      </c>
      <c r="G375" s="124">
        <v>0</v>
      </c>
      <c r="H375" s="121"/>
    </row>
    <row r="376" spans="2:8">
      <c r="B376" s="23">
        <v>1</v>
      </c>
      <c r="C376" s="125">
        <f t="shared" si="5"/>
        <v>368</v>
      </c>
      <c r="D376" s="122">
        <v>365</v>
      </c>
      <c r="E376" s="121" t="s">
        <v>2300</v>
      </c>
      <c r="F376" s="123" t="s">
        <v>2282</v>
      </c>
      <c r="G376" s="124">
        <v>0</v>
      </c>
      <c r="H376" s="121"/>
    </row>
    <row r="377" spans="2:8">
      <c r="B377" s="23">
        <v>1</v>
      </c>
      <c r="C377" s="125">
        <f t="shared" si="5"/>
        <v>369</v>
      </c>
      <c r="D377" s="122">
        <v>366</v>
      </c>
      <c r="E377" s="121" t="s">
        <v>2301</v>
      </c>
      <c r="F377" s="123" t="s">
        <v>2282</v>
      </c>
      <c r="G377" s="124">
        <v>0</v>
      </c>
      <c r="H377" s="121"/>
    </row>
    <row r="378" spans="2:8">
      <c r="B378" s="23">
        <v>1</v>
      </c>
      <c r="C378" s="125">
        <f t="shared" si="5"/>
        <v>370</v>
      </c>
      <c r="D378" s="122">
        <v>367</v>
      </c>
      <c r="E378" s="121" t="s">
        <v>2302</v>
      </c>
      <c r="F378" s="123" t="s">
        <v>2282</v>
      </c>
      <c r="G378" s="124">
        <v>0</v>
      </c>
      <c r="H378" s="121"/>
    </row>
    <row r="379" spans="2:8" ht="14.25" customHeight="1">
      <c r="B379" s="23">
        <v>1</v>
      </c>
      <c r="C379" s="125">
        <f t="shared" si="5"/>
        <v>371</v>
      </c>
      <c r="D379" s="122">
        <v>368</v>
      </c>
      <c r="E379" s="121" t="s">
        <v>2303</v>
      </c>
      <c r="F379" s="123" t="s">
        <v>2282</v>
      </c>
      <c r="G379" s="124">
        <v>0</v>
      </c>
      <c r="H379" s="121"/>
    </row>
    <row r="380" spans="2:8">
      <c r="B380" s="23">
        <v>1</v>
      </c>
      <c r="C380" s="125">
        <f t="shared" si="5"/>
        <v>372</v>
      </c>
      <c r="D380" s="122">
        <v>369</v>
      </c>
      <c r="E380" s="121" t="s">
        <v>2304</v>
      </c>
      <c r="F380" s="123" t="s">
        <v>2282</v>
      </c>
      <c r="G380" s="124">
        <v>0</v>
      </c>
      <c r="H380" s="121"/>
    </row>
    <row r="381" spans="2:8">
      <c r="B381" s="23">
        <v>1</v>
      </c>
      <c r="C381" s="125">
        <f t="shared" si="5"/>
        <v>373</v>
      </c>
      <c r="D381" s="122">
        <v>370</v>
      </c>
      <c r="E381" s="121" t="s">
        <v>2305</v>
      </c>
      <c r="F381" s="123" t="s">
        <v>2282</v>
      </c>
      <c r="G381" s="124">
        <v>0</v>
      </c>
      <c r="H381" s="121"/>
    </row>
    <row r="382" spans="2:8">
      <c r="B382" s="23">
        <v>1</v>
      </c>
      <c r="C382" s="125">
        <f t="shared" si="5"/>
        <v>374</v>
      </c>
      <c r="D382" s="122">
        <v>371</v>
      </c>
      <c r="E382" s="121" t="s">
        <v>2306</v>
      </c>
      <c r="F382" s="123" t="s">
        <v>2282</v>
      </c>
      <c r="G382" s="124">
        <v>0</v>
      </c>
      <c r="H382" s="121"/>
    </row>
    <row r="383" spans="2:8">
      <c r="B383" s="23">
        <v>1</v>
      </c>
      <c r="C383" s="125">
        <f t="shared" si="5"/>
        <v>375</v>
      </c>
      <c r="D383" s="122">
        <v>372</v>
      </c>
      <c r="E383" s="121" t="s">
        <v>2307</v>
      </c>
      <c r="F383" s="123" t="s">
        <v>2282</v>
      </c>
      <c r="G383" s="124">
        <v>0</v>
      </c>
      <c r="H383" s="121"/>
    </row>
    <row r="384" spans="2:8">
      <c r="B384" s="23">
        <v>1</v>
      </c>
      <c r="C384" s="125">
        <f t="shared" si="5"/>
        <v>376</v>
      </c>
      <c r="D384" s="122">
        <v>373</v>
      </c>
      <c r="E384" s="121" t="s">
        <v>2308</v>
      </c>
      <c r="F384" s="123" t="s">
        <v>2282</v>
      </c>
      <c r="G384" s="124">
        <v>0</v>
      </c>
      <c r="H384" s="121"/>
    </row>
    <row r="385" spans="2:8">
      <c r="B385" s="23">
        <v>1</v>
      </c>
      <c r="C385" s="125">
        <f t="shared" si="5"/>
        <v>377</v>
      </c>
      <c r="D385" s="122">
        <v>374</v>
      </c>
      <c r="E385" s="121" t="s">
        <v>2309</v>
      </c>
      <c r="F385" s="123" t="s">
        <v>2282</v>
      </c>
      <c r="G385" s="124">
        <v>0</v>
      </c>
      <c r="H385" s="121"/>
    </row>
    <row r="386" spans="2:8">
      <c r="B386" s="23">
        <v>1</v>
      </c>
      <c r="C386" s="125">
        <f t="shared" si="5"/>
        <v>378</v>
      </c>
      <c r="D386" s="122">
        <v>375</v>
      </c>
      <c r="E386" s="121" t="s">
        <v>2310</v>
      </c>
      <c r="F386" s="123" t="s">
        <v>2282</v>
      </c>
      <c r="G386" s="124">
        <v>0</v>
      </c>
      <c r="H386" s="121"/>
    </row>
    <row r="387" spans="2:8">
      <c r="B387" s="23">
        <v>1</v>
      </c>
      <c r="C387" s="125">
        <f t="shared" si="5"/>
        <v>379</v>
      </c>
      <c r="D387" s="122">
        <v>376</v>
      </c>
      <c r="E387" s="121" t="s">
        <v>3169</v>
      </c>
      <c r="F387" s="123" t="s">
        <v>2282</v>
      </c>
      <c r="G387" s="124">
        <v>0</v>
      </c>
      <c r="H387" s="121"/>
    </row>
    <row r="388" spans="2:8">
      <c r="B388" s="23">
        <v>1</v>
      </c>
      <c r="C388" s="125">
        <f t="shared" si="5"/>
        <v>380</v>
      </c>
      <c r="D388" s="122">
        <v>377</v>
      </c>
      <c r="E388" s="121" t="s">
        <v>3167</v>
      </c>
      <c r="F388" s="123" t="s">
        <v>2282</v>
      </c>
      <c r="G388" s="124">
        <v>0</v>
      </c>
      <c r="H388" s="121"/>
    </row>
    <row r="389" spans="2:8">
      <c r="B389" s="23">
        <v>1</v>
      </c>
      <c r="C389" s="125">
        <f t="shared" si="5"/>
        <v>381</v>
      </c>
      <c r="D389" s="122">
        <v>378</v>
      </c>
      <c r="E389" s="121" t="s">
        <v>3166</v>
      </c>
      <c r="F389" s="123" t="s">
        <v>2282</v>
      </c>
      <c r="G389" s="124">
        <v>0</v>
      </c>
      <c r="H389" s="121"/>
    </row>
    <row r="390" spans="2:8">
      <c r="B390" s="23">
        <v>1</v>
      </c>
      <c r="C390" s="125">
        <f t="shared" si="5"/>
        <v>382</v>
      </c>
      <c r="D390" s="122">
        <v>379</v>
      </c>
      <c r="E390" s="121" t="s">
        <v>3165</v>
      </c>
      <c r="F390" s="123" t="s">
        <v>2282</v>
      </c>
      <c r="G390" s="124">
        <v>0</v>
      </c>
      <c r="H390" s="121"/>
    </row>
    <row r="391" spans="2:8">
      <c r="B391" s="23">
        <v>1</v>
      </c>
      <c r="C391" s="125">
        <f t="shared" si="5"/>
        <v>383</v>
      </c>
      <c r="D391" s="122">
        <v>380</v>
      </c>
      <c r="E391" s="121" t="s">
        <v>3164</v>
      </c>
      <c r="F391" s="123" t="s">
        <v>2282</v>
      </c>
      <c r="G391" s="124">
        <v>0</v>
      </c>
      <c r="H391" s="121"/>
    </row>
    <row r="392" spans="2:8">
      <c r="B392" s="23">
        <v>1</v>
      </c>
      <c r="C392" s="125">
        <f t="shared" si="5"/>
        <v>384</v>
      </c>
      <c r="D392" s="122">
        <v>381</v>
      </c>
      <c r="E392" s="121" t="s">
        <v>3163</v>
      </c>
      <c r="F392" s="123" t="s">
        <v>2282</v>
      </c>
      <c r="G392" s="124">
        <v>0</v>
      </c>
      <c r="H392" s="121"/>
    </row>
    <row r="393" spans="2:8">
      <c r="B393" s="23">
        <v>1</v>
      </c>
      <c r="C393" s="125">
        <f t="shared" si="5"/>
        <v>385</v>
      </c>
      <c r="D393" s="122">
        <v>382</v>
      </c>
      <c r="E393" s="121" t="s">
        <v>3162</v>
      </c>
      <c r="F393" s="123" t="s">
        <v>2282</v>
      </c>
      <c r="G393" s="124">
        <v>0</v>
      </c>
      <c r="H393" s="121"/>
    </row>
    <row r="394" spans="2:8">
      <c r="B394" s="23">
        <v>1</v>
      </c>
      <c r="C394" s="125">
        <f t="shared" si="5"/>
        <v>386</v>
      </c>
      <c r="D394" s="122">
        <v>383</v>
      </c>
      <c r="E394" s="121" t="s">
        <v>2311</v>
      </c>
      <c r="F394" s="123" t="s">
        <v>2282</v>
      </c>
      <c r="G394" s="124">
        <v>0</v>
      </c>
      <c r="H394" s="121"/>
    </row>
    <row r="395" spans="2:8">
      <c r="B395" s="23">
        <v>1</v>
      </c>
      <c r="C395" s="125">
        <f t="shared" si="5"/>
        <v>387</v>
      </c>
      <c r="D395" s="122">
        <v>384</v>
      </c>
      <c r="E395" s="121" t="s">
        <v>2312</v>
      </c>
      <c r="F395" s="123" t="s">
        <v>2282</v>
      </c>
      <c r="G395" s="124">
        <v>0</v>
      </c>
      <c r="H395" s="121"/>
    </row>
    <row r="396" spans="2:8">
      <c r="B396" s="23">
        <v>1</v>
      </c>
      <c r="C396" s="125">
        <f t="shared" si="5"/>
        <v>388</v>
      </c>
      <c r="D396" s="122">
        <v>385</v>
      </c>
      <c r="E396" s="121" t="s">
        <v>2313</v>
      </c>
      <c r="F396" s="123" t="s">
        <v>2282</v>
      </c>
      <c r="G396" s="124">
        <v>0</v>
      </c>
      <c r="H396" s="121"/>
    </row>
    <row r="397" spans="2:8">
      <c r="B397" s="23">
        <v>1</v>
      </c>
      <c r="C397" s="125">
        <f t="shared" si="5"/>
        <v>389</v>
      </c>
      <c r="D397" s="122">
        <v>386</v>
      </c>
      <c r="E397" s="121" t="s">
        <v>2314</v>
      </c>
      <c r="F397" s="123" t="s">
        <v>2282</v>
      </c>
      <c r="G397" s="124">
        <v>0</v>
      </c>
      <c r="H397" s="121"/>
    </row>
    <row r="398" spans="2:8">
      <c r="B398" s="23">
        <v>1</v>
      </c>
      <c r="C398" s="125">
        <f t="shared" si="5"/>
        <v>390</v>
      </c>
      <c r="D398" s="122">
        <v>387</v>
      </c>
      <c r="E398" s="121" t="s">
        <v>2315</v>
      </c>
      <c r="F398" s="123" t="s">
        <v>2282</v>
      </c>
      <c r="G398" s="124">
        <v>0</v>
      </c>
      <c r="H398" s="121"/>
    </row>
    <row r="399" spans="2:8">
      <c r="B399" s="23">
        <v>1</v>
      </c>
      <c r="C399" s="125">
        <f t="shared" ref="C399:C462" si="6">+C398+1</f>
        <v>391</v>
      </c>
      <c r="D399" s="122">
        <v>388</v>
      </c>
      <c r="E399" s="121" t="s">
        <v>2316</v>
      </c>
      <c r="F399" s="123" t="s">
        <v>2282</v>
      </c>
      <c r="G399" s="124">
        <v>0</v>
      </c>
      <c r="H399" s="121"/>
    </row>
    <row r="400" spans="2:8">
      <c r="B400" s="23">
        <v>1</v>
      </c>
      <c r="C400" s="125">
        <f t="shared" si="6"/>
        <v>392</v>
      </c>
      <c r="D400" s="122">
        <v>389</v>
      </c>
      <c r="E400" s="121" t="s">
        <v>2317</v>
      </c>
      <c r="F400" s="123" t="s">
        <v>2282</v>
      </c>
      <c r="G400" s="124">
        <v>0</v>
      </c>
      <c r="H400" s="121"/>
    </row>
    <row r="401" spans="1:8" hidden="1">
      <c r="A401" s="23">
        <v>1</v>
      </c>
      <c r="B401" s="23">
        <v>1</v>
      </c>
      <c r="C401" s="125">
        <f t="shared" si="6"/>
        <v>393</v>
      </c>
      <c r="D401" s="122">
        <v>390</v>
      </c>
      <c r="E401" s="121" t="s">
        <v>2318</v>
      </c>
      <c r="F401" s="123" t="s">
        <v>2282</v>
      </c>
      <c r="G401" s="124">
        <v>0</v>
      </c>
      <c r="H401" s="121"/>
    </row>
    <row r="402" spans="1:8">
      <c r="B402" s="23">
        <v>1</v>
      </c>
      <c r="C402" s="125">
        <f t="shared" si="6"/>
        <v>394</v>
      </c>
      <c r="D402" s="122">
        <v>391</v>
      </c>
      <c r="E402" s="121" t="s">
        <v>2319</v>
      </c>
      <c r="F402" s="123" t="s">
        <v>2282</v>
      </c>
      <c r="G402" s="124">
        <v>0</v>
      </c>
      <c r="H402" s="121"/>
    </row>
    <row r="403" spans="1:8" hidden="1">
      <c r="A403" s="23">
        <v>1</v>
      </c>
      <c r="B403" s="23">
        <v>1</v>
      </c>
      <c r="C403" s="125">
        <f t="shared" si="6"/>
        <v>395</v>
      </c>
      <c r="D403" s="122">
        <v>392</v>
      </c>
      <c r="E403" s="121" t="s">
        <v>2320</v>
      </c>
      <c r="F403" s="123" t="s">
        <v>2282</v>
      </c>
      <c r="G403" s="124">
        <v>0</v>
      </c>
      <c r="H403" s="121"/>
    </row>
    <row r="404" spans="1:8">
      <c r="B404" s="23">
        <v>1</v>
      </c>
      <c r="C404" s="125">
        <f t="shared" si="6"/>
        <v>396</v>
      </c>
      <c r="D404" s="122">
        <v>393</v>
      </c>
      <c r="E404" s="121" t="s">
        <v>2321</v>
      </c>
      <c r="F404" s="123" t="s">
        <v>2282</v>
      </c>
      <c r="G404" s="124">
        <v>0</v>
      </c>
      <c r="H404" s="121"/>
    </row>
    <row r="405" spans="1:8">
      <c r="B405" s="23">
        <v>1</v>
      </c>
      <c r="C405" s="125">
        <f t="shared" si="6"/>
        <v>397</v>
      </c>
      <c r="D405" s="122">
        <v>394</v>
      </c>
      <c r="E405" s="121" t="s">
        <v>2322</v>
      </c>
      <c r="F405" s="123" t="s">
        <v>2282</v>
      </c>
      <c r="G405" s="124">
        <v>0</v>
      </c>
      <c r="H405" s="121"/>
    </row>
    <row r="406" spans="1:8">
      <c r="B406" s="23">
        <v>1</v>
      </c>
      <c r="C406" s="125">
        <f t="shared" si="6"/>
        <v>398</v>
      </c>
      <c r="D406" s="122">
        <v>395</v>
      </c>
      <c r="E406" s="121" t="s">
        <v>2318</v>
      </c>
      <c r="F406" s="123" t="s">
        <v>2282</v>
      </c>
      <c r="G406" s="124">
        <v>0</v>
      </c>
      <c r="H406" s="121"/>
    </row>
    <row r="407" spans="1:8">
      <c r="B407" s="23">
        <v>1</v>
      </c>
      <c r="C407" s="125">
        <f t="shared" si="6"/>
        <v>399</v>
      </c>
      <c r="D407" s="122">
        <v>396</v>
      </c>
      <c r="E407" s="121" t="s">
        <v>2320</v>
      </c>
      <c r="F407" s="123" t="s">
        <v>2282</v>
      </c>
      <c r="G407" s="124">
        <v>0</v>
      </c>
      <c r="H407" s="121"/>
    </row>
    <row r="408" spans="1:8">
      <c r="B408" s="23">
        <v>1</v>
      </c>
      <c r="C408" s="125">
        <f t="shared" si="6"/>
        <v>400</v>
      </c>
      <c r="D408" s="122">
        <v>397</v>
      </c>
      <c r="E408" s="121" t="s">
        <v>2323</v>
      </c>
      <c r="F408" s="123" t="s">
        <v>2282</v>
      </c>
      <c r="G408" s="124">
        <v>0</v>
      </c>
      <c r="H408" s="121"/>
    </row>
    <row r="409" spans="1:8">
      <c r="B409" s="23">
        <v>1</v>
      </c>
      <c r="C409" s="125">
        <f t="shared" si="6"/>
        <v>401</v>
      </c>
      <c r="D409" s="122">
        <v>398</v>
      </c>
      <c r="E409" s="121" t="s">
        <v>2324</v>
      </c>
      <c r="F409" s="123" t="s">
        <v>2282</v>
      </c>
      <c r="G409" s="124">
        <v>0</v>
      </c>
      <c r="H409" s="121"/>
    </row>
    <row r="410" spans="1:8">
      <c r="B410" s="23">
        <v>1</v>
      </c>
      <c r="C410" s="125">
        <f t="shared" si="6"/>
        <v>402</v>
      </c>
      <c r="D410" s="122">
        <v>399</v>
      </c>
      <c r="E410" s="121" t="s">
        <v>2325</v>
      </c>
      <c r="F410" s="123" t="s">
        <v>87</v>
      </c>
      <c r="G410" s="124">
        <v>0</v>
      </c>
      <c r="H410" s="121"/>
    </row>
    <row r="411" spans="1:8">
      <c r="B411" s="23">
        <v>1</v>
      </c>
      <c r="C411" s="125">
        <f t="shared" si="6"/>
        <v>403</v>
      </c>
      <c r="D411" s="122">
        <v>400</v>
      </c>
      <c r="E411" s="121" t="s">
        <v>2326</v>
      </c>
      <c r="F411" s="123" t="s">
        <v>87</v>
      </c>
      <c r="G411" s="124">
        <v>0</v>
      </c>
      <c r="H411" s="121"/>
    </row>
    <row r="412" spans="1:8">
      <c r="B412" s="23">
        <v>1</v>
      </c>
      <c r="C412" s="125">
        <f t="shared" si="6"/>
        <v>404</v>
      </c>
      <c r="D412" s="122">
        <v>401</v>
      </c>
      <c r="E412" s="121" t="s">
        <v>2327</v>
      </c>
      <c r="F412" s="123" t="s">
        <v>87</v>
      </c>
      <c r="G412" s="124">
        <v>0</v>
      </c>
      <c r="H412" s="121"/>
    </row>
    <row r="413" spans="1:8">
      <c r="B413" s="23">
        <v>1</v>
      </c>
      <c r="C413" s="125">
        <f t="shared" si="6"/>
        <v>405</v>
      </c>
      <c r="D413" s="122">
        <v>402</v>
      </c>
      <c r="E413" s="121" t="s">
        <v>2328</v>
      </c>
      <c r="F413" s="123" t="s">
        <v>87</v>
      </c>
      <c r="G413" s="124">
        <v>0</v>
      </c>
      <c r="H413" s="121"/>
    </row>
    <row r="414" spans="1:8">
      <c r="B414" s="23">
        <v>1</v>
      </c>
      <c r="C414" s="125">
        <f t="shared" si="6"/>
        <v>406</v>
      </c>
      <c r="D414" s="122">
        <v>403</v>
      </c>
      <c r="E414" s="121" t="s">
        <v>2329</v>
      </c>
      <c r="F414" s="123" t="s">
        <v>87</v>
      </c>
      <c r="G414" s="124">
        <v>0</v>
      </c>
      <c r="H414" s="121"/>
    </row>
    <row r="415" spans="1:8">
      <c r="B415" s="23">
        <v>1</v>
      </c>
      <c r="C415" s="125">
        <f t="shared" si="6"/>
        <v>407</v>
      </c>
      <c r="D415" s="122">
        <v>404</v>
      </c>
      <c r="E415" s="121" t="s">
        <v>2330</v>
      </c>
      <c r="F415" s="123" t="s">
        <v>87</v>
      </c>
      <c r="G415" s="124">
        <v>0</v>
      </c>
      <c r="H415" s="121"/>
    </row>
    <row r="416" spans="1:8">
      <c r="B416" s="23">
        <v>1</v>
      </c>
      <c r="C416" s="125">
        <f t="shared" si="6"/>
        <v>408</v>
      </c>
      <c r="D416" s="122">
        <v>405</v>
      </c>
      <c r="E416" s="121" t="s">
        <v>2331</v>
      </c>
      <c r="F416" s="123" t="s">
        <v>87</v>
      </c>
      <c r="G416" s="124">
        <v>0</v>
      </c>
      <c r="H416" s="121"/>
    </row>
    <row r="417" spans="2:8">
      <c r="B417" s="23">
        <v>1</v>
      </c>
      <c r="C417" s="125">
        <f t="shared" si="6"/>
        <v>409</v>
      </c>
      <c r="D417" s="122">
        <v>406</v>
      </c>
      <c r="E417" s="121" t="s">
        <v>2332</v>
      </c>
      <c r="F417" s="123" t="s">
        <v>2333</v>
      </c>
      <c r="G417" s="124">
        <v>0</v>
      </c>
      <c r="H417" s="121"/>
    </row>
    <row r="418" spans="2:8">
      <c r="B418" s="23">
        <v>1</v>
      </c>
      <c r="C418" s="125">
        <f t="shared" si="6"/>
        <v>410</v>
      </c>
      <c r="D418" s="122">
        <v>407</v>
      </c>
      <c r="E418" s="121" t="s">
        <v>2334</v>
      </c>
      <c r="F418" s="123" t="s">
        <v>2333</v>
      </c>
      <c r="G418" s="124">
        <v>0</v>
      </c>
      <c r="H418" s="121"/>
    </row>
    <row r="419" spans="2:8">
      <c r="B419" s="23">
        <v>1</v>
      </c>
      <c r="C419" s="125">
        <f t="shared" si="6"/>
        <v>411</v>
      </c>
      <c r="D419" s="122">
        <v>408</v>
      </c>
      <c r="E419" s="121" t="s">
        <v>2335</v>
      </c>
      <c r="F419" s="123" t="s">
        <v>2333</v>
      </c>
      <c r="G419" s="124">
        <v>0</v>
      </c>
      <c r="H419" s="121"/>
    </row>
    <row r="420" spans="2:8">
      <c r="B420" s="23">
        <v>1</v>
      </c>
      <c r="C420" s="125">
        <f t="shared" si="6"/>
        <v>412</v>
      </c>
      <c r="D420" s="122">
        <v>409</v>
      </c>
      <c r="E420" s="121" t="s">
        <v>2336</v>
      </c>
      <c r="F420" s="123" t="s">
        <v>2333</v>
      </c>
      <c r="G420" s="124">
        <v>0</v>
      </c>
      <c r="H420" s="121"/>
    </row>
    <row r="421" spans="2:8">
      <c r="B421" s="23">
        <v>1</v>
      </c>
      <c r="C421" s="125">
        <f t="shared" si="6"/>
        <v>413</v>
      </c>
      <c r="D421" s="122">
        <v>410</v>
      </c>
      <c r="E421" s="121" t="s">
        <v>2337</v>
      </c>
      <c r="F421" s="123" t="s">
        <v>2333</v>
      </c>
      <c r="G421" s="124">
        <v>0</v>
      </c>
      <c r="H421" s="121"/>
    </row>
    <row r="422" spans="2:8">
      <c r="B422" s="23">
        <v>1</v>
      </c>
      <c r="C422" s="125">
        <f t="shared" si="6"/>
        <v>414</v>
      </c>
      <c r="D422" s="122">
        <v>411</v>
      </c>
      <c r="E422" s="121" t="s">
        <v>2338</v>
      </c>
      <c r="F422" s="123" t="s">
        <v>2333</v>
      </c>
      <c r="G422" s="124">
        <v>0</v>
      </c>
      <c r="H422" s="121"/>
    </row>
    <row r="423" spans="2:8">
      <c r="B423" s="23">
        <v>1</v>
      </c>
      <c r="C423" s="125">
        <f t="shared" si="6"/>
        <v>415</v>
      </c>
      <c r="D423" s="122">
        <v>412</v>
      </c>
      <c r="E423" s="121" t="s">
        <v>2339</v>
      </c>
      <c r="F423" s="123" t="s">
        <v>2333</v>
      </c>
      <c r="G423" s="124">
        <v>0</v>
      </c>
      <c r="H423" s="121"/>
    </row>
    <row r="424" spans="2:8">
      <c r="B424" s="23">
        <v>1</v>
      </c>
      <c r="C424" s="125">
        <f t="shared" si="6"/>
        <v>416</v>
      </c>
      <c r="D424" s="122">
        <v>413</v>
      </c>
      <c r="E424" s="121" t="s">
        <v>2340</v>
      </c>
      <c r="F424" s="123" t="s">
        <v>2333</v>
      </c>
      <c r="G424" s="124">
        <v>0</v>
      </c>
      <c r="H424" s="121"/>
    </row>
    <row r="425" spans="2:8">
      <c r="B425" s="23">
        <v>1</v>
      </c>
      <c r="C425" s="125">
        <f t="shared" si="6"/>
        <v>417</v>
      </c>
      <c r="D425" s="122">
        <v>414</v>
      </c>
      <c r="E425" s="121" t="s">
        <v>2341</v>
      </c>
      <c r="F425" s="123" t="s">
        <v>2333</v>
      </c>
      <c r="G425" s="124">
        <v>0</v>
      </c>
      <c r="H425" s="121"/>
    </row>
    <row r="426" spans="2:8">
      <c r="B426" s="23">
        <v>1</v>
      </c>
      <c r="C426" s="125">
        <f t="shared" si="6"/>
        <v>418</v>
      </c>
      <c r="D426" s="122">
        <v>415</v>
      </c>
      <c r="E426" s="121" t="s">
        <v>2342</v>
      </c>
      <c r="F426" s="123" t="s">
        <v>2333</v>
      </c>
      <c r="G426" s="124">
        <v>0</v>
      </c>
      <c r="H426" s="121"/>
    </row>
    <row r="427" spans="2:8">
      <c r="B427" s="23">
        <v>1</v>
      </c>
      <c r="C427" s="125">
        <f t="shared" si="6"/>
        <v>419</v>
      </c>
      <c r="D427" s="122">
        <v>416</v>
      </c>
      <c r="E427" s="121" t="s">
        <v>2343</v>
      </c>
      <c r="F427" s="123" t="s">
        <v>2333</v>
      </c>
      <c r="G427" s="124">
        <v>0</v>
      </c>
      <c r="H427" s="121"/>
    </row>
    <row r="428" spans="2:8">
      <c r="B428" s="23">
        <v>1</v>
      </c>
      <c r="C428" s="125">
        <f t="shared" si="6"/>
        <v>420</v>
      </c>
      <c r="D428" s="122">
        <v>417</v>
      </c>
      <c r="E428" s="121" t="s">
        <v>2344</v>
      </c>
      <c r="F428" s="123" t="s">
        <v>2333</v>
      </c>
      <c r="G428" s="124">
        <v>0</v>
      </c>
      <c r="H428" s="121"/>
    </row>
    <row r="429" spans="2:8">
      <c r="B429" s="23">
        <v>1</v>
      </c>
      <c r="C429" s="125">
        <f t="shared" si="6"/>
        <v>421</v>
      </c>
      <c r="D429" s="122">
        <v>418</v>
      </c>
      <c r="E429" s="121" t="s">
        <v>2345</v>
      </c>
      <c r="F429" s="123" t="s">
        <v>2333</v>
      </c>
      <c r="G429" s="124">
        <v>0</v>
      </c>
      <c r="H429" s="121"/>
    </row>
    <row r="430" spans="2:8">
      <c r="B430" s="23">
        <v>1</v>
      </c>
      <c r="C430" s="125">
        <f t="shared" si="6"/>
        <v>422</v>
      </c>
      <c r="D430" s="122">
        <v>419</v>
      </c>
      <c r="E430" s="121" t="s">
        <v>2346</v>
      </c>
      <c r="F430" s="123" t="s">
        <v>2333</v>
      </c>
      <c r="G430" s="124">
        <v>0</v>
      </c>
      <c r="H430" s="121"/>
    </row>
    <row r="431" spans="2:8">
      <c r="B431" s="23">
        <v>1</v>
      </c>
      <c r="C431" s="125">
        <f t="shared" si="6"/>
        <v>423</v>
      </c>
      <c r="D431" s="122">
        <v>420</v>
      </c>
      <c r="E431" s="121" t="s">
        <v>2347</v>
      </c>
      <c r="F431" s="123" t="s">
        <v>2333</v>
      </c>
      <c r="G431" s="124">
        <v>0</v>
      </c>
      <c r="H431" s="121"/>
    </row>
    <row r="432" spans="2:8">
      <c r="B432" s="23">
        <v>1</v>
      </c>
      <c r="C432" s="125">
        <f t="shared" si="6"/>
        <v>424</v>
      </c>
      <c r="D432" s="122">
        <v>421</v>
      </c>
      <c r="E432" s="121" t="s">
        <v>2348</v>
      </c>
      <c r="F432" s="123" t="s">
        <v>2333</v>
      </c>
      <c r="G432" s="124">
        <v>0</v>
      </c>
      <c r="H432" s="121"/>
    </row>
    <row r="433" spans="2:8">
      <c r="B433" s="23">
        <v>1</v>
      </c>
      <c r="C433" s="125">
        <f t="shared" si="6"/>
        <v>425</v>
      </c>
      <c r="D433" s="122">
        <v>422</v>
      </c>
      <c r="E433" s="121" t="s">
        <v>2349</v>
      </c>
      <c r="F433" s="123" t="s">
        <v>2333</v>
      </c>
      <c r="G433" s="124">
        <v>0</v>
      </c>
      <c r="H433" s="121"/>
    </row>
    <row r="434" spans="2:8">
      <c r="B434" s="23">
        <v>1</v>
      </c>
      <c r="C434" s="125">
        <f t="shared" si="6"/>
        <v>426</v>
      </c>
      <c r="D434" s="122">
        <v>423</v>
      </c>
      <c r="E434" s="121" t="s">
        <v>2350</v>
      </c>
      <c r="F434" s="123" t="s">
        <v>2333</v>
      </c>
      <c r="G434" s="124">
        <v>0</v>
      </c>
      <c r="H434" s="121"/>
    </row>
    <row r="435" spans="2:8">
      <c r="B435" s="23">
        <v>1</v>
      </c>
      <c r="C435" s="125">
        <f t="shared" si="6"/>
        <v>427</v>
      </c>
      <c r="D435" s="122">
        <v>424</v>
      </c>
      <c r="E435" s="121" t="s">
        <v>2351</v>
      </c>
      <c r="F435" s="123" t="s">
        <v>2333</v>
      </c>
      <c r="G435" s="124">
        <v>0</v>
      </c>
      <c r="H435" s="121"/>
    </row>
    <row r="436" spans="2:8">
      <c r="B436" s="23">
        <v>1</v>
      </c>
      <c r="C436" s="125">
        <f t="shared" si="6"/>
        <v>428</v>
      </c>
      <c r="D436" s="122">
        <v>425</v>
      </c>
      <c r="E436" s="121" t="s">
        <v>2352</v>
      </c>
      <c r="F436" s="123" t="s">
        <v>2333</v>
      </c>
      <c r="G436" s="124">
        <v>0</v>
      </c>
      <c r="H436" s="121"/>
    </row>
    <row r="437" spans="2:8">
      <c r="B437" s="23">
        <v>1</v>
      </c>
      <c r="C437" s="125">
        <f t="shared" si="6"/>
        <v>429</v>
      </c>
      <c r="D437" s="122">
        <v>426</v>
      </c>
      <c r="E437" s="121" t="s">
        <v>2353</v>
      </c>
      <c r="F437" s="123" t="s">
        <v>2333</v>
      </c>
      <c r="G437" s="124">
        <v>0</v>
      </c>
      <c r="H437" s="121"/>
    </row>
    <row r="438" spans="2:8">
      <c r="B438" s="23">
        <v>1</v>
      </c>
      <c r="C438" s="125">
        <f t="shared" si="6"/>
        <v>430</v>
      </c>
      <c r="D438" s="122">
        <v>427</v>
      </c>
      <c r="E438" s="121" t="s">
        <v>2354</v>
      </c>
      <c r="F438" s="123" t="s">
        <v>87</v>
      </c>
      <c r="G438" s="124">
        <v>0</v>
      </c>
      <c r="H438" s="121"/>
    </row>
    <row r="439" spans="2:8">
      <c r="B439" s="23">
        <v>1</v>
      </c>
      <c r="C439" s="125">
        <f t="shared" si="6"/>
        <v>431</v>
      </c>
      <c r="D439" s="122">
        <v>428</v>
      </c>
      <c r="E439" s="121" t="s">
        <v>2355</v>
      </c>
      <c r="F439" s="123" t="s">
        <v>87</v>
      </c>
      <c r="G439" s="124">
        <v>0</v>
      </c>
      <c r="H439" s="121"/>
    </row>
    <row r="440" spans="2:8">
      <c r="B440" s="23">
        <v>1</v>
      </c>
      <c r="C440" s="125">
        <f t="shared" si="6"/>
        <v>432</v>
      </c>
      <c r="D440" s="122">
        <v>429</v>
      </c>
      <c r="E440" s="121" t="s">
        <v>2356</v>
      </c>
      <c r="F440" s="123" t="s">
        <v>87</v>
      </c>
      <c r="G440" s="124">
        <v>0</v>
      </c>
      <c r="H440" s="121"/>
    </row>
    <row r="441" spans="2:8">
      <c r="B441" s="23">
        <v>1</v>
      </c>
      <c r="C441" s="125">
        <f t="shared" si="6"/>
        <v>433</v>
      </c>
      <c r="D441" s="122">
        <v>430</v>
      </c>
      <c r="E441" s="121" t="s">
        <v>2357</v>
      </c>
      <c r="F441" s="123" t="s">
        <v>87</v>
      </c>
      <c r="G441" s="124">
        <v>0</v>
      </c>
      <c r="H441" s="121"/>
    </row>
    <row r="442" spans="2:8">
      <c r="B442" s="23">
        <v>1</v>
      </c>
      <c r="C442" s="125">
        <f t="shared" si="6"/>
        <v>434</v>
      </c>
      <c r="D442" s="122">
        <v>431</v>
      </c>
      <c r="E442" s="121" t="s">
        <v>2358</v>
      </c>
      <c r="F442" s="123" t="s">
        <v>87</v>
      </c>
      <c r="G442" s="124">
        <v>0</v>
      </c>
      <c r="H442" s="121"/>
    </row>
    <row r="443" spans="2:8">
      <c r="B443" s="23">
        <v>1</v>
      </c>
      <c r="C443" s="125">
        <f t="shared" si="6"/>
        <v>435</v>
      </c>
      <c r="D443" s="122">
        <v>432</v>
      </c>
      <c r="E443" s="121" t="s">
        <v>2359</v>
      </c>
      <c r="F443" s="123" t="s">
        <v>87</v>
      </c>
      <c r="G443" s="124">
        <v>0</v>
      </c>
      <c r="H443" s="121"/>
    </row>
    <row r="444" spans="2:8">
      <c r="B444" s="23">
        <v>1</v>
      </c>
      <c r="C444" s="125">
        <f t="shared" si="6"/>
        <v>436</v>
      </c>
      <c r="D444" s="122">
        <v>433</v>
      </c>
      <c r="E444" s="121" t="s">
        <v>2360</v>
      </c>
      <c r="F444" s="123" t="s">
        <v>87</v>
      </c>
      <c r="G444" s="124">
        <v>0</v>
      </c>
      <c r="H444" s="121"/>
    </row>
    <row r="445" spans="2:8">
      <c r="B445" s="23">
        <v>1</v>
      </c>
      <c r="C445" s="125">
        <f t="shared" si="6"/>
        <v>437</v>
      </c>
      <c r="D445" s="122">
        <v>434</v>
      </c>
      <c r="E445" s="121" t="s">
        <v>2361</v>
      </c>
      <c r="F445" s="123" t="s">
        <v>87</v>
      </c>
      <c r="G445" s="124">
        <v>0</v>
      </c>
      <c r="H445" s="121"/>
    </row>
    <row r="446" spans="2:8">
      <c r="B446" s="23">
        <v>1</v>
      </c>
      <c r="C446" s="125">
        <f t="shared" si="6"/>
        <v>438</v>
      </c>
      <c r="D446" s="122">
        <v>435</v>
      </c>
      <c r="E446" s="121" t="s">
        <v>2362</v>
      </c>
      <c r="F446" s="123" t="s">
        <v>87</v>
      </c>
      <c r="G446" s="124">
        <v>0</v>
      </c>
      <c r="H446" s="121"/>
    </row>
    <row r="447" spans="2:8">
      <c r="B447" s="23">
        <v>1</v>
      </c>
      <c r="C447" s="125">
        <f t="shared" si="6"/>
        <v>439</v>
      </c>
      <c r="D447" s="122">
        <v>436</v>
      </c>
      <c r="E447" s="121" t="s">
        <v>2363</v>
      </c>
      <c r="F447" s="123" t="s">
        <v>87</v>
      </c>
      <c r="G447" s="124">
        <v>0</v>
      </c>
      <c r="H447" s="121"/>
    </row>
    <row r="448" spans="2:8">
      <c r="B448" s="23">
        <v>1</v>
      </c>
      <c r="C448" s="125">
        <f t="shared" si="6"/>
        <v>440</v>
      </c>
      <c r="D448" s="122">
        <v>437</v>
      </c>
      <c r="E448" s="121" t="s">
        <v>2364</v>
      </c>
      <c r="F448" s="123" t="s">
        <v>87</v>
      </c>
      <c r="G448" s="124">
        <v>0</v>
      </c>
      <c r="H448" s="121"/>
    </row>
    <row r="449" spans="2:8">
      <c r="B449" s="23">
        <v>1</v>
      </c>
      <c r="C449" s="125">
        <f t="shared" si="6"/>
        <v>441</v>
      </c>
      <c r="D449" s="122">
        <v>438</v>
      </c>
      <c r="E449" s="121" t="s">
        <v>2365</v>
      </c>
      <c r="F449" s="123" t="s">
        <v>87</v>
      </c>
      <c r="G449" s="124">
        <v>0</v>
      </c>
      <c r="H449" s="121"/>
    </row>
    <row r="450" spans="2:8">
      <c r="B450" s="23">
        <v>1</v>
      </c>
      <c r="C450" s="125">
        <f t="shared" si="6"/>
        <v>442</v>
      </c>
      <c r="D450" s="122">
        <v>439</v>
      </c>
      <c r="E450" s="121" t="s">
        <v>2366</v>
      </c>
      <c r="F450" s="123" t="s">
        <v>87</v>
      </c>
      <c r="G450" s="124">
        <v>0</v>
      </c>
      <c r="H450" s="121"/>
    </row>
    <row r="451" spans="2:8">
      <c r="B451" s="23">
        <v>1</v>
      </c>
      <c r="C451" s="125">
        <f t="shared" si="6"/>
        <v>443</v>
      </c>
      <c r="D451" s="122">
        <v>440</v>
      </c>
      <c r="E451" s="121" t="s">
        <v>2367</v>
      </c>
      <c r="F451" s="123" t="s">
        <v>87</v>
      </c>
      <c r="G451" s="124">
        <v>0</v>
      </c>
      <c r="H451" s="121"/>
    </row>
    <row r="452" spans="2:8">
      <c r="B452" s="23">
        <v>1</v>
      </c>
      <c r="C452" s="125">
        <f t="shared" si="6"/>
        <v>444</v>
      </c>
      <c r="D452" s="122">
        <v>441</v>
      </c>
      <c r="E452" s="121" t="s">
        <v>2368</v>
      </c>
      <c r="F452" s="123" t="s">
        <v>87</v>
      </c>
      <c r="G452" s="124">
        <v>0</v>
      </c>
      <c r="H452" s="121"/>
    </row>
    <row r="453" spans="2:8">
      <c r="B453" s="23">
        <v>1</v>
      </c>
      <c r="C453" s="125">
        <f t="shared" si="6"/>
        <v>445</v>
      </c>
      <c r="D453" s="122">
        <v>442</v>
      </c>
      <c r="E453" s="121" t="s">
        <v>2369</v>
      </c>
      <c r="F453" s="123" t="s">
        <v>87</v>
      </c>
      <c r="G453" s="124">
        <v>0</v>
      </c>
      <c r="H453" s="121"/>
    </row>
    <row r="454" spans="2:8">
      <c r="B454" s="23">
        <v>1</v>
      </c>
      <c r="C454" s="125">
        <f t="shared" si="6"/>
        <v>446</v>
      </c>
      <c r="D454" s="122">
        <v>443</v>
      </c>
      <c r="E454" s="121" t="s">
        <v>2370</v>
      </c>
      <c r="F454" s="123" t="s">
        <v>87</v>
      </c>
      <c r="G454" s="124">
        <v>0</v>
      </c>
      <c r="H454" s="121"/>
    </row>
    <row r="455" spans="2:8">
      <c r="B455" s="23">
        <v>1</v>
      </c>
      <c r="C455" s="125">
        <f t="shared" si="6"/>
        <v>447</v>
      </c>
      <c r="D455" s="122">
        <v>444</v>
      </c>
      <c r="E455" s="121" t="s">
        <v>2371</v>
      </c>
      <c r="F455" s="123" t="s">
        <v>87</v>
      </c>
      <c r="G455" s="124">
        <v>0</v>
      </c>
      <c r="H455" s="121"/>
    </row>
    <row r="456" spans="2:8">
      <c r="B456" s="23">
        <v>1</v>
      </c>
      <c r="C456" s="125">
        <f t="shared" si="6"/>
        <v>448</v>
      </c>
      <c r="D456" s="122">
        <v>445</v>
      </c>
      <c r="E456" s="121" t="s">
        <v>2372</v>
      </c>
      <c r="F456" s="123" t="s">
        <v>87</v>
      </c>
      <c r="G456" s="124">
        <v>0</v>
      </c>
      <c r="H456" s="121"/>
    </row>
    <row r="457" spans="2:8">
      <c r="B457" s="23">
        <v>1</v>
      </c>
      <c r="C457" s="125">
        <f t="shared" si="6"/>
        <v>449</v>
      </c>
      <c r="D457" s="122">
        <v>446</v>
      </c>
      <c r="E457" s="121" t="s">
        <v>2373</v>
      </c>
      <c r="F457" s="123" t="s">
        <v>87</v>
      </c>
      <c r="G457" s="124">
        <v>0</v>
      </c>
      <c r="H457" s="121"/>
    </row>
    <row r="458" spans="2:8">
      <c r="B458" s="23">
        <v>1</v>
      </c>
      <c r="C458" s="125">
        <f t="shared" si="6"/>
        <v>450</v>
      </c>
      <c r="D458" s="122">
        <v>447</v>
      </c>
      <c r="E458" s="121" t="s">
        <v>2374</v>
      </c>
      <c r="F458" s="123" t="s">
        <v>87</v>
      </c>
      <c r="G458" s="124">
        <v>0</v>
      </c>
      <c r="H458" s="121"/>
    </row>
    <row r="459" spans="2:8">
      <c r="B459" s="23">
        <v>1</v>
      </c>
      <c r="C459" s="125">
        <f t="shared" si="6"/>
        <v>451</v>
      </c>
      <c r="D459" s="122">
        <v>448</v>
      </c>
      <c r="E459" s="121" t="s">
        <v>2375</v>
      </c>
      <c r="F459" s="123" t="s">
        <v>87</v>
      </c>
      <c r="G459" s="124">
        <v>0</v>
      </c>
      <c r="H459" s="121"/>
    </row>
    <row r="460" spans="2:8">
      <c r="B460" s="23">
        <v>1</v>
      </c>
      <c r="C460" s="125">
        <f t="shared" si="6"/>
        <v>452</v>
      </c>
      <c r="D460" s="122">
        <v>449</v>
      </c>
      <c r="E460" s="121" t="s">
        <v>2376</v>
      </c>
      <c r="F460" s="123" t="s">
        <v>87</v>
      </c>
      <c r="G460" s="124">
        <v>0</v>
      </c>
      <c r="H460" s="121"/>
    </row>
    <row r="461" spans="2:8">
      <c r="B461" s="23">
        <v>1</v>
      </c>
      <c r="C461" s="125">
        <f t="shared" si="6"/>
        <v>453</v>
      </c>
      <c r="D461" s="122">
        <v>450</v>
      </c>
      <c r="E461" s="121" t="s">
        <v>2377</v>
      </c>
      <c r="F461" s="123" t="s">
        <v>87</v>
      </c>
      <c r="G461" s="124">
        <v>0</v>
      </c>
      <c r="H461" s="121"/>
    </row>
    <row r="462" spans="2:8">
      <c r="B462" s="23">
        <v>1</v>
      </c>
      <c r="C462" s="125">
        <f t="shared" si="6"/>
        <v>454</v>
      </c>
      <c r="D462" s="122">
        <v>451</v>
      </c>
      <c r="E462" s="121" t="s">
        <v>2378</v>
      </c>
      <c r="F462" s="123" t="s">
        <v>87</v>
      </c>
      <c r="G462" s="124">
        <v>0</v>
      </c>
      <c r="H462" s="121"/>
    </row>
    <row r="463" spans="2:8">
      <c r="B463" s="23">
        <v>1</v>
      </c>
      <c r="C463" s="125">
        <f t="shared" ref="C463:C526" si="7">+C462+1</f>
        <v>455</v>
      </c>
      <c r="D463" s="122">
        <v>452</v>
      </c>
      <c r="E463" s="121" t="s">
        <v>2379</v>
      </c>
      <c r="F463" s="123" t="s">
        <v>87</v>
      </c>
      <c r="G463" s="124">
        <v>0</v>
      </c>
      <c r="H463" s="121"/>
    </row>
    <row r="464" spans="2:8">
      <c r="B464" s="23">
        <v>1</v>
      </c>
      <c r="C464" s="125">
        <f t="shared" si="7"/>
        <v>456</v>
      </c>
      <c r="D464" s="122">
        <v>453</v>
      </c>
      <c r="E464" s="121" t="s">
        <v>2380</v>
      </c>
      <c r="F464" s="123" t="s">
        <v>87</v>
      </c>
      <c r="G464" s="124">
        <v>0</v>
      </c>
      <c r="H464" s="121"/>
    </row>
    <row r="465" spans="2:8">
      <c r="B465" s="23">
        <v>1</v>
      </c>
      <c r="C465" s="125">
        <f t="shared" si="7"/>
        <v>457</v>
      </c>
      <c r="D465" s="122">
        <v>454</v>
      </c>
      <c r="E465" s="121" t="s">
        <v>2381</v>
      </c>
      <c r="F465" s="123" t="s">
        <v>87</v>
      </c>
      <c r="G465" s="124">
        <v>0</v>
      </c>
      <c r="H465" s="121"/>
    </row>
    <row r="466" spans="2:8">
      <c r="B466" s="23">
        <v>1</v>
      </c>
      <c r="C466" s="125">
        <f t="shared" si="7"/>
        <v>458</v>
      </c>
      <c r="D466" s="122">
        <v>455</v>
      </c>
      <c r="E466" s="121" t="s">
        <v>2382</v>
      </c>
      <c r="F466" s="123" t="s">
        <v>87</v>
      </c>
      <c r="G466" s="124">
        <v>0</v>
      </c>
      <c r="H466" s="121"/>
    </row>
    <row r="467" spans="2:8">
      <c r="B467" s="23">
        <v>1</v>
      </c>
      <c r="C467" s="125">
        <f t="shared" si="7"/>
        <v>459</v>
      </c>
      <c r="D467" s="122">
        <v>456</v>
      </c>
      <c r="E467" s="121" t="s">
        <v>2383</v>
      </c>
      <c r="F467" s="123" t="s">
        <v>87</v>
      </c>
      <c r="G467" s="124">
        <v>0</v>
      </c>
      <c r="H467" s="121"/>
    </row>
    <row r="468" spans="2:8">
      <c r="B468" s="23">
        <v>1</v>
      </c>
      <c r="C468" s="125">
        <f t="shared" si="7"/>
        <v>460</v>
      </c>
      <c r="D468" s="122">
        <v>457</v>
      </c>
      <c r="E468" s="121" t="s">
        <v>2384</v>
      </c>
      <c r="F468" s="123" t="s">
        <v>87</v>
      </c>
      <c r="G468" s="124">
        <v>0</v>
      </c>
      <c r="H468" s="121"/>
    </row>
    <row r="469" spans="2:8">
      <c r="B469" s="23">
        <v>1</v>
      </c>
      <c r="C469" s="125">
        <f t="shared" si="7"/>
        <v>461</v>
      </c>
      <c r="D469" s="122">
        <v>458</v>
      </c>
      <c r="E469" s="121" t="s">
        <v>2385</v>
      </c>
      <c r="F469" s="123" t="s">
        <v>87</v>
      </c>
      <c r="G469" s="124">
        <v>0</v>
      </c>
      <c r="H469" s="121"/>
    </row>
    <row r="470" spans="2:8">
      <c r="B470" s="23">
        <v>1</v>
      </c>
      <c r="C470" s="125">
        <f t="shared" si="7"/>
        <v>462</v>
      </c>
      <c r="D470" s="122">
        <v>459</v>
      </c>
      <c r="E470" s="121" t="s">
        <v>2386</v>
      </c>
      <c r="F470" s="123" t="s">
        <v>87</v>
      </c>
      <c r="G470" s="124">
        <v>0</v>
      </c>
      <c r="H470" s="121"/>
    </row>
    <row r="471" spans="2:8">
      <c r="B471" s="23">
        <v>1</v>
      </c>
      <c r="C471" s="125">
        <f t="shared" si="7"/>
        <v>463</v>
      </c>
      <c r="D471" s="122">
        <v>460</v>
      </c>
      <c r="E471" s="121" t="s">
        <v>2387</v>
      </c>
      <c r="F471" s="123" t="s">
        <v>87</v>
      </c>
      <c r="G471" s="124">
        <v>0</v>
      </c>
      <c r="H471" s="121"/>
    </row>
    <row r="472" spans="2:8">
      <c r="B472" s="23">
        <v>1</v>
      </c>
      <c r="C472" s="125">
        <f t="shared" si="7"/>
        <v>464</v>
      </c>
      <c r="D472" s="122">
        <v>461</v>
      </c>
      <c r="E472" s="121" t="s">
        <v>2388</v>
      </c>
      <c r="F472" s="123" t="s">
        <v>87</v>
      </c>
      <c r="G472" s="124">
        <v>0</v>
      </c>
      <c r="H472" s="121"/>
    </row>
    <row r="473" spans="2:8">
      <c r="B473" s="23">
        <v>1</v>
      </c>
      <c r="C473" s="125">
        <f t="shared" si="7"/>
        <v>465</v>
      </c>
      <c r="D473" s="122">
        <v>462</v>
      </c>
      <c r="E473" s="121" t="s">
        <v>2389</v>
      </c>
      <c r="F473" s="123" t="s">
        <v>87</v>
      </c>
      <c r="G473" s="124">
        <v>0</v>
      </c>
      <c r="H473" s="121"/>
    </row>
    <row r="474" spans="2:8">
      <c r="B474" s="23">
        <v>1</v>
      </c>
      <c r="C474" s="125">
        <f t="shared" si="7"/>
        <v>466</v>
      </c>
      <c r="D474" s="122">
        <v>463</v>
      </c>
      <c r="E474" s="121" t="s">
        <v>2390</v>
      </c>
      <c r="F474" s="123" t="s">
        <v>87</v>
      </c>
      <c r="G474" s="124">
        <v>0</v>
      </c>
      <c r="H474" s="121"/>
    </row>
    <row r="475" spans="2:8">
      <c r="B475" s="23">
        <v>1</v>
      </c>
      <c r="C475" s="125">
        <f t="shared" si="7"/>
        <v>467</v>
      </c>
      <c r="D475" s="122">
        <v>464</v>
      </c>
      <c r="E475" s="121" t="s">
        <v>2391</v>
      </c>
      <c r="F475" s="123" t="s">
        <v>87</v>
      </c>
      <c r="G475" s="124">
        <v>0</v>
      </c>
      <c r="H475" s="121"/>
    </row>
    <row r="476" spans="2:8">
      <c r="B476" s="23">
        <v>1</v>
      </c>
      <c r="C476" s="125">
        <f t="shared" si="7"/>
        <v>468</v>
      </c>
      <c r="D476" s="122">
        <v>465</v>
      </c>
      <c r="E476" s="121" t="s">
        <v>2392</v>
      </c>
      <c r="F476" s="123" t="s">
        <v>87</v>
      </c>
      <c r="G476" s="124">
        <v>0</v>
      </c>
      <c r="H476" s="121"/>
    </row>
    <row r="477" spans="2:8">
      <c r="B477" s="23">
        <v>1</v>
      </c>
      <c r="C477" s="125">
        <f t="shared" si="7"/>
        <v>469</v>
      </c>
      <c r="D477" s="122">
        <v>466</v>
      </c>
      <c r="E477" s="121" t="s">
        <v>2393</v>
      </c>
      <c r="F477" s="123" t="s">
        <v>87</v>
      </c>
      <c r="G477" s="124">
        <v>0</v>
      </c>
      <c r="H477" s="121"/>
    </row>
    <row r="478" spans="2:8">
      <c r="B478" s="23">
        <v>1</v>
      </c>
      <c r="C478" s="125">
        <f t="shared" si="7"/>
        <v>470</v>
      </c>
      <c r="D478" s="122">
        <v>467</v>
      </c>
      <c r="E478" s="121" t="s">
        <v>2394</v>
      </c>
      <c r="F478" s="123" t="s">
        <v>87</v>
      </c>
      <c r="G478" s="124">
        <v>0</v>
      </c>
      <c r="H478" s="121"/>
    </row>
    <row r="479" spans="2:8">
      <c r="B479" s="23">
        <v>1</v>
      </c>
      <c r="C479" s="125">
        <f t="shared" si="7"/>
        <v>471</v>
      </c>
      <c r="D479" s="122">
        <v>468</v>
      </c>
      <c r="E479" s="121" t="s">
        <v>2395</v>
      </c>
      <c r="F479" s="123" t="s">
        <v>87</v>
      </c>
      <c r="G479" s="124">
        <v>0</v>
      </c>
      <c r="H479" s="121"/>
    </row>
    <row r="480" spans="2:8">
      <c r="B480" s="23">
        <v>1</v>
      </c>
      <c r="C480" s="125">
        <f t="shared" si="7"/>
        <v>472</v>
      </c>
      <c r="D480" s="122">
        <v>469</v>
      </c>
      <c r="E480" s="121" t="s">
        <v>2396</v>
      </c>
      <c r="F480" s="123" t="s">
        <v>87</v>
      </c>
      <c r="G480" s="124">
        <v>0</v>
      </c>
      <c r="H480" s="121"/>
    </row>
    <row r="481" spans="2:8">
      <c r="B481" s="23">
        <v>1</v>
      </c>
      <c r="C481" s="125">
        <f t="shared" si="7"/>
        <v>473</v>
      </c>
      <c r="D481" s="122">
        <v>470</v>
      </c>
      <c r="E481" s="121" t="s">
        <v>2397</v>
      </c>
      <c r="F481" s="123" t="s">
        <v>87</v>
      </c>
      <c r="G481" s="124">
        <v>0</v>
      </c>
      <c r="H481" s="121"/>
    </row>
    <row r="482" spans="2:8">
      <c r="B482" s="23">
        <v>1</v>
      </c>
      <c r="C482" s="125">
        <f t="shared" si="7"/>
        <v>474</v>
      </c>
      <c r="D482" s="122">
        <v>471</v>
      </c>
      <c r="E482" s="121" t="s">
        <v>2398</v>
      </c>
      <c r="F482" s="123" t="s">
        <v>87</v>
      </c>
      <c r="G482" s="124">
        <v>0</v>
      </c>
      <c r="H482" s="121"/>
    </row>
    <row r="483" spans="2:8">
      <c r="B483" s="23">
        <v>1</v>
      </c>
      <c r="C483" s="125">
        <f t="shared" si="7"/>
        <v>475</v>
      </c>
      <c r="D483" s="122">
        <v>472</v>
      </c>
      <c r="E483" s="121" t="s">
        <v>2399</v>
      </c>
      <c r="F483" s="123" t="s">
        <v>87</v>
      </c>
      <c r="G483" s="124">
        <v>0</v>
      </c>
      <c r="H483" s="121"/>
    </row>
    <row r="484" spans="2:8">
      <c r="B484" s="23">
        <v>1</v>
      </c>
      <c r="C484" s="125">
        <f t="shared" si="7"/>
        <v>476</v>
      </c>
      <c r="D484" s="122">
        <v>473</v>
      </c>
      <c r="E484" s="121" t="s">
        <v>2400</v>
      </c>
      <c r="F484" s="123" t="s">
        <v>87</v>
      </c>
      <c r="G484" s="124">
        <v>0</v>
      </c>
      <c r="H484" s="121"/>
    </row>
    <row r="485" spans="2:8">
      <c r="B485" s="23">
        <v>1</v>
      </c>
      <c r="C485" s="125">
        <f t="shared" si="7"/>
        <v>477</v>
      </c>
      <c r="D485" s="122">
        <v>474</v>
      </c>
      <c r="E485" s="121" t="s">
        <v>2401</v>
      </c>
      <c r="F485" s="123" t="s">
        <v>87</v>
      </c>
      <c r="G485" s="124">
        <v>0</v>
      </c>
      <c r="H485" s="121"/>
    </row>
    <row r="486" spans="2:8">
      <c r="B486" s="23">
        <v>1</v>
      </c>
      <c r="C486" s="125">
        <f t="shared" si="7"/>
        <v>478</v>
      </c>
      <c r="D486" s="122">
        <v>475</v>
      </c>
      <c r="E486" s="121" t="s">
        <v>2402</v>
      </c>
      <c r="F486" s="123" t="s">
        <v>87</v>
      </c>
      <c r="G486" s="124">
        <v>0</v>
      </c>
      <c r="H486" s="121"/>
    </row>
    <row r="487" spans="2:8">
      <c r="B487" s="23">
        <v>1</v>
      </c>
      <c r="C487" s="125">
        <f t="shared" si="7"/>
        <v>479</v>
      </c>
      <c r="D487" s="122">
        <v>476</v>
      </c>
      <c r="E487" s="121" t="s">
        <v>2403</v>
      </c>
      <c r="F487" s="123" t="s">
        <v>87</v>
      </c>
      <c r="G487" s="124">
        <v>0</v>
      </c>
      <c r="H487" s="121"/>
    </row>
    <row r="488" spans="2:8">
      <c r="B488" s="23">
        <v>1</v>
      </c>
      <c r="C488" s="125">
        <f t="shared" si="7"/>
        <v>480</v>
      </c>
      <c r="D488" s="122">
        <v>477</v>
      </c>
      <c r="E488" s="121" t="s">
        <v>2404</v>
      </c>
      <c r="F488" s="123" t="s">
        <v>87</v>
      </c>
      <c r="G488" s="124">
        <v>0</v>
      </c>
      <c r="H488" s="121"/>
    </row>
    <row r="489" spans="2:8">
      <c r="B489" s="23">
        <v>1</v>
      </c>
      <c r="C489" s="125">
        <f t="shared" si="7"/>
        <v>481</v>
      </c>
      <c r="D489" s="122">
        <v>478</v>
      </c>
      <c r="E489" s="121" t="s">
        <v>2405</v>
      </c>
      <c r="F489" s="123" t="s">
        <v>87</v>
      </c>
      <c r="G489" s="124">
        <v>0</v>
      </c>
      <c r="H489" s="121"/>
    </row>
    <row r="490" spans="2:8">
      <c r="B490" s="23">
        <v>1</v>
      </c>
      <c r="C490" s="125">
        <f t="shared" si="7"/>
        <v>482</v>
      </c>
      <c r="D490" s="122">
        <v>479</v>
      </c>
      <c r="E490" s="121" t="s">
        <v>2406</v>
      </c>
      <c r="F490" s="123" t="s">
        <v>87</v>
      </c>
      <c r="G490" s="124">
        <v>0</v>
      </c>
      <c r="H490" s="121"/>
    </row>
    <row r="491" spans="2:8">
      <c r="B491" s="23">
        <v>1</v>
      </c>
      <c r="C491" s="125">
        <f t="shared" si="7"/>
        <v>483</v>
      </c>
      <c r="D491" s="122">
        <v>480</v>
      </c>
      <c r="E491" s="121" t="s">
        <v>2407</v>
      </c>
      <c r="F491" s="123" t="s">
        <v>87</v>
      </c>
      <c r="G491" s="124">
        <v>0</v>
      </c>
      <c r="H491" s="121"/>
    </row>
    <row r="492" spans="2:8">
      <c r="B492" s="23">
        <v>1</v>
      </c>
      <c r="C492" s="125">
        <f t="shared" si="7"/>
        <v>484</v>
      </c>
      <c r="D492" s="122">
        <v>481</v>
      </c>
      <c r="E492" s="121" t="s">
        <v>2408</v>
      </c>
      <c r="F492" s="123" t="s">
        <v>87</v>
      </c>
      <c r="G492" s="124">
        <v>0</v>
      </c>
      <c r="H492" s="121"/>
    </row>
    <row r="493" spans="2:8">
      <c r="B493" s="23">
        <v>1</v>
      </c>
      <c r="C493" s="125">
        <f t="shared" si="7"/>
        <v>485</v>
      </c>
      <c r="D493" s="122">
        <v>482</v>
      </c>
      <c r="E493" s="121" t="s">
        <v>2409</v>
      </c>
      <c r="F493" s="123" t="s">
        <v>87</v>
      </c>
      <c r="G493" s="124">
        <v>0</v>
      </c>
      <c r="H493" s="121"/>
    </row>
    <row r="494" spans="2:8">
      <c r="B494" s="23">
        <v>1</v>
      </c>
      <c r="C494" s="125">
        <f t="shared" si="7"/>
        <v>486</v>
      </c>
      <c r="D494" s="122">
        <v>483</v>
      </c>
      <c r="E494" s="121" t="s">
        <v>2410</v>
      </c>
      <c r="F494" s="123" t="s">
        <v>87</v>
      </c>
      <c r="G494" s="124">
        <v>0</v>
      </c>
      <c r="H494" s="121"/>
    </row>
    <row r="495" spans="2:8">
      <c r="B495" s="23">
        <v>1</v>
      </c>
      <c r="C495" s="125">
        <f t="shared" si="7"/>
        <v>487</v>
      </c>
      <c r="D495" s="122">
        <v>484</v>
      </c>
      <c r="E495" s="121" t="s">
        <v>2411</v>
      </c>
      <c r="F495" s="123" t="s">
        <v>87</v>
      </c>
      <c r="G495" s="124">
        <v>0</v>
      </c>
      <c r="H495" s="121"/>
    </row>
    <row r="496" spans="2:8">
      <c r="B496" s="23">
        <v>1</v>
      </c>
      <c r="C496" s="125">
        <f t="shared" si="7"/>
        <v>488</v>
      </c>
      <c r="D496" s="122">
        <v>485</v>
      </c>
      <c r="E496" s="121" t="s">
        <v>2412</v>
      </c>
      <c r="F496" s="123" t="s">
        <v>87</v>
      </c>
      <c r="G496" s="124">
        <v>0</v>
      </c>
      <c r="H496" s="121"/>
    </row>
    <row r="497" spans="2:8">
      <c r="B497" s="23">
        <v>1</v>
      </c>
      <c r="C497" s="125">
        <f t="shared" si="7"/>
        <v>489</v>
      </c>
      <c r="D497" s="122">
        <v>486</v>
      </c>
      <c r="E497" s="121" t="s">
        <v>2413</v>
      </c>
      <c r="F497" s="123" t="s">
        <v>87</v>
      </c>
      <c r="G497" s="124">
        <v>0</v>
      </c>
      <c r="H497" s="121"/>
    </row>
    <row r="498" spans="2:8">
      <c r="B498" s="23">
        <v>1</v>
      </c>
      <c r="C498" s="125">
        <f t="shared" si="7"/>
        <v>490</v>
      </c>
      <c r="D498" s="122">
        <v>487</v>
      </c>
      <c r="E498" s="121" t="s">
        <v>2414</v>
      </c>
      <c r="F498" s="123" t="s">
        <v>87</v>
      </c>
      <c r="G498" s="124">
        <v>0</v>
      </c>
      <c r="H498" s="121"/>
    </row>
    <row r="499" spans="2:8">
      <c r="B499" s="23">
        <v>1</v>
      </c>
      <c r="C499" s="125">
        <f t="shared" si="7"/>
        <v>491</v>
      </c>
      <c r="D499" s="122">
        <v>488</v>
      </c>
      <c r="E499" s="121" t="s">
        <v>2415</v>
      </c>
      <c r="F499" s="123" t="s">
        <v>87</v>
      </c>
      <c r="G499" s="124">
        <v>0</v>
      </c>
      <c r="H499" s="121"/>
    </row>
    <row r="500" spans="2:8">
      <c r="B500" s="23">
        <v>1</v>
      </c>
      <c r="C500" s="125">
        <f t="shared" si="7"/>
        <v>492</v>
      </c>
      <c r="D500" s="122">
        <v>489</v>
      </c>
      <c r="E500" s="121" t="s">
        <v>2416</v>
      </c>
      <c r="F500" s="123" t="s">
        <v>87</v>
      </c>
      <c r="G500" s="124">
        <v>0</v>
      </c>
      <c r="H500" s="121"/>
    </row>
    <row r="501" spans="2:8">
      <c r="B501" s="23">
        <v>1</v>
      </c>
      <c r="C501" s="125">
        <f t="shared" si="7"/>
        <v>493</v>
      </c>
      <c r="D501" s="122">
        <v>490</v>
      </c>
      <c r="E501" s="121" t="s">
        <v>2417</v>
      </c>
      <c r="F501" s="123" t="s">
        <v>87</v>
      </c>
      <c r="G501" s="124">
        <v>0</v>
      </c>
      <c r="H501" s="121"/>
    </row>
    <row r="502" spans="2:8">
      <c r="B502" s="23">
        <v>1</v>
      </c>
      <c r="C502" s="125">
        <f t="shared" si="7"/>
        <v>494</v>
      </c>
      <c r="D502" s="122">
        <v>491</v>
      </c>
      <c r="E502" s="121" t="s">
        <v>2418</v>
      </c>
      <c r="F502" s="123" t="s">
        <v>87</v>
      </c>
      <c r="G502" s="124">
        <v>0</v>
      </c>
      <c r="H502" s="121"/>
    </row>
    <row r="503" spans="2:8">
      <c r="B503" s="23">
        <v>1</v>
      </c>
      <c r="C503" s="125">
        <f t="shared" si="7"/>
        <v>495</v>
      </c>
      <c r="D503" s="122">
        <v>492</v>
      </c>
      <c r="E503" s="121" t="s">
        <v>2419</v>
      </c>
      <c r="F503" s="123" t="s">
        <v>87</v>
      </c>
      <c r="G503" s="124">
        <v>0</v>
      </c>
      <c r="H503" s="121"/>
    </row>
    <row r="504" spans="2:8">
      <c r="B504" s="23">
        <v>1</v>
      </c>
      <c r="C504" s="125">
        <f t="shared" si="7"/>
        <v>496</v>
      </c>
      <c r="D504" s="122">
        <v>493</v>
      </c>
      <c r="E504" s="121" t="s">
        <v>2420</v>
      </c>
      <c r="F504" s="123" t="s">
        <v>87</v>
      </c>
      <c r="G504" s="124">
        <v>0</v>
      </c>
      <c r="H504" s="121"/>
    </row>
    <row r="505" spans="2:8">
      <c r="B505" s="23">
        <v>1</v>
      </c>
      <c r="C505" s="125">
        <f t="shared" si="7"/>
        <v>497</v>
      </c>
      <c r="D505" s="122">
        <v>494</v>
      </c>
      <c r="E505" s="121" t="s">
        <v>2421</v>
      </c>
      <c r="F505" s="123" t="s">
        <v>87</v>
      </c>
      <c r="G505" s="124">
        <v>0</v>
      </c>
      <c r="H505" s="121"/>
    </row>
    <row r="506" spans="2:8">
      <c r="B506" s="23">
        <v>1</v>
      </c>
      <c r="C506" s="125">
        <f t="shared" si="7"/>
        <v>498</v>
      </c>
      <c r="D506" s="122">
        <v>495</v>
      </c>
      <c r="E506" s="121" t="s">
        <v>2422</v>
      </c>
      <c r="F506" s="123" t="s">
        <v>87</v>
      </c>
      <c r="G506" s="124">
        <v>0</v>
      </c>
      <c r="H506" s="121"/>
    </row>
    <row r="507" spans="2:8">
      <c r="B507" s="23">
        <v>1</v>
      </c>
      <c r="C507" s="125">
        <f t="shared" si="7"/>
        <v>499</v>
      </c>
      <c r="D507" s="122">
        <v>496</v>
      </c>
      <c r="E507" s="121" t="s">
        <v>2423</v>
      </c>
      <c r="F507" s="123" t="s">
        <v>87</v>
      </c>
      <c r="G507" s="124">
        <v>0</v>
      </c>
      <c r="H507" s="121"/>
    </row>
    <row r="508" spans="2:8">
      <c r="B508" s="23">
        <v>1</v>
      </c>
      <c r="C508" s="125">
        <f t="shared" si="7"/>
        <v>500</v>
      </c>
      <c r="D508" s="122">
        <v>497</v>
      </c>
      <c r="E508" s="121" t="s">
        <v>2424</v>
      </c>
      <c r="F508" s="123" t="s">
        <v>87</v>
      </c>
      <c r="G508" s="124">
        <v>0</v>
      </c>
      <c r="H508" s="121"/>
    </row>
    <row r="509" spans="2:8">
      <c r="B509" s="23">
        <v>1</v>
      </c>
      <c r="C509" s="125">
        <f t="shared" si="7"/>
        <v>501</v>
      </c>
      <c r="D509" s="122">
        <v>498</v>
      </c>
      <c r="E509" s="121" t="s">
        <v>2425</v>
      </c>
      <c r="F509" s="123" t="s">
        <v>87</v>
      </c>
      <c r="G509" s="124">
        <v>0</v>
      </c>
      <c r="H509" s="121"/>
    </row>
    <row r="510" spans="2:8">
      <c r="B510" s="23">
        <v>1</v>
      </c>
      <c r="C510" s="125">
        <f t="shared" si="7"/>
        <v>502</v>
      </c>
      <c r="D510" s="122">
        <v>499</v>
      </c>
      <c r="E510" s="121" t="s">
        <v>2426</v>
      </c>
      <c r="F510" s="123" t="s">
        <v>87</v>
      </c>
      <c r="G510" s="124">
        <v>0</v>
      </c>
      <c r="H510" s="121"/>
    </row>
    <row r="511" spans="2:8">
      <c r="B511" s="23">
        <v>1</v>
      </c>
      <c r="C511" s="125">
        <f t="shared" si="7"/>
        <v>503</v>
      </c>
      <c r="D511" s="122">
        <v>500</v>
      </c>
      <c r="E511" s="121" t="s">
        <v>2427</v>
      </c>
      <c r="F511" s="123" t="s">
        <v>87</v>
      </c>
      <c r="G511" s="124">
        <v>0</v>
      </c>
      <c r="H511" s="121"/>
    </row>
    <row r="512" spans="2:8">
      <c r="B512" s="23">
        <v>1</v>
      </c>
      <c r="C512" s="125">
        <f t="shared" si="7"/>
        <v>504</v>
      </c>
      <c r="D512" s="122">
        <v>501</v>
      </c>
      <c r="E512" s="121" t="s">
        <v>2428</v>
      </c>
      <c r="F512" s="123" t="s">
        <v>87</v>
      </c>
      <c r="G512" s="124">
        <v>0</v>
      </c>
      <c r="H512" s="121"/>
    </row>
    <row r="513" spans="2:8">
      <c r="B513" s="23">
        <v>1</v>
      </c>
      <c r="C513" s="125">
        <f t="shared" si="7"/>
        <v>505</v>
      </c>
      <c r="D513" s="122">
        <v>502</v>
      </c>
      <c r="E513" s="121" t="s">
        <v>2429</v>
      </c>
      <c r="F513" s="123" t="s">
        <v>87</v>
      </c>
      <c r="G513" s="124">
        <v>0</v>
      </c>
      <c r="H513" s="121"/>
    </row>
    <row r="514" spans="2:8">
      <c r="B514" s="23">
        <v>1</v>
      </c>
      <c r="C514" s="125">
        <f t="shared" si="7"/>
        <v>506</v>
      </c>
      <c r="D514" s="122">
        <v>503</v>
      </c>
      <c r="E514" s="121" t="s">
        <v>2430</v>
      </c>
      <c r="F514" s="123" t="s">
        <v>87</v>
      </c>
      <c r="G514" s="124">
        <v>0</v>
      </c>
      <c r="H514" s="121"/>
    </row>
    <row r="515" spans="2:8">
      <c r="B515" s="23">
        <v>1</v>
      </c>
      <c r="C515" s="125">
        <f t="shared" si="7"/>
        <v>507</v>
      </c>
      <c r="D515" s="122">
        <v>504</v>
      </c>
      <c r="E515" s="121" t="s">
        <v>2431</v>
      </c>
      <c r="F515" s="123" t="s">
        <v>87</v>
      </c>
      <c r="G515" s="124">
        <v>0</v>
      </c>
      <c r="H515" s="121"/>
    </row>
    <row r="516" spans="2:8">
      <c r="B516" s="23">
        <v>1</v>
      </c>
      <c r="C516" s="125">
        <f t="shared" si="7"/>
        <v>508</v>
      </c>
      <c r="D516" s="122">
        <v>505</v>
      </c>
      <c r="E516" s="121" t="s">
        <v>2432</v>
      </c>
      <c r="F516" s="123" t="s">
        <v>87</v>
      </c>
      <c r="G516" s="124">
        <v>0</v>
      </c>
      <c r="H516" s="121"/>
    </row>
    <row r="517" spans="2:8">
      <c r="B517" s="23">
        <v>1</v>
      </c>
      <c r="C517" s="125">
        <f t="shared" si="7"/>
        <v>509</v>
      </c>
      <c r="D517" s="122">
        <v>506</v>
      </c>
      <c r="E517" s="121" t="s">
        <v>2433</v>
      </c>
      <c r="F517" s="123" t="s">
        <v>87</v>
      </c>
      <c r="G517" s="124">
        <v>0</v>
      </c>
      <c r="H517" s="121"/>
    </row>
    <row r="518" spans="2:8">
      <c r="B518" s="23">
        <v>1</v>
      </c>
      <c r="C518" s="125">
        <f t="shared" si="7"/>
        <v>510</v>
      </c>
      <c r="D518" s="122">
        <v>507</v>
      </c>
      <c r="E518" s="121" t="s">
        <v>2434</v>
      </c>
      <c r="F518" s="123" t="s">
        <v>87</v>
      </c>
      <c r="G518" s="124">
        <v>0</v>
      </c>
      <c r="H518" s="121"/>
    </row>
    <row r="519" spans="2:8">
      <c r="B519" s="23">
        <v>1</v>
      </c>
      <c r="C519" s="125">
        <f t="shared" si="7"/>
        <v>511</v>
      </c>
      <c r="D519" s="122">
        <v>508</v>
      </c>
      <c r="E519" s="121" t="s">
        <v>2435</v>
      </c>
      <c r="F519" s="123" t="s">
        <v>87</v>
      </c>
      <c r="G519" s="124">
        <v>0</v>
      </c>
      <c r="H519" s="121"/>
    </row>
    <row r="520" spans="2:8">
      <c r="B520" s="23">
        <v>1</v>
      </c>
      <c r="C520" s="125">
        <f t="shared" si="7"/>
        <v>512</v>
      </c>
      <c r="D520" s="122">
        <v>509</v>
      </c>
      <c r="E520" s="121" t="s">
        <v>2436</v>
      </c>
      <c r="F520" s="123" t="s">
        <v>87</v>
      </c>
      <c r="G520" s="124">
        <v>0</v>
      </c>
      <c r="H520" s="121"/>
    </row>
    <row r="521" spans="2:8">
      <c r="B521" s="23">
        <v>1</v>
      </c>
      <c r="C521" s="125">
        <f t="shared" si="7"/>
        <v>513</v>
      </c>
      <c r="D521" s="122">
        <v>510</v>
      </c>
      <c r="E521" s="121" t="s">
        <v>2437</v>
      </c>
      <c r="F521" s="123" t="s">
        <v>87</v>
      </c>
      <c r="G521" s="124">
        <v>0</v>
      </c>
      <c r="H521" s="121"/>
    </row>
    <row r="522" spans="2:8">
      <c r="B522" s="23">
        <v>1</v>
      </c>
      <c r="C522" s="125">
        <f t="shared" si="7"/>
        <v>514</v>
      </c>
      <c r="D522" s="122">
        <v>511</v>
      </c>
      <c r="E522" s="121" t="s">
        <v>2438</v>
      </c>
      <c r="F522" s="123" t="s">
        <v>87</v>
      </c>
      <c r="G522" s="124">
        <v>0</v>
      </c>
      <c r="H522" s="121"/>
    </row>
    <row r="523" spans="2:8">
      <c r="B523" s="23">
        <v>1</v>
      </c>
      <c r="C523" s="125">
        <f t="shared" si="7"/>
        <v>515</v>
      </c>
      <c r="D523" s="122">
        <v>512</v>
      </c>
      <c r="E523" s="121" t="s">
        <v>2439</v>
      </c>
      <c r="F523" s="123" t="s">
        <v>87</v>
      </c>
      <c r="G523" s="124">
        <v>0</v>
      </c>
      <c r="H523" s="121"/>
    </row>
    <row r="524" spans="2:8">
      <c r="B524" s="23">
        <v>1</v>
      </c>
      <c r="C524" s="125">
        <f t="shared" si="7"/>
        <v>516</v>
      </c>
      <c r="D524" s="122">
        <v>513</v>
      </c>
      <c r="E524" s="121" t="s">
        <v>2440</v>
      </c>
      <c r="F524" s="123" t="s">
        <v>87</v>
      </c>
      <c r="G524" s="124">
        <v>0</v>
      </c>
      <c r="H524" s="121"/>
    </row>
    <row r="525" spans="2:8">
      <c r="B525" s="23">
        <v>1</v>
      </c>
      <c r="C525" s="125">
        <f t="shared" si="7"/>
        <v>517</v>
      </c>
      <c r="D525" s="122">
        <v>514</v>
      </c>
      <c r="E525" s="121" t="s">
        <v>2441</v>
      </c>
      <c r="F525" s="123" t="s">
        <v>87</v>
      </c>
      <c r="G525" s="124">
        <v>0</v>
      </c>
      <c r="H525" s="121"/>
    </row>
    <row r="526" spans="2:8">
      <c r="B526" s="23">
        <v>1</v>
      </c>
      <c r="C526" s="125">
        <f t="shared" si="7"/>
        <v>518</v>
      </c>
      <c r="D526" s="122">
        <v>515</v>
      </c>
      <c r="E526" s="121" t="s">
        <v>2442</v>
      </c>
      <c r="F526" s="123" t="s">
        <v>87</v>
      </c>
      <c r="G526" s="124">
        <v>0</v>
      </c>
      <c r="H526" s="121"/>
    </row>
    <row r="527" spans="2:8">
      <c r="B527" s="23">
        <v>1</v>
      </c>
      <c r="C527" s="125">
        <f t="shared" ref="C527:C590" si="8">+C526+1</f>
        <v>519</v>
      </c>
      <c r="D527" s="122">
        <v>516</v>
      </c>
      <c r="E527" s="121" t="s">
        <v>2443</v>
      </c>
      <c r="F527" s="123" t="s">
        <v>87</v>
      </c>
      <c r="G527" s="124">
        <v>0</v>
      </c>
      <c r="H527" s="121"/>
    </row>
    <row r="528" spans="2:8">
      <c r="B528" s="23">
        <v>1</v>
      </c>
      <c r="C528" s="125">
        <f t="shared" si="8"/>
        <v>520</v>
      </c>
      <c r="D528" s="122">
        <v>517</v>
      </c>
      <c r="E528" s="121" t="s">
        <v>2444</v>
      </c>
      <c r="F528" s="123" t="s">
        <v>87</v>
      </c>
      <c r="G528" s="124">
        <v>0</v>
      </c>
      <c r="H528" s="121"/>
    </row>
    <row r="529" spans="2:8">
      <c r="B529" s="23">
        <v>1</v>
      </c>
      <c r="C529" s="125">
        <f t="shared" si="8"/>
        <v>521</v>
      </c>
      <c r="D529" s="122">
        <v>518</v>
      </c>
      <c r="E529" s="121" t="s">
        <v>2445</v>
      </c>
      <c r="F529" s="123" t="s">
        <v>87</v>
      </c>
      <c r="G529" s="124">
        <v>0</v>
      </c>
      <c r="H529" s="121"/>
    </row>
    <row r="530" spans="2:8">
      <c r="B530" s="23">
        <v>1</v>
      </c>
      <c r="C530" s="125">
        <f t="shared" si="8"/>
        <v>522</v>
      </c>
      <c r="D530" s="122">
        <v>519</v>
      </c>
      <c r="E530" s="121" t="s">
        <v>2446</v>
      </c>
      <c r="F530" s="123" t="s">
        <v>87</v>
      </c>
      <c r="G530" s="124">
        <v>0</v>
      </c>
      <c r="H530" s="121"/>
    </row>
    <row r="531" spans="2:8">
      <c r="B531" s="23">
        <v>1</v>
      </c>
      <c r="C531" s="125">
        <f t="shared" si="8"/>
        <v>523</v>
      </c>
      <c r="D531" s="122">
        <v>520</v>
      </c>
      <c r="E531" s="121" t="s">
        <v>2447</v>
      </c>
      <c r="F531" s="123" t="s">
        <v>87</v>
      </c>
      <c r="G531" s="124">
        <v>0</v>
      </c>
      <c r="H531" s="121"/>
    </row>
    <row r="532" spans="2:8">
      <c r="B532" s="23">
        <v>1</v>
      </c>
      <c r="C532" s="125">
        <f t="shared" si="8"/>
        <v>524</v>
      </c>
      <c r="D532" s="122">
        <v>521</v>
      </c>
      <c r="E532" s="121" t="s">
        <v>2448</v>
      </c>
      <c r="F532" s="123" t="s">
        <v>87</v>
      </c>
      <c r="G532" s="124">
        <v>0</v>
      </c>
      <c r="H532" s="121"/>
    </row>
    <row r="533" spans="2:8">
      <c r="B533" s="23">
        <v>1</v>
      </c>
      <c r="C533" s="125">
        <f t="shared" si="8"/>
        <v>525</v>
      </c>
      <c r="D533" s="122">
        <v>522</v>
      </c>
      <c r="E533" s="121" t="s">
        <v>2449</v>
      </c>
      <c r="F533" s="123" t="s">
        <v>87</v>
      </c>
      <c r="G533" s="124">
        <v>0</v>
      </c>
      <c r="H533" s="121"/>
    </row>
    <row r="534" spans="2:8">
      <c r="B534" s="23">
        <v>1</v>
      </c>
      <c r="C534" s="125">
        <f t="shared" si="8"/>
        <v>526</v>
      </c>
      <c r="D534" s="122">
        <v>523</v>
      </c>
      <c r="E534" s="121" t="s">
        <v>2450</v>
      </c>
      <c r="F534" s="123" t="s">
        <v>87</v>
      </c>
      <c r="G534" s="124">
        <v>0</v>
      </c>
      <c r="H534" s="121"/>
    </row>
    <row r="535" spans="2:8">
      <c r="B535" s="23">
        <v>1</v>
      </c>
      <c r="C535" s="125">
        <f t="shared" si="8"/>
        <v>527</v>
      </c>
      <c r="D535" s="122">
        <v>524</v>
      </c>
      <c r="E535" s="121" t="s">
        <v>2451</v>
      </c>
      <c r="F535" s="123" t="s">
        <v>87</v>
      </c>
      <c r="G535" s="124">
        <v>0</v>
      </c>
      <c r="H535" s="121"/>
    </row>
    <row r="536" spans="2:8">
      <c r="B536" s="23">
        <v>1</v>
      </c>
      <c r="C536" s="125">
        <f t="shared" si="8"/>
        <v>528</v>
      </c>
      <c r="D536" s="122">
        <v>525</v>
      </c>
      <c r="E536" s="121" t="s">
        <v>2452</v>
      </c>
      <c r="F536" s="123" t="s">
        <v>87</v>
      </c>
      <c r="G536" s="124">
        <v>0</v>
      </c>
      <c r="H536" s="121"/>
    </row>
    <row r="537" spans="2:8">
      <c r="B537" s="23">
        <v>1</v>
      </c>
      <c r="C537" s="125">
        <f t="shared" si="8"/>
        <v>529</v>
      </c>
      <c r="D537" s="122">
        <v>526</v>
      </c>
      <c r="E537" s="121" t="s">
        <v>2453</v>
      </c>
      <c r="F537" s="123" t="s">
        <v>87</v>
      </c>
      <c r="G537" s="124">
        <v>0</v>
      </c>
      <c r="H537" s="121"/>
    </row>
    <row r="538" spans="2:8">
      <c r="B538" s="23">
        <v>1</v>
      </c>
      <c r="C538" s="125">
        <f t="shared" si="8"/>
        <v>530</v>
      </c>
      <c r="D538" s="122">
        <v>527</v>
      </c>
      <c r="E538" s="121" t="s">
        <v>2454</v>
      </c>
      <c r="F538" s="123" t="s">
        <v>87</v>
      </c>
      <c r="G538" s="124">
        <v>0</v>
      </c>
      <c r="H538" s="121"/>
    </row>
    <row r="539" spans="2:8">
      <c r="B539" s="23">
        <v>1</v>
      </c>
      <c r="C539" s="125">
        <f t="shared" si="8"/>
        <v>531</v>
      </c>
      <c r="D539" s="122">
        <v>528</v>
      </c>
      <c r="E539" s="121" t="s">
        <v>2455</v>
      </c>
      <c r="F539" s="123" t="s">
        <v>87</v>
      </c>
      <c r="G539" s="124">
        <v>0</v>
      </c>
      <c r="H539" s="121"/>
    </row>
    <row r="540" spans="2:8">
      <c r="B540" s="23">
        <v>1</v>
      </c>
      <c r="C540" s="125">
        <f t="shared" si="8"/>
        <v>532</v>
      </c>
      <c r="D540" s="122">
        <v>529</v>
      </c>
      <c r="E540" s="121" t="s">
        <v>2456</v>
      </c>
      <c r="F540" s="123" t="s">
        <v>87</v>
      </c>
      <c r="G540" s="124">
        <v>0</v>
      </c>
      <c r="H540" s="121"/>
    </row>
    <row r="541" spans="2:8">
      <c r="B541" s="23">
        <v>1</v>
      </c>
      <c r="C541" s="125">
        <f t="shared" si="8"/>
        <v>533</v>
      </c>
      <c r="D541" s="122">
        <v>530</v>
      </c>
      <c r="E541" s="121" t="s">
        <v>2457</v>
      </c>
      <c r="F541" s="123" t="s">
        <v>87</v>
      </c>
      <c r="G541" s="124">
        <v>0</v>
      </c>
      <c r="H541" s="121"/>
    </row>
    <row r="542" spans="2:8">
      <c r="B542" s="23">
        <v>1</v>
      </c>
      <c r="C542" s="125">
        <f t="shared" si="8"/>
        <v>534</v>
      </c>
      <c r="D542" s="122">
        <v>531</v>
      </c>
      <c r="E542" s="121" t="s">
        <v>2458</v>
      </c>
      <c r="F542" s="123" t="s">
        <v>87</v>
      </c>
      <c r="G542" s="124">
        <v>0</v>
      </c>
      <c r="H542" s="121"/>
    </row>
    <row r="543" spans="2:8">
      <c r="B543" s="23">
        <v>1</v>
      </c>
      <c r="C543" s="125">
        <f t="shared" si="8"/>
        <v>535</v>
      </c>
      <c r="D543" s="122">
        <v>532</v>
      </c>
      <c r="E543" s="121" t="s">
        <v>2459</v>
      </c>
      <c r="F543" s="123" t="s">
        <v>87</v>
      </c>
      <c r="G543" s="124">
        <v>0</v>
      </c>
      <c r="H543" s="121"/>
    </row>
    <row r="544" spans="2:8">
      <c r="B544" s="23">
        <v>1</v>
      </c>
      <c r="C544" s="125">
        <f t="shared" si="8"/>
        <v>536</v>
      </c>
      <c r="D544" s="122">
        <v>533</v>
      </c>
      <c r="E544" s="121" t="s">
        <v>2460</v>
      </c>
      <c r="F544" s="123" t="s">
        <v>87</v>
      </c>
      <c r="G544" s="124">
        <v>0</v>
      </c>
      <c r="H544" s="121"/>
    </row>
    <row r="545" spans="2:8">
      <c r="B545" s="23">
        <v>1</v>
      </c>
      <c r="C545" s="125">
        <f t="shared" si="8"/>
        <v>537</v>
      </c>
      <c r="D545" s="122">
        <v>534</v>
      </c>
      <c r="E545" s="121" t="s">
        <v>2461</v>
      </c>
      <c r="F545" s="123" t="s">
        <v>87</v>
      </c>
      <c r="G545" s="124">
        <v>0</v>
      </c>
      <c r="H545" s="121"/>
    </row>
    <row r="546" spans="2:8">
      <c r="B546" s="23">
        <v>1</v>
      </c>
      <c r="C546" s="125">
        <f t="shared" si="8"/>
        <v>538</v>
      </c>
      <c r="D546" s="122">
        <v>535</v>
      </c>
      <c r="E546" s="121" t="s">
        <v>2462</v>
      </c>
      <c r="F546" s="123" t="s">
        <v>87</v>
      </c>
      <c r="G546" s="124">
        <v>0</v>
      </c>
      <c r="H546" s="121"/>
    </row>
    <row r="547" spans="2:8">
      <c r="B547" s="23">
        <v>1</v>
      </c>
      <c r="C547" s="125">
        <f t="shared" si="8"/>
        <v>539</v>
      </c>
      <c r="D547" s="122">
        <v>536</v>
      </c>
      <c r="E547" s="121" t="s">
        <v>2463</v>
      </c>
      <c r="F547" s="123" t="s">
        <v>87</v>
      </c>
      <c r="G547" s="124">
        <v>0</v>
      </c>
      <c r="H547" s="121"/>
    </row>
    <row r="548" spans="2:8">
      <c r="B548" s="23">
        <v>1</v>
      </c>
      <c r="C548" s="125">
        <f t="shared" si="8"/>
        <v>540</v>
      </c>
      <c r="D548" s="122">
        <v>537</v>
      </c>
      <c r="E548" s="121" t="s">
        <v>2464</v>
      </c>
      <c r="F548" s="123" t="s">
        <v>87</v>
      </c>
      <c r="G548" s="124">
        <v>0</v>
      </c>
      <c r="H548" s="121"/>
    </row>
    <row r="549" spans="2:8">
      <c r="B549" s="23">
        <v>1</v>
      </c>
      <c r="C549" s="125">
        <f t="shared" si="8"/>
        <v>541</v>
      </c>
      <c r="D549" s="122">
        <v>538</v>
      </c>
      <c r="E549" s="121" t="s">
        <v>2465</v>
      </c>
      <c r="F549" s="123" t="s">
        <v>87</v>
      </c>
      <c r="G549" s="124">
        <v>0</v>
      </c>
      <c r="H549" s="121"/>
    </row>
    <row r="550" spans="2:8">
      <c r="B550" s="23">
        <v>1</v>
      </c>
      <c r="C550" s="125">
        <f t="shared" si="8"/>
        <v>542</v>
      </c>
      <c r="D550" s="122">
        <v>539</v>
      </c>
      <c r="E550" s="121" t="s">
        <v>2466</v>
      </c>
      <c r="F550" s="123" t="s">
        <v>87</v>
      </c>
      <c r="G550" s="124">
        <v>0</v>
      </c>
      <c r="H550" s="121"/>
    </row>
    <row r="551" spans="2:8">
      <c r="B551" s="23">
        <v>1</v>
      </c>
      <c r="C551" s="125">
        <f t="shared" si="8"/>
        <v>543</v>
      </c>
      <c r="D551" s="122">
        <v>540</v>
      </c>
      <c r="E551" s="121" t="s">
        <v>2467</v>
      </c>
      <c r="F551" s="123" t="s">
        <v>87</v>
      </c>
      <c r="G551" s="124">
        <v>0</v>
      </c>
      <c r="H551" s="121"/>
    </row>
    <row r="552" spans="2:8">
      <c r="B552" s="23">
        <v>1</v>
      </c>
      <c r="C552" s="125">
        <f t="shared" si="8"/>
        <v>544</v>
      </c>
      <c r="D552" s="122">
        <v>541</v>
      </c>
      <c r="E552" s="121" t="s">
        <v>2468</v>
      </c>
      <c r="F552" s="123" t="s">
        <v>87</v>
      </c>
      <c r="G552" s="124">
        <v>0</v>
      </c>
      <c r="H552" s="121"/>
    </row>
    <row r="553" spans="2:8">
      <c r="B553" s="23">
        <v>1</v>
      </c>
      <c r="C553" s="125">
        <f t="shared" si="8"/>
        <v>545</v>
      </c>
      <c r="D553" s="122">
        <v>542</v>
      </c>
      <c r="E553" s="121" t="s">
        <v>2469</v>
      </c>
      <c r="F553" s="123" t="s">
        <v>87</v>
      </c>
      <c r="G553" s="124">
        <v>0</v>
      </c>
      <c r="H553" s="121"/>
    </row>
    <row r="554" spans="2:8">
      <c r="B554" s="23">
        <v>1</v>
      </c>
      <c r="C554" s="125">
        <f t="shared" si="8"/>
        <v>546</v>
      </c>
      <c r="D554" s="122">
        <v>543</v>
      </c>
      <c r="E554" s="121" t="s">
        <v>2470</v>
      </c>
      <c r="F554" s="123" t="s">
        <v>87</v>
      </c>
      <c r="G554" s="124">
        <v>0</v>
      </c>
      <c r="H554" s="121"/>
    </row>
    <row r="555" spans="2:8">
      <c r="B555" s="23">
        <v>1</v>
      </c>
      <c r="C555" s="125">
        <f t="shared" si="8"/>
        <v>547</v>
      </c>
      <c r="D555" s="122">
        <v>544</v>
      </c>
      <c r="E555" s="121" t="s">
        <v>2471</v>
      </c>
      <c r="F555" s="123" t="s">
        <v>87</v>
      </c>
      <c r="G555" s="124">
        <v>0</v>
      </c>
      <c r="H555" s="121"/>
    </row>
    <row r="556" spans="2:8">
      <c r="B556" s="23">
        <v>1</v>
      </c>
      <c r="C556" s="125">
        <f t="shared" si="8"/>
        <v>548</v>
      </c>
      <c r="D556" s="122">
        <v>545</v>
      </c>
      <c r="E556" s="121" t="s">
        <v>2472</v>
      </c>
      <c r="F556" s="123" t="s">
        <v>87</v>
      </c>
      <c r="G556" s="124">
        <v>0</v>
      </c>
      <c r="H556" s="121"/>
    </row>
    <row r="557" spans="2:8">
      <c r="B557" s="23">
        <v>1</v>
      </c>
      <c r="C557" s="125">
        <f t="shared" si="8"/>
        <v>549</v>
      </c>
      <c r="D557" s="122">
        <v>546</v>
      </c>
      <c r="E557" s="121" t="s">
        <v>2473</v>
      </c>
      <c r="F557" s="123" t="s">
        <v>87</v>
      </c>
      <c r="G557" s="124">
        <v>0</v>
      </c>
      <c r="H557" s="121"/>
    </row>
    <row r="558" spans="2:8">
      <c r="B558" s="23">
        <v>1</v>
      </c>
      <c r="C558" s="125">
        <f t="shared" si="8"/>
        <v>550</v>
      </c>
      <c r="D558" s="122">
        <v>547</v>
      </c>
      <c r="E558" s="121" t="s">
        <v>2474</v>
      </c>
      <c r="F558" s="123" t="s">
        <v>87</v>
      </c>
      <c r="G558" s="124">
        <v>0</v>
      </c>
      <c r="H558" s="121"/>
    </row>
    <row r="559" spans="2:8">
      <c r="B559" s="23">
        <v>1</v>
      </c>
      <c r="C559" s="125">
        <f t="shared" si="8"/>
        <v>551</v>
      </c>
      <c r="D559" s="122">
        <v>548</v>
      </c>
      <c r="E559" s="121" t="s">
        <v>2475</v>
      </c>
      <c r="F559" s="123" t="s">
        <v>87</v>
      </c>
      <c r="G559" s="124">
        <v>0</v>
      </c>
      <c r="H559" s="121"/>
    </row>
    <row r="560" spans="2:8">
      <c r="B560" s="23">
        <v>1</v>
      </c>
      <c r="C560" s="125">
        <f t="shared" si="8"/>
        <v>552</v>
      </c>
      <c r="D560" s="122">
        <v>549</v>
      </c>
      <c r="E560" s="121" t="s">
        <v>2476</v>
      </c>
      <c r="F560" s="123" t="s">
        <v>87</v>
      </c>
      <c r="G560" s="124">
        <v>0</v>
      </c>
      <c r="H560" s="121"/>
    </row>
    <row r="561" spans="2:8">
      <c r="B561" s="23">
        <v>1</v>
      </c>
      <c r="C561" s="125">
        <f t="shared" si="8"/>
        <v>553</v>
      </c>
      <c r="D561" s="122">
        <v>550</v>
      </c>
      <c r="E561" s="121" t="s">
        <v>2477</v>
      </c>
      <c r="F561" s="123" t="s">
        <v>87</v>
      </c>
      <c r="G561" s="124">
        <v>0</v>
      </c>
      <c r="H561" s="121"/>
    </row>
    <row r="562" spans="2:8">
      <c r="B562" s="23">
        <v>1</v>
      </c>
      <c r="C562" s="125">
        <f t="shared" si="8"/>
        <v>554</v>
      </c>
      <c r="D562" s="122">
        <v>551</v>
      </c>
      <c r="E562" s="121" t="s">
        <v>2478</v>
      </c>
      <c r="F562" s="123" t="s">
        <v>87</v>
      </c>
      <c r="G562" s="124">
        <v>0</v>
      </c>
      <c r="H562" s="121"/>
    </row>
    <row r="563" spans="2:8">
      <c r="B563" s="23">
        <v>1</v>
      </c>
      <c r="C563" s="125">
        <f t="shared" si="8"/>
        <v>555</v>
      </c>
      <c r="D563" s="122">
        <v>552</v>
      </c>
      <c r="E563" s="121" t="s">
        <v>2479</v>
      </c>
      <c r="F563" s="123" t="s">
        <v>87</v>
      </c>
      <c r="G563" s="124">
        <v>0</v>
      </c>
      <c r="H563" s="121"/>
    </row>
    <row r="564" spans="2:8">
      <c r="B564" s="23">
        <v>1</v>
      </c>
      <c r="C564" s="125">
        <f t="shared" si="8"/>
        <v>556</v>
      </c>
      <c r="D564" s="122">
        <v>553</v>
      </c>
      <c r="E564" s="121" t="s">
        <v>2480</v>
      </c>
      <c r="F564" s="123" t="s">
        <v>87</v>
      </c>
      <c r="G564" s="124">
        <v>0</v>
      </c>
      <c r="H564" s="121"/>
    </row>
    <row r="565" spans="2:8">
      <c r="B565" s="23">
        <v>1</v>
      </c>
      <c r="C565" s="125">
        <f t="shared" si="8"/>
        <v>557</v>
      </c>
      <c r="D565" s="122">
        <v>554</v>
      </c>
      <c r="E565" s="121" t="s">
        <v>2481</v>
      </c>
      <c r="F565" s="123" t="s">
        <v>2333</v>
      </c>
      <c r="G565" s="124">
        <v>0</v>
      </c>
      <c r="H565" s="121"/>
    </row>
    <row r="566" spans="2:8">
      <c r="B566" s="23">
        <v>1</v>
      </c>
      <c r="C566" s="125">
        <f t="shared" si="8"/>
        <v>558</v>
      </c>
      <c r="D566" s="122">
        <v>555</v>
      </c>
      <c r="E566" s="121" t="s">
        <v>2482</v>
      </c>
      <c r="F566" s="123" t="s">
        <v>87</v>
      </c>
      <c r="G566" s="124">
        <v>0</v>
      </c>
      <c r="H566" s="121"/>
    </row>
    <row r="567" spans="2:8">
      <c r="B567" s="23">
        <v>1</v>
      </c>
      <c r="C567" s="125">
        <f t="shared" si="8"/>
        <v>559</v>
      </c>
      <c r="D567" s="122">
        <v>556</v>
      </c>
      <c r="E567" s="121" t="s">
        <v>2483</v>
      </c>
      <c r="F567" s="123" t="s">
        <v>87</v>
      </c>
      <c r="G567" s="124">
        <v>0</v>
      </c>
      <c r="H567" s="121"/>
    </row>
    <row r="568" spans="2:8">
      <c r="B568" s="23">
        <v>1</v>
      </c>
      <c r="C568" s="125">
        <f t="shared" si="8"/>
        <v>560</v>
      </c>
      <c r="D568" s="122">
        <v>557</v>
      </c>
      <c r="E568" s="121" t="s">
        <v>2484</v>
      </c>
      <c r="F568" s="123" t="s">
        <v>87</v>
      </c>
      <c r="G568" s="124">
        <v>0</v>
      </c>
      <c r="H568" s="121"/>
    </row>
    <row r="569" spans="2:8">
      <c r="B569" s="23">
        <v>1</v>
      </c>
      <c r="C569" s="125">
        <f t="shared" si="8"/>
        <v>561</v>
      </c>
      <c r="D569" s="122">
        <v>558</v>
      </c>
      <c r="E569" s="121" t="s">
        <v>2485</v>
      </c>
      <c r="F569" s="123" t="s">
        <v>87</v>
      </c>
      <c r="G569" s="124">
        <v>0</v>
      </c>
      <c r="H569" s="121"/>
    </row>
    <row r="570" spans="2:8">
      <c r="B570" s="23">
        <v>1</v>
      </c>
      <c r="C570" s="125">
        <f t="shared" si="8"/>
        <v>562</v>
      </c>
      <c r="D570" s="122">
        <v>559</v>
      </c>
      <c r="E570" s="121" t="s">
        <v>2486</v>
      </c>
      <c r="F570" s="123" t="s">
        <v>87</v>
      </c>
      <c r="G570" s="124">
        <v>0</v>
      </c>
      <c r="H570" s="121"/>
    </row>
    <row r="571" spans="2:8">
      <c r="B571" s="23">
        <v>1</v>
      </c>
      <c r="C571" s="125">
        <f t="shared" si="8"/>
        <v>563</v>
      </c>
      <c r="D571" s="122">
        <v>560</v>
      </c>
      <c r="E571" s="121" t="s">
        <v>2487</v>
      </c>
      <c r="F571" s="123" t="s">
        <v>87</v>
      </c>
      <c r="G571" s="124">
        <v>0</v>
      </c>
      <c r="H571" s="121"/>
    </row>
    <row r="572" spans="2:8">
      <c r="B572" s="23">
        <v>1</v>
      </c>
      <c r="C572" s="125">
        <f t="shared" si="8"/>
        <v>564</v>
      </c>
      <c r="D572" s="122">
        <v>561</v>
      </c>
      <c r="E572" s="121" t="s">
        <v>2488</v>
      </c>
      <c r="F572" s="123" t="s">
        <v>87</v>
      </c>
      <c r="G572" s="124">
        <v>0</v>
      </c>
      <c r="H572" s="121"/>
    </row>
    <row r="573" spans="2:8">
      <c r="B573" s="23">
        <v>1</v>
      </c>
      <c r="C573" s="125">
        <f t="shared" si="8"/>
        <v>565</v>
      </c>
      <c r="D573" s="122">
        <v>562</v>
      </c>
      <c r="E573" s="121" t="s">
        <v>2489</v>
      </c>
      <c r="F573" s="123" t="s">
        <v>87</v>
      </c>
      <c r="G573" s="124">
        <v>0</v>
      </c>
      <c r="H573" s="121"/>
    </row>
    <row r="574" spans="2:8">
      <c r="B574" s="23">
        <v>1</v>
      </c>
      <c r="C574" s="125">
        <f t="shared" si="8"/>
        <v>566</v>
      </c>
      <c r="D574" s="122">
        <v>563</v>
      </c>
      <c r="E574" s="121" t="s">
        <v>2490</v>
      </c>
      <c r="F574" s="123" t="s">
        <v>87</v>
      </c>
      <c r="G574" s="124">
        <v>0</v>
      </c>
      <c r="H574" s="121"/>
    </row>
    <row r="575" spans="2:8">
      <c r="B575" s="23">
        <v>1</v>
      </c>
      <c r="C575" s="125">
        <f t="shared" si="8"/>
        <v>567</v>
      </c>
      <c r="D575" s="122">
        <v>564</v>
      </c>
      <c r="E575" s="121" t="s">
        <v>2491</v>
      </c>
      <c r="F575" s="123" t="s">
        <v>87</v>
      </c>
      <c r="G575" s="124">
        <v>0</v>
      </c>
      <c r="H575" s="121"/>
    </row>
    <row r="576" spans="2:8">
      <c r="B576" s="23">
        <v>1</v>
      </c>
      <c r="C576" s="125">
        <f t="shared" si="8"/>
        <v>568</v>
      </c>
      <c r="D576" s="122">
        <v>565</v>
      </c>
      <c r="E576" s="121" t="s">
        <v>2492</v>
      </c>
      <c r="F576" s="123" t="s">
        <v>87</v>
      </c>
      <c r="G576" s="124">
        <v>0</v>
      </c>
      <c r="H576" s="121"/>
    </row>
    <row r="577" spans="2:8">
      <c r="B577" s="23">
        <v>1</v>
      </c>
      <c r="C577" s="125">
        <f t="shared" si="8"/>
        <v>569</v>
      </c>
      <c r="D577" s="122">
        <v>566</v>
      </c>
      <c r="E577" s="121" t="s">
        <v>2493</v>
      </c>
      <c r="F577" s="123" t="s">
        <v>87</v>
      </c>
      <c r="G577" s="124">
        <v>0</v>
      </c>
      <c r="H577" s="121"/>
    </row>
    <row r="578" spans="2:8">
      <c r="B578" s="23">
        <v>1</v>
      </c>
      <c r="C578" s="125">
        <f t="shared" si="8"/>
        <v>570</v>
      </c>
      <c r="D578" s="122">
        <v>567</v>
      </c>
      <c r="E578" s="121" t="s">
        <v>2494</v>
      </c>
      <c r="F578" s="123" t="s">
        <v>87</v>
      </c>
      <c r="G578" s="124">
        <v>0</v>
      </c>
      <c r="H578" s="121"/>
    </row>
    <row r="579" spans="2:8">
      <c r="B579" s="23">
        <v>1</v>
      </c>
      <c r="C579" s="125">
        <f t="shared" si="8"/>
        <v>571</v>
      </c>
      <c r="D579" s="122">
        <v>568</v>
      </c>
      <c r="E579" s="121" t="s">
        <v>2495</v>
      </c>
      <c r="F579" s="123" t="s">
        <v>87</v>
      </c>
      <c r="G579" s="124">
        <v>0</v>
      </c>
      <c r="H579" s="121"/>
    </row>
    <row r="580" spans="2:8">
      <c r="B580" s="23">
        <v>1</v>
      </c>
      <c r="C580" s="125">
        <f t="shared" si="8"/>
        <v>572</v>
      </c>
      <c r="D580" s="122">
        <v>569</v>
      </c>
      <c r="E580" s="121" t="s">
        <v>2496</v>
      </c>
      <c r="F580" s="123" t="s">
        <v>87</v>
      </c>
      <c r="G580" s="124">
        <v>0</v>
      </c>
      <c r="H580" s="121"/>
    </row>
    <row r="581" spans="2:8">
      <c r="B581" s="23">
        <v>1</v>
      </c>
      <c r="C581" s="125">
        <f t="shared" si="8"/>
        <v>573</v>
      </c>
      <c r="D581" s="122">
        <v>570</v>
      </c>
      <c r="E581" s="121" t="s">
        <v>2497</v>
      </c>
      <c r="F581" s="123" t="s">
        <v>87</v>
      </c>
      <c r="G581" s="124">
        <v>0</v>
      </c>
      <c r="H581" s="121"/>
    </row>
    <row r="582" spans="2:8">
      <c r="B582" s="23">
        <v>1</v>
      </c>
      <c r="C582" s="125">
        <f t="shared" si="8"/>
        <v>574</v>
      </c>
      <c r="D582" s="122">
        <v>571</v>
      </c>
      <c r="E582" s="121" t="s">
        <v>2498</v>
      </c>
      <c r="F582" s="123" t="s">
        <v>87</v>
      </c>
      <c r="G582" s="124">
        <v>0</v>
      </c>
      <c r="H582" s="121"/>
    </row>
    <row r="583" spans="2:8">
      <c r="B583" s="23">
        <v>1</v>
      </c>
      <c r="C583" s="125">
        <f t="shared" si="8"/>
        <v>575</v>
      </c>
      <c r="D583" s="122">
        <v>572</v>
      </c>
      <c r="E583" s="121" t="s">
        <v>2499</v>
      </c>
      <c r="F583" s="123" t="s">
        <v>87</v>
      </c>
      <c r="G583" s="124">
        <v>0</v>
      </c>
      <c r="H583" s="121"/>
    </row>
    <row r="584" spans="2:8">
      <c r="B584" s="23">
        <v>1</v>
      </c>
      <c r="C584" s="125">
        <f t="shared" si="8"/>
        <v>576</v>
      </c>
      <c r="D584" s="122">
        <v>573</v>
      </c>
      <c r="E584" s="121" t="s">
        <v>2500</v>
      </c>
      <c r="F584" s="123" t="s">
        <v>87</v>
      </c>
      <c r="G584" s="124">
        <v>0</v>
      </c>
      <c r="H584" s="121"/>
    </row>
    <row r="585" spans="2:8">
      <c r="B585" s="23">
        <v>1</v>
      </c>
      <c r="C585" s="125">
        <f t="shared" si="8"/>
        <v>577</v>
      </c>
      <c r="D585" s="122">
        <v>574</v>
      </c>
      <c r="E585" s="121" t="s">
        <v>2501</v>
      </c>
      <c r="F585" s="123" t="s">
        <v>87</v>
      </c>
      <c r="G585" s="124">
        <v>0</v>
      </c>
      <c r="H585" s="121"/>
    </row>
    <row r="586" spans="2:8">
      <c r="B586" s="23">
        <v>1</v>
      </c>
      <c r="C586" s="125">
        <f t="shared" si="8"/>
        <v>578</v>
      </c>
      <c r="D586" s="122">
        <v>575</v>
      </c>
      <c r="E586" s="121" t="s">
        <v>2502</v>
      </c>
      <c r="F586" s="123" t="s">
        <v>87</v>
      </c>
      <c r="G586" s="124">
        <v>0</v>
      </c>
      <c r="H586" s="121"/>
    </row>
    <row r="587" spans="2:8">
      <c r="B587" s="23">
        <v>1</v>
      </c>
      <c r="C587" s="125">
        <f t="shared" si="8"/>
        <v>579</v>
      </c>
      <c r="D587" s="122">
        <v>576</v>
      </c>
      <c r="E587" s="121" t="s">
        <v>2503</v>
      </c>
      <c r="F587" s="123" t="s">
        <v>87</v>
      </c>
      <c r="G587" s="124">
        <v>0</v>
      </c>
      <c r="H587" s="121"/>
    </row>
    <row r="588" spans="2:8">
      <c r="B588" s="23">
        <v>1</v>
      </c>
      <c r="C588" s="125">
        <f t="shared" si="8"/>
        <v>580</v>
      </c>
      <c r="D588" s="122">
        <v>577</v>
      </c>
      <c r="E588" s="121" t="s">
        <v>2504</v>
      </c>
      <c r="F588" s="123" t="s">
        <v>87</v>
      </c>
      <c r="G588" s="124">
        <v>0</v>
      </c>
      <c r="H588" s="121"/>
    </row>
    <row r="589" spans="2:8">
      <c r="B589" s="23">
        <v>1</v>
      </c>
      <c r="C589" s="125">
        <f t="shared" si="8"/>
        <v>581</v>
      </c>
      <c r="D589" s="122">
        <v>578</v>
      </c>
      <c r="E589" s="121" t="s">
        <v>2505</v>
      </c>
      <c r="F589" s="123" t="s">
        <v>87</v>
      </c>
      <c r="G589" s="124">
        <v>0</v>
      </c>
      <c r="H589" s="121"/>
    </row>
    <row r="590" spans="2:8">
      <c r="B590" s="23">
        <v>1</v>
      </c>
      <c r="C590" s="125">
        <f t="shared" si="8"/>
        <v>582</v>
      </c>
      <c r="D590" s="122">
        <v>579</v>
      </c>
      <c r="E590" s="121" t="s">
        <v>2506</v>
      </c>
      <c r="F590" s="123" t="s">
        <v>87</v>
      </c>
      <c r="G590" s="124">
        <v>0</v>
      </c>
      <c r="H590" s="121"/>
    </row>
    <row r="591" spans="2:8">
      <c r="B591" s="23">
        <v>1</v>
      </c>
      <c r="C591" s="125">
        <f t="shared" ref="C591:C654" si="9">+C590+1</f>
        <v>583</v>
      </c>
      <c r="D591" s="122">
        <v>580</v>
      </c>
      <c r="E591" s="121" t="s">
        <v>2507</v>
      </c>
      <c r="F591" s="123" t="s">
        <v>87</v>
      </c>
      <c r="G591" s="124">
        <v>0</v>
      </c>
      <c r="H591" s="121"/>
    </row>
    <row r="592" spans="2:8">
      <c r="B592" s="23">
        <v>1</v>
      </c>
      <c r="C592" s="125">
        <f t="shared" si="9"/>
        <v>584</v>
      </c>
      <c r="D592" s="122">
        <v>581</v>
      </c>
      <c r="E592" s="121" t="s">
        <v>2508</v>
      </c>
      <c r="F592" s="123" t="s">
        <v>87</v>
      </c>
      <c r="G592" s="124">
        <v>0</v>
      </c>
      <c r="H592" s="121"/>
    </row>
    <row r="593" spans="2:8">
      <c r="B593" s="23">
        <v>1</v>
      </c>
      <c r="C593" s="125">
        <f t="shared" si="9"/>
        <v>585</v>
      </c>
      <c r="D593" s="122">
        <v>582</v>
      </c>
      <c r="E593" s="121" t="s">
        <v>2509</v>
      </c>
      <c r="F593" s="123" t="s">
        <v>87</v>
      </c>
      <c r="G593" s="124">
        <v>0</v>
      </c>
      <c r="H593" s="121"/>
    </row>
    <row r="594" spans="2:8">
      <c r="B594" s="23">
        <v>1</v>
      </c>
      <c r="C594" s="125">
        <f t="shared" si="9"/>
        <v>586</v>
      </c>
      <c r="D594" s="122">
        <v>583</v>
      </c>
      <c r="E594" s="121" t="s">
        <v>2510</v>
      </c>
      <c r="F594" s="123" t="s">
        <v>87</v>
      </c>
      <c r="G594" s="124">
        <v>0</v>
      </c>
      <c r="H594" s="121"/>
    </row>
    <row r="595" spans="2:8">
      <c r="B595" s="23">
        <v>1</v>
      </c>
      <c r="C595" s="125">
        <f t="shared" si="9"/>
        <v>587</v>
      </c>
      <c r="D595" s="122">
        <v>584</v>
      </c>
      <c r="E595" s="121" t="s">
        <v>2511</v>
      </c>
      <c r="F595" s="123" t="s">
        <v>87</v>
      </c>
      <c r="G595" s="124">
        <v>0</v>
      </c>
      <c r="H595" s="121"/>
    </row>
    <row r="596" spans="2:8">
      <c r="B596" s="23">
        <v>1</v>
      </c>
      <c r="C596" s="125">
        <f t="shared" si="9"/>
        <v>588</v>
      </c>
      <c r="D596" s="122">
        <v>585</v>
      </c>
      <c r="E596" s="121" t="s">
        <v>2512</v>
      </c>
      <c r="F596" s="123" t="s">
        <v>87</v>
      </c>
      <c r="G596" s="124">
        <v>0</v>
      </c>
      <c r="H596" s="121"/>
    </row>
    <row r="597" spans="2:8">
      <c r="B597" s="23">
        <v>1</v>
      </c>
      <c r="C597" s="125">
        <f t="shared" si="9"/>
        <v>589</v>
      </c>
      <c r="D597" s="122">
        <v>586</v>
      </c>
      <c r="E597" s="121" t="s">
        <v>2513</v>
      </c>
      <c r="F597" s="123" t="s">
        <v>87</v>
      </c>
      <c r="G597" s="124">
        <v>0</v>
      </c>
      <c r="H597" s="121"/>
    </row>
    <row r="598" spans="2:8">
      <c r="B598" s="23">
        <v>1</v>
      </c>
      <c r="C598" s="125">
        <f t="shared" si="9"/>
        <v>590</v>
      </c>
      <c r="D598" s="122">
        <v>587</v>
      </c>
      <c r="E598" s="121" t="s">
        <v>2514</v>
      </c>
      <c r="F598" s="123" t="s">
        <v>87</v>
      </c>
      <c r="G598" s="124">
        <v>0</v>
      </c>
      <c r="H598" s="121"/>
    </row>
    <row r="599" spans="2:8">
      <c r="B599" s="23">
        <v>1</v>
      </c>
      <c r="C599" s="125">
        <f t="shared" si="9"/>
        <v>591</v>
      </c>
      <c r="D599" s="122">
        <v>588</v>
      </c>
      <c r="E599" s="121" t="s">
        <v>2515</v>
      </c>
      <c r="F599" s="123" t="s">
        <v>87</v>
      </c>
      <c r="G599" s="124">
        <v>0</v>
      </c>
      <c r="H599" s="121"/>
    </row>
    <row r="600" spans="2:8">
      <c r="B600" s="23">
        <v>1</v>
      </c>
      <c r="C600" s="125">
        <f t="shared" si="9"/>
        <v>592</v>
      </c>
      <c r="D600" s="122">
        <v>589</v>
      </c>
      <c r="E600" s="121" t="s">
        <v>2516</v>
      </c>
      <c r="F600" s="123" t="s">
        <v>87</v>
      </c>
      <c r="G600" s="124">
        <v>0</v>
      </c>
      <c r="H600" s="121"/>
    </row>
    <row r="601" spans="2:8">
      <c r="B601" s="23">
        <v>1</v>
      </c>
      <c r="C601" s="125">
        <f t="shared" si="9"/>
        <v>593</v>
      </c>
      <c r="D601" s="122">
        <v>590</v>
      </c>
      <c r="E601" s="121" t="s">
        <v>2517</v>
      </c>
      <c r="F601" s="123" t="s">
        <v>87</v>
      </c>
      <c r="G601" s="124">
        <v>0</v>
      </c>
      <c r="H601" s="121"/>
    </row>
    <row r="602" spans="2:8">
      <c r="B602" s="23">
        <v>1</v>
      </c>
      <c r="C602" s="125">
        <f t="shared" si="9"/>
        <v>594</v>
      </c>
      <c r="D602" s="122">
        <v>591</v>
      </c>
      <c r="E602" s="121" t="s">
        <v>2518</v>
      </c>
      <c r="F602" s="123" t="s">
        <v>87</v>
      </c>
      <c r="G602" s="124">
        <v>0</v>
      </c>
      <c r="H602" s="121"/>
    </row>
    <row r="603" spans="2:8">
      <c r="B603" s="23">
        <v>1</v>
      </c>
      <c r="C603" s="125">
        <f t="shared" si="9"/>
        <v>595</v>
      </c>
      <c r="D603" s="122">
        <v>592</v>
      </c>
      <c r="E603" s="121" t="s">
        <v>2519</v>
      </c>
      <c r="F603" s="123" t="s">
        <v>87</v>
      </c>
      <c r="G603" s="124">
        <v>0</v>
      </c>
      <c r="H603" s="121"/>
    </row>
    <row r="604" spans="2:8">
      <c r="B604" s="23">
        <v>1</v>
      </c>
      <c r="C604" s="125">
        <f t="shared" si="9"/>
        <v>596</v>
      </c>
      <c r="D604" s="122">
        <v>593</v>
      </c>
      <c r="E604" s="121" t="s">
        <v>2520</v>
      </c>
      <c r="F604" s="123" t="s">
        <v>87</v>
      </c>
      <c r="G604" s="124">
        <v>0</v>
      </c>
      <c r="H604" s="121"/>
    </row>
    <row r="605" spans="2:8">
      <c r="B605" s="23">
        <v>1</v>
      </c>
      <c r="C605" s="125">
        <f t="shared" si="9"/>
        <v>597</v>
      </c>
      <c r="D605" s="122">
        <v>594</v>
      </c>
      <c r="E605" s="121" t="s">
        <v>2521</v>
      </c>
      <c r="F605" s="123" t="s">
        <v>87</v>
      </c>
      <c r="G605" s="124">
        <v>0</v>
      </c>
      <c r="H605" s="121"/>
    </row>
    <row r="606" spans="2:8">
      <c r="B606" s="23">
        <v>1</v>
      </c>
      <c r="C606" s="125">
        <f t="shared" si="9"/>
        <v>598</v>
      </c>
      <c r="D606" s="122">
        <v>595</v>
      </c>
      <c r="E606" s="121" t="s">
        <v>2522</v>
      </c>
      <c r="F606" s="123" t="s">
        <v>87</v>
      </c>
      <c r="G606" s="124">
        <v>0</v>
      </c>
      <c r="H606" s="121"/>
    </row>
    <row r="607" spans="2:8">
      <c r="B607" s="23">
        <v>1</v>
      </c>
      <c r="C607" s="125">
        <f t="shared" si="9"/>
        <v>599</v>
      </c>
      <c r="D607" s="122">
        <v>596</v>
      </c>
      <c r="E607" s="121" t="s">
        <v>2523</v>
      </c>
      <c r="F607" s="123" t="s">
        <v>87</v>
      </c>
      <c r="G607" s="124">
        <v>0</v>
      </c>
      <c r="H607" s="121"/>
    </row>
    <row r="608" spans="2:8">
      <c r="B608" s="23">
        <v>1</v>
      </c>
      <c r="C608" s="125">
        <f t="shared" si="9"/>
        <v>600</v>
      </c>
      <c r="D608" s="122">
        <v>597</v>
      </c>
      <c r="E608" s="121" t="s">
        <v>2524</v>
      </c>
      <c r="F608" s="123" t="s">
        <v>87</v>
      </c>
      <c r="G608" s="124">
        <v>0</v>
      </c>
      <c r="H608" s="121"/>
    </row>
    <row r="609" spans="2:8">
      <c r="B609" s="23">
        <v>1</v>
      </c>
      <c r="C609" s="125">
        <f t="shared" si="9"/>
        <v>601</v>
      </c>
      <c r="D609" s="122">
        <v>598</v>
      </c>
      <c r="E609" s="121" t="s">
        <v>2525</v>
      </c>
      <c r="F609" s="123" t="s">
        <v>87</v>
      </c>
      <c r="G609" s="124">
        <v>0</v>
      </c>
      <c r="H609" s="121"/>
    </row>
    <row r="610" spans="2:8">
      <c r="B610" s="23">
        <v>1</v>
      </c>
      <c r="C610" s="125">
        <f t="shared" si="9"/>
        <v>602</v>
      </c>
      <c r="D610" s="122">
        <v>599</v>
      </c>
      <c r="E610" s="121" t="s">
        <v>2526</v>
      </c>
      <c r="F610" s="123" t="s">
        <v>2333</v>
      </c>
      <c r="G610" s="124">
        <v>0</v>
      </c>
      <c r="H610" s="121"/>
    </row>
    <row r="611" spans="2:8">
      <c r="B611" s="23">
        <v>1</v>
      </c>
      <c r="C611" s="125">
        <f t="shared" si="9"/>
        <v>603</v>
      </c>
      <c r="D611" s="122">
        <v>600</v>
      </c>
      <c r="E611" s="121" t="s">
        <v>2527</v>
      </c>
      <c r="F611" s="123" t="s">
        <v>2333</v>
      </c>
      <c r="G611" s="124">
        <v>0</v>
      </c>
      <c r="H611" s="121"/>
    </row>
    <row r="612" spans="2:8">
      <c r="B612" s="23">
        <v>1</v>
      </c>
      <c r="C612" s="125">
        <f t="shared" si="9"/>
        <v>604</v>
      </c>
      <c r="D612" s="122">
        <v>601</v>
      </c>
      <c r="E612" s="121" t="s">
        <v>2528</v>
      </c>
      <c r="F612" s="123" t="s">
        <v>2333</v>
      </c>
      <c r="G612" s="124">
        <v>0</v>
      </c>
      <c r="H612" s="121"/>
    </row>
    <row r="613" spans="2:8">
      <c r="B613" s="23">
        <v>1</v>
      </c>
      <c r="C613" s="125">
        <f t="shared" si="9"/>
        <v>605</v>
      </c>
      <c r="D613" s="122">
        <v>602</v>
      </c>
      <c r="E613" s="121" t="s">
        <v>2529</v>
      </c>
      <c r="F613" s="123" t="s">
        <v>87</v>
      </c>
      <c r="G613" s="124">
        <v>0</v>
      </c>
      <c r="H613" s="121"/>
    </row>
    <row r="614" spans="2:8">
      <c r="B614" s="23">
        <v>1</v>
      </c>
      <c r="C614" s="125">
        <f t="shared" si="9"/>
        <v>606</v>
      </c>
      <c r="D614" s="122">
        <v>603</v>
      </c>
      <c r="E614" s="121" t="s">
        <v>2530</v>
      </c>
      <c r="F614" s="123" t="s">
        <v>87</v>
      </c>
      <c r="G614" s="124">
        <v>0</v>
      </c>
      <c r="H614" s="121"/>
    </row>
    <row r="615" spans="2:8">
      <c r="B615" s="23">
        <v>1</v>
      </c>
      <c r="C615" s="125">
        <f t="shared" si="9"/>
        <v>607</v>
      </c>
      <c r="D615" s="122">
        <v>604</v>
      </c>
      <c r="E615" s="121" t="s">
        <v>2531</v>
      </c>
      <c r="F615" s="123" t="s">
        <v>87</v>
      </c>
      <c r="G615" s="124">
        <v>0</v>
      </c>
      <c r="H615" s="121"/>
    </row>
    <row r="616" spans="2:8">
      <c r="B616" s="23">
        <v>1</v>
      </c>
      <c r="C616" s="125">
        <f t="shared" si="9"/>
        <v>608</v>
      </c>
      <c r="D616" s="122">
        <v>605</v>
      </c>
      <c r="E616" s="121" t="s">
        <v>2532</v>
      </c>
      <c r="F616" s="123" t="s">
        <v>87</v>
      </c>
      <c r="G616" s="124">
        <v>0</v>
      </c>
      <c r="H616" s="121"/>
    </row>
    <row r="617" spans="2:8">
      <c r="B617" s="23">
        <v>1</v>
      </c>
      <c r="C617" s="125">
        <f t="shared" si="9"/>
        <v>609</v>
      </c>
      <c r="D617" s="122">
        <v>606</v>
      </c>
      <c r="E617" s="121" t="s">
        <v>2533</v>
      </c>
      <c r="F617" s="123" t="s">
        <v>87</v>
      </c>
      <c r="G617" s="124">
        <v>0</v>
      </c>
      <c r="H617" s="121"/>
    </row>
    <row r="618" spans="2:8">
      <c r="B618" s="23">
        <v>1</v>
      </c>
      <c r="C618" s="125">
        <f t="shared" si="9"/>
        <v>610</v>
      </c>
      <c r="D618" s="122">
        <v>607</v>
      </c>
      <c r="E618" s="121" t="s">
        <v>2534</v>
      </c>
      <c r="F618" s="123" t="s">
        <v>87</v>
      </c>
      <c r="G618" s="124">
        <v>0</v>
      </c>
      <c r="H618" s="121"/>
    </row>
    <row r="619" spans="2:8">
      <c r="B619" s="23">
        <v>1</v>
      </c>
      <c r="C619" s="125">
        <f t="shared" si="9"/>
        <v>611</v>
      </c>
      <c r="D619" s="122">
        <v>608</v>
      </c>
      <c r="E619" s="121" t="s">
        <v>2535</v>
      </c>
      <c r="F619" s="123" t="s">
        <v>87</v>
      </c>
      <c r="G619" s="124">
        <v>0</v>
      </c>
      <c r="H619" s="121"/>
    </row>
    <row r="620" spans="2:8">
      <c r="B620" s="23">
        <v>1</v>
      </c>
      <c r="C620" s="125">
        <f t="shared" si="9"/>
        <v>612</v>
      </c>
      <c r="D620" s="122">
        <v>609</v>
      </c>
      <c r="E620" s="121" t="s">
        <v>2536</v>
      </c>
      <c r="F620" s="123" t="s">
        <v>87</v>
      </c>
      <c r="G620" s="124">
        <v>0</v>
      </c>
      <c r="H620" s="121"/>
    </row>
    <row r="621" spans="2:8">
      <c r="B621" s="23">
        <v>1</v>
      </c>
      <c r="C621" s="125">
        <f t="shared" si="9"/>
        <v>613</v>
      </c>
      <c r="D621" s="122">
        <v>610</v>
      </c>
      <c r="E621" s="121" t="s">
        <v>2537</v>
      </c>
      <c r="F621" s="123" t="s">
        <v>87</v>
      </c>
      <c r="G621" s="124">
        <v>0</v>
      </c>
      <c r="H621" s="121"/>
    </row>
    <row r="622" spans="2:8">
      <c r="B622" s="23">
        <v>1</v>
      </c>
      <c r="C622" s="125">
        <f t="shared" si="9"/>
        <v>614</v>
      </c>
      <c r="D622" s="122">
        <v>611</v>
      </c>
      <c r="E622" s="121" t="s">
        <v>2538</v>
      </c>
      <c r="F622" s="123" t="s">
        <v>87</v>
      </c>
      <c r="G622" s="124">
        <v>0</v>
      </c>
      <c r="H622" s="121"/>
    </row>
    <row r="623" spans="2:8">
      <c r="B623" s="23">
        <v>1</v>
      </c>
      <c r="C623" s="125">
        <f t="shared" si="9"/>
        <v>615</v>
      </c>
      <c r="D623" s="122">
        <v>612</v>
      </c>
      <c r="E623" s="121" t="s">
        <v>2539</v>
      </c>
      <c r="F623" s="123" t="s">
        <v>87</v>
      </c>
      <c r="G623" s="124">
        <v>0</v>
      </c>
      <c r="H623" s="121"/>
    </row>
    <row r="624" spans="2:8">
      <c r="B624" s="23">
        <v>1</v>
      </c>
      <c r="C624" s="125">
        <f t="shared" si="9"/>
        <v>616</v>
      </c>
      <c r="D624" s="122">
        <v>613</v>
      </c>
      <c r="E624" s="121" t="s">
        <v>2540</v>
      </c>
      <c r="F624" s="123" t="s">
        <v>87</v>
      </c>
      <c r="G624" s="124">
        <v>0</v>
      </c>
      <c r="H624" s="121"/>
    </row>
    <row r="625" spans="2:8">
      <c r="B625" s="23">
        <v>1</v>
      </c>
      <c r="C625" s="125">
        <f t="shared" si="9"/>
        <v>617</v>
      </c>
      <c r="D625" s="122">
        <v>614</v>
      </c>
      <c r="E625" s="121" t="s">
        <v>2541</v>
      </c>
      <c r="F625" s="123" t="s">
        <v>87</v>
      </c>
      <c r="G625" s="124">
        <v>0</v>
      </c>
      <c r="H625" s="121"/>
    </row>
    <row r="626" spans="2:8">
      <c r="B626" s="23">
        <v>1</v>
      </c>
      <c r="C626" s="125">
        <f t="shared" si="9"/>
        <v>618</v>
      </c>
      <c r="D626" s="122">
        <v>615</v>
      </c>
      <c r="E626" s="121" t="s">
        <v>2542</v>
      </c>
      <c r="F626" s="123" t="s">
        <v>87</v>
      </c>
      <c r="G626" s="124">
        <v>0</v>
      </c>
      <c r="H626" s="121"/>
    </row>
    <row r="627" spans="2:8">
      <c r="B627" s="23">
        <v>1</v>
      </c>
      <c r="C627" s="125">
        <f t="shared" si="9"/>
        <v>619</v>
      </c>
      <c r="D627" s="122">
        <v>616</v>
      </c>
      <c r="E627" s="121" t="s">
        <v>2543</v>
      </c>
      <c r="F627" s="123" t="s">
        <v>87</v>
      </c>
      <c r="G627" s="124">
        <v>0</v>
      </c>
      <c r="H627" s="121"/>
    </row>
    <row r="628" spans="2:8">
      <c r="B628" s="23">
        <v>1</v>
      </c>
      <c r="C628" s="125">
        <f t="shared" si="9"/>
        <v>620</v>
      </c>
      <c r="D628" s="122">
        <v>617</v>
      </c>
      <c r="E628" s="121" t="s">
        <v>2544</v>
      </c>
      <c r="F628" s="123" t="s">
        <v>87</v>
      </c>
      <c r="G628" s="124">
        <v>0</v>
      </c>
      <c r="H628" s="121"/>
    </row>
    <row r="629" spans="2:8">
      <c r="B629" s="23">
        <v>1</v>
      </c>
      <c r="C629" s="125">
        <f t="shared" si="9"/>
        <v>621</v>
      </c>
      <c r="D629" s="122">
        <v>618</v>
      </c>
      <c r="E629" s="121" t="s">
        <v>2545</v>
      </c>
      <c r="F629" s="123" t="s">
        <v>87</v>
      </c>
      <c r="G629" s="124">
        <v>0</v>
      </c>
      <c r="H629" s="121"/>
    </row>
    <row r="630" spans="2:8">
      <c r="B630" s="23">
        <v>1</v>
      </c>
      <c r="C630" s="125">
        <f t="shared" si="9"/>
        <v>622</v>
      </c>
      <c r="D630" s="122">
        <v>619</v>
      </c>
      <c r="E630" s="121" t="s">
        <v>2546</v>
      </c>
      <c r="F630" s="123" t="s">
        <v>87</v>
      </c>
      <c r="G630" s="124">
        <v>0</v>
      </c>
      <c r="H630" s="121"/>
    </row>
    <row r="631" spans="2:8">
      <c r="B631" s="23">
        <v>1</v>
      </c>
      <c r="C631" s="125">
        <f t="shared" si="9"/>
        <v>623</v>
      </c>
      <c r="D631" s="122">
        <v>620</v>
      </c>
      <c r="E631" s="121" t="s">
        <v>2547</v>
      </c>
      <c r="F631" s="123" t="s">
        <v>87</v>
      </c>
      <c r="G631" s="124">
        <v>0</v>
      </c>
      <c r="H631" s="121"/>
    </row>
    <row r="632" spans="2:8">
      <c r="B632" s="23">
        <v>1</v>
      </c>
      <c r="C632" s="125">
        <f t="shared" si="9"/>
        <v>624</v>
      </c>
      <c r="D632" s="122">
        <v>621</v>
      </c>
      <c r="E632" s="121" t="s">
        <v>2548</v>
      </c>
      <c r="F632" s="123" t="s">
        <v>87</v>
      </c>
      <c r="G632" s="124">
        <v>0</v>
      </c>
      <c r="H632" s="121"/>
    </row>
    <row r="633" spans="2:8">
      <c r="B633" s="23">
        <v>1</v>
      </c>
      <c r="C633" s="125">
        <f t="shared" si="9"/>
        <v>625</v>
      </c>
      <c r="D633" s="122">
        <v>622</v>
      </c>
      <c r="E633" s="121" t="s">
        <v>2549</v>
      </c>
      <c r="F633" s="123" t="s">
        <v>87</v>
      </c>
      <c r="G633" s="124">
        <v>0</v>
      </c>
      <c r="H633" s="121"/>
    </row>
    <row r="634" spans="2:8">
      <c r="B634" s="23">
        <v>1</v>
      </c>
      <c r="C634" s="125">
        <f t="shared" si="9"/>
        <v>626</v>
      </c>
      <c r="D634" s="122">
        <v>623</v>
      </c>
      <c r="E634" s="121" t="s">
        <v>2550</v>
      </c>
      <c r="F634" s="123" t="s">
        <v>87</v>
      </c>
      <c r="G634" s="124">
        <v>0</v>
      </c>
      <c r="H634" s="121"/>
    </row>
    <row r="635" spans="2:8">
      <c r="B635" s="23">
        <v>1</v>
      </c>
      <c r="C635" s="125">
        <f t="shared" si="9"/>
        <v>627</v>
      </c>
      <c r="D635" s="122">
        <v>624</v>
      </c>
      <c r="E635" s="121" t="s">
        <v>2551</v>
      </c>
      <c r="F635" s="123" t="s">
        <v>87</v>
      </c>
      <c r="G635" s="124">
        <v>0</v>
      </c>
      <c r="H635" s="121"/>
    </row>
    <row r="636" spans="2:8">
      <c r="B636" s="23">
        <v>1</v>
      </c>
      <c r="C636" s="125">
        <f t="shared" si="9"/>
        <v>628</v>
      </c>
      <c r="D636" s="122">
        <v>625</v>
      </c>
      <c r="E636" s="121" t="s">
        <v>2552</v>
      </c>
      <c r="F636" s="123" t="s">
        <v>87</v>
      </c>
      <c r="G636" s="124">
        <v>0</v>
      </c>
      <c r="H636" s="121"/>
    </row>
    <row r="637" spans="2:8">
      <c r="B637" s="23">
        <v>1</v>
      </c>
      <c r="C637" s="125">
        <f t="shared" si="9"/>
        <v>629</v>
      </c>
      <c r="D637" s="122">
        <v>626</v>
      </c>
      <c r="E637" s="121" t="s">
        <v>2553</v>
      </c>
      <c r="F637" s="123" t="s">
        <v>87</v>
      </c>
      <c r="G637" s="124">
        <v>0</v>
      </c>
      <c r="H637" s="121"/>
    </row>
    <row r="638" spans="2:8">
      <c r="B638" s="23">
        <v>1</v>
      </c>
      <c r="C638" s="125">
        <f t="shared" si="9"/>
        <v>630</v>
      </c>
      <c r="D638" s="122">
        <v>627</v>
      </c>
      <c r="E638" s="121" t="s">
        <v>2554</v>
      </c>
      <c r="F638" s="123" t="s">
        <v>87</v>
      </c>
      <c r="G638" s="124">
        <v>0</v>
      </c>
      <c r="H638" s="121"/>
    </row>
    <row r="639" spans="2:8">
      <c r="B639" s="23">
        <v>1</v>
      </c>
      <c r="C639" s="125">
        <f t="shared" si="9"/>
        <v>631</v>
      </c>
      <c r="D639" s="122">
        <v>628</v>
      </c>
      <c r="E639" s="121" t="s">
        <v>2555</v>
      </c>
      <c r="F639" s="123" t="s">
        <v>87</v>
      </c>
      <c r="G639" s="124">
        <v>0</v>
      </c>
      <c r="H639" s="121"/>
    </row>
    <row r="640" spans="2:8">
      <c r="B640" s="23">
        <v>1</v>
      </c>
      <c r="C640" s="125">
        <f t="shared" si="9"/>
        <v>632</v>
      </c>
      <c r="D640" s="122">
        <v>629</v>
      </c>
      <c r="E640" s="121" t="s">
        <v>2556</v>
      </c>
      <c r="F640" s="123" t="s">
        <v>87</v>
      </c>
      <c r="G640" s="124">
        <v>0</v>
      </c>
      <c r="H640" s="121"/>
    </row>
    <row r="641" spans="2:8">
      <c r="B641" s="23">
        <v>1</v>
      </c>
      <c r="C641" s="125">
        <f t="shared" si="9"/>
        <v>633</v>
      </c>
      <c r="D641" s="122">
        <v>630</v>
      </c>
      <c r="E641" s="121" t="s">
        <v>2557</v>
      </c>
      <c r="F641" s="123" t="s">
        <v>87</v>
      </c>
      <c r="G641" s="124">
        <v>0</v>
      </c>
      <c r="H641" s="121"/>
    </row>
    <row r="642" spans="2:8">
      <c r="B642" s="23">
        <v>1</v>
      </c>
      <c r="C642" s="125">
        <f t="shared" si="9"/>
        <v>634</v>
      </c>
      <c r="D642" s="122">
        <v>631</v>
      </c>
      <c r="E642" s="121" t="s">
        <v>2558</v>
      </c>
      <c r="F642" s="123" t="s">
        <v>87</v>
      </c>
      <c r="G642" s="124">
        <v>0</v>
      </c>
      <c r="H642" s="121"/>
    </row>
    <row r="643" spans="2:8">
      <c r="B643" s="23">
        <v>1</v>
      </c>
      <c r="C643" s="125">
        <f t="shared" si="9"/>
        <v>635</v>
      </c>
      <c r="D643" s="122">
        <v>632</v>
      </c>
      <c r="E643" s="121" t="s">
        <v>2559</v>
      </c>
      <c r="F643" s="123" t="s">
        <v>87</v>
      </c>
      <c r="G643" s="124">
        <v>0</v>
      </c>
      <c r="H643" s="121"/>
    </row>
    <row r="644" spans="2:8">
      <c r="B644" s="23">
        <v>1</v>
      </c>
      <c r="C644" s="125">
        <f t="shared" si="9"/>
        <v>636</v>
      </c>
      <c r="D644" s="122">
        <v>633</v>
      </c>
      <c r="E644" s="121" t="s">
        <v>2560</v>
      </c>
      <c r="F644" s="123" t="s">
        <v>87</v>
      </c>
      <c r="G644" s="124">
        <v>0</v>
      </c>
      <c r="H644" s="121"/>
    </row>
    <row r="645" spans="2:8">
      <c r="B645" s="23">
        <v>1</v>
      </c>
      <c r="C645" s="125">
        <f t="shared" si="9"/>
        <v>637</v>
      </c>
      <c r="D645" s="122">
        <v>634</v>
      </c>
      <c r="E645" s="121" t="s">
        <v>2561</v>
      </c>
      <c r="F645" s="123" t="s">
        <v>87</v>
      </c>
      <c r="G645" s="124">
        <v>0</v>
      </c>
      <c r="H645" s="121"/>
    </row>
    <row r="646" spans="2:8">
      <c r="B646" s="23">
        <v>1</v>
      </c>
      <c r="C646" s="125">
        <f t="shared" si="9"/>
        <v>638</v>
      </c>
      <c r="D646" s="122">
        <v>635</v>
      </c>
      <c r="E646" s="121" t="s">
        <v>2562</v>
      </c>
      <c r="F646" s="123" t="s">
        <v>87</v>
      </c>
      <c r="G646" s="124">
        <v>0</v>
      </c>
      <c r="H646" s="121"/>
    </row>
    <row r="647" spans="2:8">
      <c r="B647" s="23">
        <v>1</v>
      </c>
      <c r="C647" s="125">
        <f t="shared" si="9"/>
        <v>639</v>
      </c>
      <c r="D647" s="122">
        <v>636</v>
      </c>
      <c r="E647" s="121" t="s">
        <v>2563</v>
      </c>
      <c r="F647" s="123" t="s">
        <v>87</v>
      </c>
      <c r="G647" s="124">
        <v>0</v>
      </c>
      <c r="H647" s="121"/>
    </row>
    <row r="648" spans="2:8">
      <c r="B648" s="23">
        <v>1</v>
      </c>
      <c r="C648" s="125">
        <f t="shared" si="9"/>
        <v>640</v>
      </c>
      <c r="D648" s="122">
        <v>637</v>
      </c>
      <c r="E648" s="121" t="s">
        <v>2564</v>
      </c>
      <c r="F648" s="123" t="s">
        <v>87</v>
      </c>
      <c r="G648" s="124">
        <v>0</v>
      </c>
      <c r="H648" s="121"/>
    </row>
    <row r="649" spans="2:8">
      <c r="B649" s="23">
        <v>1</v>
      </c>
      <c r="C649" s="125">
        <f t="shared" si="9"/>
        <v>641</v>
      </c>
      <c r="D649" s="122">
        <v>638</v>
      </c>
      <c r="E649" s="121" t="s">
        <v>2565</v>
      </c>
      <c r="F649" s="123" t="s">
        <v>87</v>
      </c>
      <c r="G649" s="124">
        <v>0</v>
      </c>
      <c r="H649" s="121"/>
    </row>
    <row r="650" spans="2:8">
      <c r="B650" s="23">
        <v>1</v>
      </c>
      <c r="C650" s="125">
        <f t="shared" si="9"/>
        <v>642</v>
      </c>
      <c r="D650" s="122">
        <v>639</v>
      </c>
      <c r="E650" s="121" t="s">
        <v>2566</v>
      </c>
      <c r="F650" s="123" t="s">
        <v>87</v>
      </c>
      <c r="G650" s="124">
        <v>0</v>
      </c>
      <c r="H650" s="121"/>
    </row>
    <row r="651" spans="2:8">
      <c r="B651" s="23">
        <v>1</v>
      </c>
      <c r="C651" s="125">
        <f t="shared" si="9"/>
        <v>643</v>
      </c>
      <c r="D651" s="122">
        <v>640</v>
      </c>
      <c r="E651" s="121" t="s">
        <v>2567</v>
      </c>
      <c r="F651" s="123" t="s">
        <v>87</v>
      </c>
      <c r="G651" s="124">
        <v>0</v>
      </c>
      <c r="H651" s="121"/>
    </row>
    <row r="652" spans="2:8">
      <c r="B652" s="23">
        <v>1</v>
      </c>
      <c r="C652" s="125">
        <f t="shared" si="9"/>
        <v>644</v>
      </c>
      <c r="D652" s="122">
        <v>641</v>
      </c>
      <c r="E652" s="121" t="s">
        <v>2568</v>
      </c>
      <c r="F652" s="123" t="s">
        <v>87</v>
      </c>
      <c r="G652" s="124">
        <v>0</v>
      </c>
      <c r="H652" s="121"/>
    </row>
    <row r="653" spans="2:8">
      <c r="B653" s="23">
        <v>1</v>
      </c>
      <c r="C653" s="125">
        <f t="shared" si="9"/>
        <v>645</v>
      </c>
      <c r="D653" s="122">
        <v>642</v>
      </c>
      <c r="E653" s="121" t="s">
        <v>2569</v>
      </c>
      <c r="F653" s="123" t="s">
        <v>87</v>
      </c>
      <c r="G653" s="124">
        <v>0</v>
      </c>
      <c r="H653" s="121"/>
    </row>
    <row r="654" spans="2:8">
      <c r="B654" s="23">
        <v>1</v>
      </c>
      <c r="C654" s="125">
        <f t="shared" si="9"/>
        <v>646</v>
      </c>
      <c r="D654" s="122">
        <v>643</v>
      </c>
      <c r="E654" s="121" t="s">
        <v>2570</v>
      </c>
      <c r="F654" s="123" t="s">
        <v>87</v>
      </c>
      <c r="G654" s="124">
        <v>0</v>
      </c>
      <c r="H654" s="121"/>
    </row>
    <row r="655" spans="2:8">
      <c r="B655" s="23">
        <v>1</v>
      </c>
      <c r="C655" s="125">
        <f t="shared" ref="C655:C718" si="10">+C654+1</f>
        <v>647</v>
      </c>
      <c r="D655" s="122">
        <v>644</v>
      </c>
      <c r="E655" s="121" t="s">
        <v>2571</v>
      </c>
      <c r="F655" s="123" t="s">
        <v>87</v>
      </c>
      <c r="G655" s="124">
        <v>0</v>
      </c>
      <c r="H655" s="121"/>
    </row>
    <row r="656" spans="2:8">
      <c r="B656" s="23">
        <v>1</v>
      </c>
      <c r="C656" s="125">
        <f t="shared" si="10"/>
        <v>648</v>
      </c>
      <c r="D656" s="122">
        <v>645</v>
      </c>
      <c r="E656" s="121" t="s">
        <v>2572</v>
      </c>
      <c r="F656" s="123" t="s">
        <v>87</v>
      </c>
      <c r="G656" s="124">
        <v>0</v>
      </c>
      <c r="H656" s="121"/>
    </row>
    <row r="657" spans="2:8">
      <c r="B657" s="23">
        <v>1</v>
      </c>
      <c r="C657" s="125">
        <f t="shared" si="10"/>
        <v>649</v>
      </c>
      <c r="D657" s="122">
        <v>646</v>
      </c>
      <c r="E657" s="121" t="s">
        <v>2573</v>
      </c>
      <c r="F657" s="123" t="s">
        <v>87</v>
      </c>
      <c r="G657" s="124">
        <v>0</v>
      </c>
      <c r="H657" s="121"/>
    </row>
    <row r="658" spans="2:8">
      <c r="B658" s="23">
        <v>1</v>
      </c>
      <c r="C658" s="125">
        <f t="shared" si="10"/>
        <v>650</v>
      </c>
      <c r="D658" s="122">
        <v>647</v>
      </c>
      <c r="E658" s="121" t="s">
        <v>2574</v>
      </c>
      <c r="F658" s="123" t="s">
        <v>87</v>
      </c>
      <c r="G658" s="124">
        <v>0</v>
      </c>
      <c r="H658" s="121"/>
    </row>
    <row r="659" spans="2:8">
      <c r="B659" s="23">
        <v>1</v>
      </c>
      <c r="C659" s="125">
        <f t="shared" si="10"/>
        <v>651</v>
      </c>
      <c r="D659" s="122">
        <v>648</v>
      </c>
      <c r="E659" s="121" t="s">
        <v>2575</v>
      </c>
      <c r="F659" s="123" t="s">
        <v>87</v>
      </c>
      <c r="G659" s="124">
        <v>0</v>
      </c>
      <c r="H659" s="121"/>
    </row>
    <row r="660" spans="2:8">
      <c r="B660" s="23">
        <v>1</v>
      </c>
      <c r="C660" s="125">
        <f t="shared" si="10"/>
        <v>652</v>
      </c>
      <c r="D660" s="122">
        <v>649</v>
      </c>
      <c r="E660" s="121" t="s">
        <v>2576</v>
      </c>
      <c r="F660" s="123" t="s">
        <v>87</v>
      </c>
      <c r="G660" s="124">
        <v>0</v>
      </c>
      <c r="H660" s="121"/>
    </row>
    <row r="661" spans="2:8">
      <c r="B661" s="23">
        <v>1</v>
      </c>
      <c r="C661" s="125">
        <f t="shared" si="10"/>
        <v>653</v>
      </c>
      <c r="D661" s="122">
        <v>650</v>
      </c>
      <c r="E661" s="121" t="s">
        <v>2577</v>
      </c>
      <c r="F661" s="123" t="s">
        <v>87</v>
      </c>
      <c r="G661" s="124">
        <v>0</v>
      </c>
      <c r="H661" s="121"/>
    </row>
    <row r="662" spans="2:8">
      <c r="B662" s="23">
        <v>1</v>
      </c>
      <c r="C662" s="125">
        <f t="shared" si="10"/>
        <v>654</v>
      </c>
      <c r="D662" s="122">
        <v>651</v>
      </c>
      <c r="E662" s="121" t="s">
        <v>2578</v>
      </c>
      <c r="F662" s="123" t="s">
        <v>87</v>
      </c>
      <c r="G662" s="124">
        <v>0</v>
      </c>
      <c r="H662" s="121"/>
    </row>
    <row r="663" spans="2:8">
      <c r="B663" s="23">
        <v>1</v>
      </c>
      <c r="C663" s="125">
        <f t="shared" si="10"/>
        <v>655</v>
      </c>
      <c r="D663" s="122">
        <v>652</v>
      </c>
      <c r="E663" s="121" t="s">
        <v>2579</v>
      </c>
      <c r="F663" s="123" t="s">
        <v>87</v>
      </c>
      <c r="G663" s="124">
        <v>0</v>
      </c>
      <c r="H663" s="121"/>
    </row>
    <row r="664" spans="2:8">
      <c r="B664" s="23">
        <v>1</v>
      </c>
      <c r="C664" s="125">
        <f t="shared" si="10"/>
        <v>656</v>
      </c>
      <c r="D664" s="122">
        <v>653</v>
      </c>
      <c r="E664" s="121" t="s">
        <v>2580</v>
      </c>
      <c r="F664" s="123" t="s">
        <v>87</v>
      </c>
      <c r="G664" s="124">
        <v>0</v>
      </c>
      <c r="H664" s="121"/>
    </row>
    <row r="665" spans="2:8">
      <c r="B665" s="23">
        <v>1</v>
      </c>
      <c r="C665" s="125">
        <f t="shared" si="10"/>
        <v>657</v>
      </c>
      <c r="D665" s="122">
        <v>654</v>
      </c>
      <c r="E665" s="121" t="s">
        <v>2581</v>
      </c>
      <c r="F665" s="123" t="s">
        <v>87</v>
      </c>
      <c r="G665" s="124">
        <v>0</v>
      </c>
      <c r="H665" s="121"/>
    </row>
    <row r="666" spans="2:8">
      <c r="B666" s="23">
        <v>1</v>
      </c>
      <c r="C666" s="125">
        <f t="shared" si="10"/>
        <v>658</v>
      </c>
      <c r="D666" s="122">
        <v>655</v>
      </c>
      <c r="E666" s="121" t="s">
        <v>2582</v>
      </c>
      <c r="F666" s="123" t="s">
        <v>87</v>
      </c>
      <c r="G666" s="124">
        <v>0</v>
      </c>
      <c r="H666" s="121"/>
    </row>
    <row r="667" spans="2:8">
      <c r="B667" s="23">
        <v>1</v>
      </c>
      <c r="C667" s="125">
        <f t="shared" si="10"/>
        <v>659</v>
      </c>
      <c r="D667" s="122">
        <v>656</v>
      </c>
      <c r="E667" s="121" t="s">
        <v>2583</v>
      </c>
      <c r="F667" s="123" t="s">
        <v>87</v>
      </c>
      <c r="G667" s="124">
        <v>0</v>
      </c>
      <c r="H667" s="121"/>
    </row>
    <row r="668" spans="2:8">
      <c r="B668" s="23">
        <v>1</v>
      </c>
      <c r="C668" s="125">
        <f t="shared" si="10"/>
        <v>660</v>
      </c>
      <c r="D668" s="122">
        <v>657</v>
      </c>
      <c r="E668" s="121" t="s">
        <v>2584</v>
      </c>
      <c r="F668" s="123" t="s">
        <v>87</v>
      </c>
      <c r="G668" s="124">
        <v>0</v>
      </c>
      <c r="H668" s="121"/>
    </row>
    <row r="669" spans="2:8">
      <c r="B669" s="23">
        <v>1</v>
      </c>
      <c r="C669" s="125">
        <f t="shared" si="10"/>
        <v>661</v>
      </c>
      <c r="D669" s="122">
        <v>658</v>
      </c>
      <c r="E669" s="121" t="s">
        <v>2585</v>
      </c>
      <c r="F669" s="123" t="s">
        <v>87</v>
      </c>
      <c r="G669" s="124">
        <v>0</v>
      </c>
      <c r="H669" s="121"/>
    </row>
    <row r="670" spans="2:8">
      <c r="B670" s="23">
        <v>1</v>
      </c>
      <c r="C670" s="125">
        <f t="shared" si="10"/>
        <v>662</v>
      </c>
      <c r="D670" s="122">
        <v>659</v>
      </c>
      <c r="E670" s="121" t="s">
        <v>2586</v>
      </c>
      <c r="F670" s="123" t="s">
        <v>87</v>
      </c>
      <c r="G670" s="124">
        <v>0</v>
      </c>
      <c r="H670" s="121"/>
    </row>
    <row r="671" spans="2:8">
      <c r="B671" s="23">
        <v>1</v>
      </c>
      <c r="C671" s="125">
        <f t="shared" si="10"/>
        <v>663</v>
      </c>
      <c r="D671" s="122">
        <v>660</v>
      </c>
      <c r="E671" s="121" t="s">
        <v>2587</v>
      </c>
      <c r="F671" s="123" t="s">
        <v>87</v>
      </c>
      <c r="G671" s="124">
        <v>0</v>
      </c>
      <c r="H671" s="121"/>
    </row>
    <row r="672" spans="2:8">
      <c r="B672" s="23">
        <v>1</v>
      </c>
      <c r="C672" s="125">
        <f t="shared" si="10"/>
        <v>664</v>
      </c>
      <c r="D672" s="122">
        <v>661</v>
      </c>
      <c r="E672" s="121" t="s">
        <v>2588</v>
      </c>
      <c r="F672" s="123" t="s">
        <v>87</v>
      </c>
      <c r="G672" s="124">
        <v>0</v>
      </c>
      <c r="H672" s="121"/>
    </row>
    <row r="673" spans="2:8">
      <c r="B673" s="23">
        <v>1</v>
      </c>
      <c r="C673" s="125">
        <f t="shared" si="10"/>
        <v>665</v>
      </c>
      <c r="D673" s="122">
        <v>662</v>
      </c>
      <c r="E673" s="121" t="s">
        <v>2589</v>
      </c>
      <c r="F673" s="123" t="s">
        <v>87</v>
      </c>
      <c r="G673" s="124">
        <v>0</v>
      </c>
      <c r="H673" s="121"/>
    </row>
    <row r="674" spans="2:8">
      <c r="B674" s="23">
        <v>1</v>
      </c>
      <c r="C674" s="125">
        <f t="shared" si="10"/>
        <v>666</v>
      </c>
      <c r="D674" s="122">
        <v>663</v>
      </c>
      <c r="E674" s="121" t="s">
        <v>2590</v>
      </c>
      <c r="F674" s="123" t="s">
        <v>87</v>
      </c>
      <c r="G674" s="124">
        <v>0</v>
      </c>
      <c r="H674" s="121"/>
    </row>
    <row r="675" spans="2:8">
      <c r="B675" s="23">
        <v>1</v>
      </c>
      <c r="C675" s="125">
        <f t="shared" si="10"/>
        <v>667</v>
      </c>
      <c r="D675" s="122">
        <v>664</v>
      </c>
      <c r="E675" s="121" t="s">
        <v>2591</v>
      </c>
      <c r="F675" s="123" t="s">
        <v>87</v>
      </c>
      <c r="G675" s="124">
        <v>0</v>
      </c>
      <c r="H675" s="121"/>
    </row>
    <row r="676" spans="2:8">
      <c r="B676" s="23">
        <v>1</v>
      </c>
      <c r="C676" s="125">
        <f t="shared" si="10"/>
        <v>668</v>
      </c>
      <c r="D676" s="122">
        <v>665</v>
      </c>
      <c r="E676" s="121" t="s">
        <v>2592</v>
      </c>
      <c r="F676" s="123" t="s">
        <v>87</v>
      </c>
      <c r="G676" s="124">
        <v>0</v>
      </c>
      <c r="H676" s="121"/>
    </row>
    <row r="677" spans="2:8">
      <c r="B677" s="23">
        <v>1</v>
      </c>
      <c r="C677" s="125">
        <f t="shared" si="10"/>
        <v>669</v>
      </c>
      <c r="D677" s="122">
        <v>666</v>
      </c>
      <c r="E677" s="121" t="s">
        <v>2593</v>
      </c>
      <c r="F677" s="123" t="s">
        <v>87</v>
      </c>
      <c r="G677" s="124">
        <v>0</v>
      </c>
      <c r="H677" s="121"/>
    </row>
    <row r="678" spans="2:8">
      <c r="B678" s="23">
        <v>1</v>
      </c>
      <c r="C678" s="125">
        <f t="shared" si="10"/>
        <v>670</v>
      </c>
      <c r="D678" s="122">
        <v>667</v>
      </c>
      <c r="E678" s="121" t="s">
        <v>2594</v>
      </c>
      <c r="F678" s="123" t="s">
        <v>87</v>
      </c>
      <c r="G678" s="124">
        <v>0</v>
      </c>
      <c r="H678" s="121"/>
    </row>
    <row r="679" spans="2:8">
      <c r="B679" s="23">
        <v>1</v>
      </c>
      <c r="C679" s="125">
        <f t="shared" si="10"/>
        <v>671</v>
      </c>
      <c r="D679" s="122">
        <v>668</v>
      </c>
      <c r="E679" s="121" t="s">
        <v>2595</v>
      </c>
      <c r="F679" s="123" t="s">
        <v>252</v>
      </c>
      <c r="G679" s="124">
        <v>0</v>
      </c>
      <c r="H679" s="121"/>
    </row>
    <row r="680" spans="2:8">
      <c r="B680" s="23">
        <v>1</v>
      </c>
      <c r="C680" s="125">
        <f t="shared" si="10"/>
        <v>672</v>
      </c>
      <c r="D680" s="122">
        <v>669</v>
      </c>
      <c r="E680" s="121" t="s">
        <v>2596</v>
      </c>
      <c r="F680" s="123" t="s">
        <v>252</v>
      </c>
      <c r="G680" s="124">
        <v>0</v>
      </c>
      <c r="H680" s="121"/>
    </row>
    <row r="681" spans="2:8">
      <c r="B681" s="23">
        <v>1</v>
      </c>
      <c r="C681" s="125">
        <f t="shared" si="10"/>
        <v>673</v>
      </c>
      <c r="D681" s="122">
        <v>670</v>
      </c>
      <c r="E681" s="121" t="s">
        <v>2597</v>
      </c>
      <c r="F681" s="123" t="s">
        <v>252</v>
      </c>
      <c r="G681" s="124">
        <v>0</v>
      </c>
      <c r="H681" s="121"/>
    </row>
    <row r="682" spans="2:8">
      <c r="B682" s="23">
        <v>1</v>
      </c>
      <c r="C682" s="125">
        <f t="shared" si="10"/>
        <v>674</v>
      </c>
      <c r="D682" s="122">
        <v>671</v>
      </c>
      <c r="E682" s="121" t="s">
        <v>2598</v>
      </c>
      <c r="F682" s="123" t="s">
        <v>87</v>
      </c>
      <c r="G682" s="124">
        <v>0</v>
      </c>
      <c r="H682" s="121"/>
    </row>
    <row r="683" spans="2:8">
      <c r="B683" s="23">
        <v>1</v>
      </c>
      <c r="C683" s="125">
        <f t="shared" si="10"/>
        <v>675</v>
      </c>
      <c r="D683" s="122">
        <v>672</v>
      </c>
      <c r="E683" s="121" t="s">
        <v>2599</v>
      </c>
      <c r="F683" s="123" t="s">
        <v>87</v>
      </c>
      <c r="G683" s="124">
        <v>0</v>
      </c>
      <c r="H683" s="121"/>
    </row>
    <row r="684" spans="2:8">
      <c r="B684" s="23">
        <v>1</v>
      </c>
      <c r="C684" s="125">
        <f t="shared" si="10"/>
        <v>676</v>
      </c>
      <c r="D684" s="122">
        <v>673</v>
      </c>
      <c r="E684" s="121" t="s">
        <v>2600</v>
      </c>
      <c r="F684" s="123" t="s">
        <v>87</v>
      </c>
      <c r="G684" s="124">
        <v>0</v>
      </c>
      <c r="H684" s="121"/>
    </row>
    <row r="685" spans="2:8">
      <c r="B685" s="23">
        <v>1</v>
      </c>
      <c r="C685" s="125">
        <f t="shared" si="10"/>
        <v>677</v>
      </c>
      <c r="D685" s="122">
        <v>674</v>
      </c>
      <c r="E685" s="121" t="s">
        <v>2601</v>
      </c>
      <c r="F685" s="123" t="s">
        <v>87</v>
      </c>
      <c r="G685" s="124">
        <v>0</v>
      </c>
      <c r="H685" s="121"/>
    </row>
    <row r="686" spans="2:8">
      <c r="B686" s="23">
        <v>1</v>
      </c>
      <c r="C686" s="125">
        <f t="shared" si="10"/>
        <v>678</v>
      </c>
      <c r="D686" s="122">
        <v>675</v>
      </c>
      <c r="E686" s="121" t="s">
        <v>2602</v>
      </c>
      <c r="F686" s="123" t="s">
        <v>87</v>
      </c>
      <c r="G686" s="124">
        <v>0</v>
      </c>
      <c r="H686" s="121"/>
    </row>
    <row r="687" spans="2:8">
      <c r="B687" s="23">
        <v>1</v>
      </c>
      <c r="C687" s="125">
        <f t="shared" si="10"/>
        <v>679</v>
      </c>
      <c r="D687" s="122">
        <v>676</v>
      </c>
      <c r="E687" s="121" t="s">
        <v>2603</v>
      </c>
      <c r="F687" s="123" t="s">
        <v>87</v>
      </c>
      <c r="G687" s="124">
        <v>0</v>
      </c>
      <c r="H687" s="121"/>
    </row>
    <row r="688" spans="2:8">
      <c r="B688" s="23">
        <v>1</v>
      </c>
      <c r="C688" s="125">
        <f t="shared" si="10"/>
        <v>680</v>
      </c>
      <c r="D688" s="122">
        <v>677</v>
      </c>
      <c r="E688" s="121" t="s">
        <v>2604</v>
      </c>
      <c r="F688" s="123" t="s">
        <v>87</v>
      </c>
      <c r="G688" s="124">
        <v>0</v>
      </c>
      <c r="H688" s="121"/>
    </row>
    <row r="689" spans="2:8">
      <c r="B689" s="23">
        <v>1</v>
      </c>
      <c r="C689" s="125">
        <f t="shared" si="10"/>
        <v>681</v>
      </c>
      <c r="D689" s="122">
        <v>678</v>
      </c>
      <c r="E689" s="121" t="s">
        <v>2605</v>
      </c>
      <c r="F689" s="123" t="s">
        <v>87</v>
      </c>
      <c r="G689" s="124">
        <v>0</v>
      </c>
      <c r="H689" s="121"/>
    </row>
    <row r="690" spans="2:8">
      <c r="B690" s="23">
        <v>1</v>
      </c>
      <c r="C690" s="125">
        <f t="shared" si="10"/>
        <v>682</v>
      </c>
      <c r="D690" s="122">
        <v>679</v>
      </c>
      <c r="E690" s="121" t="s">
        <v>2606</v>
      </c>
      <c r="F690" s="123" t="s">
        <v>252</v>
      </c>
      <c r="G690" s="124">
        <v>0</v>
      </c>
      <c r="H690" s="121"/>
    </row>
    <row r="691" spans="2:8">
      <c r="B691" s="23">
        <v>1</v>
      </c>
      <c r="C691" s="125">
        <f t="shared" si="10"/>
        <v>683</v>
      </c>
      <c r="D691" s="122">
        <v>680</v>
      </c>
      <c r="E691" s="121" t="s">
        <v>2607</v>
      </c>
      <c r="F691" s="123" t="s">
        <v>252</v>
      </c>
      <c r="G691" s="124">
        <v>0</v>
      </c>
      <c r="H691" s="121"/>
    </row>
    <row r="692" spans="2:8">
      <c r="B692" s="23">
        <v>1</v>
      </c>
      <c r="C692" s="125">
        <f t="shared" si="10"/>
        <v>684</v>
      </c>
      <c r="D692" s="122">
        <v>681</v>
      </c>
      <c r="E692" s="121" t="s">
        <v>2608</v>
      </c>
      <c r="F692" s="123" t="s">
        <v>87</v>
      </c>
      <c r="G692" s="124">
        <v>0</v>
      </c>
      <c r="H692" s="121"/>
    </row>
    <row r="693" spans="2:8">
      <c r="B693" s="23">
        <v>1</v>
      </c>
      <c r="C693" s="125">
        <f t="shared" si="10"/>
        <v>685</v>
      </c>
      <c r="D693" s="122">
        <v>682</v>
      </c>
      <c r="E693" s="121" t="s">
        <v>2609</v>
      </c>
      <c r="F693" s="123" t="s">
        <v>87</v>
      </c>
      <c r="G693" s="124">
        <v>0</v>
      </c>
      <c r="H693" s="121"/>
    </row>
    <row r="694" spans="2:8">
      <c r="B694" s="23">
        <v>1</v>
      </c>
      <c r="C694" s="125">
        <f t="shared" si="10"/>
        <v>686</v>
      </c>
      <c r="D694" s="122">
        <v>683</v>
      </c>
      <c r="E694" s="121" t="s">
        <v>2610</v>
      </c>
      <c r="F694" s="123" t="s">
        <v>252</v>
      </c>
      <c r="G694" s="124">
        <v>0</v>
      </c>
      <c r="H694" s="121"/>
    </row>
    <row r="695" spans="2:8">
      <c r="B695" s="23">
        <v>1</v>
      </c>
      <c r="C695" s="125">
        <f t="shared" si="10"/>
        <v>687</v>
      </c>
      <c r="D695" s="122">
        <v>684</v>
      </c>
      <c r="E695" s="121" t="s">
        <v>2611</v>
      </c>
      <c r="F695" s="123" t="s">
        <v>87</v>
      </c>
      <c r="G695" s="124">
        <v>0</v>
      </c>
      <c r="H695" s="121"/>
    </row>
    <row r="696" spans="2:8">
      <c r="B696" s="23">
        <v>1</v>
      </c>
      <c r="C696" s="125">
        <f t="shared" si="10"/>
        <v>688</v>
      </c>
      <c r="D696" s="122">
        <v>685</v>
      </c>
      <c r="E696" s="121" t="s">
        <v>2612</v>
      </c>
      <c r="F696" s="123" t="s">
        <v>87</v>
      </c>
      <c r="G696" s="124">
        <v>0</v>
      </c>
      <c r="H696" s="121"/>
    </row>
    <row r="697" spans="2:8">
      <c r="B697" s="23">
        <v>1</v>
      </c>
      <c r="C697" s="125">
        <f t="shared" si="10"/>
        <v>689</v>
      </c>
      <c r="D697" s="122">
        <v>686</v>
      </c>
      <c r="E697" s="121" t="s">
        <v>2613</v>
      </c>
      <c r="F697" s="123" t="s">
        <v>87</v>
      </c>
      <c r="G697" s="124">
        <v>0</v>
      </c>
      <c r="H697" s="121"/>
    </row>
    <row r="698" spans="2:8">
      <c r="B698" s="23">
        <v>1</v>
      </c>
      <c r="C698" s="125">
        <f t="shared" si="10"/>
        <v>690</v>
      </c>
      <c r="D698" s="122">
        <v>687</v>
      </c>
      <c r="E698" s="121" t="s">
        <v>2614</v>
      </c>
      <c r="F698" s="123" t="s">
        <v>87</v>
      </c>
      <c r="G698" s="124">
        <v>0</v>
      </c>
      <c r="H698" s="121"/>
    </row>
    <row r="699" spans="2:8">
      <c r="B699" s="23">
        <v>1</v>
      </c>
      <c r="C699" s="125">
        <f t="shared" si="10"/>
        <v>691</v>
      </c>
      <c r="D699" s="122">
        <v>688</v>
      </c>
      <c r="E699" s="121" t="s">
        <v>2615</v>
      </c>
      <c r="F699" s="123" t="s">
        <v>87</v>
      </c>
      <c r="G699" s="124">
        <v>0</v>
      </c>
      <c r="H699" s="121"/>
    </row>
    <row r="700" spans="2:8">
      <c r="B700" s="23">
        <v>1</v>
      </c>
      <c r="C700" s="125">
        <f t="shared" si="10"/>
        <v>692</v>
      </c>
      <c r="D700" s="122">
        <v>689</v>
      </c>
      <c r="E700" s="121" t="s">
        <v>2616</v>
      </c>
      <c r="F700" s="123" t="s">
        <v>87</v>
      </c>
      <c r="G700" s="124">
        <v>0</v>
      </c>
      <c r="H700" s="121"/>
    </row>
    <row r="701" spans="2:8">
      <c r="B701" s="23">
        <v>1</v>
      </c>
      <c r="C701" s="125">
        <f t="shared" si="10"/>
        <v>693</v>
      </c>
      <c r="D701" s="122">
        <v>690</v>
      </c>
      <c r="E701" s="121" t="s">
        <v>2617</v>
      </c>
      <c r="F701" s="123" t="s">
        <v>87</v>
      </c>
      <c r="G701" s="124">
        <v>0</v>
      </c>
      <c r="H701" s="121"/>
    </row>
    <row r="702" spans="2:8">
      <c r="B702" s="23">
        <v>1</v>
      </c>
      <c r="C702" s="125">
        <f t="shared" si="10"/>
        <v>694</v>
      </c>
      <c r="D702" s="122">
        <v>691</v>
      </c>
      <c r="E702" s="121" t="s">
        <v>2618</v>
      </c>
      <c r="F702" s="123" t="s">
        <v>87</v>
      </c>
      <c r="G702" s="124">
        <v>0</v>
      </c>
      <c r="H702" s="121"/>
    </row>
    <row r="703" spans="2:8">
      <c r="B703" s="23">
        <v>1</v>
      </c>
      <c r="C703" s="125">
        <f t="shared" si="10"/>
        <v>695</v>
      </c>
      <c r="D703" s="122">
        <v>692</v>
      </c>
      <c r="E703" s="121" t="s">
        <v>2619</v>
      </c>
      <c r="F703" s="123" t="s">
        <v>87</v>
      </c>
      <c r="G703" s="124">
        <v>0</v>
      </c>
      <c r="H703" s="121"/>
    </row>
    <row r="704" spans="2:8">
      <c r="B704" s="23">
        <v>1</v>
      </c>
      <c r="C704" s="125">
        <f t="shared" si="10"/>
        <v>696</v>
      </c>
      <c r="D704" s="122">
        <v>693</v>
      </c>
      <c r="E704" s="121" t="s">
        <v>2620</v>
      </c>
      <c r="F704" s="123" t="s">
        <v>87</v>
      </c>
      <c r="G704" s="124">
        <v>0</v>
      </c>
      <c r="H704" s="121"/>
    </row>
    <row r="705" spans="2:8">
      <c r="B705" s="23">
        <v>1</v>
      </c>
      <c r="C705" s="125">
        <f t="shared" si="10"/>
        <v>697</v>
      </c>
      <c r="D705" s="122">
        <v>694</v>
      </c>
      <c r="E705" s="121" t="s">
        <v>2621</v>
      </c>
      <c r="F705" s="123" t="s">
        <v>87</v>
      </c>
      <c r="G705" s="124">
        <v>0</v>
      </c>
      <c r="H705" s="121"/>
    </row>
    <row r="706" spans="2:8">
      <c r="B706" s="23">
        <v>1</v>
      </c>
      <c r="C706" s="125">
        <f t="shared" si="10"/>
        <v>698</v>
      </c>
      <c r="D706" s="122">
        <v>695</v>
      </c>
      <c r="E706" s="121" t="s">
        <v>2622</v>
      </c>
      <c r="F706" s="123" t="s">
        <v>87</v>
      </c>
      <c r="G706" s="124">
        <v>0</v>
      </c>
      <c r="H706" s="121"/>
    </row>
    <row r="707" spans="2:8">
      <c r="B707" s="23">
        <v>1</v>
      </c>
      <c r="C707" s="125">
        <f t="shared" si="10"/>
        <v>699</v>
      </c>
      <c r="D707" s="122">
        <v>696</v>
      </c>
      <c r="E707" s="121" t="s">
        <v>2623</v>
      </c>
      <c r="F707" s="123" t="s">
        <v>1997</v>
      </c>
      <c r="G707" s="124">
        <v>0</v>
      </c>
      <c r="H707" s="121"/>
    </row>
    <row r="708" spans="2:8">
      <c r="B708" s="23">
        <v>1</v>
      </c>
      <c r="C708" s="125">
        <f t="shared" si="10"/>
        <v>700</v>
      </c>
      <c r="D708" s="122">
        <v>697</v>
      </c>
      <c r="E708" s="121" t="s">
        <v>2624</v>
      </c>
      <c r="F708" s="123" t="s">
        <v>1997</v>
      </c>
      <c r="G708" s="124">
        <v>0</v>
      </c>
      <c r="H708" s="121"/>
    </row>
    <row r="709" spans="2:8">
      <c r="B709" s="23">
        <v>1</v>
      </c>
      <c r="C709" s="125">
        <f t="shared" si="10"/>
        <v>701</v>
      </c>
      <c r="D709" s="122">
        <v>698</v>
      </c>
      <c r="E709" s="121" t="s">
        <v>2625</v>
      </c>
      <c r="F709" s="123" t="s">
        <v>87</v>
      </c>
      <c r="G709" s="124">
        <v>0</v>
      </c>
      <c r="H709" s="121"/>
    </row>
    <row r="710" spans="2:8">
      <c r="B710" s="23">
        <v>1</v>
      </c>
      <c r="C710" s="125">
        <f t="shared" si="10"/>
        <v>702</v>
      </c>
      <c r="D710" s="122">
        <v>699</v>
      </c>
      <c r="E710" s="121" t="s">
        <v>2626</v>
      </c>
      <c r="F710" s="123" t="s">
        <v>87</v>
      </c>
      <c r="G710" s="124">
        <v>0</v>
      </c>
      <c r="H710" s="121"/>
    </row>
    <row r="711" spans="2:8">
      <c r="B711" s="23">
        <v>1</v>
      </c>
      <c r="C711" s="125">
        <f t="shared" si="10"/>
        <v>703</v>
      </c>
      <c r="D711" s="122">
        <v>700</v>
      </c>
      <c r="E711" s="121" t="s">
        <v>2627</v>
      </c>
      <c r="F711" s="123" t="s">
        <v>87</v>
      </c>
      <c r="G711" s="124">
        <v>0</v>
      </c>
      <c r="H711" s="121"/>
    </row>
    <row r="712" spans="2:8">
      <c r="B712" s="23">
        <v>1</v>
      </c>
      <c r="C712" s="125">
        <f t="shared" si="10"/>
        <v>704</v>
      </c>
      <c r="D712" s="122">
        <v>701</v>
      </c>
      <c r="E712" s="121" t="s">
        <v>2628</v>
      </c>
      <c r="F712" s="123" t="s">
        <v>87</v>
      </c>
      <c r="G712" s="124">
        <v>0</v>
      </c>
      <c r="H712" s="121"/>
    </row>
    <row r="713" spans="2:8">
      <c r="B713" s="23">
        <v>1</v>
      </c>
      <c r="C713" s="125">
        <f t="shared" si="10"/>
        <v>705</v>
      </c>
      <c r="D713" s="122">
        <v>702</v>
      </c>
      <c r="E713" s="121" t="s">
        <v>2629</v>
      </c>
      <c r="F713" s="123" t="s">
        <v>87</v>
      </c>
      <c r="G713" s="124">
        <v>0</v>
      </c>
      <c r="H713" s="121"/>
    </row>
    <row r="714" spans="2:8">
      <c r="B714" s="23">
        <v>1</v>
      </c>
      <c r="C714" s="125">
        <f t="shared" si="10"/>
        <v>706</v>
      </c>
      <c r="D714" s="122">
        <v>703</v>
      </c>
      <c r="E714" s="121" t="s">
        <v>2630</v>
      </c>
      <c r="F714" s="123" t="s">
        <v>87</v>
      </c>
      <c r="G714" s="124">
        <v>0</v>
      </c>
      <c r="H714" s="121"/>
    </row>
    <row r="715" spans="2:8">
      <c r="B715" s="23">
        <v>1</v>
      </c>
      <c r="C715" s="125">
        <f t="shared" si="10"/>
        <v>707</v>
      </c>
      <c r="D715" s="122">
        <v>704</v>
      </c>
      <c r="E715" s="121" t="s">
        <v>2631</v>
      </c>
      <c r="F715" s="123" t="s">
        <v>87</v>
      </c>
      <c r="G715" s="124">
        <v>0</v>
      </c>
      <c r="H715" s="121"/>
    </row>
    <row r="716" spans="2:8">
      <c r="B716" s="23">
        <v>1</v>
      </c>
      <c r="C716" s="125">
        <f t="shared" si="10"/>
        <v>708</v>
      </c>
      <c r="D716" s="122">
        <v>705</v>
      </c>
      <c r="E716" s="121" t="s">
        <v>2632</v>
      </c>
      <c r="F716" s="123" t="s">
        <v>87</v>
      </c>
      <c r="G716" s="124">
        <v>0</v>
      </c>
      <c r="H716" s="121"/>
    </row>
    <row r="717" spans="2:8">
      <c r="B717" s="23">
        <v>1</v>
      </c>
      <c r="C717" s="125">
        <f t="shared" si="10"/>
        <v>709</v>
      </c>
      <c r="D717" s="122">
        <v>706</v>
      </c>
      <c r="E717" s="121" t="s">
        <v>2633</v>
      </c>
      <c r="F717" s="123" t="s">
        <v>87</v>
      </c>
      <c r="G717" s="124">
        <v>0</v>
      </c>
      <c r="H717" s="121"/>
    </row>
    <row r="718" spans="2:8">
      <c r="B718" s="23">
        <v>1</v>
      </c>
      <c r="C718" s="125">
        <f t="shared" si="10"/>
        <v>710</v>
      </c>
      <c r="D718" s="122">
        <v>707</v>
      </c>
      <c r="E718" s="121" t="s">
        <v>2634</v>
      </c>
      <c r="F718" s="123" t="s">
        <v>87</v>
      </c>
      <c r="G718" s="124">
        <v>0</v>
      </c>
      <c r="H718" s="121"/>
    </row>
    <row r="719" spans="2:8">
      <c r="B719" s="23">
        <v>1</v>
      </c>
      <c r="C719" s="125">
        <f t="shared" ref="C719:C782" si="11">+C718+1</f>
        <v>711</v>
      </c>
      <c r="D719" s="122">
        <v>708</v>
      </c>
      <c r="E719" s="121" t="s">
        <v>2635</v>
      </c>
      <c r="F719" s="123" t="s">
        <v>252</v>
      </c>
      <c r="G719" s="124">
        <v>0</v>
      </c>
      <c r="H719" s="121"/>
    </row>
    <row r="720" spans="2:8">
      <c r="B720" s="23">
        <v>1</v>
      </c>
      <c r="C720" s="125">
        <f t="shared" si="11"/>
        <v>712</v>
      </c>
      <c r="D720" s="122">
        <v>709</v>
      </c>
      <c r="E720" s="121" t="s">
        <v>2636</v>
      </c>
      <c r="F720" s="123" t="s">
        <v>87</v>
      </c>
      <c r="G720" s="124">
        <v>0</v>
      </c>
      <c r="H720" s="121"/>
    </row>
    <row r="721" spans="2:8">
      <c r="B721" s="23">
        <v>1</v>
      </c>
      <c r="C721" s="125">
        <f t="shared" si="11"/>
        <v>713</v>
      </c>
      <c r="D721" s="122">
        <v>710</v>
      </c>
      <c r="E721" s="121" t="s">
        <v>2637</v>
      </c>
      <c r="F721" s="123" t="s">
        <v>87</v>
      </c>
      <c r="G721" s="124">
        <v>0</v>
      </c>
      <c r="H721" s="121"/>
    </row>
    <row r="722" spans="2:8">
      <c r="B722" s="23">
        <v>1</v>
      </c>
      <c r="C722" s="125">
        <f t="shared" si="11"/>
        <v>714</v>
      </c>
      <c r="D722" s="122">
        <v>711</v>
      </c>
      <c r="E722" s="121" t="s">
        <v>2638</v>
      </c>
      <c r="F722" s="123" t="s">
        <v>87</v>
      </c>
      <c r="G722" s="124">
        <v>0</v>
      </c>
      <c r="H722" s="121"/>
    </row>
    <row r="723" spans="2:8">
      <c r="B723" s="23">
        <v>1</v>
      </c>
      <c r="C723" s="125">
        <f t="shared" si="11"/>
        <v>715</v>
      </c>
      <c r="D723" s="122">
        <v>712</v>
      </c>
      <c r="E723" s="121" t="s">
        <v>2639</v>
      </c>
      <c r="F723" s="123" t="s">
        <v>87</v>
      </c>
      <c r="G723" s="124">
        <v>0</v>
      </c>
      <c r="H723" s="121"/>
    </row>
    <row r="724" spans="2:8">
      <c r="B724" s="23">
        <v>1</v>
      </c>
      <c r="C724" s="125">
        <f t="shared" si="11"/>
        <v>716</v>
      </c>
      <c r="D724" s="122">
        <v>713</v>
      </c>
      <c r="E724" s="121" t="s">
        <v>2640</v>
      </c>
      <c r="F724" s="123" t="s">
        <v>87</v>
      </c>
      <c r="G724" s="124">
        <v>0</v>
      </c>
      <c r="H724" s="121"/>
    </row>
    <row r="725" spans="2:8">
      <c r="B725" s="23">
        <v>1</v>
      </c>
      <c r="C725" s="125">
        <f t="shared" si="11"/>
        <v>717</v>
      </c>
      <c r="D725" s="122">
        <v>714</v>
      </c>
      <c r="E725" s="121" t="s">
        <v>378</v>
      </c>
      <c r="F725" s="123" t="s">
        <v>1970</v>
      </c>
      <c r="G725" s="124">
        <v>0</v>
      </c>
      <c r="H725" s="121"/>
    </row>
    <row r="726" spans="2:8">
      <c r="B726" s="23">
        <v>1</v>
      </c>
      <c r="C726" s="125">
        <f t="shared" si="11"/>
        <v>718</v>
      </c>
      <c r="D726" s="122">
        <v>715</v>
      </c>
      <c r="E726" s="121" t="s">
        <v>2641</v>
      </c>
      <c r="F726" s="123" t="s">
        <v>1970</v>
      </c>
      <c r="G726" s="124">
        <v>0</v>
      </c>
      <c r="H726" s="121"/>
    </row>
    <row r="727" spans="2:8">
      <c r="B727" s="23">
        <v>1</v>
      </c>
      <c r="C727" s="125">
        <f t="shared" si="11"/>
        <v>719</v>
      </c>
      <c r="D727" s="122">
        <v>716</v>
      </c>
      <c r="E727" s="121" t="s">
        <v>2642</v>
      </c>
      <c r="F727" s="123" t="s">
        <v>1970</v>
      </c>
      <c r="G727" s="124">
        <v>0</v>
      </c>
      <c r="H727" s="121"/>
    </row>
    <row r="728" spans="2:8">
      <c r="B728" s="23">
        <v>1</v>
      </c>
      <c r="C728" s="125">
        <f t="shared" si="11"/>
        <v>720</v>
      </c>
      <c r="D728" s="122">
        <v>717</v>
      </c>
      <c r="E728" s="121" t="s">
        <v>2643</v>
      </c>
      <c r="F728" s="123" t="s">
        <v>1970</v>
      </c>
      <c r="G728" s="124">
        <v>0</v>
      </c>
      <c r="H728" s="121"/>
    </row>
    <row r="729" spans="2:8">
      <c r="B729" s="23">
        <v>1</v>
      </c>
      <c r="C729" s="125">
        <f t="shared" si="11"/>
        <v>721</v>
      </c>
      <c r="D729" s="122">
        <v>718</v>
      </c>
      <c r="E729" s="121" t="s">
        <v>2644</v>
      </c>
      <c r="F729" s="123" t="s">
        <v>57</v>
      </c>
      <c r="G729" s="124">
        <v>0</v>
      </c>
      <c r="H729" s="121"/>
    </row>
    <row r="730" spans="2:8">
      <c r="B730" s="23">
        <v>1</v>
      </c>
      <c r="C730" s="125">
        <f t="shared" si="11"/>
        <v>722</v>
      </c>
      <c r="D730" s="122">
        <v>719</v>
      </c>
      <c r="E730" s="121" t="s">
        <v>2645</v>
      </c>
      <c r="F730" s="123" t="s">
        <v>1970</v>
      </c>
      <c r="G730" s="124">
        <v>0</v>
      </c>
      <c r="H730" s="121"/>
    </row>
    <row r="731" spans="2:8">
      <c r="B731" s="23">
        <v>1</v>
      </c>
      <c r="C731" s="125">
        <f t="shared" si="11"/>
        <v>723</v>
      </c>
      <c r="D731" s="122">
        <v>720</v>
      </c>
      <c r="E731" s="121" t="s">
        <v>2646</v>
      </c>
      <c r="F731" s="123" t="s">
        <v>57</v>
      </c>
      <c r="G731" s="124">
        <v>0</v>
      </c>
      <c r="H731" s="121"/>
    </row>
    <row r="732" spans="2:8">
      <c r="B732" s="23">
        <v>1</v>
      </c>
      <c r="C732" s="125">
        <f t="shared" si="11"/>
        <v>724</v>
      </c>
      <c r="D732" s="122">
        <v>721</v>
      </c>
      <c r="E732" s="121" t="s">
        <v>2647</v>
      </c>
      <c r="F732" s="123" t="s">
        <v>1970</v>
      </c>
      <c r="G732" s="124">
        <v>0</v>
      </c>
      <c r="H732" s="121"/>
    </row>
    <row r="733" spans="2:8">
      <c r="B733" s="23">
        <v>1</v>
      </c>
      <c r="C733" s="125">
        <f t="shared" si="11"/>
        <v>725</v>
      </c>
      <c r="D733" s="122">
        <v>722</v>
      </c>
      <c r="E733" s="121" t="s">
        <v>2648</v>
      </c>
      <c r="F733" s="123" t="s">
        <v>1970</v>
      </c>
      <c r="G733" s="124">
        <v>0</v>
      </c>
      <c r="H733" s="121"/>
    </row>
    <row r="734" spans="2:8">
      <c r="B734" s="23">
        <v>1</v>
      </c>
      <c r="C734" s="125">
        <f t="shared" si="11"/>
        <v>726</v>
      </c>
      <c r="D734" s="122">
        <v>723</v>
      </c>
      <c r="E734" s="121" t="s">
        <v>2649</v>
      </c>
      <c r="F734" s="123" t="s">
        <v>1970</v>
      </c>
      <c r="G734" s="124">
        <v>0</v>
      </c>
      <c r="H734" s="121"/>
    </row>
    <row r="735" spans="2:8">
      <c r="B735" s="23">
        <v>1</v>
      </c>
      <c r="C735" s="125">
        <f t="shared" si="11"/>
        <v>727</v>
      </c>
      <c r="D735" s="122">
        <v>724</v>
      </c>
      <c r="E735" s="121" t="s">
        <v>2650</v>
      </c>
      <c r="F735" s="123" t="s">
        <v>1970</v>
      </c>
      <c r="G735" s="124">
        <v>0</v>
      </c>
      <c r="H735" s="121"/>
    </row>
    <row r="736" spans="2:8">
      <c r="B736" s="23">
        <v>1</v>
      </c>
      <c r="C736" s="125">
        <f t="shared" si="11"/>
        <v>728</v>
      </c>
      <c r="D736" s="122">
        <v>725</v>
      </c>
      <c r="E736" s="121" t="s">
        <v>2651</v>
      </c>
      <c r="F736" s="123" t="s">
        <v>74</v>
      </c>
      <c r="G736" s="124">
        <v>0</v>
      </c>
      <c r="H736" s="121"/>
    </row>
    <row r="737" spans="2:8">
      <c r="B737" s="23">
        <v>1</v>
      </c>
      <c r="C737" s="125">
        <f t="shared" si="11"/>
        <v>729</v>
      </c>
      <c r="D737" s="122">
        <v>726</v>
      </c>
      <c r="E737" s="121" t="s">
        <v>2652</v>
      </c>
      <c r="F737" s="123" t="s">
        <v>87</v>
      </c>
      <c r="G737" s="124">
        <v>0</v>
      </c>
      <c r="H737" s="121"/>
    </row>
    <row r="738" spans="2:8">
      <c r="B738" s="23">
        <v>1</v>
      </c>
      <c r="C738" s="125">
        <f t="shared" si="11"/>
        <v>730</v>
      </c>
      <c r="D738" s="122">
        <v>727</v>
      </c>
      <c r="E738" s="121" t="s">
        <v>2653</v>
      </c>
      <c r="F738" s="123" t="s">
        <v>87</v>
      </c>
      <c r="G738" s="124">
        <v>0</v>
      </c>
      <c r="H738" s="121"/>
    </row>
    <row r="739" spans="2:8">
      <c r="B739" s="23">
        <v>1</v>
      </c>
      <c r="C739" s="125">
        <f t="shared" si="11"/>
        <v>731</v>
      </c>
      <c r="D739" s="122">
        <v>728</v>
      </c>
      <c r="E739" s="121" t="s">
        <v>2654</v>
      </c>
      <c r="F739" s="123" t="s">
        <v>1970</v>
      </c>
      <c r="G739" s="124">
        <v>0</v>
      </c>
      <c r="H739" s="121"/>
    </row>
    <row r="740" spans="2:8">
      <c r="B740" s="23">
        <v>1</v>
      </c>
      <c r="C740" s="125">
        <f t="shared" si="11"/>
        <v>732</v>
      </c>
      <c r="D740" s="122">
        <v>729</v>
      </c>
      <c r="E740" s="121" t="s">
        <v>172</v>
      </c>
      <c r="F740" s="123" t="s">
        <v>1970</v>
      </c>
      <c r="G740" s="124">
        <v>0</v>
      </c>
      <c r="H740" s="121"/>
    </row>
    <row r="741" spans="2:8">
      <c r="B741" s="23">
        <v>1</v>
      </c>
      <c r="C741" s="125">
        <f t="shared" si="11"/>
        <v>733</v>
      </c>
      <c r="D741" s="122">
        <v>730</v>
      </c>
      <c r="E741" s="121" t="s">
        <v>2655</v>
      </c>
      <c r="F741" s="123" t="s">
        <v>1970</v>
      </c>
      <c r="G741" s="124">
        <v>0</v>
      </c>
      <c r="H741" s="121"/>
    </row>
    <row r="742" spans="2:8">
      <c r="B742" s="23">
        <v>1</v>
      </c>
      <c r="C742" s="125">
        <f t="shared" si="11"/>
        <v>734</v>
      </c>
      <c r="D742" s="122">
        <v>731</v>
      </c>
      <c r="E742" s="121" t="s">
        <v>2656</v>
      </c>
      <c r="F742" s="123" t="s">
        <v>1970</v>
      </c>
      <c r="G742" s="124">
        <v>0</v>
      </c>
      <c r="H742" s="121"/>
    </row>
    <row r="743" spans="2:8">
      <c r="B743" s="23">
        <v>1</v>
      </c>
      <c r="C743" s="125">
        <f t="shared" si="11"/>
        <v>735</v>
      </c>
      <c r="D743" s="122">
        <v>732</v>
      </c>
      <c r="E743" s="121" t="s">
        <v>2657</v>
      </c>
      <c r="F743" s="123" t="s">
        <v>1970</v>
      </c>
      <c r="G743" s="124">
        <v>0</v>
      </c>
      <c r="H743" s="121"/>
    </row>
    <row r="744" spans="2:8">
      <c r="B744" s="23">
        <v>1</v>
      </c>
      <c r="C744" s="125">
        <f t="shared" si="11"/>
        <v>736</v>
      </c>
      <c r="D744" s="122">
        <v>733</v>
      </c>
      <c r="E744" s="121" t="s">
        <v>2658</v>
      </c>
      <c r="F744" s="123" t="s">
        <v>1970</v>
      </c>
      <c r="G744" s="124">
        <v>0</v>
      </c>
      <c r="H744" s="121"/>
    </row>
    <row r="745" spans="2:8">
      <c r="B745" s="23">
        <v>1</v>
      </c>
      <c r="C745" s="125">
        <f t="shared" si="11"/>
        <v>737</v>
      </c>
      <c r="D745" s="122">
        <v>734</v>
      </c>
      <c r="E745" s="121" t="s">
        <v>2659</v>
      </c>
      <c r="F745" s="123" t="s">
        <v>1970</v>
      </c>
      <c r="G745" s="124">
        <v>0</v>
      </c>
      <c r="H745" s="121"/>
    </row>
    <row r="746" spans="2:8">
      <c r="B746" s="23">
        <v>1</v>
      </c>
      <c r="C746" s="125">
        <f t="shared" si="11"/>
        <v>738</v>
      </c>
      <c r="D746" s="122">
        <v>735</v>
      </c>
      <c r="E746" s="121" t="s">
        <v>2660</v>
      </c>
      <c r="F746" s="123" t="s">
        <v>1970</v>
      </c>
      <c r="G746" s="124">
        <v>0</v>
      </c>
      <c r="H746" s="121"/>
    </row>
    <row r="747" spans="2:8">
      <c r="B747" s="23">
        <v>1</v>
      </c>
      <c r="C747" s="125">
        <f t="shared" si="11"/>
        <v>739</v>
      </c>
      <c r="D747" s="122">
        <v>736</v>
      </c>
      <c r="E747" s="121" t="s">
        <v>2661</v>
      </c>
      <c r="F747" s="123" t="s">
        <v>1970</v>
      </c>
      <c r="G747" s="124">
        <v>0</v>
      </c>
      <c r="H747" s="121"/>
    </row>
    <row r="748" spans="2:8">
      <c r="B748" s="23">
        <v>1</v>
      </c>
      <c r="C748" s="125">
        <f t="shared" si="11"/>
        <v>740</v>
      </c>
      <c r="D748" s="122">
        <v>737</v>
      </c>
      <c r="E748" s="121" t="s">
        <v>2662</v>
      </c>
      <c r="F748" s="123" t="s">
        <v>1970</v>
      </c>
      <c r="G748" s="124">
        <v>0</v>
      </c>
      <c r="H748" s="121"/>
    </row>
    <row r="749" spans="2:8">
      <c r="B749" s="23">
        <v>1</v>
      </c>
      <c r="C749" s="125">
        <f t="shared" si="11"/>
        <v>741</v>
      </c>
      <c r="D749" s="122">
        <v>738</v>
      </c>
      <c r="E749" s="121" t="s">
        <v>2663</v>
      </c>
      <c r="F749" s="123" t="s">
        <v>1970</v>
      </c>
      <c r="G749" s="124">
        <v>0</v>
      </c>
      <c r="H749" s="121"/>
    </row>
    <row r="750" spans="2:8">
      <c r="B750" s="23">
        <v>1</v>
      </c>
      <c r="C750" s="125">
        <f t="shared" si="11"/>
        <v>742</v>
      </c>
      <c r="D750" s="122">
        <v>739</v>
      </c>
      <c r="E750" s="121" t="s">
        <v>2664</v>
      </c>
      <c r="F750" s="123" t="s">
        <v>1970</v>
      </c>
      <c r="G750" s="124">
        <v>0</v>
      </c>
      <c r="H750" s="121"/>
    </row>
    <row r="751" spans="2:8">
      <c r="B751" s="23">
        <v>1</v>
      </c>
      <c r="C751" s="125">
        <f t="shared" si="11"/>
        <v>743</v>
      </c>
      <c r="D751" s="122">
        <v>740</v>
      </c>
      <c r="E751" s="121" t="s">
        <v>2665</v>
      </c>
      <c r="F751" s="123" t="s">
        <v>1970</v>
      </c>
      <c r="G751" s="124">
        <v>0</v>
      </c>
      <c r="H751" s="121"/>
    </row>
    <row r="752" spans="2:8">
      <c r="B752" s="23">
        <v>1</v>
      </c>
      <c r="C752" s="125">
        <f t="shared" si="11"/>
        <v>744</v>
      </c>
      <c r="D752" s="122">
        <v>741</v>
      </c>
      <c r="E752" s="121" t="s">
        <v>2666</v>
      </c>
      <c r="F752" s="123" t="s">
        <v>1970</v>
      </c>
      <c r="G752" s="124">
        <v>0</v>
      </c>
      <c r="H752" s="121"/>
    </row>
    <row r="753" spans="2:8">
      <c r="B753" s="23">
        <v>1</v>
      </c>
      <c r="C753" s="125">
        <f t="shared" si="11"/>
        <v>745</v>
      </c>
      <c r="D753" s="122">
        <v>742</v>
      </c>
      <c r="E753" s="121" t="s">
        <v>2667</v>
      </c>
      <c r="F753" s="123" t="s">
        <v>1970</v>
      </c>
      <c r="G753" s="124">
        <v>0</v>
      </c>
      <c r="H753" s="121"/>
    </row>
    <row r="754" spans="2:8">
      <c r="B754" s="23">
        <v>1</v>
      </c>
      <c r="C754" s="125">
        <f t="shared" si="11"/>
        <v>746</v>
      </c>
      <c r="D754" s="122">
        <v>743</v>
      </c>
      <c r="E754" s="121" t="s">
        <v>2668</v>
      </c>
      <c r="F754" s="123" t="s">
        <v>1970</v>
      </c>
      <c r="G754" s="124">
        <v>0</v>
      </c>
      <c r="H754" s="121"/>
    </row>
    <row r="755" spans="2:8">
      <c r="B755" s="23">
        <v>1</v>
      </c>
      <c r="C755" s="125">
        <f t="shared" si="11"/>
        <v>747</v>
      </c>
      <c r="D755" s="122">
        <v>744</v>
      </c>
      <c r="E755" s="121" t="s">
        <v>2669</v>
      </c>
      <c r="F755" s="123" t="s">
        <v>1970</v>
      </c>
      <c r="G755" s="124">
        <v>0</v>
      </c>
      <c r="H755" s="121"/>
    </row>
    <row r="756" spans="2:8">
      <c r="B756" s="23">
        <v>1</v>
      </c>
      <c r="C756" s="125">
        <f t="shared" si="11"/>
        <v>748</v>
      </c>
      <c r="D756" s="122">
        <v>745</v>
      </c>
      <c r="E756" s="121" t="s">
        <v>2670</v>
      </c>
      <c r="F756" s="123" t="s">
        <v>1970</v>
      </c>
      <c r="G756" s="124">
        <v>0</v>
      </c>
      <c r="H756" s="121"/>
    </row>
    <row r="757" spans="2:8">
      <c r="B757" s="23">
        <v>1</v>
      </c>
      <c r="C757" s="125">
        <f t="shared" si="11"/>
        <v>749</v>
      </c>
      <c r="D757" s="122">
        <v>746</v>
      </c>
      <c r="E757" s="121" t="s">
        <v>2671</v>
      </c>
      <c r="F757" s="123" t="s">
        <v>1970</v>
      </c>
      <c r="G757" s="124">
        <v>0</v>
      </c>
      <c r="H757" s="121"/>
    </row>
    <row r="758" spans="2:8">
      <c r="B758" s="23">
        <v>1</v>
      </c>
      <c r="C758" s="125">
        <f t="shared" si="11"/>
        <v>750</v>
      </c>
      <c r="D758" s="122">
        <v>747</v>
      </c>
      <c r="E758" s="121" t="s">
        <v>2672</v>
      </c>
      <c r="F758" s="123" t="s">
        <v>1970</v>
      </c>
      <c r="G758" s="124">
        <v>0</v>
      </c>
      <c r="H758" s="121"/>
    </row>
    <row r="759" spans="2:8">
      <c r="B759" s="23">
        <v>1</v>
      </c>
      <c r="C759" s="125">
        <f t="shared" si="11"/>
        <v>751</v>
      </c>
      <c r="D759" s="122">
        <v>748</v>
      </c>
      <c r="E759" s="121" t="s">
        <v>145</v>
      </c>
      <c r="F759" s="123" t="s">
        <v>1970</v>
      </c>
      <c r="G759" s="124">
        <v>0</v>
      </c>
      <c r="H759" s="121"/>
    </row>
    <row r="760" spans="2:8">
      <c r="B760" s="23">
        <v>1</v>
      </c>
      <c r="C760" s="125">
        <f t="shared" si="11"/>
        <v>752</v>
      </c>
      <c r="D760" s="122">
        <v>749</v>
      </c>
      <c r="E760" s="121" t="s">
        <v>2673</v>
      </c>
      <c r="F760" s="123" t="s">
        <v>1970</v>
      </c>
      <c r="G760" s="124">
        <v>0</v>
      </c>
      <c r="H760" s="121"/>
    </row>
    <row r="761" spans="2:8">
      <c r="B761" s="23">
        <v>1</v>
      </c>
      <c r="C761" s="125">
        <f t="shared" si="11"/>
        <v>753</v>
      </c>
      <c r="D761" s="122">
        <v>750</v>
      </c>
      <c r="E761" s="121" t="s">
        <v>2674</v>
      </c>
      <c r="F761" s="123" t="s">
        <v>1970</v>
      </c>
      <c r="G761" s="124">
        <v>0</v>
      </c>
      <c r="H761" s="121"/>
    </row>
    <row r="762" spans="2:8">
      <c r="B762" s="23">
        <v>1</v>
      </c>
      <c r="C762" s="125">
        <f t="shared" si="11"/>
        <v>754</v>
      </c>
      <c r="D762" s="122">
        <v>751</v>
      </c>
      <c r="E762" s="121" t="s">
        <v>214</v>
      </c>
      <c r="F762" s="123" t="s">
        <v>87</v>
      </c>
      <c r="G762" s="124">
        <v>0</v>
      </c>
      <c r="H762" s="121"/>
    </row>
    <row r="763" spans="2:8">
      <c r="B763" s="23">
        <v>1</v>
      </c>
      <c r="C763" s="125">
        <f t="shared" si="11"/>
        <v>755</v>
      </c>
      <c r="D763" s="122">
        <v>752</v>
      </c>
      <c r="E763" s="121" t="s">
        <v>217</v>
      </c>
      <c r="F763" s="123" t="s">
        <v>87</v>
      </c>
      <c r="G763" s="124">
        <v>0</v>
      </c>
      <c r="H763" s="121"/>
    </row>
    <row r="764" spans="2:8">
      <c r="B764" s="23">
        <v>1</v>
      </c>
      <c r="C764" s="125">
        <f t="shared" si="11"/>
        <v>756</v>
      </c>
      <c r="D764" s="122">
        <v>753</v>
      </c>
      <c r="E764" s="121" t="s">
        <v>2675</v>
      </c>
      <c r="F764" s="123" t="s">
        <v>87</v>
      </c>
      <c r="G764" s="124">
        <v>0</v>
      </c>
      <c r="H764" s="121"/>
    </row>
    <row r="765" spans="2:8">
      <c r="B765" s="23">
        <v>1</v>
      </c>
      <c r="C765" s="125">
        <f t="shared" si="11"/>
        <v>757</v>
      </c>
      <c r="D765" s="122">
        <v>754</v>
      </c>
      <c r="E765" s="121" t="s">
        <v>2676</v>
      </c>
      <c r="F765" s="123" t="s">
        <v>87</v>
      </c>
      <c r="G765" s="124">
        <v>0</v>
      </c>
      <c r="H765" s="121"/>
    </row>
    <row r="766" spans="2:8">
      <c r="B766" s="23">
        <v>1</v>
      </c>
      <c r="C766" s="125">
        <f t="shared" si="11"/>
        <v>758</v>
      </c>
      <c r="D766" s="122">
        <v>755</v>
      </c>
      <c r="E766" s="121" t="s">
        <v>2677</v>
      </c>
      <c r="F766" s="123" t="s">
        <v>87</v>
      </c>
      <c r="G766" s="124">
        <v>0</v>
      </c>
      <c r="H766" s="121"/>
    </row>
    <row r="767" spans="2:8">
      <c r="B767" s="23">
        <v>1</v>
      </c>
      <c r="C767" s="125">
        <f t="shared" si="11"/>
        <v>759</v>
      </c>
      <c r="D767" s="122">
        <v>756</v>
      </c>
      <c r="E767" s="121" t="s">
        <v>2678</v>
      </c>
      <c r="F767" s="123" t="s">
        <v>87</v>
      </c>
      <c r="G767" s="124">
        <v>0</v>
      </c>
      <c r="H767" s="121"/>
    </row>
    <row r="768" spans="2:8">
      <c r="B768" s="23">
        <v>1</v>
      </c>
      <c r="C768" s="125">
        <f t="shared" si="11"/>
        <v>760</v>
      </c>
      <c r="D768" s="122">
        <v>757</v>
      </c>
      <c r="E768" s="121" t="s">
        <v>2679</v>
      </c>
      <c r="F768" s="123" t="s">
        <v>87</v>
      </c>
      <c r="G768" s="124">
        <v>0</v>
      </c>
      <c r="H768" s="121"/>
    </row>
    <row r="769" spans="2:8">
      <c r="B769" s="23">
        <v>1</v>
      </c>
      <c r="C769" s="125">
        <f t="shared" si="11"/>
        <v>761</v>
      </c>
      <c r="D769" s="122">
        <v>758</v>
      </c>
      <c r="E769" s="121" t="s">
        <v>2680</v>
      </c>
      <c r="F769" s="123" t="s">
        <v>87</v>
      </c>
      <c r="G769" s="124">
        <v>0</v>
      </c>
      <c r="H769" s="121"/>
    </row>
    <row r="770" spans="2:8">
      <c r="B770" s="23">
        <v>1</v>
      </c>
      <c r="C770" s="125">
        <f t="shared" si="11"/>
        <v>762</v>
      </c>
      <c r="D770" s="122">
        <v>759</v>
      </c>
      <c r="E770" s="121" t="s">
        <v>2681</v>
      </c>
      <c r="F770" s="123" t="s">
        <v>87</v>
      </c>
      <c r="G770" s="124">
        <v>0</v>
      </c>
      <c r="H770" s="121"/>
    </row>
    <row r="771" spans="2:8">
      <c r="B771" s="23">
        <v>1</v>
      </c>
      <c r="C771" s="125">
        <f t="shared" si="11"/>
        <v>763</v>
      </c>
      <c r="D771" s="122">
        <v>760</v>
      </c>
      <c r="E771" s="121" t="s">
        <v>2682</v>
      </c>
      <c r="F771" s="123" t="s">
        <v>220</v>
      </c>
      <c r="G771" s="124">
        <v>0</v>
      </c>
      <c r="H771" s="121"/>
    </row>
    <row r="772" spans="2:8">
      <c r="B772" s="23">
        <v>1</v>
      </c>
      <c r="C772" s="125">
        <f t="shared" si="11"/>
        <v>764</v>
      </c>
      <c r="D772" s="122">
        <v>761</v>
      </c>
      <c r="E772" s="121" t="s">
        <v>2683</v>
      </c>
      <c r="F772" s="123" t="s">
        <v>74</v>
      </c>
      <c r="G772" s="124">
        <v>0</v>
      </c>
      <c r="H772" s="121"/>
    </row>
    <row r="773" spans="2:8">
      <c r="B773" s="23">
        <v>1</v>
      </c>
      <c r="C773" s="125">
        <f t="shared" si="11"/>
        <v>765</v>
      </c>
      <c r="D773" s="122">
        <v>762</v>
      </c>
      <c r="E773" s="121" t="s">
        <v>2684</v>
      </c>
      <c r="F773" s="123" t="s">
        <v>87</v>
      </c>
      <c r="G773" s="124">
        <v>0</v>
      </c>
      <c r="H773" s="121"/>
    </row>
    <row r="774" spans="2:8">
      <c r="B774" s="23">
        <v>1</v>
      </c>
      <c r="C774" s="125">
        <f t="shared" si="11"/>
        <v>766</v>
      </c>
      <c r="D774" s="122">
        <v>763</v>
      </c>
      <c r="E774" s="121" t="s">
        <v>2685</v>
      </c>
      <c r="F774" s="123" t="s">
        <v>87</v>
      </c>
      <c r="G774" s="124">
        <v>0</v>
      </c>
      <c r="H774" s="121"/>
    </row>
    <row r="775" spans="2:8">
      <c r="B775" s="23">
        <v>1</v>
      </c>
      <c r="C775" s="125">
        <f t="shared" si="11"/>
        <v>767</v>
      </c>
      <c r="D775" s="122">
        <v>764</v>
      </c>
      <c r="E775" s="121" t="s">
        <v>2686</v>
      </c>
      <c r="F775" s="123" t="s">
        <v>87</v>
      </c>
      <c r="G775" s="124">
        <v>0</v>
      </c>
      <c r="H775" s="121"/>
    </row>
    <row r="776" spans="2:8">
      <c r="B776" s="23">
        <v>1</v>
      </c>
      <c r="C776" s="125">
        <f t="shared" si="11"/>
        <v>768</v>
      </c>
      <c r="D776" s="122">
        <v>765</v>
      </c>
      <c r="E776" s="121" t="s">
        <v>213</v>
      </c>
      <c r="F776" s="123" t="s">
        <v>87</v>
      </c>
      <c r="G776" s="124">
        <v>0</v>
      </c>
      <c r="H776" s="121"/>
    </row>
    <row r="777" spans="2:8">
      <c r="B777" s="23">
        <v>1</v>
      </c>
      <c r="C777" s="125">
        <f t="shared" si="11"/>
        <v>769</v>
      </c>
      <c r="D777" s="122">
        <v>766</v>
      </c>
      <c r="E777" s="121" t="s">
        <v>2687</v>
      </c>
      <c r="F777" s="123" t="s">
        <v>87</v>
      </c>
      <c r="G777" s="124">
        <v>0</v>
      </c>
      <c r="H777" s="121"/>
    </row>
    <row r="778" spans="2:8">
      <c r="B778" s="23">
        <v>1</v>
      </c>
      <c r="C778" s="125">
        <f t="shared" si="11"/>
        <v>770</v>
      </c>
      <c r="D778" s="122">
        <v>767</v>
      </c>
      <c r="E778" s="121" t="s">
        <v>3168</v>
      </c>
      <c r="F778" s="123" t="s">
        <v>87</v>
      </c>
      <c r="G778" s="124">
        <v>0</v>
      </c>
      <c r="H778" s="121"/>
    </row>
    <row r="779" spans="2:8">
      <c r="B779" s="23">
        <v>1</v>
      </c>
      <c r="C779" s="125">
        <f t="shared" si="11"/>
        <v>771</v>
      </c>
      <c r="D779" s="122">
        <v>768</v>
      </c>
      <c r="E779" s="121" t="s">
        <v>221</v>
      </c>
      <c r="F779" s="123" t="s">
        <v>87</v>
      </c>
      <c r="G779" s="124">
        <v>0</v>
      </c>
      <c r="H779" s="121"/>
    </row>
    <row r="780" spans="2:8">
      <c r="B780" s="23">
        <v>1</v>
      </c>
      <c r="C780" s="125">
        <f t="shared" si="11"/>
        <v>772</v>
      </c>
      <c r="D780" s="122">
        <v>769</v>
      </c>
      <c r="E780" s="121" t="s">
        <v>2688</v>
      </c>
      <c r="F780" s="123" t="s">
        <v>87</v>
      </c>
      <c r="G780" s="124">
        <v>0</v>
      </c>
      <c r="H780" s="121"/>
    </row>
    <row r="781" spans="2:8">
      <c r="B781" s="23">
        <v>1</v>
      </c>
      <c r="C781" s="125">
        <f t="shared" si="11"/>
        <v>773</v>
      </c>
      <c r="D781" s="122">
        <v>770</v>
      </c>
      <c r="E781" s="121" t="s">
        <v>2689</v>
      </c>
      <c r="F781" s="123" t="s">
        <v>87</v>
      </c>
      <c r="G781" s="124">
        <v>0</v>
      </c>
      <c r="H781" s="121"/>
    </row>
    <row r="782" spans="2:8">
      <c r="B782" s="23">
        <v>1</v>
      </c>
      <c r="C782" s="125">
        <f t="shared" si="11"/>
        <v>774</v>
      </c>
      <c r="D782" s="122">
        <v>771</v>
      </c>
      <c r="E782" s="121" t="s">
        <v>2690</v>
      </c>
      <c r="F782" s="123" t="s">
        <v>87</v>
      </c>
      <c r="G782" s="124">
        <v>0</v>
      </c>
      <c r="H782" s="121"/>
    </row>
    <row r="783" spans="2:8">
      <c r="B783" s="23">
        <v>1</v>
      </c>
      <c r="C783" s="125">
        <f t="shared" ref="C783:C846" si="12">+C782+1</f>
        <v>775</v>
      </c>
      <c r="D783" s="122">
        <v>772</v>
      </c>
      <c r="E783" s="121" t="s">
        <v>2691</v>
      </c>
      <c r="F783" s="123" t="s">
        <v>87</v>
      </c>
      <c r="G783" s="124">
        <v>0</v>
      </c>
      <c r="H783" s="121"/>
    </row>
    <row r="784" spans="2:8">
      <c r="B784" s="23">
        <v>1</v>
      </c>
      <c r="C784" s="125">
        <f t="shared" si="12"/>
        <v>776</v>
      </c>
      <c r="D784" s="122">
        <v>773</v>
      </c>
      <c r="E784" s="121" t="s">
        <v>2692</v>
      </c>
      <c r="F784" s="123" t="s">
        <v>87</v>
      </c>
      <c r="G784" s="124">
        <v>0</v>
      </c>
      <c r="H784" s="121"/>
    </row>
    <row r="785" spans="2:8">
      <c r="B785" s="23">
        <v>1</v>
      </c>
      <c r="C785" s="125">
        <f t="shared" si="12"/>
        <v>777</v>
      </c>
      <c r="D785" s="122">
        <v>774</v>
      </c>
      <c r="E785" s="121" t="s">
        <v>2693</v>
      </c>
      <c r="F785" s="123" t="s">
        <v>87</v>
      </c>
      <c r="G785" s="124">
        <v>0</v>
      </c>
      <c r="H785" s="121"/>
    </row>
    <row r="786" spans="2:8">
      <c r="B786" s="23">
        <v>1</v>
      </c>
      <c r="C786" s="125">
        <f t="shared" si="12"/>
        <v>778</v>
      </c>
      <c r="D786" s="122">
        <v>775</v>
      </c>
      <c r="E786" s="121" t="s">
        <v>2694</v>
      </c>
      <c r="F786" s="123" t="s">
        <v>87</v>
      </c>
      <c r="G786" s="124">
        <v>0</v>
      </c>
      <c r="H786" s="121"/>
    </row>
    <row r="787" spans="2:8">
      <c r="B787" s="23">
        <v>1</v>
      </c>
      <c r="C787" s="125">
        <f t="shared" si="12"/>
        <v>779</v>
      </c>
      <c r="D787" s="122">
        <v>776</v>
      </c>
      <c r="E787" s="121" t="s">
        <v>2695</v>
      </c>
      <c r="F787" s="123" t="s">
        <v>1970</v>
      </c>
      <c r="G787" s="124">
        <v>0</v>
      </c>
      <c r="H787" s="121"/>
    </row>
    <row r="788" spans="2:8">
      <c r="B788" s="23">
        <v>1</v>
      </c>
      <c r="C788" s="125">
        <f t="shared" si="12"/>
        <v>780</v>
      </c>
      <c r="D788" s="122">
        <v>777</v>
      </c>
      <c r="E788" s="121" t="s">
        <v>2696</v>
      </c>
      <c r="F788" s="123" t="s">
        <v>87</v>
      </c>
      <c r="G788" s="124">
        <v>0</v>
      </c>
      <c r="H788" s="121"/>
    </row>
    <row r="789" spans="2:8">
      <c r="B789" s="23">
        <v>1</v>
      </c>
      <c r="C789" s="125">
        <f t="shared" si="12"/>
        <v>781</v>
      </c>
      <c r="D789" s="122">
        <v>778</v>
      </c>
      <c r="E789" s="121" t="s">
        <v>2697</v>
      </c>
      <c r="F789" s="123" t="s">
        <v>149</v>
      </c>
      <c r="G789" s="124">
        <v>0</v>
      </c>
      <c r="H789" s="121"/>
    </row>
    <row r="790" spans="2:8">
      <c r="B790" s="23">
        <v>1</v>
      </c>
      <c r="C790" s="125">
        <f t="shared" si="12"/>
        <v>782</v>
      </c>
      <c r="D790" s="122">
        <v>779</v>
      </c>
      <c r="E790" s="121" t="s">
        <v>2698</v>
      </c>
      <c r="F790" s="123" t="s">
        <v>2699</v>
      </c>
      <c r="G790" s="124">
        <v>0</v>
      </c>
      <c r="H790" s="121"/>
    </row>
    <row r="791" spans="2:8">
      <c r="B791" s="23">
        <v>1</v>
      </c>
      <c r="C791" s="125">
        <f t="shared" si="12"/>
        <v>783</v>
      </c>
      <c r="D791" s="122">
        <v>780</v>
      </c>
      <c r="E791" s="121" t="s">
        <v>2700</v>
      </c>
      <c r="F791" s="123" t="s">
        <v>2699</v>
      </c>
      <c r="G791" s="124">
        <v>0</v>
      </c>
      <c r="H791" s="121"/>
    </row>
    <row r="792" spans="2:8">
      <c r="B792" s="23">
        <v>1</v>
      </c>
      <c r="C792" s="125">
        <f t="shared" si="12"/>
        <v>784</v>
      </c>
      <c r="D792" s="122">
        <v>781</v>
      </c>
      <c r="E792" s="121" t="s">
        <v>2701</v>
      </c>
      <c r="F792" s="123" t="s">
        <v>2699</v>
      </c>
      <c r="G792" s="124">
        <v>0</v>
      </c>
      <c r="H792" s="121"/>
    </row>
    <row r="793" spans="2:8">
      <c r="B793" s="23">
        <v>1</v>
      </c>
      <c r="C793" s="125">
        <f t="shared" si="12"/>
        <v>785</v>
      </c>
      <c r="D793" s="122">
        <v>782</v>
      </c>
      <c r="E793" s="121" t="s">
        <v>2702</v>
      </c>
      <c r="F793" s="123" t="s">
        <v>1970</v>
      </c>
      <c r="G793" s="124">
        <v>0</v>
      </c>
      <c r="H793" s="121"/>
    </row>
    <row r="794" spans="2:8">
      <c r="B794" s="23">
        <v>1</v>
      </c>
      <c r="C794" s="125">
        <f t="shared" si="12"/>
        <v>786</v>
      </c>
      <c r="D794" s="122">
        <v>783</v>
      </c>
      <c r="E794" s="121" t="s">
        <v>2703</v>
      </c>
      <c r="F794" s="123" t="s">
        <v>2153</v>
      </c>
      <c r="G794" s="124">
        <v>0</v>
      </c>
      <c r="H794" s="121"/>
    </row>
    <row r="795" spans="2:8">
      <c r="B795" s="23">
        <v>1</v>
      </c>
      <c r="C795" s="125">
        <f t="shared" si="12"/>
        <v>787</v>
      </c>
      <c r="D795" s="122">
        <v>784</v>
      </c>
      <c r="E795" s="121" t="s">
        <v>2704</v>
      </c>
      <c r="F795" s="123" t="s">
        <v>74</v>
      </c>
      <c r="G795" s="124">
        <v>0</v>
      </c>
      <c r="H795" s="121"/>
    </row>
    <row r="796" spans="2:8">
      <c r="B796" s="23">
        <v>1</v>
      </c>
      <c r="C796" s="125">
        <f t="shared" si="12"/>
        <v>788</v>
      </c>
      <c r="D796" s="122">
        <v>785</v>
      </c>
      <c r="E796" s="121" t="s">
        <v>2705</v>
      </c>
      <c r="F796" s="123" t="s">
        <v>74</v>
      </c>
      <c r="G796" s="124">
        <v>0</v>
      </c>
      <c r="H796" s="121"/>
    </row>
    <row r="797" spans="2:8">
      <c r="B797" s="23">
        <v>1</v>
      </c>
      <c r="C797" s="125">
        <f t="shared" si="12"/>
        <v>789</v>
      </c>
      <c r="D797" s="122">
        <v>786</v>
      </c>
      <c r="E797" s="121" t="s">
        <v>2706</v>
      </c>
      <c r="F797" s="123" t="s">
        <v>2118</v>
      </c>
      <c r="G797" s="124">
        <v>0</v>
      </c>
      <c r="H797" s="121"/>
    </row>
    <row r="798" spans="2:8">
      <c r="B798" s="23">
        <v>1</v>
      </c>
      <c r="C798" s="125">
        <f t="shared" si="12"/>
        <v>790</v>
      </c>
      <c r="D798" s="122">
        <v>787</v>
      </c>
      <c r="E798" s="121" t="s">
        <v>2707</v>
      </c>
      <c r="F798" s="123" t="s">
        <v>2118</v>
      </c>
      <c r="G798" s="124">
        <v>0</v>
      </c>
      <c r="H798" s="121"/>
    </row>
    <row r="799" spans="2:8">
      <c r="B799" s="23">
        <v>1</v>
      </c>
      <c r="C799" s="125">
        <f t="shared" si="12"/>
        <v>791</v>
      </c>
      <c r="D799" s="122">
        <v>788</v>
      </c>
      <c r="E799" s="121" t="s">
        <v>2708</v>
      </c>
      <c r="F799" s="123" t="s">
        <v>391</v>
      </c>
      <c r="G799" s="124">
        <v>0</v>
      </c>
      <c r="H799" s="121"/>
    </row>
    <row r="800" spans="2:8">
      <c r="B800" s="23">
        <v>1</v>
      </c>
      <c r="C800" s="125">
        <f t="shared" si="12"/>
        <v>792</v>
      </c>
      <c r="D800" s="122">
        <v>789</v>
      </c>
      <c r="E800" s="121" t="s">
        <v>2709</v>
      </c>
      <c r="F800" s="123" t="s">
        <v>391</v>
      </c>
      <c r="G800" s="124">
        <v>0</v>
      </c>
      <c r="H800" s="121"/>
    </row>
    <row r="801" spans="2:8">
      <c r="B801" s="23">
        <v>1</v>
      </c>
      <c r="C801" s="125">
        <f t="shared" si="12"/>
        <v>793</v>
      </c>
      <c r="D801" s="122">
        <v>790</v>
      </c>
      <c r="E801" s="121" t="s">
        <v>2710</v>
      </c>
      <c r="F801" s="123" t="s">
        <v>2118</v>
      </c>
      <c r="G801" s="124">
        <v>0</v>
      </c>
      <c r="H801" s="121"/>
    </row>
    <row r="802" spans="2:8">
      <c r="B802" s="23">
        <v>1</v>
      </c>
      <c r="C802" s="125">
        <f t="shared" si="12"/>
        <v>794</v>
      </c>
      <c r="D802" s="122">
        <v>791</v>
      </c>
      <c r="E802" s="121" t="s">
        <v>2711</v>
      </c>
      <c r="F802" s="123" t="s">
        <v>2118</v>
      </c>
      <c r="G802" s="124">
        <v>0</v>
      </c>
      <c r="H802" s="121"/>
    </row>
    <row r="803" spans="2:8">
      <c r="B803" s="23">
        <v>1</v>
      </c>
      <c r="C803" s="125">
        <f t="shared" si="12"/>
        <v>795</v>
      </c>
      <c r="D803" s="122">
        <v>792</v>
      </c>
      <c r="E803" s="121" t="s">
        <v>2712</v>
      </c>
      <c r="F803" s="123" t="s">
        <v>74</v>
      </c>
      <c r="G803" s="124">
        <v>0</v>
      </c>
      <c r="H803" s="121"/>
    </row>
    <row r="804" spans="2:8">
      <c r="B804" s="23">
        <v>1</v>
      </c>
      <c r="C804" s="125">
        <f t="shared" si="12"/>
        <v>796</v>
      </c>
      <c r="D804" s="122">
        <v>793</v>
      </c>
      <c r="E804" s="121" t="s">
        <v>2713</v>
      </c>
      <c r="F804" s="123" t="s">
        <v>74</v>
      </c>
      <c r="G804" s="124">
        <v>0</v>
      </c>
      <c r="H804" s="121"/>
    </row>
    <row r="805" spans="2:8">
      <c r="B805" s="23">
        <v>1</v>
      </c>
      <c r="C805" s="125">
        <f t="shared" si="12"/>
        <v>797</v>
      </c>
      <c r="D805" s="122">
        <v>794</v>
      </c>
      <c r="E805" s="121" t="s">
        <v>2714</v>
      </c>
      <c r="F805" s="123" t="s">
        <v>74</v>
      </c>
      <c r="G805" s="124">
        <v>0</v>
      </c>
      <c r="H805" s="121"/>
    </row>
    <row r="806" spans="2:8">
      <c r="B806" s="23">
        <v>1</v>
      </c>
      <c r="C806" s="125">
        <f t="shared" si="12"/>
        <v>798</v>
      </c>
      <c r="D806" s="122">
        <v>795</v>
      </c>
      <c r="E806" s="121" t="s">
        <v>2715</v>
      </c>
      <c r="F806" s="123" t="s">
        <v>74</v>
      </c>
      <c r="G806" s="124">
        <v>0</v>
      </c>
      <c r="H806" s="121"/>
    </row>
    <row r="807" spans="2:8">
      <c r="B807" s="23">
        <v>1</v>
      </c>
      <c r="C807" s="125">
        <f t="shared" si="12"/>
        <v>799</v>
      </c>
      <c r="D807" s="122">
        <v>796</v>
      </c>
      <c r="E807" s="121" t="s">
        <v>434</v>
      </c>
      <c r="F807" s="123" t="s">
        <v>74</v>
      </c>
      <c r="G807" s="124">
        <v>0</v>
      </c>
      <c r="H807" s="121"/>
    </row>
    <row r="808" spans="2:8">
      <c r="B808" s="23">
        <v>1</v>
      </c>
      <c r="C808" s="125">
        <f t="shared" si="12"/>
        <v>800</v>
      </c>
      <c r="D808" s="122">
        <v>797</v>
      </c>
      <c r="E808" s="121" t="s">
        <v>509</v>
      </c>
      <c r="F808" s="123" t="s">
        <v>74</v>
      </c>
      <c r="G808" s="124">
        <v>0</v>
      </c>
      <c r="H808" s="121"/>
    </row>
    <row r="809" spans="2:8">
      <c r="B809" s="23">
        <v>1</v>
      </c>
      <c r="C809" s="125">
        <f t="shared" si="12"/>
        <v>801</v>
      </c>
      <c r="D809" s="122">
        <v>798</v>
      </c>
      <c r="E809" s="121" t="s">
        <v>487</v>
      </c>
      <c r="F809" s="123" t="s">
        <v>74</v>
      </c>
      <c r="G809" s="124">
        <v>0</v>
      </c>
      <c r="H809" s="121"/>
    </row>
    <row r="810" spans="2:8">
      <c r="B810" s="23">
        <v>1</v>
      </c>
      <c r="C810" s="125">
        <f t="shared" si="12"/>
        <v>802</v>
      </c>
      <c r="D810" s="122">
        <v>799</v>
      </c>
      <c r="E810" s="121" t="s">
        <v>2716</v>
      </c>
      <c r="F810" s="123" t="s">
        <v>74</v>
      </c>
      <c r="G810" s="124">
        <v>0</v>
      </c>
      <c r="H810" s="121"/>
    </row>
    <row r="811" spans="2:8">
      <c r="B811" s="23">
        <v>1</v>
      </c>
      <c r="C811" s="125">
        <f t="shared" si="12"/>
        <v>803</v>
      </c>
      <c r="D811" s="122">
        <v>800</v>
      </c>
      <c r="E811" s="121" t="s">
        <v>2717</v>
      </c>
      <c r="F811" s="123" t="s">
        <v>74</v>
      </c>
      <c r="G811" s="124">
        <v>0</v>
      </c>
      <c r="H811" s="121"/>
    </row>
    <row r="812" spans="2:8">
      <c r="B812" s="23">
        <v>1</v>
      </c>
      <c r="C812" s="125">
        <f t="shared" si="12"/>
        <v>804</v>
      </c>
      <c r="D812" s="122">
        <v>801</v>
      </c>
      <c r="E812" s="121" t="s">
        <v>2718</v>
      </c>
      <c r="F812" s="123" t="s">
        <v>74</v>
      </c>
      <c r="G812" s="124">
        <v>0</v>
      </c>
      <c r="H812" s="121"/>
    </row>
    <row r="813" spans="2:8">
      <c r="B813" s="23">
        <v>1</v>
      </c>
      <c r="C813" s="125">
        <f t="shared" si="12"/>
        <v>805</v>
      </c>
      <c r="D813" s="122">
        <v>802</v>
      </c>
      <c r="E813" s="121" t="s">
        <v>2719</v>
      </c>
      <c r="F813" s="123" t="s">
        <v>74</v>
      </c>
      <c r="G813" s="124">
        <v>0</v>
      </c>
      <c r="H813" s="121"/>
    </row>
    <row r="814" spans="2:8">
      <c r="B814" s="23">
        <v>1</v>
      </c>
      <c r="C814" s="125">
        <f t="shared" si="12"/>
        <v>806</v>
      </c>
      <c r="D814" s="122">
        <v>803</v>
      </c>
      <c r="E814" s="121" t="s">
        <v>2720</v>
      </c>
      <c r="F814" s="123" t="s">
        <v>74</v>
      </c>
      <c r="G814" s="124">
        <v>0</v>
      </c>
      <c r="H814" s="121"/>
    </row>
    <row r="815" spans="2:8">
      <c r="B815" s="23">
        <v>1</v>
      </c>
      <c r="C815" s="125">
        <f t="shared" si="12"/>
        <v>807</v>
      </c>
      <c r="D815" s="122">
        <v>804</v>
      </c>
      <c r="E815" s="121" t="s">
        <v>2721</v>
      </c>
      <c r="F815" s="123" t="s">
        <v>74</v>
      </c>
      <c r="G815" s="124">
        <v>0</v>
      </c>
      <c r="H815" s="121"/>
    </row>
    <row r="816" spans="2:8">
      <c r="B816" s="23">
        <v>1</v>
      </c>
      <c r="C816" s="125">
        <f t="shared" si="12"/>
        <v>808</v>
      </c>
      <c r="D816" s="122">
        <v>805</v>
      </c>
      <c r="E816" s="121" t="s">
        <v>2722</v>
      </c>
      <c r="F816" s="123" t="s">
        <v>57</v>
      </c>
      <c r="G816" s="124">
        <v>0</v>
      </c>
      <c r="H816" s="121"/>
    </row>
    <row r="817" spans="1:8">
      <c r="B817" s="23">
        <v>1</v>
      </c>
      <c r="C817" s="125">
        <f t="shared" si="12"/>
        <v>809</v>
      </c>
      <c r="D817" s="122">
        <v>806</v>
      </c>
      <c r="E817" s="121" t="s">
        <v>2723</v>
      </c>
      <c r="F817" s="123" t="s">
        <v>57</v>
      </c>
      <c r="G817" s="124">
        <v>0</v>
      </c>
      <c r="H817" s="121"/>
    </row>
    <row r="818" spans="1:8">
      <c r="B818" s="23">
        <v>1</v>
      </c>
      <c r="C818" s="125">
        <f t="shared" si="12"/>
        <v>810</v>
      </c>
      <c r="D818" s="122">
        <v>807</v>
      </c>
      <c r="E818" s="121" t="s">
        <v>229</v>
      </c>
      <c r="F818" s="123" t="s">
        <v>57</v>
      </c>
      <c r="G818" s="124">
        <v>0</v>
      </c>
      <c r="H818" s="121"/>
    </row>
    <row r="819" spans="1:8">
      <c r="B819" s="23">
        <v>1</v>
      </c>
      <c r="C819" s="125">
        <f t="shared" si="12"/>
        <v>811</v>
      </c>
      <c r="D819" s="122">
        <v>808</v>
      </c>
      <c r="E819" s="121" t="s">
        <v>2724</v>
      </c>
      <c r="F819" s="123" t="s">
        <v>57</v>
      </c>
      <c r="G819" s="124">
        <v>0</v>
      </c>
      <c r="H819" s="121"/>
    </row>
    <row r="820" spans="1:8">
      <c r="B820" s="23">
        <v>1</v>
      </c>
      <c r="C820" s="125">
        <f t="shared" si="12"/>
        <v>812</v>
      </c>
      <c r="D820" s="122">
        <v>809</v>
      </c>
      <c r="E820" s="121" t="s">
        <v>2725</v>
      </c>
      <c r="F820" s="123" t="s">
        <v>57</v>
      </c>
      <c r="G820" s="124">
        <v>0</v>
      </c>
      <c r="H820" s="121"/>
    </row>
    <row r="821" spans="1:8">
      <c r="B821" s="23">
        <v>1</v>
      </c>
      <c r="C821" s="125">
        <f t="shared" si="12"/>
        <v>813</v>
      </c>
      <c r="D821" s="122">
        <v>810</v>
      </c>
      <c r="E821" s="121" t="s">
        <v>2726</v>
      </c>
      <c r="F821" s="123" t="s">
        <v>74</v>
      </c>
      <c r="G821" s="124">
        <v>0</v>
      </c>
      <c r="H821" s="121"/>
    </row>
    <row r="822" spans="1:8">
      <c r="B822" s="23">
        <v>1</v>
      </c>
      <c r="C822" s="125">
        <f t="shared" si="12"/>
        <v>814</v>
      </c>
      <c r="D822" s="122">
        <v>811</v>
      </c>
      <c r="E822" s="121" t="s">
        <v>2727</v>
      </c>
      <c r="F822" s="123" t="s">
        <v>87</v>
      </c>
      <c r="G822" s="124">
        <v>0</v>
      </c>
      <c r="H822" s="121"/>
    </row>
    <row r="823" spans="1:8">
      <c r="B823" s="23">
        <v>1</v>
      </c>
      <c r="C823" s="125">
        <f t="shared" si="12"/>
        <v>815</v>
      </c>
      <c r="D823" s="122">
        <v>812</v>
      </c>
      <c r="E823" s="121" t="s">
        <v>2728</v>
      </c>
      <c r="F823" s="123" t="s">
        <v>87</v>
      </c>
      <c r="G823" s="124">
        <v>0</v>
      </c>
      <c r="H823" s="121"/>
    </row>
    <row r="824" spans="1:8">
      <c r="B824" s="23">
        <v>1</v>
      </c>
      <c r="C824" s="125">
        <f t="shared" si="12"/>
        <v>816</v>
      </c>
      <c r="D824" s="122">
        <v>813</v>
      </c>
      <c r="E824" s="121" t="s">
        <v>2729</v>
      </c>
      <c r="F824" s="123" t="s">
        <v>87</v>
      </c>
      <c r="G824" s="124">
        <v>0</v>
      </c>
      <c r="H824" s="121"/>
    </row>
    <row r="825" spans="1:8">
      <c r="B825" s="23">
        <v>1</v>
      </c>
      <c r="C825" s="125">
        <f t="shared" si="12"/>
        <v>817</v>
      </c>
      <c r="D825" s="122">
        <v>814</v>
      </c>
      <c r="E825" s="121" t="s">
        <v>2730</v>
      </c>
      <c r="F825" s="123" t="s">
        <v>87</v>
      </c>
      <c r="G825" s="124">
        <v>0</v>
      </c>
      <c r="H825" s="121"/>
    </row>
    <row r="826" spans="1:8">
      <c r="B826" s="23">
        <v>1</v>
      </c>
      <c r="C826" s="125">
        <f t="shared" si="12"/>
        <v>818</v>
      </c>
      <c r="D826" s="122">
        <v>815</v>
      </c>
      <c r="E826" s="121" t="s">
        <v>2731</v>
      </c>
      <c r="F826" s="123" t="s">
        <v>87</v>
      </c>
      <c r="G826" s="124">
        <v>0</v>
      </c>
      <c r="H826" s="121"/>
    </row>
    <row r="827" spans="1:8">
      <c r="B827" s="23">
        <v>1</v>
      </c>
      <c r="C827" s="125">
        <f t="shared" si="12"/>
        <v>819</v>
      </c>
      <c r="D827" s="122">
        <v>816</v>
      </c>
      <c r="E827" s="121" t="s">
        <v>2732</v>
      </c>
      <c r="F827" s="123" t="s">
        <v>87</v>
      </c>
      <c r="G827" s="124">
        <v>0</v>
      </c>
      <c r="H827" s="121"/>
    </row>
    <row r="828" spans="1:8">
      <c r="B828" s="23">
        <v>1</v>
      </c>
      <c r="C828" s="125">
        <f t="shared" si="12"/>
        <v>820</v>
      </c>
      <c r="D828" s="122">
        <v>817</v>
      </c>
      <c r="E828" s="121" t="s">
        <v>2733</v>
      </c>
      <c r="F828" s="123" t="s">
        <v>87</v>
      </c>
      <c r="G828" s="124">
        <v>0</v>
      </c>
      <c r="H828" s="121"/>
    </row>
    <row r="829" spans="1:8">
      <c r="B829" s="23">
        <v>1</v>
      </c>
      <c r="C829" s="125">
        <f t="shared" si="12"/>
        <v>821</v>
      </c>
      <c r="D829" s="122">
        <v>818</v>
      </c>
      <c r="E829" s="121" t="s">
        <v>2734</v>
      </c>
      <c r="F829" s="123" t="s">
        <v>380</v>
      </c>
      <c r="G829" s="124">
        <v>0</v>
      </c>
      <c r="H829" s="121"/>
    </row>
    <row r="830" spans="1:8" hidden="1">
      <c r="A830" s="23">
        <v>1</v>
      </c>
      <c r="B830" s="23">
        <v>1</v>
      </c>
      <c r="C830" s="125">
        <f t="shared" si="12"/>
        <v>822</v>
      </c>
      <c r="D830" s="122">
        <v>819</v>
      </c>
      <c r="E830" s="121" t="s">
        <v>2735</v>
      </c>
      <c r="F830" s="123" t="s">
        <v>170</v>
      </c>
      <c r="G830" s="124">
        <v>0</v>
      </c>
      <c r="H830" s="121"/>
    </row>
    <row r="831" spans="1:8" hidden="1">
      <c r="A831" s="23">
        <v>1</v>
      </c>
      <c r="B831" s="23">
        <v>1</v>
      </c>
      <c r="C831" s="125">
        <f t="shared" si="12"/>
        <v>823</v>
      </c>
      <c r="D831" s="122">
        <v>820</v>
      </c>
      <c r="E831" s="121" t="s">
        <v>2736</v>
      </c>
      <c r="F831" s="123" t="s">
        <v>170</v>
      </c>
      <c r="G831" s="124">
        <v>0</v>
      </c>
      <c r="H831" s="121"/>
    </row>
    <row r="832" spans="1:8" hidden="1">
      <c r="A832" s="23">
        <v>1</v>
      </c>
      <c r="B832" s="23">
        <v>1</v>
      </c>
      <c r="C832" s="125">
        <f t="shared" si="12"/>
        <v>824</v>
      </c>
      <c r="D832" s="122">
        <v>821</v>
      </c>
      <c r="E832" s="121" t="s">
        <v>2737</v>
      </c>
      <c r="F832" s="123" t="s">
        <v>170</v>
      </c>
      <c r="G832" s="124">
        <v>0</v>
      </c>
      <c r="H832" s="121"/>
    </row>
    <row r="833" spans="1:8" hidden="1">
      <c r="A833" s="23">
        <v>1</v>
      </c>
      <c r="B833" s="23">
        <v>1</v>
      </c>
      <c r="C833" s="125">
        <f t="shared" si="12"/>
        <v>825</v>
      </c>
      <c r="D833" s="122">
        <v>822</v>
      </c>
      <c r="E833" s="121" t="s">
        <v>2738</v>
      </c>
      <c r="F833" s="123" t="s">
        <v>170</v>
      </c>
      <c r="G833" s="124">
        <v>0</v>
      </c>
      <c r="H833" s="121"/>
    </row>
    <row r="834" spans="1:8">
      <c r="B834" s="23">
        <v>1</v>
      </c>
      <c r="C834" s="125">
        <f t="shared" si="12"/>
        <v>826</v>
      </c>
      <c r="D834" s="122">
        <v>823</v>
      </c>
      <c r="E834" s="121" t="s">
        <v>2739</v>
      </c>
      <c r="F834" s="123" t="s">
        <v>128</v>
      </c>
      <c r="G834" s="124">
        <v>0</v>
      </c>
      <c r="H834" s="121"/>
    </row>
    <row r="835" spans="1:8">
      <c r="B835" s="23">
        <v>1</v>
      </c>
      <c r="C835" s="125">
        <f t="shared" si="12"/>
        <v>827</v>
      </c>
      <c r="D835" s="122">
        <v>824</v>
      </c>
      <c r="E835" s="121" t="s">
        <v>2740</v>
      </c>
      <c r="F835" s="123" t="s">
        <v>364</v>
      </c>
      <c r="G835" s="124">
        <v>0</v>
      </c>
      <c r="H835" s="121"/>
    </row>
    <row r="836" spans="1:8">
      <c r="B836" s="23">
        <v>1</v>
      </c>
      <c r="C836" s="125">
        <f t="shared" si="12"/>
        <v>828</v>
      </c>
      <c r="D836" s="122">
        <v>825</v>
      </c>
      <c r="E836" s="121" t="s">
        <v>2741</v>
      </c>
      <c r="F836" s="123" t="s">
        <v>2742</v>
      </c>
      <c r="G836" s="124">
        <v>0</v>
      </c>
      <c r="H836" s="121"/>
    </row>
    <row r="837" spans="1:8">
      <c r="B837" s="23">
        <v>1</v>
      </c>
      <c r="C837" s="125">
        <f t="shared" si="12"/>
        <v>829</v>
      </c>
      <c r="D837" s="122">
        <v>826</v>
      </c>
      <c r="E837" s="121" t="s">
        <v>2743</v>
      </c>
      <c r="F837" s="123" t="s">
        <v>57</v>
      </c>
      <c r="G837" s="124">
        <v>0</v>
      </c>
      <c r="H837" s="121"/>
    </row>
    <row r="838" spans="1:8">
      <c r="B838" s="23">
        <v>1</v>
      </c>
      <c r="C838" s="125">
        <f t="shared" si="12"/>
        <v>830</v>
      </c>
      <c r="D838" s="122">
        <v>827</v>
      </c>
      <c r="E838" s="121" t="s">
        <v>2744</v>
      </c>
      <c r="F838" s="123" t="s">
        <v>57</v>
      </c>
      <c r="G838" s="124">
        <v>0</v>
      </c>
      <c r="H838" s="121"/>
    </row>
    <row r="839" spans="1:8">
      <c r="B839" s="23">
        <v>1</v>
      </c>
      <c r="C839" s="125">
        <f t="shared" si="12"/>
        <v>831</v>
      </c>
      <c r="D839" s="122">
        <v>828</v>
      </c>
      <c r="E839" s="121" t="s">
        <v>2745</v>
      </c>
      <c r="F839" s="123" t="s">
        <v>2746</v>
      </c>
      <c r="G839" s="124">
        <v>0</v>
      </c>
      <c r="H839" s="121"/>
    </row>
    <row r="840" spans="1:8">
      <c r="B840" s="23">
        <v>1</v>
      </c>
      <c r="C840" s="125">
        <f t="shared" si="12"/>
        <v>832</v>
      </c>
      <c r="D840" s="122">
        <v>829</v>
      </c>
      <c r="E840" s="121" t="s">
        <v>2747</v>
      </c>
      <c r="F840" s="123" t="s">
        <v>57</v>
      </c>
      <c r="G840" s="124">
        <v>0</v>
      </c>
      <c r="H840" s="121"/>
    </row>
    <row r="841" spans="1:8">
      <c r="B841" s="23">
        <v>1</v>
      </c>
      <c r="C841" s="125">
        <f t="shared" si="12"/>
        <v>833</v>
      </c>
      <c r="D841" s="122">
        <v>830</v>
      </c>
      <c r="E841" s="121" t="s">
        <v>2748</v>
      </c>
      <c r="F841" s="123" t="s">
        <v>364</v>
      </c>
      <c r="G841" s="124">
        <v>0</v>
      </c>
      <c r="H841" s="121"/>
    </row>
    <row r="842" spans="1:8" hidden="1">
      <c r="A842" s="23">
        <v>1</v>
      </c>
      <c r="B842" s="23">
        <v>1</v>
      </c>
      <c r="C842" s="125">
        <f t="shared" si="12"/>
        <v>834</v>
      </c>
      <c r="D842" s="122">
        <v>831</v>
      </c>
      <c r="E842" s="121" t="s">
        <v>2749</v>
      </c>
      <c r="F842" s="123" t="s">
        <v>57</v>
      </c>
      <c r="G842" s="124">
        <v>0</v>
      </c>
      <c r="H842" s="121"/>
    </row>
    <row r="843" spans="1:8">
      <c r="B843" s="23">
        <v>1</v>
      </c>
      <c r="C843" s="125">
        <f t="shared" si="12"/>
        <v>835</v>
      </c>
      <c r="D843" s="122">
        <v>832</v>
      </c>
      <c r="E843" s="121" t="s">
        <v>2750</v>
      </c>
      <c r="F843" s="123" t="s">
        <v>57</v>
      </c>
      <c r="G843" s="124">
        <v>0</v>
      </c>
      <c r="H843" s="121"/>
    </row>
    <row r="844" spans="1:8">
      <c r="B844" s="23">
        <v>1</v>
      </c>
      <c r="C844" s="125">
        <f t="shared" si="12"/>
        <v>836</v>
      </c>
      <c r="D844" s="122">
        <v>833</v>
      </c>
      <c r="E844" s="121" t="s">
        <v>2751</v>
      </c>
      <c r="F844" s="123" t="s">
        <v>57</v>
      </c>
      <c r="G844" s="124">
        <v>0</v>
      </c>
      <c r="H844" s="121"/>
    </row>
    <row r="845" spans="1:8">
      <c r="B845" s="23">
        <v>1</v>
      </c>
      <c r="C845" s="125">
        <f t="shared" si="12"/>
        <v>837</v>
      </c>
      <c r="D845" s="122">
        <v>834</v>
      </c>
      <c r="E845" s="121" t="s">
        <v>2752</v>
      </c>
      <c r="F845" s="123" t="s">
        <v>57</v>
      </c>
      <c r="G845" s="124">
        <v>0</v>
      </c>
      <c r="H845" s="121"/>
    </row>
    <row r="846" spans="1:8" hidden="1">
      <c r="A846" s="23">
        <v>1</v>
      </c>
      <c r="B846" s="23">
        <v>1</v>
      </c>
      <c r="C846" s="125">
        <f t="shared" si="12"/>
        <v>838</v>
      </c>
      <c r="D846" s="122">
        <v>835</v>
      </c>
      <c r="E846" s="121" t="s">
        <v>2753</v>
      </c>
      <c r="F846" s="123" t="s">
        <v>170</v>
      </c>
      <c r="G846" s="124">
        <v>0</v>
      </c>
      <c r="H846" s="121"/>
    </row>
    <row r="847" spans="1:8">
      <c r="B847" s="23">
        <v>1</v>
      </c>
      <c r="C847" s="125">
        <f t="shared" ref="C847:C910" si="13">+C846+1</f>
        <v>839</v>
      </c>
      <c r="D847" s="122">
        <v>836</v>
      </c>
      <c r="E847" s="121" t="s">
        <v>2754</v>
      </c>
      <c r="F847" s="123" t="s">
        <v>63</v>
      </c>
      <c r="G847" s="124">
        <v>0</v>
      </c>
      <c r="H847" s="121"/>
    </row>
    <row r="848" spans="1:8">
      <c r="B848" s="23">
        <v>1</v>
      </c>
      <c r="C848" s="125">
        <f t="shared" si="13"/>
        <v>840</v>
      </c>
      <c r="D848" s="122">
        <v>837</v>
      </c>
      <c r="E848" s="121" t="s">
        <v>2755</v>
      </c>
      <c r="F848" s="123" t="s">
        <v>380</v>
      </c>
      <c r="G848" s="124">
        <v>0</v>
      </c>
      <c r="H848" s="121"/>
    </row>
    <row r="849" spans="1:8">
      <c r="B849" s="23">
        <v>1</v>
      </c>
      <c r="C849" s="125">
        <f t="shared" si="13"/>
        <v>841</v>
      </c>
      <c r="D849" s="122">
        <v>838</v>
      </c>
      <c r="E849" s="121" t="s">
        <v>2756</v>
      </c>
      <c r="F849" s="123" t="s">
        <v>268</v>
      </c>
      <c r="G849" s="124">
        <v>0</v>
      </c>
      <c r="H849" s="121"/>
    </row>
    <row r="850" spans="1:8">
      <c r="B850" s="23">
        <v>1</v>
      </c>
      <c r="C850" s="125">
        <f t="shared" si="13"/>
        <v>842</v>
      </c>
      <c r="D850" s="122">
        <v>839</v>
      </c>
      <c r="E850" s="121" t="s">
        <v>2757</v>
      </c>
      <c r="F850" s="123" t="s">
        <v>1964</v>
      </c>
      <c r="G850" s="124">
        <v>0</v>
      </c>
      <c r="H850" s="121"/>
    </row>
    <row r="851" spans="1:8">
      <c r="B851" s="23">
        <v>1</v>
      </c>
      <c r="C851" s="125">
        <f t="shared" si="13"/>
        <v>843</v>
      </c>
      <c r="D851" s="122">
        <v>840</v>
      </c>
      <c r="E851" s="121" t="s">
        <v>2758</v>
      </c>
      <c r="F851" s="123" t="s">
        <v>391</v>
      </c>
      <c r="G851" s="124">
        <v>0</v>
      </c>
      <c r="H851" s="121"/>
    </row>
    <row r="852" spans="1:8">
      <c r="B852" s="23">
        <v>1</v>
      </c>
      <c r="C852" s="125">
        <f t="shared" si="13"/>
        <v>844</v>
      </c>
      <c r="D852" s="122">
        <v>841</v>
      </c>
      <c r="E852" s="121" t="s">
        <v>2759</v>
      </c>
      <c r="F852" s="123" t="s">
        <v>391</v>
      </c>
      <c r="G852" s="124">
        <v>0</v>
      </c>
      <c r="H852" s="121"/>
    </row>
    <row r="853" spans="1:8">
      <c r="B853" s="23">
        <v>1</v>
      </c>
      <c r="C853" s="125">
        <f t="shared" si="13"/>
        <v>845</v>
      </c>
      <c r="D853" s="122">
        <v>842</v>
      </c>
      <c r="E853" s="121" t="s">
        <v>2760</v>
      </c>
      <c r="F853" s="123" t="s">
        <v>57</v>
      </c>
      <c r="G853" s="124">
        <v>0</v>
      </c>
      <c r="H853" s="121"/>
    </row>
    <row r="854" spans="1:8">
      <c r="B854" s="23">
        <v>1</v>
      </c>
      <c r="C854" s="125">
        <f t="shared" si="13"/>
        <v>846</v>
      </c>
      <c r="D854" s="122">
        <v>843</v>
      </c>
      <c r="E854" s="121" t="s">
        <v>2761</v>
      </c>
      <c r="F854" s="123" t="s">
        <v>128</v>
      </c>
      <c r="G854" s="124">
        <v>0</v>
      </c>
      <c r="H854" s="121"/>
    </row>
    <row r="855" spans="1:8">
      <c r="B855" s="23">
        <v>1</v>
      </c>
      <c r="C855" s="125">
        <f t="shared" si="13"/>
        <v>847</v>
      </c>
      <c r="D855" s="122">
        <v>844</v>
      </c>
      <c r="E855" s="121" t="s">
        <v>2762</v>
      </c>
      <c r="F855" s="123" t="s">
        <v>128</v>
      </c>
      <c r="G855" s="124">
        <v>0</v>
      </c>
      <c r="H855" s="121"/>
    </row>
    <row r="856" spans="1:8">
      <c r="B856" s="23">
        <v>1</v>
      </c>
      <c r="C856" s="125">
        <f t="shared" si="13"/>
        <v>848</v>
      </c>
      <c r="D856" s="122">
        <v>845</v>
      </c>
      <c r="E856" s="121" t="s">
        <v>2763</v>
      </c>
      <c r="F856" s="123" t="s">
        <v>128</v>
      </c>
      <c r="G856" s="124">
        <v>0</v>
      </c>
      <c r="H856" s="121"/>
    </row>
    <row r="857" spans="1:8">
      <c r="B857" s="23">
        <v>1</v>
      </c>
      <c r="C857" s="125">
        <f t="shared" si="13"/>
        <v>849</v>
      </c>
      <c r="D857" s="122">
        <v>846</v>
      </c>
      <c r="E857" s="121" t="s">
        <v>2764</v>
      </c>
      <c r="F857" s="123" t="s">
        <v>57</v>
      </c>
      <c r="G857" s="124">
        <v>0</v>
      </c>
      <c r="H857" s="121"/>
    </row>
    <row r="858" spans="1:8">
      <c r="B858" s="23">
        <v>1</v>
      </c>
      <c r="C858" s="125">
        <f t="shared" si="13"/>
        <v>850</v>
      </c>
      <c r="D858" s="122">
        <v>847</v>
      </c>
      <c r="E858" s="121" t="s">
        <v>2765</v>
      </c>
      <c r="F858" s="123" t="s">
        <v>380</v>
      </c>
      <c r="G858" s="124">
        <v>0</v>
      </c>
      <c r="H858" s="121"/>
    </row>
    <row r="859" spans="1:8">
      <c r="B859" s="23">
        <v>1</v>
      </c>
      <c r="C859" s="125">
        <f t="shared" si="13"/>
        <v>851</v>
      </c>
      <c r="D859" s="122">
        <v>848</v>
      </c>
      <c r="E859" s="121" t="s">
        <v>2766</v>
      </c>
      <c r="F859" s="123" t="s">
        <v>268</v>
      </c>
      <c r="G859" s="124">
        <v>0</v>
      </c>
      <c r="H859" s="121"/>
    </row>
    <row r="860" spans="1:8">
      <c r="B860" s="23">
        <v>1</v>
      </c>
      <c r="C860" s="125">
        <f t="shared" si="13"/>
        <v>852</v>
      </c>
      <c r="D860" s="122">
        <v>849</v>
      </c>
      <c r="E860" s="121" t="s">
        <v>2767</v>
      </c>
      <c r="F860" s="123" t="s">
        <v>268</v>
      </c>
      <c r="G860" s="124">
        <v>0</v>
      </c>
      <c r="H860" s="121"/>
    </row>
    <row r="861" spans="1:8">
      <c r="B861" s="23">
        <v>1</v>
      </c>
      <c r="C861" s="125">
        <f t="shared" si="13"/>
        <v>853</v>
      </c>
      <c r="D861" s="122">
        <v>850</v>
      </c>
      <c r="E861" s="121" t="s">
        <v>2768</v>
      </c>
      <c r="F861" s="123" t="s">
        <v>156</v>
      </c>
      <c r="G861" s="124">
        <v>0</v>
      </c>
      <c r="H861" s="121"/>
    </row>
    <row r="862" spans="1:8">
      <c r="B862" s="23">
        <v>1</v>
      </c>
      <c r="C862" s="125">
        <f t="shared" si="13"/>
        <v>854</v>
      </c>
      <c r="D862" s="122">
        <v>851</v>
      </c>
      <c r="E862" s="121" t="s">
        <v>2769</v>
      </c>
      <c r="F862" s="123" t="s">
        <v>268</v>
      </c>
      <c r="G862" s="124">
        <v>0</v>
      </c>
      <c r="H862" s="121"/>
    </row>
    <row r="863" spans="1:8" hidden="1">
      <c r="A863" s="23">
        <v>1</v>
      </c>
      <c r="B863" s="23">
        <v>1</v>
      </c>
      <c r="C863" s="125">
        <f t="shared" si="13"/>
        <v>855</v>
      </c>
      <c r="D863" s="122">
        <v>852</v>
      </c>
      <c r="E863" s="121" t="s">
        <v>2770</v>
      </c>
      <c r="F863" s="123" t="s">
        <v>170</v>
      </c>
      <c r="G863" s="124">
        <v>0</v>
      </c>
      <c r="H863" s="121"/>
    </row>
    <row r="864" spans="1:8">
      <c r="B864" s="23">
        <v>1</v>
      </c>
      <c r="C864" s="125">
        <f t="shared" si="13"/>
        <v>856</v>
      </c>
      <c r="D864" s="122">
        <v>853</v>
      </c>
      <c r="E864" s="121" t="s">
        <v>2771</v>
      </c>
      <c r="F864" s="123" t="s">
        <v>57</v>
      </c>
      <c r="G864" s="124">
        <v>0</v>
      </c>
      <c r="H864" s="121"/>
    </row>
    <row r="865" spans="1:8">
      <c r="B865" s="23">
        <v>1</v>
      </c>
      <c r="C865" s="125">
        <f t="shared" si="13"/>
        <v>857</v>
      </c>
      <c r="D865" s="122">
        <v>854</v>
      </c>
      <c r="E865" s="121" t="s">
        <v>2772</v>
      </c>
      <c r="F865" s="123" t="s">
        <v>220</v>
      </c>
      <c r="G865" s="124">
        <v>0</v>
      </c>
      <c r="H865" s="121"/>
    </row>
    <row r="866" spans="1:8">
      <c r="B866" s="23">
        <v>1</v>
      </c>
      <c r="C866" s="125">
        <f t="shared" si="13"/>
        <v>858</v>
      </c>
      <c r="D866" s="122">
        <v>855</v>
      </c>
      <c r="E866" s="121" t="s">
        <v>2773</v>
      </c>
      <c r="F866" s="123" t="s">
        <v>220</v>
      </c>
      <c r="G866" s="124">
        <v>0</v>
      </c>
      <c r="H866" s="121"/>
    </row>
    <row r="867" spans="1:8">
      <c r="B867" s="23">
        <v>1</v>
      </c>
      <c r="C867" s="125">
        <f t="shared" si="13"/>
        <v>859</v>
      </c>
      <c r="D867" s="122">
        <v>856</v>
      </c>
      <c r="E867" s="121" t="s">
        <v>105</v>
      </c>
      <c r="F867" s="123" t="s">
        <v>170</v>
      </c>
      <c r="G867" s="124">
        <v>0</v>
      </c>
      <c r="H867" s="121"/>
    </row>
    <row r="868" spans="1:8">
      <c r="B868" s="23">
        <v>1</v>
      </c>
      <c r="C868" s="125">
        <f t="shared" si="13"/>
        <v>860</v>
      </c>
      <c r="D868" s="122">
        <v>857</v>
      </c>
      <c r="E868" s="121" t="s">
        <v>2774</v>
      </c>
      <c r="F868" s="123" t="s">
        <v>124</v>
      </c>
      <c r="G868" s="124">
        <v>0</v>
      </c>
      <c r="H868" s="121"/>
    </row>
    <row r="869" spans="1:8">
      <c r="B869" s="23">
        <v>1</v>
      </c>
      <c r="C869" s="125">
        <f t="shared" si="13"/>
        <v>861</v>
      </c>
      <c r="D869" s="122">
        <v>858</v>
      </c>
      <c r="E869" s="121" t="s">
        <v>2775</v>
      </c>
      <c r="F869" s="123" t="s">
        <v>124</v>
      </c>
      <c r="G869" s="124">
        <v>0</v>
      </c>
      <c r="H869" s="121"/>
    </row>
    <row r="870" spans="1:8">
      <c r="B870" s="23">
        <v>1</v>
      </c>
      <c r="C870" s="125">
        <f t="shared" si="13"/>
        <v>862</v>
      </c>
      <c r="D870" s="122">
        <v>859</v>
      </c>
      <c r="E870" s="121" t="s">
        <v>2776</v>
      </c>
      <c r="F870" s="123" t="s">
        <v>124</v>
      </c>
      <c r="G870" s="124">
        <v>0</v>
      </c>
      <c r="H870" s="121"/>
    </row>
    <row r="871" spans="1:8">
      <c r="B871" s="23">
        <v>1</v>
      </c>
      <c r="C871" s="125">
        <f t="shared" si="13"/>
        <v>863</v>
      </c>
      <c r="D871" s="122">
        <v>860</v>
      </c>
      <c r="E871" s="121" t="s">
        <v>2777</v>
      </c>
      <c r="F871" s="123" t="s">
        <v>124</v>
      </c>
      <c r="G871" s="124">
        <v>0</v>
      </c>
      <c r="H871" s="121"/>
    </row>
    <row r="872" spans="1:8">
      <c r="B872" s="23">
        <v>1</v>
      </c>
      <c r="C872" s="125">
        <f t="shared" si="13"/>
        <v>864</v>
      </c>
      <c r="D872" s="122">
        <v>861</v>
      </c>
      <c r="E872" s="121" t="s">
        <v>2778</v>
      </c>
      <c r="F872" s="123" t="s">
        <v>156</v>
      </c>
      <c r="G872" s="124">
        <v>0</v>
      </c>
      <c r="H872" s="121"/>
    </row>
    <row r="873" spans="1:8">
      <c r="B873" s="23">
        <v>1</v>
      </c>
      <c r="C873" s="125">
        <f t="shared" si="13"/>
        <v>865</v>
      </c>
      <c r="D873" s="122">
        <v>862</v>
      </c>
      <c r="E873" s="121" t="s">
        <v>2779</v>
      </c>
      <c r="F873" s="123" t="s">
        <v>124</v>
      </c>
      <c r="G873" s="124">
        <v>0</v>
      </c>
      <c r="H873" s="121"/>
    </row>
    <row r="874" spans="1:8">
      <c r="B874" s="23">
        <v>1</v>
      </c>
      <c r="C874" s="125">
        <f t="shared" si="13"/>
        <v>866</v>
      </c>
      <c r="D874" s="122">
        <v>863</v>
      </c>
      <c r="E874" s="121" t="s">
        <v>2780</v>
      </c>
      <c r="F874" s="123" t="s">
        <v>63</v>
      </c>
      <c r="G874" s="124">
        <v>0</v>
      </c>
      <c r="H874" s="121"/>
    </row>
    <row r="875" spans="1:8">
      <c r="B875" s="23">
        <v>1</v>
      </c>
      <c r="C875" s="125">
        <f t="shared" si="13"/>
        <v>867</v>
      </c>
      <c r="D875" s="122">
        <v>864</v>
      </c>
      <c r="E875" s="121" t="s">
        <v>2781</v>
      </c>
      <c r="F875" s="123" t="s">
        <v>2746</v>
      </c>
      <c r="G875" s="124">
        <v>0</v>
      </c>
      <c r="H875" s="121"/>
    </row>
    <row r="876" spans="1:8">
      <c r="B876" s="23">
        <v>1</v>
      </c>
      <c r="C876" s="125">
        <f t="shared" si="13"/>
        <v>868</v>
      </c>
      <c r="D876" s="122">
        <v>865</v>
      </c>
      <c r="E876" s="121" t="s">
        <v>2782</v>
      </c>
      <c r="F876" s="123" t="s">
        <v>1964</v>
      </c>
      <c r="G876" s="124">
        <v>0</v>
      </c>
      <c r="H876" s="121"/>
    </row>
    <row r="877" spans="1:8" hidden="1">
      <c r="A877" s="23">
        <v>1</v>
      </c>
      <c r="B877" s="23">
        <v>1</v>
      </c>
      <c r="C877" s="125">
        <f t="shared" si="13"/>
        <v>869</v>
      </c>
      <c r="D877" s="122">
        <v>866</v>
      </c>
      <c r="E877" s="121" t="s">
        <v>2783</v>
      </c>
      <c r="F877" s="123" t="s">
        <v>170</v>
      </c>
      <c r="G877" s="124">
        <v>0</v>
      </c>
      <c r="H877" s="121"/>
    </row>
    <row r="878" spans="1:8" hidden="1">
      <c r="A878" s="23">
        <v>1</v>
      </c>
      <c r="B878" s="23">
        <v>1</v>
      </c>
      <c r="C878" s="125">
        <f t="shared" si="13"/>
        <v>870</v>
      </c>
      <c r="D878" s="122">
        <v>867</v>
      </c>
      <c r="E878" s="121" t="s">
        <v>2784</v>
      </c>
      <c r="F878" s="123" t="s">
        <v>170</v>
      </c>
      <c r="G878" s="124">
        <v>0</v>
      </c>
      <c r="H878" s="121"/>
    </row>
    <row r="879" spans="1:8">
      <c r="B879" s="23">
        <v>1</v>
      </c>
      <c r="C879" s="125">
        <f t="shared" si="13"/>
        <v>871</v>
      </c>
      <c r="D879" s="122">
        <v>868</v>
      </c>
      <c r="E879" s="121" t="s">
        <v>2785</v>
      </c>
      <c r="F879" s="123" t="s">
        <v>170</v>
      </c>
      <c r="G879" s="124">
        <v>0</v>
      </c>
      <c r="H879" s="121"/>
    </row>
    <row r="880" spans="1:8" hidden="1">
      <c r="A880" s="23">
        <v>1</v>
      </c>
      <c r="B880" s="23">
        <v>1</v>
      </c>
      <c r="C880" s="125">
        <f t="shared" si="13"/>
        <v>872</v>
      </c>
      <c r="D880" s="122">
        <v>869</v>
      </c>
      <c r="E880" s="121" t="s">
        <v>2786</v>
      </c>
      <c r="F880" s="123" t="s">
        <v>170</v>
      </c>
      <c r="G880" s="124">
        <v>0</v>
      </c>
      <c r="H880" s="121"/>
    </row>
    <row r="881" spans="1:8">
      <c r="B881" s="23">
        <v>1</v>
      </c>
      <c r="C881" s="125">
        <f t="shared" si="13"/>
        <v>873</v>
      </c>
      <c r="D881" s="122">
        <v>870</v>
      </c>
      <c r="E881" s="121" t="s">
        <v>2787</v>
      </c>
      <c r="F881" s="123" t="s">
        <v>124</v>
      </c>
      <c r="G881" s="124">
        <v>0</v>
      </c>
      <c r="H881" s="121"/>
    </row>
    <row r="882" spans="1:8">
      <c r="B882" s="23">
        <v>1</v>
      </c>
      <c r="C882" s="125">
        <f t="shared" si="13"/>
        <v>874</v>
      </c>
      <c r="D882" s="122">
        <v>871</v>
      </c>
      <c r="E882" s="121" t="s">
        <v>2788</v>
      </c>
      <c r="F882" s="123" t="s">
        <v>391</v>
      </c>
      <c r="G882" s="124">
        <v>0</v>
      </c>
      <c r="H882" s="121"/>
    </row>
    <row r="883" spans="1:8">
      <c r="B883" s="23">
        <v>1</v>
      </c>
      <c r="C883" s="125">
        <f t="shared" si="13"/>
        <v>875</v>
      </c>
      <c r="D883" s="122">
        <v>872</v>
      </c>
      <c r="E883" s="121" t="s">
        <v>2789</v>
      </c>
      <c r="F883" s="123" t="s">
        <v>124</v>
      </c>
      <c r="G883" s="124">
        <v>0</v>
      </c>
      <c r="H883" s="121"/>
    </row>
    <row r="884" spans="1:8">
      <c r="B884" s="23">
        <v>1</v>
      </c>
      <c r="C884" s="125">
        <f t="shared" si="13"/>
        <v>876</v>
      </c>
      <c r="D884" s="122">
        <v>873</v>
      </c>
      <c r="E884" s="121" t="s">
        <v>2790</v>
      </c>
      <c r="F884" s="123" t="s">
        <v>57</v>
      </c>
      <c r="G884" s="124">
        <v>0</v>
      </c>
      <c r="H884" s="121"/>
    </row>
    <row r="885" spans="1:8">
      <c r="B885" s="23">
        <v>1</v>
      </c>
      <c r="C885" s="125">
        <f t="shared" si="13"/>
        <v>877</v>
      </c>
      <c r="D885" s="122">
        <v>874</v>
      </c>
      <c r="E885" s="121" t="s">
        <v>2791</v>
      </c>
      <c r="F885" s="123" t="s">
        <v>57</v>
      </c>
      <c r="G885" s="124">
        <v>0</v>
      </c>
      <c r="H885" s="121"/>
    </row>
    <row r="886" spans="1:8" hidden="1">
      <c r="A886" s="23">
        <v>1</v>
      </c>
      <c r="B886" s="23">
        <v>1</v>
      </c>
      <c r="C886" s="125">
        <f t="shared" si="13"/>
        <v>878</v>
      </c>
      <c r="D886" s="122">
        <v>875</v>
      </c>
      <c r="E886" s="121" t="s">
        <v>2792</v>
      </c>
      <c r="F886" s="123" t="s">
        <v>170</v>
      </c>
      <c r="G886" s="124">
        <v>0</v>
      </c>
      <c r="H886" s="121"/>
    </row>
    <row r="887" spans="1:8">
      <c r="B887" s="23">
        <v>1</v>
      </c>
      <c r="C887" s="125">
        <f t="shared" si="13"/>
        <v>879</v>
      </c>
      <c r="D887" s="122">
        <v>876</v>
      </c>
      <c r="E887" s="121" t="s">
        <v>2793</v>
      </c>
      <c r="F887" s="123" t="s">
        <v>57</v>
      </c>
      <c r="G887" s="124">
        <v>0</v>
      </c>
      <c r="H887" s="121"/>
    </row>
    <row r="888" spans="1:8">
      <c r="B888" s="23">
        <v>1</v>
      </c>
      <c r="C888" s="125">
        <f t="shared" si="13"/>
        <v>880</v>
      </c>
      <c r="D888" s="122">
        <v>877</v>
      </c>
      <c r="E888" s="121" t="s">
        <v>2794</v>
      </c>
      <c r="F888" s="123" t="s">
        <v>128</v>
      </c>
      <c r="G888" s="124">
        <v>0</v>
      </c>
      <c r="H888" s="121"/>
    </row>
    <row r="889" spans="1:8">
      <c r="B889" s="23">
        <v>1</v>
      </c>
      <c r="C889" s="125">
        <f t="shared" si="13"/>
        <v>881</v>
      </c>
      <c r="D889" s="122">
        <v>878</v>
      </c>
      <c r="E889" s="121" t="s">
        <v>2795</v>
      </c>
      <c r="F889" s="123" t="s">
        <v>124</v>
      </c>
      <c r="G889" s="124">
        <v>0</v>
      </c>
      <c r="H889" s="121"/>
    </row>
    <row r="890" spans="1:8">
      <c r="B890" s="23">
        <v>1</v>
      </c>
      <c r="C890" s="125">
        <f t="shared" si="13"/>
        <v>882</v>
      </c>
      <c r="D890" s="122">
        <v>879</v>
      </c>
      <c r="E890" s="121" t="s">
        <v>2796</v>
      </c>
      <c r="F890" s="123" t="s">
        <v>124</v>
      </c>
      <c r="G890" s="124">
        <v>0</v>
      </c>
      <c r="H890" s="121"/>
    </row>
    <row r="891" spans="1:8">
      <c r="B891" s="23">
        <v>1</v>
      </c>
      <c r="C891" s="125">
        <f t="shared" si="13"/>
        <v>883</v>
      </c>
      <c r="D891" s="122">
        <v>880</v>
      </c>
      <c r="E891" s="121" t="s">
        <v>2797</v>
      </c>
      <c r="F891" s="123" t="s">
        <v>124</v>
      </c>
      <c r="G891" s="124">
        <v>0</v>
      </c>
      <c r="H891" s="121"/>
    </row>
    <row r="892" spans="1:8">
      <c r="B892" s="23">
        <v>1</v>
      </c>
      <c r="C892" s="125">
        <f t="shared" si="13"/>
        <v>884</v>
      </c>
      <c r="D892" s="122">
        <v>881</v>
      </c>
      <c r="E892" s="121" t="s">
        <v>2798</v>
      </c>
      <c r="F892" s="123" t="s">
        <v>124</v>
      </c>
      <c r="G892" s="124">
        <v>0</v>
      </c>
      <c r="H892" s="121"/>
    </row>
    <row r="893" spans="1:8">
      <c r="B893" s="23">
        <v>1</v>
      </c>
      <c r="C893" s="125">
        <f t="shared" si="13"/>
        <v>885</v>
      </c>
      <c r="D893" s="122">
        <v>882</v>
      </c>
      <c r="E893" s="121" t="s">
        <v>2799</v>
      </c>
      <c r="F893" s="123" t="s">
        <v>124</v>
      </c>
      <c r="G893" s="124">
        <v>0</v>
      </c>
      <c r="H893" s="121"/>
    </row>
    <row r="894" spans="1:8">
      <c r="B894" s="23">
        <v>1</v>
      </c>
      <c r="C894" s="125">
        <f t="shared" si="13"/>
        <v>886</v>
      </c>
      <c r="D894" s="122">
        <v>883</v>
      </c>
      <c r="E894" s="121" t="s">
        <v>2800</v>
      </c>
      <c r="F894" s="123" t="s">
        <v>124</v>
      </c>
      <c r="G894" s="124">
        <v>0</v>
      </c>
      <c r="H894" s="121"/>
    </row>
    <row r="895" spans="1:8">
      <c r="B895" s="23">
        <v>1</v>
      </c>
      <c r="C895" s="125">
        <f t="shared" si="13"/>
        <v>887</v>
      </c>
      <c r="D895" s="122">
        <v>884</v>
      </c>
      <c r="E895" s="121" t="s">
        <v>2801</v>
      </c>
      <c r="F895" s="123" t="s">
        <v>2802</v>
      </c>
      <c r="G895" s="124">
        <v>0</v>
      </c>
      <c r="H895" s="121"/>
    </row>
    <row r="896" spans="1:8">
      <c r="B896" s="23">
        <v>1</v>
      </c>
      <c r="C896" s="125">
        <f t="shared" si="13"/>
        <v>888</v>
      </c>
      <c r="D896" s="122">
        <v>885</v>
      </c>
      <c r="E896" s="121" t="s">
        <v>2803</v>
      </c>
      <c r="F896" s="123" t="s">
        <v>2802</v>
      </c>
      <c r="G896" s="124">
        <v>0</v>
      </c>
      <c r="H896" s="121"/>
    </row>
    <row r="897" spans="1:8">
      <c r="B897" s="23">
        <v>1</v>
      </c>
      <c r="C897" s="125">
        <f t="shared" si="13"/>
        <v>889</v>
      </c>
      <c r="D897" s="122">
        <v>886</v>
      </c>
      <c r="E897" s="121" t="s">
        <v>2804</v>
      </c>
      <c r="F897" s="123" t="s">
        <v>2805</v>
      </c>
      <c r="G897" s="124">
        <v>0</v>
      </c>
      <c r="H897" s="121"/>
    </row>
    <row r="898" spans="1:8">
      <c r="B898" s="23">
        <v>1</v>
      </c>
      <c r="C898" s="125">
        <f t="shared" si="13"/>
        <v>890</v>
      </c>
      <c r="D898" s="122">
        <v>887</v>
      </c>
      <c r="E898" s="121" t="s">
        <v>2806</v>
      </c>
      <c r="F898" s="123" t="s">
        <v>57</v>
      </c>
      <c r="G898" s="124">
        <v>0</v>
      </c>
      <c r="H898" s="121"/>
    </row>
    <row r="899" spans="1:8">
      <c r="B899" s="23">
        <v>1</v>
      </c>
      <c r="C899" s="125">
        <f t="shared" si="13"/>
        <v>891</v>
      </c>
      <c r="D899" s="122">
        <v>888</v>
      </c>
      <c r="E899" s="121" t="s">
        <v>2807</v>
      </c>
      <c r="F899" s="123" t="s">
        <v>74</v>
      </c>
      <c r="G899" s="124">
        <v>0</v>
      </c>
      <c r="H899" s="121"/>
    </row>
    <row r="900" spans="1:8">
      <c r="B900" s="23">
        <v>1</v>
      </c>
      <c r="C900" s="125">
        <f t="shared" si="13"/>
        <v>892</v>
      </c>
      <c r="D900" s="122">
        <v>889</v>
      </c>
      <c r="E900" s="121" t="s">
        <v>2808</v>
      </c>
      <c r="F900" s="123" t="s">
        <v>124</v>
      </c>
      <c r="G900" s="124">
        <v>0</v>
      </c>
      <c r="H900" s="121"/>
    </row>
    <row r="901" spans="1:8">
      <c r="B901" s="23">
        <v>1</v>
      </c>
      <c r="C901" s="125">
        <f t="shared" si="13"/>
        <v>893</v>
      </c>
      <c r="D901" s="122">
        <v>890</v>
      </c>
      <c r="E901" s="121" t="s">
        <v>2809</v>
      </c>
      <c r="F901" s="123" t="s">
        <v>124</v>
      </c>
      <c r="G901" s="124">
        <v>0</v>
      </c>
      <c r="H901" s="121"/>
    </row>
    <row r="902" spans="1:8">
      <c r="B902" s="23">
        <v>1</v>
      </c>
      <c r="C902" s="125">
        <f t="shared" si="13"/>
        <v>894</v>
      </c>
      <c r="D902" s="122">
        <v>891</v>
      </c>
      <c r="E902" s="121" t="s">
        <v>2810</v>
      </c>
      <c r="F902" s="123" t="s">
        <v>57</v>
      </c>
      <c r="G902" s="124">
        <v>0</v>
      </c>
      <c r="H902" s="121"/>
    </row>
    <row r="903" spans="1:8">
      <c r="B903" s="23">
        <v>1</v>
      </c>
      <c r="C903" s="125">
        <f t="shared" si="13"/>
        <v>895</v>
      </c>
      <c r="D903" s="122">
        <v>892</v>
      </c>
      <c r="E903" s="121" t="s">
        <v>2811</v>
      </c>
      <c r="F903" s="123" t="s">
        <v>57</v>
      </c>
      <c r="G903" s="124">
        <v>0</v>
      </c>
      <c r="H903" s="121"/>
    </row>
    <row r="904" spans="1:8" hidden="1">
      <c r="A904" s="23">
        <v>1</v>
      </c>
      <c r="B904" s="23">
        <v>1</v>
      </c>
      <c r="C904" s="125">
        <f t="shared" si="13"/>
        <v>896</v>
      </c>
      <c r="D904" s="122">
        <v>893</v>
      </c>
      <c r="E904" s="121" t="s">
        <v>2812</v>
      </c>
      <c r="F904" s="123" t="s">
        <v>1959</v>
      </c>
      <c r="G904" s="124">
        <v>0</v>
      </c>
      <c r="H904" s="121"/>
    </row>
    <row r="905" spans="1:8" hidden="1">
      <c r="A905" s="23">
        <v>1</v>
      </c>
      <c r="B905" s="23">
        <v>1</v>
      </c>
      <c r="C905" s="125">
        <f t="shared" si="13"/>
        <v>897</v>
      </c>
      <c r="D905" s="122">
        <v>894</v>
      </c>
      <c r="E905" s="121" t="s">
        <v>2813</v>
      </c>
      <c r="F905" s="123" t="s">
        <v>1959</v>
      </c>
      <c r="G905" s="124">
        <v>0</v>
      </c>
      <c r="H905" s="121"/>
    </row>
    <row r="906" spans="1:8" hidden="1">
      <c r="A906" s="23">
        <v>1</v>
      </c>
      <c r="B906" s="23">
        <v>1</v>
      </c>
      <c r="C906" s="125">
        <f t="shared" si="13"/>
        <v>898</v>
      </c>
      <c r="D906" s="122">
        <v>895</v>
      </c>
      <c r="E906" s="121" t="s">
        <v>2814</v>
      </c>
      <c r="F906" s="123" t="s">
        <v>1959</v>
      </c>
      <c r="G906" s="124">
        <v>0</v>
      </c>
      <c r="H906" s="121"/>
    </row>
    <row r="907" spans="1:8">
      <c r="B907" s="23">
        <v>1</v>
      </c>
      <c r="C907" s="125">
        <f t="shared" si="13"/>
        <v>899</v>
      </c>
      <c r="D907" s="122">
        <v>896</v>
      </c>
      <c r="E907" s="121" t="s">
        <v>2815</v>
      </c>
      <c r="F907" s="123" t="s">
        <v>57</v>
      </c>
      <c r="G907" s="124">
        <v>0</v>
      </c>
      <c r="H907" s="121"/>
    </row>
    <row r="908" spans="1:8">
      <c r="B908" s="23">
        <v>1</v>
      </c>
      <c r="C908" s="125">
        <f t="shared" si="13"/>
        <v>900</v>
      </c>
      <c r="D908" s="122">
        <v>897</v>
      </c>
      <c r="E908" s="121" t="s">
        <v>2816</v>
      </c>
      <c r="F908" s="123" t="s">
        <v>57</v>
      </c>
      <c r="G908" s="124">
        <v>0</v>
      </c>
      <c r="H908" s="121"/>
    </row>
    <row r="909" spans="1:8">
      <c r="B909" s="23">
        <v>1</v>
      </c>
      <c r="C909" s="125">
        <f t="shared" si="13"/>
        <v>901</v>
      </c>
      <c r="D909" s="122">
        <v>898</v>
      </c>
      <c r="E909" s="121" t="s">
        <v>2817</v>
      </c>
      <c r="F909" s="123" t="s">
        <v>1959</v>
      </c>
      <c r="G909" s="124">
        <v>0</v>
      </c>
      <c r="H909" s="121"/>
    </row>
    <row r="910" spans="1:8">
      <c r="B910" s="23">
        <v>1</v>
      </c>
      <c r="C910" s="125">
        <f t="shared" si="13"/>
        <v>902</v>
      </c>
      <c r="D910" s="122">
        <v>899</v>
      </c>
      <c r="E910" s="121" t="s">
        <v>2818</v>
      </c>
      <c r="F910" s="123" t="s">
        <v>57</v>
      </c>
      <c r="G910" s="124">
        <v>0</v>
      </c>
      <c r="H910" s="121"/>
    </row>
    <row r="911" spans="1:8">
      <c r="B911" s="23">
        <v>1</v>
      </c>
      <c r="C911" s="125">
        <f t="shared" ref="C911:C974" si="14">+C910+1</f>
        <v>903</v>
      </c>
      <c r="D911" s="122">
        <v>900</v>
      </c>
      <c r="E911" s="121" t="s">
        <v>2819</v>
      </c>
      <c r="F911" s="123" t="s">
        <v>57</v>
      </c>
      <c r="G911" s="124">
        <v>0</v>
      </c>
      <c r="H911" s="121"/>
    </row>
    <row r="912" spans="1:8">
      <c r="B912" s="23">
        <v>1</v>
      </c>
      <c r="C912" s="125">
        <f t="shared" si="14"/>
        <v>904</v>
      </c>
      <c r="D912" s="122">
        <v>901</v>
      </c>
      <c r="E912" s="121" t="s">
        <v>2820</v>
      </c>
      <c r="F912" s="123" t="s">
        <v>57</v>
      </c>
      <c r="G912" s="124">
        <v>0</v>
      </c>
      <c r="H912" s="121"/>
    </row>
    <row r="913" spans="2:8">
      <c r="B913" s="23">
        <v>1</v>
      </c>
      <c r="C913" s="125">
        <f t="shared" si="14"/>
        <v>905</v>
      </c>
      <c r="D913" s="122">
        <v>902</v>
      </c>
      <c r="E913" s="121" t="s">
        <v>2821</v>
      </c>
      <c r="F913" s="123" t="s">
        <v>1997</v>
      </c>
      <c r="G913" s="124">
        <v>0</v>
      </c>
      <c r="H913" s="121"/>
    </row>
    <row r="914" spans="2:8">
      <c r="B914" s="23">
        <v>1</v>
      </c>
      <c r="C914" s="125">
        <f t="shared" si="14"/>
        <v>906</v>
      </c>
      <c r="D914" s="122">
        <v>903</v>
      </c>
      <c r="E914" s="121" t="s">
        <v>2822</v>
      </c>
      <c r="F914" s="123" t="s">
        <v>87</v>
      </c>
      <c r="G914" s="124">
        <v>0</v>
      </c>
      <c r="H914" s="121"/>
    </row>
    <row r="915" spans="2:8">
      <c r="B915" s="23">
        <v>1</v>
      </c>
      <c r="C915" s="125">
        <f t="shared" si="14"/>
        <v>907</v>
      </c>
      <c r="D915" s="122">
        <v>904</v>
      </c>
      <c r="E915" s="121" t="s">
        <v>2823</v>
      </c>
      <c r="F915" s="123" t="s">
        <v>87</v>
      </c>
      <c r="G915" s="124">
        <v>0</v>
      </c>
      <c r="H915" s="121"/>
    </row>
    <row r="916" spans="2:8">
      <c r="B916" s="23">
        <v>1</v>
      </c>
      <c r="C916" s="125">
        <f t="shared" si="14"/>
        <v>908</v>
      </c>
      <c r="D916" s="122">
        <v>905</v>
      </c>
      <c r="E916" s="121" t="s">
        <v>2824</v>
      </c>
      <c r="F916" s="123" t="s">
        <v>87</v>
      </c>
      <c r="G916" s="124">
        <v>0</v>
      </c>
      <c r="H916" s="121"/>
    </row>
    <row r="917" spans="2:8">
      <c r="B917" s="23">
        <v>1</v>
      </c>
      <c r="C917" s="125">
        <f t="shared" si="14"/>
        <v>909</v>
      </c>
      <c r="D917" s="122">
        <v>906</v>
      </c>
      <c r="E917" s="121" t="s">
        <v>2825</v>
      </c>
      <c r="F917" s="123" t="s">
        <v>87</v>
      </c>
      <c r="G917" s="124">
        <v>0</v>
      </c>
      <c r="H917" s="121"/>
    </row>
    <row r="918" spans="2:8">
      <c r="B918" s="23">
        <v>1</v>
      </c>
      <c r="C918" s="125">
        <f t="shared" si="14"/>
        <v>910</v>
      </c>
      <c r="D918" s="122">
        <v>907</v>
      </c>
      <c r="E918" s="121" t="s">
        <v>2826</v>
      </c>
      <c r="F918" s="123" t="s">
        <v>87</v>
      </c>
      <c r="G918" s="124">
        <v>0</v>
      </c>
      <c r="H918" s="121"/>
    </row>
    <row r="919" spans="2:8">
      <c r="B919" s="23">
        <v>1</v>
      </c>
      <c r="C919" s="125">
        <f t="shared" si="14"/>
        <v>911</v>
      </c>
      <c r="D919" s="122">
        <v>908</v>
      </c>
      <c r="E919" s="121" t="s">
        <v>2827</v>
      </c>
      <c r="F919" s="123" t="s">
        <v>87</v>
      </c>
      <c r="G919" s="124">
        <v>0</v>
      </c>
      <c r="H919" s="121"/>
    </row>
    <row r="920" spans="2:8">
      <c r="B920" s="23">
        <v>1</v>
      </c>
      <c r="C920" s="125">
        <f t="shared" si="14"/>
        <v>912</v>
      </c>
      <c r="D920" s="122">
        <v>909</v>
      </c>
      <c r="E920" s="121" t="s">
        <v>2828</v>
      </c>
      <c r="F920" s="123" t="s">
        <v>87</v>
      </c>
      <c r="G920" s="124">
        <v>0</v>
      </c>
      <c r="H920" s="121"/>
    </row>
    <row r="921" spans="2:8">
      <c r="B921" s="23">
        <v>1</v>
      </c>
      <c r="C921" s="125">
        <f t="shared" si="14"/>
        <v>913</v>
      </c>
      <c r="D921" s="122">
        <v>910</v>
      </c>
      <c r="E921" s="121" t="s">
        <v>2829</v>
      </c>
      <c r="F921" s="123" t="s">
        <v>87</v>
      </c>
      <c r="G921" s="124">
        <v>0</v>
      </c>
      <c r="H921" s="121"/>
    </row>
    <row r="922" spans="2:8">
      <c r="B922" s="23">
        <v>1</v>
      </c>
      <c r="C922" s="125">
        <f t="shared" si="14"/>
        <v>914</v>
      </c>
      <c r="D922" s="122">
        <v>911</v>
      </c>
      <c r="E922" s="121" t="s">
        <v>2830</v>
      </c>
      <c r="F922" s="123" t="s">
        <v>87</v>
      </c>
      <c r="G922" s="124">
        <v>0</v>
      </c>
      <c r="H922" s="121"/>
    </row>
    <row r="923" spans="2:8">
      <c r="B923" s="23">
        <v>1</v>
      </c>
      <c r="C923" s="125">
        <f t="shared" si="14"/>
        <v>915</v>
      </c>
      <c r="D923" s="122">
        <v>912</v>
      </c>
      <c r="E923" s="121" t="s">
        <v>2831</v>
      </c>
      <c r="F923" s="123" t="s">
        <v>87</v>
      </c>
      <c r="G923" s="124">
        <v>0</v>
      </c>
      <c r="H923" s="121"/>
    </row>
    <row r="924" spans="2:8">
      <c r="B924" s="23">
        <v>1</v>
      </c>
      <c r="C924" s="125">
        <f t="shared" si="14"/>
        <v>916</v>
      </c>
      <c r="D924" s="122">
        <v>913</v>
      </c>
      <c r="E924" s="121" t="s">
        <v>2832</v>
      </c>
      <c r="F924" s="123" t="s">
        <v>87</v>
      </c>
      <c r="G924" s="124">
        <v>0</v>
      </c>
      <c r="H924" s="121"/>
    </row>
    <row r="925" spans="2:8">
      <c r="B925" s="23">
        <v>1</v>
      </c>
      <c r="C925" s="125">
        <f t="shared" si="14"/>
        <v>917</v>
      </c>
      <c r="D925" s="122">
        <v>914</v>
      </c>
      <c r="E925" s="121" t="s">
        <v>2833</v>
      </c>
      <c r="F925" s="123" t="s">
        <v>87</v>
      </c>
      <c r="G925" s="124">
        <v>0</v>
      </c>
      <c r="H925" s="121"/>
    </row>
    <row r="926" spans="2:8">
      <c r="B926" s="23">
        <v>1</v>
      </c>
      <c r="C926" s="125">
        <f t="shared" si="14"/>
        <v>918</v>
      </c>
      <c r="D926" s="122">
        <v>915</v>
      </c>
      <c r="E926" s="121" t="s">
        <v>2834</v>
      </c>
      <c r="F926" s="123" t="s">
        <v>87</v>
      </c>
      <c r="G926" s="124">
        <v>0</v>
      </c>
      <c r="H926" s="121"/>
    </row>
    <row r="927" spans="2:8">
      <c r="B927" s="23">
        <v>1</v>
      </c>
      <c r="C927" s="125">
        <f t="shared" si="14"/>
        <v>919</v>
      </c>
      <c r="D927" s="122">
        <v>916</v>
      </c>
      <c r="E927" s="121" t="s">
        <v>2835</v>
      </c>
      <c r="F927" s="123" t="s">
        <v>87</v>
      </c>
      <c r="G927" s="124">
        <v>0</v>
      </c>
      <c r="H927" s="121"/>
    </row>
    <row r="928" spans="2:8">
      <c r="B928" s="23">
        <v>1</v>
      </c>
      <c r="C928" s="125">
        <f t="shared" si="14"/>
        <v>920</v>
      </c>
      <c r="D928" s="122">
        <v>917</v>
      </c>
      <c r="E928" s="121" t="s">
        <v>2836</v>
      </c>
      <c r="F928" s="123" t="s">
        <v>87</v>
      </c>
      <c r="G928" s="124">
        <v>0</v>
      </c>
      <c r="H928" s="121"/>
    </row>
    <row r="929" spans="2:8">
      <c r="B929" s="23">
        <v>1</v>
      </c>
      <c r="C929" s="125">
        <f t="shared" si="14"/>
        <v>921</v>
      </c>
      <c r="D929" s="122">
        <v>918</v>
      </c>
      <c r="E929" s="121" t="s">
        <v>2837</v>
      </c>
      <c r="F929" s="123" t="s">
        <v>87</v>
      </c>
      <c r="G929" s="124">
        <v>0</v>
      </c>
      <c r="H929" s="121"/>
    </row>
    <row r="930" spans="2:8">
      <c r="B930" s="23">
        <v>1</v>
      </c>
      <c r="C930" s="125">
        <f t="shared" si="14"/>
        <v>922</v>
      </c>
      <c r="D930" s="122">
        <v>919</v>
      </c>
      <c r="E930" s="121" t="s">
        <v>2838</v>
      </c>
      <c r="F930" s="123" t="s">
        <v>87</v>
      </c>
      <c r="G930" s="124">
        <v>0</v>
      </c>
      <c r="H930" s="121"/>
    </row>
    <row r="931" spans="2:8">
      <c r="B931" s="23">
        <v>1</v>
      </c>
      <c r="C931" s="125">
        <f t="shared" si="14"/>
        <v>923</v>
      </c>
      <c r="D931" s="122">
        <v>920</v>
      </c>
      <c r="E931" s="121" t="s">
        <v>2839</v>
      </c>
      <c r="F931" s="123" t="s">
        <v>87</v>
      </c>
      <c r="G931" s="124">
        <v>0</v>
      </c>
      <c r="H931" s="121"/>
    </row>
    <row r="932" spans="2:8">
      <c r="B932" s="23">
        <v>1</v>
      </c>
      <c r="C932" s="125">
        <f t="shared" si="14"/>
        <v>924</v>
      </c>
      <c r="D932" s="122">
        <v>921</v>
      </c>
      <c r="E932" s="121" t="s">
        <v>2840</v>
      </c>
      <c r="F932" s="123" t="s">
        <v>87</v>
      </c>
      <c r="G932" s="124">
        <v>0</v>
      </c>
      <c r="H932" s="121"/>
    </row>
    <row r="933" spans="2:8">
      <c r="B933" s="23">
        <v>1</v>
      </c>
      <c r="C933" s="125">
        <f t="shared" si="14"/>
        <v>925</v>
      </c>
      <c r="D933" s="122">
        <v>922</v>
      </c>
      <c r="E933" s="121" t="s">
        <v>2841</v>
      </c>
      <c r="F933" s="123" t="s">
        <v>87</v>
      </c>
      <c r="G933" s="124">
        <v>0</v>
      </c>
      <c r="H933" s="121"/>
    </row>
    <row r="934" spans="2:8">
      <c r="B934" s="23">
        <v>1</v>
      </c>
      <c r="C934" s="125">
        <f t="shared" si="14"/>
        <v>926</v>
      </c>
      <c r="D934" s="122">
        <v>923</v>
      </c>
      <c r="E934" s="121" t="s">
        <v>2842</v>
      </c>
      <c r="F934" s="123" t="s">
        <v>87</v>
      </c>
      <c r="G934" s="124">
        <v>0</v>
      </c>
      <c r="H934" s="121"/>
    </row>
    <row r="935" spans="2:8">
      <c r="B935" s="23">
        <v>1</v>
      </c>
      <c r="C935" s="125">
        <f t="shared" si="14"/>
        <v>927</v>
      </c>
      <c r="D935" s="122">
        <v>924</v>
      </c>
      <c r="E935" s="121" t="s">
        <v>2843</v>
      </c>
      <c r="F935" s="123" t="s">
        <v>87</v>
      </c>
      <c r="G935" s="124">
        <v>0</v>
      </c>
      <c r="H935" s="121"/>
    </row>
    <row r="936" spans="2:8">
      <c r="B936" s="23">
        <v>1</v>
      </c>
      <c r="C936" s="125">
        <f t="shared" si="14"/>
        <v>928</v>
      </c>
      <c r="D936" s="122">
        <v>925</v>
      </c>
      <c r="E936" s="121" t="s">
        <v>2844</v>
      </c>
      <c r="F936" s="123" t="s">
        <v>87</v>
      </c>
      <c r="G936" s="124">
        <v>0</v>
      </c>
      <c r="H936" s="121"/>
    </row>
    <row r="937" spans="2:8">
      <c r="B937" s="23">
        <v>1</v>
      </c>
      <c r="C937" s="125">
        <f t="shared" si="14"/>
        <v>929</v>
      </c>
      <c r="D937" s="122">
        <v>926</v>
      </c>
      <c r="E937" s="121" t="s">
        <v>2845</v>
      </c>
      <c r="F937" s="123" t="s">
        <v>87</v>
      </c>
      <c r="G937" s="124">
        <v>0</v>
      </c>
      <c r="H937" s="121"/>
    </row>
    <row r="938" spans="2:8">
      <c r="B938" s="23">
        <v>1</v>
      </c>
      <c r="C938" s="125">
        <f t="shared" si="14"/>
        <v>930</v>
      </c>
      <c r="D938" s="122">
        <v>927</v>
      </c>
      <c r="E938" s="121" t="s">
        <v>2846</v>
      </c>
      <c r="F938" s="123" t="s">
        <v>87</v>
      </c>
      <c r="G938" s="124">
        <v>0</v>
      </c>
      <c r="H938" s="121"/>
    </row>
    <row r="939" spans="2:8">
      <c r="B939" s="23">
        <v>1</v>
      </c>
      <c r="C939" s="125">
        <f t="shared" si="14"/>
        <v>931</v>
      </c>
      <c r="D939" s="122">
        <v>928</v>
      </c>
      <c r="E939" s="121" t="s">
        <v>2847</v>
      </c>
      <c r="F939" s="123" t="s">
        <v>87</v>
      </c>
      <c r="G939" s="124">
        <v>0</v>
      </c>
      <c r="H939" s="121"/>
    </row>
    <row r="940" spans="2:8">
      <c r="B940" s="23">
        <v>1</v>
      </c>
      <c r="C940" s="125">
        <f t="shared" si="14"/>
        <v>932</v>
      </c>
      <c r="D940" s="122">
        <v>929</v>
      </c>
      <c r="E940" s="121" t="s">
        <v>2848</v>
      </c>
      <c r="F940" s="123" t="s">
        <v>87</v>
      </c>
      <c r="G940" s="124">
        <v>0</v>
      </c>
      <c r="H940" s="121"/>
    </row>
    <row r="941" spans="2:8">
      <c r="B941" s="23">
        <v>1</v>
      </c>
      <c r="C941" s="125">
        <f t="shared" si="14"/>
        <v>933</v>
      </c>
      <c r="D941" s="122">
        <v>930</v>
      </c>
      <c r="E941" s="121" t="s">
        <v>2849</v>
      </c>
      <c r="F941" s="123" t="s">
        <v>87</v>
      </c>
      <c r="G941" s="124">
        <v>0</v>
      </c>
      <c r="H941" s="121"/>
    </row>
    <row r="942" spans="2:8">
      <c r="B942" s="23">
        <v>1</v>
      </c>
      <c r="C942" s="125">
        <f t="shared" si="14"/>
        <v>934</v>
      </c>
      <c r="D942" s="122">
        <v>931</v>
      </c>
      <c r="E942" s="121" t="s">
        <v>2850</v>
      </c>
      <c r="F942" s="123" t="s">
        <v>87</v>
      </c>
      <c r="G942" s="124">
        <v>0</v>
      </c>
      <c r="H942" s="121"/>
    </row>
    <row r="943" spans="2:8">
      <c r="B943" s="23">
        <v>1</v>
      </c>
      <c r="C943" s="125">
        <f t="shared" si="14"/>
        <v>935</v>
      </c>
      <c r="D943" s="122">
        <v>932</v>
      </c>
      <c r="E943" s="121" t="s">
        <v>2851</v>
      </c>
      <c r="F943" s="123" t="s">
        <v>87</v>
      </c>
      <c r="G943" s="124">
        <v>0</v>
      </c>
      <c r="H943" s="121"/>
    </row>
    <row r="944" spans="2:8">
      <c r="B944" s="23">
        <v>1</v>
      </c>
      <c r="C944" s="125">
        <f t="shared" si="14"/>
        <v>936</v>
      </c>
      <c r="D944" s="122">
        <v>933</v>
      </c>
      <c r="E944" s="121" t="s">
        <v>2852</v>
      </c>
      <c r="F944" s="123" t="s">
        <v>87</v>
      </c>
      <c r="G944" s="124">
        <v>0</v>
      </c>
      <c r="H944" s="121"/>
    </row>
    <row r="945" spans="2:8">
      <c r="B945" s="23">
        <v>1</v>
      </c>
      <c r="C945" s="125">
        <f t="shared" si="14"/>
        <v>937</v>
      </c>
      <c r="D945" s="122">
        <v>934</v>
      </c>
      <c r="E945" s="121" t="s">
        <v>2853</v>
      </c>
      <c r="F945" s="123" t="s">
        <v>87</v>
      </c>
      <c r="G945" s="124">
        <v>0</v>
      </c>
      <c r="H945" s="121"/>
    </row>
    <row r="946" spans="2:8">
      <c r="B946" s="23">
        <v>1</v>
      </c>
      <c r="C946" s="125">
        <f t="shared" si="14"/>
        <v>938</v>
      </c>
      <c r="D946" s="122">
        <v>935</v>
      </c>
      <c r="E946" s="121" t="s">
        <v>2854</v>
      </c>
      <c r="F946" s="123" t="s">
        <v>87</v>
      </c>
      <c r="G946" s="124">
        <v>0</v>
      </c>
      <c r="H946" s="121"/>
    </row>
    <row r="947" spans="2:8">
      <c r="B947" s="23">
        <v>1</v>
      </c>
      <c r="C947" s="125">
        <f t="shared" si="14"/>
        <v>939</v>
      </c>
      <c r="D947" s="122">
        <v>936</v>
      </c>
      <c r="E947" s="121" t="s">
        <v>2855</v>
      </c>
      <c r="F947" s="123" t="s">
        <v>87</v>
      </c>
      <c r="G947" s="124">
        <v>0</v>
      </c>
      <c r="H947" s="121"/>
    </row>
    <row r="948" spans="2:8">
      <c r="B948" s="23">
        <v>1</v>
      </c>
      <c r="C948" s="125">
        <f t="shared" si="14"/>
        <v>940</v>
      </c>
      <c r="D948" s="122">
        <v>937</v>
      </c>
      <c r="E948" s="121" t="s">
        <v>2856</v>
      </c>
      <c r="F948" s="123" t="s">
        <v>87</v>
      </c>
      <c r="G948" s="124">
        <v>0</v>
      </c>
      <c r="H948" s="121"/>
    </row>
    <row r="949" spans="2:8">
      <c r="B949" s="23">
        <v>1</v>
      </c>
      <c r="C949" s="125">
        <f t="shared" si="14"/>
        <v>941</v>
      </c>
      <c r="D949" s="122">
        <v>938</v>
      </c>
      <c r="E949" s="121" t="s">
        <v>2857</v>
      </c>
      <c r="F949" s="123" t="s">
        <v>87</v>
      </c>
      <c r="G949" s="124">
        <v>0</v>
      </c>
      <c r="H949" s="121"/>
    </row>
    <row r="950" spans="2:8">
      <c r="B950" s="23">
        <v>1</v>
      </c>
      <c r="C950" s="125">
        <f t="shared" si="14"/>
        <v>942</v>
      </c>
      <c r="D950" s="122">
        <v>939</v>
      </c>
      <c r="E950" s="121" t="s">
        <v>2858</v>
      </c>
      <c r="F950" s="123" t="s">
        <v>87</v>
      </c>
      <c r="G950" s="124">
        <v>0</v>
      </c>
      <c r="H950" s="121"/>
    </row>
    <row r="951" spans="2:8">
      <c r="B951" s="23">
        <v>1</v>
      </c>
      <c r="C951" s="125">
        <f t="shared" si="14"/>
        <v>943</v>
      </c>
      <c r="D951" s="122">
        <v>940</v>
      </c>
      <c r="E951" s="121" t="s">
        <v>2859</v>
      </c>
      <c r="F951" s="123" t="s">
        <v>87</v>
      </c>
      <c r="G951" s="124">
        <v>0</v>
      </c>
      <c r="H951" s="121"/>
    </row>
    <row r="952" spans="2:8">
      <c r="B952" s="23">
        <v>1</v>
      </c>
      <c r="C952" s="125">
        <f t="shared" si="14"/>
        <v>944</v>
      </c>
      <c r="D952" s="122">
        <v>941</v>
      </c>
      <c r="E952" s="121" t="s">
        <v>2860</v>
      </c>
      <c r="F952" s="123" t="s">
        <v>87</v>
      </c>
      <c r="G952" s="124">
        <v>0</v>
      </c>
      <c r="H952" s="121"/>
    </row>
    <row r="953" spans="2:8">
      <c r="B953" s="23">
        <v>1</v>
      </c>
      <c r="C953" s="125">
        <f t="shared" si="14"/>
        <v>945</v>
      </c>
      <c r="D953" s="122">
        <v>942</v>
      </c>
      <c r="E953" s="121" t="s">
        <v>2861</v>
      </c>
      <c r="F953" s="123" t="s">
        <v>87</v>
      </c>
      <c r="G953" s="124">
        <v>0</v>
      </c>
      <c r="H953" s="121"/>
    </row>
    <row r="954" spans="2:8">
      <c r="B954" s="23">
        <v>1</v>
      </c>
      <c r="C954" s="125">
        <f t="shared" si="14"/>
        <v>946</v>
      </c>
      <c r="D954" s="122">
        <v>943</v>
      </c>
      <c r="E954" s="121" t="s">
        <v>2862</v>
      </c>
      <c r="F954" s="123" t="s">
        <v>87</v>
      </c>
      <c r="G954" s="124">
        <v>0</v>
      </c>
      <c r="H954" s="121"/>
    </row>
    <row r="955" spans="2:8">
      <c r="B955" s="23">
        <v>1</v>
      </c>
      <c r="C955" s="125">
        <f t="shared" si="14"/>
        <v>947</v>
      </c>
      <c r="D955" s="122">
        <v>944</v>
      </c>
      <c r="E955" s="121" t="s">
        <v>2863</v>
      </c>
      <c r="F955" s="123" t="s">
        <v>87</v>
      </c>
      <c r="G955" s="124">
        <v>0</v>
      </c>
      <c r="H955" s="121"/>
    </row>
    <row r="956" spans="2:8">
      <c r="B956" s="23">
        <v>1</v>
      </c>
      <c r="C956" s="125">
        <f t="shared" si="14"/>
        <v>948</v>
      </c>
      <c r="D956" s="122">
        <v>945</v>
      </c>
      <c r="E956" s="121" t="s">
        <v>2864</v>
      </c>
      <c r="F956" s="123" t="s">
        <v>87</v>
      </c>
      <c r="G956" s="124">
        <v>0</v>
      </c>
      <c r="H956" s="121"/>
    </row>
    <row r="957" spans="2:8">
      <c r="B957" s="23">
        <v>1</v>
      </c>
      <c r="C957" s="125">
        <f t="shared" si="14"/>
        <v>949</v>
      </c>
      <c r="D957" s="122">
        <v>946</v>
      </c>
      <c r="E957" s="121" t="s">
        <v>2865</v>
      </c>
      <c r="F957" s="123" t="s">
        <v>87</v>
      </c>
      <c r="G957" s="124">
        <v>0</v>
      </c>
      <c r="H957" s="121"/>
    </row>
    <row r="958" spans="2:8">
      <c r="B958" s="23">
        <v>1</v>
      </c>
      <c r="C958" s="125">
        <f t="shared" si="14"/>
        <v>950</v>
      </c>
      <c r="D958" s="122">
        <v>947</v>
      </c>
      <c r="E958" s="121" t="s">
        <v>2866</v>
      </c>
      <c r="F958" s="123" t="s">
        <v>87</v>
      </c>
      <c r="G958" s="124">
        <v>0</v>
      </c>
      <c r="H958" s="121"/>
    </row>
    <row r="959" spans="2:8">
      <c r="B959" s="23">
        <v>1</v>
      </c>
      <c r="C959" s="125">
        <f t="shared" si="14"/>
        <v>951</v>
      </c>
      <c r="D959" s="122">
        <v>948</v>
      </c>
      <c r="E959" s="121" t="s">
        <v>2867</v>
      </c>
      <c r="F959" s="123" t="s">
        <v>87</v>
      </c>
      <c r="G959" s="124">
        <v>0</v>
      </c>
      <c r="H959" s="121"/>
    </row>
    <row r="960" spans="2:8">
      <c r="B960" s="23">
        <v>1</v>
      </c>
      <c r="C960" s="125">
        <f t="shared" si="14"/>
        <v>952</v>
      </c>
      <c r="D960" s="122">
        <v>949</v>
      </c>
      <c r="E960" s="121" t="s">
        <v>2868</v>
      </c>
      <c r="F960" s="123" t="s">
        <v>87</v>
      </c>
      <c r="G960" s="124">
        <v>0</v>
      </c>
      <c r="H960" s="121"/>
    </row>
    <row r="961" spans="2:9">
      <c r="B961" s="23">
        <v>1</v>
      </c>
      <c r="C961" s="125">
        <f t="shared" si="14"/>
        <v>953</v>
      </c>
      <c r="D961" s="122">
        <v>950</v>
      </c>
      <c r="E961" s="121" t="s">
        <v>2869</v>
      </c>
      <c r="F961" s="123" t="s">
        <v>87</v>
      </c>
      <c r="G961" s="124">
        <v>0</v>
      </c>
      <c r="H961" s="121"/>
    </row>
    <row r="962" spans="2:9">
      <c r="B962" s="23">
        <v>1</v>
      </c>
      <c r="C962" s="125">
        <f t="shared" si="14"/>
        <v>954</v>
      </c>
      <c r="D962" s="122">
        <v>951</v>
      </c>
      <c r="E962" s="121" t="s">
        <v>2870</v>
      </c>
      <c r="F962" s="123" t="s">
        <v>87</v>
      </c>
      <c r="G962" s="124">
        <v>0</v>
      </c>
      <c r="H962" s="121"/>
    </row>
    <row r="963" spans="2:9">
      <c r="B963" s="23">
        <v>1</v>
      </c>
      <c r="C963" s="125">
        <f t="shared" si="14"/>
        <v>955</v>
      </c>
      <c r="D963" s="122">
        <v>952</v>
      </c>
      <c r="E963" s="121" t="s">
        <v>2871</v>
      </c>
      <c r="F963" s="123" t="s">
        <v>57</v>
      </c>
      <c r="G963" s="124">
        <v>0</v>
      </c>
      <c r="H963" s="121"/>
    </row>
    <row r="964" spans="2:9">
      <c r="B964" s="23">
        <v>1</v>
      </c>
      <c r="C964" s="125">
        <f t="shared" si="14"/>
        <v>956</v>
      </c>
      <c r="D964" s="122">
        <v>953</v>
      </c>
      <c r="E964" s="121" t="s">
        <v>253</v>
      </c>
      <c r="F964" s="123" t="s">
        <v>158</v>
      </c>
      <c r="G964" s="124">
        <v>0</v>
      </c>
      <c r="H964" s="121"/>
    </row>
    <row r="965" spans="2:9">
      <c r="B965" s="23">
        <v>1</v>
      </c>
      <c r="C965" s="125">
        <f t="shared" si="14"/>
        <v>957</v>
      </c>
      <c r="D965" s="122">
        <v>954</v>
      </c>
      <c r="E965" s="121" t="s">
        <v>2872</v>
      </c>
      <c r="F965" s="123" t="s">
        <v>57</v>
      </c>
      <c r="G965" s="124">
        <v>0</v>
      </c>
      <c r="H965" s="121"/>
    </row>
    <row r="966" spans="2:9">
      <c r="B966" s="23">
        <v>1</v>
      </c>
      <c r="C966" s="125">
        <f t="shared" si="14"/>
        <v>958</v>
      </c>
      <c r="D966" s="122">
        <v>955</v>
      </c>
      <c r="E966" s="121" t="s">
        <v>408</v>
      </c>
      <c r="F966" s="123" t="s">
        <v>74</v>
      </c>
      <c r="G966" s="124">
        <v>0</v>
      </c>
      <c r="H966" s="121"/>
    </row>
    <row r="967" spans="2:9">
      <c r="B967" s="23">
        <v>1</v>
      </c>
      <c r="C967" s="125">
        <f t="shared" si="14"/>
        <v>959</v>
      </c>
      <c r="D967" s="122">
        <v>956</v>
      </c>
      <c r="E967" s="121" t="s">
        <v>2885</v>
      </c>
      <c r="F967" s="123" t="s">
        <v>55</v>
      </c>
      <c r="G967" s="124">
        <v>0</v>
      </c>
      <c r="H967" s="121"/>
    </row>
    <row r="968" spans="2:9">
      <c r="B968" s="23">
        <v>1</v>
      </c>
      <c r="C968" s="125">
        <f t="shared" si="14"/>
        <v>960</v>
      </c>
      <c r="D968" s="122">
        <v>957</v>
      </c>
      <c r="E968" s="121" t="s">
        <v>2886</v>
      </c>
      <c r="F968" s="123" t="s">
        <v>57</v>
      </c>
      <c r="G968" s="124">
        <v>0</v>
      </c>
      <c r="H968" s="121"/>
    </row>
    <row r="969" spans="2:9">
      <c r="B969" s="23">
        <v>1</v>
      </c>
      <c r="C969" s="125">
        <f t="shared" si="14"/>
        <v>961</v>
      </c>
      <c r="D969" s="122">
        <v>958</v>
      </c>
      <c r="E969" s="121" t="s">
        <v>2887</v>
      </c>
      <c r="F969" s="123" t="s">
        <v>268</v>
      </c>
      <c r="G969" s="124">
        <v>0</v>
      </c>
      <c r="H969" s="121"/>
    </row>
    <row r="970" spans="2:9">
      <c r="B970" s="23">
        <v>1</v>
      </c>
      <c r="C970" s="125">
        <f t="shared" si="14"/>
        <v>962</v>
      </c>
      <c r="D970" s="122">
        <v>959</v>
      </c>
      <c r="E970" s="121" t="s">
        <v>2888</v>
      </c>
      <c r="F970" s="123" t="s">
        <v>268</v>
      </c>
      <c r="G970" s="124">
        <v>0</v>
      </c>
      <c r="H970" s="121"/>
    </row>
    <row r="971" spans="2:9">
      <c r="B971" s="23">
        <v>1</v>
      </c>
      <c r="C971" s="125">
        <f t="shared" si="14"/>
        <v>963</v>
      </c>
      <c r="D971" s="122">
        <v>960</v>
      </c>
      <c r="E971" s="121" t="s">
        <v>2889</v>
      </c>
      <c r="F971" s="123" t="s">
        <v>268</v>
      </c>
      <c r="G971" s="124">
        <v>0</v>
      </c>
      <c r="H971" s="121"/>
    </row>
    <row r="972" spans="2:9">
      <c r="B972" s="23">
        <v>1</v>
      </c>
      <c r="C972" s="125">
        <f t="shared" si="14"/>
        <v>964</v>
      </c>
      <c r="D972" s="122">
        <v>961</v>
      </c>
      <c r="E972" s="121" t="s">
        <v>388</v>
      </c>
      <c r="F972" s="123" t="s">
        <v>87</v>
      </c>
      <c r="G972" s="124">
        <v>0</v>
      </c>
      <c r="H972" s="121"/>
    </row>
    <row r="973" spans="2:9">
      <c r="B973" s="23">
        <v>1</v>
      </c>
      <c r="C973" s="125">
        <f t="shared" si="14"/>
        <v>965</v>
      </c>
      <c r="D973" s="122">
        <v>962</v>
      </c>
      <c r="E973" s="121" t="s">
        <v>412</v>
      </c>
      <c r="F973" s="123" t="s">
        <v>74</v>
      </c>
      <c r="G973" s="124">
        <v>0</v>
      </c>
      <c r="H973" s="121"/>
    </row>
    <row r="974" spans="2:9">
      <c r="B974" s="23">
        <v>1</v>
      </c>
      <c r="C974" s="125">
        <f t="shared" si="14"/>
        <v>966</v>
      </c>
      <c r="D974" s="122">
        <v>963</v>
      </c>
      <c r="E974" s="121" t="s">
        <v>134</v>
      </c>
      <c r="F974" s="123" t="s">
        <v>170</v>
      </c>
      <c r="G974" s="124">
        <v>0</v>
      </c>
      <c r="H974" s="121"/>
    </row>
    <row r="975" spans="2:9">
      <c r="B975" s="23">
        <v>1</v>
      </c>
      <c r="C975" s="125">
        <f t="shared" ref="C975:C1038" si="15">+C974+1</f>
        <v>967</v>
      </c>
      <c r="D975" s="122">
        <v>964</v>
      </c>
      <c r="E975" s="121" t="s">
        <v>134</v>
      </c>
      <c r="F975" s="123" t="s">
        <v>57</v>
      </c>
      <c r="G975" s="124">
        <v>0</v>
      </c>
      <c r="H975" s="121"/>
      <c r="I975" s="126"/>
    </row>
    <row r="976" spans="2:9">
      <c r="B976" s="23">
        <v>1</v>
      </c>
      <c r="C976" s="125">
        <f t="shared" si="15"/>
        <v>968</v>
      </c>
      <c r="D976" s="122">
        <v>965</v>
      </c>
      <c r="E976" s="121" t="s">
        <v>2891</v>
      </c>
      <c r="F976" s="123" t="s">
        <v>2153</v>
      </c>
      <c r="G976" s="124">
        <v>0</v>
      </c>
      <c r="H976" s="121"/>
    </row>
    <row r="977" spans="2:8">
      <c r="B977" s="23">
        <v>1</v>
      </c>
      <c r="C977" s="125">
        <f t="shared" si="15"/>
        <v>969</v>
      </c>
      <c r="D977" s="122">
        <v>966</v>
      </c>
      <c r="E977" s="121" t="s">
        <v>763</v>
      </c>
      <c r="F977" s="123" t="s">
        <v>87</v>
      </c>
      <c r="G977" s="124">
        <v>0</v>
      </c>
      <c r="H977" s="121"/>
    </row>
    <row r="978" spans="2:8">
      <c r="B978" s="23">
        <v>1</v>
      </c>
      <c r="C978" s="125">
        <f t="shared" si="15"/>
        <v>970</v>
      </c>
      <c r="D978" s="122">
        <v>967</v>
      </c>
      <c r="E978" s="121" t="s">
        <v>165</v>
      </c>
      <c r="F978" s="123" t="s">
        <v>170</v>
      </c>
      <c r="G978" s="124">
        <v>0</v>
      </c>
      <c r="H978" s="121"/>
    </row>
    <row r="979" spans="2:8">
      <c r="B979" s="23">
        <v>1</v>
      </c>
      <c r="C979" s="125">
        <f t="shared" si="15"/>
        <v>971</v>
      </c>
      <c r="D979" s="122">
        <v>968</v>
      </c>
      <c r="E979" s="121" t="s">
        <v>165</v>
      </c>
      <c r="F979" s="123" t="s">
        <v>259</v>
      </c>
      <c r="G979" s="124">
        <v>0</v>
      </c>
      <c r="H979" s="121"/>
    </row>
    <row r="980" spans="2:8">
      <c r="B980" s="23">
        <v>1</v>
      </c>
      <c r="C980" s="125">
        <f t="shared" si="15"/>
        <v>972</v>
      </c>
      <c r="D980" s="122">
        <v>969</v>
      </c>
      <c r="E980" s="121" t="s">
        <v>3199</v>
      </c>
      <c r="F980" s="123" t="s">
        <v>170</v>
      </c>
      <c r="G980" s="124">
        <v>0</v>
      </c>
      <c r="H980" s="121"/>
    </row>
    <row r="981" spans="2:8">
      <c r="B981" s="23">
        <v>1</v>
      </c>
      <c r="C981" s="125">
        <f t="shared" si="15"/>
        <v>973</v>
      </c>
      <c r="D981" s="122">
        <v>970</v>
      </c>
      <c r="E981" s="121" t="s">
        <v>3199</v>
      </c>
      <c r="F981" s="123" t="s">
        <v>259</v>
      </c>
      <c r="G981" s="124">
        <v>0</v>
      </c>
      <c r="H981" s="121"/>
    </row>
    <row r="982" spans="2:8">
      <c r="B982" s="23">
        <v>1</v>
      </c>
      <c r="C982" s="125">
        <f t="shared" si="15"/>
        <v>974</v>
      </c>
      <c r="D982" s="122">
        <v>971</v>
      </c>
      <c r="E982" s="121" t="s">
        <v>166</v>
      </c>
      <c r="F982" s="123" t="s">
        <v>57</v>
      </c>
      <c r="G982" s="124">
        <v>0</v>
      </c>
      <c r="H982" s="121"/>
    </row>
    <row r="983" spans="2:8">
      <c r="B983" s="23">
        <v>1</v>
      </c>
      <c r="C983" s="125">
        <f t="shared" si="15"/>
        <v>975</v>
      </c>
      <c r="D983" s="122">
        <v>972</v>
      </c>
      <c r="E983" s="121" t="s">
        <v>2892</v>
      </c>
      <c r="F983" s="123" t="s">
        <v>380</v>
      </c>
      <c r="G983" s="124">
        <v>0</v>
      </c>
      <c r="H983" s="121"/>
    </row>
    <row r="984" spans="2:8">
      <c r="B984" s="23">
        <v>1</v>
      </c>
      <c r="C984" s="125">
        <f t="shared" si="15"/>
        <v>976</v>
      </c>
      <c r="D984" s="122">
        <v>973</v>
      </c>
      <c r="E984" s="121" t="s">
        <v>2893</v>
      </c>
      <c r="F984" s="123" t="s">
        <v>380</v>
      </c>
      <c r="G984" s="124">
        <v>0</v>
      </c>
      <c r="H984" s="121"/>
    </row>
    <row r="985" spans="2:8">
      <c r="B985" s="23">
        <v>1</v>
      </c>
      <c r="C985" s="125">
        <f t="shared" si="15"/>
        <v>977</v>
      </c>
      <c r="D985" s="122">
        <v>974</v>
      </c>
      <c r="E985" s="121" t="s">
        <v>976</v>
      </c>
      <c r="F985" s="123" t="s">
        <v>380</v>
      </c>
      <c r="G985" s="124">
        <v>0</v>
      </c>
      <c r="H985" s="121"/>
    </row>
    <row r="986" spans="2:8">
      <c r="B986" s="23">
        <v>1</v>
      </c>
      <c r="C986" s="125">
        <f t="shared" si="15"/>
        <v>978</v>
      </c>
      <c r="D986" s="122">
        <v>975</v>
      </c>
      <c r="E986" s="121" t="s">
        <v>2895</v>
      </c>
      <c r="F986" s="123" t="s">
        <v>87</v>
      </c>
      <c r="G986" s="124">
        <v>0</v>
      </c>
      <c r="H986" s="121"/>
    </row>
    <row r="987" spans="2:8">
      <c r="B987" s="23">
        <v>1</v>
      </c>
      <c r="C987" s="125">
        <f t="shared" si="15"/>
        <v>979</v>
      </c>
      <c r="D987" s="122">
        <v>976</v>
      </c>
      <c r="E987" s="121" t="s">
        <v>4138</v>
      </c>
      <c r="F987" s="123" t="s">
        <v>87</v>
      </c>
      <c r="G987" s="124">
        <v>0</v>
      </c>
      <c r="H987" s="121"/>
    </row>
    <row r="988" spans="2:8">
      <c r="B988" s="23">
        <v>1</v>
      </c>
      <c r="C988" s="125">
        <f t="shared" si="15"/>
        <v>980</v>
      </c>
      <c r="D988" s="122">
        <v>977</v>
      </c>
      <c r="E988" s="121" t="s">
        <v>1777</v>
      </c>
      <c r="F988" s="123" t="s">
        <v>87</v>
      </c>
      <c r="G988" s="124">
        <v>0</v>
      </c>
      <c r="H988" s="121"/>
    </row>
    <row r="989" spans="2:8">
      <c r="B989" s="23">
        <v>1</v>
      </c>
      <c r="C989" s="125">
        <f t="shared" si="15"/>
        <v>981</v>
      </c>
      <c r="D989" s="122">
        <v>978</v>
      </c>
      <c r="E989" s="121" t="s">
        <v>1897</v>
      </c>
      <c r="F989" s="123" t="s">
        <v>74</v>
      </c>
      <c r="G989" s="124">
        <v>0</v>
      </c>
      <c r="H989" s="121"/>
    </row>
    <row r="990" spans="2:8">
      <c r="B990" s="23">
        <v>1</v>
      </c>
      <c r="C990" s="125">
        <f t="shared" si="15"/>
        <v>982</v>
      </c>
      <c r="D990" s="122">
        <v>979</v>
      </c>
      <c r="E990" s="121" t="s">
        <v>1896</v>
      </c>
      <c r="F990" s="123" t="s">
        <v>74</v>
      </c>
      <c r="G990" s="124">
        <v>0</v>
      </c>
      <c r="H990" s="121"/>
    </row>
    <row r="991" spans="2:8">
      <c r="B991" s="23">
        <v>1</v>
      </c>
      <c r="C991" s="125">
        <f t="shared" si="15"/>
        <v>983</v>
      </c>
      <c r="D991" s="122">
        <v>980</v>
      </c>
      <c r="E991" s="121" t="s">
        <v>180</v>
      </c>
      <c r="F991" s="123" t="s">
        <v>74</v>
      </c>
      <c r="G991" s="124">
        <v>0</v>
      </c>
      <c r="H991" s="121"/>
    </row>
    <row r="992" spans="2:8">
      <c r="B992" s="23">
        <v>1</v>
      </c>
      <c r="C992" s="125">
        <f t="shared" si="15"/>
        <v>984</v>
      </c>
      <c r="D992" s="122">
        <v>981</v>
      </c>
      <c r="E992" s="121" t="s">
        <v>179</v>
      </c>
      <c r="F992" s="123" t="s">
        <v>87</v>
      </c>
      <c r="G992" s="124">
        <v>0</v>
      </c>
      <c r="H992" s="121"/>
    </row>
    <row r="993" spans="2:8">
      <c r="B993" s="23">
        <v>1</v>
      </c>
      <c r="C993" s="125">
        <f t="shared" si="15"/>
        <v>985</v>
      </c>
      <c r="D993" s="122">
        <v>982</v>
      </c>
      <c r="E993" s="121" t="s">
        <v>2896</v>
      </c>
      <c r="F993" s="123" t="s">
        <v>380</v>
      </c>
      <c r="G993" s="124">
        <v>0</v>
      </c>
      <c r="H993" s="121"/>
    </row>
    <row r="994" spans="2:8">
      <c r="B994" s="23">
        <v>1</v>
      </c>
      <c r="C994" s="125">
        <f t="shared" si="15"/>
        <v>986</v>
      </c>
      <c r="D994" s="122">
        <v>983</v>
      </c>
      <c r="E994" s="121" t="s">
        <v>2897</v>
      </c>
      <c r="F994" s="123" t="s">
        <v>156</v>
      </c>
      <c r="G994" s="124">
        <v>0</v>
      </c>
      <c r="H994" s="121"/>
    </row>
    <row r="995" spans="2:8">
      <c r="B995" s="23">
        <v>1</v>
      </c>
      <c r="C995" s="125">
        <f t="shared" si="15"/>
        <v>987</v>
      </c>
      <c r="D995" s="122">
        <v>984</v>
      </c>
      <c r="E995" s="121" t="s">
        <v>2898</v>
      </c>
      <c r="F995" s="123" t="s">
        <v>74</v>
      </c>
      <c r="G995" s="124">
        <v>0</v>
      </c>
      <c r="H995" s="121"/>
    </row>
    <row r="996" spans="2:8">
      <c r="B996" s="23">
        <v>1</v>
      </c>
      <c r="C996" s="125">
        <f t="shared" si="15"/>
        <v>988</v>
      </c>
      <c r="D996" s="122">
        <v>985</v>
      </c>
      <c r="E996" s="121" t="s">
        <v>186</v>
      </c>
      <c r="F996" s="123" t="s">
        <v>74</v>
      </c>
      <c r="G996" s="124">
        <v>0</v>
      </c>
      <c r="H996" s="121"/>
    </row>
    <row r="997" spans="2:8">
      <c r="B997" s="23">
        <v>1</v>
      </c>
      <c r="C997" s="125">
        <f t="shared" si="15"/>
        <v>989</v>
      </c>
      <c r="D997" s="122">
        <v>986</v>
      </c>
      <c r="E997" s="121" t="s">
        <v>392</v>
      </c>
      <c r="F997" s="123" t="s">
        <v>391</v>
      </c>
      <c r="G997" s="124">
        <v>0</v>
      </c>
      <c r="H997" s="121"/>
    </row>
    <row r="998" spans="2:8">
      <c r="B998" s="23">
        <v>1</v>
      </c>
      <c r="C998" s="125">
        <f t="shared" si="15"/>
        <v>990</v>
      </c>
      <c r="D998" s="122">
        <v>987</v>
      </c>
      <c r="E998" s="121" t="s">
        <v>430</v>
      </c>
      <c r="F998" s="123" t="s">
        <v>391</v>
      </c>
      <c r="G998" s="124">
        <v>0</v>
      </c>
      <c r="H998" s="121"/>
    </row>
    <row r="999" spans="2:8">
      <c r="B999" s="23">
        <v>1</v>
      </c>
      <c r="C999" s="125">
        <f t="shared" si="15"/>
        <v>991</v>
      </c>
      <c r="D999" s="122">
        <v>988</v>
      </c>
      <c r="E999" s="121" t="s">
        <v>448</v>
      </c>
      <c r="F999" s="123" t="s">
        <v>259</v>
      </c>
      <c r="G999" s="124">
        <v>0</v>
      </c>
      <c r="H999" s="121"/>
    </row>
    <row r="1000" spans="2:8">
      <c r="B1000" s="23">
        <v>1</v>
      </c>
      <c r="C1000" s="125">
        <f t="shared" si="15"/>
        <v>992</v>
      </c>
      <c r="D1000" s="122">
        <v>989</v>
      </c>
      <c r="E1000" s="121" t="s">
        <v>450</v>
      </c>
      <c r="F1000" s="123" t="s">
        <v>259</v>
      </c>
      <c r="G1000" s="124">
        <v>0</v>
      </c>
      <c r="H1000" s="121"/>
    </row>
    <row r="1001" spans="2:8">
      <c r="B1001" s="23">
        <v>1</v>
      </c>
      <c r="C1001" s="125">
        <f t="shared" si="15"/>
        <v>993</v>
      </c>
      <c r="D1001" s="122">
        <v>990</v>
      </c>
      <c r="E1001" s="121" t="s">
        <v>400</v>
      </c>
      <c r="F1001" s="123" t="s">
        <v>259</v>
      </c>
      <c r="G1001" s="124">
        <v>0</v>
      </c>
      <c r="H1001" s="121"/>
    </row>
    <row r="1002" spans="2:8">
      <c r="B1002" s="23">
        <v>1</v>
      </c>
      <c r="C1002" s="125">
        <f t="shared" si="15"/>
        <v>994</v>
      </c>
      <c r="D1002" s="122">
        <v>991</v>
      </c>
      <c r="E1002" s="121" t="s">
        <v>389</v>
      </c>
      <c r="F1002" s="123" t="s">
        <v>259</v>
      </c>
      <c r="G1002" s="124">
        <v>0</v>
      </c>
      <c r="H1002" s="121"/>
    </row>
    <row r="1003" spans="2:8">
      <c r="B1003" s="23">
        <v>1</v>
      </c>
      <c r="C1003" s="125">
        <f t="shared" si="15"/>
        <v>995</v>
      </c>
      <c r="D1003" s="122">
        <v>992</v>
      </c>
      <c r="E1003" s="121" t="s">
        <v>371</v>
      </c>
      <c r="F1003" s="123" t="s">
        <v>259</v>
      </c>
      <c r="G1003" s="124">
        <v>0</v>
      </c>
      <c r="H1003" s="121"/>
    </row>
    <row r="1004" spans="2:8">
      <c r="B1004" s="23">
        <v>1</v>
      </c>
      <c r="C1004" s="125">
        <f t="shared" si="15"/>
        <v>996</v>
      </c>
      <c r="D1004" s="122">
        <v>993</v>
      </c>
      <c r="E1004" s="121" t="s">
        <v>437</v>
      </c>
      <c r="F1004" s="123" t="s">
        <v>259</v>
      </c>
      <c r="G1004" s="124">
        <v>0</v>
      </c>
      <c r="H1004" s="121"/>
    </row>
    <row r="1005" spans="2:8">
      <c r="B1005" s="23">
        <v>1</v>
      </c>
      <c r="C1005" s="125">
        <f t="shared" si="15"/>
        <v>997</v>
      </c>
      <c r="D1005" s="122">
        <v>994</v>
      </c>
      <c r="E1005" s="121" t="s">
        <v>1780</v>
      </c>
      <c r="F1005" s="123" t="s">
        <v>259</v>
      </c>
      <c r="G1005" s="124">
        <v>0</v>
      </c>
      <c r="H1005" s="121"/>
    </row>
    <row r="1006" spans="2:8">
      <c r="B1006" s="23">
        <v>1</v>
      </c>
      <c r="C1006" s="125">
        <f t="shared" si="15"/>
        <v>998</v>
      </c>
      <c r="D1006" s="122">
        <v>995</v>
      </c>
      <c r="E1006" s="121" t="s">
        <v>1782</v>
      </c>
      <c r="F1006" s="123" t="s">
        <v>259</v>
      </c>
      <c r="G1006" s="124">
        <v>0</v>
      </c>
      <c r="H1006" s="121"/>
    </row>
    <row r="1007" spans="2:8">
      <c r="B1007" s="23">
        <v>1</v>
      </c>
      <c r="C1007" s="125">
        <f t="shared" si="15"/>
        <v>999</v>
      </c>
      <c r="D1007" s="122">
        <v>996</v>
      </c>
      <c r="E1007" s="121" t="s">
        <v>1784</v>
      </c>
      <c r="F1007" s="123" t="s">
        <v>259</v>
      </c>
      <c r="G1007" s="124">
        <v>0</v>
      </c>
      <c r="H1007" s="121"/>
    </row>
    <row r="1008" spans="2:8">
      <c r="B1008" s="23">
        <v>1</v>
      </c>
      <c r="C1008" s="125">
        <f t="shared" si="15"/>
        <v>1000</v>
      </c>
      <c r="D1008" s="122">
        <v>997</v>
      </c>
      <c r="E1008" s="121" t="s">
        <v>1783</v>
      </c>
      <c r="F1008" s="123" t="s">
        <v>259</v>
      </c>
      <c r="G1008" s="124">
        <v>0</v>
      </c>
      <c r="H1008" s="121"/>
    </row>
    <row r="1009" spans="2:8">
      <c r="B1009" s="23">
        <v>1</v>
      </c>
      <c r="C1009" s="125">
        <f t="shared" si="15"/>
        <v>1001</v>
      </c>
      <c r="D1009" s="122">
        <v>998</v>
      </c>
      <c r="E1009" s="121" t="s">
        <v>1779</v>
      </c>
      <c r="F1009" s="123" t="s">
        <v>368</v>
      </c>
      <c r="G1009" s="124">
        <v>0</v>
      </c>
      <c r="H1009" s="121"/>
    </row>
    <row r="1010" spans="2:8">
      <c r="B1010" s="23">
        <v>1</v>
      </c>
      <c r="C1010" s="125">
        <f t="shared" si="15"/>
        <v>1002</v>
      </c>
      <c r="D1010" s="122">
        <v>999</v>
      </c>
      <c r="E1010" s="121" t="s">
        <v>330</v>
      </c>
      <c r="F1010" s="123" t="s">
        <v>3170</v>
      </c>
      <c r="G1010" s="124">
        <v>0</v>
      </c>
      <c r="H1010" s="121"/>
    </row>
    <row r="1011" spans="2:8">
      <c r="B1011" s="23">
        <v>1</v>
      </c>
      <c r="C1011" s="125">
        <f t="shared" si="15"/>
        <v>1003</v>
      </c>
      <c r="D1011" s="122">
        <v>1000</v>
      </c>
      <c r="E1011" s="121" t="s">
        <v>331</v>
      </c>
      <c r="F1011" s="123" t="s">
        <v>3170</v>
      </c>
      <c r="G1011" s="124">
        <v>0</v>
      </c>
      <c r="H1011" s="121"/>
    </row>
    <row r="1012" spans="2:8">
      <c r="B1012" s="23">
        <v>1</v>
      </c>
      <c r="C1012" s="125">
        <f t="shared" si="15"/>
        <v>1004</v>
      </c>
      <c r="D1012" s="122">
        <v>1001</v>
      </c>
      <c r="E1012" s="121" t="s">
        <v>332</v>
      </c>
      <c r="F1012" s="123" t="s">
        <v>3170</v>
      </c>
      <c r="G1012" s="124">
        <v>0</v>
      </c>
      <c r="H1012" s="121"/>
    </row>
    <row r="1013" spans="2:8">
      <c r="B1013" s="23">
        <v>1</v>
      </c>
      <c r="C1013" s="125">
        <f t="shared" si="15"/>
        <v>1005</v>
      </c>
      <c r="D1013" s="122">
        <v>1002</v>
      </c>
      <c r="E1013" s="121" t="s">
        <v>333</v>
      </c>
      <c r="F1013" s="123" t="s">
        <v>3170</v>
      </c>
      <c r="G1013" s="124">
        <v>0</v>
      </c>
      <c r="H1013" s="121"/>
    </row>
    <row r="1014" spans="2:8">
      <c r="B1014" s="23">
        <v>1</v>
      </c>
      <c r="C1014" s="125">
        <f t="shared" si="15"/>
        <v>1006</v>
      </c>
      <c r="D1014" s="122">
        <v>1003</v>
      </c>
      <c r="E1014" s="121" t="s">
        <v>334</v>
      </c>
      <c r="F1014" s="123" t="s">
        <v>3170</v>
      </c>
      <c r="G1014" s="124">
        <v>0</v>
      </c>
      <c r="H1014" s="121"/>
    </row>
    <row r="1015" spans="2:8">
      <c r="B1015" s="23">
        <v>1</v>
      </c>
      <c r="C1015" s="125">
        <f t="shared" si="15"/>
        <v>1007</v>
      </c>
      <c r="D1015" s="122">
        <v>1004</v>
      </c>
      <c r="E1015" s="121" t="s">
        <v>335</v>
      </c>
      <c r="F1015" s="123" t="s">
        <v>3170</v>
      </c>
      <c r="G1015" s="124">
        <v>0</v>
      </c>
      <c r="H1015" s="121"/>
    </row>
    <row r="1016" spans="2:8">
      <c r="B1016" s="23">
        <v>1</v>
      </c>
      <c r="C1016" s="125">
        <f t="shared" si="15"/>
        <v>1008</v>
      </c>
      <c r="D1016" s="122">
        <v>1005</v>
      </c>
      <c r="E1016" s="121" t="s">
        <v>337</v>
      </c>
      <c r="F1016" s="123" t="s">
        <v>3170</v>
      </c>
      <c r="G1016" s="124">
        <v>0</v>
      </c>
      <c r="H1016" s="121"/>
    </row>
    <row r="1017" spans="2:8">
      <c r="B1017" s="23">
        <v>1</v>
      </c>
      <c r="C1017" s="125">
        <f t="shared" si="15"/>
        <v>1009</v>
      </c>
      <c r="D1017" s="122">
        <v>1006</v>
      </c>
      <c r="E1017" s="121" t="s">
        <v>338</v>
      </c>
      <c r="F1017" s="123" t="s">
        <v>3170</v>
      </c>
      <c r="G1017" s="124">
        <v>0</v>
      </c>
      <c r="H1017" s="121"/>
    </row>
    <row r="1018" spans="2:8">
      <c r="B1018" s="23">
        <v>1</v>
      </c>
      <c r="C1018" s="125">
        <f t="shared" si="15"/>
        <v>1010</v>
      </c>
      <c r="D1018" s="122">
        <v>1007</v>
      </c>
      <c r="E1018" s="121" t="s">
        <v>339</v>
      </c>
      <c r="F1018" s="123" t="s">
        <v>3170</v>
      </c>
      <c r="G1018" s="124">
        <v>0</v>
      </c>
      <c r="H1018" s="121"/>
    </row>
    <row r="1019" spans="2:8">
      <c r="B1019" s="23">
        <v>1</v>
      </c>
      <c r="C1019" s="125">
        <f t="shared" si="15"/>
        <v>1011</v>
      </c>
      <c r="D1019" s="122">
        <v>1008</v>
      </c>
      <c r="E1019" s="121" t="s">
        <v>340</v>
      </c>
      <c r="F1019" s="123" t="s">
        <v>3170</v>
      </c>
      <c r="G1019" s="124">
        <v>0</v>
      </c>
      <c r="H1019" s="121"/>
    </row>
    <row r="1020" spans="2:8">
      <c r="B1020" s="23">
        <v>1</v>
      </c>
      <c r="C1020" s="125">
        <f t="shared" si="15"/>
        <v>1012</v>
      </c>
      <c r="D1020" s="122">
        <v>1009</v>
      </c>
      <c r="E1020" s="121" t="s">
        <v>341</v>
      </c>
      <c r="F1020" s="123" t="s">
        <v>3170</v>
      </c>
      <c r="G1020" s="124">
        <v>0</v>
      </c>
      <c r="H1020" s="121"/>
    </row>
    <row r="1021" spans="2:8">
      <c r="B1021" s="23">
        <v>1</v>
      </c>
      <c r="C1021" s="125">
        <f t="shared" si="15"/>
        <v>1013</v>
      </c>
      <c r="D1021" s="122">
        <v>1010</v>
      </c>
      <c r="E1021" s="121" t="s">
        <v>342</v>
      </c>
      <c r="F1021" s="123" t="s">
        <v>3170</v>
      </c>
      <c r="G1021" s="124">
        <v>0</v>
      </c>
      <c r="H1021" s="121"/>
    </row>
    <row r="1022" spans="2:8">
      <c r="B1022" s="23">
        <v>1</v>
      </c>
      <c r="C1022" s="125">
        <f t="shared" si="15"/>
        <v>1014</v>
      </c>
      <c r="D1022" s="122">
        <v>1011</v>
      </c>
      <c r="E1022" s="121" t="s">
        <v>343</v>
      </c>
      <c r="F1022" s="123" t="s">
        <v>3170</v>
      </c>
      <c r="G1022" s="124">
        <v>0</v>
      </c>
      <c r="H1022" s="121"/>
    </row>
    <row r="1023" spans="2:8">
      <c r="B1023" s="23">
        <v>1</v>
      </c>
      <c r="C1023" s="125">
        <f t="shared" si="15"/>
        <v>1015</v>
      </c>
      <c r="D1023" s="122">
        <v>1012</v>
      </c>
      <c r="E1023" s="121" t="s">
        <v>344</v>
      </c>
      <c r="F1023" s="123" t="s">
        <v>3170</v>
      </c>
      <c r="G1023" s="124">
        <v>0</v>
      </c>
      <c r="H1023" s="121"/>
    </row>
    <row r="1024" spans="2:8">
      <c r="B1024" s="23">
        <v>1</v>
      </c>
      <c r="C1024" s="125">
        <f t="shared" si="15"/>
        <v>1016</v>
      </c>
      <c r="D1024" s="122">
        <v>1013</v>
      </c>
      <c r="E1024" s="121" t="s">
        <v>345</v>
      </c>
      <c r="F1024" s="123" t="s">
        <v>3170</v>
      </c>
      <c r="G1024" s="124">
        <v>0</v>
      </c>
      <c r="H1024" s="121"/>
    </row>
    <row r="1025" spans="2:8">
      <c r="B1025" s="23">
        <v>1</v>
      </c>
      <c r="C1025" s="125">
        <f t="shared" si="15"/>
        <v>1017</v>
      </c>
      <c r="D1025" s="122">
        <v>1014</v>
      </c>
      <c r="E1025" s="121" t="s">
        <v>3197</v>
      </c>
      <c r="F1025" s="123" t="s">
        <v>3198</v>
      </c>
      <c r="G1025" s="124">
        <v>0</v>
      </c>
      <c r="H1025" s="121"/>
    </row>
    <row r="1026" spans="2:8">
      <c r="B1026" s="23">
        <v>1</v>
      </c>
      <c r="C1026" s="125">
        <f t="shared" si="15"/>
        <v>1018</v>
      </c>
      <c r="D1026" s="122">
        <v>1015</v>
      </c>
      <c r="E1026" s="121" t="s">
        <v>3208</v>
      </c>
      <c r="F1026" s="123" t="s">
        <v>3170</v>
      </c>
      <c r="G1026" s="124">
        <v>0</v>
      </c>
      <c r="H1026" s="121"/>
    </row>
    <row r="1027" spans="2:8">
      <c r="B1027" s="23">
        <v>1</v>
      </c>
      <c r="C1027" s="125">
        <f t="shared" si="15"/>
        <v>1019</v>
      </c>
      <c r="D1027" s="122">
        <v>1016</v>
      </c>
      <c r="E1027" s="121" t="s">
        <v>377</v>
      </c>
      <c r="F1027" s="123" t="s">
        <v>3170</v>
      </c>
      <c r="G1027" s="124">
        <v>0</v>
      </c>
      <c r="H1027" s="121"/>
    </row>
    <row r="1028" spans="2:8">
      <c r="B1028" s="23">
        <v>1</v>
      </c>
      <c r="C1028" s="125">
        <f t="shared" si="15"/>
        <v>1020</v>
      </c>
      <c r="D1028" s="122">
        <v>1017</v>
      </c>
      <c r="E1028" s="121" t="s">
        <v>3211</v>
      </c>
      <c r="F1028" s="123" t="s">
        <v>87</v>
      </c>
      <c r="G1028" s="124">
        <v>0</v>
      </c>
      <c r="H1028" s="121"/>
    </row>
    <row r="1029" spans="2:8">
      <c r="B1029" s="23">
        <v>1</v>
      </c>
      <c r="C1029" s="125">
        <f t="shared" si="15"/>
        <v>1021</v>
      </c>
      <c r="D1029" s="122">
        <v>1018</v>
      </c>
      <c r="E1029" s="121" t="s">
        <v>3212</v>
      </c>
      <c r="F1029" s="123" t="s">
        <v>87</v>
      </c>
      <c r="G1029" s="124">
        <v>0</v>
      </c>
      <c r="H1029" s="121"/>
    </row>
    <row r="1030" spans="2:8">
      <c r="B1030" s="23">
        <v>1</v>
      </c>
      <c r="C1030" s="125">
        <f t="shared" si="15"/>
        <v>1022</v>
      </c>
      <c r="D1030" s="122">
        <v>1019</v>
      </c>
      <c r="E1030" s="121" t="s">
        <v>3213</v>
      </c>
      <c r="F1030" s="123" t="s">
        <v>87</v>
      </c>
      <c r="G1030" s="124">
        <v>0</v>
      </c>
      <c r="H1030" s="121"/>
    </row>
    <row r="1031" spans="2:8">
      <c r="B1031" s="23">
        <v>1</v>
      </c>
      <c r="C1031" s="125">
        <f t="shared" si="15"/>
        <v>1023</v>
      </c>
      <c r="D1031" s="122">
        <v>1020</v>
      </c>
      <c r="E1031" s="121" t="s">
        <v>3214</v>
      </c>
      <c r="F1031" s="123" t="s">
        <v>87</v>
      </c>
      <c r="G1031" s="124">
        <v>0</v>
      </c>
      <c r="H1031" s="121"/>
    </row>
    <row r="1032" spans="2:8">
      <c r="B1032" s="23">
        <v>1</v>
      </c>
      <c r="C1032" s="125">
        <f t="shared" si="15"/>
        <v>1024</v>
      </c>
      <c r="D1032" s="122">
        <v>1021</v>
      </c>
      <c r="E1032" s="121" t="s">
        <v>3215</v>
      </c>
      <c r="F1032" s="123" t="s">
        <v>87</v>
      </c>
      <c r="G1032" s="124">
        <v>0</v>
      </c>
      <c r="H1032" s="121"/>
    </row>
    <row r="1033" spans="2:8">
      <c r="B1033" s="23">
        <v>1</v>
      </c>
      <c r="C1033" s="125">
        <f t="shared" si="15"/>
        <v>1025</v>
      </c>
      <c r="D1033" s="122">
        <v>1022</v>
      </c>
      <c r="E1033" s="121" t="s">
        <v>3216</v>
      </c>
      <c r="F1033" s="123" t="s">
        <v>87</v>
      </c>
      <c r="G1033" s="124">
        <v>0</v>
      </c>
      <c r="H1033" s="121"/>
    </row>
    <row r="1034" spans="2:8">
      <c r="B1034" s="23">
        <v>1</v>
      </c>
      <c r="C1034" s="125">
        <f t="shared" si="15"/>
        <v>1026</v>
      </c>
      <c r="D1034" s="122">
        <v>1023</v>
      </c>
      <c r="E1034" s="121" t="s">
        <v>3217</v>
      </c>
      <c r="F1034" s="123" t="s">
        <v>87</v>
      </c>
      <c r="G1034" s="124">
        <v>0</v>
      </c>
      <c r="H1034" s="121"/>
    </row>
    <row r="1035" spans="2:8">
      <c r="B1035" s="23">
        <v>1</v>
      </c>
      <c r="C1035" s="125">
        <f t="shared" si="15"/>
        <v>1027</v>
      </c>
      <c r="D1035" s="122">
        <v>1024</v>
      </c>
      <c r="E1035" s="121" t="s">
        <v>3218</v>
      </c>
      <c r="F1035" s="123" t="s">
        <v>87</v>
      </c>
      <c r="G1035" s="124">
        <v>0</v>
      </c>
      <c r="H1035" s="121"/>
    </row>
    <row r="1036" spans="2:8">
      <c r="B1036" s="23">
        <v>1</v>
      </c>
      <c r="C1036" s="125">
        <f t="shared" si="15"/>
        <v>1028</v>
      </c>
      <c r="D1036" s="122">
        <v>1025</v>
      </c>
      <c r="E1036" s="121" t="s">
        <v>3219</v>
      </c>
      <c r="F1036" s="123" t="s">
        <v>87</v>
      </c>
      <c r="G1036" s="124">
        <v>0</v>
      </c>
      <c r="H1036" s="121"/>
    </row>
    <row r="1037" spans="2:8">
      <c r="B1037" s="23">
        <v>1</v>
      </c>
      <c r="C1037" s="125">
        <f t="shared" si="15"/>
        <v>1029</v>
      </c>
      <c r="D1037" s="122">
        <v>1026</v>
      </c>
      <c r="E1037" s="121" t="s">
        <v>3222</v>
      </c>
      <c r="F1037" s="123" t="s">
        <v>1967</v>
      </c>
      <c r="G1037" s="124">
        <v>0</v>
      </c>
      <c r="H1037" s="121"/>
    </row>
    <row r="1038" spans="2:8">
      <c r="B1038" s="23">
        <v>1</v>
      </c>
      <c r="C1038" s="125">
        <f t="shared" si="15"/>
        <v>1030</v>
      </c>
      <c r="D1038" s="122">
        <v>1027</v>
      </c>
      <c r="E1038" s="121" t="s">
        <v>3223</v>
      </c>
      <c r="F1038" s="123" t="s">
        <v>87</v>
      </c>
      <c r="G1038" s="124">
        <v>0</v>
      </c>
      <c r="H1038" s="121"/>
    </row>
    <row r="1039" spans="2:8">
      <c r="B1039" s="23">
        <v>1</v>
      </c>
      <c r="C1039" s="125">
        <f t="shared" ref="C1039:C1040" si="16">+C1038+1</f>
        <v>1031</v>
      </c>
      <c r="D1039" s="122">
        <v>1028</v>
      </c>
      <c r="E1039" s="121" t="s">
        <v>3224</v>
      </c>
      <c r="F1039" s="123" t="s">
        <v>87</v>
      </c>
      <c r="G1039" s="124">
        <v>0</v>
      </c>
      <c r="H1039" s="121"/>
    </row>
    <row r="1040" spans="2:8">
      <c r="B1040" s="23">
        <v>1</v>
      </c>
      <c r="C1040" s="125">
        <f t="shared" si="16"/>
        <v>1032</v>
      </c>
      <c r="D1040" s="122">
        <v>1029</v>
      </c>
      <c r="E1040" s="121" t="s">
        <v>3225</v>
      </c>
      <c r="F1040" s="123" t="s">
        <v>87</v>
      </c>
      <c r="G1040" s="124">
        <v>0</v>
      </c>
      <c r="H1040" s="121"/>
    </row>
    <row r="1058" spans="5:5">
      <c r="E1058" s="23" t="s">
        <v>3194</v>
      </c>
    </row>
  </sheetData>
  <mergeCells count="6">
    <mergeCell ref="C3:C4"/>
    <mergeCell ref="C1:H1"/>
    <mergeCell ref="D3:D4"/>
    <mergeCell ref="E3:E4"/>
    <mergeCell ref="F3:F4"/>
    <mergeCell ref="H3:H4"/>
  </mergeCells>
  <printOptions horizontalCentered="1"/>
  <pageMargins left="0.43307086614173229" right="0.31496062992125984" top="0.59055118110236227" bottom="0.59055118110236227" header="0.31496062992125984" footer="1.4960629921259843"/>
  <pageSetup paperSize="9" scale="84" orientation="portrait" horizontalDpi="4294967293" r:id="rId1"/>
  <rowBreaks count="19" manualBreakCount="19">
    <brk id="50" min="2" max="7" man="1"/>
    <brk id="104" min="2" max="7" man="1"/>
    <brk id="157" min="2" max="7" man="1"/>
    <brk id="212" min="2" max="7" man="1"/>
    <brk id="265" min="2" max="7" man="1"/>
    <brk id="320" min="2" max="7" man="1"/>
    <brk id="374" min="2" max="7" man="1"/>
    <brk id="429" min="2" max="7" man="1"/>
    <brk id="482" min="2" max="7" man="1"/>
    <brk id="535" min="2" max="7" man="1"/>
    <brk id="588" min="2" max="7" man="1"/>
    <brk id="641" min="2" max="7" man="1"/>
    <brk id="694" min="2" max="7" man="1"/>
    <brk id="747" min="2" max="7" man="1"/>
    <brk id="800" min="2" max="7" man="1"/>
    <brk id="859" min="2" max="7" man="1"/>
    <brk id="920" min="2" max="7" man="1"/>
    <brk id="973" min="2" max="7" man="1"/>
    <brk id="1026" min="2" max="7"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Z133"/>
  <sheetViews>
    <sheetView workbookViewId="0">
      <selection activeCell="AB8" sqref="AB8"/>
    </sheetView>
  </sheetViews>
  <sheetFormatPr defaultColWidth="9.08984375" defaultRowHeight="14.5"/>
  <cols>
    <col min="1" max="1" width="8.54296875" style="9" customWidth="1"/>
    <col min="2" max="2" width="1.08984375" style="9" customWidth="1"/>
    <col min="3" max="3" width="46.453125" style="9" customWidth="1"/>
    <col min="4" max="4" width="10.08984375" style="9" customWidth="1"/>
    <col min="5" max="5" width="7.54296875" style="9" customWidth="1"/>
    <col min="6" max="7" width="7.54296875" style="9" hidden="1" customWidth="1"/>
    <col min="8" max="8" width="15" style="9" customWidth="1"/>
    <col min="9" max="9" width="7.6328125" style="9" customWidth="1"/>
    <col min="10" max="10" width="12.08984375" style="9" customWidth="1"/>
    <col min="11" max="11" width="18.6328125" style="55" hidden="1" customWidth="1"/>
    <col min="12" max="12" width="2.36328125" style="55" hidden="1" customWidth="1"/>
    <col min="13" max="13" width="19.54296875" style="56" hidden="1" customWidth="1"/>
    <col min="14" max="14" width="14.08984375" style="9" hidden="1" customWidth="1"/>
    <col min="15" max="15" width="16.36328125" style="9" customWidth="1"/>
    <col min="16" max="16" width="23.90625" style="57" hidden="1" customWidth="1"/>
    <col min="17" max="17" width="15.36328125" style="9" hidden="1" customWidth="1"/>
    <col min="18" max="18" width="46" style="58" hidden="1" customWidth="1"/>
    <col min="19" max="19" width="10.08984375" style="58" hidden="1" customWidth="1"/>
    <col min="20" max="21" width="12.90625" style="59" hidden="1" customWidth="1"/>
    <col min="22" max="22" width="9.08984375" style="9" hidden="1" customWidth="1"/>
    <col min="23" max="23" width="15" style="9" hidden="1" customWidth="1"/>
    <col min="24" max="24" width="9.08984375" style="9" hidden="1" customWidth="1"/>
    <col min="25" max="25" width="32.453125" style="9" customWidth="1"/>
    <col min="26" max="16384" width="9.08984375" style="9"/>
  </cols>
  <sheetData>
    <row r="1" spans="1:25" ht="21">
      <c r="A1" s="1764" t="s">
        <v>3161</v>
      </c>
      <c r="B1" s="1764"/>
      <c r="C1" s="1764"/>
      <c r="D1" s="1764"/>
      <c r="E1" s="1764"/>
      <c r="F1" s="1764"/>
      <c r="G1" s="1764"/>
      <c r="H1" s="1764"/>
      <c r="I1" s="1764"/>
      <c r="J1" s="1764"/>
      <c r="K1" s="1764"/>
    </row>
    <row r="3" spans="1:25" ht="13">
      <c r="A3" s="62"/>
      <c r="B3" s="63"/>
      <c r="C3" s="64"/>
      <c r="D3" s="62"/>
      <c r="E3" s="62"/>
      <c r="F3" s="62"/>
      <c r="G3" s="62"/>
      <c r="H3" s="62" t="s">
        <v>1846</v>
      </c>
      <c r="I3" s="63"/>
      <c r="J3" s="62" t="s">
        <v>2901</v>
      </c>
      <c r="K3" s="65" t="s">
        <v>1846</v>
      </c>
      <c r="L3" s="32"/>
      <c r="M3" s="31" t="s">
        <v>2902</v>
      </c>
      <c r="O3" s="1763">
        <v>2019</v>
      </c>
      <c r="P3" s="62"/>
      <c r="Q3" s="63"/>
      <c r="R3" s="64"/>
      <c r="S3" s="62"/>
      <c r="T3" s="62"/>
      <c r="U3" s="62"/>
      <c r="V3" s="62"/>
      <c r="W3" s="62" t="s">
        <v>1846</v>
      </c>
      <c r="X3" s="63"/>
      <c r="Y3" s="62" t="s">
        <v>2901</v>
      </c>
    </row>
    <row r="4" spans="1:25" ht="13">
      <c r="A4" s="66" t="s">
        <v>2903</v>
      </c>
      <c r="B4" s="67"/>
      <c r="C4" s="68" t="s">
        <v>41</v>
      </c>
      <c r="D4" s="66" t="s">
        <v>43</v>
      </c>
      <c r="E4" s="66" t="s">
        <v>42</v>
      </c>
      <c r="F4" s="66"/>
      <c r="G4" s="66"/>
      <c r="H4" s="66" t="s">
        <v>2904</v>
      </c>
      <c r="I4" s="67" t="s">
        <v>2905</v>
      </c>
      <c r="J4" s="66" t="s">
        <v>2906</v>
      </c>
      <c r="K4" s="37" t="s">
        <v>2907</v>
      </c>
      <c r="L4" s="32"/>
      <c r="M4" s="33" t="s">
        <v>2908</v>
      </c>
      <c r="O4" s="1763"/>
      <c r="P4" s="66" t="s">
        <v>2903</v>
      </c>
      <c r="Q4" s="67"/>
      <c r="R4" s="68" t="s">
        <v>41</v>
      </c>
      <c r="S4" s="66" t="s">
        <v>43</v>
      </c>
      <c r="T4" s="66" t="s">
        <v>42</v>
      </c>
      <c r="U4" s="66"/>
      <c r="V4" s="66"/>
      <c r="W4" s="66" t="s">
        <v>2904</v>
      </c>
      <c r="X4" s="67" t="s">
        <v>2905</v>
      </c>
      <c r="Y4" s="66" t="s">
        <v>2906</v>
      </c>
    </row>
    <row r="5" spans="1:25" ht="13">
      <c r="A5" s="66"/>
      <c r="B5" s="67"/>
      <c r="C5" s="68"/>
      <c r="D5" s="66"/>
      <c r="E5" s="66"/>
      <c r="F5" s="66"/>
      <c r="G5" s="66"/>
      <c r="H5" s="66" t="s">
        <v>2909</v>
      </c>
      <c r="I5" s="67"/>
      <c r="J5" s="66"/>
      <c r="K5" s="69" t="s">
        <v>2909</v>
      </c>
      <c r="L5" s="32"/>
      <c r="M5" s="70" t="s">
        <v>1939</v>
      </c>
      <c r="O5" s="1763"/>
      <c r="P5" s="66"/>
      <c r="Q5" s="67"/>
      <c r="R5" s="68"/>
      <c r="S5" s="66"/>
      <c r="T5" s="66"/>
      <c r="U5" s="66"/>
      <c r="V5" s="66"/>
      <c r="W5" s="66" t="s">
        <v>2909</v>
      </c>
      <c r="X5" s="67"/>
      <c r="Y5" s="66"/>
    </row>
    <row r="6" spans="1:25">
      <c r="A6" s="71">
        <v>1</v>
      </c>
      <c r="B6" s="72"/>
      <c r="C6" s="73">
        <v>2</v>
      </c>
      <c r="D6" s="71">
        <v>3</v>
      </c>
      <c r="E6" s="71">
        <v>4</v>
      </c>
      <c r="F6" s="71"/>
      <c r="G6" s="71"/>
      <c r="H6" s="71">
        <v>5</v>
      </c>
      <c r="I6" s="72">
        <v>6</v>
      </c>
      <c r="J6" s="71"/>
      <c r="K6" s="74">
        <v>7</v>
      </c>
      <c r="L6" s="75"/>
      <c r="M6" s="34">
        <v>8</v>
      </c>
      <c r="P6" s="71">
        <v>1</v>
      </c>
      <c r="Q6" s="72"/>
      <c r="R6" s="73">
        <v>2</v>
      </c>
      <c r="S6" s="71">
        <v>3</v>
      </c>
      <c r="T6" s="71">
        <v>4</v>
      </c>
      <c r="U6" s="71"/>
      <c r="V6" s="71"/>
      <c r="W6" s="71">
        <v>5</v>
      </c>
      <c r="X6" s="72">
        <v>6</v>
      </c>
      <c r="Y6" s="71"/>
    </row>
    <row r="7" spans="1:25" ht="4.5" customHeight="1">
      <c r="A7" s="76"/>
      <c r="B7" s="77"/>
      <c r="C7" s="78"/>
      <c r="D7" s="76"/>
      <c r="E7" s="76"/>
      <c r="F7" s="76"/>
      <c r="G7" s="76"/>
      <c r="H7" s="76"/>
      <c r="I7" s="77"/>
      <c r="J7" s="76"/>
      <c r="K7" s="79"/>
      <c r="L7" s="80"/>
      <c r="M7" s="81"/>
      <c r="P7" s="76"/>
      <c r="Q7" s="77"/>
      <c r="R7" s="78"/>
      <c r="S7" s="76"/>
      <c r="T7" s="76"/>
      <c r="U7" s="76"/>
      <c r="V7" s="76"/>
      <c r="W7" s="76"/>
      <c r="X7" s="77"/>
      <c r="Y7" s="76"/>
    </row>
    <row r="8" spans="1:25">
      <c r="A8" s="82"/>
      <c r="B8" s="83"/>
      <c r="C8" s="84"/>
      <c r="D8" s="35"/>
      <c r="E8" s="35"/>
      <c r="F8" s="35"/>
      <c r="G8" s="35"/>
      <c r="H8" s="85"/>
      <c r="I8" s="86"/>
      <c r="J8" s="86"/>
      <c r="K8" s="79"/>
      <c r="L8" s="87"/>
      <c r="M8" s="81"/>
      <c r="P8" s="82"/>
      <c r="Q8" s="83"/>
      <c r="R8" s="84"/>
      <c r="S8" s="35"/>
      <c r="T8" s="35"/>
      <c r="U8" s="35"/>
      <c r="V8" s="35"/>
      <c r="W8" s="85"/>
      <c r="X8" s="86"/>
      <c r="Y8" s="86"/>
    </row>
    <row r="9" spans="1:25">
      <c r="A9" s="66" t="s">
        <v>2913</v>
      </c>
      <c r="B9" s="67"/>
      <c r="C9" s="88" t="s">
        <v>2914</v>
      </c>
      <c r="D9" s="35"/>
      <c r="E9" s="35"/>
      <c r="F9" s="35"/>
      <c r="G9" s="35"/>
      <c r="H9" s="85"/>
      <c r="I9" s="86"/>
      <c r="J9" s="86"/>
      <c r="K9" s="79"/>
      <c r="L9" s="87"/>
      <c r="M9" s="81"/>
      <c r="P9" s="66" t="s">
        <v>2913</v>
      </c>
      <c r="Q9" s="67"/>
      <c r="R9" s="88" t="s">
        <v>2914</v>
      </c>
      <c r="S9" s="35"/>
      <c r="T9" s="35"/>
      <c r="U9" s="35"/>
      <c r="V9" s="35"/>
      <c r="W9" s="85"/>
      <c r="X9" s="86"/>
      <c r="Y9" s="86"/>
    </row>
    <row r="10" spans="1:25">
      <c r="A10" s="35">
        <v>1</v>
      </c>
      <c r="B10" s="89"/>
      <c r="C10" s="90" t="s">
        <v>2915</v>
      </c>
      <c r="D10" s="35" t="s">
        <v>2923</v>
      </c>
      <c r="E10" s="35" t="s">
        <v>2917</v>
      </c>
      <c r="F10" s="35"/>
      <c r="G10" s="35"/>
      <c r="H10" s="91">
        <v>0</v>
      </c>
      <c r="I10" s="86"/>
      <c r="J10" s="86"/>
      <c r="K10" s="79">
        <f>50*H10</f>
        <v>0</v>
      </c>
      <c r="L10" s="87"/>
      <c r="M10" s="81"/>
      <c r="O10" s="85"/>
      <c r="P10" s="35">
        <v>1</v>
      </c>
      <c r="Q10" s="89"/>
      <c r="R10" s="90" t="s">
        <v>2915</v>
      </c>
      <c r="S10" s="35" t="s">
        <v>2916</v>
      </c>
      <c r="T10" s="35" t="s">
        <v>2917</v>
      </c>
      <c r="U10" s="35"/>
      <c r="V10" s="35"/>
      <c r="W10" s="85">
        <v>123600</v>
      </c>
      <c r="X10" s="86"/>
      <c r="Y10" s="86"/>
    </row>
    <row r="11" spans="1:25">
      <c r="A11" s="35">
        <v>2</v>
      </c>
      <c r="B11" s="89"/>
      <c r="C11" s="90" t="s">
        <v>2918</v>
      </c>
      <c r="D11" s="35" t="s">
        <v>2923</v>
      </c>
      <c r="E11" s="35" t="s">
        <v>2919</v>
      </c>
      <c r="F11" s="35"/>
      <c r="G11" s="35"/>
      <c r="H11" s="91">
        <v>0</v>
      </c>
      <c r="I11" s="86"/>
      <c r="J11" s="86"/>
      <c r="K11" s="79">
        <f>50*H11</f>
        <v>0</v>
      </c>
      <c r="L11" s="87"/>
      <c r="M11" s="81"/>
      <c r="O11" s="85"/>
      <c r="P11" s="35">
        <v>2</v>
      </c>
      <c r="Q11" s="89"/>
      <c r="R11" s="90" t="s">
        <v>2918</v>
      </c>
      <c r="S11" s="35" t="s">
        <v>2916</v>
      </c>
      <c r="T11" s="35" t="s">
        <v>2919</v>
      </c>
      <c r="U11" s="35"/>
      <c r="V11" s="35"/>
      <c r="W11" s="85">
        <v>247200</v>
      </c>
      <c r="X11" s="86"/>
      <c r="Y11" s="86"/>
    </row>
    <row r="12" spans="1:25">
      <c r="A12" s="35">
        <v>3</v>
      </c>
      <c r="B12" s="89"/>
      <c r="C12" s="90" t="s">
        <v>2920</v>
      </c>
      <c r="D12" s="35" t="s">
        <v>2923</v>
      </c>
      <c r="E12" s="35" t="s">
        <v>2921</v>
      </c>
      <c r="F12" s="35"/>
      <c r="G12" s="35"/>
      <c r="H12" s="91">
        <v>0</v>
      </c>
      <c r="I12" s="86"/>
      <c r="J12" s="86"/>
      <c r="K12" s="79">
        <f>50*H12</f>
        <v>0</v>
      </c>
      <c r="L12" s="87"/>
      <c r="M12" s="81"/>
      <c r="O12" s="85"/>
      <c r="P12" s="35">
        <v>3</v>
      </c>
      <c r="Q12" s="89"/>
      <c r="R12" s="90" t="s">
        <v>2920</v>
      </c>
      <c r="S12" s="35" t="s">
        <v>2916</v>
      </c>
      <c r="T12" s="35" t="s">
        <v>2921</v>
      </c>
      <c r="U12" s="35"/>
      <c r="V12" s="35"/>
      <c r="W12" s="85">
        <v>357142.85714285716</v>
      </c>
      <c r="X12" s="86"/>
      <c r="Y12" s="86"/>
    </row>
    <row r="13" spans="1:25">
      <c r="A13" s="35">
        <v>4</v>
      </c>
      <c r="B13" s="89"/>
      <c r="C13" s="90" t="s">
        <v>2922</v>
      </c>
      <c r="D13" s="35" t="s">
        <v>2923</v>
      </c>
      <c r="E13" s="35" t="s">
        <v>2924</v>
      </c>
      <c r="F13" s="35"/>
      <c r="G13" s="35"/>
      <c r="H13" s="91">
        <v>0</v>
      </c>
      <c r="I13" s="86"/>
      <c r="J13" s="86"/>
      <c r="K13" s="92">
        <v>325000000</v>
      </c>
      <c r="L13" s="93"/>
      <c r="M13" s="81"/>
      <c r="O13" s="85"/>
      <c r="P13" s="35">
        <v>4</v>
      </c>
      <c r="Q13" s="89"/>
      <c r="R13" s="90" t="s">
        <v>2922</v>
      </c>
      <c r="S13" s="35" t="s">
        <v>2923</v>
      </c>
      <c r="T13" s="35" t="s">
        <v>2924</v>
      </c>
      <c r="U13" s="35"/>
      <c r="V13" s="35"/>
      <c r="W13" s="85">
        <v>103000</v>
      </c>
      <c r="X13" s="86"/>
      <c r="Y13" s="86"/>
    </row>
    <row r="14" spans="1:25" s="58" customFormat="1">
      <c r="A14" s="35">
        <v>5</v>
      </c>
      <c r="B14" s="89"/>
      <c r="C14" s="90" t="s">
        <v>2925</v>
      </c>
      <c r="D14" s="35" t="s">
        <v>2923</v>
      </c>
      <c r="E14" s="35" t="s">
        <v>2926</v>
      </c>
      <c r="F14" s="35"/>
      <c r="G14" s="35"/>
      <c r="H14" s="91">
        <v>0</v>
      </c>
      <c r="I14" s="86"/>
      <c r="J14" s="86"/>
      <c r="K14" s="92">
        <v>500000000</v>
      </c>
      <c r="L14" s="93"/>
      <c r="M14" s="81"/>
      <c r="N14" s="9"/>
      <c r="O14" s="85"/>
      <c r="P14" s="35">
        <v>5</v>
      </c>
      <c r="Q14" s="89"/>
      <c r="R14" s="90" t="s">
        <v>2925</v>
      </c>
      <c r="S14" s="35" t="s">
        <v>2923</v>
      </c>
      <c r="T14" s="35" t="s">
        <v>2926</v>
      </c>
      <c r="U14" s="35"/>
      <c r="V14" s="35"/>
      <c r="W14" s="85">
        <v>154500</v>
      </c>
      <c r="X14" s="86"/>
      <c r="Y14" s="86"/>
    </row>
    <row r="15" spans="1:25" s="58" customFormat="1">
      <c r="A15" s="35">
        <v>6</v>
      </c>
      <c r="B15" s="89"/>
      <c r="C15" s="90" t="s">
        <v>2927</v>
      </c>
      <c r="D15" s="35" t="s">
        <v>2923</v>
      </c>
      <c r="E15" s="35" t="s">
        <v>2928</v>
      </c>
      <c r="F15" s="35"/>
      <c r="G15" s="35"/>
      <c r="H15" s="91">
        <v>0</v>
      </c>
      <c r="I15" s="86"/>
      <c r="J15" s="86"/>
      <c r="K15" s="92">
        <v>750000000</v>
      </c>
      <c r="L15" s="93"/>
      <c r="M15" s="94"/>
      <c r="N15" s="9"/>
      <c r="O15" s="85"/>
      <c r="P15" s="35">
        <v>6</v>
      </c>
      <c r="Q15" s="89"/>
      <c r="R15" s="90" t="s">
        <v>2927</v>
      </c>
      <c r="S15" s="35" t="s">
        <v>2923</v>
      </c>
      <c r="T15" s="35" t="s">
        <v>2928</v>
      </c>
      <c r="U15" s="35"/>
      <c r="V15" s="35"/>
      <c r="W15" s="85">
        <v>231750</v>
      </c>
      <c r="X15" s="86"/>
      <c r="Y15" s="86"/>
    </row>
    <row r="16" spans="1:25" s="58" customFormat="1">
      <c r="A16" s="35">
        <v>7</v>
      </c>
      <c r="B16" s="89"/>
      <c r="C16" s="90" t="s">
        <v>2929</v>
      </c>
      <c r="D16" s="35" t="s">
        <v>2923</v>
      </c>
      <c r="E16" s="35" t="s">
        <v>2930</v>
      </c>
      <c r="F16" s="35"/>
      <c r="G16" s="35"/>
      <c r="H16" s="91">
        <v>0</v>
      </c>
      <c r="I16" s="86"/>
      <c r="J16" s="86"/>
      <c r="K16" s="79">
        <v>1000000000</v>
      </c>
      <c r="L16" s="87"/>
      <c r="M16" s="95"/>
      <c r="N16" s="9"/>
      <c r="O16" s="85"/>
      <c r="P16" s="35">
        <v>7</v>
      </c>
      <c r="Q16" s="89"/>
      <c r="R16" s="90" t="s">
        <v>2929</v>
      </c>
      <c r="S16" s="35" t="s">
        <v>2923</v>
      </c>
      <c r="T16" s="35" t="s">
        <v>2930</v>
      </c>
      <c r="U16" s="35"/>
      <c r="V16" s="35"/>
      <c r="W16" s="85">
        <v>334750</v>
      </c>
      <c r="X16" s="86"/>
      <c r="Y16" s="86"/>
    </row>
    <row r="17" spans="1:25" s="58" customFormat="1">
      <c r="A17" s="35">
        <v>8</v>
      </c>
      <c r="B17" s="89"/>
      <c r="C17" s="90" t="s">
        <v>2931</v>
      </c>
      <c r="D17" s="35" t="s">
        <v>2923</v>
      </c>
      <c r="E17" s="35" t="s">
        <v>2932</v>
      </c>
      <c r="F17" s="35"/>
      <c r="G17" s="35"/>
      <c r="H17" s="91">
        <v>0</v>
      </c>
      <c r="I17" s="86"/>
      <c r="J17" s="86"/>
      <c r="K17" s="79">
        <f>2500*H17</f>
        <v>0</v>
      </c>
      <c r="L17" s="87"/>
      <c r="M17" s="95"/>
      <c r="N17" s="9"/>
      <c r="O17" s="85"/>
      <c r="P17" s="35">
        <v>8</v>
      </c>
      <c r="Q17" s="89"/>
      <c r="R17" s="90" t="s">
        <v>2931</v>
      </c>
      <c r="S17" s="35" t="s">
        <v>2923</v>
      </c>
      <c r="T17" s="35" t="s">
        <v>2932</v>
      </c>
      <c r="U17" s="35"/>
      <c r="V17" s="35"/>
      <c r="W17" s="85">
        <v>257500</v>
      </c>
      <c r="X17" s="86"/>
      <c r="Y17" s="86"/>
    </row>
    <row r="18" spans="1:25" s="58" customFormat="1">
      <c r="A18" s="35">
        <v>9</v>
      </c>
      <c r="B18" s="89"/>
      <c r="C18" s="90" t="s">
        <v>2933</v>
      </c>
      <c r="D18" s="35" t="s">
        <v>2923</v>
      </c>
      <c r="E18" s="35" t="s">
        <v>2934</v>
      </c>
      <c r="F18" s="35"/>
      <c r="G18" s="35"/>
      <c r="H18" s="91">
        <v>0</v>
      </c>
      <c r="I18" s="86"/>
      <c r="J18" s="86"/>
      <c r="K18" s="79">
        <f>2500*H18</f>
        <v>0</v>
      </c>
      <c r="L18" s="87"/>
      <c r="M18" s="95"/>
      <c r="N18" s="9"/>
      <c r="O18" s="85"/>
      <c r="P18" s="35">
        <v>9</v>
      </c>
      <c r="Q18" s="89"/>
      <c r="R18" s="90" t="s">
        <v>2933</v>
      </c>
      <c r="S18" s="35" t="s">
        <v>2923</v>
      </c>
      <c r="T18" s="35" t="s">
        <v>2934</v>
      </c>
      <c r="U18" s="35"/>
      <c r="V18" s="35"/>
      <c r="W18" s="85">
        <v>257500</v>
      </c>
      <c r="X18" s="86"/>
      <c r="Y18" s="86"/>
    </row>
    <row r="19" spans="1:25" s="58" customFormat="1">
      <c r="A19" s="35">
        <v>10</v>
      </c>
      <c r="B19" s="89"/>
      <c r="C19" s="90" t="s">
        <v>2935</v>
      </c>
      <c r="D19" s="35" t="s">
        <v>2916</v>
      </c>
      <c r="E19" s="35" t="s">
        <v>2936</v>
      </c>
      <c r="F19" s="35"/>
      <c r="G19" s="35"/>
      <c r="H19" s="91">
        <v>0</v>
      </c>
      <c r="I19" s="86"/>
      <c r="J19" s="86"/>
      <c r="K19" s="79">
        <f>500*H19</f>
        <v>0</v>
      </c>
      <c r="L19" s="87"/>
      <c r="M19" s="96" t="s">
        <v>2937</v>
      </c>
      <c r="N19" s="9"/>
      <c r="O19" s="85"/>
      <c r="P19" s="35">
        <v>10</v>
      </c>
      <c r="Q19" s="89"/>
      <c r="R19" s="90" t="s">
        <v>2935</v>
      </c>
      <c r="S19" s="35" t="s">
        <v>2916</v>
      </c>
      <c r="T19" s="35" t="s">
        <v>2936</v>
      </c>
      <c r="U19" s="35"/>
      <c r="V19" s="35"/>
      <c r="W19" s="85">
        <v>875500</v>
      </c>
      <c r="X19" s="86"/>
      <c r="Y19" s="86"/>
    </row>
    <row r="20" spans="1:25" s="58" customFormat="1">
      <c r="A20" s="35">
        <v>11</v>
      </c>
      <c r="B20" s="89"/>
      <c r="C20" s="90" t="s">
        <v>2938</v>
      </c>
      <c r="D20" s="35" t="s">
        <v>2916</v>
      </c>
      <c r="E20" s="35" t="s">
        <v>2939</v>
      </c>
      <c r="F20" s="35"/>
      <c r="G20" s="35"/>
      <c r="H20" s="91">
        <v>0</v>
      </c>
      <c r="I20" s="86"/>
      <c r="J20" s="86"/>
      <c r="K20" s="79">
        <f>1500*H20</f>
        <v>0</v>
      </c>
      <c r="L20" s="87"/>
      <c r="M20" s="95">
        <v>1500000</v>
      </c>
      <c r="N20" s="9" t="s">
        <v>2940</v>
      </c>
      <c r="O20" s="85"/>
      <c r="P20" s="35">
        <v>11</v>
      </c>
      <c r="Q20" s="89"/>
      <c r="R20" s="90" t="s">
        <v>2938</v>
      </c>
      <c r="S20" s="35" t="s">
        <v>2916</v>
      </c>
      <c r="T20" s="35" t="s">
        <v>2939</v>
      </c>
      <c r="U20" s="35"/>
      <c r="V20" s="35"/>
      <c r="W20" s="85">
        <v>2575000</v>
      </c>
      <c r="X20" s="86"/>
      <c r="Y20" s="86"/>
    </row>
    <row r="21" spans="1:25" s="58" customFormat="1">
      <c r="A21" s="35">
        <v>12</v>
      </c>
      <c r="B21" s="89"/>
      <c r="C21" s="90" t="s">
        <v>2941</v>
      </c>
      <c r="D21" s="35" t="s">
        <v>2923</v>
      </c>
      <c r="E21" s="35" t="s">
        <v>2942</v>
      </c>
      <c r="F21" s="35"/>
      <c r="G21" s="35"/>
      <c r="H21" s="91">
        <v>0</v>
      </c>
      <c r="I21" s="86"/>
      <c r="J21" s="86"/>
      <c r="K21" s="92">
        <v>1170000000</v>
      </c>
      <c r="L21" s="93"/>
      <c r="M21" s="81"/>
      <c r="N21" s="9"/>
      <c r="O21" s="85"/>
      <c r="P21" s="35">
        <v>12</v>
      </c>
      <c r="Q21" s="89"/>
      <c r="R21" s="90" t="s">
        <v>2941</v>
      </c>
      <c r="S21" s="35" t="s">
        <v>2923</v>
      </c>
      <c r="T21" s="35" t="s">
        <v>2942</v>
      </c>
      <c r="U21" s="35"/>
      <c r="V21" s="35"/>
      <c r="W21" s="85">
        <v>1170000</v>
      </c>
      <c r="X21" s="86"/>
      <c r="Y21" s="86"/>
    </row>
    <row r="22" spans="1:25" s="58" customFormat="1">
      <c r="A22" s="35">
        <v>13</v>
      </c>
      <c r="B22" s="89"/>
      <c r="C22" s="90" t="s">
        <v>2943</v>
      </c>
      <c r="D22" s="35" t="s">
        <v>2923</v>
      </c>
      <c r="E22" s="35" t="s">
        <v>2944</v>
      </c>
      <c r="F22" s="35"/>
      <c r="G22" s="35"/>
      <c r="H22" s="91">
        <v>0</v>
      </c>
      <c r="I22" s="86"/>
      <c r="J22" s="86"/>
      <c r="K22" s="92">
        <v>3795000000</v>
      </c>
      <c r="L22" s="93"/>
      <c r="M22" s="81"/>
      <c r="N22" s="9"/>
      <c r="O22" s="85"/>
      <c r="P22" s="35">
        <v>13</v>
      </c>
      <c r="Q22" s="89"/>
      <c r="R22" s="90" t="s">
        <v>2943</v>
      </c>
      <c r="S22" s="35" t="s">
        <v>2923</v>
      </c>
      <c r="T22" s="35" t="s">
        <v>2944</v>
      </c>
      <c r="U22" s="35"/>
      <c r="V22" s="35"/>
      <c r="W22" s="85">
        <f>W21+(3%*W21)</f>
        <v>1205100</v>
      </c>
      <c r="X22" s="86"/>
      <c r="Y22" s="86"/>
    </row>
    <row r="23" spans="1:25" s="58" customFormat="1">
      <c r="A23" s="35">
        <v>14</v>
      </c>
      <c r="B23" s="89"/>
      <c r="C23" s="90" t="s">
        <v>2945</v>
      </c>
      <c r="D23" s="35" t="s">
        <v>2923</v>
      </c>
      <c r="E23" s="35" t="s">
        <v>2946</v>
      </c>
      <c r="F23" s="35"/>
      <c r="G23" s="35"/>
      <c r="H23" s="91">
        <v>0</v>
      </c>
      <c r="I23" s="86"/>
      <c r="J23" s="86"/>
      <c r="K23" s="92">
        <v>1875000000</v>
      </c>
      <c r="L23" s="93"/>
      <c r="M23" s="81"/>
      <c r="N23" s="9"/>
      <c r="O23" s="85"/>
      <c r="P23" s="35">
        <v>14</v>
      </c>
      <c r="Q23" s="89"/>
      <c r="R23" s="90" t="s">
        <v>2945</v>
      </c>
      <c r="S23" s="35" t="s">
        <v>2923</v>
      </c>
      <c r="T23" s="35" t="s">
        <v>2946</v>
      </c>
      <c r="U23" s="35"/>
      <c r="V23" s="35"/>
      <c r="W23" s="85">
        <v>360500</v>
      </c>
      <c r="X23" s="86"/>
      <c r="Y23" s="86"/>
    </row>
    <row r="24" spans="1:25" s="58" customFormat="1">
      <c r="A24" s="35">
        <v>15</v>
      </c>
      <c r="B24" s="89"/>
      <c r="C24" s="90" t="s">
        <v>2947</v>
      </c>
      <c r="D24" s="35" t="s">
        <v>2923</v>
      </c>
      <c r="E24" s="35" t="s">
        <v>2948</v>
      </c>
      <c r="F24" s="35"/>
      <c r="G24" s="35"/>
      <c r="H24" s="91">
        <v>0</v>
      </c>
      <c r="I24" s="86"/>
      <c r="J24" s="86"/>
      <c r="K24" s="92">
        <v>2875000000</v>
      </c>
      <c r="L24" s="93"/>
      <c r="M24" s="81"/>
      <c r="N24" s="9"/>
      <c r="O24" s="85"/>
      <c r="P24" s="35">
        <v>15</v>
      </c>
      <c r="Q24" s="89"/>
      <c r="R24" s="90" t="s">
        <v>2947</v>
      </c>
      <c r="S24" s="35" t="s">
        <v>2923</v>
      </c>
      <c r="T24" s="35" t="s">
        <v>2948</v>
      </c>
      <c r="U24" s="35"/>
      <c r="V24" s="35"/>
      <c r="W24" s="85">
        <v>489607.96500000003</v>
      </c>
      <c r="X24" s="86"/>
      <c r="Y24" s="86"/>
    </row>
    <row r="25" spans="1:25" s="58" customFormat="1">
      <c r="A25" s="35">
        <v>16</v>
      </c>
      <c r="B25" s="89"/>
      <c r="C25" s="90" t="s">
        <v>2949</v>
      </c>
      <c r="D25" s="35" t="s">
        <v>2923</v>
      </c>
      <c r="E25" s="35" t="s">
        <v>2950</v>
      </c>
      <c r="F25" s="35"/>
      <c r="G25" s="35"/>
      <c r="H25" s="91">
        <v>0</v>
      </c>
      <c r="I25" s="86"/>
      <c r="J25" s="86"/>
      <c r="K25" s="92">
        <v>4125000000</v>
      </c>
      <c r="L25" s="93"/>
      <c r="M25" s="81"/>
      <c r="N25" s="9"/>
      <c r="O25" s="85"/>
      <c r="P25" s="35">
        <v>16</v>
      </c>
      <c r="Q25" s="89"/>
      <c r="R25" s="90" t="s">
        <v>2949</v>
      </c>
      <c r="S25" s="35" t="s">
        <v>2923</v>
      </c>
      <c r="T25" s="35" t="s">
        <v>2950</v>
      </c>
      <c r="U25" s="35"/>
      <c r="V25" s="35"/>
      <c r="W25" s="85">
        <v>847080.58333333337</v>
      </c>
      <c r="X25" s="86"/>
      <c r="Y25" s="86"/>
    </row>
    <row r="26" spans="1:25" s="58" customFormat="1">
      <c r="A26" s="35">
        <v>17</v>
      </c>
      <c r="B26" s="89"/>
      <c r="C26" s="90" t="s">
        <v>2951</v>
      </c>
      <c r="D26" s="35" t="s">
        <v>2916</v>
      </c>
      <c r="E26" s="35" t="s">
        <v>2952</v>
      </c>
      <c r="F26" s="35"/>
      <c r="G26" s="35"/>
      <c r="H26" s="91">
        <v>0</v>
      </c>
      <c r="I26" s="86"/>
      <c r="J26" s="86"/>
      <c r="K26" s="79">
        <f>50*H26</f>
        <v>0</v>
      </c>
      <c r="L26" s="87"/>
      <c r="M26" s="81"/>
      <c r="N26" s="9"/>
      <c r="O26" s="85"/>
      <c r="P26" s="35">
        <v>17</v>
      </c>
      <c r="Q26" s="89"/>
      <c r="R26" s="90" t="s">
        <v>2951</v>
      </c>
      <c r="S26" s="35" t="s">
        <v>2916</v>
      </c>
      <c r="T26" s="35" t="s">
        <v>2952</v>
      </c>
      <c r="U26" s="35"/>
      <c r="V26" s="35"/>
      <c r="W26" s="85">
        <v>150000</v>
      </c>
      <c r="X26" s="86"/>
      <c r="Y26" s="86"/>
    </row>
    <row r="27" spans="1:25" s="58" customFormat="1">
      <c r="A27" s="35">
        <v>18</v>
      </c>
      <c r="B27" s="89"/>
      <c r="C27" s="90" t="s">
        <v>2953</v>
      </c>
      <c r="D27" s="35" t="s">
        <v>2916</v>
      </c>
      <c r="E27" s="35" t="s">
        <v>2954</v>
      </c>
      <c r="F27" s="35"/>
      <c r="G27" s="35"/>
      <c r="H27" s="91">
        <v>0</v>
      </c>
      <c r="I27" s="86"/>
      <c r="J27" s="86"/>
      <c r="K27" s="79">
        <v>450000000</v>
      </c>
      <c r="L27" s="87"/>
      <c r="M27" s="81"/>
      <c r="N27" s="9"/>
      <c r="O27" s="85"/>
      <c r="P27" s="35">
        <v>18</v>
      </c>
      <c r="Q27" s="89"/>
      <c r="R27" s="90" t="s">
        <v>2953</v>
      </c>
      <c r="S27" s="35" t="s">
        <v>2916</v>
      </c>
      <c r="T27" s="35" t="s">
        <v>2954</v>
      </c>
      <c r="U27" s="35"/>
      <c r="V27" s="35"/>
      <c r="W27" s="85">
        <f>W28-(3%*W28)</f>
        <v>672743.5</v>
      </c>
      <c r="X27" s="86"/>
      <c r="Y27" s="86"/>
    </row>
    <row r="28" spans="1:25" s="58" customFormat="1">
      <c r="A28" s="35">
        <v>19</v>
      </c>
      <c r="B28" s="89"/>
      <c r="C28" s="90" t="s">
        <v>2955</v>
      </c>
      <c r="D28" s="35" t="s">
        <v>2923</v>
      </c>
      <c r="E28" s="35" t="s">
        <v>2956</v>
      </c>
      <c r="F28" s="35"/>
      <c r="G28" s="35"/>
      <c r="H28" s="91">
        <v>0</v>
      </c>
      <c r="I28" s="86"/>
      <c r="J28" s="86"/>
      <c r="K28" s="79">
        <v>750000000</v>
      </c>
      <c r="L28" s="87"/>
      <c r="M28" s="81"/>
      <c r="N28" s="9"/>
      <c r="O28" s="85"/>
      <c r="P28" s="35">
        <v>19</v>
      </c>
      <c r="Q28" s="89"/>
      <c r="R28" s="90" t="s">
        <v>2955</v>
      </c>
      <c r="S28" s="35" t="s">
        <v>2923</v>
      </c>
      <c r="T28" s="35" t="s">
        <v>2956</v>
      </c>
      <c r="U28" s="35"/>
      <c r="V28" s="35"/>
      <c r="W28" s="85">
        <f>W29-(3%*W29)</f>
        <v>693550</v>
      </c>
      <c r="X28" s="86"/>
      <c r="Y28" s="86"/>
    </row>
    <row r="29" spans="1:25" s="58" customFormat="1">
      <c r="A29" s="35">
        <v>20</v>
      </c>
      <c r="B29" s="89"/>
      <c r="C29" s="90" t="s">
        <v>2957</v>
      </c>
      <c r="D29" s="35" t="s">
        <v>2923</v>
      </c>
      <c r="E29" s="35" t="s">
        <v>2958</v>
      </c>
      <c r="F29" s="35"/>
      <c r="G29" s="35"/>
      <c r="H29" s="91">
        <v>0</v>
      </c>
      <c r="I29" s="86"/>
      <c r="J29" s="86"/>
      <c r="K29" s="79">
        <v>1250000000</v>
      </c>
      <c r="L29" s="87"/>
      <c r="M29" s="81"/>
      <c r="N29" s="9"/>
      <c r="O29" s="85"/>
      <c r="P29" s="35">
        <v>20</v>
      </c>
      <c r="Q29" s="89"/>
      <c r="R29" s="90" t="s">
        <v>2957</v>
      </c>
      <c r="S29" s="35" t="s">
        <v>2923</v>
      </c>
      <c r="T29" s="35" t="s">
        <v>2958</v>
      </c>
      <c r="U29" s="35"/>
      <c r="V29" s="35"/>
      <c r="W29" s="85">
        <v>715000</v>
      </c>
      <c r="X29" s="86"/>
      <c r="Y29" s="86"/>
    </row>
    <row r="30" spans="1:25">
      <c r="A30" s="35">
        <v>21</v>
      </c>
      <c r="B30" s="89"/>
      <c r="C30" s="90" t="s">
        <v>2959</v>
      </c>
      <c r="D30" s="35" t="s">
        <v>2923</v>
      </c>
      <c r="E30" s="35" t="s">
        <v>2960</v>
      </c>
      <c r="F30" s="35"/>
      <c r="G30" s="35"/>
      <c r="H30" s="91">
        <v>0</v>
      </c>
      <c r="I30" s="86"/>
      <c r="J30" s="86"/>
      <c r="K30" s="79">
        <v>2750000000</v>
      </c>
      <c r="L30" s="87"/>
      <c r="M30" s="81"/>
      <c r="O30" s="85"/>
      <c r="P30" s="35">
        <v>21</v>
      </c>
      <c r="Q30" s="89"/>
      <c r="R30" s="90" t="s">
        <v>2959</v>
      </c>
      <c r="S30" s="35" t="s">
        <v>2923</v>
      </c>
      <c r="T30" s="35" t="s">
        <v>2960</v>
      </c>
      <c r="U30" s="35"/>
      <c r="V30" s="35"/>
      <c r="W30" s="85">
        <f>W29+(3%*W29)</f>
        <v>736450</v>
      </c>
      <c r="X30" s="86"/>
      <c r="Y30" s="86"/>
    </row>
    <row r="31" spans="1:25">
      <c r="A31" s="35">
        <v>22</v>
      </c>
      <c r="B31" s="89"/>
      <c r="C31" s="90" t="s">
        <v>2961</v>
      </c>
      <c r="D31" s="35" t="s">
        <v>2916</v>
      </c>
      <c r="E31" s="35" t="s">
        <v>2962</v>
      </c>
      <c r="F31" s="35"/>
      <c r="G31" s="35"/>
      <c r="H31" s="91">
        <v>0</v>
      </c>
      <c r="I31" s="86"/>
      <c r="J31" s="86"/>
      <c r="K31" s="92">
        <v>335000000</v>
      </c>
      <c r="L31" s="93"/>
      <c r="M31" s="81"/>
      <c r="O31" s="85"/>
      <c r="P31" s="35">
        <v>22</v>
      </c>
      <c r="Q31" s="89"/>
      <c r="R31" s="90" t="s">
        <v>2961</v>
      </c>
      <c r="S31" s="35" t="s">
        <v>2916</v>
      </c>
      <c r="T31" s="35" t="s">
        <v>2962</v>
      </c>
      <c r="U31" s="35"/>
      <c r="V31" s="35"/>
      <c r="W31" s="85">
        <v>2746340.88</v>
      </c>
      <c r="X31" s="86"/>
      <c r="Y31" s="86"/>
    </row>
    <row r="32" spans="1:25">
      <c r="A32" s="35">
        <v>23</v>
      </c>
      <c r="B32" s="89"/>
      <c r="C32" s="90" t="s">
        <v>2963</v>
      </c>
      <c r="D32" s="35" t="s">
        <v>2916</v>
      </c>
      <c r="E32" s="35" t="s">
        <v>2964</v>
      </c>
      <c r="F32" s="35"/>
      <c r="G32" s="35"/>
      <c r="H32" s="91">
        <v>0</v>
      </c>
      <c r="I32" s="86"/>
      <c r="J32" s="86"/>
      <c r="K32" s="92">
        <v>368750000</v>
      </c>
      <c r="L32" s="93"/>
      <c r="M32" s="81"/>
      <c r="O32" s="85"/>
      <c r="P32" s="35">
        <v>23</v>
      </c>
      <c r="Q32" s="89"/>
      <c r="R32" s="90" t="s">
        <v>2963</v>
      </c>
      <c r="S32" s="35" t="s">
        <v>2916</v>
      </c>
      <c r="T32" s="35" t="s">
        <v>2964</v>
      </c>
      <c r="U32" s="35"/>
      <c r="V32" s="35"/>
      <c r="W32" s="85">
        <f>W31+(3%*W31)</f>
        <v>2828731.1063999999</v>
      </c>
      <c r="X32" s="86"/>
      <c r="Y32" s="86"/>
    </row>
    <row r="33" spans="1:26">
      <c r="A33" s="35">
        <v>24</v>
      </c>
      <c r="B33" s="89"/>
      <c r="C33" s="90" t="s">
        <v>2965</v>
      </c>
      <c r="D33" s="35" t="s">
        <v>2916</v>
      </c>
      <c r="E33" s="35" t="s">
        <v>2964</v>
      </c>
      <c r="F33" s="35"/>
      <c r="G33" s="35"/>
      <c r="H33" s="91">
        <v>0</v>
      </c>
      <c r="I33" s="86"/>
      <c r="J33" s="86"/>
      <c r="K33" s="92">
        <f>+H33*2000</f>
        <v>0</v>
      </c>
      <c r="L33" s="93"/>
      <c r="M33" s="81"/>
      <c r="O33" s="85"/>
      <c r="P33" s="35">
        <v>24</v>
      </c>
      <c r="Q33" s="89"/>
      <c r="R33" s="90" t="s">
        <v>2965</v>
      </c>
      <c r="S33" s="35" t="s">
        <v>2916</v>
      </c>
      <c r="T33" s="35" t="s">
        <v>2964</v>
      </c>
      <c r="U33" s="35"/>
      <c r="V33" s="35"/>
      <c r="W33" s="85">
        <f>W32+(3%*W32)</f>
        <v>2913593.0395919997</v>
      </c>
      <c r="X33" s="86"/>
      <c r="Y33" s="86"/>
    </row>
    <row r="34" spans="1:26">
      <c r="A34" s="35">
        <v>25</v>
      </c>
      <c r="B34" s="89"/>
      <c r="C34" s="90" t="s">
        <v>2966</v>
      </c>
      <c r="D34" s="35" t="s">
        <v>2916</v>
      </c>
      <c r="E34" s="35" t="s">
        <v>2964</v>
      </c>
      <c r="F34" s="35"/>
      <c r="G34" s="35"/>
      <c r="H34" s="91">
        <v>0</v>
      </c>
      <c r="I34" s="86"/>
      <c r="J34" s="86"/>
      <c r="K34" s="92">
        <f>+H34*2000</f>
        <v>0</v>
      </c>
      <c r="L34" s="93"/>
      <c r="M34" s="81"/>
      <c r="O34" s="85"/>
      <c r="P34" s="35">
        <v>25</v>
      </c>
      <c r="Q34" s="89"/>
      <c r="R34" s="90" t="s">
        <v>2966</v>
      </c>
      <c r="S34" s="35" t="s">
        <v>2916</v>
      </c>
      <c r="T34" s="35" t="s">
        <v>2964</v>
      </c>
      <c r="U34" s="35"/>
      <c r="V34" s="35"/>
      <c r="W34" s="85">
        <v>4680872.96</v>
      </c>
      <c r="X34" s="86"/>
      <c r="Y34" s="86"/>
    </row>
    <row r="35" spans="1:26">
      <c r="A35" s="35">
        <v>26</v>
      </c>
      <c r="B35" s="89"/>
      <c r="C35" s="90" t="s">
        <v>2967</v>
      </c>
      <c r="D35" s="35" t="s">
        <v>2923</v>
      </c>
      <c r="E35" s="35" t="s">
        <v>2968</v>
      </c>
      <c r="F35" s="35"/>
      <c r="G35" s="35"/>
      <c r="H35" s="91">
        <v>0</v>
      </c>
      <c r="I35" s="86"/>
      <c r="J35" s="86"/>
      <c r="K35" s="79">
        <f>7500*H35</f>
        <v>0</v>
      </c>
      <c r="L35" s="87"/>
      <c r="M35" s="81"/>
      <c r="O35" s="85"/>
      <c r="P35" s="35">
        <v>26</v>
      </c>
      <c r="Q35" s="89"/>
      <c r="R35" s="90" t="s">
        <v>2967</v>
      </c>
      <c r="S35" s="35" t="s">
        <v>2923</v>
      </c>
      <c r="T35" s="35" t="s">
        <v>2968</v>
      </c>
      <c r="U35" s="35"/>
      <c r="V35" s="35"/>
      <c r="W35" s="85">
        <v>82400</v>
      </c>
      <c r="X35" s="86"/>
      <c r="Y35" s="86"/>
    </row>
    <row r="36" spans="1:26">
      <c r="A36" s="35">
        <v>27</v>
      </c>
      <c r="B36" s="89"/>
      <c r="C36" s="90" t="s">
        <v>2969</v>
      </c>
      <c r="D36" s="35" t="s">
        <v>2923</v>
      </c>
      <c r="E36" s="35" t="s">
        <v>2970</v>
      </c>
      <c r="F36" s="35"/>
      <c r="G36" s="35"/>
      <c r="H36" s="91">
        <v>0</v>
      </c>
      <c r="I36" s="86"/>
      <c r="J36" s="86"/>
      <c r="K36" s="79">
        <f>7500*H36</f>
        <v>0</v>
      </c>
      <c r="L36" s="87"/>
      <c r="M36" s="81"/>
      <c r="O36" s="85"/>
      <c r="P36" s="35">
        <v>27</v>
      </c>
      <c r="Q36" s="89"/>
      <c r="R36" s="90" t="s">
        <v>2969</v>
      </c>
      <c r="S36" s="35" t="s">
        <v>2923</v>
      </c>
      <c r="T36" s="35" t="s">
        <v>2970</v>
      </c>
      <c r="U36" s="35"/>
      <c r="V36" s="35"/>
      <c r="W36" s="85">
        <v>154500</v>
      </c>
      <c r="X36" s="86"/>
      <c r="Y36" s="86"/>
      <c r="Z36" s="9" t="e">
        <f>O38/O40</f>
        <v>#DIV/0!</v>
      </c>
    </row>
    <row r="37" spans="1:26">
      <c r="A37" s="35">
        <v>28</v>
      </c>
      <c r="B37" s="89"/>
      <c r="C37" s="90" t="s">
        <v>2971</v>
      </c>
      <c r="D37" s="35" t="s">
        <v>2923</v>
      </c>
      <c r="E37" s="35" t="s">
        <v>2972</v>
      </c>
      <c r="F37" s="35"/>
      <c r="G37" s="35"/>
      <c r="H37" s="91">
        <v>0</v>
      </c>
      <c r="I37" s="86"/>
      <c r="J37" s="86"/>
      <c r="K37" s="79">
        <f>7500*H37</f>
        <v>0</v>
      </c>
      <c r="L37" s="87"/>
      <c r="M37" s="81"/>
      <c r="O37" s="85"/>
      <c r="P37" s="35">
        <v>28</v>
      </c>
      <c r="Q37" s="89"/>
      <c r="R37" s="90" t="s">
        <v>2971</v>
      </c>
      <c r="S37" s="35" t="s">
        <v>2923</v>
      </c>
      <c r="T37" s="35" t="s">
        <v>2972</v>
      </c>
      <c r="U37" s="35"/>
      <c r="V37" s="35"/>
      <c r="W37" s="85">
        <v>288400</v>
      </c>
      <c r="X37" s="86"/>
      <c r="Y37" s="86"/>
      <c r="Z37" s="9" t="e">
        <f>O39/O40</f>
        <v>#DIV/0!</v>
      </c>
    </row>
    <row r="38" spans="1:26">
      <c r="A38" s="35">
        <v>29</v>
      </c>
      <c r="B38" s="89"/>
      <c r="C38" s="90" t="s">
        <v>2973</v>
      </c>
      <c r="D38" s="35" t="s">
        <v>2923</v>
      </c>
      <c r="E38" s="35" t="s">
        <v>2974</v>
      </c>
      <c r="F38" s="35"/>
      <c r="G38" s="35"/>
      <c r="H38" s="91">
        <v>0</v>
      </c>
      <c r="I38" s="86"/>
      <c r="J38" s="86"/>
      <c r="K38" s="79">
        <f>7500*H38</f>
        <v>0</v>
      </c>
      <c r="L38" s="87"/>
      <c r="M38" s="81"/>
      <c r="O38" s="85"/>
      <c r="P38" s="35">
        <v>29</v>
      </c>
      <c r="Q38" s="89"/>
      <c r="R38" s="90" t="s">
        <v>2973</v>
      </c>
      <c r="S38" s="35" t="s">
        <v>2916</v>
      </c>
      <c r="T38" s="35" t="s">
        <v>2974</v>
      </c>
      <c r="U38" s="35"/>
      <c r="V38" s="35"/>
      <c r="W38" s="85">
        <v>208766.93792499998</v>
      </c>
      <c r="X38" s="86"/>
      <c r="Y38" s="86"/>
      <c r="Z38" s="9" t="e">
        <f>O41/O40</f>
        <v>#DIV/0!</v>
      </c>
    </row>
    <row r="39" spans="1:26">
      <c r="A39" s="35">
        <v>30</v>
      </c>
      <c r="B39" s="89"/>
      <c r="C39" s="90" t="s">
        <v>2975</v>
      </c>
      <c r="D39" s="35" t="s">
        <v>2923</v>
      </c>
      <c r="E39" s="35" t="s">
        <v>2976</v>
      </c>
      <c r="F39" s="35"/>
      <c r="G39" s="35"/>
      <c r="H39" s="91">
        <v>0</v>
      </c>
      <c r="I39" s="86" t="s">
        <v>2910</v>
      </c>
      <c r="J39" s="86"/>
      <c r="K39" s="92">
        <v>800000000</v>
      </c>
      <c r="L39" s="93"/>
      <c r="M39" s="81"/>
      <c r="O39" s="85"/>
      <c r="P39" s="35">
        <v>30</v>
      </c>
      <c r="Q39" s="89"/>
      <c r="R39" s="90" t="s">
        <v>2975</v>
      </c>
      <c r="S39" s="35" t="s">
        <v>2916</v>
      </c>
      <c r="T39" s="35" t="s">
        <v>2976</v>
      </c>
      <c r="U39" s="35"/>
      <c r="V39" s="35"/>
      <c r="W39" s="85">
        <v>321179.90449999995</v>
      </c>
      <c r="X39" s="86"/>
      <c r="Y39" s="86"/>
    </row>
    <row r="40" spans="1:26">
      <c r="A40" s="35">
        <v>31</v>
      </c>
      <c r="B40" s="89"/>
      <c r="C40" s="90" t="s">
        <v>2977</v>
      </c>
      <c r="D40" s="35" t="s">
        <v>2923</v>
      </c>
      <c r="E40" s="35" t="s">
        <v>2978</v>
      </c>
      <c r="F40" s="35"/>
      <c r="G40" s="35"/>
      <c r="H40" s="91">
        <v>0</v>
      </c>
      <c r="I40" s="86" t="s">
        <v>2910</v>
      </c>
      <c r="J40" s="86"/>
      <c r="K40" s="92">
        <v>900000000</v>
      </c>
      <c r="L40" s="93"/>
      <c r="M40" s="81"/>
      <c r="O40" s="85"/>
      <c r="P40" s="35">
        <v>31</v>
      </c>
      <c r="Q40" s="89"/>
      <c r="R40" s="90" t="s">
        <v>2977</v>
      </c>
      <c r="S40" s="35" t="s">
        <v>2916</v>
      </c>
      <c r="T40" s="35" t="s">
        <v>2978</v>
      </c>
      <c r="U40" s="35"/>
      <c r="V40" s="35"/>
      <c r="W40" s="85">
        <v>698988.77</v>
      </c>
      <c r="X40" s="86" t="s">
        <v>2910</v>
      </c>
      <c r="Y40" s="86"/>
    </row>
    <row r="41" spans="1:26">
      <c r="A41" s="35">
        <v>32</v>
      </c>
      <c r="B41" s="89"/>
      <c r="C41" s="90" t="s">
        <v>2979</v>
      </c>
      <c r="D41" s="35" t="s">
        <v>2923</v>
      </c>
      <c r="E41" s="35" t="s">
        <v>2980</v>
      </c>
      <c r="F41" s="35"/>
      <c r="G41" s="35"/>
      <c r="H41" s="91">
        <v>0</v>
      </c>
      <c r="I41" s="86"/>
      <c r="J41" s="86"/>
      <c r="K41" s="79">
        <f>7500*H41</f>
        <v>0</v>
      </c>
      <c r="L41" s="93"/>
      <c r="M41" s="81"/>
      <c r="O41" s="85"/>
      <c r="P41" s="35">
        <v>32</v>
      </c>
      <c r="Q41" s="89"/>
      <c r="R41" s="90" t="s">
        <v>2979</v>
      </c>
      <c r="S41" s="35" t="s">
        <v>2916</v>
      </c>
      <c r="T41" s="35" t="s">
        <v>2980</v>
      </c>
      <c r="U41" s="35"/>
      <c r="V41" s="35"/>
      <c r="W41" s="85">
        <f>W40+(3%*W40)</f>
        <v>719958.43310000002</v>
      </c>
      <c r="X41" s="86" t="s">
        <v>3230</v>
      </c>
      <c r="Y41" s="86"/>
    </row>
    <row r="42" spans="1:26">
      <c r="A42" s="35">
        <v>33</v>
      </c>
      <c r="B42" s="89"/>
      <c r="C42" s="90" t="s">
        <v>2981</v>
      </c>
      <c r="D42" s="35" t="s">
        <v>2923</v>
      </c>
      <c r="E42" s="35" t="s">
        <v>2982</v>
      </c>
      <c r="F42" s="35"/>
      <c r="G42" s="35"/>
      <c r="H42" s="91">
        <v>0</v>
      </c>
      <c r="I42" s="86"/>
      <c r="J42" s="86"/>
      <c r="K42" s="92">
        <v>529000000</v>
      </c>
      <c r="L42" s="93"/>
      <c r="M42" s="81"/>
      <c r="O42" s="85"/>
      <c r="P42" s="35">
        <v>33</v>
      </c>
      <c r="Q42" s="89"/>
      <c r="R42" s="90" t="s">
        <v>2981</v>
      </c>
      <c r="S42" s="35" t="s">
        <v>2916</v>
      </c>
      <c r="T42" s="35" t="s">
        <v>2982</v>
      </c>
      <c r="U42" s="35"/>
      <c r="V42" s="35"/>
      <c r="W42" s="85">
        <v>564541.87</v>
      </c>
      <c r="X42" s="86"/>
      <c r="Y42" s="86"/>
    </row>
    <row r="43" spans="1:26">
      <c r="A43" s="35">
        <v>34</v>
      </c>
      <c r="B43" s="89"/>
      <c r="C43" s="36" t="s">
        <v>2983</v>
      </c>
      <c r="D43" s="35" t="s">
        <v>2916</v>
      </c>
      <c r="E43" s="35" t="s">
        <v>2984</v>
      </c>
      <c r="F43" s="86"/>
      <c r="G43" s="86"/>
      <c r="H43" s="91">
        <v>0</v>
      </c>
      <c r="I43" s="86"/>
      <c r="J43" s="86"/>
      <c r="K43" s="79">
        <f>50*H43</f>
        <v>0</v>
      </c>
      <c r="L43" s="87"/>
      <c r="M43" s="81"/>
      <c r="O43" s="85"/>
      <c r="P43" s="35">
        <v>34</v>
      </c>
      <c r="Q43" s="89"/>
      <c r="R43" s="36" t="s">
        <v>2983</v>
      </c>
      <c r="S43" s="35" t="s">
        <v>2916</v>
      </c>
      <c r="T43" s="35" t="s">
        <v>2984</v>
      </c>
      <c r="U43" s="86"/>
      <c r="V43" s="86"/>
      <c r="W43" s="85">
        <v>2575000</v>
      </c>
      <c r="X43" s="86"/>
      <c r="Y43" s="86"/>
    </row>
    <row r="44" spans="1:26">
      <c r="A44" s="35">
        <v>35</v>
      </c>
      <c r="B44" s="89"/>
      <c r="C44" s="36" t="s">
        <v>2985</v>
      </c>
      <c r="D44" s="35" t="s">
        <v>137</v>
      </c>
      <c r="E44" s="35" t="s">
        <v>2986</v>
      </c>
      <c r="F44" s="86"/>
      <c r="G44" s="86"/>
      <c r="H44" s="91">
        <v>0</v>
      </c>
      <c r="I44" s="86"/>
      <c r="J44" s="86"/>
      <c r="K44" s="79">
        <f>1500*H44</f>
        <v>0</v>
      </c>
      <c r="L44" s="87"/>
      <c r="M44" s="81"/>
      <c r="O44" s="85"/>
      <c r="P44" s="35">
        <v>35</v>
      </c>
      <c r="Q44" s="89"/>
      <c r="R44" s="36" t="s">
        <v>2985</v>
      </c>
      <c r="S44" s="35" t="s">
        <v>137</v>
      </c>
      <c r="T44" s="35" t="s">
        <v>2986</v>
      </c>
      <c r="U44" s="86"/>
      <c r="V44" s="86"/>
      <c r="W44" s="85">
        <v>154500</v>
      </c>
      <c r="X44" s="86"/>
      <c r="Y44" s="86"/>
    </row>
    <row r="45" spans="1:26">
      <c r="A45" s="35">
        <v>36</v>
      </c>
      <c r="B45" s="89"/>
      <c r="C45" s="36" t="s">
        <v>2987</v>
      </c>
      <c r="D45" s="35" t="s">
        <v>137</v>
      </c>
      <c r="E45" s="35" t="s">
        <v>2988</v>
      </c>
      <c r="F45" s="86"/>
      <c r="G45" s="86"/>
      <c r="H45" s="91">
        <v>0</v>
      </c>
      <c r="I45" s="86"/>
      <c r="J45" s="86"/>
      <c r="K45" s="79">
        <f>1500*H45</f>
        <v>0</v>
      </c>
      <c r="L45" s="87"/>
      <c r="M45" s="81"/>
      <c r="O45" s="85"/>
      <c r="P45" s="35">
        <v>36</v>
      </c>
      <c r="Q45" s="89"/>
      <c r="R45" s="36" t="s">
        <v>2987</v>
      </c>
      <c r="S45" s="35" t="s">
        <v>137</v>
      </c>
      <c r="T45" s="35" t="s">
        <v>2988</v>
      </c>
      <c r="U45" s="86"/>
      <c r="V45" s="86"/>
      <c r="W45" s="85">
        <v>772500</v>
      </c>
      <c r="X45" s="86"/>
      <c r="Y45" s="86"/>
    </row>
    <row r="46" spans="1:26">
      <c r="A46" s="35">
        <v>37</v>
      </c>
      <c r="B46" s="89"/>
      <c r="C46" s="90" t="s">
        <v>2989</v>
      </c>
      <c r="D46" s="35" t="s">
        <v>2923</v>
      </c>
      <c r="E46" s="35" t="s">
        <v>2990</v>
      </c>
      <c r="F46" s="35"/>
      <c r="G46" s="35"/>
      <c r="H46" s="91">
        <v>0</v>
      </c>
      <c r="I46" s="86"/>
      <c r="J46" s="86"/>
      <c r="K46" s="92">
        <f>1500000+131100000</f>
        <v>132600000</v>
      </c>
      <c r="L46" s="93"/>
      <c r="M46" s="81"/>
      <c r="O46" s="85"/>
      <c r="P46" s="35">
        <v>37</v>
      </c>
      <c r="Q46" s="89"/>
      <c r="R46" s="90" t="s">
        <v>2989</v>
      </c>
      <c r="S46" s="35" t="s">
        <v>2916</v>
      </c>
      <c r="T46" s="35" t="s">
        <v>2990</v>
      </c>
      <c r="U46" s="35"/>
      <c r="V46" s="35"/>
      <c r="W46" s="85">
        <v>57408.29</v>
      </c>
      <c r="X46" s="86"/>
      <c r="Y46" s="86"/>
    </row>
    <row r="47" spans="1:26">
      <c r="A47" s="35">
        <v>38</v>
      </c>
      <c r="B47" s="89"/>
      <c r="C47" s="90" t="s">
        <v>2991</v>
      </c>
      <c r="D47" s="35" t="s">
        <v>2923</v>
      </c>
      <c r="E47" s="35" t="s">
        <v>2992</v>
      </c>
      <c r="F47" s="35"/>
      <c r="G47" s="35"/>
      <c r="H47" s="91">
        <v>0</v>
      </c>
      <c r="I47" s="86"/>
      <c r="J47" s="86"/>
      <c r="K47" s="92">
        <v>250000000</v>
      </c>
      <c r="L47" s="93"/>
      <c r="M47" s="81"/>
      <c r="O47" s="85"/>
      <c r="P47" s="35">
        <v>38</v>
      </c>
      <c r="Q47" s="89"/>
      <c r="R47" s="90" t="s">
        <v>2991</v>
      </c>
      <c r="S47" s="35" t="s">
        <v>2916</v>
      </c>
      <c r="T47" s="35" t="s">
        <v>2992</v>
      </c>
      <c r="U47" s="35"/>
      <c r="V47" s="35"/>
      <c r="W47" s="85">
        <f>W46+(3%*W46)</f>
        <v>59130.538699999997</v>
      </c>
      <c r="X47" s="86"/>
      <c r="Y47" s="86"/>
    </row>
    <row r="48" spans="1:26">
      <c r="A48" s="35">
        <v>39</v>
      </c>
      <c r="B48" s="89"/>
      <c r="C48" s="90" t="s">
        <v>2993</v>
      </c>
      <c r="D48" s="35" t="s">
        <v>2923</v>
      </c>
      <c r="E48" s="35" t="s">
        <v>2994</v>
      </c>
      <c r="F48" s="35"/>
      <c r="G48" s="35"/>
      <c r="H48" s="91">
        <v>0</v>
      </c>
      <c r="I48" s="86"/>
      <c r="J48" s="86"/>
      <c r="K48" s="79">
        <f>50*H48</f>
        <v>0</v>
      </c>
      <c r="L48" s="87"/>
      <c r="M48" s="81"/>
      <c r="O48" s="85"/>
      <c r="P48" s="35">
        <v>39</v>
      </c>
      <c r="Q48" s="89"/>
      <c r="R48" s="90" t="s">
        <v>2993</v>
      </c>
      <c r="S48" s="35" t="s">
        <v>2916</v>
      </c>
      <c r="T48" s="35" t="s">
        <v>2994</v>
      </c>
      <c r="U48" s="35"/>
      <c r="V48" s="35"/>
      <c r="W48" s="85">
        <v>1000000</v>
      </c>
      <c r="X48" s="86"/>
      <c r="Y48" s="86"/>
    </row>
    <row r="49" spans="1:25">
      <c r="A49" s="35">
        <v>40</v>
      </c>
      <c r="B49" s="89"/>
      <c r="C49" s="90" t="s">
        <v>2995</v>
      </c>
      <c r="D49" s="35" t="s">
        <v>2916</v>
      </c>
      <c r="E49" s="35" t="s">
        <v>2996</v>
      </c>
      <c r="F49" s="35"/>
      <c r="G49" s="35"/>
      <c r="H49" s="91">
        <v>0</v>
      </c>
      <c r="I49" s="86"/>
      <c r="J49" s="86"/>
      <c r="K49" s="79">
        <f>2000*H49</f>
        <v>0</v>
      </c>
      <c r="L49" s="87"/>
      <c r="M49" s="81"/>
      <c r="O49" s="85"/>
      <c r="P49" s="35">
        <v>40</v>
      </c>
      <c r="Q49" s="89"/>
      <c r="R49" s="90" t="s">
        <v>2995</v>
      </c>
      <c r="S49" s="35" t="s">
        <v>2916</v>
      </c>
      <c r="T49" s="35" t="s">
        <v>2996</v>
      </c>
      <c r="U49" s="35"/>
      <c r="V49" s="35"/>
      <c r="W49" s="85">
        <v>7771350</v>
      </c>
      <c r="X49" s="86"/>
      <c r="Y49" s="86"/>
    </row>
    <row r="50" spans="1:25">
      <c r="A50" s="35">
        <v>41</v>
      </c>
      <c r="B50" s="89"/>
      <c r="C50" s="90" t="s">
        <v>2997</v>
      </c>
      <c r="D50" s="35" t="s">
        <v>2916</v>
      </c>
      <c r="E50" s="35" t="s">
        <v>2998</v>
      </c>
      <c r="F50" s="35"/>
      <c r="G50" s="35"/>
      <c r="H50" s="91">
        <v>0</v>
      </c>
      <c r="I50" s="86"/>
      <c r="J50" s="86"/>
      <c r="K50" s="79">
        <f>2750*H50</f>
        <v>0</v>
      </c>
      <c r="L50" s="87"/>
      <c r="M50" s="81"/>
      <c r="O50" s="85"/>
      <c r="P50" s="35">
        <v>41</v>
      </c>
      <c r="Q50" s="89"/>
      <c r="R50" s="90" t="s">
        <v>2997</v>
      </c>
      <c r="S50" s="35" t="s">
        <v>2916</v>
      </c>
      <c r="T50" s="35" t="s">
        <v>2998</v>
      </c>
      <c r="U50" s="35"/>
      <c r="V50" s="35"/>
      <c r="W50" s="85">
        <v>10871650</v>
      </c>
      <c r="X50" s="86"/>
      <c r="Y50" s="86"/>
    </row>
    <row r="51" spans="1:25">
      <c r="A51" s="52">
        <v>42</v>
      </c>
      <c r="B51" s="97"/>
      <c r="C51" s="99" t="s">
        <v>2999</v>
      </c>
      <c r="D51" s="52" t="s">
        <v>2916</v>
      </c>
      <c r="E51" s="52" t="s">
        <v>3000</v>
      </c>
      <c r="F51" s="52"/>
      <c r="G51" s="52"/>
      <c r="H51" s="91">
        <v>0</v>
      </c>
      <c r="I51" s="98"/>
      <c r="J51" s="98"/>
      <c r="K51" s="79">
        <f>3500*H51</f>
        <v>0</v>
      </c>
      <c r="L51" s="87"/>
      <c r="M51" s="81"/>
      <c r="O51" s="53"/>
      <c r="P51" s="52">
        <v>42</v>
      </c>
      <c r="Q51" s="97"/>
      <c r="R51" s="99" t="s">
        <v>2999</v>
      </c>
      <c r="S51" s="52" t="s">
        <v>2916</v>
      </c>
      <c r="T51" s="52" t="s">
        <v>3000</v>
      </c>
      <c r="U51" s="52"/>
      <c r="V51" s="52"/>
      <c r="W51" s="53">
        <v>17958050</v>
      </c>
      <c r="X51" s="98"/>
      <c r="Y51" s="98"/>
    </row>
    <row r="52" spans="1:25">
      <c r="A52" s="100">
        <v>43</v>
      </c>
      <c r="B52" s="101"/>
      <c r="C52" s="78" t="s">
        <v>3001</v>
      </c>
      <c r="D52" s="100" t="s">
        <v>2916</v>
      </c>
      <c r="E52" s="100" t="s">
        <v>3002</v>
      </c>
      <c r="F52" s="100"/>
      <c r="G52" s="100"/>
      <c r="H52" s="91">
        <v>0</v>
      </c>
      <c r="I52" s="76"/>
      <c r="J52" s="76"/>
      <c r="K52" s="92">
        <v>132250000</v>
      </c>
      <c r="L52" s="93"/>
      <c r="M52" s="81"/>
      <c r="O52" s="102"/>
      <c r="P52" s="100">
        <v>43</v>
      </c>
      <c r="Q52" s="101"/>
      <c r="R52" s="78" t="s">
        <v>3001</v>
      </c>
      <c r="S52" s="100" t="s">
        <v>2916</v>
      </c>
      <c r="T52" s="100" t="s">
        <v>3002</v>
      </c>
      <c r="U52" s="100"/>
      <c r="V52" s="100"/>
      <c r="W52" s="102">
        <v>220000</v>
      </c>
      <c r="X52" s="76"/>
      <c r="Y52" s="86"/>
    </row>
    <row r="53" spans="1:25">
      <c r="A53" s="35">
        <v>44</v>
      </c>
      <c r="B53" s="89"/>
      <c r="C53" s="90" t="s">
        <v>3003</v>
      </c>
      <c r="D53" s="35" t="s">
        <v>2923</v>
      </c>
      <c r="E53" s="35" t="s">
        <v>3004</v>
      </c>
      <c r="F53" s="35"/>
      <c r="G53" s="35"/>
      <c r="H53" s="91">
        <v>0</v>
      </c>
      <c r="I53" s="86"/>
      <c r="J53" s="86"/>
      <c r="K53" s="79">
        <f>7500*H53</f>
        <v>0</v>
      </c>
      <c r="L53" s="87"/>
      <c r="M53" s="81"/>
      <c r="O53" s="85"/>
      <c r="P53" s="35">
        <v>44</v>
      </c>
      <c r="Q53" s="89"/>
      <c r="R53" s="90" t="s">
        <v>3003</v>
      </c>
      <c r="S53" s="35" t="s">
        <v>2923</v>
      </c>
      <c r="T53" s="35" t="s">
        <v>3004</v>
      </c>
      <c r="U53" s="35"/>
      <c r="V53" s="35"/>
      <c r="W53" s="85">
        <v>350200</v>
      </c>
      <c r="X53" s="86"/>
      <c r="Y53" s="86"/>
    </row>
    <row r="54" spans="1:25">
      <c r="A54" s="35">
        <v>45</v>
      </c>
      <c r="B54" s="89"/>
      <c r="C54" s="90" t="s">
        <v>3005</v>
      </c>
      <c r="D54" s="35" t="s">
        <v>2923</v>
      </c>
      <c r="E54" s="35" t="s">
        <v>3006</v>
      </c>
      <c r="F54" s="35"/>
      <c r="G54" s="35"/>
      <c r="H54" s="91">
        <v>0</v>
      </c>
      <c r="I54" s="86"/>
      <c r="J54" s="86"/>
      <c r="K54" s="92">
        <v>345000000</v>
      </c>
      <c r="L54" s="93"/>
      <c r="M54" s="81"/>
      <c r="O54" s="85"/>
      <c r="P54" s="35">
        <v>45</v>
      </c>
      <c r="Q54" s="89"/>
      <c r="R54" s="90" t="s">
        <v>3005</v>
      </c>
      <c r="S54" s="35" t="s">
        <v>2916</v>
      </c>
      <c r="T54" s="35" t="s">
        <v>3006</v>
      </c>
      <c r="U54" s="35"/>
      <c r="V54" s="35"/>
      <c r="W54" s="85">
        <v>586623.6</v>
      </c>
      <c r="X54" s="86"/>
      <c r="Y54" s="86"/>
    </row>
    <row r="55" spans="1:25">
      <c r="A55" s="35">
        <v>46</v>
      </c>
      <c r="B55" s="89"/>
      <c r="C55" s="90" t="s">
        <v>3007</v>
      </c>
      <c r="D55" s="35" t="s">
        <v>2923</v>
      </c>
      <c r="E55" s="35" t="s">
        <v>3008</v>
      </c>
      <c r="F55" s="35"/>
      <c r="G55" s="35"/>
      <c r="H55" s="91">
        <v>0</v>
      </c>
      <c r="I55" s="86"/>
      <c r="J55" s="86"/>
      <c r="K55" s="92">
        <v>1725000000</v>
      </c>
      <c r="L55" s="93"/>
      <c r="M55" s="81"/>
      <c r="O55" s="85"/>
      <c r="P55" s="35">
        <v>46</v>
      </c>
      <c r="Q55" s="89"/>
      <c r="R55" s="90" t="s">
        <v>3007</v>
      </c>
      <c r="S55" s="35" t="s">
        <v>2916</v>
      </c>
      <c r="T55" s="35" t="s">
        <v>3008</v>
      </c>
      <c r="U55" s="35"/>
      <c r="V55" s="35"/>
      <c r="W55" s="85">
        <v>867386.41999999993</v>
      </c>
      <c r="X55" s="86"/>
      <c r="Y55" s="86"/>
    </row>
    <row r="56" spans="1:25">
      <c r="A56" s="35">
        <v>47</v>
      </c>
      <c r="B56" s="89"/>
      <c r="C56" s="90" t="s">
        <v>3009</v>
      </c>
      <c r="D56" s="35" t="s">
        <v>2911</v>
      </c>
      <c r="E56" s="35" t="s">
        <v>3010</v>
      </c>
      <c r="F56" s="35"/>
      <c r="G56" s="35"/>
      <c r="H56" s="91">
        <v>0</v>
      </c>
      <c r="I56" s="86"/>
      <c r="J56" s="86"/>
      <c r="K56" s="92"/>
      <c r="L56" s="93"/>
      <c r="M56" s="81"/>
      <c r="O56" s="85"/>
      <c r="P56" s="35">
        <v>47</v>
      </c>
      <c r="Q56" s="89"/>
      <c r="R56" s="90" t="s">
        <v>3009</v>
      </c>
      <c r="S56" s="35" t="s">
        <v>2911</v>
      </c>
      <c r="T56" s="35" t="s">
        <v>3010</v>
      </c>
      <c r="U56" s="35"/>
      <c r="V56" s="35"/>
      <c r="W56" s="85">
        <v>309000</v>
      </c>
      <c r="X56" s="86"/>
      <c r="Y56" s="86"/>
    </row>
    <row r="57" spans="1:25">
      <c r="A57" s="35">
        <v>48</v>
      </c>
      <c r="B57" s="89"/>
      <c r="C57" s="36" t="s">
        <v>3011</v>
      </c>
      <c r="D57" s="35" t="s">
        <v>215</v>
      </c>
      <c r="E57" s="35" t="s">
        <v>3012</v>
      </c>
      <c r="F57" s="86"/>
      <c r="G57" s="86"/>
      <c r="H57" s="91">
        <v>0</v>
      </c>
      <c r="I57" s="86"/>
      <c r="J57" s="86"/>
      <c r="K57" s="79">
        <f>+H57</f>
        <v>0</v>
      </c>
      <c r="L57" s="87"/>
      <c r="M57" s="81"/>
      <c r="O57" s="85"/>
      <c r="P57" s="35">
        <v>48</v>
      </c>
      <c r="Q57" s="89"/>
      <c r="R57" s="36" t="s">
        <v>3011</v>
      </c>
      <c r="S57" s="35" t="s">
        <v>215</v>
      </c>
      <c r="T57" s="35" t="s">
        <v>3012</v>
      </c>
      <c r="U57" s="86"/>
      <c r="V57" s="86"/>
      <c r="W57" s="85">
        <v>123600000</v>
      </c>
      <c r="X57" s="86"/>
      <c r="Y57" s="86"/>
    </row>
    <row r="58" spans="1:25">
      <c r="A58" s="35">
        <v>49</v>
      </c>
      <c r="B58" s="89"/>
      <c r="C58" s="90" t="s">
        <v>3013</v>
      </c>
      <c r="D58" s="35" t="s">
        <v>2916</v>
      </c>
      <c r="E58" s="35" t="s">
        <v>3014</v>
      </c>
      <c r="F58" s="35"/>
      <c r="G58" s="35"/>
      <c r="H58" s="91">
        <v>0</v>
      </c>
      <c r="I58" s="86"/>
      <c r="J58" s="86"/>
      <c r="K58" s="79">
        <f>50*H58</f>
        <v>0</v>
      </c>
      <c r="L58" s="87"/>
      <c r="M58" s="81"/>
      <c r="O58" s="85"/>
      <c r="P58" s="35">
        <v>49</v>
      </c>
      <c r="Q58" s="89"/>
      <c r="R58" s="90" t="s">
        <v>3013</v>
      </c>
      <c r="S58" s="35" t="s">
        <v>2916</v>
      </c>
      <c r="T58" s="35" t="s">
        <v>3014</v>
      </c>
      <c r="U58" s="35"/>
      <c r="V58" s="35"/>
      <c r="W58" s="85">
        <v>257500</v>
      </c>
      <c r="X58" s="86"/>
      <c r="Y58" s="86"/>
    </row>
    <row r="59" spans="1:25">
      <c r="A59" s="35">
        <v>50</v>
      </c>
      <c r="B59" s="89"/>
      <c r="C59" s="90" t="s">
        <v>3015</v>
      </c>
      <c r="D59" s="35" t="s">
        <v>2916</v>
      </c>
      <c r="E59" s="35" t="s">
        <v>3016</v>
      </c>
      <c r="F59" s="35"/>
      <c r="G59" s="35"/>
      <c r="H59" s="91">
        <v>0</v>
      </c>
      <c r="I59" s="86"/>
      <c r="J59" s="86"/>
      <c r="K59" s="79">
        <f>100*H59</f>
        <v>0</v>
      </c>
      <c r="L59" s="87"/>
      <c r="M59" s="81" t="s">
        <v>3017</v>
      </c>
      <c r="O59" s="85"/>
      <c r="P59" s="35">
        <v>50</v>
      </c>
      <c r="Q59" s="89"/>
      <c r="R59" s="90" t="s">
        <v>3015</v>
      </c>
      <c r="S59" s="35" t="s">
        <v>2916</v>
      </c>
      <c r="T59" s="35" t="s">
        <v>3016</v>
      </c>
      <c r="U59" s="35"/>
      <c r="V59" s="35"/>
      <c r="W59" s="85">
        <v>24000</v>
      </c>
      <c r="X59" s="86"/>
      <c r="Y59" s="86"/>
    </row>
    <row r="60" spans="1:25">
      <c r="A60" s="35">
        <v>51</v>
      </c>
      <c r="B60" s="89"/>
      <c r="C60" s="90" t="s">
        <v>3018</v>
      </c>
      <c r="D60" s="35" t="s">
        <v>2923</v>
      </c>
      <c r="E60" s="35" t="s">
        <v>3019</v>
      </c>
      <c r="F60" s="35"/>
      <c r="G60" s="35"/>
      <c r="H60" s="91">
        <v>0</v>
      </c>
      <c r="I60" s="86"/>
      <c r="J60" s="86"/>
      <c r="K60" s="79">
        <f>50*H60</f>
        <v>0</v>
      </c>
      <c r="L60" s="87"/>
      <c r="M60" s="81"/>
      <c r="O60" s="85"/>
      <c r="P60" s="35">
        <v>51</v>
      </c>
      <c r="Q60" s="89"/>
      <c r="R60" s="90" t="s">
        <v>3018</v>
      </c>
      <c r="S60" s="35" t="s">
        <v>2916</v>
      </c>
      <c r="T60" s="35" t="s">
        <v>3019</v>
      </c>
      <c r="U60" s="35"/>
      <c r="V60" s="35"/>
      <c r="W60" s="85">
        <f>W61-(3%*W61)</f>
        <v>128040</v>
      </c>
      <c r="X60" s="86"/>
      <c r="Y60" s="86"/>
    </row>
    <row r="61" spans="1:25">
      <c r="A61" s="35">
        <v>52</v>
      </c>
      <c r="B61" s="89"/>
      <c r="C61" s="90" t="s">
        <v>3020</v>
      </c>
      <c r="D61" s="35" t="s">
        <v>2923</v>
      </c>
      <c r="E61" s="35" t="s">
        <v>3021</v>
      </c>
      <c r="F61" s="35"/>
      <c r="G61" s="35"/>
      <c r="H61" s="91">
        <v>0</v>
      </c>
      <c r="I61" s="86"/>
      <c r="J61" s="86"/>
      <c r="K61" s="79">
        <f>50*H61</f>
        <v>0</v>
      </c>
      <c r="L61" s="87"/>
      <c r="M61" s="81"/>
      <c r="O61" s="85"/>
      <c r="P61" s="35">
        <v>52</v>
      </c>
      <c r="Q61" s="89"/>
      <c r="R61" s="90" t="s">
        <v>3020</v>
      </c>
      <c r="S61" s="35" t="s">
        <v>2916</v>
      </c>
      <c r="T61" s="35" t="s">
        <v>3021</v>
      </c>
      <c r="U61" s="35"/>
      <c r="V61" s="35"/>
      <c r="W61" s="85">
        <v>132000</v>
      </c>
      <c r="X61" s="86"/>
      <c r="Y61" s="86"/>
    </row>
    <row r="62" spans="1:25">
      <c r="A62" s="35">
        <v>53</v>
      </c>
      <c r="B62" s="89"/>
      <c r="C62" s="90" t="s">
        <v>3022</v>
      </c>
      <c r="D62" s="35" t="s">
        <v>2923</v>
      </c>
      <c r="E62" s="35" t="s">
        <v>3023</v>
      </c>
      <c r="F62" s="35"/>
      <c r="G62" s="35"/>
      <c r="H62" s="91">
        <v>0</v>
      </c>
      <c r="I62" s="86"/>
      <c r="J62" s="86"/>
      <c r="K62" s="92">
        <v>230000000</v>
      </c>
      <c r="L62" s="93"/>
      <c r="M62" s="81"/>
      <c r="O62" s="85"/>
      <c r="P62" s="35">
        <v>53</v>
      </c>
      <c r="Q62" s="89"/>
      <c r="R62" s="90" t="s">
        <v>3022</v>
      </c>
      <c r="S62" s="35" t="s">
        <v>2916</v>
      </c>
      <c r="T62" s="35" t="s">
        <v>3023</v>
      </c>
      <c r="U62" s="35"/>
      <c r="V62" s="35"/>
      <c r="W62" s="85">
        <v>261002</v>
      </c>
      <c r="X62" s="86"/>
      <c r="Y62" s="86"/>
    </row>
    <row r="63" spans="1:25">
      <c r="A63" s="35">
        <v>54</v>
      </c>
      <c r="B63" s="89"/>
      <c r="C63" s="90" t="s">
        <v>3024</v>
      </c>
      <c r="D63" s="35" t="s">
        <v>2916</v>
      </c>
      <c r="E63" s="35" t="s">
        <v>3025</v>
      </c>
      <c r="F63" s="35"/>
      <c r="G63" s="35"/>
      <c r="H63" s="91">
        <v>0</v>
      </c>
      <c r="I63" s="86"/>
      <c r="J63" s="86"/>
      <c r="K63" s="79">
        <f>50*H63</f>
        <v>0</v>
      </c>
      <c r="L63" s="87"/>
      <c r="M63" s="81"/>
      <c r="O63" s="85"/>
      <c r="P63" s="35">
        <v>54</v>
      </c>
      <c r="Q63" s="89"/>
      <c r="R63" s="90" t="s">
        <v>3024</v>
      </c>
      <c r="S63" s="35" t="s">
        <v>2916</v>
      </c>
      <c r="T63" s="35" t="s">
        <v>3025</v>
      </c>
      <c r="U63" s="35"/>
      <c r="V63" s="35"/>
      <c r="W63" s="85">
        <v>125000</v>
      </c>
      <c r="X63" s="86"/>
      <c r="Y63" s="86"/>
    </row>
    <row r="64" spans="1:25">
      <c r="A64" s="35">
        <v>55</v>
      </c>
      <c r="B64" s="89"/>
      <c r="C64" s="90" t="s">
        <v>3026</v>
      </c>
      <c r="D64" s="35" t="s">
        <v>3027</v>
      </c>
      <c r="E64" s="35" t="s">
        <v>3028</v>
      </c>
      <c r="F64" s="35"/>
      <c r="G64" s="35"/>
      <c r="H64" s="91">
        <v>0</v>
      </c>
      <c r="I64" s="86"/>
      <c r="J64" s="103"/>
      <c r="K64" s="79">
        <f>3500*H64</f>
        <v>0</v>
      </c>
      <c r="L64" s="87"/>
      <c r="M64" s="81"/>
      <c r="O64" s="85"/>
      <c r="P64" s="35">
        <v>55</v>
      </c>
      <c r="Q64" s="89"/>
      <c r="R64" s="90" t="s">
        <v>3026</v>
      </c>
      <c r="S64" s="35" t="s">
        <v>3027</v>
      </c>
      <c r="T64" s="35" t="s">
        <v>3028</v>
      </c>
      <c r="U64" s="35"/>
      <c r="V64" s="35"/>
      <c r="W64" s="85">
        <v>12360</v>
      </c>
      <c r="X64" s="86"/>
      <c r="Y64" s="103"/>
    </row>
    <row r="65" spans="1:25">
      <c r="A65" s="35">
        <v>56</v>
      </c>
      <c r="B65" s="89"/>
      <c r="C65" s="90" t="s">
        <v>3029</v>
      </c>
      <c r="D65" s="35" t="s">
        <v>2923</v>
      </c>
      <c r="E65" s="35" t="s">
        <v>3030</v>
      </c>
      <c r="F65" s="35"/>
      <c r="G65" s="35"/>
      <c r="H65" s="91">
        <v>0</v>
      </c>
      <c r="I65" s="86"/>
      <c r="J65" s="103"/>
      <c r="K65" s="79">
        <f t="shared" ref="K65:K78" si="0">3500*H65</f>
        <v>0</v>
      </c>
      <c r="L65" s="87"/>
      <c r="M65" s="81"/>
      <c r="O65" s="85"/>
      <c r="P65" s="35">
        <v>56</v>
      </c>
      <c r="Q65" s="89"/>
      <c r="R65" s="90" t="s">
        <v>3029</v>
      </c>
      <c r="S65" s="35" t="s">
        <v>2916</v>
      </c>
      <c r="T65" s="35" t="s">
        <v>3030</v>
      </c>
      <c r="U65" s="35"/>
      <c r="V65" s="35"/>
      <c r="W65" s="85">
        <v>20600</v>
      </c>
      <c r="X65" s="86"/>
      <c r="Y65" s="103"/>
    </row>
    <row r="66" spans="1:25">
      <c r="A66" s="35">
        <v>57</v>
      </c>
      <c r="B66" s="89"/>
      <c r="C66" s="90" t="s">
        <v>3031</v>
      </c>
      <c r="D66" s="35" t="s">
        <v>3027</v>
      </c>
      <c r="E66" s="35" t="s">
        <v>3032</v>
      </c>
      <c r="F66" s="35"/>
      <c r="G66" s="35"/>
      <c r="H66" s="91">
        <v>0</v>
      </c>
      <c r="I66" s="86"/>
      <c r="J66" s="103"/>
      <c r="K66" s="79">
        <f t="shared" si="0"/>
        <v>0</v>
      </c>
      <c r="L66" s="87"/>
      <c r="M66" s="81"/>
      <c r="O66" s="85"/>
      <c r="P66" s="35">
        <v>57</v>
      </c>
      <c r="Q66" s="89"/>
      <c r="R66" s="90" t="s">
        <v>3031</v>
      </c>
      <c r="S66" s="35" t="s">
        <v>3027</v>
      </c>
      <c r="T66" s="35" t="s">
        <v>3032</v>
      </c>
      <c r="U66" s="35"/>
      <c r="V66" s="35"/>
      <c r="W66" s="85">
        <v>32960</v>
      </c>
      <c r="X66" s="86"/>
      <c r="Y66" s="103"/>
    </row>
    <row r="67" spans="1:25">
      <c r="A67" s="35">
        <v>58</v>
      </c>
      <c r="B67" s="89"/>
      <c r="C67" s="90" t="s">
        <v>3033</v>
      </c>
      <c r="D67" s="35" t="s">
        <v>3027</v>
      </c>
      <c r="E67" s="35" t="s">
        <v>3034</v>
      </c>
      <c r="F67" s="35"/>
      <c r="G67" s="35"/>
      <c r="H67" s="91">
        <v>0</v>
      </c>
      <c r="I67" s="86"/>
      <c r="J67" s="103"/>
      <c r="K67" s="79">
        <f t="shared" si="0"/>
        <v>0</v>
      </c>
      <c r="L67" s="87"/>
      <c r="M67" s="81"/>
      <c r="O67" s="85"/>
      <c r="P67" s="35">
        <v>58</v>
      </c>
      <c r="Q67" s="89"/>
      <c r="R67" s="90" t="s">
        <v>3033</v>
      </c>
      <c r="S67" s="35" t="s">
        <v>3027</v>
      </c>
      <c r="T67" s="35" t="s">
        <v>3034</v>
      </c>
      <c r="U67" s="35"/>
      <c r="V67" s="35"/>
      <c r="W67" s="85">
        <v>60152</v>
      </c>
      <c r="X67" s="86"/>
      <c r="Y67" s="103"/>
    </row>
    <row r="68" spans="1:25">
      <c r="A68" s="35">
        <v>59</v>
      </c>
      <c r="B68" s="89"/>
      <c r="C68" s="90" t="s">
        <v>3035</v>
      </c>
      <c r="D68" s="35" t="s">
        <v>3027</v>
      </c>
      <c r="E68" s="35" t="s">
        <v>3036</v>
      </c>
      <c r="F68" s="35"/>
      <c r="G68" s="35"/>
      <c r="H68" s="91">
        <v>0</v>
      </c>
      <c r="I68" s="86"/>
      <c r="J68" s="103"/>
      <c r="K68" s="79">
        <f t="shared" si="0"/>
        <v>0</v>
      </c>
      <c r="L68" s="87"/>
      <c r="M68" s="81"/>
      <c r="O68" s="85"/>
      <c r="P68" s="35">
        <v>59</v>
      </c>
      <c r="Q68" s="89"/>
      <c r="R68" s="90" t="s">
        <v>3035</v>
      </c>
      <c r="S68" s="35" t="s">
        <v>3027</v>
      </c>
      <c r="T68" s="35" t="s">
        <v>3036</v>
      </c>
      <c r="U68" s="35"/>
      <c r="V68" s="35"/>
      <c r="W68" s="85">
        <v>20600</v>
      </c>
      <c r="X68" s="86"/>
      <c r="Y68" s="103"/>
    </row>
    <row r="69" spans="1:25">
      <c r="A69" s="35">
        <v>60</v>
      </c>
      <c r="B69" s="89"/>
      <c r="C69" s="90" t="s">
        <v>3037</v>
      </c>
      <c r="D69" s="35" t="s">
        <v>3027</v>
      </c>
      <c r="E69" s="35" t="s">
        <v>3038</v>
      </c>
      <c r="F69" s="35"/>
      <c r="G69" s="35"/>
      <c r="H69" s="91">
        <v>0</v>
      </c>
      <c r="I69" s="86"/>
      <c r="J69" s="103"/>
      <c r="K69" s="79">
        <f t="shared" si="0"/>
        <v>0</v>
      </c>
      <c r="L69" s="87"/>
      <c r="M69" s="81"/>
      <c r="O69" s="85"/>
      <c r="P69" s="35">
        <v>60</v>
      </c>
      <c r="Q69" s="89"/>
      <c r="R69" s="90" t="s">
        <v>3037</v>
      </c>
      <c r="S69" s="35" t="s">
        <v>3027</v>
      </c>
      <c r="T69" s="35" t="s">
        <v>3038</v>
      </c>
      <c r="U69" s="35"/>
      <c r="V69" s="35"/>
      <c r="W69" s="85">
        <v>32960</v>
      </c>
      <c r="X69" s="86"/>
      <c r="Y69" s="103"/>
    </row>
    <row r="70" spans="1:25">
      <c r="A70" s="35">
        <v>61</v>
      </c>
      <c r="B70" s="89"/>
      <c r="C70" s="90" t="s">
        <v>3039</v>
      </c>
      <c r="D70" s="35" t="s">
        <v>3027</v>
      </c>
      <c r="E70" s="35" t="s">
        <v>3040</v>
      </c>
      <c r="F70" s="35"/>
      <c r="G70" s="35"/>
      <c r="H70" s="91">
        <v>0</v>
      </c>
      <c r="I70" s="86"/>
      <c r="J70" s="103"/>
      <c r="K70" s="79">
        <f t="shared" si="0"/>
        <v>0</v>
      </c>
      <c r="L70" s="87"/>
      <c r="M70" s="81"/>
      <c r="O70" s="85"/>
      <c r="P70" s="35">
        <v>61</v>
      </c>
      <c r="Q70" s="89"/>
      <c r="R70" s="90" t="s">
        <v>3039</v>
      </c>
      <c r="S70" s="35" t="s">
        <v>3027</v>
      </c>
      <c r="T70" s="35" t="s">
        <v>3040</v>
      </c>
      <c r="U70" s="35"/>
      <c r="V70" s="35"/>
      <c r="W70" s="85">
        <v>45320</v>
      </c>
      <c r="X70" s="86"/>
      <c r="Y70" s="103"/>
    </row>
    <row r="71" spans="1:25">
      <c r="A71" s="35">
        <v>62</v>
      </c>
      <c r="B71" s="89"/>
      <c r="C71" s="90" t="s">
        <v>3041</v>
      </c>
      <c r="D71" s="35" t="s">
        <v>3027</v>
      </c>
      <c r="E71" s="35" t="s">
        <v>3042</v>
      </c>
      <c r="F71" s="35"/>
      <c r="G71" s="35"/>
      <c r="H71" s="91">
        <v>0</v>
      </c>
      <c r="I71" s="86"/>
      <c r="J71" s="103"/>
      <c r="K71" s="79">
        <f t="shared" si="0"/>
        <v>0</v>
      </c>
      <c r="L71" s="87"/>
      <c r="M71" s="81"/>
      <c r="O71" s="85"/>
      <c r="P71" s="35">
        <v>62</v>
      </c>
      <c r="Q71" s="89"/>
      <c r="R71" s="90" t="s">
        <v>3041</v>
      </c>
      <c r="S71" s="35" t="s">
        <v>3027</v>
      </c>
      <c r="T71" s="35" t="s">
        <v>3042</v>
      </c>
      <c r="U71" s="35"/>
      <c r="V71" s="35"/>
      <c r="W71" s="85">
        <v>51912</v>
      </c>
      <c r="X71" s="86"/>
      <c r="Y71" s="103"/>
    </row>
    <row r="72" spans="1:25">
      <c r="A72" s="35">
        <v>63</v>
      </c>
      <c r="B72" s="89"/>
      <c r="C72" s="90" t="s">
        <v>3043</v>
      </c>
      <c r="D72" s="35" t="s">
        <v>3027</v>
      </c>
      <c r="E72" s="35" t="s">
        <v>3044</v>
      </c>
      <c r="F72" s="35"/>
      <c r="G72" s="35"/>
      <c r="H72" s="91">
        <v>0</v>
      </c>
      <c r="I72" s="86"/>
      <c r="J72" s="103"/>
      <c r="K72" s="79">
        <f t="shared" si="0"/>
        <v>0</v>
      </c>
      <c r="L72" s="87"/>
      <c r="M72" s="81"/>
      <c r="O72" s="85"/>
      <c r="P72" s="35">
        <v>63</v>
      </c>
      <c r="Q72" s="89"/>
      <c r="R72" s="90" t="s">
        <v>3043</v>
      </c>
      <c r="S72" s="35" t="s">
        <v>3027</v>
      </c>
      <c r="T72" s="35" t="s">
        <v>3044</v>
      </c>
      <c r="U72" s="35"/>
      <c r="V72" s="35"/>
      <c r="W72" s="85">
        <v>87962</v>
      </c>
      <c r="X72" s="86"/>
      <c r="Y72" s="103"/>
    </row>
    <row r="73" spans="1:25">
      <c r="A73" s="35">
        <v>64</v>
      </c>
      <c r="B73" s="89"/>
      <c r="C73" s="90" t="s">
        <v>3045</v>
      </c>
      <c r="D73" s="35" t="s">
        <v>3027</v>
      </c>
      <c r="E73" s="35" t="s">
        <v>3046</v>
      </c>
      <c r="F73" s="35"/>
      <c r="G73" s="35"/>
      <c r="H73" s="91">
        <v>0</v>
      </c>
      <c r="I73" s="86"/>
      <c r="J73" s="103"/>
      <c r="K73" s="79">
        <f t="shared" si="0"/>
        <v>0</v>
      </c>
      <c r="L73" s="87"/>
      <c r="M73" s="81"/>
      <c r="O73" s="85"/>
      <c r="P73" s="35">
        <v>64</v>
      </c>
      <c r="Q73" s="89"/>
      <c r="R73" s="90" t="s">
        <v>3045</v>
      </c>
      <c r="S73" s="35" t="s">
        <v>3027</v>
      </c>
      <c r="T73" s="35" t="s">
        <v>3046</v>
      </c>
      <c r="U73" s="35"/>
      <c r="V73" s="35"/>
      <c r="W73" s="85">
        <v>144200</v>
      </c>
      <c r="X73" s="86"/>
      <c r="Y73" s="103"/>
    </row>
    <row r="74" spans="1:25">
      <c r="A74" s="35">
        <v>65</v>
      </c>
      <c r="B74" s="89"/>
      <c r="C74" s="90" t="s">
        <v>3047</v>
      </c>
      <c r="D74" s="35" t="s">
        <v>3027</v>
      </c>
      <c r="E74" s="35" t="s">
        <v>3048</v>
      </c>
      <c r="F74" s="35"/>
      <c r="G74" s="35"/>
      <c r="H74" s="91">
        <v>0</v>
      </c>
      <c r="I74" s="86"/>
      <c r="J74" s="103"/>
      <c r="K74" s="79">
        <f t="shared" si="0"/>
        <v>0</v>
      </c>
      <c r="L74" s="87"/>
      <c r="M74" s="81"/>
      <c r="O74" s="85"/>
      <c r="P74" s="35">
        <v>65</v>
      </c>
      <c r="Q74" s="89"/>
      <c r="R74" s="90" t="s">
        <v>3047</v>
      </c>
      <c r="S74" s="35" t="s">
        <v>3027</v>
      </c>
      <c r="T74" s="35" t="s">
        <v>3048</v>
      </c>
      <c r="U74" s="35"/>
      <c r="V74" s="35"/>
      <c r="W74" s="85">
        <v>41200</v>
      </c>
      <c r="X74" s="86"/>
      <c r="Y74" s="103"/>
    </row>
    <row r="75" spans="1:25">
      <c r="A75" s="35">
        <v>66</v>
      </c>
      <c r="B75" s="89"/>
      <c r="C75" s="90" t="s">
        <v>3049</v>
      </c>
      <c r="D75" s="35" t="s">
        <v>3027</v>
      </c>
      <c r="E75" s="35" t="s">
        <v>3050</v>
      </c>
      <c r="F75" s="35"/>
      <c r="G75" s="35"/>
      <c r="H75" s="91">
        <v>0</v>
      </c>
      <c r="I75" s="86"/>
      <c r="J75" s="103"/>
      <c r="K75" s="79">
        <f t="shared" si="0"/>
        <v>0</v>
      </c>
      <c r="L75" s="87"/>
      <c r="M75" s="81"/>
      <c r="O75" s="85"/>
      <c r="P75" s="35">
        <v>66</v>
      </c>
      <c r="Q75" s="89"/>
      <c r="R75" s="90" t="s">
        <v>3049</v>
      </c>
      <c r="S75" s="35" t="s">
        <v>3027</v>
      </c>
      <c r="T75" s="35" t="s">
        <v>3050</v>
      </c>
      <c r="U75" s="35"/>
      <c r="V75" s="35"/>
      <c r="W75" s="85">
        <v>55620</v>
      </c>
      <c r="X75" s="86"/>
      <c r="Y75" s="103"/>
    </row>
    <row r="76" spans="1:25">
      <c r="A76" s="35">
        <v>67</v>
      </c>
      <c r="B76" s="89"/>
      <c r="C76" s="90" t="s">
        <v>3051</v>
      </c>
      <c r="D76" s="35" t="s">
        <v>3027</v>
      </c>
      <c r="E76" s="35" t="s">
        <v>3052</v>
      </c>
      <c r="F76" s="35"/>
      <c r="G76" s="35"/>
      <c r="H76" s="91">
        <v>0</v>
      </c>
      <c r="I76" s="86"/>
      <c r="J76" s="103"/>
      <c r="K76" s="79">
        <f t="shared" si="0"/>
        <v>0</v>
      </c>
      <c r="L76" s="87"/>
      <c r="M76" s="81"/>
      <c r="O76" s="85"/>
      <c r="P76" s="35">
        <v>67</v>
      </c>
      <c r="Q76" s="89"/>
      <c r="R76" s="90" t="s">
        <v>3051</v>
      </c>
      <c r="S76" s="35" t="s">
        <v>3027</v>
      </c>
      <c r="T76" s="35" t="s">
        <v>3052</v>
      </c>
      <c r="U76" s="35"/>
      <c r="V76" s="35"/>
      <c r="W76" s="85">
        <v>70040</v>
      </c>
      <c r="X76" s="86"/>
      <c r="Y76" s="103"/>
    </row>
    <row r="77" spans="1:25">
      <c r="A77" s="35">
        <v>68</v>
      </c>
      <c r="B77" s="89"/>
      <c r="C77" s="90" t="s">
        <v>3053</v>
      </c>
      <c r="D77" s="35" t="s">
        <v>3027</v>
      </c>
      <c r="E77" s="35" t="s">
        <v>3054</v>
      </c>
      <c r="F77" s="35"/>
      <c r="G77" s="35"/>
      <c r="H77" s="91">
        <v>0</v>
      </c>
      <c r="I77" s="86"/>
      <c r="J77" s="103"/>
      <c r="K77" s="79">
        <f t="shared" si="0"/>
        <v>0</v>
      </c>
      <c r="L77" s="87"/>
      <c r="M77" s="81"/>
      <c r="O77" s="85"/>
      <c r="P77" s="35">
        <v>68</v>
      </c>
      <c r="Q77" s="89"/>
      <c r="R77" s="90" t="s">
        <v>3053</v>
      </c>
      <c r="S77" s="35" t="s">
        <v>3027</v>
      </c>
      <c r="T77" s="35" t="s">
        <v>3054</v>
      </c>
      <c r="U77" s="35"/>
      <c r="V77" s="35"/>
      <c r="W77" s="85">
        <v>108150</v>
      </c>
      <c r="X77" s="86"/>
      <c r="Y77" s="103"/>
    </row>
    <row r="78" spans="1:25">
      <c r="A78" s="35">
        <v>69</v>
      </c>
      <c r="B78" s="89"/>
      <c r="C78" s="90" t="s">
        <v>3055</v>
      </c>
      <c r="D78" s="35" t="s">
        <v>3027</v>
      </c>
      <c r="E78" s="35" t="s">
        <v>3056</v>
      </c>
      <c r="F78" s="35"/>
      <c r="G78" s="35"/>
      <c r="H78" s="91">
        <v>0</v>
      </c>
      <c r="I78" s="86"/>
      <c r="J78" s="103"/>
      <c r="K78" s="79">
        <f t="shared" si="0"/>
        <v>0</v>
      </c>
      <c r="L78" s="87"/>
      <c r="M78" s="81"/>
      <c r="O78" s="85"/>
      <c r="P78" s="35">
        <v>69</v>
      </c>
      <c r="Q78" s="89"/>
      <c r="R78" s="90" t="s">
        <v>3055</v>
      </c>
      <c r="S78" s="35" t="s">
        <v>3027</v>
      </c>
      <c r="T78" s="35" t="s">
        <v>3056</v>
      </c>
      <c r="U78" s="35"/>
      <c r="V78" s="35"/>
      <c r="W78" s="85">
        <v>216300</v>
      </c>
      <c r="X78" s="86"/>
      <c r="Y78" s="103"/>
    </row>
    <row r="79" spans="1:25">
      <c r="A79" s="35">
        <v>70</v>
      </c>
      <c r="B79" s="89"/>
      <c r="C79" s="90" t="s">
        <v>3057</v>
      </c>
      <c r="D79" s="35" t="s">
        <v>2923</v>
      </c>
      <c r="E79" s="35" t="s">
        <v>3058</v>
      </c>
      <c r="F79" s="35"/>
      <c r="G79" s="35"/>
      <c r="H79" s="91">
        <v>0</v>
      </c>
      <c r="I79" s="86"/>
      <c r="J79" s="86"/>
      <c r="K79" s="92">
        <v>805000000</v>
      </c>
      <c r="L79" s="93"/>
      <c r="M79" s="95"/>
      <c r="O79" s="85"/>
      <c r="P79" s="35">
        <v>70</v>
      </c>
      <c r="Q79" s="89"/>
      <c r="R79" s="90" t="s">
        <v>3057</v>
      </c>
      <c r="S79" s="35" t="s">
        <v>2916</v>
      </c>
      <c r="T79" s="35" t="s">
        <v>3058</v>
      </c>
      <c r="U79" s="35"/>
      <c r="V79" s="35"/>
      <c r="W79" s="85">
        <v>434000</v>
      </c>
      <c r="X79" s="86"/>
      <c r="Y79" s="86"/>
    </row>
    <row r="80" spans="1:25">
      <c r="A80" s="35">
        <v>71</v>
      </c>
      <c r="B80" s="89"/>
      <c r="C80" s="90" t="s">
        <v>3059</v>
      </c>
      <c r="D80" s="35" t="s">
        <v>2916</v>
      </c>
      <c r="E80" s="35" t="s">
        <v>3060</v>
      </c>
      <c r="F80" s="35"/>
      <c r="G80" s="35"/>
      <c r="H80" s="91">
        <v>0</v>
      </c>
      <c r="I80" s="86"/>
      <c r="J80" s="86"/>
      <c r="K80" s="79">
        <f>200*H80</f>
        <v>0</v>
      </c>
      <c r="L80" s="87"/>
      <c r="M80" s="81"/>
      <c r="O80" s="85"/>
      <c r="P80" s="35">
        <v>71</v>
      </c>
      <c r="Q80" s="89"/>
      <c r="R80" s="90" t="s">
        <v>3059</v>
      </c>
      <c r="S80" s="35" t="s">
        <v>2916</v>
      </c>
      <c r="T80" s="35" t="s">
        <v>3060</v>
      </c>
      <c r="U80" s="35"/>
      <c r="V80" s="35"/>
      <c r="W80" s="85">
        <v>772500</v>
      </c>
      <c r="X80" s="86"/>
      <c r="Y80" s="86"/>
    </row>
    <row r="81" spans="1:25">
      <c r="A81" s="35">
        <v>72</v>
      </c>
      <c r="B81" s="89"/>
      <c r="C81" s="90" t="s">
        <v>3061</v>
      </c>
      <c r="D81" s="35" t="s">
        <v>2916</v>
      </c>
      <c r="E81" s="35" t="s">
        <v>3060</v>
      </c>
      <c r="F81" s="35"/>
      <c r="G81" s="35"/>
      <c r="H81" s="91">
        <v>0</v>
      </c>
      <c r="I81" s="86"/>
      <c r="J81" s="86"/>
      <c r="K81" s="79">
        <f>250*H81</f>
        <v>0</v>
      </c>
      <c r="L81" s="87"/>
      <c r="M81" s="96" t="s">
        <v>3062</v>
      </c>
      <c r="O81" s="85"/>
      <c r="P81" s="35">
        <v>72</v>
      </c>
      <c r="Q81" s="89"/>
      <c r="R81" s="90" t="s">
        <v>3061</v>
      </c>
      <c r="S81" s="35" t="s">
        <v>2916</v>
      </c>
      <c r="T81" s="35" t="s">
        <v>3060</v>
      </c>
      <c r="U81" s="35"/>
      <c r="V81" s="35"/>
      <c r="W81" s="85">
        <v>257500</v>
      </c>
      <c r="X81" s="86"/>
      <c r="Y81" s="86"/>
    </row>
    <row r="82" spans="1:25">
      <c r="A82" s="35">
        <v>73</v>
      </c>
      <c r="B82" s="89"/>
      <c r="C82" s="90" t="s">
        <v>3063</v>
      </c>
      <c r="D82" s="35" t="s">
        <v>2916</v>
      </c>
      <c r="E82" s="35" t="s">
        <v>3064</v>
      </c>
      <c r="F82" s="35"/>
      <c r="G82" s="35"/>
      <c r="H82" s="91">
        <v>0</v>
      </c>
      <c r="I82" s="86"/>
      <c r="J82" s="86"/>
      <c r="K82" s="79">
        <f>500*H82</f>
        <v>0</v>
      </c>
      <c r="L82" s="87"/>
      <c r="M82" s="81"/>
      <c r="O82" s="85"/>
      <c r="P82" s="35">
        <v>73</v>
      </c>
      <c r="Q82" s="89"/>
      <c r="R82" s="90" t="s">
        <v>3063</v>
      </c>
      <c r="S82" s="35" t="s">
        <v>2916</v>
      </c>
      <c r="T82" s="35" t="s">
        <v>3064</v>
      </c>
      <c r="U82" s="35"/>
      <c r="V82" s="35"/>
      <c r="W82" s="85">
        <v>257500</v>
      </c>
      <c r="X82" s="86"/>
      <c r="Y82" s="86"/>
    </row>
    <row r="83" spans="1:25">
      <c r="A83" s="35">
        <v>74</v>
      </c>
      <c r="B83" s="89"/>
      <c r="C83" s="90" t="s">
        <v>3065</v>
      </c>
      <c r="D83" s="35" t="s">
        <v>2916</v>
      </c>
      <c r="E83" s="35" t="s">
        <v>3066</v>
      </c>
      <c r="F83" s="35"/>
      <c r="G83" s="35"/>
      <c r="H83" s="91">
        <v>0</v>
      </c>
      <c r="I83" s="86"/>
      <c r="J83" s="86"/>
      <c r="K83" s="79">
        <f>500*H83</f>
        <v>0</v>
      </c>
      <c r="L83" s="87"/>
      <c r="M83" s="81"/>
      <c r="O83" s="85"/>
      <c r="P83" s="35">
        <v>74</v>
      </c>
      <c r="Q83" s="89"/>
      <c r="R83" s="90" t="s">
        <v>3065</v>
      </c>
      <c r="S83" s="35" t="s">
        <v>2916</v>
      </c>
      <c r="T83" s="35" t="s">
        <v>3066</v>
      </c>
      <c r="U83" s="35"/>
      <c r="V83" s="35"/>
      <c r="W83" s="85">
        <v>515000</v>
      </c>
      <c r="X83" s="86"/>
      <c r="Y83" s="86"/>
    </row>
    <row r="84" spans="1:25">
      <c r="A84" s="35">
        <v>75</v>
      </c>
      <c r="B84" s="89"/>
      <c r="C84" s="90" t="s">
        <v>3067</v>
      </c>
      <c r="D84" s="35" t="s">
        <v>2916</v>
      </c>
      <c r="E84" s="35" t="s">
        <v>3068</v>
      </c>
      <c r="F84" s="35"/>
      <c r="G84" s="35"/>
      <c r="H84" s="91">
        <v>0</v>
      </c>
      <c r="I84" s="86"/>
      <c r="J84" s="86"/>
      <c r="K84" s="79">
        <f>500*H84</f>
        <v>0</v>
      </c>
      <c r="L84" s="87"/>
      <c r="M84" s="96" t="s">
        <v>3069</v>
      </c>
      <c r="O84" s="85"/>
      <c r="P84" s="35">
        <v>75</v>
      </c>
      <c r="Q84" s="89"/>
      <c r="R84" s="90" t="s">
        <v>3067</v>
      </c>
      <c r="S84" s="35" t="s">
        <v>2916</v>
      </c>
      <c r="T84" s="35" t="s">
        <v>3068</v>
      </c>
      <c r="U84" s="35"/>
      <c r="V84" s="35"/>
      <c r="W84" s="85">
        <v>772500</v>
      </c>
      <c r="X84" s="86"/>
      <c r="Y84" s="86"/>
    </row>
    <row r="85" spans="1:25">
      <c r="A85" s="35">
        <v>76</v>
      </c>
      <c r="B85" s="89"/>
      <c r="C85" s="36" t="s">
        <v>3070</v>
      </c>
      <c r="D85" s="35" t="s">
        <v>128</v>
      </c>
      <c r="E85" s="35" t="s">
        <v>3071</v>
      </c>
      <c r="F85" s="35"/>
      <c r="G85" s="35"/>
      <c r="H85" s="91">
        <v>0</v>
      </c>
      <c r="I85" s="86"/>
      <c r="J85" s="86"/>
      <c r="K85" s="79">
        <f>50*H85</f>
        <v>0</v>
      </c>
      <c r="L85" s="87"/>
      <c r="M85" s="81"/>
      <c r="O85" s="85"/>
      <c r="P85" s="35">
        <v>76</v>
      </c>
      <c r="Q85" s="89"/>
      <c r="R85" s="36" t="s">
        <v>3070</v>
      </c>
      <c r="S85" s="35" t="s">
        <v>128</v>
      </c>
      <c r="T85" s="35" t="s">
        <v>3071</v>
      </c>
      <c r="U85" s="35"/>
      <c r="V85" s="35"/>
      <c r="W85" s="85">
        <v>309000</v>
      </c>
      <c r="X85" s="86"/>
      <c r="Y85" s="86"/>
    </row>
    <row r="86" spans="1:25">
      <c r="A86" s="35">
        <v>77</v>
      </c>
      <c r="B86" s="89"/>
      <c r="C86" s="90" t="s">
        <v>3072</v>
      </c>
      <c r="D86" s="35" t="s">
        <v>2916</v>
      </c>
      <c r="E86" s="35" t="s">
        <v>3073</v>
      </c>
      <c r="F86" s="35"/>
      <c r="G86" s="35"/>
      <c r="H86" s="91">
        <v>0</v>
      </c>
      <c r="I86" s="86"/>
      <c r="J86" s="86"/>
      <c r="K86" s="79">
        <f>50*H86</f>
        <v>0</v>
      </c>
      <c r="L86" s="87"/>
      <c r="M86" s="81"/>
      <c r="O86" s="85"/>
      <c r="P86" s="35">
        <v>77</v>
      </c>
      <c r="Q86" s="89"/>
      <c r="R86" s="90" t="s">
        <v>3072</v>
      </c>
      <c r="S86" s="35" t="s">
        <v>2916</v>
      </c>
      <c r="T86" s="35" t="s">
        <v>3073</v>
      </c>
      <c r="U86" s="35"/>
      <c r="V86" s="35"/>
      <c r="W86" s="85">
        <v>394284</v>
      </c>
      <c r="X86" s="86"/>
      <c r="Y86" s="86"/>
    </row>
    <row r="87" spans="1:25">
      <c r="A87" s="35">
        <v>78</v>
      </c>
      <c r="B87" s="89"/>
      <c r="C87" s="90" t="s">
        <v>3074</v>
      </c>
      <c r="D87" s="35" t="s">
        <v>2923</v>
      </c>
      <c r="E87" s="35" t="s">
        <v>3075</v>
      </c>
      <c r="F87" s="35"/>
      <c r="G87" s="35"/>
      <c r="H87" s="91">
        <v>0</v>
      </c>
      <c r="I87" s="86"/>
      <c r="J87" s="86"/>
      <c r="K87" s="92">
        <v>805000000</v>
      </c>
      <c r="L87" s="93"/>
      <c r="M87" s="81"/>
      <c r="O87" s="85"/>
      <c r="P87" s="35">
        <v>78</v>
      </c>
      <c r="Q87" s="89"/>
      <c r="R87" s="90" t="s">
        <v>3074</v>
      </c>
      <c r="S87" s="35" t="s">
        <v>2923</v>
      </c>
      <c r="T87" s="35" t="s">
        <v>3075</v>
      </c>
      <c r="U87" s="35"/>
      <c r="V87" s="35"/>
      <c r="W87" s="85">
        <v>770555.84</v>
      </c>
      <c r="X87" s="86"/>
      <c r="Y87" s="86"/>
    </row>
    <row r="88" spans="1:25">
      <c r="A88" s="35">
        <v>79</v>
      </c>
      <c r="B88" s="89"/>
      <c r="C88" s="90" t="s">
        <v>3076</v>
      </c>
      <c r="D88" s="35" t="s">
        <v>2923</v>
      </c>
      <c r="E88" s="35" t="s">
        <v>3077</v>
      </c>
      <c r="F88" s="35"/>
      <c r="G88" s="35"/>
      <c r="H88" s="91">
        <v>0</v>
      </c>
      <c r="I88" s="86"/>
      <c r="J88" s="86"/>
      <c r="K88" s="92">
        <v>805000000</v>
      </c>
      <c r="L88" s="93"/>
      <c r="M88" s="81"/>
      <c r="O88" s="85"/>
      <c r="P88" s="35">
        <v>79</v>
      </c>
      <c r="Q88" s="89"/>
      <c r="R88" s="90" t="s">
        <v>3076</v>
      </c>
      <c r="S88" s="35" t="s">
        <v>2923</v>
      </c>
      <c r="T88" s="35" t="s">
        <v>3077</v>
      </c>
      <c r="U88" s="35"/>
      <c r="V88" s="35"/>
      <c r="W88" s="85">
        <v>561644.90999999992</v>
      </c>
      <c r="X88" s="86"/>
      <c r="Y88" s="86"/>
    </row>
    <row r="89" spans="1:25">
      <c r="A89" s="35">
        <v>80</v>
      </c>
      <c r="B89" s="89"/>
      <c r="C89" s="90" t="s">
        <v>3078</v>
      </c>
      <c r="D89" s="35" t="s">
        <v>2923</v>
      </c>
      <c r="E89" s="35" t="s">
        <v>3079</v>
      </c>
      <c r="F89" s="35"/>
      <c r="G89" s="35"/>
      <c r="H89" s="91">
        <v>0</v>
      </c>
      <c r="I89" s="86"/>
      <c r="J89" s="86"/>
      <c r="K89" s="92">
        <v>460000000</v>
      </c>
      <c r="L89" s="93"/>
      <c r="M89" s="81"/>
      <c r="O89" s="85"/>
      <c r="P89" s="35">
        <v>80</v>
      </c>
      <c r="Q89" s="89"/>
      <c r="R89" s="90" t="s">
        <v>3078</v>
      </c>
      <c r="S89" s="35" t="s">
        <v>2923</v>
      </c>
      <c r="T89" s="35" t="s">
        <v>3079</v>
      </c>
      <c r="U89" s="35"/>
      <c r="V89" s="35"/>
      <c r="W89" s="85">
        <v>529677.78</v>
      </c>
      <c r="X89" s="86"/>
      <c r="Y89" s="86"/>
    </row>
    <row r="90" spans="1:25">
      <c r="A90" s="35">
        <v>81</v>
      </c>
      <c r="B90" s="89"/>
      <c r="C90" s="90" t="s">
        <v>3080</v>
      </c>
      <c r="D90" s="35" t="s">
        <v>2923</v>
      </c>
      <c r="E90" s="35" t="s">
        <v>3081</v>
      </c>
      <c r="F90" s="35"/>
      <c r="G90" s="35"/>
      <c r="H90" s="91">
        <v>0</v>
      </c>
      <c r="I90" s="86"/>
      <c r="J90" s="86"/>
      <c r="K90" s="92">
        <v>1495000000</v>
      </c>
      <c r="L90" s="93"/>
      <c r="M90" s="81"/>
      <c r="O90" s="85"/>
      <c r="P90" s="35">
        <v>81</v>
      </c>
      <c r="Q90" s="89"/>
      <c r="R90" s="90" t="s">
        <v>3080</v>
      </c>
      <c r="S90" s="35" t="s">
        <v>2923</v>
      </c>
      <c r="T90" s="35" t="s">
        <v>3081</v>
      </c>
      <c r="U90" s="35"/>
      <c r="V90" s="35"/>
      <c r="W90" s="85">
        <v>503623.91499999998</v>
      </c>
      <c r="X90" s="86"/>
      <c r="Y90" s="86"/>
    </row>
    <row r="91" spans="1:25">
      <c r="A91" s="35">
        <v>82</v>
      </c>
      <c r="B91" s="89"/>
      <c r="C91" s="90" t="s">
        <v>3082</v>
      </c>
      <c r="D91" s="35" t="s">
        <v>2916</v>
      </c>
      <c r="E91" s="35" t="s">
        <v>3083</v>
      </c>
      <c r="F91" s="35"/>
      <c r="G91" s="35"/>
      <c r="H91" s="91">
        <v>0</v>
      </c>
      <c r="I91" s="86"/>
      <c r="J91" s="86"/>
      <c r="K91" s="79">
        <f>150*H91</f>
        <v>0</v>
      </c>
      <c r="L91" s="87"/>
      <c r="M91" s="81"/>
      <c r="O91" s="85"/>
      <c r="P91" s="35">
        <v>82</v>
      </c>
      <c r="Q91" s="89"/>
      <c r="R91" s="90" t="s">
        <v>3082</v>
      </c>
      <c r="S91" s="35" t="s">
        <v>2916</v>
      </c>
      <c r="T91" s="35" t="s">
        <v>3083</v>
      </c>
      <c r="U91" s="35"/>
      <c r="V91" s="35"/>
      <c r="W91" s="85">
        <v>154500</v>
      </c>
      <c r="X91" s="86"/>
      <c r="Y91" s="86"/>
    </row>
    <row r="92" spans="1:25">
      <c r="A92" s="35">
        <v>83</v>
      </c>
      <c r="B92" s="89"/>
      <c r="C92" s="90" t="s">
        <v>3084</v>
      </c>
      <c r="D92" s="35" t="s">
        <v>2916</v>
      </c>
      <c r="E92" s="35" t="s">
        <v>3085</v>
      </c>
      <c r="F92" s="35"/>
      <c r="G92" s="35"/>
      <c r="H92" s="91">
        <v>0</v>
      </c>
      <c r="I92" s="86"/>
      <c r="J92" s="86"/>
      <c r="K92" s="79">
        <f>2500*H92</f>
        <v>0</v>
      </c>
      <c r="L92" s="87"/>
      <c r="M92" s="81"/>
      <c r="O92" s="85"/>
      <c r="P92" s="35">
        <v>83</v>
      </c>
      <c r="Q92" s="89"/>
      <c r="R92" s="90" t="s">
        <v>3084</v>
      </c>
      <c r="S92" s="35" t="s">
        <v>2916</v>
      </c>
      <c r="T92" s="35" t="s">
        <v>3085</v>
      </c>
      <c r="U92" s="35"/>
      <c r="V92" s="35"/>
      <c r="W92" s="85">
        <v>875500</v>
      </c>
      <c r="X92" s="86"/>
      <c r="Y92" s="86"/>
    </row>
    <row r="93" spans="1:25">
      <c r="A93" s="35">
        <v>84</v>
      </c>
      <c r="B93" s="89"/>
      <c r="C93" s="90" t="s">
        <v>3086</v>
      </c>
      <c r="D93" s="35" t="s">
        <v>2916</v>
      </c>
      <c r="E93" s="35" t="s">
        <v>3087</v>
      </c>
      <c r="F93" s="35"/>
      <c r="G93" s="35"/>
      <c r="H93" s="91">
        <v>0</v>
      </c>
      <c r="I93" s="86"/>
      <c r="J93" s="86"/>
      <c r="K93" s="79">
        <f>3000*H93</f>
        <v>0</v>
      </c>
      <c r="L93" s="87"/>
      <c r="M93" s="81"/>
      <c r="O93" s="85"/>
      <c r="P93" s="35">
        <v>84</v>
      </c>
      <c r="Q93" s="89"/>
      <c r="R93" s="90" t="s">
        <v>3086</v>
      </c>
      <c r="S93" s="35" t="s">
        <v>2916</v>
      </c>
      <c r="T93" s="35" t="s">
        <v>3087</v>
      </c>
      <c r="U93" s="35"/>
      <c r="V93" s="35"/>
      <c r="W93" s="85">
        <v>1596500</v>
      </c>
      <c r="X93" s="86"/>
      <c r="Y93" s="86"/>
    </row>
    <row r="94" spans="1:25">
      <c r="A94" s="35">
        <v>85</v>
      </c>
      <c r="B94" s="89"/>
      <c r="C94" s="90" t="s">
        <v>3088</v>
      </c>
      <c r="D94" s="35" t="s">
        <v>2916</v>
      </c>
      <c r="E94" s="35" t="s">
        <v>3089</v>
      </c>
      <c r="F94" s="35"/>
      <c r="G94" s="35"/>
      <c r="H94" s="91">
        <v>0</v>
      </c>
      <c r="I94" s="86"/>
      <c r="J94" s="86"/>
      <c r="K94" s="79">
        <f>3500*H94</f>
        <v>0</v>
      </c>
      <c r="L94" s="87"/>
      <c r="M94" s="81"/>
      <c r="O94" s="85"/>
      <c r="P94" s="35">
        <v>85</v>
      </c>
      <c r="Q94" s="89"/>
      <c r="R94" s="90" t="s">
        <v>3088</v>
      </c>
      <c r="S94" s="35" t="s">
        <v>2916</v>
      </c>
      <c r="T94" s="35" t="s">
        <v>3089</v>
      </c>
      <c r="U94" s="35"/>
      <c r="V94" s="35"/>
      <c r="W94" s="85">
        <v>3090000</v>
      </c>
      <c r="X94" s="86"/>
      <c r="Y94" s="86"/>
    </row>
    <row r="95" spans="1:25">
      <c r="A95" s="35">
        <v>86</v>
      </c>
      <c r="B95" s="89"/>
      <c r="C95" s="90" t="s">
        <v>3090</v>
      </c>
      <c r="D95" s="35" t="s">
        <v>2916</v>
      </c>
      <c r="E95" s="35" t="s">
        <v>3091</v>
      </c>
      <c r="F95" s="35"/>
      <c r="G95" s="35"/>
      <c r="H95" s="91">
        <v>0</v>
      </c>
      <c r="I95" s="86"/>
      <c r="J95" s="86"/>
      <c r="K95" s="79">
        <f t="shared" ref="K95:K100" si="1">3500*H95</f>
        <v>0</v>
      </c>
      <c r="L95" s="87"/>
      <c r="M95" s="81"/>
      <c r="O95" s="85"/>
      <c r="P95" s="35">
        <v>86</v>
      </c>
      <c r="Q95" s="89"/>
      <c r="R95" s="90" t="s">
        <v>3090</v>
      </c>
      <c r="S95" s="35" t="s">
        <v>2916</v>
      </c>
      <c r="T95" s="35" t="s">
        <v>3091</v>
      </c>
      <c r="U95" s="35"/>
      <c r="V95" s="35"/>
      <c r="W95" s="85">
        <v>1025638.9079</v>
      </c>
      <c r="X95" s="86"/>
      <c r="Y95" s="86"/>
    </row>
    <row r="96" spans="1:25">
      <c r="A96" s="35">
        <v>87</v>
      </c>
      <c r="B96" s="89"/>
      <c r="C96" s="90" t="s">
        <v>3092</v>
      </c>
      <c r="D96" s="35" t="s">
        <v>2916</v>
      </c>
      <c r="E96" s="35" t="s">
        <v>3093</v>
      </c>
      <c r="F96" s="35"/>
      <c r="G96" s="35"/>
      <c r="H96" s="91">
        <v>0</v>
      </c>
      <c r="I96" s="86"/>
      <c r="J96" s="86"/>
      <c r="K96" s="79">
        <f t="shared" si="1"/>
        <v>0</v>
      </c>
      <c r="L96" s="87"/>
      <c r="M96" s="81"/>
      <c r="O96" s="85"/>
      <c r="P96" s="35">
        <v>87</v>
      </c>
      <c r="Q96" s="89"/>
      <c r="R96" s="90" t="s">
        <v>3092</v>
      </c>
      <c r="S96" s="35" t="s">
        <v>2916</v>
      </c>
      <c r="T96" s="35" t="s">
        <v>3093</v>
      </c>
      <c r="U96" s="35"/>
      <c r="V96" s="35"/>
      <c r="W96" s="85">
        <v>1025638.9079</v>
      </c>
      <c r="X96" s="86"/>
      <c r="Y96" s="86"/>
    </row>
    <row r="97" spans="1:25">
      <c r="A97" s="35">
        <v>88</v>
      </c>
      <c r="B97" s="89"/>
      <c r="C97" s="90" t="s">
        <v>3094</v>
      </c>
      <c r="D97" s="35" t="s">
        <v>2916</v>
      </c>
      <c r="E97" s="35" t="s">
        <v>3095</v>
      </c>
      <c r="F97" s="35"/>
      <c r="G97" s="35"/>
      <c r="H97" s="91">
        <v>0</v>
      </c>
      <c r="I97" s="86"/>
      <c r="J97" s="86"/>
      <c r="K97" s="79">
        <f t="shared" si="1"/>
        <v>0</v>
      </c>
      <c r="L97" s="87"/>
      <c r="M97" s="81"/>
      <c r="O97" s="85"/>
      <c r="P97" s="35">
        <v>88</v>
      </c>
      <c r="Q97" s="89"/>
      <c r="R97" s="90" t="s">
        <v>3094</v>
      </c>
      <c r="S97" s="35" t="s">
        <v>2916</v>
      </c>
      <c r="T97" s="35" t="s">
        <v>3095</v>
      </c>
      <c r="U97" s="35"/>
      <c r="V97" s="35"/>
      <c r="W97" s="85">
        <v>1834303.31</v>
      </c>
      <c r="X97" s="86"/>
      <c r="Y97" s="86"/>
    </row>
    <row r="98" spans="1:25">
      <c r="A98" s="35">
        <v>89</v>
      </c>
      <c r="B98" s="89"/>
      <c r="C98" s="90" t="s">
        <v>3096</v>
      </c>
      <c r="D98" s="35" t="s">
        <v>2916</v>
      </c>
      <c r="E98" s="35" t="s">
        <v>3097</v>
      </c>
      <c r="F98" s="35"/>
      <c r="G98" s="35"/>
      <c r="H98" s="91">
        <v>0</v>
      </c>
      <c r="I98" s="86"/>
      <c r="J98" s="86"/>
      <c r="K98" s="79">
        <f t="shared" si="1"/>
        <v>0</v>
      </c>
      <c r="L98" s="87"/>
      <c r="M98" s="81"/>
      <c r="O98" s="85"/>
      <c r="P98" s="35">
        <v>89</v>
      </c>
      <c r="Q98" s="89"/>
      <c r="R98" s="90" t="s">
        <v>3096</v>
      </c>
      <c r="S98" s="35" t="s">
        <v>2916</v>
      </c>
      <c r="T98" s="35" t="s">
        <v>3097</v>
      </c>
      <c r="U98" s="35"/>
      <c r="V98" s="35"/>
      <c r="W98" s="85">
        <v>1834303.31</v>
      </c>
      <c r="X98" s="86"/>
      <c r="Y98" s="86"/>
    </row>
    <row r="99" spans="1:25">
      <c r="A99" s="35">
        <v>90</v>
      </c>
      <c r="B99" s="89"/>
      <c r="C99" s="90" t="s">
        <v>3098</v>
      </c>
      <c r="D99" s="35" t="s">
        <v>2916</v>
      </c>
      <c r="E99" s="35" t="s">
        <v>3099</v>
      </c>
      <c r="F99" s="35"/>
      <c r="G99" s="35"/>
      <c r="H99" s="91">
        <v>0</v>
      </c>
      <c r="I99" s="86"/>
      <c r="J99" s="86"/>
      <c r="K99" s="79">
        <f t="shared" si="1"/>
        <v>0</v>
      </c>
      <c r="L99" s="87"/>
      <c r="M99" s="81"/>
      <c r="O99" s="85"/>
      <c r="P99" s="35">
        <v>90</v>
      </c>
      <c r="Q99" s="89"/>
      <c r="R99" s="90" t="s">
        <v>3098</v>
      </c>
      <c r="S99" s="35" t="s">
        <v>2916</v>
      </c>
      <c r="T99" s="35" t="s">
        <v>3099</v>
      </c>
      <c r="U99" s="35"/>
      <c r="V99" s="35"/>
      <c r="W99" s="85">
        <v>2201163.9720000001</v>
      </c>
      <c r="X99" s="86"/>
      <c r="Y99" s="86"/>
    </row>
    <row r="100" spans="1:25">
      <c r="A100" s="35">
        <v>91</v>
      </c>
      <c r="B100" s="89"/>
      <c r="C100" s="90" t="s">
        <v>3100</v>
      </c>
      <c r="D100" s="35" t="s">
        <v>2916</v>
      </c>
      <c r="E100" s="35" t="s">
        <v>3101</v>
      </c>
      <c r="F100" s="35"/>
      <c r="G100" s="35"/>
      <c r="H100" s="91">
        <v>0</v>
      </c>
      <c r="I100" s="86"/>
      <c r="J100" s="86"/>
      <c r="K100" s="79">
        <f t="shared" si="1"/>
        <v>0</v>
      </c>
      <c r="L100" s="87"/>
      <c r="M100" s="81"/>
      <c r="O100" s="85"/>
      <c r="P100" s="35">
        <v>91</v>
      </c>
      <c r="Q100" s="89"/>
      <c r="R100" s="90" t="s">
        <v>3100</v>
      </c>
      <c r="S100" s="35" t="s">
        <v>2916</v>
      </c>
      <c r="T100" s="35" t="s">
        <v>3101</v>
      </c>
      <c r="U100" s="35"/>
      <c r="V100" s="35"/>
      <c r="W100" s="85">
        <v>2641396.7664000001</v>
      </c>
      <c r="X100" s="86"/>
      <c r="Y100" s="86"/>
    </row>
    <row r="101" spans="1:25">
      <c r="A101" s="35">
        <v>92</v>
      </c>
      <c r="B101" s="89"/>
      <c r="C101" s="90" t="s">
        <v>3102</v>
      </c>
      <c r="D101" s="35" t="s">
        <v>2916</v>
      </c>
      <c r="E101" s="35" t="s">
        <v>3103</v>
      </c>
      <c r="F101" s="35"/>
      <c r="G101" s="35"/>
      <c r="H101" s="91">
        <v>0</v>
      </c>
      <c r="I101" s="86"/>
      <c r="J101" s="86"/>
      <c r="K101" s="79">
        <f>150*H101</f>
        <v>0</v>
      </c>
      <c r="L101" s="87"/>
      <c r="M101" s="81"/>
      <c r="O101" s="85"/>
      <c r="P101" s="35">
        <v>92</v>
      </c>
      <c r="Q101" s="89"/>
      <c r="R101" s="90" t="s">
        <v>3102</v>
      </c>
      <c r="S101" s="35" t="s">
        <v>2916</v>
      </c>
      <c r="T101" s="35" t="s">
        <v>3103</v>
      </c>
      <c r="U101" s="35"/>
      <c r="V101" s="35"/>
      <c r="W101" s="85">
        <v>309000</v>
      </c>
      <c r="X101" s="86"/>
      <c r="Y101" s="86"/>
    </row>
    <row r="102" spans="1:25">
      <c r="A102" s="35">
        <v>93</v>
      </c>
      <c r="B102" s="89"/>
      <c r="C102" s="90" t="s">
        <v>3104</v>
      </c>
      <c r="D102" s="35" t="s">
        <v>2916</v>
      </c>
      <c r="E102" s="35" t="s">
        <v>3105</v>
      </c>
      <c r="F102" s="35"/>
      <c r="G102" s="35"/>
      <c r="H102" s="91">
        <v>0</v>
      </c>
      <c r="I102" s="86"/>
      <c r="J102" s="86"/>
      <c r="K102" s="79">
        <f>250*H102</f>
        <v>0</v>
      </c>
      <c r="L102" s="87"/>
      <c r="M102" s="81"/>
      <c r="O102" s="85"/>
      <c r="P102" s="35">
        <v>93</v>
      </c>
      <c r="Q102" s="89"/>
      <c r="R102" s="90" t="s">
        <v>3104</v>
      </c>
      <c r="S102" s="35" t="s">
        <v>2916</v>
      </c>
      <c r="T102" s="35" t="s">
        <v>3105</v>
      </c>
      <c r="U102" s="35"/>
      <c r="V102" s="35"/>
      <c r="W102" s="85">
        <v>257500</v>
      </c>
      <c r="X102" s="86"/>
      <c r="Y102" s="86"/>
    </row>
    <row r="103" spans="1:25">
      <c r="A103" s="35">
        <v>94</v>
      </c>
      <c r="B103" s="89"/>
      <c r="C103" s="90" t="s">
        <v>3106</v>
      </c>
      <c r="D103" s="35" t="s">
        <v>2923</v>
      </c>
      <c r="E103" s="35" t="s">
        <v>3107</v>
      </c>
      <c r="F103" s="35"/>
      <c r="G103" s="35"/>
      <c r="H103" s="91">
        <v>0</v>
      </c>
      <c r="I103" s="86"/>
      <c r="J103" s="86"/>
      <c r="K103" s="92">
        <v>7500000</v>
      </c>
      <c r="L103" s="93"/>
      <c r="M103" s="81" t="s">
        <v>3108</v>
      </c>
      <c r="O103" s="85"/>
      <c r="P103" s="35">
        <v>94</v>
      </c>
      <c r="Q103" s="89"/>
      <c r="R103" s="90" t="s">
        <v>3106</v>
      </c>
      <c r="S103" s="35" t="s">
        <v>2916</v>
      </c>
      <c r="T103" s="35" t="s">
        <v>3107</v>
      </c>
      <c r="U103" s="35"/>
      <c r="V103" s="35"/>
      <c r="W103" s="85">
        <v>65116.404687153634</v>
      </c>
      <c r="X103" s="86"/>
      <c r="Y103" s="86"/>
    </row>
    <row r="104" spans="1:25">
      <c r="A104" s="35">
        <v>95</v>
      </c>
      <c r="B104" s="89"/>
      <c r="C104" s="90" t="s">
        <v>3109</v>
      </c>
      <c r="D104" s="35" t="s">
        <v>2923</v>
      </c>
      <c r="E104" s="35" t="s">
        <v>3110</v>
      </c>
      <c r="F104" s="35"/>
      <c r="G104" s="35"/>
      <c r="H104" s="91">
        <v>0</v>
      </c>
      <c r="I104" s="86"/>
      <c r="J104" s="86"/>
      <c r="K104" s="92">
        <v>310500000</v>
      </c>
      <c r="L104" s="93"/>
      <c r="M104" s="81"/>
      <c r="O104" s="85"/>
      <c r="P104" s="35">
        <v>95</v>
      </c>
      <c r="Q104" s="89"/>
      <c r="R104" s="90" t="s">
        <v>3109</v>
      </c>
      <c r="S104" s="35" t="s">
        <v>2923</v>
      </c>
      <c r="T104" s="35" t="s">
        <v>3110</v>
      </c>
      <c r="U104" s="35"/>
      <c r="V104" s="35"/>
      <c r="W104" s="85">
        <v>342907.95</v>
      </c>
      <c r="X104" s="86"/>
      <c r="Y104" s="86"/>
    </row>
    <row r="105" spans="1:25">
      <c r="A105" s="35">
        <v>96</v>
      </c>
      <c r="B105" s="89"/>
      <c r="C105" s="90" t="s">
        <v>3111</v>
      </c>
      <c r="D105" s="35" t="s">
        <v>2916</v>
      </c>
      <c r="E105" s="35" t="s">
        <v>3112</v>
      </c>
      <c r="F105" s="35"/>
      <c r="G105" s="35"/>
      <c r="H105" s="91">
        <v>0</v>
      </c>
      <c r="I105" s="86"/>
      <c r="J105" s="86"/>
      <c r="K105" s="79">
        <f>7500*H105</f>
        <v>0</v>
      </c>
      <c r="L105" s="87"/>
      <c r="M105" s="81"/>
      <c r="O105" s="85"/>
      <c r="P105" s="35">
        <v>96</v>
      </c>
      <c r="Q105" s="89"/>
      <c r="R105" s="90" t="s">
        <v>3111</v>
      </c>
      <c r="S105" s="35" t="s">
        <v>2916</v>
      </c>
      <c r="T105" s="35" t="s">
        <v>3112</v>
      </c>
      <c r="U105" s="35"/>
      <c r="V105" s="35"/>
      <c r="W105" s="85">
        <v>103000</v>
      </c>
      <c r="X105" s="86"/>
      <c r="Y105" s="86"/>
    </row>
    <row r="106" spans="1:25">
      <c r="A106" s="52">
        <v>97</v>
      </c>
      <c r="B106" s="97"/>
      <c r="C106" s="99" t="s">
        <v>3189</v>
      </c>
      <c r="D106" s="52" t="s">
        <v>2916</v>
      </c>
      <c r="E106" s="52" t="s">
        <v>3190</v>
      </c>
      <c r="F106" s="52"/>
      <c r="G106" s="52"/>
      <c r="H106" s="91">
        <v>0</v>
      </c>
      <c r="I106" s="98"/>
      <c r="J106" s="98"/>
      <c r="K106" s="79">
        <f>7500*H106</f>
        <v>0</v>
      </c>
      <c r="L106" s="87"/>
      <c r="M106" s="81"/>
      <c r="O106" s="53"/>
      <c r="P106" s="52">
        <v>97</v>
      </c>
      <c r="Q106" s="97"/>
      <c r="R106" s="99" t="s">
        <v>3189</v>
      </c>
      <c r="S106" s="52" t="s">
        <v>2916</v>
      </c>
      <c r="T106" s="52" t="s">
        <v>3190</v>
      </c>
      <c r="U106" s="52"/>
      <c r="V106" s="52"/>
      <c r="W106" s="53">
        <v>3862.5</v>
      </c>
      <c r="X106" s="98"/>
      <c r="Y106" s="98"/>
    </row>
    <row r="107" spans="1:25">
      <c r="A107" s="100"/>
      <c r="B107" s="101"/>
      <c r="C107" s="78"/>
      <c r="D107" s="100"/>
      <c r="E107" s="100"/>
      <c r="F107" s="100"/>
      <c r="G107" s="100"/>
      <c r="H107" s="104"/>
      <c r="I107" s="76"/>
      <c r="J107" s="76"/>
      <c r="K107" s="79"/>
      <c r="L107" s="87"/>
      <c r="M107" s="81"/>
      <c r="O107" s="105"/>
      <c r="P107" s="100"/>
      <c r="Q107" s="101"/>
      <c r="R107" s="78"/>
      <c r="S107" s="100"/>
      <c r="T107" s="100"/>
      <c r="U107" s="100"/>
      <c r="V107" s="100"/>
      <c r="W107" s="102"/>
      <c r="X107" s="76"/>
      <c r="Y107" s="76"/>
    </row>
    <row r="108" spans="1:25">
      <c r="A108" s="66" t="s">
        <v>3113</v>
      </c>
      <c r="B108" s="67"/>
      <c r="C108" s="88" t="s">
        <v>3114</v>
      </c>
      <c r="D108" s="86"/>
      <c r="E108" s="86"/>
      <c r="F108" s="86"/>
      <c r="G108" s="86"/>
      <c r="H108" s="91"/>
      <c r="I108" s="86"/>
      <c r="J108" s="86"/>
      <c r="K108" s="79"/>
      <c r="L108" s="87"/>
      <c r="M108" s="81"/>
      <c r="O108" s="105"/>
      <c r="P108" s="66" t="s">
        <v>3113</v>
      </c>
      <c r="Q108" s="67"/>
      <c r="R108" s="88" t="s">
        <v>3114</v>
      </c>
      <c r="S108" s="86"/>
      <c r="T108" s="86"/>
      <c r="U108" s="86"/>
      <c r="V108" s="86"/>
      <c r="W108" s="85"/>
      <c r="X108" s="86"/>
      <c r="Y108" s="86"/>
    </row>
    <row r="109" spans="1:25">
      <c r="A109" s="35">
        <v>1</v>
      </c>
      <c r="B109" s="89"/>
      <c r="C109" s="90" t="s">
        <v>3115</v>
      </c>
      <c r="D109" s="35" t="s">
        <v>128</v>
      </c>
      <c r="E109" s="35" t="s">
        <v>3116</v>
      </c>
      <c r="F109" s="35"/>
      <c r="G109" s="35"/>
      <c r="H109" s="91">
        <v>0</v>
      </c>
      <c r="I109" s="86"/>
      <c r="J109" s="86"/>
      <c r="K109" s="79"/>
      <c r="L109" s="87"/>
      <c r="M109" s="81"/>
      <c r="O109" s="85"/>
      <c r="P109" s="35">
        <v>1</v>
      </c>
      <c r="Q109" s="89"/>
      <c r="R109" s="90" t="s">
        <v>3115</v>
      </c>
      <c r="S109" s="35" t="s">
        <v>128</v>
      </c>
      <c r="T109" s="35" t="s">
        <v>3116</v>
      </c>
      <c r="U109" s="35"/>
      <c r="V109" s="35"/>
      <c r="W109" s="85">
        <v>53817.5</v>
      </c>
      <c r="X109" s="86"/>
      <c r="Y109" s="86"/>
    </row>
    <row r="110" spans="1:25">
      <c r="A110" s="35">
        <v>2</v>
      </c>
      <c r="B110" s="89"/>
      <c r="C110" s="90" t="s">
        <v>3117</v>
      </c>
      <c r="D110" s="35" t="s">
        <v>2916</v>
      </c>
      <c r="E110" s="35" t="s">
        <v>3118</v>
      </c>
      <c r="F110" s="35"/>
      <c r="G110" s="35"/>
      <c r="H110" s="91">
        <v>0</v>
      </c>
      <c r="I110" s="86"/>
      <c r="J110" s="86"/>
      <c r="K110" s="79">
        <f>50*H110</f>
        <v>0</v>
      </c>
      <c r="L110" s="87"/>
      <c r="M110" s="81"/>
      <c r="O110" s="85"/>
      <c r="P110" s="35">
        <v>2</v>
      </c>
      <c r="Q110" s="89"/>
      <c r="R110" s="90" t="s">
        <v>3117</v>
      </c>
      <c r="S110" s="35" t="s">
        <v>2916</v>
      </c>
      <c r="T110" s="35" t="s">
        <v>3118</v>
      </c>
      <c r="U110" s="35"/>
      <c r="V110" s="35"/>
      <c r="W110" s="85">
        <v>20600</v>
      </c>
      <c r="X110" s="86"/>
      <c r="Y110" s="86"/>
    </row>
    <row r="111" spans="1:25">
      <c r="A111" s="35">
        <v>3</v>
      </c>
      <c r="B111" s="89"/>
      <c r="C111" s="90" t="s">
        <v>3119</v>
      </c>
      <c r="D111" s="35" t="s">
        <v>128</v>
      </c>
      <c r="E111" s="35" t="s">
        <v>3120</v>
      </c>
      <c r="F111" s="35"/>
      <c r="G111" s="35"/>
      <c r="H111" s="91">
        <v>0</v>
      </c>
      <c r="I111" s="86"/>
      <c r="J111" s="86"/>
      <c r="K111" s="79"/>
      <c r="L111" s="87"/>
      <c r="M111" s="81"/>
      <c r="O111" s="85"/>
      <c r="P111" s="35">
        <v>3</v>
      </c>
      <c r="Q111" s="89"/>
      <c r="R111" s="90" t="s">
        <v>3119</v>
      </c>
      <c r="S111" s="35" t="s">
        <v>128</v>
      </c>
      <c r="T111" s="35" t="s">
        <v>3120</v>
      </c>
      <c r="U111" s="35"/>
      <c r="V111" s="35"/>
      <c r="W111" s="85">
        <v>5150</v>
      </c>
      <c r="X111" s="86"/>
      <c r="Y111" s="86"/>
    </row>
    <row r="112" spans="1:25">
      <c r="A112" s="35">
        <v>4</v>
      </c>
      <c r="B112" s="89"/>
      <c r="C112" s="90" t="s">
        <v>3121</v>
      </c>
      <c r="D112" s="35" t="s">
        <v>128</v>
      </c>
      <c r="E112" s="35" t="s">
        <v>3122</v>
      </c>
      <c r="F112" s="35"/>
      <c r="G112" s="35"/>
      <c r="H112" s="91">
        <v>0</v>
      </c>
      <c r="I112" s="86"/>
      <c r="J112" s="86"/>
      <c r="K112" s="79"/>
      <c r="L112" s="87"/>
      <c r="M112" s="81"/>
      <c r="O112" s="85"/>
      <c r="P112" s="35">
        <v>4</v>
      </c>
      <c r="Q112" s="89"/>
      <c r="R112" s="90" t="s">
        <v>3121</v>
      </c>
      <c r="S112" s="35" t="s">
        <v>128</v>
      </c>
      <c r="T112" s="35" t="s">
        <v>3122</v>
      </c>
      <c r="U112" s="35"/>
      <c r="V112" s="35"/>
      <c r="W112" s="85">
        <v>18025</v>
      </c>
      <c r="X112" s="86"/>
      <c r="Y112" s="86"/>
    </row>
    <row r="113" spans="1:25">
      <c r="A113" s="35">
        <v>5</v>
      </c>
      <c r="B113" s="89"/>
      <c r="C113" s="90" t="s">
        <v>3123</v>
      </c>
      <c r="D113" s="35" t="s">
        <v>128</v>
      </c>
      <c r="E113" s="35" t="s">
        <v>3124</v>
      </c>
      <c r="F113" s="35"/>
      <c r="G113" s="35"/>
      <c r="H113" s="91">
        <v>0</v>
      </c>
      <c r="I113" s="86"/>
      <c r="J113" s="86"/>
      <c r="K113" s="79"/>
      <c r="L113" s="87"/>
      <c r="M113" s="81"/>
      <c r="O113" s="85"/>
      <c r="P113" s="35">
        <v>5</v>
      </c>
      <c r="Q113" s="89"/>
      <c r="R113" s="90" t="s">
        <v>3123</v>
      </c>
      <c r="S113" s="35" t="s">
        <v>128</v>
      </c>
      <c r="T113" s="35" t="s">
        <v>3124</v>
      </c>
      <c r="U113" s="35"/>
      <c r="V113" s="35"/>
      <c r="W113" s="85">
        <v>2575000</v>
      </c>
      <c r="X113" s="86"/>
      <c r="Y113" s="86"/>
    </row>
    <row r="114" spans="1:25">
      <c r="A114" s="35">
        <v>6</v>
      </c>
      <c r="B114" s="89"/>
      <c r="C114" s="90" t="s">
        <v>3125</v>
      </c>
      <c r="D114" s="35" t="s">
        <v>2916</v>
      </c>
      <c r="E114" s="35" t="s">
        <v>3126</v>
      </c>
      <c r="F114" s="35"/>
      <c r="G114" s="35"/>
      <c r="H114" s="91">
        <v>0</v>
      </c>
      <c r="I114" s="86"/>
      <c r="J114" s="86"/>
      <c r="K114" s="79">
        <f>50*H114</f>
        <v>0</v>
      </c>
      <c r="L114" s="87"/>
      <c r="M114" s="81"/>
      <c r="O114" s="85"/>
      <c r="P114" s="35">
        <v>6</v>
      </c>
      <c r="Q114" s="89"/>
      <c r="R114" s="90" t="s">
        <v>3125</v>
      </c>
      <c r="S114" s="35" t="s">
        <v>2916</v>
      </c>
      <c r="T114" s="35" t="s">
        <v>3126</v>
      </c>
      <c r="U114" s="35"/>
      <c r="V114" s="35"/>
      <c r="W114" s="85">
        <v>257500</v>
      </c>
      <c r="X114" s="86"/>
      <c r="Y114" s="86"/>
    </row>
    <row r="115" spans="1:25">
      <c r="A115" s="35">
        <v>7</v>
      </c>
      <c r="B115" s="89"/>
      <c r="C115" s="90" t="s">
        <v>3127</v>
      </c>
      <c r="D115" s="35" t="s">
        <v>128</v>
      </c>
      <c r="E115" s="35" t="s">
        <v>3128</v>
      </c>
      <c r="F115" s="35"/>
      <c r="G115" s="35"/>
      <c r="H115" s="91">
        <v>0</v>
      </c>
      <c r="I115" s="86"/>
      <c r="J115" s="86"/>
      <c r="K115" s="79"/>
      <c r="L115" s="87"/>
      <c r="M115" s="81"/>
      <c r="O115" s="85"/>
      <c r="P115" s="35">
        <v>7</v>
      </c>
      <c r="Q115" s="89"/>
      <c r="R115" s="90" t="s">
        <v>3127</v>
      </c>
      <c r="S115" s="35" t="s">
        <v>128</v>
      </c>
      <c r="T115" s="35" t="s">
        <v>3128</v>
      </c>
      <c r="U115" s="35"/>
      <c r="V115" s="35"/>
      <c r="W115" s="85">
        <v>5150</v>
      </c>
      <c r="X115" s="86"/>
      <c r="Y115" s="86"/>
    </row>
    <row r="116" spans="1:25">
      <c r="A116" s="35">
        <v>8</v>
      </c>
      <c r="B116" s="89"/>
      <c r="C116" s="90" t="s">
        <v>3129</v>
      </c>
      <c r="D116" s="35" t="s">
        <v>2333</v>
      </c>
      <c r="E116" s="35" t="s">
        <v>3130</v>
      </c>
      <c r="F116" s="35"/>
      <c r="G116" s="35"/>
      <c r="H116" s="91">
        <v>0</v>
      </c>
      <c r="I116" s="86"/>
      <c r="J116" s="86"/>
      <c r="K116" s="79"/>
      <c r="L116" s="87"/>
      <c r="M116" s="81"/>
      <c r="O116" s="85"/>
      <c r="P116" s="35">
        <v>8</v>
      </c>
      <c r="Q116" s="89"/>
      <c r="R116" s="90" t="s">
        <v>3129</v>
      </c>
      <c r="S116" s="35" t="s">
        <v>2333</v>
      </c>
      <c r="T116" s="35" t="s">
        <v>3130</v>
      </c>
      <c r="U116" s="35"/>
      <c r="V116" s="35"/>
      <c r="W116" s="85">
        <v>12360</v>
      </c>
      <c r="X116" s="86"/>
      <c r="Y116" s="86"/>
    </row>
    <row r="117" spans="1:25">
      <c r="A117" s="35">
        <v>9</v>
      </c>
      <c r="B117" s="89"/>
      <c r="C117" s="90" t="s">
        <v>3131</v>
      </c>
      <c r="D117" s="35" t="s">
        <v>2333</v>
      </c>
      <c r="E117" s="35" t="s">
        <v>3132</v>
      </c>
      <c r="F117" s="35"/>
      <c r="G117" s="35"/>
      <c r="H117" s="91">
        <v>0</v>
      </c>
      <c r="I117" s="86"/>
      <c r="J117" s="86"/>
      <c r="K117" s="79"/>
      <c r="L117" s="87"/>
      <c r="M117" s="81"/>
      <c r="O117" s="85"/>
      <c r="P117" s="35">
        <v>9</v>
      </c>
      <c r="Q117" s="89"/>
      <c r="R117" s="90" t="s">
        <v>3131</v>
      </c>
      <c r="S117" s="35" t="s">
        <v>2333</v>
      </c>
      <c r="T117" s="35" t="s">
        <v>3132</v>
      </c>
      <c r="U117" s="35"/>
      <c r="V117" s="35"/>
      <c r="W117" s="85">
        <v>123600</v>
      </c>
      <c r="X117" s="86"/>
      <c r="Y117" s="86"/>
    </row>
    <row r="118" spans="1:25">
      <c r="A118" s="35">
        <v>10</v>
      </c>
      <c r="B118" s="89"/>
      <c r="C118" s="36" t="s">
        <v>3133</v>
      </c>
      <c r="D118" s="35" t="s">
        <v>3134</v>
      </c>
      <c r="E118" s="35" t="s">
        <v>3135</v>
      </c>
      <c r="F118" s="35"/>
      <c r="G118" s="35"/>
      <c r="H118" s="91">
        <v>0</v>
      </c>
      <c r="I118" s="86" t="s">
        <v>2910</v>
      </c>
      <c r="J118" s="86"/>
      <c r="K118" s="79">
        <f>15*H118</f>
        <v>0</v>
      </c>
      <c r="L118" s="87"/>
      <c r="M118" s="81"/>
      <c r="O118" s="85"/>
      <c r="P118" s="35">
        <v>10</v>
      </c>
      <c r="Q118" s="89"/>
      <c r="R118" s="36" t="s">
        <v>3133</v>
      </c>
      <c r="S118" s="35" t="s">
        <v>3134</v>
      </c>
      <c r="T118" s="35" t="s">
        <v>3135</v>
      </c>
      <c r="U118" s="35"/>
      <c r="V118" s="35"/>
      <c r="W118" s="85">
        <v>1030000</v>
      </c>
      <c r="X118" s="86" t="s">
        <v>2910</v>
      </c>
      <c r="Y118" s="86"/>
    </row>
    <row r="119" spans="1:25">
      <c r="A119" s="35">
        <v>11</v>
      </c>
      <c r="B119" s="89"/>
      <c r="C119" s="90" t="s">
        <v>3136</v>
      </c>
      <c r="D119" s="35" t="s">
        <v>128</v>
      </c>
      <c r="E119" s="35" t="s">
        <v>3137</v>
      </c>
      <c r="F119" s="35"/>
      <c r="G119" s="35"/>
      <c r="H119" s="91">
        <v>0</v>
      </c>
      <c r="I119" s="86"/>
      <c r="J119" s="86"/>
      <c r="K119" s="79"/>
      <c r="L119" s="87"/>
      <c r="M119" s="81"/>
      <c r="O119" s="85"/>
      <c r="P119" s="35">
        <v>11</v>
      </c>
      <c r="Q119" s="89"/>
      <c r="R119" s="90" t="s">
        <v>3136</v>
      </c>
      <c r="S119" s="35" t="s">
        <v>128</v>
      </c>
      <c r="T119" s="35" t="s">
        <v>3137</v>
      </c>
      <c r="U119" s="35"/>
      <c r="V119" s="35"/>
      <c r="W119" s="85">
        <v>25750</v>
      </c>
      <c r="X119" s="86"/>
      <c r="Y119" s="86"/>
    </row>
    <row r="120" spans="1:25">
      <c r="A120" s="35">
        <v>12</v>
      </c>
      <c r="B120" s="89"/>
      <c r="C120" s="90" t="s">
        <v>3138</v>
      </c>
      <c r="D120" s="35" t="s">
        <v>128</v>
      </c>
      <c r="E120" s="35" t="s">
        <v>3139</v>
      </c>
      <c r="F120" s="35"/>
      <c r="G120" s="35"/>
      <c r="H120" s="91">
        <v>0</v>
      </c>
      <c r="I120" s="86"/>
      <c r="J120" s="86"/>
      <c r="K120" s="79"/>
      <c r="L120" s="87"/>
      <c r="M120" s="81"/>
      <c r="O120" s="85"/>
      <c r="P120" s="35">
        <v>12</v>
      </c>
      <c r="Q120" s="89"/>
      <c r="R120" s="90" t="s">
        <v>3138</v>
      </c>
      <c r="S120" s="35" t="s">
        <v>128</v>
      </c>
      <c r="T120" s="35" t="s">
        <v>3139</v>
      </c>
      <c r="U120" s="35"/>
      <c r="V120" s="35"/>
      <c r="W120" s="85">
        <v>12875</v>
      </c>
      <c r="X120" s="86"/>
      <c r="Y120" s="86"/>
    </row>
    <row r="121" spans="1:25">
      <c r="A121" s="35">
        <v>13</v>
      </c>
      <c r="B121" s="89"/>
      <c r="C121" s="90" t="s">
        <v>3140</v>
      </c>
      <c r="D121" s="35" t="s">
        <v>128</v>
      </c>
      <c r="E121" s="35" t="s">
        <v>3141</v>
      </c>
      <c r="F121" s="35"/>
      <c r="G121" s="35"/>
      <c r="H121" s="91">
        <v>0</v>
      </c>
      <c r="I121" s="86"/>
      <c r="J121" s="86"/>
      <c r="K121" s="79"/>
      <c r="L121" s="87"/>
      <c r="M121" s="81"/>
      <c r="O121" s="85"/>
      <c r="P121" s="35">
        <v>13</v>
      </c>
      <c r="Q121" s="89"/>
      <c r="R121" s="90" t="s">
        <v>3140</v>
      </c>
      <c r="S121" s="35" t="s">
        <v>128</v>
      </c>
      <c r="T121" s="35" t="s">
        <v>3141</v>
      </c>
      <c r="U121" s="35"/>
      <c r="V121" s="35"/>
      <c r="W121" s="85">
        <v>8240</v>
      </c>
      <c r="X121" s="86"/>
      <c r="Y121" s="86"/>
    </row>
    <row r="122" spans="1:25">
      <c r="A122" s="35">
        <v>14</v>
      </c>
      <c r="B122" s="89"/>
      <c r="C122" s="90" t="s">
        <v>3142</v>
      </c>
      <c r="D122" s="35" t="s">
        <v>128</v>
      </c>
      <c r="E122" s="35" t="s">
        <v>3143</v>
      </c>
      <c r="F122" s="35"/>
      <c r="G122" s="35"/>
      <c r="H122" s="91">
        <v>0</v>
      </c>
      <c r="I122" s="86"/>
      <c r="J122" s="86"/>
      <c r="K122" s="79"/>
      <c r="L122" s="87"/>
      <c r="M122" s="81"/>
      <c r="O122" s="85"/>
      <c r="P122" s="35">
        <v>14</v>
      </c>
      <c r="Q122" s="89"/>
      <c r="R122" s="90" t="s">
        <v>3142</v>
      </c>
      <c r="S122" s="35" t="s">
        <v>128</v>
      </c>
      <c r="T122" s="35" t="s">
        <v>3143</v>
      </c>
      <c r="U122" s="35"/>
      <c r="V122" s="35"/>
      <c r="W122" s="85">
        <v>258684.5</v>
      </c>
      <c r="X122" s="86"/>
      <c r="Y122" s="86"/>
    </row>
    <row r="123" spans="1:25">
      <c r="A123" s="35">
        <v>15</v>
      </c>
      <c r="B123" s="89"/>
      <c r="C123" s="90" t="s">
        <v>3144</v>
      </c>
      <c r="D123" s="35" t="s">
        <v>128</v>
      </c>
      <c r="E123" s="35" t="s">
        <v>3145</v>
      </c>
      <c r="F123" s="35"/>
      <c r="G123" s="35"/>
      <c r="H123" s="91">
        <v>0</v>
      </c>
      <c r="I123" s="86"/>
      <c r="J123" s="86"/>
      <c r="K123" s="79"/>
      <c r="L123" s="87"/>
      <c r="M123" s="81"/>
      <c r="O123" s="85"/>
      <c r="P123" s="35">
        <v>15</v>
      </c>
      <c r="Q123" s="89"/>
      <c r="R123" s="90" t="s">
        <v>3144</v>
      </c>
      <c r="S123" s="35" t="s">
        <v>128</v>
      </c>
      <c r="T123" s="35" t="s">
        <v>3145</v>
      </c>
      <c r="U123" s="35"/>
      <c r="V123" s="35"/>
      <c r="W123" s="85">
        <v>231750</v>
      </c>
      <c r="X123" s="86"/>
      <c r="Y123" s="86"/>
    </row>
    <row r="124" spans="1:25">
      <c r="A124" s="35">
        <v>16</v>
      </c>
      <c r="B124" s="89"/>
      <c r="C124" s="90" t="s">
        <v>3146</v>
      </c>
      <c r="D124" s="35" t="s">
        <v>128</v>
      </c>
      <c r="E124" s="35" t="s">
        <v>3147</v>
      </c>
      <c r="F124" s="35"/>
      <c r="G124" s="35"/>
      <c r="H124" s="91">
        <v>0</v>
      </c>
      <c r="I124" s="86"/>
      <c r="J124" s="86"/>
      <c r="K124" s="79"/>
      <c r="L124" s="87"/>
      <c r="M124" s="81"/>
      <c r="O124" s="85"/>
      <c r="P124" s="35">
        <v>16</v>
      </c>
      <c r="Q124" s="89"/>
      <c r="R124" s="90" t="s">
        <v>3146</v>
      </c>
      <c r="S124" s="35" t="s">
        <v>128</v>
      </c>
      <c r="T124" s="35" t="s">
        <v>3147</v>
      </c>
      <c r="U124" s="35"/>
      <c r="V124" s="35"/>
      <c r="W124" s="85">
        <v>257500</v>
      </c>
      <c r="X124" s="86"/>
      <c r="Y124" s="86"/>
    </row>
    <row r="125" spans="1:25">
      <c r="A125" s="35">
        <v>17</v>
      </c>
      <c r="B125" s="89"/>
      <c r="C125" s="36" t="s">
        <v>3148</v>
      </c>
      <c r="D125" s="35" t="s">
        <v>3134</v>
      </c>
      <c r="E125" s="35" t="s">
        <v>3149</v>
      </c>
      <c r="F125" s="35"/>
      <c r="G125" s="35"/>
      <c r="H125" s="91">
        <v>0</v>
      </c>
      <c r="I125" s="86" t="s">
        <v>2910</v>
      </c>
      <c r="J125" s="86"/>
      <c r="K125" s="79">
        <f>50*H125</f>
        <v>0</v>
      </c>
      <c r="L125" s="87"/>
      <c r="M125" s="81"/>
      <c r="O125" s="85"/>
      <c r="P125" s="35">
        <v>17</v>
      </c>
      <c r="Q125" s="89"/>
      <c r="R125" s="36" t="s">
        <v>3148</v>
      </c>
      <c r="S125" s="35" t="s">
        <v>3134</v>
      </c>
      <c r="T125" s="35" t="s">
        <v>3149</v>
      </c>
      <c r="U125" s="35"/>
      <c r="V125" s="35"/>
      <c r="W125" s="85">
        <v>2575000</v>
      </c>
      <c r="X125" s="86" t="s">
        <v>2910</v>
      </c>
      <c r="Y125" s="86"/>
    </row>
    <row r="126" spans="1:25">
      <c r="A126" s="35">
        <v>18</v>
      </c>
      <c r="B126" s="89"/>
      <c r="C126" s="36" t="s">
        <v>3150</v>
      </c>
      <c r="D126" s="35" t="s">
        <v>128</v>
      </c>
      <c r="E126" s="35" t="s">
        <v>3151</v>
      </c>
      <c r="F126" s="35"/>
      <c r="G126" s="35"/>
      <c r="H126" s="91">
        <v>0</v>
      </c>
      <c r="I126" s="86"/>
      <c r="J126" s="86"/>
      <c r="K126" s="92"/>
      <c r="L126" s="87"/>
      <c r="M126" s="81"/>
      <c r="O126" s="85"/>
      <c r="P126" s="35">
        <v>18</v>
      </c>
      <c r="Q126" s="89"/>
      <c r="R126" s="36" t="s">
        <v>3150</v>
      </c>
      <c r="S126" s="35" t="s">
        <v>128</v>
      </c>
      <c r="T126" s="35" t="s">
        <v>3151</v>
      </c>
      <c r="U126" s="35"/>
      <c r="V126" s="35"/>
      <c r="W126" s="85">
        <v>360500</v>
      </c>
      <c r="X126" s="86"/>
      <c r="Y126" s="86"/>
    </row>
    <row r="127" spans="1:25">
      <c r="A127" s="35">
        <v>19</v>
      </c>
      <c r="B127" s="89"/>
      <c r="C127" s="36" t="s">
        <v>3152</v>
      </c>
      <c r="D127" s="35" t="s">
        <v>3134</v>
      </c>
      <c r="E127" s="35" t="s">
        <v>3153</v>
      </c>
      <c r="F127" s="35"/>
      <c r="G127" s="35"/>
      <c r="H127" s="91">
        <v>0</v>
      </c>
      <c r="I127" s="86" t="s">
        <v>2910</v>
      </c>
      <c r="J127" s="86"/>
      <c r="K127" s="79">
        <f>50*H127</f>
        <v>0</v>
      </c>
      <c r="L127" s="87"/>
      <c r="M127" s="81"/>
      <c r="O127" s="85"/>
      <c r="P127" s="35">
        <v>19</v>
      </c>
      <c r="Q127" s="89"/>
      <c r="R127" s="36" t="s">
        <v>3152</v>
      </c>
      <c r="S127" s="35" t="s">
        <v>3134</v>
      </c>
      <c r="T127" s="35" t="s">
        <v>3153</v>
      </c>
      <c r="U127" s="35"/>
      <c r="V127" s="35"/>
      <c r="W127" s="85">
        <v>51500</v>
      </c>
      <c r="X127" s="86" t="s">
        <v>2910</v>
      </c>
      <c r="Y127" s="86"/>
    </row>
    <row r="128" spans="1:25">
      <c r="A128" s="35">
        <v>20</v>
      </c>
      <c r="B128" s="89"/>
      <c r="C128" s="90" t="s">
        <v>3154</v>
      </c>
      <c r="D128" s="35" t="s">
        <v>128</v>
      </c>
      <c r="E128" s="35" t="s">
        <v>3155</v>
      </c>
      <c r="F128" s="35"/>
      <c r="G128" s="35"/>
      <c r="H128" s="91">
        <v>0</v>
      </c>
      <c r="I128" s="86"/>
      <c r="J128" s="86"/>
      <c r="K128" s="79"/>
      <c r="L128" s="87"/>
      <c r="M128" s="81"/>
      <c r="O128" s="85"/>
      <c r="P128" s="35">
        <v>20</v>
      </c>
      <c r="Q128" s="89"/>
      <c r="R128" s="90" t="s">
        <v>3154</v>
      </c>
      <c r="S128" s="35" t="s">
        <v>128</v>
      </c>
      <c r="T128" s="35" t="s">
        <v>3155</v>
      </c>
      <c r="U128" s="35"/>
      <c r="V128" s="35"/>
      <c r="W128" s="85">
        <v>25750</v>
      </c>
      <c r="X128" s="86"/>
      <c r="Y128" s="86"/>
    </row>
    <row r="129" spans="1:25">
      <c r="A129" s="35">
        <v>21</v>
      </c>
      <c r="B129" s="89"/>
      <c r="C129" s="90" t="s">
        <v>3156</v>
      </c>
      <c r="D129" s="35" t="s">
        <v>2916</v>
      </c>
      <c r="E129" s="35" t="s">
        <v>3157</v>
      </c>
      <c r="F129" s="35"/>
      <c r="G129" s="35"/>
      <c r="H129" s="91">
        <v>0</v>
      </c>
      <c r="I129" s="86"/>
      <c r="J129" s="86"/>
      <c r="K129" s="79">
        <f>50*H129</f>
        <v>0</v>
      </c>
      <c r="L129" s="87"/>
      <c r="M129" s="81"/>
      <c r="O129" s="85"/>
      <c r="P129" s="35">
        <v>21</v>
      </c>
      <c r="Q129" s="89"/>
      <c r="R129" s="90" t="s">
        <v>3156</v>
      </c>
      <c r="S129" s="35" t="s">
        <v>2916</v>
      </c>
      <c r="T129" s="35" t="s">
        <v>3157</v>
      </c>
      <c r="U129" s="35"/>
      <c r="V129" s="35"/>
      <c r="W129" s="85">
        <v>25750</v>
      </c>
      <c r="X129" s="86"/>
      <c r="Y129" s="86"/>
    </row>
    <row r="130" spans="1:25">
      <c r="A130" s="35">
        <v>22</v>
      </c>
      <c r="B130" s="89"/>
      <c r="C130" s="90" t="s">
        <v>2912</v>
      </c>
      <c r="D130" s="35" t="s">
        <v>128</v>
      </c>
      <c r="E130" s="35" t="s">
        <v>3158</v>
      </c>
      <c r="F130" s="35"/>
      <c r="G130" s="35"/>
      <c r="H130" s="91">
        <v>0</v>
      </c>
      <c r="I130" s="86"/>
      <c r="J130" s="86"/>
      <c r="K130" s="79"/>
      <c r="L130" s="87"/>
      <c r="M130" s="81"/>
      <c r="O130" s="85"/>
      <c r="P130" s="35">
        <v>22</v>
      </c>
      <c r="Q130" s="89"/>
      <c r="R130" s="90" t="s">
        <v>2912</v>
      </c>
      <c r="S130" s="35" t="s">
        <v>128</v>
      </c>
      <c r="T130" s="35" t="s">
        <v>3158</v>
      </c>
      <c r="U130" s="35"/>
      <c r="V130" s="35"/>
      <c r="W130" s="85">
        <v>2575</v>
      </c>
      <c r="X130" s="86"/>
      <c r="Y130" s="86"/>
    </row>
    <row r="131" spans="1:25">
      <c r="A131" s="35"/>
      <c r="B131" s="89"/>
      <c r="C131" s="90"/>
      <c r="D131" s="86"/>
      <c r="E131" s="86"/>
      <c r="F131" s="86"/>
      <c r="G131" s="86"/>
      <c r="H131" s="86"/>
      <c r="I131" s="86"/>
      <c r="J131" s="86"/>
      <c r="K131" s="79"/>
      <c r="L131" s="87"/>
      <c r="M131" s="81"/>
      <c r="O131" s="105"/>
      <c r="P131" s="35"/>
      <c r="Q131" s="89"/>
      <c r="R131" s="90"/>
      <c r="S131" s="86"/>
      <c r="T131" s="86"/>
      <c r="U131" s="86"/>
      <c r="V131" s="86"/>
      <c r="W131" s="86"/>
      <c r="X131" s="86"/>
      <c r="Y131" s="86"/>
    </row>
    <row r="132" spans="1:25">
      <c r="A132" s="52"/>
      <c r="B132" s="97"/>
      <c r="C132" s="51"/>
      <c r="D132" s="52"/>
      <c r="E132" s="52"/>
      <c r="F132" s="98"/>
      <c r="G132" s="98"/>
      <c r="H132" s="54"/>
      <c r="I132" s="98"/>
      <c r="J132" s="98"/>
      <c r="K132" s="106"/>
      <c r="L132" s="87"/>
      <c r="M132" s="107"/>
      <c r="O132" s="105"/>
      <c r="P132" s="52"/>
      <c r="Q132" s="97"/>
      <c r="R132" s="51"/>
      <c r="S132" s="52"/>
      <c r="T132" s="52"/>
      <c r="U132" s="98"/>
      <c r="V132" s="98"/>
      <c r="W132" s="53"/>
      <c r="X132" s="98"/>
      <c r="Y132" s="98"/>
    </row>
    <row r="133" spans="1:25">
      <c r="A133" s="9" t="s">
        <v>3159</v>
      </c>
      <c r="K133" s="108" t="s">
        <v>3160</v>
      </c>
      <c r="L133" s="109"/>
    </row>
  </sheetData>
  <mergeCells count="2">
    <mergeCell ref="O3:O5"/>
    <mergeCell ref="A1:K1"/>
  </mergeCells>
  <pageMargins left="0.55118110236220474" right="0.39370078740157483" top="0.55118110236220474" bottom="0.78740157480314965" header="0.51181102362204722" footer="0.51181102362204722"/>
  <pageSetup paperSize="5" scale="85" orientation="portrait" horizontalDpi="4294967293" verticalDpi="4294967293" r:id="rId1"/>
  <headerFooter alignWithMargins="0"/>
  <rowBreaks count="2" manualBreakCount="2">
    <brk id="51" max="9" man="1"/>
    <brk id="106" max="9"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73373-2337-46A7-B1CC-460895B5CE78}">
  <sheetPr>
    <tabColor rgb="FFFF0000"/>
  </sheetPr>
  <dimension ref="B1:AL584"/>
  <sheetViews>
    <sheetView zoomScale="55" zoomScaleNormal="55" workbookViewId="0">
      <selection activeCell="AA91" sqref="AA91"/>
    </sheetView>
  </sheetViews>
  <sheetFormatPr defaultColWidth="8" defaultRowHeight="15.5"/>
  <cols>
    <col min="1" max="1" width="0.54296875" style="670" customWidth="1"/>
    <col min="2" max="2" width="7.08984375" style="670" customWidth="1"/>
    <col min="3" max="3" width="9.453125" style="670" customWidth="1"/>
    <col min="4" max="4" width="5.08984375" style="670" customWidth="1"/>
    <col min="5" max="5" width="2.08984375" style="670" customWidth="1"/>
    <col min="6" max="6" width="74.90625" style="670" customWidth="1"/>
    <col min="7" max="7" width="4.453125" style="670" customWidth="1"/>
    <col min="8" max="8" width="6.453125" style="670" customWidth="1"/>
    <col min="9" max="9" width="45.6328125" style="670" customWidth="1"/>
    <col min="10" max="10" width="13.08984375" style="676" customWidth="1"/>
    <col min="11" max="11" width="3.36328125" style="676" customWidth="1"/>
    <col min="12" max="12" width="12.08984375" style="676" customWidth="1"/>
    <col min="13" max="13" width="3.36328125" style="676" customWidth="1"/>
    <col min="14" max="14" width="10.36328125" style="676" customWidth="1"/>
    <col min="15" max="15" width="3.36328125" style="676" customWidth="1"/>
    <col min="16" max="16" width="9.08984375" style="676" customWidth="1"/>
    <col min="17" max="17" width="3.36328125" style="676" customWidth="1"/>
    <col min="18" max="18" width="16.6328125" style="677" customWidth="1"/>
    <col min="19" max="19" width="3.36328125" style="676" customWidth="1"/>
    <col min="20" max="20" width="13.54296875" style="676" customWidth="1"/>
    <col min="21" max="21" width="3.36328125" style="676" customWidth="1"/>
    <col min="22" max="22" width="14.08984375" style="678" customWidth="1"/>
    <col min="23" max="23" width="6.6328125" style="771" customWidth="1"/>
    <col min="24" max="25" width="8" style="670"/>
    <col min="26" max="26" width="10.90625" style="670" bestFit="1" customWidth="1"/>
    <col min="27" max="27" width="15.36328125" style="670" bestFit="1" customWidth="1"/>
    <col min="28" max="28" width="8.08984375" style="670" bestFit="1" customWidth="1"/>
    <col min="29" max="30" width="12.36328125" style="670" bestFit="1" customWidth="1"/>
    <col min="31" max="16384" width="8" style="670"/>
  </cols>
  <sheetData>
    <row r="1" spans="2:23" ht="16" thickTop="1">
      <c r="B1" s="1776" t="s">
        <v>3883</v>
      </c>
      <c r="C1" s="1777"/>
      <c r="D1" s="1777"/>
      <c r="E1" s="1777"/>
      <c r="F1" s="1777"/>
      <c r="G1" s="1777"/>
      <c r="H1" s="1777"/>
      <c r="I1" s="1777"/>
      <c r="J1" s="1777"/>
      <c r="K1" s="1777"/>
      <c r="L1" s="1777"/>
      <c r="M1" s="1777"/>
      <c r="N1" s="1777"/>
      <c r="O1" s="1777"/>
      <c r="P1" s="1777"/>
      <c r="Q1" s="1777"/>
      <c r="R1" s="1777"/>
      <c r="S1" s="1777"/>
      <c r="T1" s="1777"/>
      <c r="U1" s="1777"/>
      <c r="V1" s="1777"/>
      <c r="W1" s="1778"/>
    </row>
    <row r="2" spans="2:23" ht="16" thickBot="1">
      <c r="B2" s="1779"/>
      <c r="C2" s="1780"/>
      <c r="D2" s="1780"/>
      <c r="E2" s="1780"/>
      <c r="F2" s="1780"/>
      <c r="G2" s="1780"/>
      <c r="H2" s="1780"/>
      <c r="I2" s="1780"/>
      <c r="J2" s="1780"/>
      <c r="K2" s="1780"/>
      <c r="L2" s="1780"/>
      <c r="M2" s="1780"/>
      <c r="N2" s="1780"/>
      <c r="O2" s="1780"/>
      <c r="P2" s="1780"/>
      <c r="Q2" s="1780"/>
      <c r="R2" s="1780"/>
      <c r="S2" s="1780"/>
      <c r="T2" s="1780"/>
      <c r="U2" s="1780"/>
      <c r="V2" s="1780"/>
      <c r="W2" s="1781"/>
    </row>
    <row r="3" spans="2:23">
      <c r="B3" s="671" t="s">
        <v>3884</v>
      </c>
      <c r="D3" s="672"/>
      <c r="E3" s="673" t="s">
        <v>1950</v>
      </c>
      <c r="F3" s="674"/>
      <c r="G3" s="675"/>
      <c r="W3" s="679"/>
    </row>
    <row r="4" spans="2:23">
      <c r="B4" s="671" t="s">
        <v>3232</v>
      </c>
      <c r="D4" s="672"/>
      <c r="E4" s="673" t="s">
        <v>1950</v>
      </c>
      <c r="F4" s="674"/>
      <c r="G4" s="674"/>
      <c r="W4" s="679"/>
    </row>
    <row r="5" spans="2:23">
      <c r="B5" s="671" t="s">
        <v>3234</v>
      </c>
      <c r="D5" s="672"/>
      <c r="E5" s="673" t="s">
        <v>1950</v>
      </c>
      <c r="F5" s="1782"/>
      <c r="G5" s="1782"/>
      <c r="W5" s="679"/>
    </row>
    <row r="6" spans="2:23">
      <c r="B6" s="671" t="s">
        <v>3233</v>
      </c>
      <c r="D6" s="672"/>
      <c r="E6" s="673" t="s">
        <v>1950</v>
      </c>
      <c r="F6" s="680"/>
      <c r="G6" s="681"/>
      <c r="W6" s="679"/>
    </row>
    <row r="7" spans="2:23">
      <c r="B7" s="671" t="s">
        <v>3885</v>
      </c>
      <c r="D7" s="672"/>
      <c r="E7" s="673" t="s">
        <v>1950</v>
      </c>
      <c r="F7" s="682"/>
      <c r="G7" s="682"/>
      <c r="W7" s="679"/>
    </row>
    <row r="8" spans="2:23" ht="16" thickBot="1">
      <c r="B8" s="671" t="s">
        <v>3886</v>
      </c>
      <c r="D8" s="672"/>
      <c r="E8" s="673" t="s">
        <v>1950</v>
      </c>
      <c r="F8" s="682"/>
      <c r="G8" s="682"/>
      <c r="W8" s="679"/>
    </row>
    <row r="9" spans="2:23">
      <c r="B9" s="1783" t="s">
        <v>3235</v>
      </c>
      <c r="C9" s="1785" t="s">
        <v>3887</v>
      </c>
      <c r="D9" s="1785"/>
      <c r="E9" s="1785"/>
      <c r="F9" s="1786"/>
      <c r="G9" s="1766" t="s">
        <v>3888</v>
      </c>
      <c r="H9" s="1766"/>
      <c r="I9" s="1766"/>
      <c r="J9" s="1766"/>
      <c r="K9" s="1766"/>
      <c r="L9" s="1766"/>
      <c r="M9" s="1766"/>
      <c r="N9" s="1766"/>
      <c r="O9" s="1766"/>
      <c r="P9" s="1766"/>
      <c r="Q9" s="1766"/>
      <c r="R9" s="1766"/>
      <c r="S9" s="1766"/>
      <c r="T9" s="1766"/>
      <c r="U9" s="1766"/>
      <c r="V9" s="1766"/>
      <c r="W9" s="1767"/>
    </row>
    <row r="10" spans="2:23" ht="33" customHeight="1" thickBot="1">
      <c r="B10" s="1784"/>
      <c r="C10" s="1780"/>
      <c r="D10" s="1780"/>
      <c r="E10" s="1780"/>
      <c r="F10" s="1787"/>
      <c r="G10" s="683"/>
      <c r="H10" s="683"/>
      <c r="I10" s="683"/>
      <c r="J10" s="684" t="s">
        <v>3889</v>
      </c>
      <c r="K10" s="684"/>
      <c r="L10" s="684" t="s">
        <v>3890</v>
      </c>
      <c r="M10" s="684"/>
      <c r="N10" s="684" t="s">
        <v>3891</v>
      </c>
      <c r="O10" s="684"/>
      <c r="P10" s="684" t="s">
        <v>3892</v>
      </c>
      <c r="Q10" s="684"/>
      <c r="R10" s="685" t="s">
        <v>3893</v>
      </c>
      <c r="S10" s="686"/>
      <c r="T10" s="687" t="s">
        <v>3894</v>
      </c>
      <c r="U10" s="686"/>
      <c r="V10" s="688" t="s">
        <v>3895</v>
      </c>
      <c r="W10" s="689" t="s">
        <v>3896</v>
      </c>
    </row>
    <row r="11" spans="2:23">
      <c r="B11" s="690" t="s">
        <v>3242</v>
      </c>
      <c r="C11" s="691" t="s">
        <v>3663</v>
      </c>
      <c r="D11" s="692"/>
      <c r="E11" s="692"/>
      <c r="F11" s="693"/>
      <c r="G11" s="692"/>
      <c r="H11" s="692"/>
      <c r="I11" s="692"/>
      <c r="J11" s="694"/>
      <c r="K11" s="694"/>
      <c r="L11" s="694"/>
      <c r="M11" s="694"/>
      <c r="N11" s="694"/>
      <c r="O11" s="694"/>
      <c r="P11" s="694"/>
      <c r="Q11" s="694"/>
      <c r="R11" s="695"/>
      <c r="S11" s="694"/>
      <c r="T11" s="694"/>
      <c r="U11" s="694"/>
      <c r="V11" s="696"/>
      <c r="W11" s="697"/>
    </row>
    <row r="12" spans="2:23">
      <c r="B12" s="698" t="s">
        <v>3897</v>
      </c>
      <c r="C12" s="699" t="s">
        <v>3898</v>
      </c>
      <c r="D12" s="699"/>
      <c r="E12" s="699"/>
      <c r="F12" s="700"/>
      <c r="G12" s="699"/>
      <c r="H12" s="699"/>
      <c r="I12" s="699"/>
      <c r="J12" s="701"/>
      <c r="K12" s="701"/>
      <c r="L12" s="701"/>
      <c r="M12" s="701"/>
      <c r="N12" s="701"/>
      <c r="O12" s="701"/>
      <c r="P12" s="701"/>
      <c r="Q12" s="701"/>
      <c r="R12" s="702"/>
      <c r="S12" s="701"/>
      <c r="T12" s="701"/>
      <c r="U12" s="701"/>
      <c r="V12" s="703">
        <v>1</v>
      </c>
      <c r="W12" s="704" t="s">
        <v>3257</v>
      </c>
    </row>
    <row r="13" spans="2:23">
      <c r="B13" s="705" t="s">
        <v>3899</v>
      </c>
      <c r="C13" s="699" t="s">
        <v>3900</v>
      </c>
      <c r="D13" s="699"/>
      <c r="E13" s="699"/>
      <c r="F13" s="700"/>
      <c r="G13" s="699"/>
      <c r="H13" s="699"/>
      <c r="I13" s="699"/>
      <c r="J13" s="701"/>
      <c r="K13" s="701"/>
      <c r="L13" s="701"/>
      <c r="M13" s="701"/>
      <c r="N13" s="701"/>
      <c r="O13" s="701"/>
      <c r="P13" s="701"/>
      <c r="Q13" s="701"/>
      <c r="R13" s="702"/>
      <c r="S13" s="701"/>
      <c r="T13" s="701"/>
      <c r="U13" s="701"/>
      <c r="V13" s="703">
        <v>1</v>
      </c>
      <c r="W13" s="704" t="s">
        <v>3257</v>
      </c>
    </row>
    <row r="14" spans="2:23">
      <c r="B14" s="705" t="s">
        <v>3901</v>
      </c>
      <c r="C14" s="699" t="s">
        <v>3902</v>
      </c>
      <c r="D14" s="699"/>
      <c r="E14" s="699"/>
      <c r="F14" s="700"/>
      <c r="G14" s="699"/>
      <c r="H14" s="699"/>
      <c r="I14" s="699"/>
      <c r="J14" s="701"/>
      <c r="K14" s="701"/>
      <c r="L14" s="701"/>
      <c r="M14" s="701"/>
      <c r="N14" s="701"/>
      <c r="O14" s="701"/>
      <c r="P14" s="701"/>
      <c r="Q14" s="701"/>
      <c r="R14" s="702"/>
      <c r="S14" s="701"/>
      <c r="T14" s="701"/>
      <c r="U14" s="701"/>
      <c r="V14" s="703">
        <v>1</v>
      </c>
      <c r="W14" s="704" t="s">
        <v>3257</v>
      </c>
    </row>
    <row r="15" spans="2:23">
      <c r="B15" s="705" t="s">
        <v>3903</v>
      </c>
      <c r="C15" s="699" t="s">
        <v>3904</v>
      </c>
      <c r="D15" s="699"/>
      <c r="E15" s="699"/>
      <c r="F15" s="700"/>
      <c r="G15" s="699"/>
      <c r="H15" s="699"/>
      <c r="I15" s="699"/>
      <c r="J15" s="701"/>
      <c r="K15" s="701"/>
      <c r="L15" s="701"/>
      <c r="M15" s="701"/>
      <c r="N15" s="701"/>
      <c r="O15" s="701"/>
      <c r="P15" s="701"/>
      <c r="Q15" s="701"/>
      <c r="R15" s="702"/>
      <c r="S15" s="701"/>
      <c r="T15" s="701"/>
      <c r="U15" s="701"/>
      <c r="V15" s="703">
        <v>1</v>
      </c>
      <c r="W15" s="704" t="s">
        <v>2333</v>
      </c>
    </row>
    <row r="16" spans="2:23">
      <c r="B16" s="705" t="s">
        <v>3905</v>
      </c>
      <c r="C16" s="699" t="s">
        <v>3906</v>
      </c>
      <c r="D16" s="699"/>
      <c r="E16" s="699"/>
      <c r="F16" s="700"/>
      <c r="G16" s="699"/>
      <c r="H16" s="699"/>
      <c r="I16" s="699"/>
      <c r="J16" s="701"/>
      <c r="K16" s="701"/>
      <c r="L16" s="701"/>
      <c r="M16" s="701"/>
      <c r="N16" s="701"/>
      <c r="O16" s="701"/>
      <c r="P16" s="701"/>
      <c r="Q16" s="701"/>
      <c r="R16" s="702"/>
      <c r="S16" s="701"/>
      <c r="T16" s="701"/>
      <c r="U16" s="701"/>
      <c r="V16" s="703">
        <v>1</v>
      </c>
      <c r="W16" s="704" t="s">
        <v>215</v>
      </c>
    </row>
    <row r="17" spans="2:23">
      <c r="B17" s="705" t="s">
        <v>3907</v>
      </c>
      <c r="C17" s="699" t="s">
        <v>3908</v>
      </c>
      <c r="D17" s="699"/>
      <c r="E17" s="699"/>
      <c r="F17" s="700"/>
      <c r="G17" s="699"/>
      <c r="H17" s="699"/>
      <c r="I17" s="699"/>
      <c r="J17" s="701"/>
      <c r="K17" s="701"/>
      <c r="L17" s="701"/>
      <c r="M17" s="701"/>
      <c r="N17" s="701"/>
      <c r="O17" s="701"/>
      <c r="P17" s="701"/>
      <c r="Q17" s="701"/>
      <c r="R17" s="702"/>
      <c r="S17" s="701"/>
      <c r="T17" s="701"/>
      <c r="U17" s="701"/>
      <c r="V17" s="703">
        <v>1</v>
      </c>
      <c r="W17" s="704" t="s">
        <v>215</v>
      </c>
    </row>
    <row r="18" spans="2:23">
      <c r="B18" s="705" t="s">
        <v>3909</v>
      </c>
      <c r="C18" s="699" t="s">
        <v>3910</v>
      </c>
      <c r="D18" s="699"/>
      <c r="E18" s="699"/>
      <c r="F18" s="700"/>
      <c r="G18" s="699"/>
      <c r="H18" s="699"/>
      <c r="I18" s="699"/>
      <c r="J18" s="701"/>
      <c r="K18" s="701"/>
      <c r="L18" s="701"/>
      <c r="M18" s="701"/>
      <c r="N18" s="701"/>
      <c r="O18" s="701"/>
      <c r="P18" s="701"/>
      <c r="Q18" s="701"/>
      <c r="R18" s="702"/>
      <c r="S18" s="701"/>
      <c r="T18" s="701"/>
      <c r="U18" s="701"/>
      <c r="V18" s="703">
        <v>1</v>
      </c>
      <c r="W18" s="704" t="s">
        <v>3257</v>
      </c>
    </row>
    <row r="19" spans="2:23">
      <c r="B19" s="705"/>
      <c r="C19" s="699"/>
      <c r="D19" s="699"/>
      <c r="E19" s="699"/>
      <c r="F19" s="700"/>
      <c r="G19" s="699"/>
      <c r="H19" s="699"/>
      <c r="I19" s="699"/>
      <c r="J19" s="701"/>
      <c r="K19" s="701"/>
      <c r="L19" s="701"/>
      <c r="M19" s="701"/>
      <c r="N19" s="701"/>
      <c r="O19" s="701"/>
      <c r="P19" s="701"/>
      <c r="Q19" s="701"/>
      <c r="R19" s="702"/>
      <c r="S19" s="701"/>
      <c r="T19" s="701"/>
      <c r="U19" s="701"/>
      <c r="V19" s="703"/>
      <c r="W19" s="704"/>
    </row>
    <row r="20" spans="2:23">
      <c r="B20" s="705"/>
      <c r="C20" s="699"/>
      <c r="D20" s="699"/>
      <c r="E20" s="699"/>
      <c r="F20" s="700"/>
      <c r="G20" s="699"/>
      <c r="H20" s="699"/>
      <c r="I20" s="699"/>
      <c r="J20" s="701"/>
      <c r="K20" s="701"/>
      <c r="L20" s="701"/>
      <c r="M20" s="701"/>
      <c r="N20" s="701"/>
      <c r="O20" s="701"/>
      <c r="P20" s="701"/>
      <c r="Q20" s="701"/>
      <c r="R20" s="702"/>
      <c r="S20" s="701"/>
      <c r="T20" s="701"/>
      <c r="U20" s="701"/>
      <c r="V20" s="703"/>
      <c r="W20" s="704"/>
    </row>
    <row r="21" spans="2:23">
      <c r="B21" s="706" t="s">
        <v>3248</v>
      </c>
      <c r="C21" s="707" t="s">
        <v>3911</v>
      </c>
      <c r="D21" s="699"/>
      <c r="E21" s="699"/>
      <c r="F21" s="700"/>
      <c r="G21" s="699"/>
      <c r="H21" s="699"/>
      <c r="I21" s="699"/>
      <c r="J21" s="701"/>
      <c r="K21" s="701"/>
      <c r="L21" s="701"/>
      <c r="M21" s="701"/>
      <c r="N21" s="701"/>
      <c r="O21" s="701"/>
      <c r="P21" s="701"/>
      <c r="Q21" s="701"/>
      <c r="R21" s="702"/>
      <c r="S21" s="701"/>
      <c r="T21" s="701"/>
      <c r="U21" s="701"/>
      <c r="V21" s="703"/>
      <c r="W21" s="704"/>
    </row>
    <row r="22" spans="2:23">
      <c r="B22" s="705" t="s">
        <v>3897</v>
      </c>
      <c r="C22" s="699" t="s">
        <v>3912</v>
      </c>
      <c r="D22" s="699"/>
      <c r="E22" s="699"/>
      <c r="F22" s="700"/>
      <c r="G22" s="699"/>
      <c r="H22" s="699"/>
      <c r="I22" s="699"/>
      <c r="J22" s="701"/>
      <c r="K22" s="701"/>
      <c r="L22" s="701"/>
      <c r="M22" s="701"/>
      <c r="N22" s="701"/>
      <c r="O22" s="701"/>
      <c r="P22" s="701"/>
      <c r="Q22" s="701"/>
      <c r="R22" s="702"/>
      <c r="S22" s="701"/>
      <c r="T22" s="701"/>
      <c r="U22" s="701"/>
      <c r="V22" s="703"/>
      <c r="W22" s="704"/>
    </row>
    <row r="23" spans="2:23">
      <c r="B23" s="708"/>
      <c r="C23" s="699" t="s">
        <v>3913</v>
      </c>
      <c r="D23" s="699"/>
      <c r="E23" s="699"/>
      <c r="F23" s="700"/>
      <c r="G23" s="699"/>
      <c r="H23" s="699"/>
      <c r="I23" s="699"/>
      <c r="J23" s="701"/>
      <c r="K23" s="701"/>
      <c r="L23" s="701"/>
      <c r="M23" s="701"/>
      <c r="N23" s="701"/>
      <c r="O23" s="701"/>
      <c r="P23" s="701"/>
      <c r="Q23" s="701"/>
      <c r="R23" s="702"/>
      <c r="S23" s="701"/>
      <c r="T23" s="701"/>
      <c r="U23" s="701"/>
      <c r="V23" s="703">
        <v>10</v>
      </c>
      <c r="W23" s="704" t="s">
        <v>259</v>
      </c>
    </row>
    <row r="24" spans="2:23">
      <c r="B24" s="708"/>
      <c r="C24" s="699" t="s">
        <v>3914</v>
      </c>
      <c r="D24" s="699"/>
      <c r="E24" s="699"/>
      <c r="F24" s="700"/>
      <c r="G24" s="699"/>
      <c r="H24" s="699"/>
      <c r="I24" s="699"/>
      <c r="J24" s="701"/>
      <c r="K24" s="701"/>
      <c r="L24" s="701"/>
      <c r="M24" s="701"/>
      <c r="N24" s="701"/>
      <c r="O24" s="701"/>
      <c r="P24" s="701"/>
      <c r="Q24" s="701"/>
      <c r="R24" s="702"/>
      <c r="S24" s="701"/>
      <c r="T24" s="701"/>
      <c r="U24" s="701"/>
      <c r="V24" s="703">
        <v>2</v>
      </c>
      <c r="W24" s="704" t="s">
        <v>3915</v>
      </c>
    </row>
    <row r="25" spans="2:23">
      <c r="B25" s="709"/>
      <c r="C25" s="670" t="s">
        <v>3916</v>
      </c>
      <c r="F25" s="710"/>
      <c r="R25" s="711"/>
      <c r="V25" s="712">
        <v>10</v>
      </c>
      <c r="W25" s="679" t="s">
        <v>3667</v>
      </c>
    </row>
    <row r="26" spans="2:23">
      <c r="B26" s="709"/>
      <c r="C26" s="670" t="s">
        <v>3917</v>
      </c>
      <c r="F26" s="710"/>
      <c r="R26" s="711"/>
      <c r="V26" s="712">
        <v>10</v>
      </c>
      <c r="W26" s="679" t="s">
        <v>3667</v>
      </c>
    </row>
    <row r="27" spans="2:23">
      <c r="B27" s="713" t="s">
        <v>3899</v>
      </c>
      <c r="C27" s="670" t="s">
        <v>3918</v>
      </c>
      <c r="F27" s="710"/>
      <c r="R27" s="711"/>
      <c r="V27" s="712">
        <v>1</v>
      </c>
      <c r="W27" s="679" t="s">
        <v>3257</v>
      </c>
    </row>
    <row r="28" spans="2:23" ht="16" thickBot="1">
      <c r="B28" s="709"/>
      <c r="F28" s="714"/>
      <c r="R28" s="711"/>
      <c r="V28" s="712"/>
      <c r="W28" s="679"/>
    </row>
    <row r="29" spans="2:23">
      <c r="B29" s="715" t="s">
        <v>3254</v>
      </c>
      <c r="C29" s="716" t="s">
        <v>3919</v>
      </c>
      <c r="D29" s="717"/>
      <c r="E29" s="717"/>
      <c r="F29" s="718"/>
      <c r="G29" s="1765" t="s">
        <v>3888</v>
      </c>
      <c r="H29" s="1766"/>
      <c r="I29" s="1766"/>
      <c r="J29" s="1766"/>
      <c r="K29" s="1766"/>
      <c r="L29" s="1766"/>
      <c r="M29" s="1766"/>
      <c r="N29" s="1766"/>
      <c r="O29" s="1766"/>
      <c r="P29" s="1766"/>
      <c r="Q29" s="1766"/>
      <c r="R29" s="1766"/>
      <c r="S29" s="1766"/>
      <c r="T29" s="1766"/>
      <c r="U29" s="1766"/>
      <c r="V29" s="1766"/>
      <c r="W29" s="1767"/>
    </row>
    <row r="30" spans="2:23" ht="16" thickBot="1">
      <c r="B30" s="719" t="s">
        <v>3897</v>
      </c>
      <c r="C30" s="720" t="s">
        <v>3920</v>
      </c>
      <c r="D30" s="720"/>
      <c r="E30" s="720"/>
      <c r="F30" s="721"/>
      <c r="G30" s="722"/>
      <c r="H30" s="683"/>
      <c r="I30" s="683"/>
      <c r="J30" s="684" t="s">
        <v>3889</v>
      </c>
      <c r="K30" s="684"/>
      <c r="L30" s="684" t="s">
        <v>3890</v>
      </c>
      <c r="M30" s="684"/>
      <c r="N30" s="684" t="s">
        <v>3891</v>
      </c>
      <c r="O30" s="684"/>
      <c r="P30" s="684" t="s">
        <v>3892</v>
      </c>
      <c r="Q30" s="684"/>
      <c r="R30" s="685" t="s">
        <v>3893</v>
      </c>
      <c r="S30" s="686"/>
      <c r="T30" s="687" t="s">
        <v>3894</v>
      </c>
      <c r="U30" s="686"/>
      <c r="V30" s="688" t="s">
        <v>3895</v>
      </c>
      <c r="W30" s="689" t="s">
        <v>3896</v>
      </c>
    </row>
    <row r="31" spans="2:23">
      <c r="B31" s="723"/>
      <c r="C31" s="720"/>
      <c r="D31" s="720"/>
      <c r="E31" s="720"/>
      <c r="F31" s="721"/>
      <c r="G31" s="724"/>
      <c r="H31" s="725"/>
      <c r="I31" s="725" t="s">
        <v>3750</v>
      </c>
      <c r="J31" s="726">
        <v>24</v>
      </c>
      <c r="K31" s="726"/>
      <c r="L31" s="726">
        <v>12</v>
      </c>
      <c r="M31" s="726"/>
      <c r="N31" s="726">
        <v>0.05</v>
      </c>
      <c r="O31" s="726"/>
      <c r="P31" s="726"/>
      <c r="Q31" s="726"/>
      <c r="R31" s="727"/>
      <c r="S31" s="735" t="s">
        <v>3923</v>
      </c>
      <c r="T31" s="726">
        <f>+J31*L31*N31</f>
        <v>14.4</v>
      </c>
      <c r="U31" s="726"/>
      <c r="V31" s="758">
        <f>+T31</f>
        <v>14.4</v>
      </c>
      <c r="W31" s="728" t="s">
        <v>375</v>
      </c>
    </row>
    <row r="32" spans="2:23">
      <c r="B32" s="709"/>
      <c r="F32" s="710"/>
      <c r="G32" s="729"/>
      <c r="H32" s="730"/>
      <c r="I32" s="730"/>
      <c r="J32" s="731"/>
      <c r="K32" s="731"/>
      <c r="L32" s="731"/>
      <c r="M32" s="731"/>
      <c r="N32" s="731"/>
      <c r="O32" s="731"/>
      <c r="P32" s="731"/>
      <c r="Q32" s="731"/>
      <c r="R32" s="732"/>
      <c r="S32" s="731"/>
      <c r="T32" s="731"/>
      <c r="U32" s="731"/>
      <c r="V32" s="733">
        <f>+SUM(T33:T35)</f>
        <v>234.62400000000002</v>
      </c>
      <c r="W32" s="704" t="s">
        <v>375</v>
      </c>
    </row>
    <row r="33" spans="2:23">
      <c r="B33" s="709"/>
      <c r="F33" s="710"/>
      <c r="G33" s="729"/>
      <c r="H33" s="730"/>
      <c r="I33" s="730" t="s">
        <v>3921</v>
      </c>
      <c r="J33" s="731">
        <v>1.6</v>
      </c>
      <c r="K33" s="731" t="s">
        <v>3922</v>
      </c>
      <c r="L33" s="731">
        <v>1.6</v>
      </c>
      <c r="M33" s="731" t="s">
        <v>3922</v>
      </c>
      <c r="N33" s="731">
        <v>2.15</v>
      </c>
      <c r="O33" s="731" t="s">
        <v>3922</v>
      </c>
      <c r="P33" s="734">
        <v>28</v>
      </c>
      <c r="Q33" s="731"/>
      <c r="R33" s="732"/>
      <c r="S33" s="735" t="s">
        <v>3923</v>
      </c>
      <c r="T33" s="731">
        <f>J33*L33*N33*P33</f>
        <v>154.11200000000002</v>
      </c>
      <c r="U33" s="731"/>
      <c r="V33" s="733"/>
      <c r="W33" s="704"/>
    </row>
    <row r="34" spans="2:23">
      <c r="B34" s="709"/>
      <c r="F34" s="710"/>
      <c r="G34" s="729"/>
      <c r="H34" s="730"/>
      <c r="I34" s="670" t="s">
        <v>3748</v>
      </c>
      <c r="J34" s="731">
        <v>36.799999999999997</v>
      </c>
      <c r="K34" s="731" t="s">
        <v>3922</v>
      </c>
      <c r="L34" s="731">
        <v>0.8</v>
      </c>
      <c r="M34" s="731" t="s">
        <v>3922</v>
      </c>
      <c r="N34" s="731">
        <v>1.3</v>
      </c>
      <c r="O34" s="731" t="s">
        <v>3922</v>
      </c>
      <c r="P34" s="734">
        <v>1</v>
      </c>
      <c r="Q34" s="731"/>
      <c r="R34" s="732"/>
      <c r="S34" s="735" t="s">
        <v>3923</v>
      </c>
      <c r="T34" s="731">
        <f t="shared" ref="T34:T35" si="0">J34*L34*N34*P34</f>
        <v>38.271999999999998</v>
      </c>
      <c r="U34" s="731"/>
      <c r="V34" s="733"/>
      <c r="W34" s="704"/>
    </row>
    <row r="35" spans="2:23">
      <c r="B35" s="737"/>
      <c r="C35" s="738"/>
      <c r="D35" s="738"/>
      <c r="E35" s="738"/>
      <c r="F35" s="739"/>
      <c r="G35" s="740"/>
      <c r="H35" s="699"/>
      <c r="I35" s="741" t="s">
        <v>3751</v>
      </c>
      <c r="J35" s="731">
        <v>16</v>
      </c>
      <c r="K35" s="731" t="s">
        <v>3922</v>
      </c>
      <c r="L35" s="731">
        <f>3.3+5.5</f>
        <v>8.8000000000000007</v>
      </c>
      <c r="M35" s="731" t="s">
        <v>3922</v>
      </c>
      <c r="N35" s="731">
        <v>0.3</v>
      </c>
      <c r="O35" s="731" t="s">
        <v>3922</v>
      </c>
      <c r="P35" s="734">
        <v>1</v>
      </c>
      <c r="Q35" s="731"/>
      <c r="R35" s="732"/>
      <c r="S35" s="735" t="s">
        <v>3923</v>
      </c>
      <c r="T35" s="731">
        <f t="shared" si="0"/>
        <v>42.24</v>
      </c>
      <c r="U35" s="701"/>
      <c r="V35" s="742"/>
      <c r="W35" s="704"/>
    </row>
    <row r="36" spans="2:23" ht="16" thickBot="1">
      <c r="B36" s="743"/>
      <c r="C36" s="744"/>
      <c r="D36" s="744"/>
      <c r="E36" s="744"/>
      <c r="F36" s="745"/>
      <c r="G36" s="746"/>
      <c r="H36" s="747"/>
      <c r="I36" s="748"/>
      <c r="J36" s="749"/>
      <c r="K36" s="748"/>
      <c r="L36" s="748"/>
      <c r="M36" s="750"/>
      <c r="N36" s="751"/>
      <c r="O36" s="751"/>
      <c r="P36" s="751"/>
      <c r="Q36" s="751"/>
      <c r="R36" s="752"/>
      <c r="S36" s="751"/>
      <c r="T36" s="751"/>
      <c r="U36" s="751"/>
      <c r="V36" s="753"/>
      <c r="W36" s="754"/>
    </row>
    <row r="37" spans="2:23" ht="16" thickTop="1">
      <c r="B37" s="713" t="s">
        <v>3899</v>
      </c>
      <c r="C37" s="670" t="s">
        <v>3842</v>
      </c>
      <c r="F37" s="710"/>
      <c r="G37" s="1765" t="s">
        <v>3888</v>
      </c>
      <c r="H37" s="1766"/>
      <c r="I37" s="1766"/>
      <c r="J37" s="1766"/>
      <c r="K37" s="1766"/>
      <c r="L37" s="1766"/>
      <c r="M37" s="1766"/>
      <c r="N37" s="1766"/>
      <c r="O37" s="1766"/>
      <c r="P37" s="1766"/>
      <c r="Q37" s="1766"/>
      <c r="R37" s="1766"/>
      <c r="S37" s="1766"/>
      <c r="T37" s="1766"/>
      <c r="U37" s="1766"/>
      <c r="V37" s="1766"/>
      <c r="W37" s="1767"/>
    </row>
    <row r="38" spans="2:23" ht="16" thickBot="1">
      <c r="B38" s="709"/>
      <c r="F38" s="710"/>
      <c r="G38" s="722"/>
      <c r="H38" s="683"/>
      <c r="I38" s="683"/>
      <c r="J38" s="684" t="s">
        <v>3889</v>
      </c>
      <c r="K38" s="684"/>
      <c r="L38" s="684" t="s">
        <v>3890</v>
      </c>
      <c r="M38" s="684"/>
      <c r="N38" s="684" t="s">
        <v>3891</v>
      </c>
      <c r="O38" s="684"/>
      <c r="P38" s="684" t="s">
        <v>3892</v>
      </c>
      <c r="Q38" s="684"/>
      <c r="R38" s="685" t="s">
        <v>3893</v>
      </c>
      <c r="S38" s="686"/>
      <c r="T38" s="687" t="s">
        <v>3894</v>
      </c>
      <c r="U38" s="686"/>
      <c r="V38" s="688" t="s">
        <v>3895</v>
      </c>
      <c r="W38" s="689" t="s">
        <v>3896</v>
      </c>
    </row>
    <row r="39" spans="2:23">
      <c r="B39" s="755"/>
      <c r="F39" s="710"/>
      <c r="G39" s="724"/>
      <c r="H39" s="725"/>
      <c r="I39" s="725"/>
      <c r="J39" s="726"/>
      <c r="K39" s="726"/>
      <c r="L39" s="726"/>
      <c r="M39" s="726"/>
      <c r="N39" s="726"/>
      <c r="O39" s="726"/>
      <c r="P39" s="756"/>
      <c r="Q39" s="726"/>
      <c r="R39" s="727"/>
      <c r="S39" s="757"/>
      <c r="T39" s="726"/>
      <c r="U39" s="726"/>
      <c r="V39" s="758"/>
      <c r="W39" s="697"/>
    </row>
    <row r="40" spans="2:23">
      <c r="B40" s="759"/>
      <c r="F40" s="710"/>
      <c r="G40" s="729"/>
      <c r="H40" s="730"/>
      <c r="I40" s="730"/>
      <c r="J40" s="731"/>
      <c r="K40" s="731"/>
      <c r="L40" s="731"/>
      <c r="M40" s="731"/>
      <c r="N40" s="731"/>
      <c r="O40" s="731"/>
      <c r="P40" s="731"/>
      <c r="Q40" s="731"/>
      <c r="R40" s="732"/>
      <c r="S40" s="731"/>
      <c r="T40" s="731"/>
      <c r="U40" s="731"/>
      <c r="V40" s="733">
        <f>+V32/3</f>
        <v>78.208000000000013</v>
      </c>
      <c r="W40" s="704" t="s">
        <v>2911</v>
      </c>
    </row>
    <row r="41" spans="2:23" ht="16" thickTop="1">
      <c r="B41" s="760"/>
      <c r="C41" s="720"/>
      <c r="D41" s="720"/>
      <c r="E41" s="720"/>
      <c r="F41" s="721"/>
      <c r="G41" s="761"/>
      <c r="H41" s="762"/>
      <c r="I41" s="762"/>
      <c r="J41" s="731"/>
      <c r="K41" s="731"/>
      <c r="L41" s="731"/>
      <c r="M41" s="731"/>
      <c r="N41" s="731"/>
      <c r="O41" s="731"/>
      <c r="P41" s="734"/>
      <c r="Q41" s="731"/>
      <c r="R41" s="732"/>
      <c r="S41" s="735"/>
      <c r="T41" s="731"/>
      <c r="U41" s="731"/>
      <c r="V41" s="733"/>
      <c r="W41" s="704"/>
    </row>
    <row r="42" spans="2:23" ht="16" thickBot="1">
      <c r="B42" s="763"/>
      <c r="C42" s="744"/>
      <c r="D42" s="744"/>
      <c r="E42" s="744"/>
      <c r="F42" s="745"/>
      <c r="G42" s="764"/>
      <c r="H42" s="747"/>
      <c r="I42" s="747"/>
      <c r="J42" s="765"/>
      <c r="K42" s="765"/>
      <c r="L42" s="765"/>
      <c r="M42" s="765"/>
      <c r="N42" s="765"/>
      <c r="O42" s="765"/>
      <c r="P42" s="765"/>
      <c r="Q42" s="765"/>
      <c r="R42" s="766"/>
      <c r="S42" s="765"/>
      <c r="T42" s="765"/>
      <c r="U42" s="748"/>
      <c r="V42" s="767"/>
      <c r="W42" s="768"/>
    </row>
    <row r="43" spans="2:23" ht="16" thickTop="1">
      <c r="B43" s="769" t="s">
        <v>3903</v>
      </c>
      <c r="C43" s="717" t="s">
        <v>3986</v>
      </c>
      <c r="D43" s="717"/>
      <c r="E43" s="717"/>
      <c r="F43" s="718"/>
      <c r="G43" s="1765" t="s">
        <v>3888</v>
      </c>
      <c r="H43" s="1766"/>
      <c r="I43" s="1766"/>
      <c r="J43" s="1766"/>
      <c r="K43" s="1766"/>
      <c r="L43" s="1766"/>
      <c r="M43" s="1766"/>
      <c r="N43" s="1766"/>
      <c r="O43" s="1766"/>
      <c r="P43" s="1766"/>
      <c r="Q43" s="1766"/>
      <c r="R43" s="1766"/>
      <c r="S43" s="1766"/>
      <c r="T43" s="1766"/>
      <c r="U43" s="1766"/>
      <c r="V43" s="1766"/>
      <c r="W43" s="1767"/>
    </row>
    <row r="44" spans="2:23" ht="16" thickBot="1">
      <c r="B44" s="1768"/>
      <c r="C44" s="1769"/>
      <c r="D44" s="1769"/>
      <c r="E44" s="1769"/>
      <c r="F44" s="1770"/>
      <c r="G44" s="722"/>
      <c r="H44" s="683"/>
      <c r="I44" s="683"/>
      <c r="J44" s="684" t="s">
        <v>3889</v>
      </c>
      <c r="K44" s="684"/>
      <c r="L44" s="684" t="s">
        <v>3890</v>
      </c>
      <c r="M44" s="684"/>
      <c r="N44" s="684" t="s">
        <v>3891</v>
      </c>
      <c r="O44" s="684"/>
      <c r="P44" s="684" t="s">
        <v>3892</v>
      </c>
      <c r="Q44" s="684"/>
      <c r="R44" s="685" t="s">
        <v>3893</v>
      </c>
      <c r="S44" s="686"/>
      <c r="T44" s="687" t="s">
        <v>3894</v>
      </c>
      <c r="U44" s="686"/>
      <c r="V44" s="688" t="s">
        <v>3895</v>
      </c>
      <c r="W44" s="689" t="s">
        <v>3896</v>
      </c>
    </row>
    <row r="45" spans="2:23">
      <c r="B45" s="1768"/>
      <c r="C45" s="1769"/>
      <c r="D45" s="1769"/>
      <c r="E45" s="1769"/>
      <c r="F45" s="1770"/>
      <c r="G45" s="724"/>
      <c r="H45" s="725"/>
      <c r="I45" s="725"/>
      <c r="J45" s="726"/>
      <c r="K45" s="726"/>
      <c r="L45" s="726"/>
      <c r="M45" s="726"/>
      <c r="N45" s="726"/>
      <c r="O45" s="726"/>
      <c r="P45" s="726"/>
      <c r="Q45" s="726"/>
      <c r="R45" s="727"/>
      <c r="S45" s="726"/>
      <c r="T45" s="726"/>
      <c r="U45" s="726"/>
      <c r="V45" s="758"/>
      <c r="W45" s="728"/>
    </row>
    <row r="46" spans="2:23">
      <c r="B46" s="770"/>
      <c r="C46" s="771"/>
      <c r="D46" s="771"/>
      <c r="E46" s="771"/>
      <c r="F46" s="772"/>
      <c r="G46" s="773"/>
      <c r="U46" s="731"/>
      <c r="V46" s="733">
        <f>T47-T49</f>
        <v>0</v>
      </c>
      <c r="W46" s="736" t="s">
        <v>375</v>
      </c>
    </row>
    <row r="47" spans="2:23">
      <c r="B47" s="770"/>
      <c r="C47" s="771"/>
      <c r="D47" s="771"/>
      <c r="E47" s="771"/>
      <c r="F47" s="772"/>
      <c r="G47" s="729"/>
      <c r="H47" s="730"/>
      <c r="I47" s="730"/>
      <c r="J47" s="731">
        <v>0</v>
      </c>
      <c r="K47" s="731" t="s">
        <v>3922</v>
      </c>
      <c r="L47" s="731">
        <v>1</v>
      </c>
      <c r="M47" s="731" t="s">
        <v>3922</v>
      </c>
      <c r="N47" s="731">
        <f>0.77+0.45</f>
        <v>1.22</v>
      </c>
      <c r="O47" s="731"/>
      <c r="P47" s="731"/>
      <c r="Q47" s="731"/>
      <c r="R47" s="732"/>
      <c r="S47" s="731" t="s">
        <v>3923</v>
      </c>
      <c r="T47" s="731">
        <f>+J47*L47*N47</f>
        <v>0</v>
      </c>
      <c r="U47" s="699"/>
      <c r="V47" s="774"/>
      <c r="W47" s="704"/>
    </row>
    <row r="48" spans="2:23">
      <c r="B48" s="709"/>
      <c r="F48" s="710"/>
      <c r="G48" s="775"/>
      <c r="H48" s="776"/>
      <c r="I48" s="776"/>
      <c r="J48" s="777"/>
      <c r="K48" s="777"/>
      <c r="L48" s="777"/>
      <c r="M48" s="777"/>
      <c r="N48" s="777"/>
      <c r="O48" s="777"/>
      <c r="P48" s="777"/>
      <c r="Q48" s="777"/>
      <c r="R48" s="778"/>
      <c r="S48" s="777"/>
      <c r="T48" s="777"/>
      <c r="U48" s="699"/>
      <c r="V48" s="774"/>
      <c r="W48" s="736"/>
    </row>
    <row r="49" spans="2:23">
      <c r="B49" s="755"/>
      <c r="F49" s="710"/>
      <c r="G49" s="779"/>
      <c r="H49" s="780"/>
      <c r="I49" s="780"/>
      <c r="J49" s="781"/>
      <c r="K49" s="781"/>
      <c r="L49" s="781"/>
      <c r="M49" s="781"/>
      <c r="N49" s="781"/>
      <c r="O49" s="781"/>
      <c r="P49" s="781"/>
      <c r="Q49" s="781"/>
      <c r="R49" s="782"/>
      <c r="S49" s="783"/>
      <c r="T49" s="781"/>
      <c r="U49" s="699"/>
      <c r="V49" s="774"/>
      <c r="W49" s="736"/>
    </row>
    <row r="50" spans="2:23">
      <c r="B50" s="759"/>
      <c r="F50" s="710"/>
      <c r="G50" s="775"/>
      <c r="H50" s="776"/>
      <c r="I50" s="776"/>
      <c r="J50" s="777"/>
      <c r="K50" s="777"/>
      <c r="L50" s="777"/>
      <c r="M50" s="777"/>
      <c r="N50" s="777"/>
      <c r="O50" s="777"/>
      <c r="P50" s="777"/>
      <c r="Q50" s="777"/>
      <c r="R50" s="778"/>
      <c r="S50" s="784"/>
      <c r="T50" s="777"/>
      <c r="U50" s="699"/>
      <c r="V50" s="774"/>
      <c r="W50" s="736"/>
    </row>
    <row r="51" spans="2:23">
      <c r="B51" s="709"/>
      <c r="F51" s="710"/>
      <c r="G51" s="775"/>
      <c r="H51" s="776"/>
      <c r="I51" s="776"/>
      <c r="J51" s="777"/>
      <c r="K51" s="777"/>
      <c r="L51" s="777"/>
      <c r="M51" s="777"/>
      <c r="N51" s="777"/>
      <c r="O51" s="777"/>
      <c r="P51" s="777"/>
      <c r="Q51" s="777"/>
      <c r="R51" s="778"/>
      <c r="S51" s="784"/>
      <c r="T51" s="777"/>
      <c r="U51" s="699"/>
      <c r="V51" s="774"/>
      <c r="W51" s="736"/>
    </row>
    <row r="52" spans="2:23" ht="16" thickBot="1">
      <c r="B52" s="763"/>
      <c r="C52" s="744"/>
      <c r="D52" s="744"/>
      <c r="E52" s="744"/>
      <c r="F52" s="745"/>
      <c r="G52" s="764"/>
      <c r="H52" s="747"/>
      <c r="I52" s="747"/>
      <c r="J52" s="750"/>
      <c r="K52" s="750"/>
      <c r="L52" s="750"/>
      <c r="M52" s="751"/>
      <c r="N52" s="751"/>
      <c r="O52" s="751"/>
      <c r="P52" s="751"/>
      <c r="Q52" s="751"/>
      <c r="R52" s="752"/>
      <c r="S52" s="751"/>
      <c r="T52" s="751"/>
      <c r="U52" s="751"/>
      <c r="V52" s="767"/>
      <c r="W52" s="754"/>
    </row>
    <row r="53" spans="2:23" ht="26.25" customHeight="1" thickTop="1">
      <c r="B53" s="713" t="s">
        <v>3905</v>
      </c>
      <c r="C53" s="670" t="s">
        <v>3924</v>
      </c>
      <c r="F53" s="710"/>
      <c r="G53" s="1765" t="s">
        <v>3888</v>
      </c>
      <c r="H53" s="1766"/>
      <c r="I53" s="1766"/>
      <c r="J53" s="1766"/>
      <c r="K53" s="1766"/>
      <c r="L53" s="1766"/>
      <c r="M53" s="1766"/>
      <c r="N53" s="1766"/>
      <c r="O53" s="1766"/>
      <c r="P53" s="1766"/>
      <c r="Q53" s="1766"/>
      <c r="R53" s="1766"/>
      <c r="S53" s="1766"/>
      <c r="T53" s="1766"/>
      <c r="U53" s="1766"/>
      <c r="V53" s="1766"/>
      <c r="W53" s="1767"/>
    </row>
    <row r="54" spans="2:23" ht="16" thickBot="1">
      <c r="B54" s="709"/>
      <c r="F54" s="710"/>
      <c r="G54" s="722"/>
      <c r="H54" s="683"/>
      <c r="I54" s="683"/>
      <c r="J54" s="684" t="s">
        <v>3889</v>
      </c>
      <c r="K54" s="684"/>
      <c r="L54" s="684" t="s">
        <v>3890</v>
      </c>
      <c r="M54" s="684"/>
      <c r="N54" s="684" t="s">
        <v>3891</v>
      </c>
      <c r="O54" s="684"/>
      <c r="P54" s="684" t="s">
        <v>3892</v>
      </c>
      <c r="Q54" s="684"/>
      <c r="R54" s="685" t="s">
        <v>3893</v>
      </c>
      <c r="S54" s="686"/>
      <c r="T54" s="687" t="s">
        <v>3894</v>
      </c>
      <c r="U54" s="686"/>
      <c r="V54" s="688" t="s">
        <v>3895</v>
      </c>
      <c r="W54" s="689" t="s">
        <v>3896</v>
      </c>
    </row>
    <row r="55" spans="2:23">
      <c r="B55" s="709"/>
      <c r="F55" s="710"/>
      <c r="G55" s="729"/>
      <c r="H55" s="730"/>
      <c r="I55" s="730"/>
      <c r="J55" s="731"/>
      <c r="K55" s="731"/>
      <c r="L55" s="731"/>
      <c r="M55" s="731"/>
      <c r="N55" s="731"/>
      <c r="O55" s="731"/>
      <c r="P55" s="731"/>
      <c r="Q55" s="731"/>
      <c r="R55" s="732"/>
      <c r="S55" s="731"/>
      <c r="T55" s="731"/>
      <c r="U55" s="726"/>
      <c r="V55" s="758"/>
      <c r="W55" s="697"/>
    </row>
    <row r="56" spans="2:23">
      <c r="B56" s="755"/>
      <c r="F56" s="710"/>
      <c r="G56" s="729"/>
      <c r="H56" s="730" t="s">
        <v>3925</v>
      </c>
      <c r="I56" s="730"/>
      <c r="J56" s="731"/>
      <c r="K56" s="731"/>
      <c r="L56" s="731"/>
      <c r="M56" s="731"/>
      <c r="N56" s="731"/>
      <c r="O56" s="731"/>
      <c r="P56" s="731"/>
      <c r="Q56" s="731"/>
      <c r="R56" s="732"/>
      <c r="S56" s="731"/>
      <c r="T56" s="731"/>
      <c r="U56" s="731"/>
      <c r="V56" s="733">
        <f>T58</f>
        <v>0</v>
      </c>
      <c r="W56" s="704" t="s">
        <v>375</v>
      </c>
    </row>
    <row r="57" spans="2:23">
      <c r="B57" s="759"/>
      <c r="F57" s="710"/>
      <c r="G57" s="729"/>
      <c r="H57" s="730"/>
      <c r="I57" s="730"/>
      <c r="J57" s="731"/>
      <c r="K57" s="731"/>
      <c r="L57" s="731"/>
      <c r="M57" s="731"/>
      <c r="N57" s="731"/>
      <c r="O57" s="731"/>
      <c r="P57" s="731"/>
      <c r="Q57" s="731"/>
      <c r="R57" s="732"/>
      <c r="S57" s="731"/>
      <c r="T57" s="731"/>
      <c r="U57" s="731"/>
      <c r="V57" s="733"/>
      <c r="W57" s="704"/>
    </row>
    <row r="58" spans="2:23" ht="16.5" thickTop="1" thickBot="1">
      <c r="B58" s="723"/>
      <c r="C58" s="720"/>
      <c r="D58" s="720"/>
      <c r="E58" s="720"/>
      <c r="F58" s="721"/>
      <c r="G58" s="729"/>
      <c r="H58" s="730"/>
      <c r="I58" s="730"/>
      <c r="J58" s="731">
        <f>+J68*L68</f>
        <v>0</v>
      </c>
      <c r="K58" s="731" t="s">
        <v>3926</v>
      </c>
      <c r="L58" s="731">
        <f>+J69*L69</f>
        <v>0</v>
      </c>
      <c r="M58" s="731" t="s">
        <v>3922</v>
      </c>
      <c r="N58" s="731">
        <v>2.5299999999999998</v>
      </c>
      <c r="O58" s="731"/>
      <c r="P58" s="731"/>
      <c r="Q58" s="731"/>
      <c r="R58" s="732"/>
      <c r="S58" s="731" t="s">
        <v>3923</v>
      </c>
      <c r="T58" s="731">
        <f>+(J58+L58)*N58</f>
        <v>0</v>
      </c>
      <c r="U58" s="731"/>
      <c r="V58" s="733"/>
      <c r="W58" s="704"/>
    </row>
    <row r="59" spans="2:23">
      <c r="B59" s="723"/>
      <c r="C59" s="720"/>
      <c r="D59" s="720"/>
      <c r="E59" s="720"/>
      <c r="F59" s="721"/>
      <c r="G59" s="729"/>
      <c r="H59" s="730"/>
      <c r="I59" s="730"/>
      <c r="J59" s="731"/>
      <c r="K59" s="731"/>
      <c r="L59" s="731"/>
      <c r="M59" s="731"/>
      <c r="N59" s="731"/>
      <c r="O59" s="731"/>
      <c r="P59" s="731"/>
      <c r="Q59" s="731"/>
      <c r="R59" s="732"/>
      <c r="S59" s="731"/>
      <c r="T59" s="731"/>
      <c r="U59" s="731"/>
      <c r="V59" s="733"/>
      <c r="W59" s="704"/>
    </row>
    <row r="60" spans="2:23" ht="16" thickBot="1">
      <c r="B60" s="763"/>
      <c r="C60" s="744"/>
      <c r="D60" s="744"/>
      <c r="E60" s="744"/>
      <c r="F60" s="745"/>
      <c r="G60" s="744"/>
      <c r="H60" s="744"/>
      <c r="I60" s="744"/>
      <c r="J60" s="785"/>
      <c r="K60" s="785"/>
      <c r="L60" s="785"/>
      <c r="M60" s="785"/>
      <c r="N60" s="785"/>
      <c r="O60" s="785"/>
      <c r="P60" s="785"/>
      <c r="Q60" s="785"/>
      <c r="R60" s="786"/>
      <c r="S60" s="785"/>
      <c r="T60" s="785"/>
      <c r="U60" s="748"/>
      <c r="V60" s="767"/>
      <c r="W60" s="768"/>
    </row>
    <row r="61" spans="2:23" ht="16" thickTop="1">
      <c r="B61" s="787" t="s">
        <v>3907</v>
      </c>
      <c r="C61" s="788" t="s">
        <v>3927</v>
      </c>
      <c r="D61" s="788"/>
      <c r="E61" s="788"/>
      <c r="F61" s="789"/>
      <c r="G61" s="1765" t="s">
        <v>3888</v>
      </c>
      <c r="H61" s="1766"/>
      <c r="I61" s="1766"/>
      <c r="J61" s="1766"/>
      <c r="K61" s="1766"/>
      <c r="L61" s="1766"/>
      <c r="M61" s="1766"/>
      <c r="N61" s="1766"/>
      <c r="O61" s="1766"/>
      <c r="P61" s="1766"/>
      <c r="Q61" s="1766"/>
      <c r="R61" s="1766"/>
      <c r="S61" s="1766"/>
      <c r="T61" s="1766"/>
      <c r="U61" s="1766"/>
      <c r="V61" s="1766"/>
      <c r="W61" s="1767"/>
    </row>
    <row r="62" spans="2:23" ht="16" thickBot="1">
      <c r="B62" s="1768"/>
      <c r="C62" s="1769"/>
      <c r="D62" s="1769"/>
      <c r="E62" s="1769"/>
      <c r="F62" s="1770"/>
      <c r="G62" s="722"/>
      <c r="H62" s="683"/>
      <c r="I62" s="683"/>
      <c r="J62" s="684" t="s">
        <v>3889</v>
      </c>
      <c r="K62" s="684"/>
      <c r="L62" s="684" t="s">
        <v>3890</v>
      </c>
      <c r="M62" s="684"/>
      <c r="N62" s="684" t="s">
        <v>3891</v>
      </c>
      <c r="O62" s="684"/>
      <c r="P62" s="684" t="s">
        <v>3892</v>
      </c>
      <c r="Q62" s="684"/>
      <c r="R62" s="685" t="s">
        <v>3893</v>
      </c>
      <c r="S62" s="686"/>
      <c r="T62" s="687" t="s">
        <v>3894</v>
      </c>
      <c r="U62" s="686"/>
      <c r="V62" s="688" t="s">
        <v>3895</v>
      </c>
      <c r="W62" s="689" t="s">
        <v>3896</v>
      </c>
    </row>
    <row r="63" spans="2:23">
      <c r="B63" s="1768"/>
      <c r="C63" s="1769"/>
      <c r="D63" s="1769"/>
      <c r="E63" s="1769"/>
      <c r="F63" s="1770"/>
      <c r="G63" s="729"/>
      <c r="H63" s="730"/>
      <c r="I63" s="730"/>
      <c r="J63" s="731"/>
      <c r="K63" s="731"/>
      <c r="L63" s="731"/>
      <c r="M63" s="731"/>
      <c r="N63" s="731"/>
      <c r="O63" s="731"/>
      <c r="P63" s="731"/>
      <c r="Q63" s="731"/>
      <c r="R63" s="732"/>
      <c r="S63" s="731"/>
      <c r="T63" s="731"/>
      <c r="U63" s="731"/>
      <c r="V63" s="733">
        <f>SUM(T64:T69)</f>
        <v>8.9280000000000026</v>
      </c>
      <c r="W63" s="728" t="s">
        <v>375</v>
      </c>
    </row>
    <row r="64" spans="2:23">
      <c r="B64" s="770"/>
      <c r="C64" s="771"/>
      <c r="D64" s="771"/>
      <c r="E64" s="771"/>
      <c r="F64" s="772"/>
      <c r="G64" s="775" t="s">
        <v>3921</v>
      </c>
      <c r="H64" s="776"/>
      <c r="I64" s="776"/>
      <c r="J64" s="777">
        <f>J90</f>
        <v>1.6</v>
      </c>
      <c r="K64" s="777" t="s">
        <v>3922</v>
      </c>
      <c r="L64" s="777">
        <f>L90</f>
        <v>1.6</v>
      </c>
      <c r="M64" s="777" t="s">
        <v>3922</v>
      </c>
      <c r="N64" s="777">
        <v>0.1</v>
      </c>
      <c r="O64" s="777" t="s">
        <v>3922</v>
      </c>
      <c r="P64" s="790">
        <v>1</v>
      </c>
      <c r="Q64" s="777"/>
      <c r="R64" s="778"/>
      <c r="S64" s="784" t="s">
        <v>3923</v>
      </c>
      <c r="T64" s="777">
        <f>J64*L64*N64*P64</f>
        <v>0.25600000000000006</v>
      </c>
      <c r="U64" s="731"/>
      <c r="V64" s="733"/>
      <c r="W64" s="704"/>
    </row>
    <row r="65" spans="2:27">
      <c r="B65" s="770"/>
      <c r="C65" s="771"/>
      <c r="D65" s="771"/>
      <c r="E65" s="771"/>
      <c r="F65" s="772"/>
      <c r="G65" s="775" t="s">
        <v>3928</v>
      </c>
      <c r="H65" s="776"/>
      <c r="I65" s="776"/>
      <c r="J65" s="777">
        <f>J75</f>
        <v>216.8</v>
      </c>
      <c r="K65" s="777" t="s">
        <v>3922</v>
      </c>
      <c r="L65" s="777">
        <f>L75</f>
        <v>0.8</v>
      </c>
      <c r="M65" s="777" t="s">
        <v>3922</v>
      </c>
      <c r="N65" s="777">
        <v>0.05</v>
      </c>
      <c r="O65" s="777" t="s">
        <v>3922</v>
      </c>
      <c r="P65" s="790">
        <v>1</v>
      </c>
      <c r="Q65" s="777"/>
      <c r="R65" s="778"/>
      <c r="S65" s="784" t="s">
        <v>3923</v>
      </c>
      <c r="T65" s="777">
        <f>J65*L65*N65*P65</f>
        <v>8.6720000000000024</v>
      </c>
      <c r="U65" s="731"/>
      <c r="V65" s="733"/>
      <c r="W65" s="704"/>
    </row>
    <row r="66" spans="2:27">
      <c r="B66" s="770"/>
      <c r="C66" s="771"/>
      <c r="D66" s="771"/>
      <c r="E66" s="771"/>
      <c r="F66" s="772"/>
      <c r="G66" s="729"/>
      <c r="H66" s="730"/>
      <c r="I66" s="730"/>
      <c r="J66" s="731"/>
      <c r="K66" s="731"/>
      <c r="L66" s="731"/>
      <c r="M66" s="731"/>
      <c r="N66" s="731"/>
      <c r="O66" s="731"/>
      <c r="P66" s="731"/>
      <c r="Q66" s="731"/>
      <c r="R66" s="732"/>
      <c r="S66" s="731"/>
      <c r="T66" s="731"/>
      <c r="U66" s="731"/>
      <c r="V66" s="733"/>
      <c r="W66" s="704"/>
    </row>
    <row r="67" spans="2:27">
      <c r="B67" s="770"/>
      <c r="C67" s="771"/>
      <c r="D67" s="771"/>
      <c r="E67" s="771"/>
      <c r="F67" s="772"/>
      <c r="G67" s="729"/>
      <c r="H67" s="730"/>
      <c r="I67" s="730"/>
      <c r="J67" s="731"/>
      <c r="K67" s="731"/>
      <c r="L67" s="731"/>
      <c r="M67" s="731"/>
      <c r="N67" s="731"/>
      <c r="O67" s="731"/>
      <c r="P67" s="731"/>
      <c r="Q67" s="731"/>
      <c r="R67" s="732"/>
      <c r="S67" s="731"/>
      <c r="T67" s="731"/>
      <c r="U67" s="731"/>
      <c r="V67" s="733"/>
      <c r="W67" s="704"/>
    </row>
    <row r="68" spans="2:27">
      <c r="B68" s="709"/>
      <c r="F68" s="710"/>
      <c r="G68" s="729"/>
      <c r="H68" s="730"/>
      <c r="I68" s="730"/>
      <c r="J68" s="791"/>
      <c r="K68" s="791"/>
      <c r="L68" s="791"/>
      <c r="M68" s="791"/>
      <c r="N68" s="791"/>
      <c r="O68" s="791"/>
      <c r="P68" s="791"/>
      <c r="Q68" s="791"/>
      <c r="R68" s="792"/>
      <c r="S68" s="793"/>
      <c r="T68" s="794"/>
      <c r="U68" s="731"/>
      <c r="V68" s="733"/>
      <c r="W68" s="704"/>
    </row>
    <row r="69" spans="2:27">
      <c r="B69" s="709"/>
      <c r="F69" s="710"/>
      <c r="G69" s="729"/>
      <c r="H69" s="730"/>
      <c r="I69" s="730"/>
      <c r="J69" s="791"/>
      <c r="K69" s="791"/>
      <c r="L69" s="791"/>
      <c r="M69" s="791"/>
      <c r="N69" s="791"/>
      <c r="O69" s="791"/>
      <c r="P69" s="791"/>
      <c r="Q69" s="791"/>
      <c r="R69" s="792"/>
      <c r="S69" s="793"/>
      <c r="T69" s="794"/>
      <c r="U69" s="731"/>
      <c r="V69" s="733"/>
      <c r="W69" s="704"/>
    </row>
    <row r="70" spans="2:27" ht="16" thickBot="1">
      <c r="B70" s="763"/>
      <c r="C70" s="744"/>
      <c r="D70" s="744"/>
      <c r="E70" s="744"/>
      <c r="F70" s="745"/>
      <c r="G70" s="764"/>
      <c r="H70" s="747"/>
      <c r="I70" s="747"/>
      <c r="J70" s="747"/>
      <c r="K70" s="747"/>
      <c r="L70" s="747"/>
      <c r="M70" s="747"/>
      <c r="N70" s="748"/>
      <c r="O70" s="748"/>
      <c r="P70" s="748"/>
      <c r="Q70" s="748"/>
      <c r="R70" s="752"/>
      <c r="S70" s="748"/>
      <c r="T70" s="748"/>
      <c r="U70" s="748"/>
      <c r="V70" s="767"/>
      <c r="W70" s="768"/>
    </row>
    <row r="71" spans="2:27" s="862" customFormat="1" ht="16" thickTop="1">
      <c r="B71" s="795" t="s">
        <v>3519</v>
      </c>
      <c r="C71" s="863" t="s">
        <v>3929</v>
      </c>
      <c r="D71" s="864"/>
      <c r="E71" s="864"/>
      <c r="F71" s="865"/>
      <c r="G71" s="1773" t="s">
        <v>3888</v>
      </c>
      <c r="H71" s="1774"/>
      <c r="I71" s="1774"/>
      <c r="J71" s="1774"/>
      <c r="K71" s="1774"/>
      <c r="L71" s="1774"/>
      <c r="M71" s="1774"/>
      <c r="N71" s="1774"/>
      <c r="O71" s="1774"/>
      <c r="P71" s="1774"/>
      <c r="Q71" s="1774"/>
      <c r="R71" s="1774"/>
      <c r="S71" s="1774"/>
      <c r="T71" s="1774"/>
      <c r="U71" s="1774"/>
      <c r="V71" s="1774"/>
      <c r="W71" s="1775"/>
      <c r="AA71" s="866" t="e">
        <v>#REF!</v>
      </c>
    </row>
    <row r="72" spans="2:27" s="862" customFormat="1" ht="16" thickBot="1">
      <c r="B72" s="867" t="s">
        <v>3897</v>
      </c>
      <c r="C72" s="864" t="s">
        <v>3930</v>
      </c>
      <c r="D72" s="864"/>
      <c r="E72" s="864"/>
      <c r="F72" s="865"/>
      <c r="G72" s="868"/>
      <c r="H72" s="869"/>
      <c r="I72" s="869"/>
      <c r="J72" s="870" t="s">
        <v>3889</v>
      </c>
      <c r="K72" s="870"/>
      <c r="L72" s="870" t="s">
        <v>3890</v>
      </c>
      <c r="M72" s="870"/>
      <c r="N72" s="870" t="s">
        <v>3891</v>
      </c>
      <c r="O72" s="870"/>
      <c r="P72" s="870" t="s">
        <v>3892</v>
      </c>
      <c r="Q72" s="870"/>
      <c r="R72" s="871" t="s">
        <v>3893</v>
      </c>
      <c r="S72" s="872"/>
      <c r="T72" s="873" t="s">
        <v>3894</v>
      </c>
      <c r="U72" s="872"/>
      <c r="V72" s="874" t="s">
        <v>3895</v>
      </c>
      <c r="W72" s="875" t="s">
        <v>3896</v>
      </c>
    </row>
    <row r="73" spans="2:27">
      <c r="B73" s="759"/>
      <c r="F73" s="710"/>
      <c r="G73" s="724"/>
      <c r="H73" s="725"/>
      <c r="I73" s="725"/>
      <c r="J73" s="726"/>
      <c r="K73" s="726"/>
      <c r="L73" s="726"/>
      <c r="M73" s="726"/>
      <c r="N73" s="726"/>
      <c r="O73" s="726"/>
      <c r="P73" s="756"/>
      <c r="Q73" s="726"/>
      <c r="R73" s="727"/>
      <c r="S73" s="757"/>
      <c r="T73" s="726"/>
      <c r="U73" s="726"/>
      <c r="V73" s="758"/>
      <c r="W73" s="697"/>
    </row>
    <row r="74" spans="2:27">
      <c r="B74" s="723"/>
      <c r="C74" s="720"/>
      <c r="D74" s="720"/>
      <c r="E74" s="720"/>
      <c r="F74" s="721"/>
      <c r="G74" s="729"/>
      <c r="H74" s="730"/>
      <c r="I74" s="730"/>
      <c r="J74" s="670"/>
      <c r="K74" s="731"/>
      <c r="L74" s="731"/>
      <c r="M74" s="731"/>
      <c r="N74" s="731"/>
      <c r="O74" s="731"/>
      <c r="P74" s="731"/>
      <c r="Q74" s="731"/>
      <c r="R74" s="732"/>
      <c r="S74" s="731"/>
      <c r="T74" s="731"/>
      <c r="U74" s="731"/>
      <c r="V74" s="733">
        <f>T75</f>
        <v>34.688000000000009</v>
      </c>
      <c r="W74" s="704" t="s">
        <v>375</v>
      </c>
    </row>
    <row r="75" spans="2:27">
      <c r="B75" s="723"/>
      <c r="C75" s="720"/>
      <c r="D75" s="720"/>
      <c r="E75" s="720"/>
      <c r="F75" s="721"/>
      <c r="G75" s="729" t="s">
        <v>3931</v>
      </c>
      <c r="H75" s="762"/>
      <c r="I75" s="762"/>
      <c r="J75" s="731">
        <f>+J78</f>
        <v>216.8</v>
      </c>
      <c r="K75" s="731" t="s">
        <v>3922</v>
      </c>
      <c r="L75" s="731">
        <v>0.8</v>
      </c>
      <c r="M75" s="731" t="s">
        <v>3922</v>
      </c>
      <c r="N75" s="731">
        <v>0.2</v>
      </c>
      <c r="O75" s="731" t="s">
        <v>3922</v>
      </c>
      <c r="P75" s="734">
        <v>1</v>
      </c>
      <c r="Q75" s="731"/>
      <c r="R75" s="732"/>
      <c r="S75" s="735" t="s">
        <v>3923</v>
      </c>
      <c r="T75" s="731">
        <f>J75*L75*N75*P75</f>
        <v>34.688000000000009</v>
      </c>
      <c r="U75" s="731"/>
      <c r="V75" s="733"/>
      <c r="W75" s="704"/>
    </row>
    <row r="76" spans="2:27">
      <c r="B76" s="723"/>
      <c r="C76" s="720"/>
      <c r="D76" s="720"/>
      <c r="E76" s="720"/>
      <c r="F76" s="721"/>
      <c r="G76" s="729"/>
      <c r="H76" s="762"/>
      <c r="I76" s="762"/>
      <c r="J76" s="731"/>
      <c r="K76" s="731"/>
      <c r="L76" s="731"/>
      <c r="M76" s="731"/>
      <c r="N76" s="731"/>
      <c r="O76" s="731"/>
      <c r="P76" s="734"/>
      <c r="Q76" s="731"/>
      <c r="R76" s="732"/>
      <c r="S76" s="735"/>
      <c r="T76" s="731"/>
      <c r="U76" s="731"/>
      <c r="V76" s="733"/>
      <c r="W76" s="704"/>
    </row>
    <row r="77" spans="2:27">
      <c r="B77" s="723"/>
      <c r="C77" s="720"/>
      <c r="D77" s="720"/>
      <c r="E77" s="720"/>
      <c r="F77" s="721"/>
      <c r="G77" s="729" t="s">
        <v>3932</v>
      </c>
      <c r="H77" s="762"/>
      <c r="I77" s="762"/>
      <c r="J77" s="670"/>
      <c r="K77" s="731"/>
      <c r="L77" s="731"/>
      <c r="M77" s="731"/>
      <c r="N77" s="731"/>
      <c r="O77" s="731"/>
      <c r="P77" s="731"/>
      <c r="Q77" s="731"/>
      <c r="R77" s="732"/>
      <c r="S77" s="731"/>
      <c r="T77" s="731"/>
      <c r="U77" s="731"/>
      <c r="V77" s="733">
        <f>T78</f>
        <v>95.39200000000001</v>
      </c>
      <c r="W77" s="704" t="s">
        <v>375</v>
      </c>
    </row>
    <row r="78" spans="2:27">
      <c r="B78" s="723"/>
      <c r="C78" s="720"/>
      <c r="D78" s="720"/>
      <c r="E78" s="720"/>
      <c r="F78" s="721"/>
      <c r="G78" s="761"/>
      <c r="H78" s="762"/>
      <c r="I78" s="762"/>
      <c r="J78" s="731">
        <f>180+36.8</f>
        <v>216.8</v>
      </c>
      <c r="K78" s="731" t="s">
        <v>3922</v>
      </c>
      <c r="L78" s="731">
        <f>+(0.8+0.3)/2</f>
        <v>0.55000000000000004</v>
      </c>
      <c r="M78" s="731" t="s">
        <v>3922</v>
      </c>
      <c r="N78" s="731">
        <v>0.8</v>
      </c>
      <c r="O78" s="731" t="s">
        <v>3922</v>
      </c>
      <c r="P78" s="734">
        <v>1</v>
      </c>
      <c r="Q78" s="731"/>
      <c r="R78" s="732"/>
      <c r="S78" s="735" t="s">
        <v>3923</v>
      </c>
      <c r="T78" s="731">
        <f>J78*L78*N78*P78</f>
        <v>95.39200000000001</v>
      </c>
      <c r="U78" s="731"/>
      <c r="V78" s="733"/>
      <c r="W78" s="704"/>
    </row>
    <row r="79" spans="2:27">
      <c r="B79" s="723"/>
      <c r="C79" s="720"/>
      <c r="D79" s="720"/>
      <c r="E79" s="720"/>
      <c r="F79" s="721"/>
      <c r="G79" s="761"/>
      <c r="H79" s="762"/>
      <c r="I79" s="762"/>
      <c r="J79" s="731"/>
      <c r="K79" s="731"/>
      <c r="L79" s="731"/>
      <c r="M79" s="731"/>
      <c r="N79" s="731"/>
      <c r="O79" s="731"/>
      <c r="P79" s="734"/>
      <c r="Q79" s="731"/>
      <c r="R79" s="732" t="s">
        <v>3963</v>
      </c>
      <c r="S79" s="735"/>
      <c r="T79" s="731"/>
      <c r="U79" s="731"/>
      <c r="V79" s="733"/>
      <c r="W79" s="704"/>
    </row>
    <row r="80" spans="2:27">
      <c r="B80" s="723"/>
      <c r="C80" s="720"/>
      <c r="D80" s="720"/>
      <c r="E80" s="720"/>
      <c r="F80" s="721"/>
      <c r="G80" s="729" t="s">
        <v>3962</v>
      </c>
      <c r="H80" s="762"/>
      <c r="I80" s="762"/>
      <c r="J80" s="731">
        <v>0.5</v>
      </c>
      <c r="K80" s="731"/>
      <c r="L80" s="731"/>
      <c r="M80" s="731"/>
      <c r="N80" s="731"/>
      <c r="O80" s="731"/>
      <c r="P80" s="734">
        <v>28</v>
      </c>
      <c r="Q80" s="731"/>
      <c r="R80" s="732">
        <v>0.62</v>
      </c>
      <c r="S80" s="735"/>
      <c r="T80" s="731">
        <f>+J80*P80*R80</f>
        <v>8.68</v>
      </c>
      <c r="U80" s="731"/>
      <c r="V80" s="733">
        <f>+T80</f>
        <v>8.68</v>
      </c>
      <c r="W80" s="704" t="s">
        <v>3305</v>
      </c>
    </row>
    <row r="81" spans="2:38">
      <c r="B81" s="723"/>
      <c r="C81" s="720"/>
      <c r="D81" s="720"/>
      <c r="E81" s="720"/>
      <c r="F81" s="721"/>
      <c r="G81" s="729"/>
      <c r="H81" s="762"/>
      <c r="I81" s="762"/>
      <c r="J81" s="731"/>
      <c r="K81" s="731"/>
      <c r="L81" s="731"/>
      <c r="M81" s="731"/>
      <c r="N81" s="731"/>
      <c r="O81" s="731"/>
      <c r="P81" s="734"/>
      <c r="Q81" s="731"/>
      <c r="R81" s="732"/>
      <c r="S81" s="735"/>
      <c r="T81" s="731"/>
      <c r="U81" s="731"/>
      <c r="V81" s="733"/>
      <c r="W81" s="704"/>
    </row>
    <row r="82" spans="2:38">
      <c r="B82" s="723"/>
      <c r="C82" s="720"/>
      <c r="D82" s="720"/>
      <c r="E82" s="720"/>
      <c r="F82" s="721"/>
      <c r="G82" s="729" t="s">
        <v>3964</v>
      </c>
      <c r="H82" s="762"/>
      <c r="I82" s="762"/>
      <c r="J82" s="731">
        <f>+J78</f>
        <v>216.8</v>
      </c>
      <c r="K82" s="731"/>
      <c r="L82" s="731">
        <f>+L75</f>
        <v>0.8</v>
      </c>
      <c r="M82" s="731"/>
      <c r="N82" s="731">
        <v>0.05</v>
      </c>
      <c r="O82" s="731"/>
      <c r="P82" s="734">
        <v>1</v>
      </c>
      <c r="Q82" s="731"/>
      <c r="R82" s="732"/>
      <c r="S82" s="735" t="s">
        <v>3923</v>
      </c>
      <c r="T82" s="731">
        <f>J82*L82*N82*P82</f>
        <v>8.6720000000000024</v>
      </c>
      <c r="U82" s="731"/>
      <c r="V82" s="733">
        <f>+T82</f>
        <v>8.6720000000000024</v>
      </c>
      <c r="W82" s="704" t="s">
        <v>375</v>
      </c>
    </row>
    <row r="83" spans="2:38">
      <c r="B83" s="723"/>
      <c r="C83" s="720"/>
      <c r="D83" s="720"/>
      <c r="E83" s="720"/>
      <c r="F83" s="721"/>
      <c r="G83" s="761"/>
      <c r="H83" s="762"/>
      <c r="I83" s="762"/>
      <c r="J83" s="731"/>
      <c r="K83" s="731"/>
      <c r="L83" s="731"/>
      <c r="M83" s="731"/>
      <c r="N83" s="731"/>
      <c r="O83" s="731"/>
      <c r="P83" s="734"/>
      <c r="Q83" s="731"/>
      <c r="R83" s="732"/>
      <c r="S83" s="735"/>
      <c r="T83" s="731"/>
      <c r="U83" s="731"/>
      <c r="V83" s="733"/>
      <c r="W83" s="704"/>
    </row>
    <row r="84" spans="2:38">
      <c r="B84" s="723"/>
      <c r="C84" s="720"/>
      <c r="D84" s="720"/>
      <c r="E84" s="720"/>
      <c r="F84" s="721"/>
      <c r="G84" s="761"/>
      <c r="H84" s="762"/>
      <c r="I84" s="762"/>
      <c r="J84" s="731"/>
      <c r="K84" s="731"/>
      <c r="L84" s="731"/>
      <c r="M84" s="731"/>
      <c r="N84" s="731"/>
      <c r="O84" s="731"/>
      <c r="P84" s="734"/>
      <c r="Q84" s="731"/>
      <c r="R84" s="732"/>
      <c r="S84" s="735"/>
      <c r="T84" s="731"/>
      <c r="U84" s="731"/>
      <c r="V84" s="733"/>
      <c r="W84" s="704"/>
    </row>
    <row r="85" spans="2:38" ht="16" thickBot="1">
      <c r="B85" s="799"/>
      <c r="C85" s="800"/>
      <c r="D85" s="800"/>
      <c r="E85" s="800"/>
      <c r="F85" s="801"/>
      <c r="G85" s="761"/>
      <c r="H85" s="762"/>
      <c r="I85" s="762"/>
      <c r="J85" s="731"/>
      <c r="K85" s="731"/>
      <c r="L85" s="731"/>
      <c r="M85" s="731"/>
      <c r="N85" s="731"/>
      <c r="O85" s="731"/>
      <c r="P85" s="734"/>
      <c r="Q85" s="731"/>
      <c r="R85" s="732"/>
      <c r="S85" s="735"/>
      <c r="T85" s="731"/>
      <c r="U85" s="731"/>
      <c r="V85" s="733"/>
      <c r="W85" s="704"/>
    </row>
    <row r="86" spans="2:38">
      <c r="B86" s="802" t="s">
        <v>3521</v>
      </c>
      <c r="C86" s="716" t="s">
        <v>3933</v>
      </c>
      <c r="D86" s="717"/>
      <c r="E86" s="717"/>
      <c r="F86" s="718"/>
      <c r="G86" s="1765" t="s">
        <v>3888</v>
      </c>
      <c r="H86" s="1766"/>
      <c r="I86" s="1766"/>
      <c r="J86" s="1766"/>
      <c r="K86" s="1766"/>
      <c r="L86" s="1766"/>
      <c r="M86" s="1766"/>
      <c r="N86" s="1766"/>
      <c r="O86" s="1766"/>
      <c r="P86" s="1766"/>
      <c r="Q86" s="1766"/>
      <c r="R86" s="1766"/>
      <c r="S86" s="1766"/>
      <c r="T86" s="1766"/>
      <c r="U86" s="1766"/>
      <c r="V86" s="1766"/>
      <c r="W86" s="1767"/>
    </row>
    <row r="87" spans="2:38" ht="16" thickBot="1">
      <c r="B87" s="803" t="s">
        <v>3897</v>
      </c>
      <c r="C87" s="804" t="s">
        <v>3965</v>
      </c>
      <c r="D87" s="804"/>
      <c r="E87" s="804"/>
      <c r="F87" s="883"/>
      <c r="G87" s="722"/>
      <c r="H87" s="683"/>
      <c r="I87" s="683"/>
      <c r="J87" s="684" t="s">
        <v>3889</v>
      </c>
      <c r="K87" s="684"/>
      <c r="L87" s="684" t="s">
        <v>3890</v>
      </c>
      <c r="M87" s="684"/>
      <c r="N87" s="684" t="s">
        <v>3891</v>
      </c>
      <c r="O87" s="684"/>
      <c r="P87" s="684" t="s">
        <v>3892</v>
      </c>
      <c r="Q87" s="684"/>
      <c r="R87" s="685" t="s">
        <v>3893</v>
      </c>
      <c r="S87" s="686"/>
      <c r="T87" s="687" t="s">
        <v>3894</v>
      </c>
      <c r="U87" s="686"/>
      <c r="V87" s="688" t="s">
        <v>3895</v>
      </c>
      <c r="W87" s="689" t="s">
        <v>3896</v>
      </c>
    </row>
    <row r="88" spans="2:38">
      <c r="B88" s="723"/>
      <c r="C88" s="720"/>
      <c r="D88" s="720"/>
      <c r="E88" s="720"/>
      <c r="F88" s="721"/>
      <c r="G88" s="724"/>
      <c r="H88" s="725"/>
      <c r="I88" s="725"/>
      <c r="J88" s="726"/>
      <c r="K88" s="726"/>
      <c r="L88" s="726"/>
      <c r="M88" s="726"/>
      <c r="N88" s="726"/>
      <c r="O88" s="726"/>
      <c r="P88" s="726"/>
      <c r="Q88" s="726"/>
      <c r="R88" s="727"/>
      <c r="S88" s="726"/>
      <c r="T88" s="726"/>
      <c r="U88" s="726"/>
      <c r="V88" s="758"/>
      <c r="W88" s="728"/>
    </row>
    <row r="89" spans="2:38">
      <c r="B89" s="709"/>
      <c r="F89" s="710"/>
      <c r="G89" s="729"/>
      <c r="H89" s="730"/>
      <c r="I89" s="730"/>
      <c r="J89" s="731"/>
      <c r="K89" s="731"/>
      <c r="L89" s="731"/>
      <c r="M89" s="731"/>
      <c r="N89" s="777"/>
      <c r="O89" s="731"/>
      <c r="P89" s="734"/>
      <c r="Q89" s="731"/>
      <c r="R89" s="732"/>
      <c r="S89" s="735"/>
      <c r="T89" s="731"/>
      <c r="U89" s="731"/>
      <c r="V89" s="703">
        <f>SUM(T90:T92)</f>
        <v>3.584000000000001</v>
      </c>
      <c r="W89" s="704" t="s">
        <v>375</v>
      </c>
    </row>
    <row r="90" spans="2:38">
      <c r="B90" s="709"/>
      <c r="F90" s="710"/>
      <c r="G90" s="775" t="s">
        <v>3921</v>
      </c>
      <c r="H90" s="776"/>
      <c r="I90" s="776"/>
      <c r="J90" s="777">
        <f>J98</f>
        <v>1.6</v>
      </c>
      <c r="K90" s="777" t="s">
        <v>3922</v>
      </c>
      <c r="L90" s="777">
        <f>L98</f>
        <v>1.6</v>
      </c>
      <c r="M90" s="777" t="s">
        <v>3922</v>
      </c>
      <c r="N90" s="777">
        <v>0.05</v>
      </c>
      <c r="O90" s="777" t="s">
        <v>3922</v>
      </c>
      <c r="P90" s="790">
        <v>28</v>
      </c>
      <c r="Q90" s="777"/>
      <c r="R90" s="778"/>
      <c r="S90" s="784" t="s">
        <v>3923</v>
      </c>
      <c r="T90" s="777">
        <f>J90*L90*N90*P90</f>
        <v>3.584000000000001</v>
      </c>
      <c r="U90" s="777"/>
      <c r="V90" s="733"/>
      <c r="W90" s="736"/>
      <c r="Y90" s="805"/>
      <c r="Z90" s="805"/>
      <c r="AA90" s="805"/>
      <c r="AB90" s="805"/>
      <c r="AC90" s="805"/>
      <c r="AD90" s="794"/>
      <c r="AE90" s="794"/>
      <c r="AF90" s="794"/>
      <c r="AG90" s="806"/>
      <c r="AH90" s="793"/>
      <c r="AI90" s="794"/>
      <c r="AJ90" s="807"/>
      <c r="AK90" s="808" t="e">
        <f>+AI91+#REF!</f>
        <v>#REF!</v>
      </c>
      <c r="AL90" s="809" t="s">
        <v>375</v>
      </c>
    </row>
    <row r="91" spans="2:38">
      <c r="B91" s="709"/>
      <c r="F91" s="710"/>
      <c r="G91" s="775"/>
      <c r="H91" s="776"/>
      <c r="I91" s="776"/>
      <c r="J91" s="777"/>
      <c r="K91" s="777"/>
      <c r="L91" s="777"/>
      <c r="M91" s="777"/>
      <c r="N91" s="777"/>
      <c r="O91" s="777"/>
      <c r="P91" s="790"/>
      <c r="Q91" s="777"/>
      <c r="R91" s="778"/>
      <c r="S91" s="784"/>
      <c r="T91" s="777"/>
      <c r="U91" s="777"/>
      <c r="V91" s="733"/>
      <c r="W91" s="736"/>
      <c r="Y91" s="791"/>
      <c r="Z91" s="791" t="s">
        <v>3922</v>
      </c>
      <c r="AA91" s="791">
        <v>22.3</v>
      </c>
      <c r="AB91" s="791" t="s">
        <v>3922</v>
      </c>
      <c r="AC91" s="791">
        <v>0.12</v>
      </c>
      <c r="AD91" s="791" t="s">
        <v>3922</v>
      </c>
      <c r="AE91" s="791">
        <v>1</v>
      </c>
      <c r="AF91" s="791"/>
      <c r="AG91" s="792"/>
      <c r="AH91" s="793" t="s">
        <v>3923</v>
      </c>
      <c r="AI91" s="794">
        <f>Y91*AA91*AC91*AE91</f>
        <v>0</v>
      </c>
      <c r="AJ91" s="807"/>
      <c r="AK91" s="810"/>
      <c r="AL91" s="809"/>
    </row>
    <row r="92" spans="2:38">
      <c r="B92" s="760"/>
      <c r="F92" s="710"/>
      <c r="G92" s="811"/>
      <c r="H92" s="812"/>
      <c r="I92" s="812"/>
      <c r="J92" s="791"/>
      <c r="K92" s="791"/>
      <c r="L92" s="791"/>
      <c r="M92" s="791"/>
      <c r="N92" s="791"/>
      <c r="O92" s="791"/>
      <c r="P92" s="791"/>
      <c r="Q92" s="791"/>
      <c r="R92" s="792"/>
      <c r="S92" s="793"/>
      <c r="T92" s="794"/>
      <c r="U92" s="807"/>
      <c r="V92" s="810"/>
      <c r="W92" s="809"/>
    </row>
    <row r="93" spans="2:38" ht="16" thickBot="1">
      <c r="B93" s="813"/>
      <c r="C93" s="683"/>
      <c r="D93" s="683"/>
      <c r="E93" s="683"/>
      <c r="F93" s="714"/>
      <c r="G93" s="814"/>
      <c r="H93" s="815"/>
      <c r="I93" s="815"/>
      <c r="J93" s="805"/>
      <c r="K93" s="805"/>
      <c r="L93" s="805"/>
      <c r="M93" s="805"/>
      <c r="N93" s="805"/>
      <c r="O93" s="794"/>
      <c r="P93" s="794"/>
      <c r="Q93" s="794"/>
      <c r="R93" s="806"/>
      <c r="S93" s="793"/>
      <c r="T93" s="794"/>
      <c r="U93" s="807"/>
      <c r="V93" s="808"/>
      <c r="W93" s="809"/>
    </row>
    <row r="94" spans="2:38">
      <c r="B94" s="787">
        <v>2</v>
      </c>
      <c r="C94" s="788" t="s">
        <v>3966</v>
      </c>
      <c r="D94" s="788"/>
      <c r="E94" s="788"/>
      <c r="F94" s="789"/>
      <c r="G94" s="1765" t="s">
        <v>3888</v>
      </c>
      <c r="H94" s="1766"/>
      <c r="I94" s="1766"/>
      <c r="J94" s="1766"/>
      <c r="K94" s="1766"/>
      <c r="L94" s="1766"/>
      <c r="M94" s="1766"/>
      <c r="N94" s="1766"/>
      <c r="O94" s="1766"/>
      <c r="P94" s="1766"/>
      <c r="Q94" s="1766"/>
      <c r="R94" s="1766"/>
      <c r="S94" s="1766"/>
      <c r="T94" s="1766"/>
      <c r="U94" s="1766"/>
      <c r="V94" s="1766"/>
      <c r="W94" s="1767"/>
    </row>
    <row r="95" spans="2:38" ht="16" thickBot="1">
      <c r="B95" s="723"/>
      <c r="C95" s="720"/>
      <c r="D95" s="720"/>
      <c r="E95" s="720"/>
      <c r="F95" s="721"/>
      <c r="G95" s="722"/>
      <c r="H95" s="683"/>
      <c r="I95" s="683"/>
      <c r="J95" s="684" t="s">
        <v>3889</v>
      </c>
      <c r="K95" s="684"/>
      <c r="L95" s="684" t="s">
        <v>3890</v>
      </c>
      <c r="M95" s="684"/>
      <c r="N95" s="684" t="s">
        <v>3891</v>
      </c>
      <c r="O95" s="684"/>
      <c r="P95" s="684" t="s">
        <v>3892</v>
      </c>
      <c r="Q95" s="684"/>
      <c r="R95" s="685" t="s">
        <v>3893</v>
      </c>
      <c r="S95" s="686"/>
      <c r="T95" s="687" t="s">
        <v>3894</v>
      </c>
      <c r="U95" s="686"/>
      <c r="V95" s="688" t="s">
        <v>3895</v>
      </c>
      <c r="W95" s="689" t="s">
        <v>3896</v>
      </c>
    </row>
    <row r="96" spans="2:38">
      <c r="B96" s="723"/>
      <c r="C96" s="720"/>
      <c r="D96" s="720"/>
      <c r="E96" s="720"/>
      <c r="F96" s="721"/>
      <c r="G96" s="724"/>
      <c r="H96" s="725"/>
      <c r="I96" s="725"/>
      <c r="J96" s="726"/>
      <c r="K96" s="726"/>
      <c r="L96" s="726"/>
      <c r="M96" s="726"/>
      <c r="N96" s="726"/>
      <c r="O96" s="726"/>
      <c r="P96" s="726"/>
      <c r="Q96" s="726"/>
      <c r="R96" s="727"/>
      <c r="S96" s="726"/>
      <c r="T96" s="726"/>
      <c r="U96" s="726"/>
      <c r="V96" s="758"/>
      <c r="W96" s="728"/>
    </row>
    <row r="97" spans="2:23">
      <c r="B97" s="709"/>
      <c r="F97" s="710"/>
      <c r="G97" s="729" t="s">
        <v>3934</v>
      </c>
      <c r="H97" s="730"/>
      <c r="I97" s="730"/>
      <c r="J97" s="731"/>
      <c r="K97" s="731"/>
      <c r="L97" s="731"/>
      <c r="M97" s="731"/>
      <c r="N97" s="731"/>
      <c r="O97" s="731"/>
      <c r="P97" s="734"/>
      <c r="Q97" s="731"/>
      <c r="R97" s="732"/>
      <c r="S97" s="735"/>
      <c r="T97" s="731"/>
      <c r="U97" s="731"/>
      <c r="V97" s="703">
        <f>+T98</f>
        <v>25.088000000000005</v>
      </c>
      <c r="W97" s="704" t="s">
        <v>375</v>
      </c>
    </row>
    <row r="98" spans="2:23">
      <c r="B98" s="709"/>
      <c r="F98" s="710"/>
      <c r="G98" s="775"/>
      <c r="H98" s="776"/>
      <c r="I98" s="776"/>
      <c r="J98" s="731">
        <v>1.6</v>
      </c>
      <c r="K98" s="731" t="s">
        <v>3922</v>
      </c>
      <c r="L98" s="731">
        <v>1.6</v>
      </c>
      <c r="M98" s="731" t="s">
        <v>3922</v>
      </c>
      <c r="N98" s="731">
        <v>0.35</v>
      </c>
      <c r="O98" s="731" t="s">
        <v>3922</v>
      </c>
      <c r="P98" s="734">
        <v>28</v>
      </c>
      <c r="Q98" s="731"/>
      <c r="R98" s="732"/>
      <c r="S98" s="735" t="s">
        <v>3923</v>
      </c>
      <c r="T98" s="731">
        <f>J98*L98*N98*P98</f>
        <v>25.088000000000005</v>
      </c>
      <c r="U98" s="731"/>
      <c r="V98" s="733"/>
      <c r="W98" s="736"/>
    </row>
    <row r="99" spans="2:23">
      <c r="B99" s="737"/>
      <c r="C99" s="738"/>
      <c r="D99" s="738"/>
      <c r="E99" s="738"/>
      <c r="F99" s="739"/>
      <c r="G99" s="816"/>
      <c r="H99" s="730"/>
      <c r="I99" s="780"/>
      <c r="J99" s="781"/>
      <c r="K99" s="781"/>
      <c r="L99" s="781"/>
      <c r="M99" s="781"/>
      <c r="N99" s="781"/>
      <c r="O99" s="781"/>
      <c r="P99" s="820"/>
      <c r="Q99" s="781"/>
      <c r="R99" s="782"/>
      <c r="S99" s="783"/>
      <c r="T99" s="781"/>
      <c r="U99" s="731"/>
      <c r="V99" s="733"/>
      <c r="W99" s="736"/>
    </row>
    <row r="100" spans="2:23">
      <c r="B100" s="737"/>
      <c r="C100" s="738"/>
      <c r="D100" s="738"/>
      <c r="E100" s="738"/>
      <c r="F100" s="739"/>
      <c r="G100" s="816" t="s">
        <v>3935</v>
      </c>
      <c r="H100" s="730" t="s">
        <v>3939</v>
      </c>
      <c r="I100" s="730"/>
      <c r="J100" s="731"/>
      <c r="K100" s="731"/>
      <c r="L100" s="731">
        <f>+J98/0.15</f>
        <v>10.666666666666668</v>
      </c>
      <c r="M100" s="731"/>
      <c r="N100" s="731"/>
      <c r="O100" s="731"/>
      <c r="P100" s="734"/>
      <c r="Q100" s="731"/>
      <c r="R100" s="732"/>
      <c r="S100" s="735"/>
      <c r="T100" s="731"/>
      <c r="U100" s="731"/>
      <c r="V100" s="733">
        <f>T103</f>
        <v>4676.8758400000006</v>
      </c>
      <c r="W100" s="736" t="s">
        <v>93</v>
      </c>
    </row>
    <row r="101" spans="2:23">
      <c r="B101" s="737"/>
      <c r="C101" s="738"/>
      <c r="D101" s="738"/>
      <c r="E101" s="738"/>
      <c r="F101" s="739"/>
      <c r="G101" s="816"/>
      <c r="H101" s="730"/>
      <c r="I101" s="730"/>
      <c r="J101" s="731"/>
      <c r="K101" s="731"/>
      <c r="L101" s="731">
        <f>+N98/0.15</f>
        <v>2.3333333333333335</v>
      </c>
      <c r="M101" s="731"/>
      <c r="N101" s="731"/>
      <c r="O101" s="731"/>
      <c r="P101" s="734"/>
      <c r="Q101" s="731"/>
      <c r="R101" s="732"/>
      <c r="S101" s="735"/>
      <c r="T101" s="731"/>
      <c r="U101" s="731"/>
      <c r="V101" s="733"/>
      <c r="W101" s="736"/>
    </row>
    <row r="102" spans="2:23">
      <c r="B102" s="737"/>
      <c r="C102" s="738"/>
      <c r="D102" s="738"/>
      <c r="E102" s="738"/>
      <c r="F102" s="739"/>
      <c r="G102" s="816"/>
      <c r="H102" s="730"/>
      <c r="I102" s="730"/>
      <c r="J102" s="817" t="s">
        <v>3889</v>
      </c>
      <c r="K102" s="817"/>
      <c r="L102" s="817" t="s">
        <v>3892</v>
      </c>
      <c r="M102" s="731"/>
      <c r="N102" s="731"/>
      <c r="O102" s="731"/>
      <c r="P102" s="734"/>
      <c r="Q102" s="731"/>
      <c r="R102" s="732"/>
      <c r="S102" s="735"/>
      <c r="T102" s="731"/>
      <c r="U102" s="731"/>
      <c r="V102" s="733"/>
      <c r="W102" s="736"/>
    </row>
    <row r="103" spans="2:23">
      <c r="B103" s="737"/>
      <c r="C103" s="738"/>
      <c r="D103" s="738"/>
      <c r="E103" s="738"/>
      <c r="F103" s="739"/>
      <c r="G103" s="816"/>
      <c r="H103" s="730" t="s">
        <v>3311</v>
      </c>
      <c r="I103" s="730"/>
      <c r="J103" s="731">
        <f>1.56+1.56+0.46+0.346+0.07+0.07</f>
        <v>4.0659999999999998</v>
      </c>
      <c r="K103" s="731" t="s">
        <v>3922</v>
      </c>
      <c r="L103" s="734">
        <f>+(L100+L101)*2</f>
        <v>26.000000000000004</v>
      </c>
      <c r="M103" s="731"/>
      <c r="N103" s="731"/>
      <c r="O103" s="731" t="s">
        <v>3936</v>
      </c>
      <c r="P103" s="734">
        <f>P98</f>
        <v>28</v>
      </c>
      <c r="Q103" s="731" t="s">
        <v>3922</v>
      </c>
      <c r="R103" s="732">
        <v>1.58</v>
      </c>
      <c r="S103" s="735" t="s">
        <v>3923</v>
      </c>
      <c r="T103" s="731">
        <f>J103*L103*P103*R103</f>
        <v>4676.8758400000006</v>
      </c>
      <c r="U103" s="731"/>
      <c r="V103" s="733"/>
      <c r="W103" s="736"/>
    </row>
    <row r="104" spans="2:23">
      <c r="B104" s="737"/>
      <c r="C104" s="738"/>
      <c r="D104" s="738"/>
      <c r="E104" s="738"/>
      <c r="F104" s="739"/>
      <c r="G104" s="816"/>
      <c r="H104" s="730"/>
      <c r="I104" s="730"/>
      <c r="J104" s="731"/>
      <c r="K104" s="731"/>
      <c r="L104" s="731"/>
      <c r="M104" s="731"/>
      <c r="N104" s="731"/>
      <c r="O104" s="731"/>
      <c r="P104" s="734"/>
      <c r="Q104" s="731"/>
      <c r="R104" s="732"/>
      <c r="S104" s="735"/>
      <c r="T104" s="731"/>
      <c r="U104" s="731"/>
      <c r="V104" s="733"/>
      <c r="W104" s="736"/>
    </row>
    <row r="105" spans="2:23">
      <c r="B105" s="737"/>
      <c r="C105" s="738"/>
      <c r="D105" s="738"/>
      <c r="E105" s="738"/>
      <c r="F105" s="739"/>
      <c r="G105" s="816" t="s">
        <v>3937</v>
      </c>
      <c r="H105" s="730" t="s">
        <v>3938</v>
      </c>
      <c r="I105" s="730"/>
      <c r="J105" s="731"/>
      <c r="K105" s="731"/>
      <c r="L105" s="731"/>
      <c r="M105" s="731"/>
      <c r="N105" s="731"/>
      <c r="O105" s="731"/>
      <c r="P105" s="734"/>
      <c r="Q105" s="731"/>
      <c r="R105" s="732"/>
      <c r="S105" s="735"/>
      <c r="T105" s="731"/>
      <c r="U105" s="731"/>
      <c r="V105" s="733">
        <f>T107</f>
        <v>62.719999999999992</v>
      </c>
      <c r="W105" s="736" t="s">
        <v>376</v>
      </c>
    </row>
    <row r="106" spans="2:23">
      <c r="B106" s="737"/>
      <c r="C106" s="738"/>
      <c r="D106" s="738"/>
      <c r="E106" s="738"/>
      <c r="F106" s="739"/>
      <c r="G106" s="816"/>
      <c r="H106" s="730"/>
      <c r="I106" s="730"/>
      <c r="J106" s="731"/>
      <c r="K106" s="731"/>
      <c r="L106" s="731"/>
      <c r="M106" s="731"/>
      <c r="N106" s="731"/>
      <c r="O106" s="731"/>
      <c r="P106" s="734"/>
      <c r="Q106" s="731"/>
      <c r="R106" s="732"/>
      <c r="S106" s="735"/>
      <c r="T106" s="731"/>
      <c r="U106" s="731"/>
      <c r="V106" s="733"/>
      <c r="W106" s="736"/>
    </row>
    <row r="107" spans="2:23">
      <c r="B107" s="737"/>
      <c r="C107" s="738"/>
      <c r="D107" s="738"/>
      <c r="E107" s="738"/>
      <c r="F107" s="739"/>
      <c r="G107" s="816"/>
      <c r="H107" s="730"/>
      <c r="I107" s="730"/>
      <c r="J107" s="731">
        <f>+J98</f>
        <v>1.6</v>
      </c>
      <c r="K107" s="731"/>
      <c r="L107" s="731"/>
      <c r="M107" s="731" t="s">
        <v>3922</v>
      </c>
      <c r="N107" s="731">
        <f>+N98</f>
        <v>0.35</v>
      </c>
      <c r="O107" s="731" t="s">
        <v>3922</v>
      </c>
      <c r="P107" s="734">
        <f>4*P98</f>
        <v>112</v>
      </c>
      <c r="Q107" s="731"/>
      <c r="R107" s="732"/>
      <c r="S107" s="735" t="s">
        <v>3923</v>
      </c>
      <c r="T107" s="731">
        <f>J107*N107*P107</f>
        <v>62.719999999999992</v>
      </c>
      <c r="U107" s="731"/>
      <c r="V107" s="733"/>
      <c r="W107" s="736"/>
    </row>
    <row r="108" spans="2:23">
      <c r="B108" s="737"/>
      <c r="C108" s="738"/>
      <c r="D108" s="738"/>
      <c r="E108" s="738"/>
      <c r="F108" s="739"/>
      <c r="G108" s="816"/>
      <c r="H108" s="730"/>
      <c r="I108" s="730"/>
      <c r="J108" s="731"/>
      <c r="K108" s="731"/>
      <c r="L108" s="731"/>
      <c r="M108" s="731"/>
      <c r="N108" s="731"/>
      <c r="O108" s="731"/>
      <c r="P108" s="734"/>
      <c r="Q108" s="731"/>
      <c r="R108" s="732"/>
      <c r="S108" s="735"/>
      <c r="T108" s="731"/>
      <c r="U108" s="731"/>
      <c r="V108" s="733"/>
      <c r="W108" s="736"/>
    </row>
    <row r="109" spans="2:23">
      <c r="B109" s="737"/>
      <c r="C109" s="738"/>
      <c r="D109" s="738"/>
      <c r="E109" s="738"/>
      <c r="F109" s="739"/>
      <c r="G109" s="876" t="s">
        <v>3940</v>
      </c>
      <c r="H109" s="876" t="s">
        <v>3967</v>
      </c>
      <c r="I109" s="876"/>
      <c r="J109" s="731">
        <v>1.6</v>
      </c>
      <c r="K109" s="731" t="s">
        <v>3922</v>
      </c>
      <c r="L109" s="731">
        <v>1.6</v>
      </c>
      <c r="M109" s="731" t="s">
        <v>3922</v>
      </c>
      <c r="N109" s="731">
        <v>0.1</v>
      </c>
      <c r="O109" s="731" t="s">
        <v>3922</v>
      </c>
      <c r="P109" s="734">
        <v>28</v>
      </c>
      <c r="Q109" s="731"/>
      <c r="R109" s="732"/>
      <c r="S109" s="735" t="s">
        <v>3923</v>
      </c>
      <c r="T109" s="731">
        <f>J109*L109*N109*P109</f>
        <v>7.1680000000000019</v>
      </c>
      <c r="U109" s="877"/>
      <c r="V109" s="881">
        <f>+T109</f>
        <v>7.1680000000000019</v>
      </c>
      <c r="W109" s="882" t="s">
        <v>375</v>
      </c>
    </row>
    <row r="110" spans="2:23">
      <c r="B110" s="737"/>
      <c r="C110" s="738"/>
      <c r="D110" s="738"/>
      <c r="E110" s="738"/>
      <c r="F110" s="739"/>
      <c r="G110" s="876"/>
      <c r="H110" s="876"/>
      <c r="I110" s="876"/>
      <c r="J110" s="877"/>
      <c r="K110" s="877"/>
      <c r="L110" s="877"/>
      <c r="M110" s="877"/>
      <c r="N110" s="877"/>
      <c r="O110" s="877"/>
      <c r="P110" s="878"/>
      <c r="Q110" s="877"/>
      <c r="R110" s="879"/>
      <c r="S110" s="880"/>
      <c r="T110" s="877"/>
      <c r="U110" s="877"/>
      <c r="V110" s="881"/>
      <c r="W110" s="882"/>
    </row>
    <row r="111" spans="2:23" ht="16" thickBot="1">
      <c r="B111" s="763"/>
      <c r="C111" s="744"/>
      <c r="D111" s="744"/>
      <c r="E111" s="744"/>
      <c r="F111" s="745"/>
      <c r="G111" s="818"/>
      <c r="H111" s="819"/>
      <c r="I111" s="819"/>
      <c r="J111" s="819"/>
      <c r="K111" s="819"/>
      <c r="L111" s="819"/>
      <c r="M111" s="750"/>
      <c r="N111" s="751"/>
      <c r="O111" s="751"/>
      <c r="P111" s="751"/>
      <c r="Q111" s="751"/>
      <c r="R111" s="752"/>
      <c r="S111" s="751"/>
      <c r="T111" s="751"/>
      <c r="U111" s="751"/>
      <c r="V111" s="767"/>
      <c r="W111" s="754"/>
    </row>
    <row r="112" spans="2:23" ht="16.5" thickTop="1" thickBot="1">
      <c r="B112" s="709"/>
      <c r="F112" s="710"/>
      <c r="G112" s="827"/>
      <c r="H112" s="699"/>
      <c r="I112" s="699"/>
      <c r="J112" s="805"/>
      <c r="K112" s="805"/>
      <c r="L112" s="805"/>
      <c r="M112" s="805"/>
      <c r="N112" s="805"/>
      <c r="O112" s="807"/>
      <c r="P112" s="807"/>
      <c r="Q112" s="807"/>
      <c r="R112" s="806"/>
      <c r="S112" s="807"/>
      <c r="T112" s="794"/>
      <c r="U112" s="807"/>
      <c r="V112" s="808"/>
      <c r="W112" s="809"/>
    </row>
    <row r="113" spans="2:23">
      <c r="B113" s="798">
        <v>3</v>
      </c>
      <c r="C113" s="1771" t="s">
        <v>3968</v>
      </c>
      <c r="D113" s="1771"/>
      <c r="E113" s="1771"/>
      <c r="F113" s="1772"/>
      <c r="G113" s="1765" t="s">
        <v>3950</v>
      </c>
      <c r="H113" s="1766"/>
      <c r="I113" s="1766"/>
      <c r="J113" s="1766"/>
      <c r="K113" s="1766"/>
      <c r="L113" s="1766"/>
      <c r="M113" s="1766"/>
      <c r="N113" s="1766"/>
      <c r="O113" s="1766"/>
      <c r="P113" s="1766"/>
      <c r="Q113" s="1766"/>
      <c r="R113" s="1766"/>
      <c r="S113" s="1766"/>
      <c r="T113" s="1766"/>
      <c r="U113" s="1766"/>
      <c r="V113" s="1766"/>
      <c r="W113" s="1767"/>
    </row>
    <row r="114" spans="2:23" ht="16" thickBot="1">
      <c r="B114" s="709"/>
      <c r="F114" s="710"/>
      <c r="G114" s="722"/>
      <c r="H114" s="683"/>
      <c r="I114" s="683"/>
      <c r="J114" s="684" t="s">
        <v>3889</v>
      </c>
      <c r="K114" s="684"/>
      <c r="L114" s="684" t="s">
        <v>3890</v>
      </c>
      <c r="M114" s="684"/>
      <c r="N114" s="684" t="s">
        <v>3891</v>
      </c>
      <c r="O114" s="684"/>
      <c r="P114" s="684" t="s">
        <v>3892</v>
      </c>
      <c r="Q114" s="684"/>
      <c r="R114" s="685" t="s">
        <v>3893</v>
      </c>
      <c r="S114" s="686"/>
      <c r="T114" s="687" t="s">
        <v>3894</v>
      </c>
      <c r="U114" s="686"/>
      <c r="V114" s="688" t="s">
        <v>3895</v>
      </c>
      <c r="W114" s="689" t="s">
        <v>3896</v>
      </c>
    </row>
    <row r="115" spans="2:23">
      <c r="B115" s="709"/>
      <c r="F115" s="710"/>
      <c r="G115" s="821"/>
      <c r="H115" s="692"/>
      <c r="I115" s="692"/>
      <c r="J115" s="828"/>
      <c r="K115" s="828"/>
      <c r="L115" s="828"/>
      <c r="M115" s="828"/>
      <c r="N115" s="828"/>
      <c r="O115" s="829"/>
      <c r="P115" s="829"/>
      <c r="Q115" s="829"/>
      <c r="R115" s="830"/>
      <c r="S115" s="829"/>
      <c r="T115" s="831"/>
      <c r="U115" s="832"/>
      <c r="V115" s="833"/>
      <c r="W115" s="822"/>
    </row>
    <row r="116" spans="2:23">
      <c r="B116" s="709"/>
      <c r="F116" s="710"/>
      <c r="G116" s="827" t="s">
        <v>3941</v>
      </c>
      <c r="H116" s="730" t="s">
        <v>3969</v>
      </c>
      <c r="I116" s="699"/>
      <c r="J116" s="805"/>
      <c r="K116" s="805"/>
      <c r="L116" s="805"/>
      <c r="M116" s="805"/>
      <c r="N116" s="805"/>
      <c r="O116" s="794"/>
      <c r="P116" s="794"/>
      <c r="Q116" s="794"/>
      <c r="R116" s="806"/>
      <c r="S116" s="793"/>
      <c r="T116" s="794"/>
      <c r="U116" s="807"/>
      <c r="V116" s="808">
        <f>+T117</f>
        <v>13.5</v>
      </c>
      <c r="W116" s="809" t="s">
        <v>375</v>
      </c>
    </row>
    <row r="117" spans="2:23">
      <c r="B117" s="1768"/>
      <c r="C117" s="1769"/>
      <c r="D117" s="1769"/>
      <c r="E117" s="1769"/>
      <c r="F117" s="1770"/>
      <c r="G117" s="827"/>
      <c r="H117" s="699"/>
      <c r="I117" s="699"/>
      <c r="J117" s="791">
        <f>+(24*4)+(12*7)</f>
        <v>180</v>
      </c>
      <c r="K117" s="791" t="s">
        <v>3922</v>
      </c>
      <c r="L117" s="791">
        <v>0.25</v>
      </c>
      <c r="M117" s="791" t="s">
        <v>3922</v>
      </c>
      <c r="N117" s="791">
        <v>0.3</v>
      </c>
      <c r="O117" s="791" t="s">
        <v>3922</v>
      </c>
      <c r="P117" s="791">
        <v>1</v>
      </c>
      <c r="Q117" s="791"/>
      <c r="R117" s="792"/>
      <c r="S117" s="793" t="s">
        <v>3923</v>
      </c>
      <c r="T117" s="794">
        <f>J117*L117*N117*P117</f>
        <v>13.5</v>
      </c>
      <c r="U117" s="807"/>
      <c r="V117" s="810"/>
      <c r="W117" s="809"/>
    </row>
    <row r="118" spans="2:23">
      <c r="B118" s="709"/>
      <c r="F118" s="710"/>
      <c r="G118" s="827"/>
      <c r="H118" s="699"/>
      <c r="I118" s="699"/>
      <c r="J118" s="791"/>
      <c r="K118" s="791"/>
      <c r="L118" s="791"/>
      <c r="M118" s="791"/>
      <c r="N118" s="791"/>
      <c r="O118" s="791"/>
      <c r="P118" s="791"/>
      <c r="Q118" s="791"/>
      <c r="R118" s="792"/>
      <c r="S118" s="793"/>
      <c r="T118" s="794"/>
      <c r="U118" s="824"/>
      <c r="V118" s="834"/>
      <c r="W118" s="809"/>
    </row>
    <row r="119" spans="2:23">
      <c r="B119" s="709"/>
      <c r="F119" s="710"/>
      <c r="G119" s="775" t="s">
        <v>3935</v>
      </c>
      <c r="H119" s="776" t="s">
        <v>3943</v>
      </c>
      <c r="I119" s="776"/>
      <c r="J119" s="777"/>
      <c r="K119" s="777"/>
      <c r="L119" s="777"/>
      <c r="M119" s="777"/>
      <c r="N119" s="777"/>
      <c r="O119" s="825"/>
      <c r="P119" s="825"/>
      <c r="Q119" s="825"/>
      <c r="R119" s="778"/>
      <c r="S119" s="825"/>
      <c r="T119" s="826"/>
      <c r="U119" s="807"/>
      <c r="V119" s="808">
        <f>+SUM(T121:T126)</f>
        <v>1924.1599999999999</v>
      </c>
      <c r="W119" s="823" t="s">
        <v>93</v>
      </c>
    </row>
    <row r="120" spans="2:23">
      <c r="B120" s="737"/>
      <c r="C120" s="738"/>
      <c r="D120" s="738"/>
      <c r="E120" s="738"/>
      <c r="F120" s="739"/>
      <c r="G120" s="729"/>
      <c r="H120" s="730"/>
      <c r="I120" s="730"/>
      <c r="J120" s="817" t="s">
        <v>3889</v>
      </c>
      <c r="K120" s="817"/>
      <c r="L120" s="817" t="s">
        <v>3892</v>
      </c>
      <c r="M120" s="791"/>
      <c r="N120" s="791"/>
      <c r="O120" s="824"/>
      <c r="P120" s="824"/>
      <c r="Q120" s="824"/>
      <c r="R120" s="792"/>
      <c r="S120" s="824"/>
      <c r="T120" s="794"/>
      <c r="U120" s="807"/>
      <c r="V120" s="810"/>
      <c r="W120" s="823"/>
    </row>
    <row r="121" spans="2:23">
      <c r="B121" s="760"/>
      <c r="C121" s="720"/>
      <c r="D121" s="720"/>
      <c r="E121" s="720"/>
      <c r="F121" s="721"/>
      <c r="G121" s="729"/>
      <c r="H121" s="730" t="s">
        <v>3970</v>
      </c>
      <c r="I121" s="730" t="s">
        <v>3944</v>
      </c>
      <c r="J121" s="791">
        <f>J117</f>
        <v>180</v>
      </c>
      <c r="K121" s="791" t="s">
        <v>3922</v>
      </c>
      <c r="L121" s="791">
        <v>2</v>
      </c>
      <c r="M121" s="791"/>
      <c r="N121" s="791"/>
      <c r="O121" s="824"/>
      <c r="P121" s="824"/>
      <c r="Q121" s="824" t="s">
        <v>3922</v>
      </c>
      <c r="R121" s="792">
        <v>0.89</v>
      </c>
      <c r="S121" s="824" t="s">
        <v>3923</v>
      </c>
      <c r="T121" s="794">
        <f>J121*L121*R121</f>
        <v>320.39999999999998</v>
      </c>
      <c r="U121" s="807"/>
      <c r="V121" s="810"/>
      <c r="W121" s="823"/>
    </row>
    <row r="122" spans="2:23">
      <c r="B122" s="760"/>
      <c r="C122" s="720"/>
      <c r="D122" s="720"/>
      <c r="E122" s="720"/>
      <c r="F122" s="721"/>
      <c r="G122" s="729"/>
      <c r="H122" s="730" t="s">
        <v>3970</v>
      </c>
      <c r="I122" s="730" t="s">
        <v>3945</v>
      </c>
      <c r="J122" s="791">
        <f>+J121</f>
        <v>180</v>
      </c>
      <c r="K122" s="791" t="s">
        <v>3922</v>
      </c>
      <c r="L122" s="791">
        <v>2</v>
      </c>
      <c r="M122" s="791"/>
      <c r="N122" s="791"/>
      <c r="O122" s="824"/>
      <c r="P122" s="824"/>
      <c r="Q122" s="824" t="s">
        <v>3922</v>
      </c>
      <c r="R122" s="792">
        <f>+R121</f>
        <v>0.89</v>
      </c>
      <c r="S122" s="824" t="s">
        <v>3923</v>
      </c>
      <c r="T122" s="794">
        <f>J122*L122*R122</f>
        <v>320.39999999999998</v>
      </c>
      <c r="U122" s="807"/>
      <c r="V122" s="810"/>
      <c r="W122" s="823"/>
    </row>
    <row r="123" spans="2:23">
      <c r="B123" s="760"/>
      <c r="C123" s="720"/>
      <c r="D123" s="720"/>
      <c r="E123" s="720"/>
      <c r="F123" s="721"/>
      <c r="G123" s="729"/>
      <c r="H123" s="730"/>
      <c r="I123" s="730"/>
      <c r="J123" s="791"/>
      <c r="K123" s="791"/>
      <c r="L123" s="791"/>
      <c r="M123" s="791"/>
      <c r="N123" s="791"/>
      <c r="O123" s="824"/>
      <c r="P123" s="824"/>
      <c r="Q123" s="824"/>
      <c r="R123" s="792"/>
      <c r="S123" s="824"/>
      <c r="T123" s="794"/>
      <c r="U123" s="807"/>
      <c r="V123" s="810"/>
      <c r="W123" s="823"/>
    </row>
    <row r="124" spans="2:23">
      <c r="B124" s="760"/>
      <c r="C124" s="720"/>
      <c r="D124" s="720"/>
      <c r="E124" s="720"/>
      <c r="F124" s="721"/>
      <c r="G124" s="729" t="s">
        <v>3937</v>
      </c>
      <c r="H124" s="776" t="s">
        <v>3946</v>
      </c>
      <c r="I124" s="730"/>
      <c r="J124" s="791"/>
      <c r="K124" s="791"/>
      <c r="L124" s="791"/>
      <c r="M124" s="791"/>
      <c r="N124" s="791"/>
      <c r="O124" s="824"/>
      <c r="P124" s="824"/>
      <c r="Q124" s="824"/>
      <c r="R124" s="792"/>
      <c r="S124" s="824"/>
      <c r="T124" s="794"/>
      <c r="U124" s="807"/>
      <c r="V124" s="810"/>
      <c r="W124" s="823"/>
    </row>
    <row r="125" spans="2:23">
      <c r="B125" s="723"/>
      <c r="F125" s="710"/>
      <c r="G125" s="835"/>
      <c r="H125" s="730"/>
      <c r="I125" s="741"/>
      <c r="J125" s="817" t="s">
        <v>3951</v>
      </c>
      <c r="K125" s="817"/>
      <c r="L125" s="817" t="s">
        <v>3952</v>
      </c>
      <c r="M125" s="791"/>
      <c r="N125" s="791"/>
      <c r="O125" s="824"/>
      <c r="P125" s="824"/>
      <c r="Q125" s="824"/>
      <c r="R125" s="792"/>
      <c r="S125" s="824"/>
      <c r="T125" s="794"/>
      <c r="U125" s="807"/>
      <c r="V125" s="808"/>
      <c r="W125" s="809"/>
    </row>
    <row r="126" spans="2:23">
      <c r="B126" s="723"/>
      <c r="F126" s="710"/>
      <c r="G126" s="729"/>
      <c r="H126" s="730" t="s">
        <v>3947</v>
      </c>
      <c r="I126" s="730"/>
      <c r="J126" s="791">
        <f>0.21+0.26+0.21+0.26+0.05+0.05</f>
        <v>1.04</v>
      </c>
      <c r="K126" s="791" t="s">
        <v>3922</v>
      </c>
      <c r="L126" s="791">
        <f>+J117/0.09</f>
        <v>2000</v>
      </c>
      <c r="M126" s="791"/>
      <c r="N126" s="791"/>
      <c r="O126" s="824"/>
      <c r="P126" s="824"/>
      <c r="Q126" s="824" t="s">
        <v>3922</v>
      </c>
      <c r="R126" s="792">
        <v>0.61699999999999999</v>
      </c>
      <c r="S126" s="824" t="s">
        <v>3923</v>
      </c>
      <c r="T126" s="794">
        <f>J126*L126*R126</f>
        <v>1283.3599999999999</v>
      </c>
      <c r="U126" s="807"/>
      <c r="V126" s="810"/>
      <c r="W126" s="823"/>
    </row>
    <row r="127" spans="2:23">
      <c r="B127" s="709"/>
      <c r="F127" s="710"/>
      <c r="G127" s="827"/>
      <c r="H127" s="699"/>
      <c r="I127" s="699"/>
      <c r="J127" s="805"/>
      <c r="K127" s="805"/>
      <c r="L127" s="805"/>
      <c r="M127" s="805"/>
      <c r="N127" s="805"/>
      <c r="O127" s="807"/>
      <c r="P127" s="807"/>
      <c r="Q127" s="807"/>
      <c r="R127" s="806"/>
      <c r="S127" s="807"/>
      <c r="T127" s="794"/>
      <c r="U127" s="807"/>
      <c r="V127" s="808"/>
      <c r="W127" s="809"/>
    </row>
    <row r="128" spans="2:23">
      <c r="B128" s="709"/>
      <c r="F128" s="710"/>
      <c r="G128" s="827" t="s">
        <v>3940</v>
      </c>
      <c r="H128" s="699" t="s">
        <v>3948</v>
      </c>
      <c r="I128" s="699"/>
      <c r="J128" s="805"/>
      <c r="K128" s="805"/>
      <c r="L128" s="805"/>
      <c r="M128" s="805"/>
      <c r="N128" s="805"/>
      <c r="O128" s="807"/>
      <c r="P128" s="807"/>
      <c r="Q128" s="807"/>
      <c r="R128" s="806"/>
      <c r="S128" s="807"/>
      <c r="T128" s="794"/>
      <c r="U128" s="807"/>
      <c r="V128" s="808">
        <f>T129</f>
        <v>108</v>
      </c>
      <c r="W128" s="809" t="s">
        <v>376</v>
      </c>
    </row>
    <row r="129" spans="2:23">
      <c r="B129" s="709"/>
      <c r="F129" s="710"/>
      <c r="G129" s="827"/>
      <c r="H129" s="699"/>
      <c r="I129" s="699"/>
      <c r="J129" s="805">
        <f>+J117</f>
        <v>180</v>
      </c>
      <c r="K129" s="805"/>
      <c r="L129" s="805"/>
      <c r="M129" s="805" t="s">
        <v>3922</v>
      </c>
      <c r="N129" s="805">
        <f>+N117</f>
        <v>0.3</v>
      </c>
      <c r="O129" s="807" t="s">
        <v>3922</v>
      </c>
      <c r="P129" s="807">
        <v>2</v>
      </c>
      <c r="Q129" s="807"/>
      <c r="R129" s="806"/>
      <c r="S129" s="807" t="s">
        <v>3923</v>
      </c>
      <c r="T129" s="794">
        <f>J129*N129*P129</f>
        <v>108</v>
      </c>
      <c r="U129" s="807"/>
      <c r="V129" s="808"/>
      <c r="W129" s="809"/>
    </row>
    <row r="130" spans="2:23">
      <c r="B130" s="709"/>
      <c r="F130" s="710"/>
      <c r="G130" s="827"/>
      <c r="H130" s="699"/>
      <c r="I130" s="699"/>
      <c r="J130" s="805"/>
      <c r="K130" s="805"/>
      <c r="L130" s="805"/>
      <c r="M130" s="805"/>
      <c r="N130" s="805"/>
      <c r="O130" s="807"/>
      <c r="P130" s="807"/>
      <c r="Q130" s="807"/>
      <c r="R130" s="806"/>
      <c r="S130" s="807"/>
      <c r="T130" s="794"/>
      <c r="U130" s="807"/>
      <c r="V130" s="808"/>
      <c r="W130" s="809"/>
    </row>
    <row r="131" spans="2:23" ht="16" thickBot="1">
      <c r="B131" s="709"/>
      <c r="F131" s="710"/>
      <c r="G131" s="827"/>
      <c r="H131" s="699"/>
      <c r="I131" s="699"/>
      <c r="J131" s="805"/>
      <c r="K131" s="805"/>
      <c r="L131" s="805"/>
      <c r="M131" s="805"/>
      <c r="N131" s="805"/>
      <c r="O131" s="807"/>
      <c r="P131" s="807"/>
      <c r="Q131" s="807"/>
      <c r="R131" s="806"/>
      <c r="S131" s="807"/>
      <c r="T131" s="794"/>
      <c r="U131" s="807"/>
      <c r="V131" s="808"/>
      <c r="W131" s="809"/>
    </row>
    <row r="132" spans="2:23">
      <c r="B132" s="798" t="s">
        <v>3903</v>
      </c>
      <c r="C132" s="1771" t="s">
        <v>3971</v>
      </c>
      <c r="D132" s="1771"/>
      <c r="E132" s="1771"/>
      <c r="F132" s="1772"/>
      <c r="G132" s="1765" t="s">
        <v>3950</v>
      </c>
      <c r="H132" s="1766"/>
      <c r="I132" s="1766"/>
      <c r="J132" s="1766"/>
      <c r="K132" s="1766"/>
      <c r="L132" s="1766"/>
      <c r="M132" s="1766"/>
      <c r="N132" s="1766"/>
      <c r="O132" s="1766"/>
      <c r="P132" s="1766"/>
      <c r="Q132" s="1766"/>
      <c r="R132" s="1766"/>
      <c r="S132" s="1766"/>
      <c r="T132" s="1766"/>
      <c r="U132" s="1766"/>
      <c r="V132" s="1766"/>
      <c r="W132" s="1767"/>
    </row>
    <row r="133" spans="2:23" ht="16" thickBot="1">
      <c r="B133" s="709"/>
      <c r="F133" s="710"/>
      <c r="G133" s="722"/>
      <c r="H133" s="683"/>
      <c r="I133" s="683"/>
      <c r="J133" s="684" t="s">
        <v>3889</v>
      </c>
      <c r="K133" s="684"/>
      <c r="L133" s="684" t="s">
        <v>3890</v>
      </c>
      <c r="M133" s="684"/>
      <c r="N133" s="684" t="s">
        <v>3891</v>
      </c>
      <c r="O133" s="684"/>
      <c r="P133" s="684" t="s">
        <v>3892</v>
      </c>
      <c r="Q133" s="684"/>
      <c r="R133" s="685" t="s">
        <v>3893</v>
      </c>
      <c r="S133" s="686"/>
      <c r="T133" s="687" t="s">
        <v>3894</v>
      </c>
      <c r="U133" s="686"/>
      <c r="V133" s="688" t="s">
        <v>3895</v>
      </c>
      <c r="W133" s="689" t="s">
        <v>3896</v>
      </c>
    </row>
    <row r="134" spans="2:23">
      <c r="B134" s="709"/>
      <c r="F134" s="710"/>
      <c r="G134" s="821"/>
      <c r="H134" s="692"/>
      <c r="I134" s="692"/>
      <c r="J134" s="828"/>
      <c r="K134" s="828"/>
      <c r="L134" s="828"/>
      <c r="M134" s="828"/>
      <c r="N134" s="828"/>
      <c r="O134" s="829"/>
      <c r="P134" s="829"/>
      <c r="Q134" s="829"/>
      <c r="R134" s="830"/>
      <c r="S134" s="829"/>
      <c r="T134" s="831"/>
      <c r="U134" s="832"/>
      <c r="V134" s="833"/>
      <c r="W134" s="822"/>
    </row>
    <row r="135" spans="2:23">
      <c r="B135" s="709"/>
      <c r="F135" s="710"/>
      <c r="G135" s="827" t="s">
        <v>3941</v>
      </c>
      <c r="H135" s="730" t="s">
        <v>3972</v>
      </c>
      <c r="I135" s="699"/>
      <c r="J135" s="805"/>
      <c r="K135" s="805"/>
      <c r="L135" s="805"/>
      <c r="M135" s="805"/>
      <c r="N135" s="805"/>
      <c r="O135" s="794"/>
      <c r="P135" s="794"/>
      <c r="Q135" s="794"/>
      <c r="R135" s="806"/>
      <c r="S135" s="793"/>
      <c r="T135" s="794"/>
      <c r="U135" s="807"/>
      <c r="V135" s="808">
        <f>+T136</f>
        <v>1.1039999999999999</v>
      </c>
      <c r="W135" s="809" t="s">
        <v>375</v>
      </c>
    </row>
    <row r="136" spans="2:23">
      <c r="B136" s="1768"/>
      <c r="C136" s="1769"/>
      <c r="D136" s="1769"/>
      <c r="E136" s="1769"/>
      <c r="F136" s="1770"/>
      <c r="G136" s="827"/>
      <c r="H136" s="699"/>
      <c r="I136" s="699"/>
      <c r="J136" s="791">
        <f>16+2.5+1.7+10+1.6+2.5+2.5</f>
        <v>36.799999999999997</v>
      </c>
      <c r="K136" s="791" t="s">
        <v>3922</v>
      </c>
      <c r="L136" s="791">
        <v>0.15</v>
      </c>
      <c r="M136" s="791" t="s">
        <v>3922</v>
      </c>
      <c r="N136" s="791">
        <v>0.2</v>
      </c>
      <c r="O136" s="791" t="s">
        <v>3922</v>
      </c>
      <c r="P136" s="791">
        <v>1</v>
      </c>
      <c r="Q136" s="791"/>
      <c r="R136" s="792"/>
      <c r="S136" s="793" t="s">
        <v>3923</v>
      </c>
      <c r="T136" s="794">
        <f>J136*L136*N136*P136</f>
        <v>1.1039999999999999</v>
      </c>
      <c r="U136" s="807"/>
      <c r="V136" s="810"/>
      <c r="W136" s="809"/>
    </row>
    <row r="137" spans="2:23">
      <c r="B137" s="709"/>
      <c r="F137" s="710"/>
      <c r="G137" s="827"/>
      <c r="H137" s="699"/>
      <c r="I137" s="699"/>
      <c r="J137" s="791"/>
      <c r="K137" s="791"/>
      <c r="L137" s="791"/>
      <c r="M137" s="791"/>
      <c r="N137" s="791"/>
      <c r="O137" s="791"/>
      <c r="P137" s="791"/>
      <c r="Q137" s="791"/>
      <c r="R137" s="792"/>
      <c r="S137" s="793"/>
      <c r="T137" s="794"/>
      <c r="U137" s="824"/>
      <c r="V137" s="834"/>
      <c r="W137" s="809"/>
    </row>
    <row r="138" spans="2:23">
      <c r="B138" s="709"/>
      <c r="F138" s="710"/>
      <c r="G138" s="775" t="s">
        <v>3935</v>
      </c>
      <c r="H138" s="776" t="s">
        <v>3943</v>
      </c>
      <c r="I138" s="776"/>
      <c r="J138" s="777"/>
      <c r="K138" s="777"/>
      <c r="L138" s="777"/>
      <c r="M138" s="777"/>
      <c r="N138" s="777"/>
      <c r="O138" s="825"/>
      <c r="P138" s="825"/>
      <c r="Q138" s="825"/>
      <c r="R138" s="778"/>
      <c r="S138" s="825"/>
      <c r="T138" s="826"/>
      <c r="U138" s="807"/>
      <c r="V138" s="808">
        <f>+SUM(T140:T145)</f>
        <v>205.63839999999999</v>
      </c>
      <c r="W138" s="823" t="s">
        <v>93</v>
      </c>
    </row>
    <row r="139" spans="2:23">
      <c r="B139" s="737"/>
      <c r="C139" s="738"/>
      <c r="D139" s="738"/>
      <c r="E139" s="738"/>
      <c r="F139" s="739"/>
      <c r="G139" s="729"/>
      <c r="H139" s="730"/>
      <c r="I139" s="730"/>
      <c r="J139" s="817" t="s">
        <v>3889</v>
      </c>
      <c r="K139" s="817"/>
      <c r="L139" s="817" t="s">
        <v>3892</v>
      </c>
      <c r="M139" s="791"/>
      <c r="N139" s="791"/>
      <c r="O139" s="824"/>
      <c r="P139" s="824"/>
      <c r="Q139" s="824"/>
      <c r="R139" s="792"/>
      <c r="S139" s="824"/>
      <c r="T139" s="794"/>
      <c r="U139" s="807"/>
      <c r="V139" s="810"/>
      <c r="W139" s="823"/>
    </row>
    <row r="140" spans="2:23">
      <c r="B140" s="760"/>
      <c r="C140" s="720"/>
      <c r="D140" s="720"/>
      <c r="E140" s="720"/>
      <c r="F140" s="721"/>
      <c r="G140" s="729"/>
      <c r="H140" s="730" t="s">
        <v>3947</v>
      </c>
      <c r="I140" s="730" t="s">
        <v>3944</v>
      </c>
      <c r="J140" s="791">
        <f>J136</f>
        <v>36.799999999999997</v>
      </c>
      <c r="K140" s="791" t="s">
        <v>3922</v>
      </c>
      <c r="L140" s="791">
        <v>2</v>
      </c>
      <c r="M140" s="791"/>
      <c r="N140" s="791"/>
      <c r="O140" s="824"/>
      <c r="P140" s="824"/>
      <c r="Q140" s="824" t="s">
        <v>3922</v>
      </c>
      <c r="R140" s="792">
        <f>+R126</f>
        <v>0.61699999999999999</v>
      </c>
      <c r="S140" s="824" t="s">
        <v>3923</v>
      </c>
      <c r="T140" s="794">
        <f>J140*L140*R140</f>
        <v>45.411199999999994</v>
      </c>
      <c r="U140" s="807"/>
      <c r="V140" s="810"/>
      <c r="W140" s="823"/>
    </row>
    <row r="141" spans="2:23">
      <c r="B141" s="760"/>
      <c r="C141" s="720"/>
      <c r="D141" s="720"/>
      <c r="E141" s="720"/>
      <c r="F141" s="721"/>
      <c r="G141" s="729"/>
      <c r="H141" s="730" t="s">
        <v>3947</v>
      </c>
      <c r="I141" s="730" t="s">
        <v>3945</v>
      </c>
      <c r="J141" s="791">
        <f>+J140</f>
        <v>36.799999999999997</v>
      </c>
      <c r="K141" s="791" t="s">
        <v>3922</v>
      </c>
      <c r="L141" s="791">
        <v>2</v>
      </c>
      <c r="M141" s="791"/>
      <c r="N141" s="791"/>
      <c r="O141" s="824"/>
      <c r="P141" s="824"/>
      <c r="Q141" s="824" t="s">
        <v>3922</v>
      </c>
      <c r="R141" s="792">
        <f>+R140</f>
        <v>0.61699999999999999</v>
      </c>
      <c r="S141" s="824" t="s">
        <v>3923</v>
      </c>
      <c r="T141" s="794">
        <f>J141*L141*R141</f>
        <v>45.411199999999994</v>
      </c>
      <c r="U141" s="807"/>
      <c r="V141" s="810"/>
      <c r="W141" s="823"/>
    </row>
    <row r="142" spans="2:23">
      <c r="B142" s="760"/>
      <c r="C142" s="720"/>
      <c r="D142" s="720"/>
      <c r="E142" s="720"/>
      <c r="F142" s="721"/>
      <c r="G142" s="729"/>
      <c r="H142" s="730"/>
      <c r="I142" s="730"/>
      <c r="J142" s="791"/>
      <c r="K142" s="791"/>
      <c r="L142" s="791"/>
      <c r="M142" s="791"/>
      <c r="N142" s="791"/>
      <c r="O142" s="824"/>
      <c r="P142" s="824"/>
      <c r="Q142" s="824"/>
      <c r="R142" s="792"/>
      <c r="S142" s="824"/>
      <c r="T142" s="794"/>
      <c r="U142" s="807"/>
      <c r="V142" s="810"/>
      <c r="W142" s="823"/>
    </row>
    <row r="143" spans="2:23">
      <c r="B143" s="760"/>
      <c r="C143" s="720"/>
      <c r="D143" s="720"/>
      <c r="E143" s="720"/>
      <c r="F143" s="721"/>
      <c r="G143" s="729" t="s">
        <v>3937</v>
      </c>
      <c r="H143" s="776" t="s">
        <v>3946</v>
      </c>
      <c r="I143" s="730"/>
      <c r="J143" s="791"/>
      <c r="K143" s="791"/>
      <c r="L143" s="791"/>
      <c r="M143" s="791"/>
      <c r="N143" s="791"/>
      <c r="O143" s="824"/>
      <c r="P143" s="824"/>
      <c r="Q143" s="824"/>
      <c r="R143" s="792"/>
      <c r="S143" s="824"/>
      <c r="T143" s="794"/>
      <c r="U143" s="807"/>
      <c r="V143" s="810"/>
      <c r="W143" s="823"/>
    </row>
    <row r="144" spans="2:23">
      <c r="B144" s="723"/>
      <c r="F144" s="710"/>
      <c r="G144" s="835"/>
      <c r="H144" s="730"/>
      <c r="I144" s="741"/>
      <c r="J144" s="817" t="s">
        <v>3951</v>
      </c>
      <c r="K144" s="817"/>
      <c r="L144" s="817" t="s">
        <v>3952</v>
      </c>
      <c r="M144" s="791"/>
      <c r="N144" s="791"/>
      <c r="O144" s="824"/>
      <c r="P144" s="824"/>
      <c r="Q144" s="824"/>
      <c r="R144" s="792"/>
      <c r="S144" s="824"/>
      <c r="T144" s="794"/>
      <c r="U144" s="807"/>
      <c r="V144" s="808"/>
      <c r="W144" s="809"/>
    </row>
    <row r="145" spans="2:27">
      <c r="B145" s="723"/>
      <c r="F145" s="710"/>
      <c r="G145" s="729"/>
      <c r="H145" s="730" t="s">
        <v>3947</v>
      </c>
      <c r="I145" s="730"/>
      <c r="J145" s="791">
        <f>0.13+0.18+0.13+0.18+0.05+0.05</f>
        <v>0.72000000000000008</v>
      </c>
      <c r="K145" s="791" t="s">
        <v>3922</v>
      </c>
      <c r="L145" s="791">
        <f>+J136/0.09</f>
        <v>408.88888888888886</v>
      </c>
      <c r="M145" s="791"/>
      <c r="N145" s="791"/>
      <c r="O145" s="824"/>
      <c r="P145" s="824"/>
      <c r="Q145" s="824" t="s">
        <v>3922</v>
      </c>
      <c r="R145" s="792">
        <v>0.39</v>
      </c>
      <c r="S145" s="824" t="s">
        <v>3923</v>
      </c>
      <c r="T145" s="794">
        <f>J145*L145*R145</f>
        <v>114.81600000000002</v>
      </c>
      <c r="U145" s="807"/>
      <c r="V145" s="810"/>
      <c r="W145" s="823"/>
    </row>
    <row r="146" spans="2:27">
      <c r="B146" s="709"/>
      <c r="F146" s="710"/>
      <c r="G146" s="827"/>
      <c r="H146" s="699"/>
      <c r="I146" s="699"/>
      <c r="J146" s="805"/>
      <c r="K146" s="805"/>
      <c r="L146" s="805"/>
      <c r="M146" s="805"/>
      <c r="N146" s="805"/>
      <c r="O146" s="807"/>
      <c r="P146" s="807"/>
      <c r="Q146" s="807"/>
      <c r="R146" s="806"/>
      <c r="S146" s="807"/>
      <c r="T146" s="794"/>
      <c r="U146" s="807"/>
      <c r="V146" s="808"/>
      <c r="W146" s="809"/>
    </row>
    <row r="147" spans="2:27">
      <c r="B147" s="709"/>
      <c r="F147" s="710"/>
      <c r="G147" s="827" t="s">
        <v>3940</v>
      </c>
      <c r="H147" s="699" t="s">
        <v>3948</v>
      </c>
      <c r="I147" s="699"/>
      <c r="J147" s="805"/>
      <c r="K147" s="805"/>
      <c r="L147" s="805"/>
      <c r="M147" s="805"/>
      <c r="N147" s="805"/>
      <c r="O147" s="807"/>
      <c r="P147" s="807"/>
      <c r="Q147" s="807"/>
      <c r="R147" s="806"/>
      <c r="S147" s="807"/>
      <c r="T147" s="794"/>
      <c r="U147" s="807"/>
      <c r="V147" s="808">
        <f>T148</f>
        <v>14.719999999999999</v>
      </c>
      <c r="W147" s="809" t="s">
        <v>376</v>
      </c>
    </row>
    <row r="148" spans="2:27">
      <c r="B148" s="709"/>
      <c r="F148" s="710"/>
      <c r="G148" s="827"/>
      <c r="H148" s="699"/>
      <c r="I148" s="699"/>
      <c r="J148" s="805">
        <f>+J136</f>
        <v>36.799999999999997</v>
      </c>
      <c r="K148" s="805"/>
      <c r="L148" s="805"/>
      <c r="M148" s="805" t="s">
        <v>3922</v>
      </c>
      <c r="N148" s="805">
        <f>+N136</f>
        <v>0.2</v>
      </c>
      <c r="O148" s="807" t="s">
        <v>3922</v>
      </c>
      <c r="P148" s="807">
        <v>2</v>
      </c>
      <c r="Q148" s="807"/>
      <c r="R148" s="806"/>
      <c r="S148" s="807" t="s">
        <v>3923</v>
      </c>
      <c r="T148" s="794">
        <f>J148*N148*P148</f>
        <v>14.719999999999999</v>
      </c>
      <c r="U148" s="807"/>
      <c r="V148" s="808"/>
      <c r="W148" s="809"/>
    </row>
    <row r="149" spans="2:27">
      <c r="B149" s="709"/>
      <c r="F149" s="710"/>
      <c r="G149" s="827"/>
      <c r="H149" s="699"/>
      <c r="I149" s="699"/>
      <c r="J149" s="805"/>
      <c r="K149" s="805"/>
      <c r="L149" s="805"/>
      <c r="M149" s="805"/>
      <c r="N149" s="805"/>
      <c r="O149" s="807"/>
      <c r="P149" s="807"/>
      <c r="Q149" s="807"/>
      <c r="R149" s="806"/>
      <c r="S149" s="807"/>
      <c r="T149" s="794"/>
      <c r="U149" s="807"/>
      <c r="V149" s="808"/>
      <c r="W149" s="809"/>
    </row>
    <row r="150" spans="2:27" ht="16" thickBot="1">
      <c r="B150" s="709"/>
      <c r="F150" s="710"/>
      <c r="G150" s="827"/>
      <c r="H150" s="699"/>
      <c r="I150" s="699"/>
      <c r="J150" s="805"/>
      <c r="K150" s="805"/>
      <c r="L150" s="805"/>
      <c r="M150" s="805"/>
      <c r="N150" s="805"/>
      <c r="O150" s="807"/>
      <c r="P150" s="807"/>
      <c r="Q150" s="807"/>
      <c r="R150" s="806"/>
      <c r="S150" s="807"/>
      <c r="T150" s="794"/>
      <c r="U150" s="807"/>
      <c r="V150" s="808"/>
      <c r="W150" s="809"/>
    </row>
    <row r="151" spans="2:27">
      <c r="B151" s="798" t="s">
        <v>3907</v>
      </c>
      <c r="C151" s="796" t="s">
        <v>3973</v>
      </c>
      <c r="D151" s="796"/>
      <c r="E151" s="796"/>
      <c r="F151" s="797"/>
      <c r="G151" s="1765" t="s">
        <v>3888</v>
      </c>
      <c r="H151" s="1766"/>
      <c r="I151" s="1766"/>
      <c r="J151" s="1766"/>
      <c r="K151" s="1766"/>
      <c r="L151" s="1766"/>
      <c r="M151" s="1766"/>
      <c r="N151" s="1766"/>
      <c r="O151" s="1766"/>
      <c r="P151" s="1766"/>
      <c r="Q151" s="1766"/>
      <c r="R151" s="1766"/>
      <c r="S151" s="1766"/>
      <c r="T151" s="1766"/>
      <c r="U151" s="1766"/>
      <c r="V151" s="1766"/>
      <c r="W151" s="1767"/>
    </row>
    <row r="152" spans="2:27" ht="16" thickBot="1">
      <c r="B152" s="709"/>
      <c r="F152" s="710"/>
      <c r="G152" s="722"/>
      <c r="H152" s="683"/>
      <c r="I152" s="683"/>
      <c r="J152" s="684" t="s">
        <v>3889</v>
      </c>
      <c r="K152" s="684"/>
      <c r="L152" s="684" t="s">
        <v>3890</v>
      </c>
      <c r="M152" s="684"/>
      <c r="N152" s="684" t="s">
        <v>3891</v>
      </c>
      <c r="O152" s="684"/>
      <c r="P152" s="684" t="s">
        <v>3892</v>
      </c>
      <c r="Q152" s="684"/>
      <c r="R152" s="685" t="s">
        <v>3893</v>
      </c>
      <c r="S152" s="686"/>
      <c r="T152" s="687" t="s">
        <v>3894</v>
      </c>
      <c r="U152" s="686"/>
      <c r="V152" s="688" t="s">
        <v>3895</v>
      </c>
      <c r="W152" s="689" t="s">
        <v>3896</v>
      </c>
    </row>
    <row r="153" spans="2:27">
      <c r="B153" s="755"/>
      <c r="F153" s="710"/>
      <c r="G153" s="836" t="s">
        <v>3974</v>
      </c>
      <c r="H153" s="837"/>
      <c r="I153" s="730"/>
      <c r="J153" s="805"/>
      <c r="K153" s="805"/>
      <c r="L153" s="805"/>
      <c r="M153" s="805"/>
      <c r="N153" s="805"/>
      <c r="O153" s="807"/>
      <c r="P153" s="807"/>
      <c r="Q153" s="807"/>
      <c r="R153" s="806"/>
      <c r="S153" s="807"/>
      <c r="T153" s="794"/>
      <c r="U153" s="807"/>
      <c r="V153" s="808"/>
      <c r="W153" s="736"/>
    </row>
    <row r="154" spans="2:27">
      <c r="B154" s="755"/>
      <c r="F154" s="710"/>
      <c r="G154" s="729" t="s">
        <v>3941</v>
      </c>
      <c r="H154" s="730" t="s">
        <v>3969</v>
      </c>
      <c r="I154" s="730"/>
      <c r="J154" s="805"/>
      <c r="K154" s="805"/>
      <c r="L154" s="805"/>
      <c r="M154" s="805"/>
      <c r="N154" s="805"/>
      <c r="O154" s="807"/>
      <c r="P154" s="807"/>
      <c r="Q154" s="807"/>
      <c r="R154" s="806"/>
      <c r="S154" s="807"/>
      <c r="T154" s="794"/>
      <c r="U154" s="807"/>
      <c r="V154" s="808">
        <f>+T155</f>
        <v>17.6645</v>
      </c>
      <c r="W154" s="736" t="s">
        <v>375</v>
      </c>
    </row>
    <row r="155" spans="2:27">
      <c r="B155" s="759"/>
      <c r="F155" s="710"/>
      <c r="G155" s="729"/>
      <c r="H155" s="730"/>
      <c r="I155" s="730"/>
      <c r="J155" s="791">
        <v>0.35</v>
      </c>
      <c r="K155" s="791" t="s">
        <v>3922</v>
      </c>
      <c r="L155" s="791">
        <v>0.35</v>
      </c>
      <c r="M155" s="791" t="s">
        <v>3922</v>
      </c>
      <c r="N155" s="791">
        <f>3.5+1.65</f>
        <v>5.15</v>
      </c>
      <c r="O155" s="824" t="s">
        <v>3922</v>
      </c>
      <c r="P155" s="838">
        <v>28</v>
      </c>
      <c r="Q155" s="824"/>
      <c r="R155" s="792"/>
      <c r="S155" s="824" t="s">
        <v>3923</v>
      </c>
      <c r="T155" s="794">
        <f>J155*L155*N155*P155</f>
        <v>17.6645</v>
      </c>
      <c r="U155" s="807"/>
      <c r="V155" s="810"/>
      <c r="W155" s="736"/>
    </row>
    <row r="156" spans="2:27">
      <c r="B156" s="709"/>
      <c r="F156" s="710"/>
      <c r="G156" s="729"/>
      <c r="H156" s="730"/>
      <c r="I156" s="780"/>
      <c r="J156" s="791"/>
      <c r="K156" s="791"/>
      <c r="L156" s="791"/>
      <c r="M156" s="791"/>
      <c r="N156" s="791"/>
      <c r="O156" s="824"/>
      <c r="P156" s="824"/>
      <c r="Q156" s="824"/>
      <c r="R156" s="792"/>
      <c r="S156" s="824"/>
      <c r="T156" s="794"/>
      <c r="U156" s="807"/>
      <c r="V156" s="810"/>
      <c r="W156" s="736"/>
    </row>
    <row r="157" spans="2:27">
      <c r="B157" s="709"/>
      <c r="F157" s="710"/>
      <c r="G157" s="729" t="s">
        <v>3935</v>
      </c>
      <c r="H157" s="776" t="s">
        <v>3943</v>
      </c>
      <c r="I157" s="730"/>
      <c r="J157" s="805"/>
      <c r="K157" s="805"/>
      <c r="L157" s="805"/>
      <c r="M157" s="805"/>
      <c r="N157" s="805"/>
      <c r="O157" s="807"/>
      <c r="P157" s="807"/>
      <c r="Q157" s="807"/>
      <c r="R157" s="806"/>
      <c r="S157" s="807"/>
      <c r="T157" s="794"/>
      <c r="U157" s="807"/>
      <c r="V157" s="808">
        <f>+SUM(T159:T163)</f>
        <v>2836.9452631578952</v>
      </c>
      <c r="W157" s="736" t="s">
        <v>93</v>
      </c>
    </row>
    <row r="158" spans="2:27">
      <c r="B158" s="737"/>
      <c r="C158" s="738"/>
      <c r="D158" s="738"/>
      <c r="E158" s="738"/>
      <c r="F158" s="739"/>
      <c r="G158" s="729"/>
      <c r="H158" s="730"/>
      <c r="I158" s="730"/>
      <c r="J158" s="817" t="s">
        <v>3889</v>
      </c>
      <c r="K158" s="817"/>
      <c r="L158" s="817" t="s">
        <v>3892</v>
      </c>
      <c r="M158" s="791"/>
      <c r="N158" s="791"/>
      <c r="O158" s="824"/>
      <c r="P158" s="824"/>
      <c r="Q158" s="824"/>
      <c r="R158" s="792"/>
      <c r="S158" s="824"/>
      <c r="T158" s="794"/>
      <c r="U158" s="807"/>
      <c r="V158" s="810"/>
      <c r="W158" s="736"/>
      <c r="AA158" s="839"/>
    </row>
    <row r="159" spans="2:27">
      <c r="B159" s="760"/>
      <c r="C159" s="720"/>
      <c r="D159" s="720"/>
      <c r="E159" s="720"/>
      <c r="F159" s="721"/>
      <c r="G159" s="729"/>
      <c r="H159" s="730" t="s">
        <v>3970</v>
      </c>
      <c r="I159" s="730"/>
      <c r="J159" s="791">
        <f>+N155</f>
        <v>5.15</v>
      </c>
      <c r="K159" s="791" t="s">
        <v>3922</v>
      </c>
      <c r="L159" s="791">
        <v>8</v>
      </c>
      <c r="M159" s="791"/>
      <c r="N159" s="791"/>
      <c r="O159" s="824" t="s">
        <v>3922</v>
      </c>
      <c r="P159" s="824">
        <f>P155</f>
        <v>28</v>
      </c>
      <c r="Q159" s="824" t="s">
        <v>3922</v>
      </c>
      <c r="R159" s="792">
        <v>0.89</v>
      </c>
      <c r="S159" s="824" t="s">
        <v>3923</v>
      </c>
      <c r="T159" s="794">
        <f>J159*L159*P159*R159</f>
        <v>1026.7040000000002</v>
      </c>
      <c r="U159" s="807"/>
      <c r="V159" s="810"/>
      <c r="W159" s="736"/>
    </row>
    <row r="160" spans="2:27">
      <c r="B160" s="723"/>
      <c r="F160" s="710"/>
      <c r="G160" s="835"/>
      <c r="H160" s="741"/>
      <c r="I160" s="741"/>
      <c r="J160" s="817"/>
      <c r="K160" s="817"/>
      <c r="L160" s="817"/>
      <c r="M160" s="791"/>
      <c r="N160" s="791"/>
      <c r="O160" s="824"/>
      <c r="P160" s="824"/>
      <c r="Q160" s="824"/>
      <c r="R160" s="792"/>
      <c r="S160" s="824"/>
      <c r="T160" s="794"/>
      <c r="U160" s="807"/>
      <c r="V160" s="810"/>
      <c r="W160" s="704"/>
      <c r="AA160" s="839"/>
    </row>
    <row r="161" spans="2:23">
      <c r="B161" s="723"/>
      <c r="F161" s="710"/>
      <c r="G161" s="827" t="s">
        <v>3937</v>
      </c>
      <c r="H161" s="776" t="s">
        <v>3953</v>
      </c>
      <c r="I161" s="741"/>
      <c r="J161" s="817"/>
      <c r="K161" s="817"/>
      <c r="L161" s="817"/>
      <c r="M161" s="791"/>
      <c r="N161" s="791"/>
      <c r="O161" s="824"/>
      <c r="P161" s="824"/>
      <c r="Q161" s="824"/>
      <c r="R161" s="792"/>
      <c r="S161" s="824"/>
      <c r="T161" s="794"/>
      <c r="U161" s="807"/>
      <c r="V161" s="808"/>
      <c r="W161" s="704"/>
    </row>
    <row r="162" spans="2:23">
      <c r="B162" s="723"/>
      <c r="F162" s="710"/>
      <c r="G162" s="835"/>
      <c r="H162" s="741"/>
      <c r="I162" s="741"/>
      <c r="J162" s="817" t="s">
        <v>3951</v>
      </c>
      <c r="K162" s="817"/>
      <c r="L162" s="817" t="s">
        <v>3952</v>
      </c>
      <c r="M162" s="791"/>
      <c r="N162" s="791"/>
      <c r="O162" s="824"/>
      <c r="P162" s="824"/>
      <c r="Q162" s="824"/>
      <c r="R162" s="792"/>
      <c r="S162" s="824"/>
      <c r="T162" s="794"/>
      <c r="U162" s="807"/>
      <c r="V162" s="810"/>
      <c r="W162" s="704"/>
    </row>
    <row r="163" spans="2:23">
      <c r="B163" s="723"/>
      <c r="F163" s="710"/>
      <c r="G163" s="729"/>
      <c r="H163" s="730" t="s">
        <v>3970</v>
      </c>
      <c r="I163" s="730"/>
      <c r="J163" s="791">
        <f>0.31+0.31+0.31+0.31+0.05+0.05</f>
        <v>1.34</v>
      </c>
      <c r="K163" s="791" t="s">
        <v>3922</v>
      </c>
      <c r="L163" s="791">
        <f>+J159/0.095</f>
        <v>54.21052631578948</v>
      </c>
      <c r="M163" s="791"/>
      <c r="N163" s="791"/>
      <c r="O163" s="824" t="s">
        <v>3922</v>
      </c>
      <c r="P163" s="824">
        <f>P159</f>
        <v>28</v>
      </c>
      <c r="Q163" s="824" t="s">
        <v>3922</v>
      </c>
      <c r="R163" s="792">
        <f>+R159</f>
        <v>0.89</v>
      </c>
      <c r="S163" s="824" t="s">
        <v>3923</v>
      </c>
      <c r="T163" s="794">
        <f>J163*L163*P163*R163</f>
        <v>1810.241263157895</v>
      </c>
      <c r="U163" s="807"/>
      <c r="V163" s="810"/>
      <c r="W163" s="736"/>
    </row>
    <row r="164" spans="2:23">
      <c r="B164" s="709"/>
      <c r="F164" s="710"/>
      <c r="G164" s="827"/>
      <c r="H164" s="699"/>
      <c r="I164" s="699"/>
      <c r="J164" s="805"/>
      <c r="K164" s="805"/>
      <c r="L164" s="805"/>
      <c r="M164" s="805"/>
      <c r="N164" s="805"/>
      <c r="O164" s="807"/>
      <c r="P164" s="807"/>
      <c r="Q164" s="807"/>
      <c r="R164" s="806"/>
      <c r="S164" s="807"/>
      <c r="T164" s="794"/>
      <c r="U164" s="807"/>
      <c r="V164" s="808"/>
      <c r="W164" s="704"/>
    </row>
    <row r="165" spans="2:23">
      <c r="B165" s="709"/>
      <c r="F165" s="710"/>
      <c r="G165" s="827" t="s">
        <v>3940</v>
      </c>
      <c r="H165" s="699" t="s">
        <v>3954</v>
      </c>
      <c r="I165" s="699"/>
      <c r="J165" s="791"/>
      <c r="K165" s="791"/>
      <c r="L165" s="791"/>
      <c r="M165" s="791"/>
      <c r="N165" s="791"/>
      <c r="O165" s="824"/>
      <c r="P165" s="824"/>
      <c r="Q165" s="824"/>
      <c r="R165" s="792"/>
      <c r="S165" s="824"/>
      <c r="T165" s="794"/>
      <c r="U165" s="807"/>
      <c r="V165" s="808">
        <f>+T166</f>
        <v>201.88</v>
      </c>
      <c r="W165" s="704" t="s">
        <v>376</v>
      </c>
    </row>
    <row r="166" spans="2:23">
      <c r="B166" s="709"/>
      <c r="F166" s="710"/>
      <c r="G166" s="827"/>
      <c r="H166" s="699"/>
      <c r="I166" s="699"/>
      <c r="J166" s="791"/>
      <c r="K166" s="791"/>
      <c r="L166" s="791">
        <f>+L155</f>
        <v>0.35</v>
      </c>
      <c r="M166" s="791" t="s">
        <v>3922</v>
      </c>
      <c r="N166" s="791">
        <f>N155</f>
        <v>5.15</v>
      </c>
      <c r="O166" s="824" t="s">
        <v>3922</v>
      </c>
      <c r="P166" s="824">
        <f>+P155</f>
        <v>28</v>
      </c>
      <c r="Q166" s="824"/>
      <c r="R166" s="792"/>
      <c r="S166" s="824" t="s">
        <v>3923</v>
      </c>
      <c r="T166" s="794">
        <f>+(L166*4)*N166*P166</f>
        <v>201.88</v>
      </c>
      <c r="U166" s="807"/>
      <c r="V166" s="810"/>
      <c r="W166" s="704"/>
    </row>
    <row r="167" spans="2:23" ht="16" thickBot="1">
      <c r="B167" s="709"/>
      <c r="F167" s="710"/>
      <c r="G167" s="827"/>
      <c r="H167" s="699"/>
      <c r="I167" s="699"/>
      <c r="J167" s="791"/>
      <c r="K167" s="791"/>
      <c r="L167" s="791"/>
      <c r="M167" s="791"/>
      <c r="N167" s="791"/>
      <c r="O167" s="824"/>
      <c r="P167" s="824"/>
      <c r="Q167" s="824"/>
      <c r="R167" s="792"/>
      <c r="S167" s="824"/>
      <c r="T167" s="794"/>
      <c r="U167" s="807"/>
      <c r="V167" s="810"/>
      <c r="W167" s="704"/>
    </row>
    <row r="168" spans="2:23">
      <c r="B168" s="798" t="s">
        <v>3909</v>
      </c>
      <c r="C168" s="1771" t="s">
        <v>3975</v>
      </c>
      <c r="D168" s="1771"/>
      <c r="E168" s="1771"/>
      <c r="F168" s="1772"/>
      <c r="G168" s="1765" t="s">
        <v>3888</v>
      </c>
      <c r="H168" s="1766"/>
      <c r="I168" s="1766"/>
      <c r="J168" s="1766"/>
      <c r="K168" s="1766"/>
      <c r="L168" s="1766"/>
      <c r="M168" s="1766"/>
      <c r="N168" s="1766"/>
      <c r="O168" s="1766"/>
      <c r="P168" s="1766"/>
      <c r="Q168" s="1766"/>
      <c r="R168" s="1766"/>
      <c r="S168" s="1766"/>
      <c r="T168" s="1766"/>
      <c r="U168" s="1766"/>
      <c r="V168" s="1766"/>
      <c r="W168" s="1767"/>
    </row>
    <row r="169" spans="2:23" ht="16" thickBot="1">
      <c r="B169" s="709"/>
      <c r="F169" s="710"/>
      <c r="G169" s="722"/>
      <c r="H169" s="683"/>
      <c r="I169" s="683"/>
      <c r="J169" s="684" t="s">
        <v>3889</v>
      </c>
      <c r="K169" s="684"/>
      <c r="L169" s="684" t="s">
        <v>3890</v>
      </c>
      <c r="M169" s="684"/>
      <c r="N169" s="684" t="s">
        <v>3891</v>
      </c>
      <c r="O169" s="684"/>
      <c r="P169" s="684" t="s">
        <v>3892</v>
      </c>
      <c r="Q169" s="684"/>
      <c r="R169" s="685" t="s">
        <v>3893</v>
      </c>
      <c r="S169" s="686"/>
      <c r="T169" s="687" t="s">
        <v>3894</v>
      </c>
      <c r="U169" s="686"/>
      <c r="V169" s="688" t="s">
        <v>3895</v>
      </c>
      <c r="W169" s="689" t="s">
        <v>3896</v>
      </c>
    </row>
    <row r="170" spans="2:23">
      <c r="B170" s="709"/>
      <c r="G170" s="821"/>
      <c r="H170" s="692"/>
      <c r="I170" s="692"/>
      <c r="J170" s="828"/>
      <c r="K170" s="828"/>
      <c r="L170" s="828"/>
      <c r="M170" s="828"/>
      <c r="N170" s="828"/>
      <c r="O170" s="829"/>
      <c r="P170" s="829"/>
      <c r="Q170" s="829"/>
      <c r="R170" s="830"/>
      <c r="S170" s="829"/>
      <c r="T170" s="831"/>
      <c r="U170" s="832"/>
      <c r="V170" s="833"/>
      <c r="W170" s="697"/>
    </row>
    <row r="171" spans="2:23">
      <c r="B171" s="709"/>
      <c r="F171" s="710"/>
      <c r="G171" s="827" t="s">
        <v>3941</v>
      </c>
      <c r="H171" s="699" t="s">
        <v>3972</v>
      </c>
      <c r="I171" s="699"/>
      <c r="J171" s="805"/>
      <c r="K171" s="805"/>
      <c r="L171" s="805"/>
      <c r="M171" s="805"/>
      <c r="N171" s="805"/>
      <c r="O171" s="794"/>
      <c r="P171" s="794"/>
      <c r="Q171" s="794"/>
      <c r="R171" s="806"/>
      <c r="S171" s="793"/>
      <c r="T171" s="794"/>
      <c r="U171" s="807"/>
      <c r="V171" s="808">
        <f>+T172</f>
        <v>1.62</v>
      </c>
      <c r="W171" s="704" t="s">
        <v>375</v>
      </c>
    </row>
    <row r="172" spans="2:23">
      <c r="B172" s="1768"/>
      <c r="C172" s="1769"/>
      <c r="D172" s="1769"/>
      <c r="E172" s="1769"/>
      <c r="F172" s="1770"/>
      <c r="G172" s="827"/>
      <c r="H172" s="699"/>
      <c r="I172" s="699" t="s">
        <v>3956</v>
      </c>
      <c r="J172" s="791">
        <v>0.15</v>
      </c>
      <c r="K172" s="791" t="s">
        <v>3922</v>
      </c>
      <c r="L172" s="791">
        <v>0.15</v>
      </c>
      <c r="M172" s="791" t="s">
        <v>3922</v>
      </c>
      <c r="N172" s="791">
        <v>3.6</v>
      </c>
      <c r="O172" s="791" t="s">
        <v>3922</v>
      </c>
      <c r="P172" s="791">
        <v>20</v>
      </c>
      <c r="Q172" s="791"/>
      <c r="R172" s="792"/>
      <c r="S172" s="793" t="s">
        <v>3923</v>
      </c>
      <c r="T172" s="794">
        <f>+J172*L172*N172*P172</f>
        <v>1.62</v>
      </c>
      <c r="U172" s="807"/>
      <c r="V172" s="810"/>
      <c r="W172" s="704"/>
    </row>
    <row r="173" spans="2:23">
      <c r="B173" s="709"/>
      <c r="F173" s="710"/>
      <c r="G173" s="827"/>
      <c r="H173" s="699"/>
      <c r="I173" s="699"/>
      <c r="J173" s="791"/>
      <c r="K173" s="791"/>
      <c r="L173" s="791"/>
      <c r="M173" s="791"/>
      <c r="N173" s="791"/>
      <c r="O173" s="791"/>
      <c r="P173" s="791"/>
      <c r="Q173" s="791"/>
      <c r="R173" s="792"/>
      <c r="S173" s="793"/>
      <c r="T173" s="794"/>
      <c r="U173" s="824"/>
      <c r="V173" s="834"/>
      <c r="W173" s="704"/>
    </row>
    <row r="174" spans="2:23">
      <c r="B174" s="755"/>
      <c r="F174" s="710"/>
      <c r="G174" s="827" t="s">
        <v>3935</v>
      </c>
      <c r="H174" s="776" t="s">
        <v>3953</v>
      </c>
      <c r="I174" s="699"/>
      <c r="J174" s="791"/>
      <c r="K174" s="791"/>
      <c r="L174" s="791"/>
      <c r="M174" s="791"/>
      <c r="N174" s="791"/>
      <c r="O174" s="791"/>
      <c r="P174" s="791"/>
      <c r="Q174" s="791"/>
      <c r="R174" s="792"/>
      <c r="S174" s="793"/>
      <c r="T174" s="794"/>
      <c r="U174" s="824"/>
      <c r="V174" s="840">
        <f>+SUM(T176:T180)</f>
        <v>295.24800000000005</v>
      </c>
      <c r="W174" s="704" t="s">
        <v>93</v>
      </c>
    </row>
    <row r="175" spans="2:23">
      <c r="B175" s="759"/>
      <c r="F175" s="710"/>
      <c r="G175" s="827"/>
      <c r="H175" s="699"/>
      <c r="I175" s="699"/>
      <c r="J175" s="817" t="s">
        <v>3889</v>
      </c>
      <c r="K175" s="817"/>
      <c r="L175" s="817" t="s">
        <v>3892</v>
      </c>
      <c r="M175" s="791"/>
      <c r="N175" s="791"/>
      <c r="O175" s="791"/>
      <c r="P175" s="791"/>
      <c r="Q175" s="791"/>
      <c r="R175" s="792"/>
      <c r="S175" s="793"/>
      <c r="T175" s="794"/>
      <c r="U175" s="824"/>
      <c r="V175" s="834"/>
      <c r="W175" s="704"/>
    </row>
    <row r="176" spans="2:23">
      <c r="B176" s="709"/>
      <c r="F176" s="710"/>
      <c r="G176" s="827"/>
      <c r="H176" s="730" t="s">
        <v>3947</v>
      </c>
      <c r="I176" s="699" t="s">
        <v>3957</v>
      </c>
      <c r="J176" s="791">
        <f>+N172</f>
        <v>3.6</v>
      </c>
      <c r="K176" s="791" t="s">
        <v>3922</v>
      </c>
      <c r="L176" s="791">
        <v>4</v>
      </c>
      <c r="M176" s="791"/>
      <c r="N176" s="791"/>
      <c r="O176" s="791" t="s">
        <v>3922</v>
      </c>
      <c r="P176" s="791">
        <f>P172</f>
        <v>20</v>
      </c>
      <c r="Q176" s="791" t="s">
        <v>3922</v>
      </c>
      <c r="R176" s="792">
        <v>0.61699999999999999</v>
      </c>
      <c r="S176" s="791" t="s">
        <v>3923</v>
      </c>
      <c r="T176" s="841">
        <f>J176*L176*P176*R176</f>
        <v>177.696</v>
      </c>
      <c r="U176" s="824"/>
      <c r="V176" s="841"/>
      <c r="W176" s="704"/>
    </row>
    <row r="177" spans="2:23">
      <c r="B177" s="709"/>
      <c r="F177" s="710"/>
      <c r="G177" s="827"/>
      <c r="H177" s="730"/>
      <c r="I177" s="699"/>
      <c r="J177" s="805"/>
      <c r="K177" s="805"/>
      <c r="L177" s="805"/>
      <c r="M177" s="805"/>
      <c r="N177" s="842"/>
      <c r="O177" s="794"/>
      <c r="P177" s="794"/>
      <c r="Q177" s="794"/>
      <c r="R177" s="806"/>
      <c r="S177" s="793"/>
      <c r="T177" s="843"/>
      <c r="U177" s="824"/>
      <c r="V177" s="841"/>
      <c r="W177" s="704"/>
    </row>
    <row r="178" spans="2:23">
      <c r="B178" s="709"/>
      <c r="F178" s="710"/>
      <c r="G178" s="827" t="s">
        <v>3937</v>
      </c>
      <c r="H178" s="776" t="s">
        <v>3953</v>
      </c>
      <c r="I178" s="699"/>
      <c r="J178" s="805"/>
      <c r="K178" s="805"/>
      <c r="L178" s="805"/>
      <c r="M178" s="805"/>
      <c r="N178" s="842"/>
      <c r="O178" s="794"/>
      <c r="P178" s="794"/>
      <c r="Q178" s="794"/>
      <c r="R178" s="806"/>
      <c r="S178" s="793"/>
      <c r="T178" s="843"/>
      <c r="U178" s="824"/>
      <c r="W178" s="704"/>
    </row>
    <row r="179" spans="2:23">
      <c r="B179" s="755"/>
      <c r="F179" s="710"/>
      <c r="G179" s="827"/>
      <c r="H179" s="730"/>
      <c r="I179" s="699"/>
      <c r="J179" s="817" t="s">
        <v>3951</v>
      </c>
      <c r="K179" s="817"/>
      <c r="L179" s="817" t="s">
        <v>3952</v>
      </c>
      <c r="M179" s="805"/>
      <c r="N179" s="842"/>
      <c r="O179" s="791"/>
      <c r="P179" s="791"/>
      <c r="Q179" s="791"/>
      <c r="R179" s="792"/>
      <c r="S179" s="793"/>
      <c r="T179" s="794"/>
      <c r="U179" s="844"/>
      <c r="V179" s="840"/>
      <c r="W179" s="704"/>
    </row>
    <row r="180" spans="2:23">
      <c r="B180" s="759"/>
      <c r="F180" s="710"/>
      <c r="G180" s="827"/>
      <c r="H180" s="730" t="s">
        <v>3949</v>
      </c>
      <c r="I180" s="699" t="s">
        <v>3957</v>
      </c>
      <c r="J180" s="791">
        <f>0.13+0.13+0.13+0.13+0.05+0.05</f>
        <v>0.62000000000000011</v>
      </c>
      <c r="K180" s="791" t="s">
        <v>3922</v>
      </c>
      <c r="L180" s="805">
        <f>+J176/0.15</f>
        <v>24</v>
      </c>
      <c r="M180" s="805"/>
      <c r="N180" s="842"/>
      <c r="O180" s="791" t="s">
        <v>3922</v>
      </c>
      <c r="P180" s="791">
        <f>P176</f>
        <v>20</v>
      </c>
      <c r="Q180" s="791" t="s">
        <v>3922</v>
      </c>
      <c r="R180" s="792">
        <v>0.39500000000000002</v>
      </c>
      <c r="S180" s="793" t="s">
        <v>3923</v>
      </c>
      <c r="T180" s="794">
        <f>J180*L180*P180*R180</f>
        <v>117.55200000000002</v>
      </c>
      <c r="U180" s="845"/>
      <c r="V180" s="846"/>
      <c r="W180" s="704"/>
    </row>
    <row r="181" spans="2:23">
      <c r="B181" s="709"/>
      <c r="F181" s="710"/>
      <c r="G181" s="827"/>
      <c r="H181" s="699"/>
      <c r="I181" s="699"/>
      <c r="J181" s="791"/>
      <c r="K181" s="791"/>
      <c r="L181" s="791"/>
      <c r="M181" s="791"/>
      <c r="N181" s="842"/>
      <c r="O181" s="791"/>
      <c r="P181" s="791"/>
      <c r="Q181" s="791"/>
      <c r="R181" s="792"/>
      <c r="S181" s="793"/>
      <c r="T181" s="794"/>
      <c r="U181" s="847"/>
      <c r="V181" s="848"/>
      <c r="W181" s="704"/>
    </row>
    <row r="182" spans="2:23">
      <c r="B182" s="755"/>
      <c r="F182" s="710"/>
      <c r="G182" s="827" t="s">
        <v>3940</v>
      </c>
      <c r="H182" s="730" t="s">
        <v>3976</v>
      </c>
      <c r="I182" s="730"/>
      <c r="J182" s="791"/>
      <c r="K182" s="791"/>
      <c r="L182" s="791"/>
      <c r="M182" s="791"/>
      <c r="N182" s="842"/>
      <c r="O182" s="791"/>
      <c r="P182" s="791"/>
      <c r="Q182" s="791"/>
      <c r="R182" s="792"/>
      <c r="S182" s="793"/>
      <c r="T182" s="794"/>
      <c r="U182" s="807"/>
      <c r="V182" s="808">
        <f>+SUM(T183:T183)</f>
        <v>43.2</v>
      </c>
      <c r="W182" s="736" t="s">
        <v>376</v>
      </c>
    </row>
    <row r="183" spans="2:23">
      <c r="B183" s="759"/>
      <c r="F183" s="710"/>
      <c r="G183" s="827"/>
      <c r="H183" s="730"/>
      <c r="I183" s="699" t="s">
        <v>3957</v>
      </c>
      <c r="J183" s="791"/>
      <c r="K183" s="791"/>
      <c r="L183" s="791">
        <f>+J172</f>
        <v>0.15</v>
      </c>
      <c r="M183" s="791" t="s">
        <v>3922</v>
      </c>
      <c r="N183" s="805">
        <f>N172</f>
        <v>3.6</v>
      </c>
      <c r="O183" s="791" t="s">
        <v>3922</v>
      </c>
      <c r="P183" s="791">
        <f>+P180</f>
        <v>20</v>
      </c>
      <c r="Q183" s="791"/>
      <c r="R183" s="792"/>
      <c r="S183" s="793" t="s">
        <v>3923</v>
      </c>
      <c r="T183" s="794">
        <f>+(L183*4)*N183*P183</f>
        <v>43.2</v>
      </c>
      <c r="U183" s="807"/>
      <c r="V183" s="810"/>
      <c r="W183" s="736"/>
    </row>
    <row r="184" spans="2:23">
      <c r="B184" s="723"/>
      <c r="C184" s="720"/>
      <c r="D184" s="720"/>
      <c r="E184" s="720"/>
      <c r="F184" s="721"/>
      <c r="G184" s="827"/>
      <c r="H184" s="699"/>
      <c r="I184" s="699"/>
      <c r="J184" s="791"/>
      <c r="K184" s="791"/>
      <c r="L184" s="791"/>
      <c r="M184" s="791"/>
      <c r="N184" s="842"/>
      <c r="O184" s="791"/>
      <c r="P184" s="791"/>
      <c r="Q184" s="791"/>
      <c r="R184" s="792"/>
      <c r="S184" s="793"/>
      <c r="T184" s="794"/>
      <c r="U184" s="807"/>
      <c r="V184" s="810"/>
      <c r="W184" s="704"/>
    </row>
    <row r="185" spans="2:23" ht="16" thickBot="1">
      <c r="B185" s="763"/>
      <c r="C185" s="744"/>
      <c r="D185" s="744"/>
      <c r="E185" s="744"/>
      <c r="F185" s="745"/>
      <c r="G185" s="818"/>
      <c r="H185" s="819"/>
      <c r="I185" s="819"/>
      <c r="J185" s="819"/>
      <c r="K185" s="819"/>
      <c r="L185" s="819"/>
      <c r="M185" s="750"/>
      <c r="N185" s="751"/>
      <c r="O185" s="751"/>
      <c r="P185" s="751"/>
      <c r="Q185" s="751"/>
      <c r="R185" s="752"/>
      <c r="S185" s="751"/>
      <c r="T185" s="751"/>
      <c r="U185" s="751"/>
      <c r="V185" s="767"/>
      <c r="W185" s="754"/>
    </row>
    <row r="186" spans="2:23" ht="16" thickTop="1">
      <c r="B186" s="787" t="s">
        <v>3955</v>
      </c>
      <c r="C186" s="788" t="s">
        <v>3980</v>
      </c>
      <c r="D186" s="788"/>
      <c r="E186" s="788"/>
      <c r="F186" s="788"/>
      <c r="G186" s="1765" t="s">
        <v>3888</v>
      </c>
      <c r="H186" s="1766"/>
      <c r="I186" s="1766"/>
      <c r="J186" s="1766"/>
      <c r="K186" s="1766"/>
      <c r="L186" s="1766"/>
      <c r="M186" s="1766"/>
      <c r="N186" s="1766"/>
      <c r="O186" s="1766"/>
      <c r="P186" s="1766"/>
      <c r="Q186" s="1766"/>
      <c r="R186" s="1766"/>
      <c r="S186" s="1766"/>
      <c r="T186" s="1766"/>
      <c r="U186" s="1766"/>
      <c r="V186" s="1766"/>
      <c r="W186" s="1767"/>
    </row>
    <row r="187" spans="2:23" ht="16" thickBot="1">
      <c r="B187" s="1768"/>
      <c r="C187" s="1769"/>
      <c r="D187" s="1769"/>
      <c r="E187" s="1769"/>
      <c r="F187" s="1769"/>
      <c r="G187" s="722"/>
      <c r="H187" s="683"/>
      <c r="I187" s="683"/>
      <c r="J187" s="684" t="s">
        <v>3889</v>
      </c>
      <c r="K187" s="684"/>
      <c r="L187" s="684" t="s">
        <v>3890</v>
      </c>
      <c r="M187" s="684"/>
      <c r="N187" s="684" t="s">
        <v>3891</v>
      </c>
      <c r="O187" s="684"/>
      <c r="P187" s="684" t="s">
        <v>3892</v>
      </c>
      <c r="Q187" s="684"/>
      <c r="R187" s="685" t="s">
        <v>3893</v>
      </c>
      <c r="S187" s="686"/>
      <c r="T187" s="687" t="s">
        <v>3894</v>
      </c>
      <c r="U187" s="686"/>
      <c r="V187" s="688" t="s">
        <v>3895</v>
      </c>
      <c r="W187" s="689" t="s">
        <v>3896</v>
      </c>
    </row>
    <row r="188" spans="2:23">
      <c r="B188" s="1768"/>
      <c r="C188" s="1769"/>
      <c r="D188" s="1769"/>
      <c r="E188" s="1769"/>
      <c r="F188" s="1769"/>
      <c r="G188" s="821"/>
      <c r="H188" s="692"/>
      <c r="I188" s="692"/>
      <c r="J188" s="828"/>
      <c r="K188" s="828"/>
      <c r="L188" s="828"/>
      <c r="M188" s="828"/>
      <c r="N188" s="828"/>
      <c r="O188" s="829"/>
      <c r="P188" s="829"/>
      <c r="Q188" s="829"/>
      <c r="R188" s="830"/>
      <c r="S188" s="829"/>
      <c r="T188" s="849"/>
      <c r="U188" s="850"/>
      <c r="V188" s="851"/>
      <c r="W188" s="697"/>
    </row>
    <row r="189" spans="2:23">
      <c r="B189" s="770"/>
      <c r="C189" s="771"/>
      <c r="D189" s="771"/>
      <c r="E189" s="771"/>
      <c r="F189" s="771"/>
      <c r="G189" s="827" t="s">
        <v>3941</v>
      </c>
      <c r="H189" s="699" t="s">
        <v>3942</v>
      </c>
      <c r="I189" s="699"/>
      <c r="J189" s="791"/>
      <c r="K189" s="791"/>
      <c r="L189" s="791"/>
      <c r="M189" s="791"/>
      <c r="N189" s="791"/>
      <c r="O189" s="824"/>
      <c r="P189" s="824"/>
      <c r="Q189" s="824"/>
      <c r="R189" s="792"/>
      <c r="S189" s="824"/>
      <c r="T189" s="794"/>
      <c r="U189" s="807"/>
      <c r="V189" s="808">
        <f>+T190</f>
        <v>20.64</v>
      </c>
      <c r="W189" s="704" t="s">
        <v>375</v>
      </c>
    </row>
    <row r="190" spans="2:23">
      <c r="B190" s="770"/>
      <c r="C190" s="771"/>
      <c r="D190" s="771"/>
      <c r="E190" s="771"/>
      <c r="F190" s="771"/>
      <c r="G190" s="827"/>
      <c r="H190" s="699"/>
      <c r="I190" s="699"/>
      <c r="J190" s="791">
        <f>+(26.4*4)+(14.4*7)</f>
        <v>206.39999999999998</v>
      </c>
      <c r="K190" s="791" t="s">
        <v>3922</v>
      </c>
      <c r="L190" s="791">
        <v>0.25</v>
      </c>
      <c r="M190" s="791" t="s">
        <v>3922</v>
      </c>
      <c r="N190" s="852">
        <v>0.4</v>
      </c>
      <c r="O190" s="824" t="s">
        <v>3922</v>
      </c>
      <c r="P190" s="852">
        <v>1</v>
      </c>
      <c r="Q190" s="699"/>
      <c r="R190" s="853"/>
      <c r="S190" s="824" t="s">
        <v>3923</v>
      </c>
      <c r="T190" s="794">
        <f>J190*L190*N190*P190</f>
        <v>20.64</v>
      </c>
      <c r="U190" s="807"/>
      <c r="V190" s="810"/>
      <c r="W190" s="704"/>
    </row>
    <row r="191" spans="2:23">
      <c r="B191" s="709"/>
      <c r="G191" s="854"/>
      <c r="H191" s="855"/>
      <c r="I191" s="855"/>
      <c r="J191" s="777"/>
      <c r="K191" s="777"/>
      <c r="L191" s="777"/>
      <c r="M191" s="777"/>
      <c r="N191" s="777"/>
      <c r="O191" s="825"/>
      <c r="P191" s="825"/>
      <c r="Q191" s="825"/>
      <c r="R191" s="778"/>
      <c r="S191" s="825"/>
      <c r="T191" s="826"/>
      <c r="U191" s="807"/>
      <c r="V191" s="810"/>
      <c r="W191" s="704"/>
    </row>
    <row r="192" spans="2:23">
      <c r="B192" s="709"/>
      <c r="F192" s="710"/>
      <c r="G192" s="827"/>
      <c r="H192" s="699"/>
      <c r="I192" s="699"/>
      <c r="J192" s="701"/>
      <c r="K192" s="701"/>
      <c r="L192" s="701"/>
      <c r="M192" s="701"/>
      <c r="N192" s="701"/>
      <c r="O192" s="701"/>
      <c r="P192" s="701"/>
      <c r="Q192" s="701"/>
      <c r="R192" s="702"/>
      <c r="S192" s="701"/>
      <c r="T192" s="701"/>
      <c r="U192" s="701"/>
      <c r="V192" s="742"/>
      <c r="W192" s="704"/>
    </row>
    <row r="193" spans="2:23">
      <c r="B193" s="755"/>
      <c r="F193" s="710"/>
      <c r="G193" s="827" t="s">
        <v>3935</v>
      </c>
      <c r="H193" s="776" t="s">
        <v>3943</v>
      </c>
      <c r="I193" s="699"/>
      <c r="J193" s="805"/>
      <c r="K193" s="805"/>
      <c r="L193" s="805"/>
      <c r="M193" s="805"/>
      <c r="N193" s="805"/>
      <c r="O193" s="807"/>
      <c r="P193" s="807"/>
      <c r="Q193" s="807"/>
      <c r="R193" s="806"/>
      <c r="S193" s="807"/>
      <c r="T193" s="794"/>
      <c r="U193" s="807"/>
      <c r="V193" s="808">
        <f>+SUM(T195:T201)</f>
        <v>3093.9735272727276</v>
      </c>
      <c r="W193" s="704" t="s">
        <v>93</v>
      </c>
    </row>
    <row r="194" spans="2:23">
      <c r="B194" s="759"/>
      <c r="F194" s="710"/>
      <c r="G194" s="729"/>
      <c r="H194" s="730"/>
      <c r="I194" s="730"/>
      <c r="J194" s="817" t="s">
        <v>3889</v>
      </c>
      <c r="K194" s="817"/>
      <c r="L194" s="817" t="s">
        <v>3892</v>
      </c>
      <c r="M194" s="791"/>
      <c r="N194" s="791"/>
      <c r="O194" s="824"/>
      <c r="P194" s="824"/>
      <c r="Q194" s="824"/>
      <c r="R194" s="792"/>
      <c r="S194" s="824"/>
      <c r="T194" s="794"/>
      <c r="U194" s="807"/>
      <c r="V194" s="810"/>
      <c r="W194" s="736"/>
    </row>
    <row r="195" spans="2:23">
      <c r="B195" s="709"/>
      <c r="F195" s="710"/>
      <c r="G195" s="729"/>
      <c r="H195" s="730" t="s">
        <v>3977</v>
      </c>
      <c r="I195" s="730"/>
      <c r="J195" s="791">
        <f>J190</f>
        <v>206.39999999999998</v>
      </c>
      <c r="K195" s="791" t="s">
        <v>3922</v>
      </c>
      <c r="L195" s="791">
        <v>3</v>
      </c>
      <c r="M195" s="791"/>
      <c r="N195" s="791"/>
      <c r="O195" s="824" t="s">
        <v>3922</v>
      </c>
      <c r="P195" s="824">
        <v>1</v>
      </c>
      <c r="Q195" s="824" t="s">
        <v>3922</v>
      </c>
      <c r="R195" s="792">
        <v>1.04</v>
      </c>
      <c r="S195" s="824" t="s">
        <v>3923</v>
      </c>
      <c r="T195" s="794">
        <f>J195*L195*P195*R195</f>
        <v>643.96799999999996</v>
      </c>
      <c r="U195" s="807"/>
      <c r="V195" s="810"/>
      <c r="W195" s="704"/>
    </row>
    <row r="196" spans="2:23">
      <c r="B196" s="709"/>
      <c r="F196" s="710"/>
      <c r="G196" s="729"/>
      <c r="H196" s="730" t="s">
        <v>3978</v>
      </c>
      <c r="I196" s="730"/>
      <c r="J196" s="791">
        <f>J195</f>
        <v>206.39999999999998</v>
      </c>
      <c r="K196" s="791" t="s">
        <v>3922</v>
      </c>
      <c r="L196" s="791">
        <v>2</v>
      </c>
      <c r="M196" s="791"/>
      <c r="N196" s="791"/>
      <c r="O196" s="824" t="s">
        <v>3922</v>
      </c>
      <c r="P196" s="824">
        <v>1</v>
      </c>
      <c r="Q196" s="824" t="s">
        <v>3922</v>
      </c>
      <c r="R196" s="792">
        <v>0.61699999999999999</v>
      </c>
      <c r="S196" s="824" t="s">
        <v>3923</v>
      </c>
      <c r="T196" s="794">
        <f>J196*L196*P196*R196</f>
        <v>254.69759999999997</v>
      </c>
      <c r="U196" s="807"/>
      <c r="V196" s="810"/>
      <c r="W196" s="704"/>
    </row>
    <row r="197" spans="2:23">
      <c r="B197" s="709"/>
      <c r="F197" s="710"/>
      <c r="G197" s="729"/>
      <c r="H197" s="730" t="s">
        <v>3977</v>
      </c>
      <c r="I197" s="730"/>
      <c r="J197" s="791">
        <f>J196</f>
        <v>206.39999999999998</v>
      </c>
      <c r="K197" s="791" t="s">
        <v>3922</v>
      </c>
      <c r="L197" s="791">
        <v>3</v>
      </c>
      <c r="M197" s="791"/>
      <c r="N197" s="791"/>
      <c r="O197" s="824" t="s">
        <v>3922</v>
      </c>
      <c r="P197" s="824">
        <v>1</v>
      </c>
      <c r="Q197" s="824" t="s">
        <v>3922</v>
      </c>
      <c r="R197" s="792">
        <f>+R195</f>
        <v>1.04</v>
      </c>
      <c r="S197" s="824" t="s">
        <v>3923</v>
      </c>
      <c r="T197" s="794">
        <f>J197*L197*P197*R197</f>
        <v>643.96799999999996</v>
      </c>
      <c r="U197" s="807"/>
      <c r="V197" s="810"/>
      <c r="W197" s="704"/>
    </row>
    <row r="198" spans="2:23">
      <c r="B198" s="709"/>
      <c r="F198" s="710"/>
      <c r="G198" s="729"/>
      <c r="H198" s="730"/>
      <c r="I198" s="780"/>
      <c r="J198" s="791"/>
      <c r="K198" s="791"/>
      <c r="L198" s="791"/>
      <c r="M198" s="791"/>
      <c r="N198" s="791"/>
      <c r="O198" s="824"/>
      <c r="P198" s="824"/>
      <c r="Q198" s="824"/>
      <c r="R198" s="792"/>
      <c r="S198" s="824"/>
      <c r="T198" s="794"/>
      <c r="U198" s="807"/>
      <c r="V198" s="810"/>
      <c r="W198" s="736"/>
    </row>
    <row r="199" spans="2:23">
      <c r="B199" s="755"/>
      <c r="F199" s="710"/>
      <c r="G199" s="729" t="s">
        <v>3937</v>
      </c>
      <c r="H199" s="776" t="s">
        <v>3953</v>
      </c>
      <c r="I199" s="730"/>
      <c r="J199" s="701"/>
      <c r="K199" s="701"/>
      <c r="L199" s="701"/>
      <c r="M199" s="701"/>
      <c r="N199" s="701"/>
      <c r="O199" s="701"/>
      <c r="P199" s="701"/>
      <c r="Q199" s="701"/>
      <c r="R199" s="702"/>
      <c r="S199" s="701"/>
      <c r="T199" s="701"/>
      <c r="U199" s="807"/>
      <c r="V199" s="808"/>
      <c r="W199" s="736"/>
    </row>
    <row r="200" spans="2:23">
      <c r="B200" s="759"/>
      <c r="F200" s="710"/>
      <c r="G200" s="729"/>
      <c r="H200" s="730"/>
      <c r="I200" s="730"/>
      <c r="J200" s="817" t="s">
        <v>3951</v>
      </c>
      <c r="K200" s="817"/>
      <c r="L200" s="817" t="s">
        <v>3952</v>
      </c>
      <c r="M200" s="791"/>
      <c r="N200" s="791"/>
      <c r="O200" s="824"/>
      <c r="P200" s="824"/>
      <c r="Q200" s="824"/>
      <c r="R200" s="792"/>
      <c r="S200" s="824"/>
      <c r="T200" s="794"/>
      <c r="U200" s="807"/>
      <c r="V200" s="810"/>
      <c r="W200" s="736"/>
    </row>
    <row r="201" spans="2:23">
      <c r="B201" s="723"/>
      <c r="C201" s="720"/>
      <c r="D201" s="720"/>
      <c r="E201" s="720"/>
      <c r="F201" s="721"/>
      <c r="G201" s="729"/>
      <c r="H201" s="730" t="s">
        <v>3947</v>
      </c>
      <c r="I201" s="730"/>
      <c r="J201" s="791">
        <f>0.21+0.21+0.41+0.41+0.05+0.05</f>
        <v>1.34</v>
      </c>
      <c r="K201" s="791" t="s">
        <v>3922</v>
      </c>
      <c r="L201" s="791">
        <f>+J190/0.11</f>
        <v>1876.3636363636363</v>
      </c>
      <c r="M201" s="791"/>
      <c r="N201" s="791"/>
      <c r="O201" s="824" t="s">
        <v>3922</v>
      </c>
      <c r="P201" s="824">
        <v>1</v>
      </c>
      <c r="Q201" s="824" t="s">
        <v>3922</v>
      </c>
      <c r="R201" s="792">
        <f>+R176</f>
        <v>0.61699999999999999</v>
      </c>
      <c r="S201" s="824" t="s">
        <v>3923</v>
      </c>
      <c r="T201" s="794">
        <f>J201*L201*P201*R201</f>
        <v>1551.3399272727274</v>
      </c>
      <c r="U201" s="807"/>
      <c r="V201" s="810"/>
      <c r="W201" s="736"/>
    </row>
    <row r="202" spans="2:23">
      <c r="B202" s="723"/>
      <c r="C202" s="720"/>
      <c r="D202" s="720"/>
      <c r="E202" s="720"/>
      <c r="F202" s="721"/>
      <c r="G202" s="835"/>
      <c r="H202" s="741"/>
      <c r="I202" s="741"/>
      <c r="J202" s="805"/>
      <c r="K202" s="805"/>
      <c r="L202" s="791"/>
      <c r="M202" s="805"/>
      <c r="N202" s="807"/>
      <c r="O202" s="807"/>
      <c r="Q202" s="807"/>
      <c r="R202" s="806"/>
      <c r="S202" s="807"/>
      <c r="T202" s="794"/>
      <c r="U202" s="807"/>
      <c r="V202" s="810"/>
      <c r="W202" s="704"/>
    </row>
    <row r="203" spans="2:23">
      <c r="B203" s="723"/>
      <c r="C203" s="720"/>
      <c r="D203" s="720"/>
      <c r="E203" s="720"/>
      <c r="F203" s="721"/>
      <c r="G203" s="827" t="s">
        <v>3940</v>
      </c>
      <c r="H203" s="699" t="s">
        <v>3979</v>
      </c>
      <c r="I203" s="699"/>
      <c r="J203" s="791"/>
      <c r="K203" s="791"/>
      <c r="L203" s="791"/>
      <c r="M203" s="791"/>
      <c r="N203" s="791"/>
      <c r="O203" s="824"/>
      <c r="P203" s="824"/>
      <c r="Q203" s="824"/>
      <c r="R203" s="792"/>
      <c r="S203" s="824"/>
      <c r="T203" s="794"/>
      <c r="U203" s="807"/>
      <c r="V203" s="808">
        <f>SUM(T204:T205)</f>
        <v>216.72</v>
      </c>
      <c r="W203" s="704" t="s">
        <v>376</v>
      </c>
    </row>
    <row r="204" spans="2:23">
      <c r="B204" s="709"/>
      <c r="F204" s="710"/>
      <c r="G204" s="827"/>
      <c r="H204" s="699"/>
      <c r="I204" s="699"/>
      <c r="J204" s="791">
        <f>J190</f>
        <v>206.39999999999998</v>
      </c>
      <c r="K204" s="791"/>
      <c r="L204" s="791"/>
      <c r="M204" s="791" t="s">
        <v>3922</v>
      </c>
      <c r="N204" s="791">
        <f>+N190</f>
        <v>0.4</v>
      </c>
      <c r="O204" s="824" t="s">
        <v>3922</v>
      </c>
      <c r="P204" s="824">
        <v>2</v>
      </c>
      <c r="Q204" s="824"/>
      <c r="R204" s="792"/>
      <c r="S204" s="824" t="s">
        <v>3923</v>
      </c>
      <c r="T204" s="794">
        <f>J204*N204*P204</f>
        <v>165.12</v>
      </c>
      <c r="U204" s="701"/>
      <c r="V204" s="742"/>
      <c r="W204" s="704"/>
    </row>
    <row r="205" spans="2:23">
      <c r="B205" s="709"/>
      <c r="F205" s="710"/>
      <c r="G205" s="827"/>
      <c r="H205" s="699"/>
      <c r="I205" s="699"/>
      <c r="J205" s="791">
        <f>J204</f>
        <v>206.39999999999998</v>
      </c>
      <c r="K205" s="791"/>
      <c r="L205" s="791"/>
      <c r="M205" s="791" t="s">
        <v>3922</v>
      </c>
      <c r="N205" s="791">
        <f>+L190</f>
        <v>0.25</v>
      </c>
      <c r="O205" s="824" t="s">
        <v>3922</v>
      </c>
      <c r="P205" s="824">
        <v>1</v>
      </c>
      <c r="Q205" s="824"/>
      <c r="R205" s="792"/>
      <c r="S205" s="824" t="s">
        <v>3923</v>
      </c>
      <c r="T205" s="794">
        <f>J205*N205*P205</f>
        <v>51.599999999999994</v>
      </c>
      <c r="U205" s="701"/>
      <c r="V205" s="742"/>
      <c r="W205" s="704"/>
    </row>
    <row r="206" spans="2:23">
      <c r="B206" s="709"/>
      <c r="F206" s="710"/>
      <c r="G206" s="827"/>
      <c r="H206" s="699"/>
      <c r="I206" s="699"/>
      <c r="J206" s="701"/>
      <c r="K206" s="701"/>
      <c r="L206" s="701"/>
      <c r="M206" s="701"/>
      <c r="N206" s="701"/>
      <c r="O206" s="701"/>
      <c r="P206" s="701"/>
      <c r="Q206" s="701"/>
      <c r="R206" s="702"/>
      <c r="S206" s="701"/>
      <c r="T206" s="701"/>
      <c r="U206" s="701"/>
      <c r="V206" s="742"/>
      <c r="W206" s="704"/>
    </row>
    <row r="207" spans="2:23" ht="16" thickBot="1">
      <c r="B207" s="763"/>
      <c r="C207" s="744"/>
      <c r="D207" s="744"/>
      <c r="E207" s="744"/>
      <c r="F207" s="745"/>
      <c r="G207" s="818"/>
      <c r="H207" s="819"/>
      <c r="I207" s="819"/>
      <c r="J207" s="819"/>
      <c r="K207" s="819"/>
      <c r="L207" s="819"/>
      <c r="M207" s="750"/>
      <c r="N207" s="748"/>
      <c r="O207" s="748"/>
      <c r="P207" s="748"/>
      <c r="Q207" s="748"/>
      <c r="R207" s="752"/>
      <c r="S207" s="748"/>
      <c r="T207" s="748"/>
      <c r="U207" s="748"/>
      <c r="V207" s="767"/>
      <c r="W207" s="768"/>
    </row>
    <row r="208" spans="2:23" ht="16" thickTop="1">
      <c r="B208" s="787" t="s">
        <v>3959</v>
      </c>
      <c r="C208" s="788" t="s">
        <v>3981</v>
      </c>
      <c r="D208" s="788"/>
      <c r="E208" s="788"/>
      <c r="F208" s="788"/>
      <c r="G208" s="1765" t="s">
        <v>3888</v>
      </c>
      <c r="H208" s="1766"/>
      <c r="I208" s="1766"/>
      <c r="J208" s="1766"/>
      <c r="K208" s="1766"/>
      <c r="L208" s="1766"/>
      <c r="M208" s="1766"/>
      <c r="N208" s="1766"/>
      <c r="O208" s="1766"/>
      <c r="P208" s="1766"/>
      <c r="Q208" s="1766"/>
      <c r="R208" s="1766"/>
      <c r="S208" s="1766"/>
      <c r="T208" s="1766"/>
      <c r="U208" s="1766"/>
      <c r="V208" s="1766"/>
      <c r="W208" s="1767"/>
    </row>
    <row r="209" spans="2:23" ht="16" thickBot="1">
      <c r="B209" s="1768"/>
      <c r="C209" s="1769"/>
      <c r="D209" s="1769"/>
      <c r="E209" s="1769"/>
      <c r="F209" s="1769"/>
      <c r="G209" s="722"/>
      <c r="H209" s="683"/>
      <c r="I209" s="683"/>
      <c r="J209" s="684" t="s">
        <v>3889</v>
      </c>
      <c r="K209" s="684"/>
      <c r="L209" s="684" t="s">
        <v>3890</v>
      </c>
      <c r="M209" s="684"/>
      <c r="N209" s="684" t="s">
        <v>3891</v>
      </c>
      <c r="O209" s="684"/>
      <c r="P209" s="684" t="s">
        <v>3892</v>
      </c>
      <c r="Q209" s="684"/>
      <c r="R209" s="685" t="s">
        <v>3893</v>
      </c>
      <c r="S209" s="686"/>
      <c r="T209" s="687" t="s">
        <v>3894</v>
      </c>
      <c r="U209" s="686"/>
      <c r="V209" s="688" t="s">
        <v>3895</v>
      </c>
      <c r="W209" s="689" t="s">
        <v>3896</v>
      </c>
    </row>
    <row r="210" spans="2:23">
      <c r="B210" s="1768"/>
      <c r="C210" s="1769"/>
      <c r="D210" s="1769"/>
      <c r="E210" s="1769"/>
      <c r="F210" s="1769"/>
      <c r="G210" s="821"/>
      <c r="H210" s="692"/>
      <c r="I210" s="692"/>
      <c r="J210" s="828"/>
      <c r="K210" s="828"/>
      <c r="L210" s="828"/>
      <c r="M210" s="828"/>
      <c r="N210" s="828"/>
      <c r="O210" s="829"/>
      <c r="P210" s="829"/>
      <c r="Q210" s="829"/>
      <c r="R210" s="830"/>
      <c r="S210" s="829"/>
      <c r="T210" s="849"/>
      <c r="U210" s="850"/>
      <c r="V210" s="851"/>
      <c r="W210" s="697"/>
    </row>
    <row r="211" spans="2:23">
      <c r="B211" s="770"/>
      <c r="C211" s="771"/>
      <c r="D211" s="771"/>
      <c r="E211" s="771"/>
      <c r="F211" s="771"/>
      <c r="G211" s="827" t="s">
        <v>3941</v>
      </c>
      <c r="H211" s="699" t="s">
        <v>3969</v>
      </c>
      <c r="I211" s="699"/>
      <c r="J211" s="791"/>
      <c r="K211" s="791"/>
      <c r="L211" s="791"/>
      <c r="M211" s="791"/>
      <c r="N211" s="791"/>
      <c r="O211" s="824"/>
      <c r="P211" s="824"/>
      <c r="Q211" s="824"/>
      <c r="R211" s="792"/>
      <c r="S211" s="824"/>
      <c r="T211" s="794"/>
      <c r="U211" s="807"/>
      <c r="V211" s="808">
        <f>+T212</f>
        <v>6.1199999999999992</v>
      </c>
      <c r="W211" s="704" t="s">
        <v>375</v>
      </c>
    </row>
    <row r="212" spans="2:23">
      <c r="B212" s="770"/>
      <c r="C212" s="771"/>
      <c r="D212" s="771"/>
      <c r="E212" s="771"/>
      <c r="F212" s="771"/>
      <c r="G212" s="827"/>
      <c r="H212" s="699"/>
      <c r="I212" s="699"/>
      <c r="J212" s="791">
        <f>+(26.4*2)+(14.4*2)</f>
        <v>81.599999999999994</v>
      </c>
      <c r="K212" s="791" t="s">
        <v>3922</v>
      </c>
      <c r="L212" s="791">
        <v>0.25</v>
      </c>
      <c r="M212" s="791" t="s">
        <v>3922</v>
      </c>
      <c r="N212" s="852">
        <v>0.3</v>
      </c>
      <c r="O212" s="824" t="s">
        <v>3922</v>
      </c>
      <c r="P212" s="852">
        <v>1</v>
      </c>
      <c r="Q212" s="699"/>
      <c r="R212" s="853"/>
      <c r="S212" s="824" t="s">
        <v>3923</v>
      </c>
      <c r="T212" s="794">
        <f>J212*L212*N212*P212</f>
        <v>6.1199999999999992</v>
      </c>
      <c r="U212" s="807"/>
      <c r="V212" s="810"/>
      <c r="W212" s="704"/>
    </row>
    <row r="213" spans="2:23">
      <c r="B213" s="709"/>
      <c r="G213" s="854"/>
      <c r="H213" s="855"/>
      <c r="I213" s="855"/>
      <c r="J213" s="777"/>
      <c r="K213" s="777"/>
      <c r="L213" s="777"/>
      <c r="M213" s="777"/>
      <c r="N213" s="777"/>
      <c r="O213" s="825"/>
      <c r="P213" s="825"/>
      <c r="Q213" s="825"/>
      <c r="R213" s="778"/>
      <c r="S213" s="825"/>
      <c r="T213" s="826"/>
      <c r="U213" s="807"/>
      <c r="V213" s="810"/>
      <c r="W213" s="704"/>
    </row>
    <row r="214" spans="2:23">
      <c r="B214" s="709"/>
      <c r="F214" s="710"/>
      <c r="G214" s="827"/>
      <c r="H214" s="699"/>
      <c r="I214" s="699"/>
      <c r="J214" s="701"/>
      <c r="K214" s="701"/>
      <c r="L214" s="701"/>
      <c r="M214" s="701"/>
      <c r="N214" s="701"/>
      <c r="O214" s="701"/>
      <c r="P214" s="701"/>
      <c r="Q214" s="701"/>
      <c r="R214" s="702"/>
      <c r="S214" s="701"/>
      <c r="T214" s="701"/>
      <c r="U214" s="701"/>
      <c r="V214" s="742"/>
      <c r="W214" s="704"/>
    </row>
    <row r="215" spans="2:23">
      <c r="B215" s="755"/>
      <c r="F215" s="710"/>
      <c r="G215" s="827" t="s">
        <v>3935</v>
      </c>
      <c r="H215" s="776" t="s">
        <v>3943</v>
      </c>
      <c r="I215" s="699"/>
      <c r="J215" s="805"/>
      <c r="K215" s="805"/>
      <c r="L215" s="805"/>
      <c r="M215" s="805"/>
      <c r="N215" s="805"/>
      <c r="O215" s="807"/>
      <c r="P215" s="807"/>
      <c r="Q215" s="807"/>
      <c r="R215" s="806"/>
      <c r="S215" s="807"/>
      <c r="T215" s="794"/>
      <c r="U215" s="807"/>
      <c r="V215" s="808">
        <f>+SUM(T217:T223)</f>
        <v>972.98026666666658</v>
      </c>
      <c r="W215" s="704" t="s">
        <v>93</v>
      </c>
    </row>
    <row r="216" spans="2:23">
      <c r="B216" s="759"/>
      <c r="F216" s="710"/>
      <c r="G216" s="729"/>
      <c r="H216" s="730"/>
      <c r="I216" s="730"/>
      <c r="J216" s="817" t="s">
        <v>3889</v>
      </c>
      <c r="K216" s="817"/>
      <c r="L216" s="817" t="s">
        <v>3892</v>
      </c>
      <c r="M216" s="791"/>
      <c r="N216" s="791"/>
      <c r="O216" s="824"/>
      <c r="P216" s="824"/>
      <c r="Q216" s="824"/>
      <c r="R216" s="792"/>
      <c r="S216" s="824"/>
      <c r="T216" s="794"/>
      <c r="U216" s="807"/>
      <c r="V216" s="810"/>
      <c r="W216" s="736"/>
    </row>
    <row r="217" spans="2:23">
      <c r="B217" s="709"/>
      <c r="F217" s="710"/>
      <c r="G217" s="729"/>
      <c r="H217" s="730" t="s">
        <v>3982</v>
      </c>
      <c r="I217" s="730"/>
      <c r="J217" s="791">
        <f>J212</f>
        <v>81.599999999999994</v>
      </c>
      <c r="K217" s="791" t="s">
        <v>3922</v>
      </c>
      <c r="L217" s="791">
        <v>2</v>
      </c>
      <c r="M217" s="791"/>
      <c r="N217" s="791"/>
      <c r="O217" s="824" t="s">
        <v>3922</v>
      </c>
      <c r="P217" s="824">
        <v>1</v>
      </c>
      <c r="Q217" s="824" t="s">
        <v>3922</v>
      </c>
      <c r="R217" s="792">
        <v>0.89</v>
      </c>
      <c r="S217" s="824" t="s">
        <v>3923</v>
      </c>
      <c r="T217" s="794">
        <f>J217*L217*P217*R217</f>
        <v>145.24799999999999</v>
      </c>
      <c r="U217" s="807"/>
      <c r="V217" s="810"/>
      <c r="W217" s="704"/>
    </row>
    <row r="218" spans="2:23">
      <c r="B218" s="709"/>
      <c r="F218" s="710"/>
      <c r="G218" s="729"/>
      <c r="H218" s="730" t="s">
        <v>3978</v>
      </c>
      <c r="I218" s="730"/>
      <c r="J218" s="791">
        <f>J217</f>
        <v>81.599999999999994</v>
      </c>
      <c r="K218" s="791" t="s">
        <v>3922</v>
      </c>
      <c r="L218" s="791">
        <v>2</v>
      </c>
      <c r="M218" s="791"/>
      <c r="N218" s="791"/>
      <c r="O218" s="824" t="s">
        <v>3922</v>
      </c>
      <c r="P218" s="824">
        <v>1</v>
      </c>
      <c r="Q218" s="824" t="s">
        <v>3922</v>
      </c>
      <c r="R218" s="792">
        <v>0.61699999999999999</v>
      </c>
      <c r="S218" s="824" t="s">
        <v>3923</v>
      </c>
      <c r="T218" s="794">
        <f>J218*L218*P218*R218</f>
        <v>100.69439999999999</v>
      </c>
      <c r="U218" s="807"/>
      <c r="V218" s="810"/>
      <c r="W218" s="704"/>
    </row>
    <row r="219" spans="2:23">
      <c r="B219" s="709"/>
      <c r="F219" s="710"/>
      <c r="G219" s="729"/>
      <c r="H219" s="730" t="s">
        <v>3982</v>
      </c>
      <c r="I219" s="730"/>
      <c r="J219" s="791">
        <f>J218</f>
        <v>81.599999999999994</v>
      </c>
      <c r="K219" s="791" t="s">
        <v>3922</v>
      </c>
      <c r="L219" s="791">
        <v>2</v>
      </c>
      <c r="M219" s="791"/>
      <c r="N219" s="791"/>
      <c r="O219" s="824" t="s">
        <v>3922</v>
      </c>
      <c r="P219" s="824">
        <v>1</v>
      </c>
      <c r="Q219" s="824" t="s">
        <v>3922</v>
      </c>
      <c r="R219" s="792">
        <f>+R217</f>
        <v>0.89</v>
      </c>
      <c r="S219" s="824" t="s">
        <v>3923</v>
      </c>
      <c r="T219" s="794">
        <f>J219*L219*P219*R219</f>
        <v>145.24799999999999</v>
      </c>
      <c r="U219" s="807"/>
      <c r="V219" s="810"/>
      <c r="W219" s="704"/>
    </row>
    <row r="220" spans="2:23">
      <c r="B220" s="709"/>
      <c r="F220" s="710"/>
      <c r="G220" s="729"/>
      <c r="H220" s="730"/>
      <c r="I220" s="780"/>
      <c r="J220" s="791"/>
      <c r="K220" s="791"/>
      <c r="L220" s="791"/>
      <c r="M220" s="791"/>
      <c r="N220" s="791"/>
      <c r="O220" s="824"/>
      <c r="P220" s="824"/>
      <c r="Q220" s="824"/>
      <c r="R220" s="792"/>
      <c r="S220" s="824"/>
      <c r="T220" s="794"/>
      <c r="U220" s="807"/>
      <c r="V220" s="810"/>
      <c r="W220" s="736"/>
    </row>
    <row r="221" spans="2:23">
      <c r="B221" s="755"/>
      <c r="F221" s="710"/>
      <c r="G221" s="729" t="s">
        <v>3937</v>
      </c>
      <c r="H221" s="776" t="s">
        <v>3953</v>
      </c>
      <c r="I221" s="730"/>
      <c r="J221" s="701"/>
      <c r="K221" s="701"/>
      <c r="L221" s="701"/>
      <c r="M221" s="701"/>
      <c r="N221" s="701"/>
      <c r="O221" s="701"/>
      <c r="P221" s="701"/>
      <c r="Q221" s="701"/>
      <c r="R221" s="702"/>
      <c r="S221" s="701"/>
      <c r="T221" s="701"/>
      <c r="U221" s="807"/>
      <c r="V221" s="808"/>
      <c r="W221" s="736"/>
    </row>
    <row r="222" spans="2:23">
      <c r="B222" s="759"/>
      <c r="F222" s="710"/>
      <c r="G222" s="729"/>
      <c r="H222" s="730"/>
      <c r="I222" s="730"/>
      <c r="J222" s="817" t="s">
        <v>3951</v>
      </c>
      <c r="K222" s="817"/>
      <c r="L222" s="817" t="s">
        <v>3952</v>
      </c>
      <c r="M222" s="791"/>
      <c r="N222" s="791"/>
      <c r="O222" s="824"/>
      <c r="P222" s="824"/>
      <c r="Q222" s="824"/>
      <c r="R222" s="792"/>
      <c r="S222" s="824"/>
      <c r="T222" s="794"/>
      <c r="U222" s="807"/>
      <c r="V222" s="810"/>
      <c r="W222" s="736"/>
    </row>
    <row r="223" spans="2:23">
      <c r="B223" s="723"/>
      <c r="C223" s="720"/>
      <c r="D223" s="720"/>
      <c r="E223" s="720"/>
      <c r="F223" s="721"/>
      <c r="G223" s="729"/>
      <c r="H223" s="730" t="s">
        <v>3947</v>
      </c>
      <c r="I223" s="730"/>
      <c r="J223" s="791">
        <f>0.21+0.21+0.26+0.26+0.05+0.05</f>
        <v>1.04</v>
      </c>
      <c r="K223" s="791" t="s">
        <v>3922</v>
      </c>
      <c r="L223" s="791">
        <f>+J212/0.09</f>
        <v>906.66666666666663</v>
      </c>
      <c r="M223" s="791"/>
      <c r="N223" s="791"/>
      <c r="O223" s="824" t="s">
        <v>3922</v>
      </c>
      <c r="P223" s="824">
        <v>1</v>
      </c>
      <c r="Q223" s="824" t="s">
        <v>3922</v>
      </c>
      <c r="R223" s="792">
        <f>+R201</f>
        <v>0.61699999999999999</v>
      </c>
      <c r="S223" s="824" t="s">
        <v>3923</v>
      </c>
      <c r="T223" s="794">
        <f>J223*L223*P223*R223</f>
        <v>581.78986666666663</v>
      </c>
      <c r="U223" s="807"/>
      <c r="V223" s="810"/>
      <c r="W223" s="736"/>
    </row>
    <row r="224" spans="2:23">
      <c r="B224" s="723"/>
      <c r="C224" s="720"/>
      <c r="D224" s="720"/>
      <c r="E224" s="720"/>
      <c r="F224" s="721"/>
      <c r="G224" s="835"/>
      <c r="H224" s="741"/>
      <c r="I224" s="741"/>
      <c r="J224" s="805"/>
      <c r="K224" s="805"/>
      <c r="L224" s="791"/>
      <c r="M224" s="805"/>
      <c r="N224" s="807"/>
      <c r="O224" s="807"/>
      <c r="Q224" s="807"/>
      <c r="R224" s="806"/>
      <c r="S224" s="807"/>
      <c r="T224" s="794"/>
      <c r="U224" s="807"/>
      <c r="V224" s="810"/>
      <c r="W224" s="704"/>
    </row>
    <row r="225" spans="2:23">
      <c r="B225" s="723"/>
      <c r="C225" s="720"/>
      <c r="D225" s="720"/>
      <c r="E225" s="720"/>
      <c r="F225" s="721"/>
      <c r="G225" s="827" t="s">
        <v>3940</v>
      </c>
      <c r="H225" s="699" t="s">
        <v>3958</v>
      </c>
      <c r="I225" s="699"/>
      <c r="J225" s="791"/>
      <c r="K225" s="791"/>
      <c r="L225" s="791"/>
      <c r="M225" s="791"/>
      <c r="N225" s="791"/>
      <c r="O225" s="824"/>
      <c r="P225" s="824"/>
      <c r="Q225" s="824"/>
      <c r="R225" s="792"/>
      <c r="S225" s="824"/>
      <c r="T225" s="794"/>
      <c r="U225" s="807"/>
      <c r="V225" s="808">
        <f>SUM(T226:T227)</f>
        <v>69.359999999999985</v>
      </c>
      <c r="W225" s="704" t="s">
        <v>376</v>
      </c>
    </row>
    <row r="226" spans="2:23">
      <c r="B226" s="709"/>
      <c r="F226" s="710"/>
      <c r="G226" s="827"/>
      <c r="H226" s="699"/>
      <c r="I226" s="699"/>
      <c r="J226" s="791">
        <f>J212</f>
        <v>81.599999999999994</v>
      </c>
      <c r="K226" s="791"/>
      <c r="L226" s="791"/>
      <c r="M226" s="791" t="s">
        <v>3922</v>
      </c>
      <c r="N226" s="791">
        <f>+N212</f>
        <v>0.3</v>
      </c>
      <c r="O226" s="824" t="s">
        <v>3922</v>
      </c>
      <c r="P226" s="824">
        <v>2</v>
      </c>
      <c r="Q226" s="824"/>
      <c r="R226" s="792"/>
      <c r="S226" s="824" t="s">
        <v>3923</v>
      </c>
      <c r="T226" s="794">
        <f>J226*N226*P226</f>
        <v>48.959999999999994</v>
      </c>
      <c r="U226" s="701"/>
      <c r="V226" s="742"/>
      <c r="W226" s="704"/>
    </row>
    <row r="227" spans="2:23">
      <c r="B227" s="709"/>
      <c r="F227" s="710"/>
      <c r="G227" s="827"/>
      <c r="H227" s="699"/>
      <c r="I227" s="699"/>
      <c r="J227" s="791">
        <f>J226</f>
        <v>81.599999999999994</v>
      </c>
      <c r="K227" s="791"/>
      <c r="L227" s="791"/>
      <c r="M227" s="791" t="s">
        <v>3922</v>
      </c>
      <c r="N227" s="791">
        <f>+L212</f>
        <v>0.25</v>
      </c>
      <c r="O227" s="824" t="s">
        <v>3922</v>
      </c>
      <c r="P227" s="824">
        <v>1</v>
      </c>
      <c r="Q227" s="824"/>
      <c r="R227" s="792"/>
      <c r="S227" s="824" t="s">
        <v>3923</v>
      </c>
      <c r="T227" s="794">
        <f>J227*N227*P227</f>
        <v>20.399999999999999</v>
      </c>
      <c r="U227" s="701"/>
      <c r="V227" s="742"/>
      <c r="W227" s="704"/>
    </row>
    <row r="228" spans="2:23">
      <c r="B228" s="709"/>
      <c r="F228" s="710"/>
      <c r="G228" s="827"/>
      <c r="H228" s="699"/>
      <c r="I228" s="699"/>
      <c r="J228" s="701"/>
      <c r="K228" s="701"/>
      <c r="L228" s="701"/>
      <c r="M228" s="701"/>
      <c r="N228" s="701"/>
      <c r="O228" s="701"/>
      <c r="P228" s="701"/>
      <c r="Q228" s="701"/>
      <c r="R228" s="702"/>
      <c r="S228" s="701"/>
      <c r="T228" s="701"/>
      <c r="U228" s="701"/>
      <c r="V228" s="742"/>
      <c r="W228" s="704"/>
    </row>
    <row r="229" spans="2:23" ht="16" thickBot="1">
      <c r="B229" s="763"/>
      <c r="C229" s="744"/>
      <c r="D229" s="744"/>
      <c r="E229" s="744"/>
      <c r="F229" s="745"/>
      <c r="G229" s="818"/>
      <c r="H229" s="819"/>
      <c r="I229" s="819"/>
      <c r="J229" s="819"/>
      <c r="K229" s="819"/>
      <c r="L229" s="819"/>
      <c r="M229" s="750"/>
      <c r="N229" s="748"/>
      <c r="O229" s="748"/>
      <c r="P229" s="748"/>
      <c r="Q229" s="748"/>
      <c r="R229" s="752"/>
      <c r="S229" s="748"/>
      <c r="T229" s="748"/>
      <c r="U229" s="748"/>
      <c r="V229" s="767"/>
      <c r="W229" s="768"/>
    </row>
    <row r="230" spans="2:23" ht="16" thickTop="1">
      <c r="B230" s="798">
        <v>10</v>
      </c>
      <c r="C230" s="1771" t="s">
        <v>3983</v>
      </c>
      <c r="D230" s="1771"/>
      <c r="E230" s="1771"/>
      <c r="F230" s="1772"/>
      <c r="G230" s="1765" t="s">
        <v>3950</v>
      </c>
      <c r="H230" s="1766"/>
      <c r="I230" s="1766"/>
      <c r="J230" s="1766"/>
      <c r="K230" s="1766"/>
      <c r="L230" s="1766"/>
      <c r="M230" s="1766"/>
      <c r="N230" s="1766"/>
      <c r="O230" s="1766"/>
      <c r="P230" s="1766"/>
      <c r="Q230" s="1766"/>
      <c r="R230" s="1766"/>
      <c r="S230" s="1766"/>
      <c r="T230" s="1766"/>
      <c r="U230" s="1766"/>
      <c r="V230" s="1766"/>
      <c r="W230" s="1767"/>
    </row>
    <row r="231" spans="2:23" ht="16" thickBot="1">
      <c r="B231" s="709"/>
      <c r="F231" s="710"/>
      <c r="G231" s="722"/>
      <c r="H231" s="683"/>
      <c r="I231" s="683"/>
      <c r="J231" s="684" t="s">
        <v>3889</v>
      </c>
      <c r="K231" s="684"/>
      <c r="L231" s="684" t="s">
        <v>3890</v>
      </c>
      <c r="M231" s="684"/>
      <c r="N231" s="684" t="s">
        <v>3891</v>
      </c>
      <c r="O231" s="684"/>
      <c r="P231" s="684" t="s">
        <v>3892</v>
      </c>
      <c r="Q231" s="684"/>
      <c r="R231" s="685" t="s">
        <v>3893</v>
      </c>
      <c r="S231" s="686"/>
      <c r="T231" s="687" t="s">
        <v>3894</v>
      </c>
      <c r="U231" s="686"/>
      <c r="V231" s="688" t="s">
        <v>3895</v>
      </c>
      <c r="W231" s="689" t="s">
        <v>3896</v>
      </c>
    </row>
    <row r="232" spans="2:23">
      <c r="B232" s="709"/>
      <c r="F232" s="710"/>
      <c r="G232" s="821"/>
      <c r="H232" s="692"/>
      <c r="I232" s="692"/>
      <c r="J232" s="828"/>
      <c r="K232" s="828"/>
      <c r="L232" s="828"/>
      <c r="M232" s="828"/>
      <c r="N232" s="828"/>
      <c r="O232" s="829"/>
      <c r="P232" s="829"/>
      <c r="Q232" s="829"/>
      <c r="R232" s="830"/>
      <c r="S232" s="829"/>
      <c r="T232" s="831"/>
      <c r="U232" s="832"/>
      <c r="V232" s="833"/>
      <c r="W232" s="822"/>
    </row>
    <row r="233" spans="2:23">
      <c r="B233" s="709"/>
      <c r="F233" s="710"/>
      <c r="G233" s="827" t="s">
        <v>3941</v>
      </c>
      <c r="H233" s="730" t="s">
        <v>3969</v>
      </c>
      <c r="I233" s="699"/>
      <c r="J233" s="805"/>
      <c r="K233" s="805"/>
      <c r="L233" s="805"/>
      <c r="M233" s="805"/>
      <c r="N233" s="805"/>
      <c r="O233" s="794"/>
      <c r="P233" s="794"/>
      <c r="Q233" s="794"/>
      <c r="R233" s="806"/>
      <c r="S233" s="793"/>
      <c r="T233" s="794"/>
      <c r="U233" s="807"/>
      <c r="V233" s="808">
        <f>+T234+T235</f>
        <v>3.3567</v>
      </c>
      <c r="W233" s="809" t="s">
        <v>375</v>
      </c>
    </row>
    <row r="234" spans="2:23">
      <c r="B234" s="1768"/>
      <c r="C234" s="1769"/>
      <c r="D234" s="1769"/>
      <c r="E234" s="1769"/>
      <c r="F234" s="1770"/>
      <c r="G234" s="827"/>
      <c r="H234" s="699"/>
      <c r="I234" s="699"/>
      <c r="J234" s="791">
        <v>8.35</v>
      </c>
      <c r="K234" s="791" t="s">
        <v>3922</v>
      </c>
      <c r="L234" s="791">
        <v>3.35</v>
      </c>
      <c r="M234" s="791" t="s">
        <v>3922</v>
      </c>
      <c r="N234" s="791">
        <v>0.12</v>
      </c>
      <c r="O234" s="791" t="s">
        <v>3922</v>
      </c>
      <c r="P234" s="791">
        <v>1</v>
      </c>
      <c r="Q234" s="791"/>
      <c r="R234" s="792"/>
      <c r="S234" s="793" t="s">
        <v>3923</v>
      </c>
      <c r="T234" s="794">
        <f>+J234*L234*N234*P234</f>
        <v>3.3567</v>
      </c>
      <c r="U234" s="807"/>
      <c r="V234" s="810"/>
      <c r="W234" s="809"/>
    </row>
    <row r="235" spans="2:23">
      <c r="B235" s="770"/>
      <c r="C235" s="771"/>
      <c r="D235" s="771"/>
      <c r="E235" s="771"/>
      <c r="F235" s="772"/>
      <c r="G235" s="827"/>
      <c r="H235" s="699"/>
      <c r="I235" s="699"/>
      <c r="J235" s="791"/>
      <c r="K235" s="791"/>
      <c r="L235" s="791"/>
      <c r="M235" s="791"/>
      <c r="N235" s="791"/>
      <c r="O235" s="791"/>
      <c r="P235" s="791"/>
      <c r="Q235" s="791"/>
      <c r="R235" s="792"/>
      <c r="S235" s="793"/>
      <c r="T235" s="794"/>
      <c r="U235" s="807"/>
      <c r="V235" s="810"/>
      <c r="W235" s="809"/>
    </row>
    <row r="236" spans="2:23">
      <c r="B236" s="770"/>
      <c r="C236" s="771"/>
      <c r="D236" s="771"/>
      <c r="E236" s="771"/>
      <c r="F236" s="772"/>
      <c r="G236" s="827"/>
      <c r="H236" s="699"/>
      <c r="I236" s="699"/>
      <c r="J236" s="791"/>
      <c r="K236" s="791"/>
      <c r="L236" s="791"/>
      <c r="M236" s="791"/>
      <c r="N236" s="791"/>
      <c r="O236" s="791"/>
      <c r="P236" s="791"/>
      <c r="Q236" s="791"/>
      <c r="R236" s="792"/>
      <c r="S236" s="793"/>
      <c r="T236" s="794"/>
      <c r="U236" s="807"/>
      <c r="V236" s="810"/>
      <c r="W236" s="809"/>
    </row>
    <row r="237" spans="2:23">
      <c r="B237" s="709"/>
      <c r="F237" s="710"/>
      <c r="G237" s="827" t="s">
        <v>3937</v>
      </c>
      <c r="H237" s="776" t="s">
        <v>3960</v>
      </c>
      <c r="I237" s="699"/>
      <c r="J237" s="791" t="s">
        <v>3889</v>
      </c>
      <c r="K237" s="791"/>
      <c r="L237" s="791" t="s">
        <v>3890</v>
      </c>
      <c r="M237" s="791"/>
      <c r="N237" s="791" t="s">
        <v>3891</v>
      </c>
      <c r="O237" s="791"/>
      <c r="P237" s="791" t="s">
        <v>3892</v>
      </c>
      <c r="Q237" s="791"/>
      <c r="R237" s="792" t="s">
        <v>3442</v>
      </c>
      <c r="S237" s="791"/>
      <c r="T237" s="791"/>
      <c r="U237" s="824"/>
      <c r="V237" s="840">
        <f>+SUM(T239:T240)</f>
        <v>460.2408666666667</v>
      </c>
      <c r="W237" s="809" t="s">
        <v>93</v>
      </c>
    </row>
    <row r="238" spans="2:23">
      <c r="B238" s="709"/>
      <c r="F238" s="710"/>
      <c r="G238" s="827"/>
      <c r="H238" s="776">
        <v>1</v>
      </c>
      <c r="I238" s="776"/>
      <c r="J238" s="791">
        <f>+J234</f>
        <v>8.35</v>
      </c>
      <c r="K238" s="791"/>
      <c r="L238" s="791">
        <f>+L234</f>
        <v>3.35</v>
      </c>
      <c r="M238" s="791"/>
      <c r="N238" s="791"/>
      <c r="O238" s="791"/>
      <c r="P238" s="791"/>
      <c r="Q238" s="791"/>
      <c r="R238" s="792"/>
      <c r="S238" s="791"/>
      <c r="T238" s="791"/>
      <c r="U238" s="824"/>
      <c r="V238" s="840"/>
      <c r="W238" s="809"/>
    </row>
    <row r="239" spans="2:23">
      <c r="B239" s="709"/>
      <c r="F239" s="710"/>
      <c r="G239" s="827"/>
      <c r="H239" s="776"/>
      <c r="I239" s="776" t="s">
        <v>3961</v>
      </c>
      <c r="J239" s="791">
        <f>+J238/0.15</f>
        <v>55.666666666666664</v>
      </c>
      <c r="K239" s="791"/>
      <c r="L239" s="791">
        <f>+L238/0.15</f>
        <v>22.333333333333336</v>
      </c>
      <c r="M239" s="791"/>
      <c r="N239" s="791"/>
      <c r="O239" s="791"/>
      <c r="P239" s="791"/>
      <c r="Q239" s="791"/>
      <c r="R239" s="792">
        <v>0.61699999999999999</v>
      </c>
      <c r="S239" s="793" t="s">
        <v>3923</v>
      </c>
      <c r="T239" s="791">
        <f>+((J239*L238*2)+(J238*L239*2))*R239</f>
        <v>460.2408666666667</v>
      </c>
      <c r="U239" s="824"/>
      <c r="V239" s="840"/>
      <c r="W239" s="809"/>
    </row>
    <row r="240" spans="2:23">
      <c r="B240" s="709"/>
      <c r="F240" s="710"/>
      <c r="G240" s="827"/>
      <c r="H240" s="776"/>
      <c r="I240" s="776"/>
      <c r="J240" s="791"/>
      <c r="K240" s="791"/>
      <c r="L240" s="791"/>
      <c r="M240" s="791"/>
      <c r="N240" s="791"/>
      <c r="O240" s="791"/>
      <c r="P240" s="791"/>
      <c r="Q240" s="791"/>
      <c r="R240" s="792"/>
      <c r="S240" s="793"/>
      <c r="T240" s="791"/>
      <c r="U240" s="824"/>
      <c r="V240" s="840"/>
      <c r="W240" s="809"/>
    </row>
    <row r="241" spans="2:23">
      <c r="B241" s="709"/>
      <c r="F241" s="710"/>
      <c r="G241" s="827"/>
      <c r="H241" s="730"/>
      <c r="I241" s="699"/>
      <c r="J241" s="805"/>
      <c r="K241" s="805"/>
      <c r="L241" s="805"/>
      <c r="M241" s="805"/>
      <c r="N241" s="842"/>
      <c r="O241" s="794"/>
      <c r="P241" s="794"/>
      <c r="Q241" s="794"/>
      <c r="R241" s="806"/>
      <c r="S241" s="793"/>
      <c r="T241" s="794"/>
      <c r="U241" s="824"/>
      <c r="V241" s="856"/>
      <c r="W241" s="809"/>
    </row>
    <row r="242" spans="2:23">
      <c r="B242" s="759"/>
      <c r="F242" s="710"/>
      <c r="G242" s="827" t="s">
        <v>3940</v>
      </c>
      <c r="H242" s="699" t="s">
        <v>3984</v>
      </c>
      <c r="I242" s="699"/>
      <c r="J242" s="791"/>
      <c r="K242" s="791"/>
      <c r="L242" s="791"/>
      <c r="M242" s="805"/>
      <c r="N242" s="838"/>
      <c r="O242" s="791"/>
      <c r="P242" s="791"/>
      <c r="Q242" s="791"/>
      <c r="R242" s="792"/>
      <c r="S242" s="793"/>
      <c r="T242" s="794"/>
      <c r="U242" s="845"/>
      <c r="V242" s="808">
        <f>SUM(T243:T243)</f>
        <v>27.9725</v>
      </c>
      <c r="W242" s="809" t="s">
        <v>376</v>
      </c>
    </row>
    <row r="243" spans="2:23">
      <c r="B243" s="709"/>
      <c r="F243" s="710"/>
      <c r="G243" s="827"/>
      <c r="H243" s="699"/>
      <c r="I243" s="699"/>
      <c r="J243" s="791">
        <f>+J238</f>
        <v>8.35</v>
      </c>
      <c r="K243" s="791" t="s">
        <v>3922</v>
      </c>
      <c r="L243" s="791">
        <f>+L238</f>
        <v>3.35</v>
      </c>
      <c r="M243" s="791"/>
      <c r="N243" s="791"/>
      <c r="O243" s="791" t="s">
        <v>3922</v>
      </c>
      <c r="P243" s="791">
        <v>1</v>
      </c>
      <c r="Q243" s="791"/>
      <c r="R243" s="792"/>
      <c r="S243" s="793" t="s">
        <v>3923</v>
      </c>
      <c r="T243" s="794">
        <f>J243*L243*P243</f>
        <v>27.9725</v>
      </c>
      <c r="U243" s="844"/>
      <c r="V243" s="857"/>
      <c r="W243" s="809"/>
    </row>
    <row r="244" spans="2:23" ht="16" thickBot="1">
      <c r="B244" s="763"/>
      <c r="C244" s="744"/>
      <c r="D244" s="744"/>
      <c r="E244" s="744"/>
      <c r="F244" s="745"/>
      <c r="G244" s="818"/>
      <c r="H244" s="819"/>
      <c r="I244" s="819"/>
      <c r="J244" s="819"/>
      <c r="K244" s="819"/>
      <c r="L244" s="819"/>
      <c r="M244" s="750"/>
      <c r="N244" s="858"/>
      <c r="O244" s="858"/>
      <c r="P244" s="858"/>
      <c r="Q244" s="858"/>
      <c r="R244" s="859"/>
      <c r="S244" s="858"/>
      <c r="T244" s="858"/>
      <c r="U244" s="858"/>
      <c r="V244" s="860"/>
      <c r="W244" s="861"/>
    </row>
    <row r="245" spans="2:23" ht="16" thickTop="1">
      <c r="B245" s="798">
        <v>11</v>
      </c>
      <c r="C245" s="1771" t="s">
        <v>3985</v>
      </c>
      <c r="D245" s="1771"/>
      <c r="E245" s="1771"/>
      <c r="F245" s="1772"/>
      <c r="G245" s="1765" t="s">
        <v>3950</v>
      </c>
      <c r="H245" s="1766"/>
      <c r="I245" s="1766"/>
      <c r="J245" s="1766"/>
      <c r="K245" s="1766"/>
      <c r="L245" s="1766"/>
      <c r="M245" s="1766"/>
      <c r="N245" s="1766"/>
      <c r="O245" s="1766"/>
      <c r="P245" s="1766"/>
      <c r="Q245" s="1766"/>
      <c r="R245" s="1766"/>
      <c r="S245" s="1766"/>
      <c r="T245" s="1766"/>
      <c r="U245" s="1766"/>
      <c r="V245" s="1766"/>
      <c r="W245" s="1767"/>
    </row>
    <row r="246" spans="2:23" ht="16" thickBot="1">
      <c r="B246" s="709"/>
      <c r="F246" s="710"/>
      <c r="G246" s="722"/>
      <c r="H246" s="683"/>
      <c r="I246" s="683"/>
      <c r="J246" s="684" t="s">
        <v>3889</v>
      </c>
      <c r="K246" s="684"/>
      <c r="L246" s="684" t="s">
        <v>3890</v>
      </c>
      <c r="M246" s="684"/>
      <c r="N246" s="684" t="s">
        <v>3891</v>
      </c>
      <c r="O246" s="684"/>
      <c r="P246" s="684" t="s">
        <v>3892</v>
      </c>
      <c r="Q246" s="684"/>
      <c r="R246" s="685" t="s">
        <v>3893</v>
      </c>
      <c r="S246" s="686"/>
      <c r="T246" s="687" t="s">
        <v>3894</v>
      </c>
      <c r="U246" s="686"/>
      <c r="V246" s="688" t="s">
        <v>3895</v>
      </c>
      <c r="W246" s="689" t="s">
        <v>3896</v>
      </c>
    </row>
    <row r="247" spans="2:23">
      <c r="B247" s="709"/>
      <c r="F247" s="710"/>
      <c r="G247" s="821"/>
      <c r="H247" s="692"/>
      <c r="I247" s="692"/>
      <c r="J247" s="828"/>
      <c r="K247" s="828"/>
      <c r="L247" s="828"/>
      <c r="M247" s="828"/>
      <c r="N247" s="828"/>
      <c r="O247" s="829"/>
      <c r="P247" s="829"/>
      <c r="Q247" s="829"/>
      <c r="R247" s="830"/>
      <c r="S247" s="829"/>
      <c r="T247" s="831"/>
      <c r="U247" s="832"/>
      <c r="V247" s="833"/>
      <c r="W247" s="822"/>
    </row>
    <row r="248" spans="2:23">
      <c r="B248" s="709"/>
      <c r="F248" s="710"/>
      <c r="G248" s="827" t="s">
        <v>3941</v>
      </c>
      <c r="H248" s="730" t="s">
        <v>3969</v>
      </c>
      <c r="I248" s="699"/>
      <c r="J248" s="805"/>
      <c r="K248" s="805"/>
      <c r="L248" s="805"/>
      <c r="M248" s="805"/>
      <c r="N248" s="805"/>
      <c r="O248" s="794"/>
      <c r="P248" s="794"/>
      <c r="Q248" s="794"/>
      <c r="R248" s="806"/>
      <c r="S248" s="793"/>
      <c r="T248" s="794"/>
      <c r="U248" s="807"/>
      <c r="V248" s="808">
        <f>+T249+T250</f>
        <v>45.619199999999992</v>
      </c>
      <c r="W248" s="809" t="s">
        <v>375</v>
      </c>
    </row>
    <row r="249" spans="2:23">
      <c r="B249" s="1768"/>
      <c r="C249" s="1769"/>
      <c r="D249" s="1769"/>
      <c r="E249" s="1769"/>
      <c r="F249" s="1770"/>
      <c r="G249" s="827"/>
      <c r="H249" s="699"/>
      <c r="I249" s="699"/>
      <c r="J249" s="791">
        <v>14.4</v>
      </c>
      <c r="K249" s="791" t="s">
        <v>3922</v>
      </c>
      <c r="L249" s="791">
        <v>26.4</v>
      </c>
      <c r="M249" s="791" t="s">
        <v>3922</v>
      </c>
      <c r="N249" s="791">
        <v>0.12</v>
      </c>
      <c r="O249" s="791" t="s">
        <v>3922</v>
      </c>
      <c r="P249" s="791">
        <v>1</v>
      </c>
      <c r="Q249" s="791"/>
      <c r="R249" s="792"/>
      <c r="S249" s="793" t="s">
        <v>3923</v>
      </c>
      <c r="T249" s="794">
        <f>+J249*L249*N249*P249</f>
        <v>45.619199999999992</v>
      </c>
      <c r="U249" s="807"/>
      <c r="V249" s="810"/>
      <c r="W249" s="809"/>
    </row>
    <row r="250" spans="2:23">
      <c r="B250" s="770"/>
      <c r="C250" s="771"/>
      <c r="D250" s="771"/>
      <c r="E250" s="771"/>
      <c r="F250" s="772"/>
      <c r="G250" s="827"/>
      <c r="H250" s="699"/>
      <c r="I250" s="699"/>
      <c r="J250" s="791"/>
      <c r="K250" s="791"/>
      <c r="L250" s="791"/>
      <c r="M250" s="791"/>
      <c r="N250" s="791"/>
      <c r="O250" s="791"/>
      <c r="P250" s="791"/>
      <c r="Q250" s="791"/>
      <c r="R250" s="792"/>
      <c r="S250" s="793"/>
      <c r="T250" s="794"/>
      <c r="U250" s="807"/>
      <c r="V250" s="810"/>
      <c r="W250" s="809"/>
    </row>
    <row r="251" spans="2:23">
      <c r="B251" s="770"/>
      <c r="C251" s="771"/>
      <c r="D251" s="771"/>
      <c r="E251" s="771"/>
      <c r="F251" s="772"/>
      <c r="G251" s="827"/>
      <c r="H251" s="699"/>
      <c r="I251" s="699"/>
      <c r="J251" s="791"/>
      <c r="K251" s="791"/>
      <c r="L251" s="791"/>
      <c r="M251" s="791"/>
      <c r="N251" s="791"/>
      <c r="O251" s="791"/>
      <c r="P251" s="791"/>
      <c r="Q251" s="791"/>
      <c r="R251" s="792"/>
      <c r="S251" s="793"/>
      <c r="T251" s="794"/>
      <c r="U251" s="807"/>
      <c r="V251" s="810"/>
      <c r="W251" s="809"/>
    </row>
    <row r="252" spans="2:23">
      <c r="B252" s="709"/>
      <c r="F252" s="710"/>
      <c r="G252" s="827" t="s">
        <v>3937</v>
      </c>
      <c r="H252" s="776" t="s">
        <v>3960</v>
      </c>
      <c r="I252" s="699"/>
      <c r="J252" s="791" t="s">
        <v>3889</v>
      </c>
      <c r="K252" s="791"/>
      <c r="L252" s="791" t="s">
        <v>3890</v>
      </c>
      <c r="M252" s="791"/>
      <c r="N252" s="791" t="s">
        <v>3891</v>
      </c>
      <c r="O252" s="791"/>
      <c r="P252" s="791" t="s">
        <v>3892</v>
      </c>
      <c r="Q252" s="791"/>
      <c r="R252" s="792" t="s">
        <v>3442</v>
      </c>
      <c r="S252" s="791"/>
      <c r="T252" s="791"/>
      <c r="U252" s="824"/>
      <c r="V252" s="840">
        <f>+SUM(T254:T255)</f>
        <v>5361.3421714285714</v>
      </c>
      <c r="W252" s="809" t="s">
        <v>93</v>
      </c>
    </row>
    <row r="253" spans="2:23">
      <c r="B253" s="709"/>
      <c r="F253" s="710"/>
      <c r="G253" s="827"/>
      <c r="H253" s="776">
        <v>1</v>
      </c>
      <c r="I253" s="776"/>
      <c r="J253" s="791">
        <f>+J249</f>
        <v>14.4</v>
      </c>
      <c r="K253" s="791"/>
      <c r="L253" s="791">
        <f>+L249</f>
        <v>26.4</v>
      </c>
      <c r="M253" s="791"/>
      <c r="N253" s="791"/>
      <c r="O253" s="791"/>
      <c r="P253" s="791"/>
      <c r="Q253" s="791"/>
      <c r="R253" s="792"/>
      <c r="S253" s="791"/>
      <c r="T253" s="791"/>
      <c r="U253" s="824"/>
      <c r="V253" s="840"/>
      <c r="W253" s="809"/>
    </row>
    <row r="254" spans="2:23">
      <c r="B254" s="709"/>
      <c r="F254" s="710"/>
      <c r="G254" s="827"/>
      <c r="H254" s="776"/>
      <c r="I254" s="776" t="s">
        <v>3961</v>
      </c>
      <c r="J254" s="791">
        <f>+J253/0.175</f>
        <v>82.285714285714292</v>
      </c>
      <c r="K254" s="791"/>
      <c r="L254" s="791">
        <f>+L253/0.175</f>
        <v>150.85714285714286</v>
      </c>
      <c r="M254" s="791"/>
      <c r="N254" s="791"/>
      <c r="O254" s="791"/>
      <c r="P254" s="791"/>
      <c r="Q254" s="791"/>
      <c r="R254" s="792">
        <v>0.61699999999999999</v>
      </c>
      <c r="S254" s="793" t="s">
        <v>3923</v>
      </c>
      <c r="T254" s="791">
        <f>+((J254*L253*2)+(J253*L254*2))*R254</f>
        <v>5361.3421714285714</v>
      </c>
      <c r="U254" s="824"/>
      <c r="V254" s="840"/>
      <c r="W254" s="809"/>
    </row>
    <row r="255" spans="2:23">
      <c r="B255" s="709"/>
      <c r="F255" s="710"/>
      <c r="G255" s="827"/>
      <c r="H255" s="776"/>
      <c r="I255" s="776"/>
      <c r="J255" s="791"/>
      <c r="K255" s="791"/>
      <c r="L255" s="791"/>
      <c r="M255" s="791"/>
      <c r="N255" s="791"/>
      <c r="O255" s="791"/>
      <c r="P255" s="791"/>
      <c r="Q255" s="791"/>
      <c r="R255" s="792"/>
      <c r="S255" s="793"/>
      <c r="T255" s="791"/>
      <c r="U255" s="824"/>
      <c r="V255" s="840"/>
      <c r="W255" s="809"/>
    </row>
    <row r="256" spans="2:23">
      <c r="B256" s="709"/>
      <c r="F256" s="710"/>
      <c r="G256" s="827"/>
      <c r="H256" s="730"/>
      <c r="I256" s="699"/>
      <c r="J256" s="805"/>
      <c r="K256" s="805"/>
      <c r="L256" s="805"/>
      <c r="M256" s="805"/>
      <c r="N256" s="842"/>
      <c r="O256" s="794"/>
      <c r="P256" s="794"/>
      <c r="Q256" s="794"/>
      <c r="R256" s="806"/>
      <c r="S256" s="793"/>
      <c r="T256" s="794"/>
      <c r="U256" s="824"/>
      <c r="V256" s="856"/>
      <c r="W256" s="809"/>
    </row>
    <row r="257" spans="2:23">
      <c r="B257" s="759"/>
      <c r="F257" s="710"/>
      <c r="G257" s="827" t="s">
        <v>3940</v>
      </c>
      <c r="H257" s="699" t="s">
        <v>3984</v>
      </c>
      <c r="I257" s="699"/>
      <c r="J257" s="791"/>
      <c r="K257" s="791"/>
      <c r="L257" s="791"/>
      <c r="M257" s="805"/>
      <c r="N257" s="838"/>
      <c r="O257" s="791"/>
      <c r="P257" s="791"/>
      <c r="Q257" s="791"/>
      <c r="R257" s="792"/>
      <c r="S257" s="793"/>
      <c r="T257" s="794"/>
      <c r="U257" s="845"/>
      <c r="V257" s="808">
        <f>SUM(T258:T258)</f>
        <v>380.15999999999997</v>
      </c>
      <c r="W257" s="809" t="s">
        <v>376</v>
      </c>
    </row>
    <row r="258" spans="2:23">
      <c r="B258" s="709"/>
      <c r="F258" s="710"/>
      <c r="G258" s="827"/>
      <c r="H258" s="699"/>
      <c r="I258" s="699"/>
      <c r="J258" s="791">
        <f>+J253</f>
        <v>14.4</v>
      </c>
      <c r="K258" s="791" t="s">
        <v>3922</v>
      </c>
      <c r="L258" s="791">
        <f>+L253</f>
        <v>26.4</v>
      </c>
      <c r="M258" s="791"/>
      <c r="N258" s="791"/>
      <c r="O258" s="791" t="s">
        <v>3922</v>
      </c>
      <c r="P258" s="791">
        <v>1</v>
      </c>
      <c r="Q258" s="791"/>
      <c r="R258" s="792"/>
      <c r="S258" s="793" t="s">
        <v>3923</v>
      </c>
      <c r="T258" s="794">
        <f>J258*L258*P258</f>
        <v>380.15999999999997</v>
      </c>
      <c r="U258" s="844"/>
      <c r="V258" s="857"/>
      <c r="W258" s="809"/>
    </row>
    <row r="259" spans="2:23" ht="16" thickBot="1">
      <c r="B259" s="763"/>
      <c r="C259" s="744"/>
      <c r="D259" s="744"/>
      <c r="E259" s="744"/>
      <c r="F259" s="745"/>
      <c r="G259" s="818"/>
      <c r="H259" s="819"/>
      <c r="I259" s="819"/>
      <c r="J259" s="819"/>
      <c r="K259" s="819"/>
      <c r="L259" s="819"/>
      <c r="M259" s="750"/>
      <c r="N259" s="858"/>
      <c r="O259" s="858"/>
      <c r="P259" s="858"/>
      <c r="Q259" s="858"/>
      <c r="R259" s="859"/>
      <c r="S259" s="858"/>
      <c r="T259" s="858"/>
      <c r="U259" s="858"/>
      <c r="V259" s="860"/>
      <c r="W259" s="861"/>
    </row>
    <row r="260" spans="2:23" ht="16" thickTop="1"/>
    <row r="262" spans="2:23" s="887" customFormat="1" ht="18">
      <c r="B262" s="887" t="s">
        <v>3989</v>
      </c>
      <c r="J262" s="888"/>
      <c r="K262" s="888"/>
      <c r="L262" s="888"/>
      <c r="M262" s="888"/>
      <c r="N262" s="888"/>
      <c r="O262" s="888"/>
      <c r="P262" s="888"/>
      <c r="Q262" s="888"/>
      <c r="R262" s="889"/>
      <c r="S262" s="888"/>
      <c r="T262" s="888"/>
      <c r="U262" s="888"/>
      <c r="V262" s="890"/>
      <c r="W262" s="891"/>
    </row>
    <row r="263" spans="2:23" ht="16" thickBot="1"/>
    <row r="264" spans="2:23" ht="16" thickTop="1">
      <c r="B264" s="715" t="s">
        <v>3254</v>
      </c>
      <c r="C264" s="716" t="s">
        <v>3919</v>
      </c>
      <c r="D264" s="717"/>
      <c r="E264" s="717"/>
      <c r="F264" s="718"/>
      <c r="G264" s="1765" t="s">
        <v>3888</v>
      </c>
      <c r="H264" s="1766"/>
      <c r="I264" s="1766"/>
      <c r="J264" s="1766"/>
      <c r="K264" s="1766"/>
      <c r="L264" s="1766"/>
      <c r="M264" s="1766"/>
      <c r="N264" s="1766"/>
      <c r="O264" s="1766"/>
      <c r="P264" s="1766"/>
      <c r="Q264" s="1766"/>
      <c r="R264" s="1766"/>
      <c r="S264" s="1766"/>
      <c r="T264" s="1766"/>
      <c r="U264" s="1766"/>
      <c r="V264" s="1766"/>
      <c r="W264" s="1767"/>
    </row>
    <row r="265" spans="2:23" ht="16" thickBot="1">
      <c r="B265" s="719" t="s">
        <v>3897</v>
      </c>
      <c r="C265" s="720" t="s">
        <v>3920</v>
      </c>
      <c r="D265" s="720"/>
      <c r="E265" s="720"/>
      <c r="F265" s="721"/>
      <c r="G265" s="722"/>
      <c r="H265" s="683"/>
      <c r="I265" s="683"/>
      <c r="J265" s="684" t="s">
        <v>3889</v>
      </c>
      <c r="K265" s="684"/>
      <c r="L265" s="684" t="s">
        <v>3890</v>
      </c>
      <c r="M265" s="684"/>
      <c r="N265" s="684" t="s">
        <v>3891</v>
      </c>
      <c r="O265" s="684"/>
      <c r="P265" s="684" t="s">
        <v>3892</v>
      </c>
      <c r="Q265" s="684"/>
      <c r="R265" s="685" t="s">
        <v>3893</v>
      </c>
      <c r="S265" s="686"/>
      <c r="T265" s="687" t="s">
        <v>3894</v>
      </c>
      <c r="U265" s="686"/>
      <c r="V265" s="688" t="s">
        <v>3895</v>
      </c>
      <c r="W265" s="689" t="s">
        <v>3896</v>
      </c>
    </row>
    <row r="266" spans="2:23">
      <c r="B266" s="723"/>
      <c r="C266" s="720"/>
      <c r="D266" s="720"/>
      <c r="E266" s="720"/>
      <c r="F266" s="721"/>
      <c r="G266" s="724"/>
      <c r="H266" s="725"/>
      <c r="I266" s="725"/>
      <c r="J266" s="726"/>
      <c r="K266" s="726"/>
      <c r="L266" s="726"/>
      <c r="M266" s="726"/>
      <c r="N266" s="726"/>
      <c r="O266" s="726"/>
      <c r="P266" s="726"/>
      <c r="Q266" s="726"/>
      <c r="R266" s="727"/>
      <c r="S266" s="735"/>
      <c r="T266" s="726"/>
      <c r="U266" s="726"/>
      <c r="V266" s="758"/>
      <c r="W266" s="728"/>
    </row>
    <row r="267" spans="2:23">
      <c r="B267" s="709"/>
      <c r="F267" s="710"/>
      <c r="G267" s="729"/>
      <c r="H267" s="730"/>
      <c r="I267" s="730"/>
      <c r="J267" s="731"/>
      <c r="K267" s="731"/>
      <c r="L267" s="731"/>
      <c r="M267" s="731"/>
      <c r="N267" s="731"/>
      <c r="O267" s="731"/>
      <c r="P267" s="731"/>
      <c r="Q267" s="731"/>
      <c r="R267" s="732"/>
      <c r="S267" s="731"/>
      <c r="T267" s="731"/>
      <c r="U267" s="731"/>
      <c r="V267" s="733">
        <f>+SUM(T268:T269)</f>
        <v>323.98849999999999</v>
      </c>
      <c r="W267" s="704" t="s">
        <v>375</v>
      </c>
    </row>
    <row r="268" spans="2:23">
      <c r="B268" s="709"/>
      <c r="F268" s="710"/>
      <c r="G268" s="729"/>
      <c r="H268" s="730"/>
      <c r="I268" s="730" t="s">
        <v>3995</v>
      </c>
      <c r="J268" s="731">
        <v>30.93</v>
      </c>
      <c r="K268" s="731" t="s">
        <v>3922</v>
      </c>
      <c r="L268" s="731">
        <v>2.5</v>
      </c>
      <c r="M268" s="731" t="s">
        <v>3922</v>
      </c>
      <c r="N268" s="731">
        <v>3.3</v>
      </c>
      <c r="O268" s="731" t="s">
        <v>3922</v>
      </c>
      <c r="P268" s="734">
        <v>1</v>
      </c>
      <c r="Q268" s="731"/>
      <c r="R268" s="732"/>
      <c r="S268" s="735" t="s">
        <v>3923</v>
      </c>
      <c r="T268" s="731">
        <f>J268*L268*N268*P268</f>
        <v>255.17249999999999</v>
      </c>
      <c r="U268" s="731"/>
      <c r="V268" s="733"/>
      <c r="W268" s="704"/>
    </row>
    <row r="269" spans="2:23">
      <c r="B269" s="709"/>
      <c r="F269" s="710"/>
      <c r="G269" s="729"/>
      <c r="H269" s="730"/>
      <c r="I269" s="670" t="s">
        <v>3996</v>
      </c>
      <c r="J269" s="731">
        <v>17.600000000000001</v>
      </c>
      <c r="K269" s="731" t="s">
        <v>3922</v>
      </c>
      <c r="L269" s="731">
        <v>1.7</v>
      </c>
      <c r="M269" s="731" t="s">
        <v>3922</v>
      </c>
      <c r="N269" s="731">
        <v>2.2999999999999998</v>
      </c>
      <c r="O269" s="731" t="s">
        <v>3922</v>
      </c>
      <c r="P269" s="734">
        <v>1</v>
      </c>
      <c r="Q269" s="731"/>
      <c r="R269" s="732"/>
      <c r="S269" s="735" t="s">
        <v>3923</v>
      </c>
      <c r="T269" s="731">
        <f t="shared" ref="T269" si="1">J269*L269*N269*P269</f>
        <v>68.816000000000003</v>
      </c>
      <c r="U269" s="731"/>
      <c r="V269" s="733"/>
      <c r="W269" s="704"/>
    </row>
    <row r="270" spans="2:23">
      <c r="B270" s="709"/>
      <c r="F270" s="710"/>
      <c r="G270" s="729"/>
      <c r="H270" s="730"/>
      <c r="I270" s="730"/>
      <c r="J270" s="731"/>
      <c r="K270" s="731"/>
      <c r="L270" s="731"/>
      <c r="M270" s="731"/>
      <c r="N270" s="731"/>
      <c r="O270" s="731"/>
      <c r="P270" s="731"/>
      <c r="Q270" s="731"/>
      <c r="R270" s="732"/>
      <c r="S270" s="731"/>
      <c r="T270" s="731"/>
      <c r="U270" s="731"/>
      <c r="V270" s="894">
        <f>+T271+T272</f>
        <v>50.53</v>
      </c>
      <c r="W270" s="704" t="s">
        <v>3639</v>
      </c>
    </row>
    <row r="271" spans="2:23">
      <c r="B271" s="709"/>
      <c r="F271" s="710"/>
      <c r="G271" s="729"/>
      <c r="H271" s="730"/>
      <c r="I271" s="730" t="s">
        <v>3997</v>
      </c>
      <c r="J271" s="731">
        <v>30.93</v>
      </c>
      <c r="K271" s="731" t="s">
        <v>3922</v>
      </c>
      <c r="L271" s="731"/>
      <c r="M271" s="731" t="s">
        <v>3922</v>
      </c>
      <c r="N271" s="731"/>
      <c r="O271" s="731" t="s">
        <v>3922</v>
      </c>
      <c r="P271" s="734">
        <f>+J271/1+1</f>
        <v>31.93</v>
      </c>
      <c r="Q271" s="731"/>
      <c r="R271" s="732"/>
      <c r="S271" s="735" t="s">
        <v>3923</v>
      </c>
      <c r="T271" s="734">
        <f>+P271</f>
        <v>31.93</v>
      </c>
      <c r="U271" s="731"/>
      <c r="V271" s="733"/>
      <c r="W271" s="704"/>
    </row>
    <row r="272" spans="2:23">
      <c r="B272" s="709"/>
      <c r="F272" s="710"/>
      <c r="G272" s="729"/>
      <c r="H272" s="730"/>
      <c r="I272" s="670" t="s">
        <v>3998</v>
      </c>
      <c r="J272" s="731">
        <v>17.600000000000001</v>
      </c>
      <c r="K272" s="731" t="s">
        <v>3922</v>
      </c>
      <c r="L272" s="731"/>
      <c r="M272" s="731" t="s">
        <v>3922</v>
      </c>
      <c r="N272" s="731"/>
      <c r="O272" s="731" t="s">
        <v>3922</v>
      </c>
      <c r="P272" s="734">
        <f>+J272/1+1</f>
        <v>18.600000000000001</v>
      </c>
      <c r="Q272" s="731"/>
      <c r="R272" s="732"/>
      <c r="S272" s="735" t="s">
        <v>3923</v>
      </c>
      <c r="T272" s="734">
        <f>+P272</f>
        <v>18.600000000000001</v>
      </c>
      <c r="U272" s="731"/>
      <c r="V272" s="733"/>
      <c r="W272" s="704"/>
    </row>
    <row r="273" spans="2:38">
      <c r="B273" s="709"/>
      <c r="F273" s="710"/>
      <c r="G273" s="892"/>
      <c r="H273" s="876"/>
      <c r="J273" s="877"/>
      <c r="K273" s="877"/>
      <c r="L273" s="877"/>
      <c r="M273" s="877"/>
      <c r="N273" s="877"/>
      <c r="O273" s="877"/>
      <c r="P273" s="878"/>
      <c r="Q273" s="877"/>
      <c r="R273" s="879"/>
      <c r="S273" s="880"/>
      <c r="T273" s="877"/>
      <c r="U273" s="877"/>
      <c r="V273" s="881"/>
      <c r="W273" s="893"/>
    </row>
    <row r="274" spans="2:38">
      <c r="B274" s="709"/>
      <c r="F274" s="710"/>
      <c r="G274" s="729"/>
      <c r="H274" s="730"/>
      <c r="I274" s="730"/>
      <c r="J274" s="731"/>
      <c r="K274" s="731"/>
      <c r="L274" s="731"/>
      <c r="M274" s="731"/>
      <c r="N274" s="731"/>
      <c r="O274" s="731"/>
      <c r="P274" s="731"/>
      <c r="Q274" s="731"/>
      <c r="R274" s="732"/>
      <c r="S274" s="731"/>
      <c r="T274" s="731"/>
      <c r="U274" s="731"/>
      <c r="V274" s="733">
        <f>+T275+T276</f>
        <v>48.53</v>
      </c>
      <c r="W274" s="704" t="s">
        <v>2911</v>
      </c>
    </row>
    <row r="275" spans="2:38">
      <c r="B275" s="709"/>
      <c r="F275" s="710"/>
      <c r="G275" s="729"/>
      <c r="H275" s="730"/>
      <c r="I275" s="730" t="s">
        <v>3999</v>
      </c>
      <c r="J275" s="731">
        <v>30.93</v>
      </c>
      <c r="K275" s="731" t="s">
        <v>3922</v>
      </c>
      <c r="L275" s="731"/>
      <c r="M275" s="731" t="s">
        <v>3922</v>
      </c>
      <c r="N275" s="731"/>
      <c r="O275" s="731" t="s">
        <v>3922</v>
      </c>
      <c r="P275" s="734"/>
      <c r="Q275" s="731"/>
      <c r="R275" s="732"/>
      <c r="S275" s="735" t="s">
        <v>3923</v>
      </c>
      <c r="T275" s="731">
        <f>+J275</f>
        <v>30.93</v>
      </c>
      <c r="U275" s="731"/>
      <c r="V275" s="733"/>
      <c r="W275" s="704"/>
    </row>
    <row r="276" spans="2:38">
      <c r="B276" s="709"/>
      <c r="F276" s="710"/>
      <c r="G276" s="729"/>
      <c r="H276" s="730"/>
      <c r="I276" s="730" t="s">
        <v>4000</v>
      </c>
      <c r="J276" s="731">
        <v>17.600000000000001</v>
      </c>
      <c r="K276" s="731" t="s">
        <v>3922</v>
      </c>
      <c r="L276" s="731"/>
      <c r="M276" s="731" t="s">
        <v>3922</v>
      </c>
      <c r="N276" s="731"/>
      <c r="O276" s="731" t="s">
        <v>3922</v>
      </c>
      <c r="P276" s="734"/>
      <c r="Q276" s="731"/>
      <c r="R276" s="732"/>
      <c r="S276" s="735" t="s">
        <v>3923</v>
      </c>
      <c r="T276" s="731">
        <f>+J276</f>
        <v>17.600000000000001</v>
      </c>
      <c r="U276" s="731"/>
      <c r="V276" s="733"/>
      <c r="W276" s="704"/>
    </row>
    <row r="277" spans="2:38" ht="16" thickBot="1">
      <c r="B277" s="743"/>
      <c r="C277" s="744"/>
      <c r="D277" s="744"/>
      <c r="E277" s="744"/>
      <c r="F277" s="745"/>
      <c r="G277" s="746"/>
      <c r="H277" s="747"/>
      <c r="I277" s="748"/>
      <c r="J277" s="749"/>
      <c r="K277" s="748"/>
      <c r="L277" s="748"/>
      <c r="M277" s="750"/>
      <c r="N277" s="751"/>
      <c r="O277" s="751"/>
      <c r="P277" s="751"/>
      <c r="Q277" s="751"/>
      <c r="R277" s="752"/>
      <c r="S277" s="751"/>
      <c r="T277" s="751"/>
      <c r="U277" s="751"/>
      <c r="V277" s="753"/>
      <c r="W277" s="754"/>
    </row>
    <row r="278" spans="2:38" ht="16" thickTop="1">
      <c r="B278" s="802" t="s">
        <v>3521</v>
      </c>
      <c r="C278" s="716" t="s">
        <v>3933</v>
      </c>
      <c r="D278" s="717"/>
      <c r="E278" s="717"/>
      <c r="F278" s="718"/>
      <c r="G278" s="1765" t="s">
        <v>3888</v>
      </c>
      <c r="H278" s="1766"/>
      <c r="I278" s="1766"/>
      <c r="J278" s="1766"/>
      <c r="K278" s="1766"/>
      <c r="L278" s="1766"/>
      <c r="M278" s="1766"/>
      <c r="N278" s="1766"/>
      <c r="O278" s="1766"/>
      <c r="P278" s="1766"/>
      <c r="Q278" s="1766"/>
      <c r="R278" s="1766"/>
      <c r="S278" s="1766"/>
      <c r="T278" s="1766"/>
      <c r="U278" s="1766"/>
      <c r="V278" s="1766"/>
      <c r="W278" s="1767"/>
    </row>
    <row r="279" spans="2:38" ht="16" thickBot="1">
      <c r="B279" s="803" t="s">
        <v>3897</v>
      </c>
      <c r="C279" s="804" t="s">
        <v>3780</v>
      </c>
      <c r="D279" s="804"/>
      <c r="E279" s="804"/>
      <c r="F279" s="883"/>
      <c r="G279" s="722"/>
      <c r="H279" s="683"/>
      <c r="I279" s="683"/>
      <c r="J279" s="684" t="s">
        <v>3889</v>
      </c>
      <c r="K279" s="684"/>
      <c r="L279" s="684" t="s">
        <v>3890</v>
      </c>
      <c r="M279" s="684"/>
      <c r="N279" s="684" t="s">
        <v>3891</v>
      </c>
      <c r="O279" s="684"/>
      <c r="P279" s="684" t="s">
        <v>3892</v>
      </c>
      <c r="Q279" s="684"/>
      <c r="R279" s="685" t="s">
        <v>3893</v>
      </c>
      <c r="S279" s="686"/>
      <c r="T279" s="687" t="s">
        <v>3894</v>
      </c>
      <c r="U279" s="686"/>
      <c r="V279" s="688" t="s">
        <v>3895</v>
      </c>
      <c r="W279" s="689" t="s">
        <v>3896</v>
      </c>
    </row>
    <row r="280" spans="2:38">
      <c r="B280" s="723"/>
      <c r="C280" s="720"/>
      <c r="D280" s="720"/>
      <c r="E280" s="720"/>
      <c r="F280" s="721"/>
      <c r="G280" s="724"/>
      <c r="H280" s="725"/>
      <c r="I280" s="725"/>
      <c r="J280" s="726"/>
      <c r="K280" s="726"/>
      <c r="L280" s="726"/>
      <c r="M280" s="726"/>
      <c r="N280" s="726"/>
      <c r="O280" s="726"/>
      <c r="P280" s="726"/>
      <c r="Q280" s="726"/>
      <c r="R280" s="727"/>
      <c r="S280" s="726"/>
      <c r="T280" s="726"/>
      <c r="U280" s="726"/>
      <c r="V280" s="758"/>
      <c r="W280" s="728"/>
    </row>
    <row r="281" spans="2:38">
      <c r="B281" s="709"/>
      <c r="F281" s="710"/>
      <c r="G281" s="729"/>
      <c r="H281" s="730"/>
      <c r="I281" s="730"/>
      <c r="J281" s="731"/>
      <c r="K281" s="731"/>
      <c r="L281" s="731"/>
      <c r="M281" s="731"/>
      <c r="N281" s="777"/>
      <c r="O281" s="731"/>
      <c r="P281" s="734"/>
      <c r="Q281" s="731"/>
      <c r="R281" s="732"/>
      <c r="S281" s="735"/>
      <c r="T281" s="731"/>
      <c r="U281" s="731"/>
      <c r="V281" s="703">
        <f>SUM(T282:T284)</f>
        <v>10.724500000000001</v>
      </c>
      <c r="W281" s="704" t="s">
        <v>375</v>
      </c>
    </row>
    <row r="282" spans="2:38">
      <c r="B282" s="709"/>
      <c r="F282" s="710"/>
      <c r="G282" s="775"/>
      <c r="H282" s="776"/>
      <c r="I282" s="776" t="s">
        <v>3995</v>
      </c>
      <c r="J282" s="777">
        <f>J293</f>
        <v>30.93</v>
      </c>
      <c r="K282" s="777" t="s">
        <v>3922</v>
      </c>
      <c r="L282" s="777">
        <f>L293</f>
        <v>2.5</v>
      </c>
      <c r="M282" s="777" t="s">
        <v>3922</v>
      </c>
      <c r="N282" s="777">
        <v>0.1</v>
      </c>
      <c r="O282" s="777" t="s">
        <v>3922</v>
      </c>
      <c r="P282" s="790">
        <v>1</v>
      </c>
      <c r="Q282" s="777"/>
      <c r="R282" s="778"/>
      <c r="S282" s="784" t="s">
        <v>3923</v>
      </c>
      <c r="T282" s="777">
        <f>J282*L282*N282*P282</f>
        <v>7.7325000000000008</v>
      </c>
      <c r="U282" s="777"/>
      <c r="V282" s="733"/>
      <c r="W282" s="736"/>
      <c r="Y282" s="805"/>
      <c r="Z282" s="805"/>
      <c r="AA282" s="805"/>
      <c r="AB282" s="805"/>
      <c r="AC282" s="805"/>
      <c r="AD282" s="794"/>
      <c r="AE282" s="794"/>
      <c r="AF282" s="794"/>
      <c r="AG282" s="806"/>
      <c r="AH282" s="793"/>
      <c r="AI282" s="794"/>
      <c r="AJ282" s="807"/>
      <c r="AK282" s="808" t="e">
        <f>+AI283+#REF!</f>
        <v>#REF!</v>
      </c>
      <c r="AL282" s="809" t="s">
        <v>375</v>
      </c>
    </row>
    <row r="283" spans="2:38">
      <c r="B283" s="709"/>
      <c r="F283" s="710"/>
      <c r="G283" s="775"/>
      <c r="H283" s="776"/>
      <c r="I283" s="776" t="s">
        <v>3996</v>
      </c>
      <c r="J283" s="777">
        <f>+J276</f>
        <v>17.600000000000001</v>
      </c>
      <c r="K283" s="777" t="s">
        <v>3922</v>
      </c>
      <c r="L283" s="777">
        <v>1.7</v>
      </c>
      <c r="M283" s="777" t="s">
        <v>3922</v>
      </c>
      <c r="N283" s="777">
        <v>0.1</v>
      </c>
      <c r="O283" s="777" t="s">
        <v>3922</v>
      </c>
      <c r="P283" s="790">
        <v>1</v>
      </c>
      <c r="Q283" s="777"/>
      <c r="R283" s="778"/>
      <c r="S283" s="784" t="s">
        <v>3923</v>
      </c>
      <c r="T283" s="777">
        <f>J283*L283*N283*P283</f>
        <v>2.9920000000000004</v>
      </c>
      <c r="U283" s="777"/>
      <c r="V283" s="733"/>
      <c r="W283" s="736"/>
      <c r="Y283" s="805"/>
      <c r="Z283" s="805"/>
      <c r="AA283" s="805"/>
      <c r="AB283" s="805"/>
      <c r="AC283" s="805"/>
      <c r="AD283" s="794"/>
      <c r="AE283" s="794"/>
      <c r="AF283" s="794"/>
      <c r="AG283" s="806"/>
      <c r="AH283" s="793"/>
      <c r="AI283" s="794"/>
      <c r="AJ283" s="807"/>
      <c r="AK283" s="808" t="e">
        <f>+AI284+#REF!</f>
        <v>#REF!</v>
      </c>
      <c r="AL283" s="809" t="s">
        <v>375</v>
      </c>
    </row>
    <row r="284" spans="2:38">
      <c r="B284" s="760"/>
      <c r="F284" s="710"/>
      <c r="G284" s="811"/>
      <c r="H284" s="812"/>
      <c r="I284" s="812"/>
      <c r="J284" s="791"/>
      <c r="K284" s="791"/>
      <c r="L284" s="791"/>
      <c r="M284" s="791"/>
      <c r="N284" s="791"/>
      <c r="O284" s="791"/>
      <c r="P284" s="791"/>
      <c r="Q284" s="791"/>
      <c r="R284" s="792"/>
      <c r="S284" s="793"/>
      <c r="T284" s="794"/>
      <c r="U284" s="807"/>
      <c r="V284" s="810"/>
      <c r="W284" s="809"/>
    </row>
    <row r="285" spans="2:38">
      <c r="B285" s="709"/>
      <c r="F285" s="710"/>
      <c r="G285" s="729"/>
      <c r="H285" s="730"/>
      <c r="I285" s="730"/>
      <c r="J285" s="731"/>
      <c r="K285" s="731"/>
      <c r="L285" s="731"/>
      <c r="M285" s="731"/>
      <c r="N285" s="777"/>
      <c r="O285" s="731"/>
      <c r="P285" s="734"/>
      <c r="Q285" s="731"/>
      <c r="R285" s="732"/>
      <c r="S285" s="735"/>
      <c r="T285" s="731"/>
      <c r="U285" s="731"/>
      <c r="V285" s="703">
        <f>SUM(T286:T288)</f>
        <v>10.724500000000001</v>
      </c>
      <c r="W285" s="704" t="s">
        <v>375</v>
      </c>
    </row>
    <row r="286" spans="2:38">
      <c r="B286" s="709"/>
      <c r="C286" s="670" t="s">
        <v>4001</v>
      </c>
      <c r="F286" s="710"/>
      <c r="G286" s="775"/>
      <c r="H286" s="776"/>
      <c r="I286" s="776" t="s">
        <v>3995</v>
      </c>
      <c r="J286" s="777">
        <f>J282</f>
        <v>30.93</v>
      </c>
      <c r="K286" s="777" t="s">
        <v>3922</v>
      </c>
      <c r="L286" s="777">
        <f>L282</f>
        <v>2.5</v>
      </c>
      <c r="M286" s="777" t="s">
        <v>3922</v>
      </c>
      <c r="N286" s="777">
        <v>0.1</v>
      </c>
      <c r="O286" s="777" t="s">
        <v>3922</v>
      </c>
      <c r="P286" s="790">
        <v>1</v>
      </c>
      <c r="Q286" s="777"/>
      <c r="R286" s="778"/>
      <c r="S286" s="784" t="s">
        <v>3923</v>
      </c>
      <c r="T286" s="777">
        <f>J286*L286*N286*P286</f>
        <v>7.7325000000000008</v>
      </c>
      <c r="U286" s="777"/>
      <c r="V286" s="733"/>
      <c r="W286" s="736"/>
      <c r="Y286" s="805"/>
      <c r="Z286" s="805"/>
      <c r="AA286" s="805"/>
      <c r="AB286" s="805"/>
      <c r="AC286" s="805"/>
      <c r="AD286" s="794"/>
      <c r="AE286" s="794"/>
      <c r="AF286" s="794"/>
      <c r="AG286" s="806"/>
      <c r="AH286" s="793"/>
      <c r="AI286" s="794"/>
      <c r="AJ286" s="807"/>
      <c r="AK286" s="808" t="e">
        <f>+AI287+#REF!</f>
        <v>#REF!</v>
      </c>
      <c r="AL286" s="809" t="s">
        <v>375</v>
      </c>
    </row>
    <row r="287" spans="2:38">
      <c r="B287" s="709"/>
      <c r="F287" s="710"/>
      <c r="G287" s="775"/>
      <c r="H287" s="776"/>
      <c r="I287" s="776" t="s">
        <v>3996</v>
      </c>
      <c r="J287" s="777">
        <f>J283</f>
        <v>17.600000000000001</v>
      </c>
      <c r="K287" s="777" t="s">
        <v>3922</v>
      </c>
      <c r="L287" s="777">
        <v>1.7</v>
      </c>
      <c r="M287" s="777" t="s">
        <v>3922</v>
      </c>
      <c r="N287" s="777">
        <v>0.1</v>
      </c>
      <c r="O287" s="777" t="s">
        <v>3922</v>
      </c>
      <c r="P287" s="790">
        <v>1</v>
      </c>
      <c r="Q287" s="777"/>
      <c r="R287" s="778"/>
      <c r="S287" s="784" t="s">
        <v>3923</v>
      </c>
      <c r="T287" s="777">
        <f>J287*L287*N287*P287</f>
        <v>2.9920000000000004</v>
      </c>
      <c r="U287" s="777"/>
      <c r="V287" s="733"/>
      <c r="W287" s="736"/>
      <c r="Y287" s="805"/>
      <c r="Z287" s="805"/>
      <c r="AA287" s="805"/>
      <c r="AB287" s="805"/>
      <c r="AC287" s="805"/>
      <c r="AD287" s="794"/>
      <c r="AE287" s="794"/>
      <c r="AF287" s="794"/>
      <c r="AG287" s="806"/>
      <c r="AH287" s="793"/>
      <c r="AI287" s="794"/>
      <c r="AJ287" s="807"/>
      <c r="AK287" s="808" t="e">
        <f>+AI288+#REF!</f>
        <v>#REF!</v>
      </c>
      <c r="AL287" s="809" t="s">
        <v>375</v>
      </c>
    </row>
    <row r="288" spans="2:38" ht="16" thickBot="1">
      <c r="B288" s="813"/>
      <c r="C288" s="683"/>
      <c r="D288" s="683"/>
      <c r="E288" s="683"/>
      <c r="F288" s="714"/>
      <c r="G288" s="814"/>
      <c r="H288" s="815"/>
      <c r="I288" s="815"/>
      <c r="J288" s="805"/>
      <c r="K288" s="805"/>
      <c r="L288" s="805"/>
      <c r="M288" s="805"/>
      <c r="N288" s="805"/>
      <c r="O288" s="794"/>
      <c r="P288" s="794"/>
      <c r="Q288" s="794"/>
      <c r="R288" s="806"/>
      <c r="S288" s="793"/>
      <c r="T288" s="794"/>
      <c r="U288" s="807"/>
      <c r="V288" s="808"/>
      <c r="W288" s="809"/>
    </row>
    <row r="289" spans="2:23">
      <c r="B289" s="787">
        <v>2</v>
      </c>
      <c r="C289" s="788" t="s">
        <v>3990</v>
      </c>
      <c r="D289" s="788"/>
      <c r="E289" s="788"/>
      <c r="F289" s="789"/>
      <c r="G289" s="1765" t="s">
        <v>3888</v>
      </c>
      <c r="H289" s="1766"/>
      <c r="I289" s="1766"/>
      <c r="J289" s="1766"/>
      <c r="K289" s="1766"/>
      <c r="L289" s="1766"/>
      <c r="M289" s="1766"/>
      <c r="N289" s="1766"/>
      <c r="O289" s="1766"/>
      <c r="P289" s="1766"/>
      <c r="Q289" s="1766"/>
      <c r="R289" s="1766"/>
      <c r="S289" s="1766"/>
      <c r="T289" s="1766"/>
      <c r="U289" s="1766"/>
      <c r="V289" s="1766"/>
      <c r="W289" s="1767"/>
    </row>
    <row r="290" spans="2:23" ht="16" thickBot="1">
      <c r="B290" s="723"/>
      <c r="C290" s="720"/>
      <c r="D290" s="720"/>
      <c r="E290" s="720"/>
      <c r="F290" s="721"/>
      <c r="G290" s="722"/>
      <c r="H290" s="683"/>
      <c r="I290" s="683"/>
      <c r="J290" s="684" t="s">
        <v>3889</v>
      </c>
      <c r="K290" s="684"/>
      <c r="L290" s="684" t="s">
        <v>3890</v>
      </c>
      <c r="M290" s="684"/>
      <c r="N290" s="684" t="s">
        <v>3891</v>
      </c>
      <c r="O290" s="684"/>
      <c r="P290" s="684" t="s">
        <v>3892</v>
      </c>
      <c r="Q290" s="684"/>
      <c r="R290" s="685" t="s">
        <v>3893</v>
      </c>
      <c r="S290" s="686"/>
      <c r="T290" s="687" t="s">
        <v>3894</v>
      </c>
      <c r="U290" s="686"/>
      <c r="V290" s="688" t="s">
        <v>3895</v>
      </c>
      <c r="W290" s="689" t="s">
        <v>3896</v>
      </c>
    </row>
    <row r="291" spans="2:23" ht="16" thickTop="1">
      <c r="B291" s="723"/>
      <c r="C291" s="720"/>
      <c r="D291" s="720"/>
      <c r="E291" s="720"/>
      <c r="F291" s="721"/>
      <c r="G291" s="724"/>
      <c r="H291" s="725"/>
      <c r="I291" s="725"/>
      <c r="J291" s="726"/>
      <c r="K291" s="726"/>
      <c r="L291" s="726"/>
      <c r="M291" s="726"/>
      <c r="N291" s="726"/>
      <c r="O291" s="726"/>
      <c r="P291" s="726"/>
      <c r="Q291" s="726"/>
      <c r="R291" s="727"/>
      <c r="S291" s="726"/>
      <c r="T291" s="726"/>
      <c r="U291" s="726"/>
      <c r="V291" s="758"/>
      <c r="W291" s="728"/>
    </row>
    <row r="292" spans="2:23">
      <c r="B292" s="709"/>
      <c r="F292" s="710"/>
      <c r="G292" s="729" t="s">
        <v>3992</v>
      </c>
      <c r="H292" s="730"/>
      <c r="I292" s="730"/>
      <c r="J292" s="731"/>
      <c r="K292" s="731"/>
      <c r="L292" s="731"/>
      <c r="M292" s="731"/>
      <c r="N292" s="731"/>
      <c r="O292" s="731"/>
      <c r="P292" s="734"/>
      <c r="Q292" s="731"/>
      <c r="R292" s="732"/>
      <c r="S292" s="735"/>
      <c r="T292" s="731"/>
      <c r="U292" s="731"/>
      <c r="V292" s="703">
        <f>+T293</f>
        <v>27.063749999999999</v>
      </c>
      <c r="W292" s="704" t="s">
        <v>375</v>
      </c>
    </row>
    <row r="293" spans="2:23">
      <c r="B293" s="709"/>
      <c r="F293" s="710"/>
      <c r="G293" s="775"/>
      <c r="H293" s="776"/>
      <c r="I293" s="776"/>
      <c r="J293" s="731">
        <v>30.93</v>
      </c>
      <c r="K293" s="731" t="s">
        <v>3922</v>
      </c>
      <c r="L293" s="731">
        <v>2.5</v>
      </c>
      <c r="M293" s="731" t="s">
        <v>3922</v>
      </c>
      <c r="N293" s="731">
        <v>0.35</v>
      </c>
      <c r="O293" s="731" t="s">
        <v>3922</v>
      </c>
      <c r="P293" s="734">
        <v>1</v>
      </c>
      <c r="Q293" s="731"/>
      <c r="R293" s="732"/>
      <c r="S293" s="735" t="s">
        <v>3923</v>
      </c>
      <c r="T293" s="731">
        <f>J293*L293*N293*P293</f>
        <v>27.063749999999999</v>
      </c>
      <c r="U293" s="731"/>
      <c r="V293" s="733"/>
      <c r="W293" s="736"/>
    </row>
    <row r="294" spans="2:23">
      <c r="B294" s="737"/>
      <c r="C294" s="738"/>
      <c r="D294" s="738"/>
      <c r="E294" s="738"/>
      <c r="F294" s="739"/>
      <c r="G294" s="816"/>
      <c r="H294" s="730"/>
      <c r="I294" s="780"/>
      <c r="J294" s="781"/>
      <c r="K294" s="781"/>
      <c r="L294" s="781"/>
      <c r="M294" s="781"/>
      <c r="N294" s="781"/>
      <c r="O294" s="781"/>
      <c r="P294" s="820"/>
      <c r="Q294" s="781"/>
      <c r="R294" s="782"/>
      <c r="S294" s="783"/>
      <c r="T294" s="781"/>
      <c r="U294" s="731"/>
      <c r="V294" s="733"/>
      <c r="W294" s="736"/>
    </row>
    <row r="295" spans="2:23">
      <c r="B295" s="737"/>
      <c r="C295" s="738"/>
      <c r="D295" s="738"/>
      <c r="E295" s="738"/>
      <c r="F295" s="739"/>
      <c r="G295" s="816" t="s">
        <v>3935</v>
      </c>
      <c r="H295" s="730" t="s">
        <v>3939</v>
      </c>
      <c r="I295" s="730"/>
      <c r="J295" s="731"/>
      <c r="K295" s="731"/>
      <c r="L295" s="731">
        <f>+J293/0.15</f>
        <v>206.20000000000002</v>
      </c>
      <c r="M295" s="731"/>
      <c r="N295" s="731"/>
      <c r="O295" s="731"/>
      <c r="P295" s="734"/>
      <c r="Q295" s="731"/>
      <c r="R295" s="732"/>
      <c r="S295" s="735"/>
      <c r="T295" s="731"/>
      <c r="U295" s="731"/>
      <c r="V295" s="733">
        <f>T298</f>
        <v>2679.3530453333337</v>
      </c>
      <c r="W295" s="736" t="s">
        <v>93</v>
      </c>
    </row>
    <row r="296" spans="2:23">
      <c r="B296" s="737"/>
      <c r="C296" s="738"/>
      <c r="D296" s="738"/>
      <c r="E296" s="738"/>
      <c r="F296" s="739"/>
      <c r="G296" s="816"/>
      <c r="H296" s="730"/>
      <c r="I296" s="730"/>
      <c r="J296" s="731"/>
      <c r="K296" s="731"/>
      <c r="L296" s="731">
        <f>+N293/0.15</f>
        <v>2.3333333333333335</v>
      </c>
      <c r="M296" s="731"/>
      <c r="N296" s="731"/>
      <c r="O296" s="731"/>
      <c r="P296" s="734"/>
      <c r="Q296" s="731"/>
      <c r="R296" s="732"/>
      <c r="S296" s="735"/>
      <c r="T296" s="731"/>
      <c r="U296" s="731"/>
      <c r="V296" s="733"/>
      <c r="W296" s="736"/>
    </row>
    <row r="297" spans="2:23">
      <c r="B297" s="737"/>
      <c r="C297" s="738"/>
      <c r="D297" s="738"/>
      <c r="E297" s="738"/>
      <c r="F297" s="739"/>
      <c r="G297" s="816"/>
      <c r="H297" s="730"/>
      <c r="I297" s="730"/>
      <c r="J297" s="817" t="s">
        <v>3889</v>
      </c>
      <c r="K297" s="817"/>
      <c r="L297" s="817" t="s">
        <v>3892</v>
      </c>
      <c r="M297" s="731"/>
      <c r="N297" s="731"/>
      <c r="O297" s="731"/>
      <c r="P297" s="734"/>
      <c r="Q297" s="731"/>
      <c r="R297" s="732"/>
      <c r="S297" s="735"/>
      <c r="T297" s="731"/>
      <c r="U297" s="731"/>
      <c r="V297" s="733"/>
      <c r="W297" s="736"/>
    </row>
    <row r="298" spans="2:23">
      <c r="B298" s="737"/>
      <c r="C298" s="738"/>
      <c r="D298" s="738"/>
      <c r="E298" s="738"/>
      <c r="F298" s="739"/>
      <c r="G298" s="816"/>
      <c r="H298" s="730" t="s">
        <v>3311</v>
      </c>
      <c r="I298" s="730"/>
      <c r="J298" s="731">
        <f>1.56+1.56+0.46+0.346+0.07+0.07</f>
        <v>4.0659999999999998</v>
      </c>
      <c r="K298" s="731" t="s">
        <v>3922</v>
      </c>
      <c r="L298" s="734">
        <f>+(L295+L296)*2</f>
        <v>417.06666666666672</v>
      </c>
      <c r="M298" s="731"/>
      <c r="N298" s="731"/>
      <c r="O298" s="731" t="s">
        <v>3936</v>
      </c>
      <c r="P298" s="734">
        <f>P293</f>
        <v>1</v>
      </c>
      <c r="Q298" s="731" t="s">
        <v>3922</v>
      </c>
      <c r="R298" s="732">
        <v>1.58</v>
      </c>
      <c r="S298" s="735" t="s">
        <v>3923</v>
      </c>
      <c r="T298" s="731">
        <f>J298*L298*P298*R298</f>
        <v>2679.3530453333337</v>
      </c>
      <c r="U298" s="731"/>
      <c r="V298" s="733"/>
      <c r="W298" s="736"/>
    </row>
    <row r="299" spans="2:23">
      <c r="B299" s="737"/>
      <c r="C299" s="738"/>
      <c r="D299" s="738"/>
      <c r="E299" s="738"/>
      <c r="F299" s="739"/>
      <c r="G299" s="816"/>
      <c r="H299" s="730"/>
      <c r="I299" s="730"/>
      <c r="J299" s="731"/>
      <c r="K299" s="731"/>
      <c r="L299" s="731"/>
      <c r="M299" s="731"/>
      <c r="N299" s="731"/>
      <c r="O299" s="731"/>
      <c r="P299" s="734"/>
      <c r="Q299" s="731"/>
      <c r="R299" s="732"/>
      <c r="S299" s="735"/>
      <c r="T299" s="731"/>
      <c r="U299" s="731"/>
      <c r="V299" s="733"/>
      <c r="W299" s="736"/>
    </row>
    <row r="300" spans="2:23">
      <c r="B300" s="737"/>
      <c r="C300" s="738"/>
      <c r="D300" s="738"/>
      <c r="E300" s="738"/>
      <c r="F300" s="739"/>
      <c r="G300" s="816" t="s">
        <v>3937</v>
      </c>
      <c r="H300" s="730" t="s">
        <v>3938</v>
      </c>
      <c r="I300" s="730"/>
      <c r="J300" s="731"/>
      <c r="K300" s="731"/>
      <c r="L300" s="731"/>
      <c r="M300" s="731"/>
      <c r="N300" s="731"/>
      <c r="O300" s="731"/>
      <c r="P300" s="734"/>
      <c r="Q300" s="731"/>
      <c r="R300" s="732"/>
      <c r="S300" s="735"/>
      <c r="T300" s="731"/>
      <c r="U300" s="731"/>
      <c r="V300" s="733">
        <f>T302</f>
        <v>43.302</v>
      </c>
      <c r="W300" s="736" t="s">
        <v>376</v>
      </c>
    </row>
    <row r="301" spans="2:23">
      <c r="B301" s="737"/>
      <c r="C301" s="738"/>
      <c r="D301" s="738"/>
      <c r="E301" s="738"/>
      <c r="F301" s="739"/>
      <c r="G301" s="816"/>
      <c r="H301" s="730"/>
      <c r="I301" s="730"/>
      <c r="J301" s="731"/>
      <c r="K301" s="731"/>
      <c r="L301" s="731"/>
      <c r="M301" s="731"/>
      <c r="N301" s="731"/>
      <c r="O301" s="731"/>
      <c r="P301" s="734"/>
      <c r="Q301" s="731"/>
      <c r="R301" s="732"/>
      <c r="S301" s="735"/>
      <c r="T301" s="731"/>
      <c r="U301" s="731"/>
      <c r="V301" s="733"/>
      <c r="W301" s="736"/>
    </row>
    <row r="302" spans="2:23">
      <c r="B302" s="737"/>
      <c r="C302" s="738"/>
      <c r="D302" s="738"/>
      <c r="E302" s="738"/>
      <c r="F302" s="739"/>
      <c r="G302" s="816"/>
      <c r="H302" s="730"/>
      <c r="I302" s="730"/>
      <c r="J302" s="731">
        <f>+J293</f>
        <v>30.93</v>
      </c>
      <c r="K302" s="731"/>
      <c r="L302" s="731"/>
      <c r="M302" s="731" t="s">
        <v>3922</v>
      </c>
      <c r="N302" s="731">
        <f>+N293</f>
        <v>0.35</v>
      </c>
      <c r="O302" s="731" t="s">
        <v>3922</v>
      </c>
      <c r="P302" s="734">
        <f>4*P293</f>
        <v>4</v>
      </c>
      <c r="Q302" s="731"/>
      <c r="R302" s="732"/>
      <c r="S302" s="735" t="s">
        <v>3923</v>
      </c>
      <c r="T302" s="731">
        <f>J302*N302*P302</f>
        <v>43.302</v>
      </c>
      <c r="U302" s="731"/>
      <c r="V302" s="733"/>
      <c r="W302" s="736"/>
    </row>
    <row r="303" spans="2:23">
      <c r="B303" s="737"/>
      <c r="C303" s="738"/>
      <c r="D303" s="738"/>
      <c r="E303" s="738"/>
      <c r="F303" s="739"/>
      <c r="G303" s="816"/>
      <c r="H303" s="730"/>
      <c r="I303" s="730"/>
      <c r="J303" s="731"/>
      <c r="K303" s="731"/>
      <c r="L303" s="731"/>
      <c r="M303" s="731"/>
      <c r="N303" s="731"/>
      <c r="O303" s="731"/>
      <c r="P303" s="734"/>
      <c r="Q303" s="731"/>
      <c r="R303" s="732"/>
      <c r="S303" s="735"/>
      <c r="T303" s="731"/>
      <c r="U303" s="731"/>
      <c r="V303" s="733"/>
      <c r="W303" s="736"/>
    </row>
    <row r="304" spans="2:23">
      <c r="B304" s="737"/>
      <c r="C304" s="738"/>
      <c r="D304" s="738"/>
      <c r="E304" s="738"/>
      <c r="F304" s="739"/>
      <c r="G304" s="876" t="s">
        <v>3940</v>
      </c>
      <c r="H304" s="876" t="s">
        <v>3967</v>
      </c>
      <c r="I304" s="876"/>
      <c r="J304" s="731">
        <v>30.93</v>
      </c>
      <c r="K304" s="731" t="s">
        <v>3922</v>
      </c>
      <c r="L304" s="731">
        <v>2.5</v>
      </c>
      <c r="M304" s="731" t="s">
        <v>3922</v>
      </c>
      <c r="N304" s="731">
        <v>0.1</v>
      </c>
      <c r="O304" s="731" t="s">
        <v>3922</v>
      </c>
      <c r="P304" s="734">
        <v>1</v>
      </c>
      <c r="Q304" s="731"/>
      <c r="R304" s="732"/>
      <c r="S304" s="735" t="s">
        <v>3923</v>
      </c>
      <c r="T304" s="731">
        <f>J304*L304*N304*P304</f>
        <v>7.7325000000000008</v>
      </c>
      <c r="U304" s="877"/>
      <c r="V304" s="881">
        <f>+T304</f>
        <v>7.7325000000000008</v>
      </c>
      <c r="W304" s="882" t="s">
        <v>375</v>
      </c>
    </row>
    <row r="305" spans="2:23">
      <c r="B305" s="737"/>
      <c r="C305" s="738"/>
      <c r="D305" s="738"/>
      <c r="E305" s="738"/>
      <c r="F305" s="739"/>
      <c r="G305" s="876"/>
      <c r="H305" s="876"/>
      <c r="I305" s="876"/>
      <c r="J305" s="877"/>
      <c r="K305" s="877"/>
      <c r="L305" s="877"/>
      <c r="M305" s="877"/>
      <c r="N305" s="877"/>
      <c r="O305" s="877"/>
      <c r="P305" s="878"/>
      <c r="Q305" s="877"/>
      <c r="R305" s="879"/>
      <c r="S305" s="880"/>
      <c r="T305" s="877"/>
      <c r="U305" s="877"/>
      <c r="V305" s="881"/>
      <c r="W305" s="882"/>
    </row>
    <row r="306" spans="2:23">
      <c r="B306" s="737"/>
      <c r="C306" s="738"/>
      <c r="D306" s="738"/>
      <c r="E306" s="738"/>
      <c r="F306" s="739"/>
      <c r="G306" s="876" t="s">
        <v>4003</v>
      </c>
      <c r="H306" s="876" t="s">
        <v>3268</v>
      </c>
      <c r="I306" s="876"/>
      <c r="J306" s="731">
        <v>30.93</v>
      </c>
      <c r="K306" s="731" t="s">
        <v>3922</v>
      </c>
      <c r="L306" s="731">
        <v>2.5</v>
      </c>
      <c r="M306" s="731" t="s">
        <v>3922</v>
      </c>
      <c r="N306" s="731">
        <v>0.1</v>
      </c>
      <c r="O306" s="731" t="s">
        <v>3922</v>
      </c>
      <c r="P306" s="734">
        <v>1</v>
      </c>
      <c r="Q306" s="731"/>
      <c r="R306" s="732"/>
      <c r="S306" s="735" t="s">
        <v>3923</v>
      </c>
      <c r="T306" s="731">
        <f>J306*L306*N306*P306</f>
        <v>7.7325000000000008</v>
      </c>
      <c r="U306" s="877"/>
      <c r="V306" s="881">
        <f>+T306</f>
        <v>7.7325000000000008</v>
      </c>
      <c r="W306" s="882" t="s">
        <v>375</v>
      </c>
    </row>
    <row r="307" spans="2:23" ht="16" thickBot="1">
      <c r="B307" s="763"/>
      <c r="C307" s="744"/>
      <c r="D307" s="744"/>
      <c r="E307" s="744"/>
      <c r="F307" s="745"/>
      <c r="G307" s="818"/>
      <c r="H307" s="819"/>
      <c r="I307" s="819"/>
      <c r="J307" s="819"/>
      <c r="K307" s="819"/>
      <c r="L307" s="819"/>
      <c r="M307" s="750"/>
      <c r="N307" s="751"/>
      <c r="O307" s="751"/>
      <c r="P307" s="751"/>
      <c r="Q307" s="751"/>
      <c r="R307" s="752"/>
      <c r="S307" s="751"/>
      <c r="T307" s="751"/>
      <c r="U307" s="751"/>
      <c r="V307" s="767"/>
      <c r="W307" s="754"/>
    </row>
    <row r="308" spans="2:23" ht="16" thickTop="1">
      <c r="B308" s="787">
        <v>3</v>
      </c>
      <c r="C308" s="788" t="s">
        <v>3991</v>
      </c>
      <c r="D308" s="788"/>
      <c r="E308" s="788"/>
      <c r="F308" s="789"/>
      <c r="G308" s="1765" t="s">
        <v>3888</v>
      </c>
      <c r="H308" s="1766"/>
      <c r="I308" s="1766"/>
      <c r="J308" s="1766"/>
      <c r="K308" s="1766"/>
      <c r="L308" s="1766"/>
      <c r="M308" s="1766"/>
      <c r="N308" s="1766"/>
      <c r="O308" s="1766"/>
      <c r="P308" s="1766"/>
      <c r="Q308" s="1766"/>
      <c r="R308" s="1766"/>
      <c r="S308" s="1766"/>
      <c r="T308" s="1766"/>
      <c r="U308" s="1766"/>
      <c r="V308" s="1766"/>
      <c r="W308" s="1767"/>
    </row>
    <row r="309" spans="2:23" ht="16" thickBot="1">
      <c r="B309" s="723"/>
      <c r="C309" s="720"/>
      <c r="D309" s="720"/>
      <c r="E309" s="720"/>
      <c r="F309" s="721"/>
      <c r="G309" s="722"/>
      <c r="H309" s="683"/>
      <c r="I309" s="683"/>
      <c r="J309" s="684" t="s">
        <v>3889</v>
      </c>
      <c r="K309" s="684"/>
      <c r="L309" s="684" t="s">
        <v>3890</v>
      </c>
      <c r="M309" s="684"/>
      <c r="N309" s="684" t="s">
        <v>3891</v>
      </c>
      <c r="O309" s="684"/>
      <c r="P309" s="684" t="s">
        <v>3892</v>
      </c>
      <c r="Q309" s="684"/>
      <c r="R309" s="685" t="s">
        <v>3893</v>
      </c>
      <c r="S309" s="686"/>
      <c r="T309" s="687" t="s">
        <v>3894</v>
      </c>
      <c r="U309" s="686"/>
      <c r="V309" s="688" t="s">
        <v>3895</v>
      </c>
      <c r="W309" s="689" t="s">
        <v>3896</v>
      </c>
    </row>
    <row r="310" spans="2:23">
      <c r="B310" s="723"/>
      <c r="C310" s="720"/>
      <c r="D310" s="720"/>
      <c r="E310" s="720"/>
      <c r="F310" s="721"/>
      <c r="G310" s="724"/>
      <c r="H310" s="725"/>
      <c r="I310" s="725"/>
      <c r="J310" s="726"/>
      <c r="K310" s="726"/>
      <c r="L310" s="726"/>
      <c r="M310" s="726"/>
      <c r="N310" s="726"/>
      <c r="O310" s="726"/>
      <c r="P310" s="726"/>
      <c r="Q310" s="726"/>
      <c r="R310" s="727"/>
      <c r="S310" s="726"/>
      <c r="T310" s="726"/>
      <c r="U310" s="726"/>
      <c r="V310" s="758"/>
      <c r="W310" s="728"/>
    </row>
    <row r="311" spans="2:23">
      <c r="B311" s="709"/>
      <c r="F311" s="710"/>
      <c r="G311" s="729" t="s">
        <v>3992</v>
      </c>
      <c r="H311" s="730"/>
      <c r="I311" s="730"/>
      <c r="J311" s="731"/>
      <c r="K311" s="731"/>
      <c r="L311" s="731"/>
      <c r="M311" s="731"/>
      <c r="N311" s="731"/>
      <c r="O311" s="731"/>
      <c r="P311" s="734"/>
      <c r="Q311" s="731"/>
      <c r="R311" s="732"/>
      <c r="S311" s="735"/>
      <c r="T311" s="731"/>
      <c r="U311" s="731"/>
      <c r="V311" s="703">
        <f>+T312</f>
        <v>8.9760000000000009</v>
      </c>
      <c r="W311" s="704" t="s">
        <v>375</v>
      </c>
    </row>
    <row r="312" spans="2:23">
      <c r="B312" s="709"/>
      <c r="F312" s="710"/>
      <c r="G312" s="775"/>
      <c r="H312" s="776"/>
      <c r="I312" s="776"/>
      <c r="J312" s="731">
        <v>17.600000000000001</v>
      </c>
      <c r="K312" s="731" t="s">
        <v>3922</v>
      </c>
      <c r="L312" s="731">
        <v>1.7</v>
      </c>
      <c r="M312" s="731" t="s">
        <v>3922</v>
      </c>
      <c r="N312" s="731">
        <v>0.3</v>
      </c>
      <c r="O312" s="731" t="s">
        <v>3922</v>
      </c>
      <c r="P312" s="734">
        <v>1</v>
      </c>
      <c r="Q312" s="731"/>
      <c r="R312" s="732"/>
      <c r="S312" s="735" t="s">
        <v>3923</v>
      </c>
      <c r="T312" s="731">
        <f>J312*L312*N312*P312</f>
        <v>8.9760000000000009</v>
      </c>
      <c r="U312" s="731"/>
      <c r="V312" s="733"/>
      <c r="W312" s="736"/>
    </row>
    <row r="313" spans="2:23">
      <c r="B313" s="737"/>
      <c r="C313" s="738"/>
      <c r="D313" s="738"/>
      <c r="E313" s="738"/>
      <c r="F313" s="739"/>
      <c r="G313" s="816"/>
      <c r="H313" s="730"/>
      <c r="I313" s="780"/>
      <c r="J313" s="781"/>
      <c r="K313" s="781"/>
      <c r="L313" s="781"/>
      <c r="M313" s="781"/>
      <c r="N313" s="781"/>
      <c r="O313" s="781"/>
      <c r="P313" s="820"/>
      <c r="Q313" s="781"/>
      <c r="R313" s="782"/>
      <c r="S313" s="783"/>
      <c r="T313" s="781"/>
      <c r="U313" s="731"/>
      <c r="V313" s="733"/>
      <c r="W313" s="736"/>
    </row>
    <row r="314" spans="2:23">
      <c r="B314" s="737"/>
      <c r="C314" s="738"/>
      <c r="D314" s="738"/>
      <c r="E314" s="738"/>
      <c r="F314" s="739"/>
      <c r="G314" s="816" t="s">
        <v>3935</v>
      </c>
      <c r="H314" s="730" t="s">
        <v>3939</v>
      </c>
      <c r="I314" s="730"/>
      <c r="J314" s="731"/>
      <c r="K314" s="731"/>
      <c r="L314" s="731">
        <f>+J312/0.15</f>
        <v>117.33333333333334</v>
      </c>
      <c r="M314" s="731"/>
      <c r="N314" s="731"/>
      <c r="O314" s="731"/>
      <c r="P314" s="734"/>
      <c r="Q314" s="731"/>
      <c r="R314" s="732"/>
      <c r="S314" s="735"/>
      <c r="T314" s="731"/>
      <c r="U314" s="731"/>
      <c r="V314" s="733">
        <f>T317</f>
        <v>1533.2614933333334</v>
      </c>
      <c r="W314" s="736" t="s">
        <v>93</v>
      </c>
    </row>
    <row r="315" spans="2:23">
      <c r="B315" s="737"/>
      <c r="C315" s="738"/>
      <c r="D315" s="738"/>
      <c r="E315" s="738"/>
      <c r="F315" s="739"/>
      <c r="G315" s="816"/>
      <c r="H315" s="730"/>
      <c r="I315" s="730"/>
      <c r="J315" s="731"/>
      <c r="K315" s="731"/>
      <c r="L315" s="731">
        <f>+N312/0.15</f>
        <v>2</v>
      </c>
      <c r="M315" s="731"/>
      <c r="N315" s="731"/>
      <c r="O315" s="731"/>
      <c r="P315" s="734"/>
      <c r="Q315" s="731"/>
      <c r="R315" s="732"/>
      <c r="S315" s="735"/>
      <c r="T315" s="731"/>
      <c r="U315" s="731"/>
      <c r="V315" s="733"/>
      <c r="W315" s="736"/>
    </row>
    <row r="316" spans="2:23">
      <c r="B316" s="737"/>
      <c r="C316" s="738"/>
      <c r="D316" s="738"/>
      <c r="E316" s="738"/>
      <c r="F316" s="739"/>
      <c r="G316" s="816"/>
      <c r="H316" s="730"/>
      <c r="I316" s="730"/>
      <c r="J316" s="817" t="s">
        <v>3889</v>
      </c>
      <c r="K316" s="817"/>
      <c r="L316" s="817" t="s">
        <v>3892</v>
      </c>
      <c r="M316" s="731"/>
      <c r="N316" s="731"/>
      <c r="O316" s="731"/>
      <c r="P316" s="734"/>
      <c r="Q316" s="731"/>
      <c r="R316" s="732"/>
      <c r="S316" s="735"/>
      <c r="T316" s="731"/>
      <c r="U316" s="731"/>
      <c r="V316" s="733"/>
      <c r="W316" s="736"/>
    </row>
    <row r="317" spans="2:23">
      <c r="B317" s="737"/>
      <c r="C317" s="738"/>
      <c r="D317" s="738"/>
      <c r="E317" s="738"/>
      <c r="F317" s="739"/>
      <c r="G317" s="816"/>
      <c r="H317" s="730" t="s">
        <v>3311</v>
      </c>
      <c r="I317" s="730"/>
      <c r="J317" s="731">
        <f>1.56+1.56+0.46+0.346+0.07+0.07</f>
        <v>4.0659999999999998</v>
      </c>
      <c r="K317" s="731" t="s">
        <v>3922</v>
      </c>
      <c r="L317" s="734">
        <f>+(L314+L315)*2</f>
        <v>238.66666666666669</v>
      </c>
      <c r="M317" s="731"/>
      <c r="N317" s="731"/>
      <c r="O317" s="731" t="s">
        <v>3936</v>
      </c>
      <c r="P317" s="734">
        <f>P312</f>
        <v>1</v>
      </c>
      <c r="Q317" s="731" t="s">
        <v>3922</v>
      </c>
      <c r="R317" s="732">
        <v>1.58</v>
      </c>
      <c r="S317" s="735" t="s">
        <v>3923</v>
      </c>
      <c r="T317" s="731">
        <f>J317*L317*P317*R317</f>
        <v>1533.2614933333334</v>
      </c>
      <c r="U317" s="731"/>
      <c r="V317" s="733"/>
      <c r="W317" s="736"/>
    </row>
    <row r="318" spans="2:23">
      <c r="B318" s="737"/>
      <c r="C318" s="738"/>
      <c r="D318" s="738"/>
      <c r="E318" s="738"/>
      <c r="F318" s="739"/>
      <c r="G318" s="816"/>
      <c r="H318" s="730"/>
      <c r="I318" s="730"/>
      <c r="J318" s="731"/>
      <c r="K318" s="731"/>
      <c r="L318" s="731"/>
      <c r="M318" s="731"/>
      <c r="N318" s="731"/>
      <c r="O318" s="731"/>
      <c r="P318" s="734"/>
      <c r="Q318" s="731"/>
      <c r="R318" s="732"/>
      <c r="S318" s="735"/>
      <c r="T318" s="731"/>
      <c r="U318" s="731"/>
      <c r="V318" s="733"/>
      <c r="W318" s="736"/>
    </row>
    <row r="319" spans="2:23">
      <c r="B319" s="737"/>
      <c r="C319" s="738"/>
      <c r="D319" s="738"/>
      <c r="E319" s="738"/>
      <c r="F319" s="739"/>
      <c r="G319" s="816" t="s">
        <v>3937</v>
      </c>
      <c r="H319" s="730" t="s">
        <v>3938</v>
      </c>
      <c r="I319" s="730"/>
      <c r="J319" s="731"/>
      <c r="K319" s="731"/>
      <c r="L319" s="731"/>
      <c r="M319" s="731"/>
      <c r="N319" s="731"/>
      <c r="O319" s="731"/>
      <c r="P319" s="734"/>
      <c r="Q319" s="731"/>
      <c r="R319" s="732"/>
      <c r="S319" s="735"/>
      <c r="T319" s="731"/>
      <c r="U319" s="731"/>
      <c r="V319" s="733">
        <f>T321</f>
        <v>21.12</v>
      </c>
      <c r="W319" s="736" t="s">
        <v>376</v>
      </c>
    </row>
    <row r="320" spans="2:23">
      <c r="B320" s="737"/>
      <c r="C320" s="738"/>
      <c r="D320" s="738"/>
      <c r="E320" s="738"/>
      <c r="F320" s="739"/>
      <c r="G320" s="816"/>
      <c r="H320" s="730"/>
      <c r="I320" s="730"/>
      <c r="J320" s="731"/>
      <c r="K320" s="731"/>
      <c r="L320" s="731"/>
      <c r="M320" s="731"/>
      <c r="N320" s="731"/>
      <c r="O320" s="731"/>
      <c r="P320" s="734"/>
      <c r="Q320" s="731"/>
      <c r="R320" s="732"/>
      <c r="S320" s="735"/>
      <c r="T320" s="731"/>
      <c r="U320" s="731"/>
      <c r="V320" s="733"/>
      <c r="W320" s="736"/>
    </row>
    <row r="321" spans="2:23">
      <c r="B321" s="737"/>
      <c r="C321" s="738"/>
      <c r="D321" s="738"/>
      <c r="E321" s="738"/>
      <c r="F321" s="739"/>
      <c r="G321" s="816"/>
      <c r="H321" s="730"/>
      <c r="I321" s="730"/>
      <c r="J321" s="731">
        <f>+J312</f>
        <v>17.600000000000001</v>
      </c>
      <c r="K321" s="731"/>
      <c r="L321" s="731"/>
      <c r="M321" s="731" t="s">
        <v>3922</v>
      </c>
      <c r="N321" s="731">
        <f>+N312</f>
        <v>0.3</v>
      </c>
      <c r="O321" s="731" t="s">
        <v>3922</v>
      </c>
      <c r="P321" s="734">
        <f>4*P312</f>
        <v>4</v>
      </c>
      <c r="Q321" s="731"/>
      <c r="R321" s="732"/>
      <c r="S321" s="735" t="s">
        <v>3923</v>
      </c>
      <c r="T321" s="731">
        <f>J321*N321*P321</f>
        <v>21.12</v>
      </c>
      <c r="U321" s="731"/>
      <c r="V321" s="733"/>
      <c r="W321" s="736"/>
    </row>
    <row r="322" spans="2:23">
      <c r="B322" s="737"/>
      <c r="C322" s="738"/>
      <c r="D322" s="738"/>
      <c r="E322" s="738"/>
      <c r="F322" s="739"/>
      <c r="G322" s="816"/>
      <c r="H322" s="730"/>
      <c r="I322" s="730"/>
      <c r="J322" s="731"/>
      <c r="K322" s="731"/>
      <c r="L322" s="731"/>
      <c r="M322" s="731"/>
      <c r="N322" s="731"/>
      <c r="O322" s="731"/>
      <c r="P322" s="734"/>
      <c r="Q322" s="731"/>
      <c r="R322" s="732"/>
      <c r="S322" s="735"/>
      <c r="T322" s="731"/>
      <c r="U322" s="731"/>
      <c r="V322" s="733"/>
      <c r="W322" s="736"/>
    </row>
    <row r="323" spans="2:23">
      <c r="B323" s="737"/>
      <c r="C323" s="738"/>
      <c r="D323" s="738"/>
      <c r="E323" s="738"/>
      <c r="F323" s="739"/>
      <c r="G323" s="876" t="s">
        <v>3940</v>
      </c>
      <c r="H323" s="876" t="s">
        <v>3967</v>
      </c>
      <c r="I323" s="876"/>
      <c r="J323" s="731">
        <v>17.600000000000001</v>
      </c>
      <c r="K323" s="731" t="s">
        <v>3922</v>
      </c>
      <c r="L323" s="731">
        <v>1.7</v>
      </c>
      <c r="M323" s="731" t="s">
        <v>3922</v>
      </c>
      <c r="N323" s="731">
        <v>0.1</v>
      </c>
      <c r="O323" s="731" t="s">
        <v>3922</v>
      </c>
      <c r="P323" s="734">
        <v>1</v>
      </c>
      <c r="Q323" s="731"/>
      <c r="R323" s="732"/>
      <c r="S323" s="735" t="s">
        <v>3923</v>
      </c>
      <c r="T323" s="731">
        <f>J323*L323*N323*P323</f>
        <v>2.9920000000000004</v>
      </c>
      <c r="U323" s="877"/>
      <c r="V323" s="881">
        <f>+T323</f>
        <v>2.9920000000000004</v>
      </c>
      <c r="W323" s="882" t="s">
        <v>375</v>
      </c>
    </row>
    <row r="324" spans="2:23">
      <c r="B324" s="737"/>
      <c r="C324" s="738"/>
      <c r="D324" s="738"/>
      <c r="E324" s="738"/>
      <c r="F324" s="739"/>
      <c r="G324" s="876"/>
      <c r="H324" s="876"/>
      <c r="I324" s="876"/>
      <c r="J324" s="877"/>
      <c r="K324" s="877"/>
      <c r="L324" s="877"/>
      <c r="M324" s="877"/>
      <c r="N324" s="877"/>
      <c r="O324" s="877"/>
      <c r="P324" s="878"/>
      <c r="Q324" s="877"/>
      <c r="R324" s="879"/>
      <c r="S324" s="880"/>
      <c r="T324" s="877"/>
      <c r="U324" s="877"/>
      <c r="V324" s="881"/>
      <c r="W324" s="882"/>
    </row>
    <row r="325" spans="2:23">
      <c r="B325" s="737"/>
      <c r="C325" s="738"/>
      <c r="D325" s="738"/>
      <c r="E325" s="738"/>
      <c r="F325" s="739"/>
      <c r="G325" s="876" t="s">
        <v>4003</v>
      </c>
      <c r="H325" s="876" t="s">
        <v>3268</v>
      </c>
      <c r="I325" s="876"/>
      <c r="J325" s="731">
        <v>17.600000000000001</v>
      </c>
      <c r="K325" s="731" t="s">
        <v>3922</v>
      </c>
      <c r="L325" s="731">
        <v>1.7</v>
      </c>
      <c r="M325" s="731" t="s">
        <v>3922</v>
      </c>
      <c r="N325" s="731">
        <v>0.1</v>
      </c>
      <c r="O325" s="731" t="s">
        <v>3922</v>
      </c>
      <c r="P325" s="734">
        <v>1</v>
      </c>
      <c r="Q325" s="731"/>
      <c r="R325" s="732"/>
      <c r="S325" s="735" t="s">
        <v>3923</v>
      </c>
      <c r="T325" s="731">
        <f>J325*L325*N325*P325</f>
        <v>2.9920000000000004</v>
      </c>
      <c r="U325" s="877"/>
      <c r="V325" s="881">
        <f>+T325</f>
        <v>2.9920000000000004</v>
      </c>
      <c r="W325" s="882" t="s">
        <v>375</v>
      </c>
    </row>
    <row r="326" spans="2:23" ht="16" thickBot="1">
      <c r="B326" s="763"/>
      <c r="C326" s="744"/>
      <c r="D326" s="744"/>
      <c r="E326" s="744"/>
      <c r="F326" s="745"/>
      <c r="G326" s="818"/>
      <c r="H326" s="819"/>
      <c r="I326" s="819"/>
      <c r="J326" s="819"/>
      <c r="K326" s="819"/>
      <c r="L326" s="819"/>
      <c r="M326" s="750"/>
      <c r="N326" s="751"/>
      <c r="O326" s="751"/>
      <c r="P326" s="751"/>
      <c r="Q326" s="751"/>
      <c r="R326" s="752"/>
      <c r="S326" s="751"/>
      <c r="T326" s="751"/>
      <c r="U326" s="751"/>
      <c r="V326" s="767"/>
      <c r="W326" s="754"/>
    </row>
    <row r="327" spans="2:23" ht="16" thickTop="1">
      <c r="B327" s="798">
        <v>4</v>
      </c>
      <c r="C327" s="1771" t="s">
        <v>3993</v>
      </c>
      <c r="D327" s="1771"/>
      <c r="E327" s="1771"/>
      <c r="F327" s="1772"/>
      <c r="G327" s="1765" t="s">
        <v>3950</v>
      </c>
      <c r="H327" s="1766"/>
      <c r="I327" s="1766"/>
      <c r="J327" s="1766"/>
      <c r="K327" s="1766"/>
      <c r="L327" s="1766"/>
      <c r="M327" s="1766"/>
      <c r="N327" s="1766"/>
      <c r="O327" s="1766"/>
      <c r="P327" s="1766"/>
      <c r="Q327" s="1766"/>
      <c r="R327" s="1766"/>
      <c r="S327" s="1766"/>
      <c r="T327" s="1766"/>
      <c r="U327" s="1766"/>
      <c r="V327" s="1766"/>
      <c r="W327" s="1767"/>
    </row>
    <row r="328" spans="2:23" ht="16" thickBot="1">
      <c r="B328" s="709"/>
      <c r="F328" s="710"/>
      <c r="G328" s="722"/>
      <c r="H328" s="683"/>
      <c r="I328" s="683"/>
      <c r="J328" s="684" t="s">
        <v>3889</v>
      </c>
      <c r="K328" s="684"/>
      <c r="L328" s="684" t="s">
        <v>3890</v>
      </c>
      <c r="M328" s="684"/>
      <c r="N328" s="684" t="s">
        <v>3891</v>
      </c>
      <c r="O328" s="684"/>
      <c r="P328" s="684" t="s">
        <v>3892</v>
      </c>
      <c r="Q328" s="684"/>
      <c r="R328" s="685" t="s">
        <v>3893</v>
      </c>
      <c r="S328" s="686"/>
      <c r="T328" s="687" t="s">
        <v>3894</v>
      </c>
      <c r="U328" s="686"/>
      <c r="V328" s="688" t="s">
        <v>3895</v>
      </c>
      <c r="W328" s="689" t="s">
        <v>3896</v>
      </c>
    </row>
    <row r="329" spans="2:23">
      <c r="B329" s="709"/>
      <c r="F329" s="710"/>
      <c r="G329" s="821"/>
      <c r="H329" s="692"/>
      <c r="I329" s="692"/>
      <c r="J329" s="828"/>
      <c r="K329" s="828"/>
      <c r="L329" s="828"/>
      <c r="M329" s="828"/>
      <c r="N329" s="828"/>
      <c r="O329" s="829"/>
      <c r="P329" s="829"/>
      <c r="Q329" s="829"/>
      <c r="R329" s="830"/>
      <c r="S329" s="829"/>
      <c r="T329" s="831"/>
      <c r="U329" s="832"/>
      <c r="V329" s="833"/>
      <c r="W329" s="822"/>
    </row>
    <row r="330" spans="2:23">
      <c r="B330" s="709"/>
      <c r="F330" s="710"/>
      <c r="G330" s="827" t="s">
        <v>3941</v>
      </c>
      <c r="H330" s="730" t="s">
        <v>3969</v>
      </c>
      <c r="I330" s="699"/>
      <c r="J330" s="805"/>
      <c r="K330" s="805"/>
      <c r="L330" s="805"/>
      <c r="M330" s="805"/>
      <c r="N330" s="805"/>
      <c r="O330" s="794"/>
      <c r="P330" s="794"/>
      <c r="Q330" s="794"/>
      <c r="R330" s="806"/>
      <c r="S330" s="793"/>
      <c r="T330" s="794"/>
      <c r="U330" s="807"/>
      <c r="V330" s="808">
        <f>+T331+T332</f>
        <v>31.935225000000003</v>
      </c>
      <c r="W330" s="809" t="s">
        <v>375</v>
      </c>
    </row>
    <row r="331" spans="2:23">
      <c r="B331" s="1768"/>
      <c r="C331" s="1769"/>
      <c r="D331" s="1769"/>
      <c r="E331" s="1769"/>
      <c r="F331" s="1770"/>
      <c r="G331" s="827"/>
      <c r="H331" s="699"/>
      <c r="I331" s="699"/>
      <c r="J331" s="791">
        <v>30.93</v>
      </c>
      <c r="K331" s="791" t="s">
        <v>3922</v>
      </c>
      <c r="L331" s="791">
        <v>0.35</v>
      </c>
      <c r="M331" s="791" t="s">
        <v>3922</v>
      </c>
      <c r="N331" s="791">
        <v>2.95</v>
      </c>
      <c r="O331" s="791" t="s">
        <v>3922</v>
      </c>
      <c r="P331" s="791">
        <v>1</v>
      </c>
      <c r="Q331" s="791"/>
      <c r="R331" s="792"/>
      <c r="S331" s="793" t="s">
        <v>3923</v>
      </c>
      <c r="T331" s="794">
        <f>+J331*L331*N331*P331</f>
        <v>31.935225000000003</v>
      </c>
      <c r="U331" s="807"/>
      <c r="V331" s="810"/>
      <c r="W331" s="809"/>
    </row>
    <row r="332" spans="2:23">
      <c r="B332" s="770"/>
      <c r="C332" s="771"/>
      <c r="D332" s="771"/>
      <c r="E332" s="771"/>
      <c r="F332" s="772"/>
      <c r="G332" s="827"/>
      <c r="H332" s="699"/>
      <c r="I332" s="699"/>
      <c r="J332" s="791"/>
      <c r="K332" s="791"/>
      <c r="L332" s="791"/>
      <c r="M332" s="791"/>
      <c r="N332" s="791"/>
      <c r="O332" s="791"/>
      <c r="P332" s="791"/>
      <c r="Q332" s="791"/>
      <c r="R332" s="792"/>
      <c r="S332" s="793"/>
      <c r="T332" s="794"/>
      <c r="U332" s="807"/>
      <c r="V332" s="810"/>
      <c r="W332" s="809"/>
    </row>
    <row r="333" spans="2:23">
      <c r="B333" s="770"/>
      <c r="C333" s="771"/>
      <c r="D333" s="771"/>
      <c r="E333" s="771"/>
      <c r="F333" s="772"/>
      <c r="G333" s="827"/>
      <c r="H333" s="699"/>
      <c r="I333" s="699"/>
      <c r="J333" s="791"/>
      <c r="K333" s="791"/>
      <c r="L333" s="791"/>
      <c r="M333" s="791"/>
      <c r="N333" s="791"/>
      <c r="O333" s="791"/>
      <c r="P333" s="791"/>
      <c r="Q333" s="791"/>
      <c r="R333" s="792"/>
      <c r="S333" s="793"/>
      <c r="T333" s="794"/>
      <c r="U333" s="807"/>
      <c r="V333" s="810"/>
      <c r="W333" s="809"/>
    </row>
    <row r="334" spans="2:23">
      <c r="B334" s="709"/>
      <c r="F334" s="710"/>
      <c r="G334" s="827" t="s">
        <v>3937</v>
      </c>
      <c r="H334" s="776" t="s">
        <v>3960</v>
      </c>
      <c r="I334" s="699"/>
      <c r="J334" s="791" t="s">
        <v>3889</v>
      </c>
      <c r="K334" s="791"/>
      <c r="L334" s="791" t="s">
        <v>3890</v>
      </c>
      <c r="M334" s="791"/>
      <c r="N334" s="791" t="s">
        <v>3891</v>
      </c>
      <c r="O334" s="791"/>
      <c r="P334" s="791" t="s">
        <v>3892</v>
      </c>
      <c r="Q334" s="791"/>
      <c r="R334" s="792" t="s">
        <v>3442</v>
      </c>
      <c r="S334" s="791"/>
      <c r="T334" s="791"/>
      <c r="U334" s="824"/>
      <c r="V334" s="840">
        <f>+SUM(T336:T337)</f>
        <v>5759.2897199999998</v>
      </c>
      <c r="W334" s="809" t="s">
        <v>93</v>
      </c>
    </row>
    <row r="335" spans="2:23">
      <c r="B335" s="709"/>
      <c r="F335" s="710"/>
      <c r="G335" s="827"/>
      <c r="H335" s="776">
        <v>1</v>
      </c>
      <c r="I335" s="776"/>
      <c r="J335" s="791">
        <f>+J331</f>
        <v>30.93</v>
      </c>
      <c r="K335" s="791"/>
      <c r="L335" s="791">
        <f>+N331</f>
        <v>2.95</v>
      </c>
      <c r="M335" s="791"/>
      <c r="N335" s="791"/>
      <c r="O335" s="791"/>
      <c r="P335" s="791"/>
      <c r="Q335" s="791"/>
      <c r="R335" s="792"/>
      <c r="S335" s="791"/>
      <c r="T335" s="791"/>
      <c r="U335" s="824"/>
      <c r="V335" s="840"/>
      <c r="W335" s="809"/>
    </row>
    <row r="336" spans="2:23">
      <c r="B336" s="709"/>
      <c r="F336" s="710"/>
      <c r="G336" s="827"/>
      <c r="H336" s="776"/>
      <c r="I336" s="776" t="s">
        <v>3994</v>
      </c>
      <c r="J336" s="791">
        <f>+J335/0.1*2</f>
        <v>618.59999999999991</v>
      </c>
      <c r="K336" s="791"/>
      <c r="L336" s="791">
        <f>+L335/0.1*2</f>
        <v>59</v>
      </c>
      <c r="M336" s="791"/>
      <c r="N336" s="791"/>
      <c r="O336" s="791"/>
      <c r="P336" s="791"/>
      <c r="Q336" s="791"/>
      <c r="R336" s="792">
        <v>1.5780000000000001</v>
      </c>
      <c r="S336" s="793" t="s">
        <v>3923</v>
      </c>
      <c r="T336" s="791">
        <f>+((J336*L335)+(J335*L336))*R336</f>
        <v>5759.2897199999998</v>
      </c>
      <c r="U336" s="824"/>
      <c r="V336" s="840"/>
      <c r="W336" s="809"/>
    </row>
    <row r="337" spans="2:23">
      <c r="B337" s="709"/>
      <c r="F337" s="710"/>
      <c r="G337" s="827"/>
      <c r="H337" s="776"/>
      <c r="I337" s="776"/>
      <c r="J337" s="791"/>
      <c r="K337" s="791"/>
      <c r="L337" s="791"/>
      <c r="M337" s="791"/>
      <c r="N337" s="791"/>
      <c r="O337" s="791"/>
      <c r="P337" s="791"/>
      <c r="Q337" s="791"/>
      <c r="R337" s="792"/>
      <c r="S337" s="793"/>
      <c r="T337" s="791"/>
      <c r="U337" s="824"/>
      <c r="V337" s="840"/>
      <c r="W337" s="809"/>
    </row>
    <row r="338" spans="2:23">
      <c r="B338" s="709"/>
      <c r="F338" s="710"/>
      <c r="G338" s="827"/>
      <c r="H338" s="730"/>
      <c r="I338" s="699"/>
      <c r="J338" s="805"/>
      <c r="K338" s="805"/>
      <c r="L338" s="805"/>
      <c r="M338" s="805"/>
      <c r="N338" s="842"/>
      <c r="O338" s="794"/>
      <c r="P338" s="794"/>
      <c r="Q338" s="794"/>
      <c r="R338" s="806"/>
      <c r="S338" s="793"/>
      <c r="T338" s="794"/>
      <c r="U338" s="824"/>
      <c r="V338" s="856"/>
      <c r="W338" s="809"/>
    </row>
    <row r="339" spans="2:23">
      <c r="B339" s="759"/>
      <c r="F339" s="710"/>
      <c r="G339" s="827" t="s">
        <v>3940</v>
      </c>
      <c r="H339" s="699" t="s">
        <v>3984</v>
      </c>
      <c r="I339" s="699"/>
      <c r="J339" s="791"/>
      <c r="K339" s="791"/>
      <c r="L339" s="791"/>
      <c r="M339" s="805"/>
      <c r="N339" s="838"/>
      <c r="O339" s="791"/>
      <c r="P339" s="791"/>
      <c r="Q339" s="791"/>
      <c r="R339" s="792"/>
      <c r="S339" s="793"/>
      <c r="T339" s="794"/>
      <c r="U339" s="845"/>
      <c r="V339" s="808">
        <f>SUM(T340:T340)</f>
        <v>184.55200000000002</v>
      </c>
      <c r="W339" s="809" t="s">
        <v>376</v>
      </c>
    </row>
    <row r="340" spans="2:23">
      <c r="B340" s="709"/>
      <c r="F340" s="710"/>
      <c r="G340" s="827"/>
      <c r="H340" s="699"/>
      <c r="I340" s="699"/>
      <c r="J340" s="791">
        <f>+J335</f>
        <v>30.93</v>
      </c>
      <c r="K340" s="791" t="s">
        <v>3922</v>
      </c>
      <c r="L340" s="791">
        <f>+L335</f>
        <v>2.95</v>
      </c>
      <c r="M340" s="791"/>
      <c r="N340" s="791"/>
      <c r="O340" s="791" t="s">
        <v>3922</v>
      </c>
      <c r="P340" s="791">
        <v>1</v>
      </c>
      <c r="Q340" s="791"/>
      <c r="R340" s="792"/>
      <c r="S340" s="793" t="s">
        <v>3923</v>
      </c>
      <c r="T340" s="794">
        <f>+L340*(J340+J340)+(2.95*0.35*2)</f>
        <v>184.55200000000002</v>
      </c>
      <c r="U340" s="844"/>
      <c r="V340" s="857"/>
      <c r="W340" s="809"/>
    </row>
    <row r="341" spans="2:23" ht="16" thickBot="1">
      <c r="B341" s="763"/>
      <c r="C341" s="744"/>
      <c r="D341" s="744"/>
      <c r="E341" s="744"/>
      <c r="F341" s="745"/>
      <c r="G341" s="818"/>
      <c r="H341" s="819"/>
      <c r="I341" s="819"/>
      <c r="J341" s="819"/>
      <c r="K341" s="819"/>
      <c r="L341" s="819"/>
      <c r="M341" s="750"/>
      <c r="N341" s="858"/>
      <c r="O341" s="858"/>
      <c r="P341" s="858"/>
      <c r="Q341" s="858"/>
      <c r="R341" s="859"/>
      <c r="S341" s="858"/>
      <c r="T341" s="858"/>
      <c r="U341" s="858"/>
      <c r="V341" s="860"/>
      <c r="W341" s="861"/>
    </row>
    <row r="342" spans="2:23" ht="16" thickTop="1">
      <c r="B342" s="798">
        <v>4</v>
      </c>
      <c r="C342" s="1771" t="s">
        <v>3993</v>
      </c>
      <c r="D342" s="1771"/>
      <c r="E342" s="1771"/>
      <c r="F342" s="1772"/>
      <c r="G342" s="1765" t="s">
        <v>3950</v>
      </c>
      <c r="H342" s="1766"/>
      <c r="I342" s="1766"/>
      <c r="J342" s="1766"/>
      <c r="K342" s="1766"/>
      <c r="L342" s="1766"/>
      <c r="M342" s="1766"/>
      <c r="N342" s="1766"/>
      <c r="O342" s="1766"/>
      <c r="P342" s="1766"/>
      <c r="Q342" s="1766"/>
      <c r="R342" s="1766"/>
      <c r="S342" s="1766"/>
      <c r="T342" s="1766"/>
      <c r="U342" s="1766"/>
      <c r="V342" s="1766"/>
      <c r="W342" s="1767"/>
    </row>
    <row r="343" spans="2:23" ht="16" thickBot="1">
      <c r="B343" s="709"/>
      <c r="F343" s="710"/>
      <c r="G343" s="722"/>
      <c r="H343" s="683"/>
      <c r="I343" s="683"/>
      <c r="J343" s="684" t="s">
        <v>3889</v>
      </c>
      <c r="K343" s="684"/>
      <c r="L343" s="684" t="s">
        <v>3890</v>
      </c>
      <c r="M343" s="684"/>
      <c r="N343" s="684" t="s">
        <v>3891</v>
      </c>
      <c r="O343" s="684"/>
      <c r="P343" s="684" t="s">
        <v>3892</v>
      </c>
      <c r="Q343" s="684"/>
      <c r="R343" s="685" t="s">
        <v>3893</v>
      </c>
      <c r="S343" s="686"/>
      <c r="T343" s="687" t="s">
        <v>3894</v>
      </c>
      <c r="U343" s="686"/>
      <c r="V343" s="688" t="s">
        <v>3895</v>
      </c>
      <c r="W343" s="689" t="s">
        <v>3896</v>
      </c>
    </row>
    <row r="344" spans="2:23">
      <c r="B344" s="709"/>
      <c r="F344" s="710"/>
      <c r="G344" s="821"/>
      <c r="H344" s="692"/>
      <c r="I344" s="692"/>
      <c r="J344" s="828"/>
      <c r="K344" s="828"/>
      <c r="L344" s="828"/>
      <c r="M344" s="828"/>
      <c r="N344" s="828"/>
      <c r="O344" s="829"/>
      <c r="P344" s="829"/>
      <c r="Q344" s="829"/>
      <c r="R344" s="830"/>
      <c r="S344" s="829"/>
      <c r="T344" s="831"/>
      <c r="U344" s="832"/>
      <c r="V344" s="833"/>
      <c r="W344" s="822"/>
    </row>
    <row r="345" spans="2:23">
      <c r="B345" s="709"/>
      <c r="F345" s="710"/>
      <c r="G345" s="827" t="s">
        <v>3941</v>
      </c>
      <c r="H345" s="730" t="s">
        <v>3969</v>
      </c>
      <c r="I345" s="699"/>
      <c r="J345" s="805"/>
      <c r="K345" s="805"/>
      <c r="L345" s="805"/>
      <c r="M345" s="805"/>
      <c r="N345" s="805"/>
      <c r="O345" s="794"/>
      <c r="P345" s="794"/>
      <c r="Q345" s="794"/>
      <c r="R345" s="806"/>
      <c r="S345" s="793"/>
      <c r="T345" s="794"/>
      <c r="U345" s="807"/>
      <c r="V345" s="808">
        <f>+T346+T347</f>
        <v>10.56</v>
      </c>
      <c r="W345" s="809" t="s">
        <v>375</v>
      </c>
    </row>
    <row r="346" spans="2:23">
      <c r="B346" s="1768"/>
      <c r="C346" s="1769"/>
      <c r="D346" s="1769"/>
      <c r="E346" s="1769"/>
      <c r="F346" s="1770"/>
      <c r="G346" s="827"/>
      <c r="H346" s="699"/>
      <c r="I346" s="699"/>
      <c r="J346" s="791">
        <v>17.600000000000001</v>
      </c>
      <c r="K346" s="791" t="s">
        <v>3922</v>
      </c>
      <c r="L346" s="791">
        <v>0.3</v>
      </c>
      <c r="M346" s="791" t="s">
        <v>3922</v>
      </c>
      <c r="N346" s="791">
        <v>2</v>
      </c>
      <c r="O346" s="791" t="s">
        <v>3922</v>
      </c>
      <c r="P346" s="791">
        <v>1</v>
      </c>
      <c r="Q346" s="791"/>
      <c r="R346" s="792"/>
      <c r="S346" s="793" t="s">
        <v>3923</v>
      </c>
      <c r="T346" s="794">
        <f>+J346*L346*N346*P346</f>
        <v>10.56</v>
      </c>
      <c r="U346" s="807"/>
      <c r="V346" s="810"/>
      <c r="W346" s="809"/>
    </row>
    <row r="347" spans="2:23">
      <c r="B347" s="770"/>
      <c r="C347" s="771"/>
      <c r="D347" s="771"/>
      <c r="E347" s="771"/>
      <c r="F347" s="772"/>
      <c r="G347" s="827"/>
      <c r="H347" s="699"/>
      <c r="I347" s="699"/>
      <c r="J347" s="791"/>
      <c r="K347" s="791"/>
      <c r="L347" s="791"/>
      <c r="M347" s="791"/>
      <c r="N347" s="791"/>
      <c r="O347" s="791"/>
      <c r="P347" s="791"/>
      <c r="Q347" s="791"/>
      <c r="R347" s="792"/>
      <c r="S347" s="793"/>
      <c r="T347" s="794"/>
      <c r="U347" s="807"/>
      <c r="V347" s="810"/>
      <c r="W347" s="809"/>
    </row>
    <row r="348" spans="2:23">
      <c r="B348" s="770"/>
      <c r="C348" s="771"/>
      <c r="D348" s="771"/>
      <c r="E348" s="771"/>
      <c r="F348" s="772"/>
      <c r="G348" s="827"/>
      <c r="H348" s="699"/>
      <c r="I348" s="699"/>
      <c r="J348" s="791"/>
      <c r="K348" s="791"/>
      <c r="L348" s="791"/>
      <c r="M348" s="791"/>
      <c r="N348" s="791"/>
      <c r="O348" s="791"/>
      <c r="P348" s="791"/>
      <c r="Q348" s="791"/>
      <c r="R348" s="792"/>
      <c r="S348" s="793"/>
      <c r="T348" s="794"/>
      <c r="U348" s="807"/>
      <c r="V348" s="810"/>
      <c r="W348" s="809"/>
    </row>
    <row r="349" spans="2:23">
      <c r="B349" s="709"/>
      <c r="F349" s="710"/>
      <c r="G349" s="827" t="s">
        <v>3937</v>
      </c>
      <c r="H349" s="776" t="s">
        <v>3960</v>
      </c>
      <c r="I349" s="699"/>
      <c r="J349" s="791" t="s">
        <v>3889</v>
      </c>
      <c r="K349" s="791"/>
      <c r="L349" s="791" t="s">
        <v>3890</v>
      </c>
      <c r="M349" s="791"/>
      <c r="N349" s="791" t="s">
        <v>3891</v>
      </c>
      <c r="O349" s="791"/>
      <c r="P349" s="791" t="s">
        <v>3892</v>
      </c>
      <c r="Q349" s="791"/>
      <c r="R349" s="792" t="s">
        <v>3442</v>
      </c>
      <c r="S349" s="791"/>
      <c r="T349" s="791"/>
      <c r="U349" s="824"/>
      <c r="V349" s="840">
        <f>+SUM(T351:T352)</f>
        <v>2221.8240000000001</v>
      </c>
      <c r="W349" s="809" t="s">
        <v>93</v>
      </c>
    </row>
    <row r="350" spans="2:23">
      <c r="B350" s="709"/>
      <c r="F350" s="710"/>
      <c r="G350" s="827"/>
      <c r="H350" s="776">
        <v>1</v>
      </c>
      <c r="I350" s="776"/>
      <c r="J350" s="791">
        <f>+J346</f>
        <v>17.600000000000001</v>
      </c>
      <c r="K350" s="791"/>
      <c r="L350" s="791">
        <f>+N346</f>
        <v>2</v>
      </c>
      <c r="M350" s="791"/>
      <c r="N350" s="791"/>
      <c r="O350" s="791"/>
      <c r="P350" s="791"/>
      <c r="Q350" s="791"/>
      <c r="R350" s="792"/>
      <c r="S350" s="791"/>
      <c r="T350" s="791"/>
      <c r="U350" s="824"/>
      <c r="V350" s="840"/>
      <c r="W350" s="809"/>
    </row>
    <row r="351" spans="2:23">
      <c r="B351" s="709"/>
      <c r="F351" s="710"/>
      <c r="G351" s="827"/>
      <c r="H351" s="776"/>
      <c r="I351" s="776" t="s">
        <v>3994</v>
      </c>
      <c r="J351" s="791">
        <f>+J350/0.1*2</f>
        <v>352</v>
      </c>
      <c r="K351" s="791"/>
      <c r="L351" s="791">
        <f>+L350/0.1*2</f>
        <v>40</v>
      </c>
      <c r="M351" s="791"/>
      <c r="N351" s="791"/>
      <c r="O351" s="791"/>
      <c r="P351" s="791"/>
      <c r="Q351" s="791"/>
      <c r="R351" s="792">
        <v>1.5780000000000001</v>
      </c>
      <c r="S351" s="793" t="s">
        <v>3923</v>
      </c>
      <c r="T351" s="791">
        <f>+((J351*L350)+(J350*L351))*R351</f>
        <v>2221.8240000000001</v>
      </c>
      <c r="U351" s="824"/>
      <c r="V351" s="840"/>
      <c r="W351" s="809"/>
    </row>
    <row r="352" spans="2:23">
      <c r="B352" s="709"/>
      <c r="F352" s="710"/>
      <c r="G352" s="827"/>
      <c r="H352" s="776"/>
      <c r="I352" s="776"/>
      <c r="J352" s="791"/>
      <c r="K352" s="791"/>
      <c r="L352" s="791"/>
      <c r="M352" s="791"/>
      <c r="N352" s="791"/>
      <c r="O352" s="791"/>
      <c r="P352" s="791"/>
      <c r="Q352" s="791"/>
      <c r="R352" s="792"/>
      <c r="S352" s="793"/>
      <c r="T352" s="791"/>
      <c r="U352" s="824"/>
      <c r="V352" s="840"/>
      <c r="W352" s="809"/>
    </row>
    <row r="353" spans="2:27">
      <c r="B353" s="709"/>
      <c r="F353" s="710"/>
      <c r="G353" s="827"/>
      <c r="H353" s="730"/>
      <c r="I353" s="699"/>
      <c r="J353" s="805"/>
      <c r="K353" s="805"/>
      <c r="L353" s="805"/>
      <c r="M353" s="805"/>
      <c r="N353" s="842"/>
      <c r="O353" s="794"/>
      <c r="P353" s="794"/>
      <c r="Q353" s="794"/>
      <c r="R353" s="806"/>
      <c r="S353" s="793"/>
      <c r="T353" s="794"/>
      <c r="U353" s="824"/>
      <c r="V353" s="856"/>
      <c r="W353" s="809"/>
    </row>
    <row r="354" spans="2:27">
      <c r="B354" s="759"/>
      <c r="F354" s="710"/>
      <c r="G354" s="827" t="s">
        <v>3940</v>
      </c>
      <c r="H354" s="699" t="s">
        <v>3984</v>
      </c>
      <c r="I354" s="699"/>
      <c r="J354" s="791"/>
      <c r="K354" s="791"/>
      <c r="L354" s="791"/>
      <c r="M354" s="805"/>
      <c r="N354" s="838"/>
      <c r="O354" s="791"/>
      <c r="P354" s="791"/>
      <c r="Q354" s="791"/>
      <c r="R354" s="792"/>
      <c r="S354" s="793"/>
      <c r="T354" s="794"/>
      <c r="U354" s="845"/>
      <c r="V354" s="808">
        <f>SUM(T355:T355)</f>
        <v>71.600000000000009</v>
      </c>
      <c r="W354" s="809" t="s">
        <v>376</v>
      </c>
    </row>
    <row r="355" spans="2:27">
      <c r="B355" s="709"/>
      <c r="F355" s="710"/>
      <c r="G355" s="827"/>
      <c r="H355" s="699"/>
      <c r="I355" s="699"/>
      <c r="J355" s="791">
        <f>+J350</f>
        <v>17.600000000000001</v>
      </c>
      <c r="K355" s="791" t="s">
        <v>3922</v>
      </c>
      <c r="L355" s="791">
        <f>+L350</f>
        <v>2</v>
      </c>
      <c r="M355" s="791"/>
      <c r="N355" s="791"/>
      <c r="O355" s="791" t="s">
        <v>3922</v>
      </c>
      <c r="P355" s="791">
        <v>1</v>
      </c>
      <c r="Q355" s="791"/>
      <c r="R355" s="792"/>
      <c r="S355" s="793" t="s">
        <v>3923</v>
      </c>
      <c r="T355" s="794">
        <f>+L355*(J355+J355)+(2*0.3*2)</f>
        <v>71.600000000000009</v>
      </c>
      <c r="U355" s="844"/>
      <c r="V355" s="857"/>
      <c r="W355" s="809"/>
    </row>
    <row r="356" spans="2:27" ht="16" thickBot="1">
      <c r="B356" s="763"/>
      <c r="C356" s="744"/>
      <c r="D356" s="744"/>
      <c r="E356" s="744"/>
      <c r="F356" s="745"/>
      <c r="G356" s="818"/>
      <c r="H356" s="819"/>
      <c r="I356" s="819"/>
      <c r="J356" s="819"/>
      <c r="K356" s="819"/>
      <c r="L356" s="819"/>
      <c r="M356" s="750"/>
      <c r="N356" s="858"/>
      <c r="O356" s="858"/>
      <c r="P356" s="858"/>
      <c r="Q356" s="858"/>
      <c r="R356" s="859"/>
      <c r="S356" s="858"/>
      <c r="T356" s="858"/>
      <c r="U356" s="858"/>
      <c r="V356" s="860"/>
      <c r="W356" s="861"/>
    </row>
    <row r="357" spans="2:27" ht="16" thickTop="1"/>
    <row r="359" spans="2:27" ht="18.5" thickBot="1">
      <c r="B359" s="887" t="s">
        <v>4019</v>
      </c>
    </row>
    <row r="360" spans="2:27" s="907" customFormat="1">
      <c r="B360" s="903" t="s">
        <v>3519</v>
      </c>
      <c r="C360" s="904" t="s">
        <v>3929</v>
      </c>
      <c r="D360" s="905"/>
      <c r="E360" s="905"/>
      <c r="F360" s="906"/>
      <c r="G360" s="1788" t="s">
        <v>3888</v>
      </c>
      <c r="H360" s="1789"/>
      <c r="I360" s="1789"/>
      <c r="J360" s="1789"/>
      <c r="K360" s="1789"/>
      <c r="L360" s="1789"/>
      <c r="M360" s="1789"/>
      <c r="N360" s="1789"/>
      <c r="O360" s="1789"/>
      <c r="P360" s="1789"/>
      <c r="Q360" s="1789"/>
      <c r="R360" s="1789"/>
      <c r="S360" s="1789"/>
      <c r="T360" s="1789"/>
      <c r="U360" s="1789"/>
      <c r="V360" s="1789"/>
      <c r="W360" s="1790"/>
      <c r="AA360" s="908" t="e">
        <v>#REF!</v>
      </c>
    </row>
    <row r="361" spans="2:27" s="907" customFormat="1" ht="16" thickBot="1">
      <c r="B361" s="909" t="s">
        <v>3897</v>
      </c>
      <c r="C361" s="905" t="s">
        <v>3930</v>
      </c>
      <c r="D361" s="905"/>
      <c r="E361" s="905"/>
      <c r="F361" s="906"/>
      <c r="G361" s="910"/>
      <c r="H361" s="911"/>
      <c r="I361" s="911"/>
      <c r="J361" s="912" t="s">
        <v>3889</v>
      </c>
      <c r="K361" s="912"/>
      <c r="L361" s="912" t="s">
        <v>3890</v>
      </c>
      <c r="M361" s="912"/>
      <c r="N361" s="912" t="s">
        <v>3891</v>
      </c>
      <c r="O361" s="912"/>
      <c r="P361" s="912" t="s">
        <v>3892</v>
      </c>
      <c r="Q361" s="912"/>
      <c r="R361" s="913" t="s">
        <v>3893</v>
      </c>
      <c r="S361" s="914"/>
      <c r="T361" s="915" t="s">
        <v>3894</v>
      </c>
      <c r="U361" s="914"/>
      <c r="V361" s="916" t="s">
        <v>3895</v>
      </c>
      <c r="W361" s="917" t="s">
        <v>3896</v>
      </c>
    </row>
    <row r="362" spans="2:27">
      <c r="B362" s="759"/>
      <c r="F362" s="710"/>
      <c r="G362" s="724"/>
      <c r="H362" s="725"/>
      <c r="I362" s="725"/>
      <c r="J362" s="726"/>
      <c r="K362" s="726"/>
      <c r="L362" s="726"/>
      <c r="M362" s="726"/>
      <c r="N362" s="726"/>
      <c r="O362" s="726"/>
      <c r="P362" s="756"/>
      <c r="Q362" s="726"/>
      <c r="R362" s="727"/>
      <c r="S362" s="757"/>
      <c r="T362" s="726"/>
      <c r="U362" s="726"/>
      <c r="V362" s="758"/>
      <c r="W362" s="697"/>
    </row>
    <row r="363" spans="2:27">
      <c r="B363" s="723"/>
      <c r="C363" s="720"/>
      <c r="D363" s="720"/>
      <c r="E363" s="720"/>
      <c r="F363" s="721"/>
      <c r="G363" s="729" t="s">
        <v>3481</v>
      </c>
      <c r="H363" s="730"/>
      <c r="I363" s="730"/>
      <c r="J363" s="731"/>
      <c r="K363" s="731"/>
      <c r="L363" s="731"/>
      <c r="M363" s="731"/>
      <c r="N363" s="731"/>
      <c r="O363" s="731"/>
      <c r="P363" s="731"/>
      <c r="Q363" s="731"/>
      <c r="R363" s="732"/>
      <c r="S363" s="731"/>
      <c r="T363" s="731"/>
      <c r="U363" s="731"/>
      <c r="V363" s="733">
        <f>+T364+T365</f>
        <v>20.910000000000004</v>
      </c>
      <c r="W363" s="704" t="s">
        <v>375</v>
      </c>
    </row>
    <row r="364" spans="2:27">
      <c r="B364" s="723"/>
      <c r="C364" s="720"/>
      <c r="D364" s="720"/>
      <c r="E364" s="720"/>
      <c r="F364" s="721"/>
      <c r="G364" s="729"/>
      <c r="H364" s="730"/>
      <c r="I364" s="730" t="s">
        <v>4030</v>
      </c>
      <c r="J364" s="731">
        <v>4</v>
      </c>
      <c r="K364" s="731" t="s">
        <v>3922</v>
      </c>
      <c r="L364" s="731">
        <v>1.8</v>
      </c>
      <c r="M364" s="731" t="s">
        <v>3922</v>
      </c>
      <c r="N364" s="731">
        <v>1.72</v>
      </c>
      <c r="O364" s="731"/>
      <c r="P364" s="731"/>
      <c r="Q364" s="731"/>
      <c r="R364" s="732"/>
      <c r="S364" s="735" t="s">
        <v>3923</v>
      </c>
      <c r="T364" s="731">
        <f>+J364*L364*N364</f>
        <v>12.384</v>
      </c>
      <c r="U364" s="731"/>
      <c r="V364" s="733"/>
      <c r="W364" s="704"/>
    </row>
    <row r="365" spans="2:27">
      <c r="B365" s="723"/>
      <c r="C365" s="720"/>
      <c r="D365" s="720"/>
      <c r="E365" s="720"/>
      <c r="F365" s="721"/>
      <c r="G365" s="729"/>
      <c r="H365" s="730"/>
      <c r="I365" s="730" t="s">
        <v>4031</v>
      </c>
      <c r="J365" s="731">
        <f>+J368</f>
        <v>11.600000000000001</v>
      </c>
      <c r="K365" s="731" t="s">
        <v>3922</v>
      </c>
      <c r="L365" s="731">
        <v>0.7</v>
      </c>
      <c r="M365" s="731" t="s">
        <v>3922</v>
      </c>
      <c r="N365" s="731">
        <v>1.05</v>
      </c>
      <c r="O365" s="731"/>
      <c r="P365" s="731"/>
      <c r="Q365" s="731"/>
      <c r="R365" s="732"/>
      <c r="S365" s="735" t="s">
        <v>3923</v>
      </c>
      <c r="T365" s="731">
        <f>+J365*L365*N365</f>
        <v>8.5260000000000016</v>
      </c>
      <c r="U365" s="731"/>
      <c r="V365" s="733"/>
      <c r="W365" s="704"/>
    </row>
    <row r="366" spans="2:27">
      <c r="B366" s="723"/>
      <c r="C366" s="720"/>
      <c r="D366" s="720"/>
      <c r="E366" s="720"/>
      <c r="F366" s="721"/>
      <c r="G366" s="729"/>
      <c r="H366" s="730"/>
      <c r="I366" s="730"/>
      <c r="J366" s="731"/>
      <c r="K366" s="731"/>
      <c r="L366" s="731"/>
      <c r="M366" s="731"/>
      <c r="N366" s="731"/>
      <c r="O366" s="731"/>
      <c r="P366" s="731"/>
      <c r="Q366" s="731"/>
      <c r="R366" s="732"/>
      <c r="S366" s="731"/>
      <c r="T366" s="731"/>
      <c r="U366" s="731"/>
      <c r="V366" s="733"/>
      <c r="W366" s="704"/>
    </row>
    <row r="367" spans="2:27">
      <c r="B367" s="723"/>
      <c r="C367" s="720"/>
      <c r="D367" s="720"/>
      <c r="E367" s="720"/>
      <c r="F367" s="721"/>
      <c r="G367" s="729"/>
      <c r="H367" s="730"/>
      <c r="I367" s="730"/>
      <c r="J367" s="731"/>
      <c r="K367" s="731"/>
      <c r="L367" s="731"/>
      <c r="M367" s="731"/>
      <c r="N367" s="731"/>
      <c r="O367" s="731"/>
      <c r="P367" s="731"/>
      <c r="Q367" s="731"/>
      <c r="R367" s="732"/>
      <c r="S367" s="731"/>
      <c r="T367" s="731"/>
      <c r="U367" s="731"/>
      <c r="V367" s="733"/>
      <c r="W367" s="704"/>
    </row>
    <row r="368" spans="2:27">
      <c r="B368" s="723"/>
      <c r="C368" s="720"/>
      <c r="D368" s="720"/>
      <c r="E368" s="720"/>
      <c r="F368" s="721"/>
      <c r="G368" s="729" t="s">
        <v>3931</v>
      </c>
      <c r="H368" s="762"/>
      <c r="I368" s="762"/>
      <c r="J368" s="731">
        <f>4+4+1.8+1.8</f>
        <v>11.600000000000001</v>
      </c>
      <c r="K368" s="731" t="s">
        <v>3922</v>
      </c>
      <c r="L368" s="731">
        <v>0.7</v>
      </c>
      <c r="M368" s="731" t="s">
        <v>3922</v>
      </c>
      <c r="N368" s="731">
        <v>0.2</v>
      </c>
      <c r="O368" s="731" t="s">
        <v>3922</v>
      </c>
      <c r="P368" s="734">
        <v>1</v>
      </c>
      <c r="Q368" s="731"/>
      <c r="R368" s="732"/>
      <c r="S368" s="735" t="s">
        <v>3923</v>
      </c>
      <c r="T368" s="731">
        <f>J368*L368*N368*P368</f>
        <v>1.6240000000000003</v>
      </c>
      <c r="U368" s="731"/>
      <c r="V368" s="733">
        <f>T368</f>
        <v>1.6240000000000003</v>
      </c>
      <c r="W368" s="704" t="s">
        <v>375</v>
      </c>
    </row>
    <row r="369" spans="2:23">
      <c r="B369" s="723"/>
      <c r="C369" s="720"/>
      <c r="D369" s="720"/>
      <c r="E369" s="720"/>
      <c r="F369" s="721"/>
      <c r="G369" s="729"/>
      <c r="H369" s="762"/>
      <c r="I369" s="762"/>
      <c r="J369" s="731"/>
      <c r="K369" s="731"/>
      <c r="L369" s="731"/>
      <c r="M369" s="731"/>
      <c r="N369" s="731"/>
      <c r="O369" s="731"/>
      <c r="P369" s="734"/>
      <c r="Q369" s="731"/>
      <c r="R369" s="732"/>
      <c r="S369" s="735"/>
      <c r="T369" s="731"/>
      <c r="U369" s="731"/>
      <c r="V369" s="733"/>
      <c r="W369" s="704"/>
    </row>
    <row r="370" spans="2:23">
      <c r="B370" s="723"/>
      <c r="C370" s="720"/>
      <c r="D370" s="720"/>
      <c r="E370" s="720"/>
      <c r="F370" s="721"/>
      <c r="G370" s="729" t="s">
        <v>3932</v>
      </c>
      <c r="H370" s="762"/>
      <c r="I370" s="762"/>
      <c r="J370" s="670"/>
      <c r="K370" s="731"/>
      <c r="L370" s="731"/>
      <c r="M370" s="731"/>
      <c r="N370" s="731"/>
      <c r="O370" s="731"/>
      <c r="P370" s="731"/>
      <c r="Q370" s="731"/>
      <c r="R370" s="732"/>
      <c r="S370" s="731"/>
      <c r="T370" s="731"/>
      <c r="U370" s="731"/>
      <c r="V370" s="733">
        <f>T371</f>
        <v>4.6400000000000006</v>
      </c>
      <c r="W370" s="704" t="s">
        <v>375</v>
      </c>
    </row>
    <row r="371" spans="2:23">
      <c r="B371" s="723"/>
      <c r="C371" s="720"/>
      <c r="D371" s="720"/>
      <c r="E371" s="720"/>
      <c r="F371" s="721"/>
      <c r="G371" s="761"/>
      <c r="H371" s="762"/>
      <c r="I371" s="762"/>
      <c r="J371" s="731">
        <f>+J368</f>
        <v>11.600000000000001</v>
      </c>
      <c r="K371" s="731" t="s">
        <v>3922</v>
      </c>
      <c r="L371" s="731">
        <f>+(0.7+0.3)/2</f>
        <v>0.5</v>
      </c>
      <c r="M371" s="731" t="s">
        <v>3922</v>
      </c>
      <c r="N371" s="731">
        <v>0.8</v>
      </c>
      <c r="O371" s="731" t="s">
        <v>3922</v>
      </c>
      <c r="P371" s="734">
        <v>1</v>
      </c>
      <c r="Q371" s="731"/>
      <c r="R371" s="732"/>
      <c r="S371" s="735" t="s">
        <v>3923</v>
      </c>
      <c r="T371" s="731">
        <f>J371*L371*N371*P371</f>
        <v>4.6400000000000006</v>
      </c>
      <c r="U371" s="731"/>
      <c r="V371" s="733"/>
      <c r="W371" s="704"/>
    </row>
    <row r="372" spans="2:23">
      <c r="B372" s="723"/>
      <c r="C372" s="720"/>
      <c r="D372" s="720"/>
      <c r="E372" s="720"/>
      <c r="F372" s="721"/>
      <c r="G372" s="729"/>
      <c r="H372" s="762"/>
      <c r="I372" s="762"/>
      <c r="J372" s="731"/>
      <c r="K372" s="731"/>
      <c r="L372" s="731"/>
      <c r="M372" s="731"/>
      <c r="N372" s="731"/>
      <c r="O372" s="731"/>
      <c r="P372" s="734"/>
      <c r="Q372" s="731"/>
      <c r="R372" s="732"/>
      <c r="S372" s="735"/>
      <c r="T372" s="731"/>
      <c r="U372" s="731"/>
      <c r="V372" s="733"/>
      <c r="W372" s="704"/>
    </row>
    <row r="373" spans="2:23">
      <c r="B373" s="723"/>
      <c r="C373" s="720"/>
      <c r="D373" s="720"/>
      <c r="E373" s="720"/>
      <c r="F373" s="721"/>
      <c r="G373" s="729" t="s">
        <v>3964</v>
      </c>
      <c r="H373" s="762"/>
      <c r="I373" s="762"/>
      <c r="J373" s="731">
        <f>+J371</f>
        <v>11.600000000000001</v>
      </c>
      <c r="K373" s="731" t="s">
        <v>3922</v>
      </c>
      <c r="L373" s="731">
        <f>+L368</f>
        <v>0.7</v>
      </c>
      <c r="M373" s="731" t="s">
        <v>3922</v>
      </c>
      <c r="N373" s="731">
        <v>0.05</v>
      </c>
      <c r="O373" s="731" t="s">
        <v>3922</v>
      </c>
      <c r="P373" s="734">
        <v>1</v>
      </c>
      <c r="Q373" s="731"/>
      <c r="R373" s="732"/>
      <c r="S373" s="735" t="s">
        <v>3923</v>
      </c>
      <c r="T373" s="731">
        <f>J373*L373*N373*P373</f>
        <v>0.40600000000000008</v>
      </c>
      <c r="U373" s="731"/>
      <c r="V373" s="733">
        <f>+T373</f>
        <v>0.40600000000000008</v>
      </c>
      <c r="W373" s="704" t="s">
        <v>375</v>
      </c>
    </row>
    <row r="374" spans="2:23">
      <c r="B374" s="723"/>
      <c r="C374" s="720"/>
      <c r="D374" s="720"/>
      <c r="E374" s="720"/>
      <c r="F374" s="721"/>
      <c r="G374" s="761"/>
      <c r="H374" s="762"/>
      <c r="I374" s="762"/>
      <c r="J374" s="731"/>
      <c r="K374" s="731"/>
      <c r="L374" s="731"/>
      <c r="M374" s="731"/>
      <c r="N374" s="731"/>
      <c r="O374" s="731"/>
      <c r="P374" s="734"/>
      <c r="Q374" s="731"/>
      <c r="R374" s="732"/>
      <c r="S374" s="735"/>
      <c r="T374" s="731"/>
      <c r="U374" s="731"/>
      <c r="V374" s="733"/>
      <c r="W374" s="704"/>
    </row>
    <row r="375" spans="2:23">
      <c r="B375" s="723"/>
      <c r="C375" s="720"/>
      <c r="D375" s="720"/>
      <c r="E375" s="720"/>
      <c r="F375" s="721"/>
      <c r="G375" s="761"/>
      <c r="H375" s="762"/>
      <c r="I375" s="762"/>
      <c r="J375" s="731"/>
      <c r="K375" s="731"/>
      <c r="L375" s="731"/>
      <c r="M375" s="731"/>
      <c r="N375" s="731"/>
      <c r="O375" s="731"/>
      <c r="P375" s="734"/>
      <c r="Q375" s="731"/>
      <c r="R375" s="732"/>
      <c r="S375" s="735"/>
      <c r="T375" s="731"/>
      <c r="U375" s="731"/>
      <c r="V375" s="733"/>
      <c r="W375" s="704"/>
    </row>
    <row r="376" spans="2:23" ht="16" thickBot="1">
      <c r="B376" s="799"/>
      <c r="C376" s="800"/>
      <c r="D376" s="800"/>
      <c r="E376" s="800"/>
      <c r="F376" s="801"/>
      <c r="G376" s="918"/>
      <c r="H376" s="919"/>
      <c r="I376" s="919"/>
      <c r="J376" s="920"/>
      <c r="K376" s="920"/>
      <c r="L376" s="920"/>
      <c r="M376" s="920"/>
      <c r="N376" s="920"/>
      <c r="O376" s="920"/>
      <c r="P376" s="921"/>
      <c r="Q376" s="920"/>
      <c r="R376" s="922"/>
      <c r="S376" s="923"/>
      <c r="T376" s="920"/>
      <c r="U376" s="920"/>
      <c r="V376" s="924"/>
      <c r="W376" s="925"/>
    </row>
    <row r="377" spans="2:23" ht="16" thickBot="1">
      <c r="B377" s="709"/>
      <c r="F377" s="710"/>
      <c r="G377" s="827"/>
      <c r="H377" s="699"/>
      <c r="I377" s="699"/>
      <c r="J377" s="805"/>
      <c r="K377" s="805"/>
      <c r="L377" s="805"/>
      <c r="M377" s="805"/>
      <c r="N377" s="805"/>
      <c r="O377" s="807"/>
      <c r="P377" s="807"/>
      <c r="Q377" s="807"/>
      <c r="R377" s="806"/>
      <c r="S377" s="807"/>
      <c r="T377" s="794"/>
      <c r="U377" s="807"/>
      <c r="V377" s="808"/>
      <c r="W377" s="809"/>
    </row>
    <row r="378" spans="2:23">
      <c r="B378" s="798">
        <v>3</v>
      </c>
      <c r="C378" s="1771" t="s">
        <v>4013</v>
      </c>
      <c r="D378" s="1771"/>
      <c r="E378" s="1771"/>
      <c r="F378" s="1772"/>
      <c r="G378" s="1765" t="s">
        <v>3950</v>
      </c>
      <c r="H378" s="1766"/>
      <c r="I378" s="1766"/>
      <c r="J378" s="1766"/>
      <c r="K378" s="1766"/>
      <c r="L378" s="1766"/>
      <c r="M378" s="1766"/>
      <c r="N378" s="1766"/>
      <c r="O378" s="1766"/>
      <c r="P378" s="1766"/>
      <c r="Q378" s="1766"/>
      <c r="R378" s="1766"/>
      <c r="S378" s="1766"/>
      <c r="T378" s="1766"/>
      <c r="U378" s="1766"/>
      <c r="V378" s="1766"/>
      <c r="W378" s="1767"/>
    </row>
    <row r="379" spans="2:23" ht="16" thickBot="1">
      <c r="B379" s="709"/>
      <c r="F379" s="710"/>
      <c r="G379" s="722"/>
      <c r="H379" s="683"/>
      <c r="I379" s="683"/>
      <c r="J379" s="684" t="s">
        <v>3889</v>
      </c>
      <c r="K379" s="684"/>
      <c r="L379" s="684" t="s">
        <v>3890</v>
      </c>
      <c r="M379" s="684"/>
      <c r="N379" s="684" t="s">
        <v>3891</v>
      </c>
      <c r="O379" s="684"/>
      <c r="P379" s="684" t="s">
        <v>3892</v>
      </c>
      <c r="Q379" s="684"/>
      <c r="R379" s="685" t="s">
        <v>3893</v>
      </c>
      <c r="S379" s="686"/>
      <c r="T379" s="687" t="s">
        <v>3894</v>
      </c>
      <c r="U379" s="686"/>
      <c r="V379" s="688" t="s">
        <v>3895</v>
      </c>
      <c r="W379" s="689" t="s">
        <v>3896</v>
      </c>
    </row>
    <row r="380" spans="2:23">
      <c r="B380" s="709"/>
      <c r="F380" s="710"/>
      <c r="G380" s="821"/>
      <c r="H380" s="692"/>
      <c r="I380" s="692"/>
      <c r="J380" s="828"/>
      <c r="K380" s="828"/>
      <c r="L380" s="828"/>
      <c r="M380" s="828"/>
      <c r="N380" s="828"/>
      <c r="O380" s="829"/>
      <c r="P380" s="829"/>
      <c r="Q380" s="829"/>
      <c r="R380" s="830"/>
      <c r="S380" s="829"/>
      <c r="T380" s="831"/>
      <c r="U380" s="832"/>
      <c r="V380" s="833"/>
      <c r="W380" s="822"/>
    </row>
    <row r="381" spans="2:23">
      <c r="B381" s="709"/>
      <c r="F381" s="710"/>
      <c r="G381" s="827" t="s">
        <v>3941</v>
      </c>
      <c r="H381" s="730" t="s">
        <v>4014</v>
      </c>
      <c r="I381" s="699"/>
      <c r="J381" s="805"/>
      <c r="K381" s="805"/>
      <c r="L381" s="805"/>
      <c r="M381" s="805"/>
      <c r="N381" s="805"/>
      <c r="O381" s="794"/>
      <c r="P381" s="794"/>
      <c r="Q381" s="794"/>
      <c r="R381" s="806"/>
      <c r="S381" s="793"/>
      <c r="T381" s="794"/>
      <c r="U381" s="807"/>
      <c r="V381" s="808">
        <f>+T382</f>
        <v>0.34800000000000009</v>
      </c>
      <c r="W381" s="809" t="s">
        <v>375</v>
      </c>
    </row>
    <row r="382" spans="2:23">
      <c r="B382" s="1768"/>
      <c r="C382" s="1769"/>
      <c r="D382" s="1769"/>
      <c r="E382" s="1769"/>
      <c r="F382" s="1770"/>
      <c r="G382" s="827"/>
      <c r="H382" s="699"/>
      <c r="I382" s="699"/>
      <c r="J382" s="791">
        <f>+J368</f>
        <v>11.600000000000001</v>
      </c>
      <c r="K382" s="791" t="s">
        <v>3922</v>
      </c>
      <c r="L382" s="791">
        <v>0.15</v>
      </c>
      <c r="M382" s="791" t="s">
        <v>3922</v>
      </c>
      <c r="N382" s="791">
        <v>0.2</v>
      </c>
      <c r="O382" s="791" t="s">
        <v>3922</v>
      </c>
      <c r="P382" s="791">
        <v>1</v>
      </c>
      <c r="Q382" s="791"/>
      <c r="R382" s="792"/>
      <c r="S382" s="793" t="s">
        <v>3923</v>
      </c>
      <c r="T382" s="794">
        <f>J382*L382*N382*P382</f>
        <v>0.34800000000000009</v>
      </c>
      <c r="U382" s="807"/>
      <c r="V382" s="810"/>
      <c r="W382" s="809"/>
    </row>
    <row r="383" spans="2:23">
      <c r="B383" s="709"/>
      <c r="F383" s="710"/>
      <c r="G383" s="827"/>
      <c r="H383" s="699"/>
      <c r="I383" s="699"/>
      <c r="J383" s="791"/>
      <c r="K383" s="791"/>
      <c r="L383" s="791"/>
      <c r="M383" s="791"/>
      <c r="N383" s="791"/>
      <c r="O383" s="791"/>
      <c r="P383" s="791"/>
      <c r="Q383" s="791"/>
      <c r="R383" s="792"/>
      <c r="S383" s="793"/>
      <c r="T383" s="794"/>
      <c r="U383" s="824"/>
      <c r="V383" s="834"/>
      <c r="W383" s="809"/>
    </row>
    <row r="384" spans="2:23">
      <c r="B384" s="709"/>
      <c r="F384" s="710"/>
      <c r="G384" s="775" t="s">
        <v>3935</v>
      </c>
      <c r="H384" s="776" t="s">
        <v>3943</v>
      </c>
      <c r="I384" s="776"/>
      <c r="J384" s="777"/>
      <c r="K384" s="777"/>
      <c r="L384" s="777"/>
      <c r="M384" s="777"/>
      <c r="N384" s="777"/>
      <c r="O384" s="825"/>
      <c r="P384" s="825"/>
      <c r="Q384" s="825"/>
      <c r="R384" s="778"/>
      <c r="S384" s="825"/>
      <c r="T384" s="826"/>
      <c r="U384" s="807"/>
      <c r="V384" s="808">
        <f>+SUM(T386:T391)</f>
        <v>94.062080000000023</v>
      </c>
      <c r="W384" s="823" t="s">
        <v>93</v>
      </c>
    </row>
    <row r="385" spans="2:23">
      <c r="B385" s="737"/>
      <c r="C385" s="738"/>
      <c r="D385" s="738"/>
      <c r="E385" s="738"/>
      <c r="F385" s="739"/>
      <c r="G385" s="729"/>
      <c r="H385" s="730"/>
      <c r="I385" s="730"/>
      <c r="J385" s="817" t="s">
        <v>3889</v>
      </c>
      <c r="K385" s="817"/>
      <c r="L385" s="817" t="s">
        <v>3892</v>
      </c>
      <c r="M385" s="791"/>
      <c r="N385" s="791"/>
      <c r="O385" s="824"/>
      <c r="P385" s="824"/>
      <c r="Q385" s="824"/>
      <c r="R385" s="792"/>
      <c r="S385" s="824"/>
      <c r="T385" s="794"/>
      <c r="U385" s="807"/>
      <c r="V385" s="810"/>
      <c r="W385" s="823"/>
    </row>
    <row r="386" spans="2:23">
      <c r="B386" s="760"/>
      <c r="C386" s="720"/>
      <c r="D386" s="720"/>
      <c r="E386" s="720"/>
      <c r="F386" s="721"/>
      <c r="G386" s="729"/>
      <c r="H386" s="730" t="s">
        <v>4005</v>
      </c>
      <c r="I386" s="730" t="s">
        <v>3944</v>
      </c>
      <c r="J386" s="791">
        <f>J382</f>
        <v>11.600000000000001</v>
      </c>
      <c r="K386" s="791" t="s">
        <v>3922</v>
      </c>
      <c r="L386" s="791">
        <v>2</v>
      </c>
      <c r="M386" s="791"/>
      <c r="N386" s="791"/>
      <c r="O386" s="824"/>
      <c r="P386" s="824"/>
      <c r="Q386" s="824" t="s">
        <v>3922</v>
      </c>
      <c r="R386" s="792">
        <v>1.04</v>
      </c>
      <c r="S386" s="824" t="s">
        <v>3923</v>
      </c>
      <c r="T386" s="794">
        <f>J386*L386*R386</f>
        <v>24.128000000000004</v>
      </c>
      <c r="U386" s="807"/>
      <c r="V386" s="810"/>
      <c r="W386" s="823"/>
    </row>
    <row r="387" spans="2:23">
      <c r="B387" s="760"/>
      <c r="C387" s="720"/>
      <c r="D387" s="720"/>
      <c r="E387" s="720"/>
      <c r="F387" s="721"/>
      <c r="G387" s="729"/>
      <c r="H387" s="730" t="s">
        <v>4005</v>
      </c>
      <c r="I387" s="730" t="s">
        <v>3945</v>
      </c>
      <c r="J387" s="791">
        <f>+J386</f>
        <v>11.600000000000001</v>
      </c>
      <c r="K387" s="791" t="s">
        <v>3922</v>
      </c>
      <c r="L387" s="791">
        <v>2</v>
      </c>
      <c r="M387" s="791"/>
      <c r="N387" s="791"/>
      <c r="O387" s="824"/>
      <c r="P387" s="824"/>
      <c r="Q387" s="824" t="s">
        <v>3922</v>
      </c>
      <c r="R387" s="792">
        <f>+R386</f>
        <v>1.04</v>
      </c>
      <c r="S387" s="824" t="s">
        <v>3923</v>
      </c>
      <c r="T387" s="794">
        <f>J387*L387*R387</f>
        <v>24.128000000000004</v>
      </c>
      <c r="U387" s="807"/>
      <c r="V387" s="810"/>
      <c r="W387" s="823"/>
    </row>
    <row r="388" spans="2:23">
      <c r="B388" s="760"/>
      <c r="C388" s="720"/>
      <c r="D388" s="720"/>
      <c r="E388" s="720"/>
      <c r="F388" s="721"/>
      <c r="G388" s="729"/>
      <c r="H388" s="730"/>
      <c r="I388" s="730"/>
      <c r="J388" s="791"/>
      <c r="K388" s="791"/>
      <c r="L388" s="791"/>
      <c r="M388" s="791"/>
      <c r="N388" s="791"/>
      <c r="O388" s="824"/>
      <c r="P388" s="824"/>
      <c r="Q388" s="824"/>
      <c r="R388" s="792"/>
      <c r="S388" s="824"/>
      <c r="T388" s="794"/>
      <c r="U388" s="807"/>
      <c r="V388" s="810"/>
      <c r="W388" s="823"/>
    </row>
    <row r="389" spans="2:23">
      <c r="B389" s="760"/>
      <c r="C389" s="720"/>
      <c r="D389" s="720"/>
      <c r="E389" s="720"/>
      <c r="F389" s="721"/>
      <c r="G389" s="729" t="s">
        <v>3937</v>
      </c>
      <c r="H389" s="776" t="s">
        <v>3946</v>
      </c>
      <c r="I389" s="730"/>
      <c r="J389" s="791"/>
      <c r="K389" s="791"/>
      <c r="L389" s="791"/>
      <c r="M389" s="791"/>
      <c r="N389" s="791"/>
      <c r="O389" s="824"/>
      <c r="P389" s="824"/>
      <c r="Q389" s="824"/>
      <c r="R389" s="792"/>
      <c r="S389" s="824"/>
      <c r="T389" s="794"/>
      <c r="U389" s="807"/>
      <c r="V389" s="810"/>
      <c r="W389" s="823"/>
    </row>
    <row r="390" spans="2:23">
      <c r="B390" s="723"/>
      <c r="F390" s="710"/>
      <c r="G390" s="835"/>
      <c r="H390" s="730"/>
      <c r="I390" s="741"/>
      <c r="J390" s="817" t="s">
        <v>3951</v>
      </c>
      <c r="K390" s="817"/>
      <c r="L390" s="817" t="s">
        <v>3952</v>
      </c>
      <c r="M390" s="791"/>
      <c r="N390" s="791"/>
      <c r="O390" s="824"/>
      <c r="P390" s="824"/>
      <c r="Q390" s="824"/>
      <c r="R390" s="792"/>
      <c r="S390" s="824"/>
      <c r="T390" s="794"/>
      <c r="U390" s="807"/>
      <c r="V390" s="808"/>
      <c r="W390" s="809"/>
    </row>
    <row r="391" spans="2:23">
      <c r="B391" s="723"/>
      <c r="F391" s="710"/>
      <c r="G391" s="729"/>
      <c r="H391" s="730" t="s">
        <v>3947</v>
      </c>
      <c r="I391" s="730"/>
      <c r="J391" s="791">
        <f>0.11+0.11+0.16+0.16+0.05+0.05</f>
        <v>0.64000000000000012</v>
      </c>
      <c r="K391" s="791" t="s">
        <v>3922</v>
      </c>
      <c r="L391" s="791">
        <f>+J382/0.1</f>
        <v>116.00000000000001</v>
      </c>
      <c r="M391" s="791"/>
      <c r="N391" s="791"/>
      <c r="O391" s="824"/>
      <c r="P391" s="824"/>
      <c r="Q391" s="824" t="s">
        <v>3922</v>
      </c>
      <c r="R391" s="792">
        <v>0.61699999999999999</v>
      </c>
      <c r="S391" s="824" t="s">
        <v>3923</v>
      </c>
      <c r="T391" s="794">
        <f>J391*L391*R391</f>
        <v>45.806080000000016</v>
      </c>
      <c r="U391" s="807"/>
      <c r="V391" s="810"/>
      <c r="W391" s="823"/>
    </row>
    <row r="392" spans="2:23">
      <c r="B392" s="709"/>
      <c r="F392" s="710"/>
      <c r="G392" s="827"/>
      <c r="H392" s="699"/>
      <c r="I392" s="699"/>
      <c r="J392" s="805"/>
      <c r="K392" s="805"/>
      <c r="L392" s="805"/>
      <c r="M392" s="805"/>
      <c r="N392" s="805"/>
      <c r="O392" s="807"/>
      <c r="P392" s="807"/>
      <c r="Q392" s="807"/>
      <c r="R392" s="806"/>
      <c r="S392" s="807"/>
      <c r="T392" s="794"/>
      <c r="U392" s="807"/>
      <c r="V392" s="808"/>
      <c r="W392" s="809"/>
    </row>
    <row r="393" spans="2:23">
      <c r="B393" s="709"/>
      <c r="F393" s="710"/>
      <c r="G393" s="827" t="s">
        <v>3940</v>
      </c>
      <c r="H393" s="699" t="s">
        <v>4006</v>
      </c>
      <c r="I393" s="699"/>
      <c r="J393" s="805"/>
      <c r="K393" s="805"/>
      <c r="L393" s="805"/>
      <c r="M393" s="805"/>
      <c r="N393" s="805"/>
      <c r="O393" s="807"/>
      <c r="P393" s="807"/>
      <c r="Q393" s="807"/>
      <c r="R393" s="806"/>
      <c r="S393" s="807"/>
      <c r="T393" s="794"/>
      <c r="U393" s="807"/>
      <c r="V393" s="808">
        <f>T394</f>
        <v>4.6400000000000006</v>
      </c>
      <c r="W393" s="809" t="s">
        <v>376</v>
      </c>
    </row>
    <row r="394" spans="2:23">
      <c r="B394" s="709"/>
      <c r="F394" s="710"/>
      <c r="G394" s="827"/>
      <c r="H394" s="699"/>
      <c r="I394" s="699"/>
      <c r="J394" s="805">
        <f>+J382</f>
        <v>11.600000000000001</v>
      </c>
      <c r="K394" s="805"/>
      <c r="L394" s="805"/>
      <c r="M394" s="805" t="s">
        <v>3922</v>
      </c>
      <c r="N394" s="805">
        <f>+N382</f>
        <v>0.2</v>
      </c>
      <c r="O394" s="807" t="s">
        <v>3922</v>
      </c>
      <c r="P394" s="807">
        <v>2</v>
      </c>
      <c r="Q394" s="807"/>
      <c r="R394" s="806"/>
      <c r="S394" s="807" t="s">
        <v>3923</v>
      </c>
      <c r="T394" s="794">
        <f>J394*N394*P394</f>
        <v>4.6400000000000006</v>
      </c>
      <c r="U394" s="807"/>
      <c r="V394" s="808"/>
      <c r="W394" s="809"/>
    </row>
    <row r="395" spans="2:23">
      <c r="B395" s="709"/>
      <c r="F395" s="710"/>
      <c r="G395" s="827"/>
      <c r="H395" s="699"/>
      <c r="I395" s="699"/>
      <c r="J395" s="805"/>
      <c r="K395" s="805"/>
      <c r="L395" s="805"/>
      <c r="M395" s="805"/>
      <c r="N395" s="805"/>
      <c r="O395" s="807"/>
      <c r="P395" s="807"/>
      <c r="Q395" s="807"/>
      <c r="R395" s="806"/>
      <c r="S395" s="807"/>
      <c r="T395" s="794"/>
      <c r="U395" s="807"/>
      <c r="V395" s="808"/>
      <c r="W395" s="809"/>
    </row>
    <row r="396" spans="2:23" ht="16" thickBot="1">
      <c r="B396" s="926"/>
      <c r="C396" s="927"/>
      <c r="D396" s="927"/>
      <c r="E396" s="927"/>
      <c r="F396" s="928"/>
      <c r="G396" s="764"/>
      <c r="H396" s="747"/>
      <c r="I396" s="747"/>
      <c r="J396" s="929"/>
      <c r="K396" s="929"/>
      <c r="L396" s="929"/>
      <c r="M396" s="929"/>
      <c r="N396" s="929"/>
      <c r="O396" s="930"/>
      <c r="P396" s="930"/>
      <c r="Q396" s="930"/>
      <c r="R396" s="931"/>
      <c r="S396" s="930"/>
      <c r="T396" s="932"/>
      <c r="U396" s="930"/>
      <c r="V396" s="933"/>
      <c r="W396" s="934"/>
    </row>
    <row r="397" spans="2:23" ht="16" thickTop="1">
      <c r="B397" s="798" t="s">
        <v>3909</v>
      </c>
      <c r="C397" s="1771" t="s">
        <v>4018</v>
      </c>
      <c r="D397" s="1771"/>
      <c r="E397" s="1771"/>
      <c r="F397" s="1772"/>
      <c r="G397" s="1765" t="s">
        <v>3888</v>
      </c>
      <c r="H397" s="1766"/>
      <c r="I397" s="1766"/>
      <c r="J397" s="1766"/>
      <c r="K397" s="1766"/>
      <c r="L397" s="1766"/>
      <c r="M397" s="1766"/>
      <c r="N397" s="1766"/>
      <c r="O397" s="1766"/>
      <c r="P397" s="1766"/>
      <c r="Q397" s="1766"/>
      <c r="R397" s="1766"/>
      <c r="S397" s="1766"/>
      <c r="T397" s="1766"/>
      <c r="U397" s="1766"/>
      <c r="V397" s="1766"/>
      <c r="W397" s="1767"/>
    </row>
    <row r="398" spans="2:23" ht="16" thickBot="1">
      <c r="B398" s="709"/>
      <c r="F398" s="710"/>
      <c r="G398" s="722"/>
      <c r="H398" s="683"/>
      <c r="I398" s="683"/>
      <c r="J398" s="684" t="s">
        <v>3889</v>
      </c>
      <c r="K398" s="684"/>
      <c r="L398" s="684" t="s">
        <v>3890</v>
      </c>
      <c r="M398" s="684"/>
      <c r="N398" s="684" t="s">
        <v>3891</v>
      </c>
      <c r="O398" s="684"/>
      <c r="P398" s="684" t="s">
        <v>3892</v>
      </c>
      <c r="Q398" s="684"/>
      <c r="R398" s="685" t="s">
        <v>3893</v>
      </c>
      <c r="S398" s="686"/>
      <c r="T398" s="687" t="s">
        <v>3894</v>
      </c>
      <c r="U398" s="686"/>
      <c r="V398" s="688" t="s">
        <v>3895</v>
      </c>
      <c r="W398" s="689" t="s">
        <v>3896</v>
      </c>
    </row>
    <row r="399" spans="2:23">
      <c r="B399" s="709"/>
      <c r="G399" s="821"/>
      <c r="H399" s="692"/>
      <c r="I399" s="692"/>
      <c r="J399" s="828"/>
      <c r="K399" s="828"/>
      <c r="L399" s="828"/>
      <c r="M399" s="828"/>
      <c r="N399" s="828"/>
      <c r="O399" s="829"/>
      <c r="P399" s="829"/>
      <c r="Q399" s="829"/>
      <c r="R399" s="830"/>
      <c r="S399" s="829"/>
      <c r="T399" s="831"/>
      <c r="U399" s="832"/>
      <c r="V399" s="833"/>
      <c r="W399" s="697"/>
    </row>
    <row r="400" spans="2:23">
      <c r="B400" s="709"/>
      <c r="F400" s="710"/>
      <c r="G400" s="827" t="s">
        <v>3941</v>
      </c>
      <c r="H400" s="699" t="s">
        <v>3969</v>
      </c>
      <c r="I400" s="699"/>
      <c r="J400" s="805"/>
      <c r="K400" s="805"/>
      <c r="L400" s="805"/>
      <c r="M400" s="805"/>
      <c r="N400" s="805"/>
      <c r="O400" s="794"/>
      <c r="P400" s="794"/>
      <c r="Q400" s="794"/>
      <c r="R400" s="806"/>
      <c r="S400" s="793"/>
      <c r="T400" s="794"/>
      <c r="U400" s="807"/>
      <c r="V400" s="808">
        <f>+T401</f>
        <v>0.27</v>
      </c>
      <c r="W400" s="704" t="s">
        <v>375</v>
      </c>
    </row>
    <row r="401" spans="2:23">
      <c r="B401" s="1768"/>
      <c r="C401" s="1769"/>
      <c r="D401" s="1769"/>
      <c r="E401" s="1769"/>
      <c r="F401" s="1770"/>
      <c r="G401" s="827"/>
      <c r="H401" s="699"/>
      <c r="I401" s="699" t="s">
        <v>3956</v>
      </c>
      <c r="J401" s="791">
        <v>0.15</v>
      </c>
      <c r="K401" s="791" t="s">
        <v>3922</v>
      </c>
      <c r="L401" s="791">
        <v>0.2</v>
      </c>
      <c r="M401" s="791" t="s">
        <v>3922</v>
      </c>
      <c r="N401" s="791">
        <v>1.5</v>
      </c>
      <c r="O401" s="791" t="s">
        <v>3922</v>
      </c>
      <c r="P401" s="791">
        <v>6</v>
      </c>
      <c r="Q401" s="791"/>
      <c r="R401" s="792"/>
      <c r="S401" s="793" t="s">
        <v>3923</v>
      </c>
      <c r="T401" s="794">
        <f>+J401*L401*N401*P401</f>
        <v>0.27</v>
      </c>
      <c r="U401" s="807"/>
      <c r="V401" s="810"/>
      <c r="W401" s="704"/>
    </row>
    <row r="402" spans="2:23">
      <c r="B402" s="709"/>
      <c r="F402" s="710"/>
      <c r="G402" s="827"/>
      <c r="H402" s="699"/>
      <c r="I402" s="699"/>
      <c r="J402" s="791"/>
      <c r="K402" s="791"/>
      <c r="L402" s="791"/>
      <c r="M402" s="791"/>
      <c r="N402" s="791"/>
      <c r="O402" s="791"/>
      <c r="P402" s="791"/>
      <c r="Q402" s="791"/>
      <c r="R402" s="792"/>
      <c r="S402" s="793"/>
      <c r="T402" s="794"/>
      <c r="U402" s="824"/>
      <c r="V402" s="834"/>
      <c r="W402" s="704"/>
    </row>
    <row r="403" spans="2:23">
      <c r="B403" s="755"/>
      <c r="F403" s="710"/>
      <c r="G403" s="827" t="s">
        <v>3935</v>
      </c>
      <c r="H403" s="776" t="s">
        <v>3953</v>
      </c>
      <c r="I403" s="699"/>
      <c r="J403" s="791"/>
      <c r="K403" s="791"/>
      <c r="L403" s="791"/>
      <c r="M403" s="791"/>
      <c r="N403" s="791"/>
      <c r="O403" s="791"/>
      <c r="P403" s="791"/>
      <c r="Q403" s="791"/>
      <c r="R403" s="792"/>
      <c r="S403" s="793"/>
      <c r="T403" s="794"/>
      <c r="U403" s="824"/>
      <c r="V403" s="840">
        <f>+SUM(T405:T409)</f>
        <v>79.852800000000002</v>
      </c>
      <c r="W403" s="704" t="s">
        <v>93</v>
      </c>
    </row>
    <row r="404" spans="2:23">
      <c r="B404" s="759"/>
      <c r="F404" s="710"/>
      <c r="G404" s="827"/>
      <c r="H404" s="699"/>
      <c r="I404" s="699"/>
      <c r="J404" s="817" t="s">
        <v>3889</v>
      </c>
      <c r="K404" s="817"/>
      <c r="L404" s="817" t="s">
        <v>3892</v>
      </c>
      <c r="M404" s="791"/>
      <c r="N404" s="791"/>
      <c r="O404" s="791"/>
      <c r="P404" s="791"/>
      <c r="Q404" s="791"/>
      <c r="R404" s="792"/>
      <c r="S404" s="793"/>
      <c r="T404" s="794"/>
      <c r="U404" s="824"/>
      <c r="V404" s="834"/>
      <c r="W404" s="704"/>
    </row>
    <row r="405" spans="2:23">
      <c r="B405" s="709"/>
      <c r="F405" s="710"/>
      <c r="G405" s="827"/>
      <c r="H405" s="730" t="s">
        <v>3422</v>
      </c>
      <c r="I405" s="699" t="s">
        <v>3957</v>
      </c>
      <c r="J405" s="791">
        <f>+N401</f>
        <v>1.5</v>
      </c>
      <c r="K405" s="791" t="s">
        <v>3922</v>
      </c>
      <c r="L405" s="791">
        <v>6</v>
      </c>
      <c r="M405" s="791"/>
      <c r="N405" s="791"/>
      <c r="O405" s="791" t="s">
        <v>3922</v>
      </c>
      <c r="P405" s="791">
        <f>P401</f>
        <v>6</v>
      </c>
      <c r="Q405" s="791" t="s">
        <v>3922</v>
      </c>
      <c r="R405" s="792">
        <v>1.04</v>
      </c>
      <c r="S405" s="791" t="s">
        <v>3923</v>
      </c>
      <c r="T405" s="841">
        <f>J405*L405*P405*R405</f>
        <v>56.160000000000004</v>
      </c>
      <c r="U405" s="824"/>
      <c r="V405" s="841"/>
      <c r="W405" s="704"/>
    </row>
    <row r="406" spans="2:23">
      <c r="B406" s="709"/>
      <c r="F406" s="710"/>
      <c r="G406" s="827"/>
      <c r="H406" s="730"/>
      <c r="I406" s="699"/>
      <c r="J406" s="805"/>
      <c r="K406" s="805"/>
      <c r="L406" s="805"/>
      <c r="M406" s="805"/>
      <c r="N406" s="842"/>
      <c r="O406" s="794"/>
      <c r="P406" s="794"/>
      <c r="Q406" s="794"/>
      <c r="R406" s="806"/>
      <c r="S406" s="793"/>
      <c r="T406" s="843"/>
      <c r="U406" s="824"/>
      <c r="V406" s="841"/>
      <c r="W406" s="704"/>
    </row>
    <row r="407" spans="2:23">
      <c r="B407" s="709"/>
      <c r="F407" s="710"/>
      <c r="G407" s="827" t="s">
        <v>3937</v>
      </c>
      <c r="H407" s="776" t="s">
        <v>3953</v>
      </c>
      <c r="I407" s="699"/>
      <c r="J407" s="805"/>
      <c r="K407" s="805"/>
      <c r="L407" s="805"/>
      <c r="M407" s="805"/>
      <c r="N407" s="842"/>
      <c r="O407" s="794"/>
      <c r="P407" s="794"/>
      <c r="Q407" s="794"/>
      <c r="R407" s="806"/>
      <c r="S407" s="793"/>
      <c r="T407" s="843"/>
      <c r="U407" s="824"/>
      <c r="W407" s="704"/>
    </row>
    <row r="408" spans="2:23">
      <c r="B408" s="755"/>
      <c r="F408" s="710"/>
      <c r="G408" s="827"/>
      <c r="H408" s="730"/>
      <c r="I408" s="699"/>
      <c r="J408" s="817" t="s">
        <v>3951</v>
      </c>
      <c r="K408" s="817"/>
      <c r="L408" s="817" t="s">
        <v>3952</v>
      </c>
      <c r="M408" s="805"/>
      <c r="N408" s="842"/>
      <c r="O408" s="791"/>
      <c r="P408" s="791"/>
      <c r="Q408" s="791"/>
      <c r="R408" s="792"/>
      <c r="S408" s="793"/>
      <c r="T408" s="794"/>
      <c r="U408" s="844"/>
      <c r="V408" s="840"/>
      <c r="W408" s="704"/>
    </row>
    <row r="409" spans="2:23">
      <c r="B409" s="759"/>
      <c r="F409" s="710"/>
      <c r="G409" s="827"/>
      <c r="H409" s="730" t="s">
        <v>3947</v>
      </c>
      <c r="I409" s="699" t="s">
        <v>3957</v>
      </c>
      <c r="J409" s="791">
        <f>0.11+0.11+0.16+0.16+0.05+0.05</f>
        <v>0.64000000000000012</v>
      </c>
      <c r="K409" s="791" t="s">
        <v>3922</v>
      </c>
      <c r="L409" s="805">
        <f>+J405/0.15</f>
        <v>10</v>
      </c>
      <c r="M409" s="805"/>
      <c r="N409" s="842"/>
      <c r="O409" s="791" t="s">
        <v>3922</v>
      </c>
      <c r="P409" s="791">
        <f>P405</f>
        <v>6</v>
      </c>
      <c r="Q409" s="791" t="s">
        <v>3922</v>
      </c>
      <c r="R409" s="792">
        <v>0.61699999999999999</v>
      </c>
      <c r="S409" s="793" t="s">
        <v>3923</v>
      </c>
      <c r="T409" s="794">
        <f>J409*L409*P409*R409</f>
        <v>23.692800000000002</v>
      </c>
      <c r="U409" s="845"/>
      <c r="V409" s="846"/>
      <c r="W409" s="704"/>
    </row>
    <row r="410" spans="2:23">
      <c r="B410" s="709"/>
      <c r="F410" s="710"/>
      <c r="G410" s="827"/>
      <c r="H410" s="699"/>
      <c r="I410" s="699"/>
      <c r="J410" s="791"/>
      <c r="K410" s="791"/>
      <c r="L410" s="791"/>
      <c r="M410" s="791"/>
      <c r="N410" s="842"/>
      <c r="O410" s="791"/>
      <c r="P410" s="791"/>
      <c r="Q410" s="791"/>
      <c r="R410" s="792"/>
      <c r="S410" s="793"/>
      <c r="T410" s="794"/>
      <c r="U410" s="847"/>
      <c r="V410" s="848"/>
      <c r="W410" s="704"/>
    </row>
    <row r="411" spans="2:23">
      <c r="B411" s="755"/>
      <c r="F411" s="710"/>
      <c r="G411" s="827" t="s">
        <v>3940</v>
      </c>
      <c r="H411" s="730" t="s">
        <v>3976</v>
      </c>
      <c r="I411" s="730"/>
      <c r="J411" s="791"/>
      <c r="K411" s="791"/>
      <c r="L411" s="791"/>
      <c r="M411" s="791"/>
      <c r="N411" s="842"/>
      <c r="O411" s="791"/>
      <c r="P411" s="791"/>
      <c r="Q411" s="791"/>
      <c r="R411" s="792"/>
      <c r="S411" s="793"/>
      <c r="T411" s="794"/>
      <c r="U411" s="807"/>
      <c r="V411" s="808">
        <f>+SUM(T412:T412)</f>
        <v>5.3999999999999995</v>
      </c>
      <c r="W411" s="736" t="s">
        <v>376</v>
      </c>
    </row>
    <row r="412" spans="2:23">
      <c r="B412" s="759"/>
      <c r="F412" s="710"/>
      <c r="G412" s="827"/>
      <c r="H412" s="730"/>
      <c r="I412" s="699" t="s">
        <v>3957</v>
      </c>
      <c r="J412" s="791"/>
      <c r="K412" s="791"/>
      <c r="L412" s="791">
        <f>+J401</f>
        <v>0.15</v>
      </c>
      <c r="M412" s="791" t="s">
        <v>3922</v>
      </c>
      <c r="N412" s="805">
        <f>N401</f>
        <v>1.5</v>
      </c>
      <c r="O412" s="791" t="s">
        <v>3922</v>
      </c>
      <c r="P412" s="791">
        <f>+P409</f>
        <v>6</v>
      </c>
      <c r="Q412" s="791"/>
      <c r="R412" s="792"/>
      <c r="S412" s="793" t="s">
        <v>3923</v>
      </c>
      <c r="T412" s="794">
        <f>+(L412*4)*N412*P412</f>
        <v>5.3999999999999995</v>
      </c>
      <c r="U412" s="807"/>
      <c r="V412" s="810"/>
      <c r="W412" s="736"/>
    </row>
    <row r="413" spans="2:23">
      <c r="B413" s="723"/>
      <c r="C413" s="720"/>
      <c r="D413" s="720"/>
      <c r="E413" s="720"/>
      <c r="F413" s="721"/>
      <c r="G413" s="827"/>
      <c r="H413" s="699"/>
      <c r="I413" s="699"/>
      <c r="J413" s="791"/>
      <c r="K413" s="791"/>
      <c r="L413" s="791"/>
      <c r="M413" s="791"/>
      <c r="N413" s="842"/>
      <c r="O413" s="791"/>
      <c r="P413" s="791"/>
      <c r="Q413" s="791"/>
      <c r="R413" s="792"/>
      <c r="S413" s="793"/>
      <c r="T413" s="794"/>
      <c r="U413" s="807"/>
      <c r="V413" s="810"/>
      <c r="W413" s="704"/>
    </row>
    <row r="414" spans="2:23" ht="16" thickBot="1">
      <c r="B414" s="763"/>
      <c r="C414" s="744"/>
      <c r="D414" s="744"/>
      <c r="E414" s="744"/>
      <c r="F414" s="745"/>
      <c r="G414" s="818"/>
      <c r="H414" s="819"/>
      <c r="I414" s="819"/>
      <c r="J414" s="819"/>
      <c r="K414" s="819"/>
      <c r="L414" s="819"/>
      <c r="M414" s="750"/>
      <c r="N414" s="751"/>
      <c r="O414" s="751"/>
      <c r="P414" s="751"/>
      <c r="Q414" s="751"/>
      <c r="R414" s="752"/>
      <c r="S414" s="751"/>
      <c r="T414" s="751"/>
      <c r="U414" s="751"/>
      <c r="V414" s="767"/>
      <c r="W414" s="754"/>
    </row>
    <row r="415" spans="2:23" ht="16.5" thickTop="1" thickBot="1">
      <c r="B415" s="709"/>
      <c r="F415" s="710"/>
      <c r="G415" s="827"/>
      <c r="H415" s="699"/>
      <c r="I415" s="699"/>
      <c r="J415" s="805"/>
      <c r="K415" s="805"/>
      <c r="L415" s="805"/>
      <c r="M415" s="805"/>
      <c r="N415" s="805"/>
      <c r="O415" s="807"/>
      <c r="P415" s="807"/>
      <c r="Q415" s="807"/>
      <c r="R415" s="806"/>
      <c r="S415" s="807"/>
      <c r="T415" s="794"/>
      <c r="U415" s="807"/>
      <c r="V415" s="808"/>
      <c r="W415" s="809"/>
    </row>
    <row r="416" spans="2:23">
      <c r="B416" s="798">
        <v>3</v>
      </c>
      <c r="C416" s="1771" t="s">
        <v>4015</v>
      </c>
      <c r="D416" s="1771"/>
      <c r="E416" s="1771"/>
      <c r="F416" s="1772"/>
      <c r="G416" s="1765" t="s">
        <v>3950</v>
      </c>
      <c r="H416" s="1766"/>
      <c r="I416" s="1766"/>
      <c r="J416" s="1766"/>
      <c r="K416" s="1766"/>
      <c r="L416" s="1766"/>
      <c r="M416" s="1766"/>
      <c r="N416" s="1766"/>
      <c r="O416" s="1766"/>
      <c r="P416" s="1766"/>
      <c r="Q416" s="1766"/>
      <c r="R416" s="1766"/>
      <c r="S416" s="1766"/>
      <c r="T416" s="1766"/>
      <c r="U416" s="1766"/>
      <c r="V416" s="1766"/>
      <c r="W416" s="1767"/>
    </row>
    <row r="417" spans="2:23" ht="16" thickBot="1">
      <c r="B417" s="709"/>
      <c r="F417" s="710"/>
      <c r="G417" s="722"/>
      <c r="H417" s="683"/>
      <c r="I417" s="683"/>
      <c r="J417" s="684" t="s">
        <v>3889</v>
      </c>
      <c r="K417" s="684"/>
      <c r="L417" s="684" t="s">
        <v>3890</v>
      </c>
      <c r="M417" s="684"/>
      <c r="N417" s="684" t="s">
        <v>3891</v>
      </c>
      <c r="O417" s="684"/>
      <c r="P417" s="684" t="s">
        <v>3892</v>
      </c>
      <c r="Q417" s="684"/>
      <c r="R417" s="685" t="s">
        <v>3893</v>
      </c>
      <c r="S417" s="686"/>
      <c r="T417" s="687" t="s">
        <v>3894</v>
      </c>
      <c r="U417" s="686"/>
      <c r="V417" s="688" t="s">
        <v>3895</v>
      </c>
      <c r="W417" s="689" t="s">
        <v>3896</v>
      </c>
    </row>
    <row r="418" spans="2:23">
      <c r="B418" s="709"/>
      <c r="F418" s="710"/>
      <c r="G418" s="821"/>
      <c r="H418" s="692"/>
      <c r="I418" s="692"/>
      <c r="J418" s="828"/>
      <c r="K418" s="828"/>
      <c r="L418" s="828"/>
      <c r="M418" s="828"/>
      <c r="N418" s="828"/>
      <c r="O418" s="829"/>
      <c r="P418" s="829"/>
      <c r="Q418" s="829"/>
      <c r="R418" s="830"/>
      <c r="S418" s="829"/>
      <c r="T418" s="831"/>
      <c r="U418" s="832"/>
      <c r="V418" s="833"/>
      <c r="W418" s="822"/>
    </row>
    <row r="419" spans="2:23">
      <c r="B419" s="709"/>
      <c r="F419" s="710"/>
      <c r="G419" s="827" t="s">
        <v>3941</v>
      </c>
      <c r="H419" s="730" t="s">
        <v>3969</v>
      </c>
      <c r="I419" s="699"/>
      <c r="J419" s="805"/>
      <c r="K419" s="805"/>
      <c r="L419" s="805"/>
      <c r="M419" s="805"/>
      <c r="N419" s="805"/>
      <c r="O419" s="794"/>
      <c r="P419" s="794"/>
      <c r="Q419" s="794"/>
      <c r="R419" s="806"/>
      <c r="S419" s="793"/>
      <c r="T419" s="794"/>
      <c r="U419" s="807"/>
      <c r="V419" s="808">
        <f>+T420</f>
        <v>0.34800000000000009</v>
      </c>
      <c r="W419" s="809" t="s">
        <v>375</v>
      </c>
    </row>
    <row r="420" spans="2:23">
      <c r="B420" s="1768"/>
      <c r="C420" s="1769"/>
      <c r="D420" s="1769"/>
      <c r="E420" s="1769"/>
      <c r="F420" s="1770"/>
      <c r="G420" s="827"/>
      <c r="H420" s="699"/>
      <c r="I420" s="699"/>
      <c r="J420" s="791">
        <f>+J382</f>
        <v>11.600000000000001</v>
      </c>
      <c r="K420" s="791" t="s">
        <v>3922</v>
      </c>
      <c r="L420" s="791">
        <v>0.15</v>
      </c>
      <c r="M420" s="791" t="s">
        <v>3922</v>
      </c>
      <c r="N420" s="791">
        <v>0.2</v>
      </c>
      <c r="O420" s="791" t="s">
        <v>3922</v>
      </c>
      <c r="P420" s="791">
        <v>1</v>
      </c>
      <c r="Q420" s="791"/>
      <c r="R420" s="792"/>
      <c r="S420" s="793" t="s">
        <v>3923</v>
      </c>
      <c r="T420" s="794">
        <f>J420*L420*N420*P420</f>
        <v>0.34800000000000009</v>
      </c>
      <c r="U420" s="807"/>
      <c r="V420" s="810"/>
      <c r="W420" s="809"/>
    </row>
    <row r="421" spans="2:23">
      <c r="B421" s="709"/>
      <c r="F421" s="710"/>
      <c r="G421" s="827"/>
      <c r="H421" s="699"/>
      <c r="I421" s="699"/>
      <c r="J421" s="791"/>
      <c r="K421" s="791"/>
      <c r="L421" s="791"/>
      <c r="M421" s="791"/>
      <c r="N421" s="791"/>
      <c r="O421" s="791"/>
      <c r="P421" s="791"/>
      <c r="Q421" s="791"/>
      <c r="R421" s="792"/>
      <c r="S421" s="793"/>
      <c r="T421" s="794"/>
      <c r="U421" s="824"/>
      <c r="V421" s="834"/>
      <c r="W421" s="809"/>
    </row>
    <row r="422" spans="2:23">
      <c r="B422" s="709"/>
      <c r="F422" s="710"/>
      <c r="G422" s="775" t="s">
        <v>3935</v>
      </c>
      <c r="H422" s="776" t="s">
        <v>3943</v>
      </c>
      <c r="I422" s="776"/>
      <c r="J422" s="777"/>
      <c r="K422" s="777"/>
      <c r="L422" s="777"/>
      <c r="M422" s="777"/>
      <c r="N422" s="777"/>
      <c r="O422" s="825"/>
      <c r="P422" s="825"/>
      <c r="Q422" s="825"/>
      <c r="R422" s="778"/>
      <c r="S422" s="825"/>
      <c r="T422" s="826"/>
      <c r="U422" s="807"/>
      <c r="V422" s="808">
        <f>+SUM(T424:T429)</f>
        <v>94.062080000000023</v>
      </c>
      <c r="W422" s="823" t="s">
        <v>93</v>
      </c>
    </row>
    <row r="423" spans="2:23">
      <c r="B423" s="737"/>
      <c r="C423" s="738"/>
      <c r="D423" s="738"/>
      <c r="E423" s="738"/>
      <c r="F423" s="739"/>
      <c r="G423" s="729"/>
      <c r="H423" s="730"/>
      <c r="I423" s="730"/>
      <c r="J423" s="817" t="s">
        <v>3889</v>
      </c>
      <c r="K423" s="817"/>
      <c r="L423" s="817" t="s">
        <v>3892</v>
      </c>
      <c r="M423" s="791"/>
      <c r="N423" s="791"/>
      <c r="O423" s="824"/>
      <c r="P423" s="824"/>
      <c r="Q423" s="824"/>
      <c r="R423" s="792"/>
      <c r="S423" s="824"/>
      <c r="T423" s="794"/>
      <c r="U423" s="807"/>
      <c r="V423" s="810"/>
      <c r="W423" s="823"/>
    </row>
    <row r="424" spans="2:23">
      <c r="B424" s="760"/>
      <c r="C424" s="720"/>
      <c r="D424" s="720"/>
      <c r="E424" s="720"/>
      <c r="F424" s="721"/>
      <c r="G424" s="729"/>
      <c r="H424" s="730" t="s">
        <v>4005</v>
      </c>
      <c r="I424" s="730" t="s">
        <v>3944</v>
      </c>
      <c r="J424" s="791">
        <f>J420</f>
        <v>11.600000000000001</v>
      </c>
      <c r="K424" s="791" t="s">
        <v>3922</v>
      </c>
      <c r="L424" s="791">
        <v>2</v>
      </c>
      <c r="M424" s="791"/>
      <c r="N424" s="791"/>
      <c r="O424" s="824"/>
      <c r="P424" s="824"/>
      <c r="Q424" s="824" t="s">
        <v>3922</v>
      </c>
      <c r="R424" s="792">
        <v>1.04</v>
      </c>
      <c r="S424" s="824" t="s">
        <v>3923</v>
      </c>
      <c r="T424" s="794">
        <f>J424*L424*R424</f>
        <v>24.128000000000004</v>
      </c>
      <c r="U424" s="807"/>
      <c r="V424" s="810"/>
      <c r="W424" s="823"/>
    </row>
    <row r="425" spans="2:23">
      <c r="B425" s="760"/>
      <c r="C425" s="720"/>
      <c r="D425" s="720"/>
      <c r="E425" s="720"/>
      <c r="F425" s="721"/>
      <c r="G425" s="729"/>
      <c r="H425" s="730" t="s">
        <v>4005</v>
      </c>
      <c r="I425" s="730" t="s">
        <v>3945</v>
      </c>
      <c r="J425" s="791">
        <f>+J424</f>
        <v>11.600000000000001</v>
      </c>
      <c r="K425" s="791" t="s">
        <v>3922</v>
      </c>
      <c r="L425" s="791">
        <v>2</v>
      </c>
      <c r="M425" s="791"/>
      <c r="N425" s="791"/>
      <c r="O425" s="824"/>
      <c r="P425" s="824"/>
      <c r="Q425" s="824" t="s">
        <v>3922</v>
      </c>
      <c r="R425" s="792">
        <f>+R424</f>
        <v>1.04</v>
      </c>
      <c r="S425" s="824" t="s">
        <v>3923</v>
      </c>
      <c r="T425" s="794">
        <f>J425*L425*R425</f>
        <v>24.128000000000004</v>
      </c>
      <c r="U425" s="807"/>
      <c r="V425" s="810"/>
      <c r="W425" s="823"/>
    </row>
    <row r="426" spans="2:23">
      <c r="B426" s="760"/>
      <c r="C426" s="720"/>
      <c r="D426" s="720"/>
      <c r="E426" s="720"/>
      <c r="F426" s="721"/>
      <c r="G426" s="729"/>
      <c r="H426" s="730"/>
      <c r="I426" s="730"/>
      <c r="J426" s="791"/>
      <c r="K426" s="791"/>
      <c r="L426" s="791"/>
      <c r="M426" s="791"/>
      <c r="N426" s="791"/>
      <c r="O426" s="824"/>
      <c r="P426" s="824"/>
      <c r="Q426" s="824"/>
      <c r="R426" s="792"/>
      <c r="S426" s="824"/>
      <c r="T426" s="794"/>
      <c r="U426" s="807"/>
      <c r="V426" s="810"/>
      <c r="W426" s="823"/>
    </row>
    <row r="427" spans="2:23">
      <c r="B427" s="760"/>
      <c r="C427" s="720"/>
      <c r="D427" s="720"/>
      <c r="E427" s="720"/>
      <c r="F427" s="721"/>
      <c r="G427" s="729" t="s">
        <v>3937</v>
      </c>
      <c r="H427" s="776" t="s">
        <v>3946</v>
      </c>
      <c r="I427" s="730"/>
      <c r="J427" s="791"/>
      <c r="K427" s="791"/>
      <c r="L427" s="791"/>
      <c r="M427" s="791"/>
      <c r="N427" s="791"/>
      <c r="O427" s="824"/>
      <c r="P427" s="824"/>
      <c r="Q427" s="824"/>
      <c r="R427" s="792"/>
      <c r="S427" s="824"/>
      <c r="T427" s="794"/>
      <c r="U427" s="807"/>
      <c r="V427" s="810"/>
      <c r="W427" s="823"/>
    </row>
    <row r="428" spans="2:23">
      <c r="B428" s="723"/>
      <c r="F428" s="710"/>
      <c r="G428" s="835"/>
      <c r="H428" s="730"/>
      <c r="I428" s="741"/>
      <c r="J428" s="817" t="s">
        <v>3951</v>
      </c>
      <c r="K428" s="817"/>
      <c r="L428" s="817" t="s">
        <v>3952</v>
      </c>
      <c r="M428" s="791"/>
      <c r="N428" s="791"/>
      <c r="O428" s="824"/>
      <c r="P428" s="824"/>
      <c r="Q428" s="824"/>
      <c r="R428" s="792"/>
      <c r="S428" s="824"/>
      <c r="T428" s="794"/>
      <c r="U428" s="807"/>
      <c r="V428" s="808"/>
      <c r="W428" s="809"/>
    </row>
    <row r="429" spans="2:23">
      <c r="B429" s="723"/>
      <c r="F429" s="710"/>
      <c r="G429" s="729"/>
      <c r="H429" s="730" t="s">
        <v>3947</v>
      </c>
      <c r="I429" s="730"/>
      <c r="J429" s="791">
        <f>0.11+0.11+0.16+0.16+0.05+0.05</f>
        <v>0.64000000000000012</v>
      </c>
      <c r="K429" s="791" t="s">
        <v>3922</v>
      </c>
      <c r="L429" s="791">
        <f>+J420/0.1</f>
        <v>116.00000000000001</v>
      </c>
      <c r="M429" s="791"/>
      <c r="N429" s="791"/>
      <c r="O429" s="824"/>
      <c r="P429" s="824"/>
      <c r="Q429" s="824" t="s">
        <v>3922</v>
      </c>
      <c r="R429" s="792">
        <v>0.61699999999999999</v>
      </c>
      <c r="S429" s="824" t="s">
        <v>3923</v>
      </c>
      <c r="T429" s="794">
        <f>J429*L429*R429</f>
        <v>45.806080000000016</v>
      </c>
      <c r="U429" s="807"/>
      <c r="V429" s="810"/>
      <c r="W429" s="823"/>
    </row>
    <row r="430" spans="2:23">
      <c r="B430" s="709"/>
      <c r="F430" s="710"/>
      <c r="G430" s="827"/>
      <c r="H430" s="699"/>
      <c r="I430" s="699"/>
      <c r="J430" s="805"/>
      <c r="K430" s="805"/>
      <c r="L430" s="805"/>
      <c r="M430" s="805"/>
      <c r="N430" s="805"/>
      <c r="O430" s="807"/>
      <c r="P430" s="807"/>
      <c r="Q430" s="807"/>
      <c r="R430" s="806"/>
      <c r="S430" s="807"/>
      <c r="T430" s="794"/>
      <c r="U430" s="807"/>
      <c r="V430" s="808"/>
      <c r="W430" s="809"/>
    </row>
    <row r="431" spans="2:23">
      <c r="B431" s="709"/>
      <c r="F431" s="710"/>
      <c r="G431" s="827" t="s">
        <v>3940</v>
      </c>
      <c r="H431" s="699" t="s">
        <v>4006</v>
      </c>
      <c r="I431" s="699"/>
      <c r="J431" s="805"/>
      <c r="K431" s="805"/>
      <c r="L431" s="805"/>
      <c r="M431" s="805"/>
      <c r="N431" s="805"/>
      <c r="O431" s="807"/>
      <c r="P431" s="807"/>
      <c r="Q431" s="807"/>
      <c r="R431" s="806"/>
      <c r="S431" s="807"/>
      <c r="T431" s="794"/>
      <c r="U431" s="807"/>
      <c r="V431" s="808">
        <f>T432</f>
        <v>4.6400000000000006</v>
      </c>
      <c r="W431" s="809" t="s">
        <v>376</v>
      </c>
    </row>
    <row r="432" spans="2:23">
      <c r="B432" s="709"/>
      <c r="F432" s="710"/>
      <c r="G432" s="827"/>
      <c r="H432" s="699"/>
      <c r="I432" s="699"/>
      <c r="J432" s="805">
        <f>+J420</f>
        <v>11.600000000000001</v>
      </c>
      <c r="K432" s="805"/>
      <c r="L432" s="805"/>
      <c r="M432" s="805" t="s">
        <v>3922</v>
      </c>
      <c r="N432" s="805">
        <f>+N420</f>
        <v>0.2</v>
      </c>
      <c r="O432" s="807" t="s">
        <v>3922</v>
      </c>
      <c r="P432" s="807">
        <v>2</v>
      </c>
      <c r="Q432" s="807"/>
      <c r="R432" s="806"/>
      <c r="S432" s="807" t="s">
        <v>3923</v>
      </c>
      <c r="T432" s="794">
        <f>J432*N432*P432</f>
        <v>4.6400000000000006</v>
      </c>
      <c r="U432" s="807"/>
      <c r="V432" s="808"/>
      <c r="W432" s="809"/>
    </row>
    <row r="433" spans="2:23">
      <c r="B433" s="709"/>
      <c r="F433" s="710"/>
      <c r="G433" s="827"/>
      <c r="H433" s="699"/>
      <c r="I433" s="699"/>
      <c r="J433" s="805"/>
      <c r="K433" s="805"/>
      <c r="L433" s="805"/>
      <c r="M433" s="805"/>
      <c r="N433" s="805"/>
      <c r="O433" s="807"/>
      <c r="P433" s="807"/>
      <c r="Q433" s="807"/>
      <c r="R433" s="806"/>
      <c r="S433" s="807"/>
      <c r="T433" s="794"/>
      <c r="U433" s="807"/>
      <c r="V433" s="808"/>
      <c r="W433" s="809"/>
    </row>
    <row r="434" spans="2:23" ht="16" thickBot="1">
      <c r="B434" s="926"/>
      <c r="C434" s="927"/>
      <c r="D434" s="927"/>
      <c r="E434" s="927"/>
      <c r="F434" s="928"/>
      <c r="G434" s="764"/>
      <c r="H434" s="747"/>
      <c r="I434" s="747"/>
      <c r="J434" s="929"/>
      <c r="K434" s="929"/>
      <c r="L434" s="929"/>
      <c r="M434" s="929"/>
      <c r="N434" s="929"/>
      <c r="O434" s="930"/>
      <c r="P434" s="930"/>
      <c r="Q434" s="930"/>
      <c r="R434" s="931"/>
      <c r="S434" s="930"/>
      <c r="T434" s="932"/>
      <c r="U434" s="930"/>
      <c r="V434" s="933"/>
      <c r="W434" s="934"/>
    </row>
    <row r="435" spans="2:23" ht="16" thickTop="1">
      <c r="B435" s="798">
        <v>4</v>
      </c>
      <c r="C435" s="1771" t="s">
        <v>4007</v>
      </c>
      <c r="D435" s="1771"/>
      <c r="E435" s="1771"/>
      <c r="F435" s="1772"/>
      <c r="G435" s="1765" t="s">
        <v>3950</v>
      </c>
      <c r="H435" s="1766"/>
      <c r="I435" s="1766"/>
      <c r="J435" s="1766"/>
      <c r="K435" s="1766"/>
      <c r="L435" s="1766"/>
      <c r="M435" s="1766"/>
      <c r="N435" s="1766"/>
      <c r="O435" s="1766"/>
      <c r="P435" s="1766"/>
      <c r="Q435" s="1766"/>
      <c r="R435" s="1766"/>
      <c r="S435" s="1766"/>
      <c r="T435" s="1766"/>
      <c r="U435" s="1766"/>
      <c r="V435" s="1766"/>
      <c r="W435" s="1767"/>
    </row>
    <row r="436" spans="2:23" ht="16" thickBot="1">
      <c r="B436" s="709"/>
      <c r="F436" s="710"/>
      <c r="G436" s="722"/>
      <c r="H436" s="683"/>
      <c r="I436" s="683"/>
      <c r="J436" s="684" t="s">
        <v>3889</v>
      </c>
      <c r="K436" s="684"/>
      <c r="L436" s="684" t="s">
        <v>3890</v>
      </c>
      <c r="M436" s="684"/>
      <c r="N436" s="684" t="s">
        <v>3891</v>
      </c>
      <c r="O436" s="684"/>
      <c r="P436" s="684" t="s">
        <v>3892</v>
      </c>
      <c r="Q436" s="684"/>
      <c r="R436" s="685" t="s">
        <v>3893</v>
      </c>
      <c r="S436" s="686"/>
      <c r="T436" s="687" t="s">
        <v>3894</v>
      </c>
      <c r="U436" s="686"/>
      <c r="V436" s="688" t="s">
        <v>3895</v>
      </c>
      <c r="W436" s="689" t="s">
        <v>3896</v>
      </c>
    </row>
    <row r="437" spans="2:23">
      <c r="B437" s="709"/>
      <c r="F437" s="710"/>
      <c r="G437" s="821"/>
      <c r="H437" s="692"/>
      <c r="I437" s="692"/>
      <c r="J437" s="828"/>
      <c r="K437" s="828"/>
      <c r="L437" s="828"/>
      <c r="M437" s="828"/>
      <c r="N437" s="828"/>
      <c r="O437" s="829"/>
      <c r="P437" s="829"/>
      <c r="Q437" s="829"/>
      <c r="R437" s="830"/>
      <c r="S437" s="829"/>
      <c r="T437" s="831"/>
      <c r="U437" s="832"/>
      <c r="V437" s="833"/>
      <c r="W437" s="822"/>
    </row>
    <row r="438" spans="2:23">
      <c r="B438" s="709"/>
      <c r="F438" s="710"/>
      <c r="G438" s="827" t="s">
        <v>3941</v>
      </c>
      <c r="H438" s="730" t="s">
        <v>3969</v>
      </c>
      <c r="I438" s="699"/>
      <c r="J438" s="805"/>
      <c r="K438" s="805"/>
      <c r="L438" s="805"/>
      <c r="M438" s="805"/>
      <c r="N438" s="805"/>
      <c r="O438" s="794"/>
      <c r="P438" s="794"/>
      <c r="Q438" s="794"/>
      <c r="R438" s="806"/>
      <c r="S438" s="793"/>
      <c r="T438" s="794"/>
      <c r="U438" s="807"/>
      <c r="V438" s="808">
        <f>+T439+T440</f>
        <v>0.57599999999999996</v>
      </c>
      <c r="W438" s="809" t="s">
        <v>375</v>
      </c>
    </row>
    <row r="439" spans="2:23">
      <c r="B439" s="1768"/>
      <c r="C439" s="1769"/>
      <c r="D439" s="1769"/>
      <c r="E439" s="1769"/>
      <c r="F439" s="1770"/>
      <c r="G439" s="827"/>
      <c r="H439" s="699"/>
      <c r="I439" s="699"/>
      <c r="J439" s="791">
        <v>4</v>
      </c>
      <c r="K439" s="791" t="s">
        <v>3922</v>
      </c>
      <c r="L439" s="791">
        <v>1.2</v>
      </c>
      <c r="M439" s="791" t="s">
        <v>3922</v>
      </c>
      <c r="N439" s="791">
        <v>0.12</v>
      </c>
      <c r="O439" s="791" t="s">
        <v>3922</v>
      </c>
      <c r="P439" s="791">
        <v>1</v>
      </c>
      <c r="Q439" s="791"/>
      <c r="R439" s="792"/>
      <c r="S439" s="793" t="s">
        <v>3923</v>
      </c>
      <c r="T439" s="794">
        <f>+J439*L439*N439*P439</f>
        <v>0.57599999999999996</v>
      </c>
      <c r="U439" s="807"/>
      <c r="V439" s="810"/>
      <c r="W439" s="809"/>
    </row>
    <row r="440" spans="2:23">
      <c r="B440" s="770"/>
      <c r="C440" s="771"/>
      <c r="D440" s="771"/>
      <c r="E440" s="771"/>
      <c r="F440" s="772"/>
      <c r="G440" s="827"/>
      <c r="H440" s="699"/>
      <c r="I440" s="699"/>
      <c r="J440" s="791"/>
      <c r="K440" s="791"/>
      <c r="L440" s="791"/>
      <c r="M440" s="791"/>
      <c r="N440" s="791"/>
      <c r="O440" s="791"/>
      <c r="P440" s="791"/>
      <c r="Q440" s="791"/>
      <c r="R440" s="792"/>
      <c r="S440" s="793"/>
      <c r="T440" s="794"/>
      <c r="U440" s="807"/>
      <c r="V440" s="810"/>
      <c r="W440" s="809"/>
    </row>
    <row r="441" spans="2:23">
      <c r="B441" s="770"/>
      <c r="C441" s="771"/>
      <c r="D441" s="771"/>
      <c r="E441" s="771"/>
      <c r="F441" s="772"/>
      <c r="G441" s="827"/>
      <c r="H441" s="699"/>
      <c r="I441" s="699"/>
      <c r="J441" s="791"/>
      <c r="K441" s="791"/>
      <c r="L441" s="791"/>
      <c r="M441" s="791"/>
      <c r="N441" s="791"/>
      <c r="O441" s="791"/>
      <c r="P441" s="791"/>
      <c r="Q441" s="791"/>
      <c r="R441" s="792"/>
      <c r="S441" s="793"/>
      <c r="T441" s="794"/>
      <c r="U441" s="807"/>
      <c r="V441" s="810"/>
      <c r="W441" s="809"/>
    </row>
    <row r="442" spans="2:23">
      <c r="B442" s="709"/>
      <c r="F442" s="710"/>
      <c r="G442" s="827" t="s">
        <v>3937</v>
      </c>
      <c r="H442" s="776" t="s">
        <v>3960</v>
      </c>
      <c r="I442" s="699"/>
      <c r="J442" s="791" t="s">
        <v>3889</v>
      </c>
      <c r="K442" s="791"/>
      <c r="L442" s="791" t="s">
        <v>3890</v>
      </c>
      <c r="M442" s="791"/>
      <c r="N442" s="791" t="s">
        <v>3891</v>
      </c>
      <c r="O442" s="791"/>
      <c r="P442" s="791" t="s">
        <v>3892</v>
      </c>
      <c r="Q442" s="791"/>
      <c r="R442" s="792" t="s">
        <v>3442</v>
      </c>
      <c r="S442" s="791"/>
      <c r="T442" s="791"/>
      <c r="U442" s="824"/>
      <c r="V442" s="840">
        <f>+SUM(T444:T445)</f>
        <v>78.975999999999999</v>
      </c>
      <c r="W442" s="809" t="s">
        <v>93</v>
      </c>
    </row>
    <row r="443" spans="2:23">
      <c r="B443" s="709"/>
      <c r="F443" s="710"/>
      <c r="G443" s="827"/>
      <c r="H443" s="776">
        <v>1</v>
      </c>
      <c r="I443" s="776"/>
      <c r="J443" s="791">
        <f>+J439</f>
        <v>4</v>
      </c>
      <c r="K443" s="791"/>
      <c r="L443" s="791">
        <f>+L439</f>
        <v>1.2</v>
      </c>
      <c r="M443" s="791"/>
      <c r="N443" s="791"/>
      <c r="O443" s="791"/>
      <c r="P443" s="791"/>
      <c r="Q443" s="791"/>
      <c r="R443" s="792"/>
      <c r="S443" s="791"/>
      <c r="T443" s="791"/>
      <c r="U443" s="824"/>
      <c r="V443" s="840"/>
      <c r="W443" s="809"/>
    </row>
    <row r="444" spans="2:23">
      <c r="B444" s="709"/>
      <c r="F444" s="710"/>
      <c r="G444" s="827"/>
      <c r="H444" s="776"/>
      <c r="I444" s="776" t="s">
        <v>3961</v>
      </c>
      <c r="J444" s="791">
        <f>+J443/0.15</f>
        <v>26.666666666666668</v>
      </c>
      <c r="K444" s="791"/>
      <c r="L444" s="791">
        <f>+L443/0.15</f>
        <v>8</v>
      </c>
      <c r="M444" s="791"/>
      <c r="N444" s="791"/>
      <c r="O444" s="791"/>
      <c r="P444" s="791"/>
      <c r="Q444" s="791"/>
      <c r="R444" s="792">
        <v>0.61699999999999999</v>
      </c>
      <c r="S444" s="793" t="s">
        <v>3923</v>
      </c>
      <c r="T444" s="791">
        <f>+((J444*L443*2)+(J443*L444*2))*R444</f>
        <v>78.975999999999999</v>
      </c>
      <c r="U444" s="824"/>
      <c r="V444" s="840"/>
      <c r="W444" s="809"/>
    </row>
    <row r="445" spans="2:23">
      <c r="B445" s="709"/>
      <c r="F445" s="710"/>
      <c r="G445" s="827"/>
      <c r="H445" s="776"/>
      <c r="I445" s="776"/>
      <c r="J445" s="791"/>
      <c r="K445" s="791"/>
      <c r="L445" s="791"/>
      <c r="M445" s="791"/>
      <c r="N445" s="791"/>
      <c r="O445" s="791"/>
      <c r="P445" s="791"/>
      <c r="Q445" s="791"/>
      <c r="R445" s="792"/>
      <c r="S445" s="793"/>
      <c r="T445" s="791"/>
      <c r="U445" s="824"/>
      <c r="V445" s="840"/>
      <c r="W445" s="809"/>
    </row>
    <row r="446" spans="2:23">
      <c r="B446" s="709"/>
      <c r="F446" s="710"/>
      <c r="G446" s="827"/>
      <c r="H446" s="730"/>
      <c r="I446" s="699"/>
      <c r="J446" s="805"/>
      <c r="K446" s="805"/>
      <c r="L446" s="805"/>
      <c r="M446" s="805"/>
      <c r="N446" s="842"/>
      <c r="O446" s="794"/>
      <c r="P446" s="794"/>
      <c r="Q446" s="794"/>
      <c r="R446" s="806"/>
      <c r="S446" s="793"/>
      <c r="T446" s="794"/>
      <c r="U446" s="824"/>
      <c r="V446" s="856"/>
      <c r="W446" s="809"/>
    </row>
    <row r="447" spans="2:23">
      <c r="B447" s="759"/>
      <c r="F447" s="710"/>
      <c r="G447" s="827" t="s">
        <v>3940</v>
      </c>
      <c r="H447" s="699" t="s">
        <v>3984</v>
      </c>
      <c r="I447" s="699"/>
      <c r="J447" s="791"/>
      <c r="K447" s="791"/>
      <c r="L447" s="791"/>
      <c r="M447" s="805"/>
      <c r="N447" s="838"/>
      <c r="O447" s="791"/>
      <c r="P447" s="791"/>
      <c r="Q447" s="791"/>
      <c r="R447" s="792"/>
      <c r="S447" s="793"/>
      <c r="T447" s="794"/>
      <c r="U447" s="845"/>
      <c r="V447" s="808">
        <f>SUM(T448:T448)</f>
        <v>4.8</v>
      </c>
      <c r="W447" s="809" t="s">
        <v>376</v>
      </c>
    </row>
    <row r="448" spans="2:23">
      <c r="B448" s="709"/>
      <c r="F448" s="710"/>
      <c r="G448" s="827"/>
      <c r="H448" s="699"/>
      <c r="I448" s="699"/>
      <c r="J448" s="791">
        <f>+J443</f>
        <v>4</v>
      </c>
      <c r="K448" s="791" t="s">
        <v>3922</v>
      </c>
      <c r="L448" s="791">
        <f>+L443</f>
        <v>1.2</v>
      </c>
      <c r="M448" s="791"/>
      <c r="N448" s="791"/>
      <c r="O448" s="791" t="s">
        <v>3922</v>
      </c>
      <c r="P448" s="791">
        <v>1</v>
      </c>
      <c r="Q448" s="791"/>
      <c r="R448" s="792"/>
      <c r="S448" s="793" t="s">
        <v>3923</v>
      </c>
      <c r="T448" s="794">
        <f>J448*L448*P448</f>
        <v>4.8</v>
      </c>
      <c r="U448" s="844"/>
      <c r="V448" s="857"/>
      <c r="W448" s="809"/>
    </row>
    <row r="449" spans="2:23" ht="16" thickBot="1">
      <c r="B449" s="763"/>
      <c r="C449" s="744"/>
      <c r="D449" s="744"/>
      <c r="E449" s="744"/>
      <c r="F449" s="745"/>
      <c r="G449" s="818"/>
      <c r="H449" s="819"/>
      <c r="I449" s="819"/>
      <c r="J449" s="819"/>
      <c r="K449" s="819"/>
      <c r="L449" s="819"/>
      <c r="M449" s="750"/>
      <c r="N449" s="858"/>
      <c r="O449" s="858"/>
      <c r="P449" s="858"/>
      <c r="Q449" s="858"/>
      <c r="R449" s="859"/>
      <c r="S449" s="858"/>
      <c r="T449" s="858"/>
      <c r="U449" s="858"/>
      <c r="V449" s="860"/>
      <c r="W449" s="861"/>
    </row>
    <row r="450" spans="2:23" ht="16" thickTop="1">
      <c r="B450" s="798">
        <v>5</v>
      </c>
      <c r="C450" s="1771" t="s">
        <v>4008</v>
      </c>
      <c r="D450" s="1771"/>
      <c r="E450" s="1771"/>
      <c r="F450" s="1772"/>
      <c r="G450" s="1765" t="s">
        <v>3950</v>
      </c>
      <c r="H450" s="1766"/>
      <c r="I450" s="1766"/>
      <c r="J450" s="1766"/>
      <c r="K450" s="1766"/>
      <c r="L450" s="1766"/>
      <c r="M450" s="1766"/>
      <c r="N450" s="1766"/>
      <c r="O450" s="1766"/>
      <c r="P450" s="1766"/>
      <c r="Q450" s="1766"/>
      <c r="R450" s="1766"/>
      <c r="S450" s="1766"/>
      <c r="T450" s="1766"/>
      <c r="U450" s="1766"/>
      <c r="V450" s="1766"/>
      <c r="W450" s="1767"/>
    </row>
    <row r="451" spans="2:23" ht="16" thickBot="1">
      <c r="B451" s="770"/>
      <c r="C451" s="771"/>
      <c r="D451" s="771"/>
      <c r="E451" s="771"/>
      <c r="F451" s="772"/>
      <c r="G451" s="827"/>
      <c r="H451" s="699"/>
      <c r="I451" s="699"/>
      <c r="J451" s="791" t="s">
        <v>3889</v>
      </c>
      <c r="K451" s="791"/>
      <c r="L451" s="791" t="s">
        <v>3890</v>
      </c>
      <c r="M451" s="791"/>
      <c r="N451" s="791" t="s">
        <v>3891</v>
      </c>
      <c r="O451" s="791"/>
      <c r="P451" s="791" t="s">
        <v>3892</v>
      </c>
      <c r="Q451" s="791"/>
      <c r="R451" s="792" t="s">
        <v>3893</v>
      </c>
      <c r="S451" s="793"/>
      <c r="T451" s="794" t="s">
        <v>3894</v>
      </c>
      <c r="U451" s="807"/>
      <c r="V451" s="810" t="s">
        <v>3895</v>
      </c>
      <c r="W451" s="809" t="s">
        <v>3896</v>
      </c>
    </row>
    <row r="452" spans="2:23">
      <c r="B452" s="709"/>
      <c r="F452" s="710"/>
      <c r="G452" s="821"/>
      <c r="H452" s="692"/>
      <c r="I452" s="692"/>
      <c r="J452" s="828"/>
      <c r="K452" s="828"/>
      <c r="L452" s="828"/>
      <c r="M452" s="828"/>
      <c r="N452" s="828"/>
      <c r="O452" s="829"/>
      <c r="P452" s="829"/>
      <c r="Q452" s="829"/>
      <c r="R452" s="830"/>
      <c r="S452" s="829"/>
      <c r="T452" s="831"/>
      <c r="U452" s="832"/>
      <c r="V452" s="833"/>
      <c r="W452" s="822"/>
    </row>
    <row r="453" spans="2:23">
      <c r="B453" s="709"/>
      <c r="F453" s="710"/>
      <c r="G453" s="935">
        <v>1</v>
      </c>
      <c r="H453" s="936" t="s">
        <v>4009</v>
      </c>
      <c r="I453" s="936"/>
      <c r="J453" s="805">
        <f>4+4+1.5+1.5</f>
        <v>11</v>
      </c>
      <c r="K453" s="805" t="s">
        <v>3922</v>
      </c>
      <c r="L453" s="805"/>
      <c r="M453" s="805" t="s">
        <v>3922</v>
      </c>
      <c r="N453" s="805">
        <v>1.5</v>
      </c>
      <c r="O453" s="794"/>
      <c r="P453" s="794"/>
      <c r="Q453" s="794"/>
      <c r="R453" s="806"/>
      <c r="S453" s="793" t="s">
        <v>3923</v>
      </c>
      <c r="T453" s="794">
        <f>+J453*N453</f>
        <v>16.5</v>
      </c>
      <c r="U453" s="807"/>
      <c r="V453" s="808">
        <f>+T453</f>
        <v>16.5</v>
      </c>
      <c r="W453" s="809" t="s">
        <v>376</v>
      </c>
    </row>
    <row r="454" spans="2:23">
      <c r="B454" s="1768"/>
      <c r="C454" s="1769"/>
      <c r="D454" s="1769"/>
      <c r="E454" s="1769"/>
      <c r="F454" s="1770"/>
      <c r="G454" s="827">
        <f>+G453+1</f>
        <v>2</v>
      </c>
      <c r="H454" s="699" t="s">
        <v>4010</v>
      </c>
      <c r="I454" s="699"/>
      <c r="J454" s="791"/>
      <c r="K454" s="791"/>
      <c r="L454" s="791"/>
      <c r="M454" s="791"/>
      <c r="N454" s="791"/>
      <c r="O454" s="791"/>
      <c r="P454" s="791">
        <v>2</v>
      </c>
      <c r="Q454" s="791"/>
      <c r="R454" s="792"/>
      <c r="S454" s="793" t="s">
        <v>3923</v>
      </c>
      <c r="T454" s="794">
        <f>+V453*P454</f>
        <v>33</v>
      </c>
      <c r="U454" s="807"/>
      <c r="V454" s="843">
        <f>+T454</f>
        <v>33</v>
      </c>
      <c r="W454" s="809" t="s">
        <v>376</v>
      </c>
    </row>
    <row r="455" spans="2:23">
      <c r="B455" s="770"/>
      <c r="C455" s="771"/>
      <c r="D455" s="771"/>
      <c r="E455" s="771"/>
      <c r="F455" s="772"/>
      <c r="G455" s="827">
        <f t="shared" ref="G455:G458" si="2">+G454+1</f>
        <v>3</v>
      </c>
      <c r="H455" s="699" t="s">
        <v>4011</v>
      </c>
      <c r="I455" s="699"/>
      <c r="J455" s="791">
        <v>4</v>
      </c>
      <c r="K455" s="791" t="s">
        <v>3922</v>
      </c>
      <c r="L455" s="791">
        <v>1.8</v>
      </c>
      <c r="M455" s="791" t="s">
        <v>3922</v>
      </c>
      <c r="N455" s="791">
        <v>0.1</v>
      </c>
      <c r="O455" s="791" t="s">
        <v>3922</v>
      </c>
      <c r="P455" s="791">
        <v>1</v>
      </c>
      <c r="Q455" s="791"/>
      <c r="R455" s="792"/>
      <c r="S455" s="793" t="s">
        <v>3923</v>
      </c>
      <c r="T455" s="794">
        <f>+J455*L455*N455*P455</f>
        <v>0.72000000000000008</v>
      </c>
      <c r="U455" s="807"/>
      <c r="V455" s="843">
        <f>+T455</f>
        <v>0.72000000000000008</v>
      </c>
      <c r="W455" s="809" t="s">
        <v>375</v>
      </c>
    </row>
    <row r="456" spans="2:23">
      <c r="B456" s="709"/>
      <c r="F456" s="710"/>
      <c r="G456" s="827">
        <f t="shared" si="2"/>
        <v>4</v>
      </c>
      <c r="H456" s="776" t="s">
        <v>4012</v>
      </c>
      <c r="I456" s="699"/>
      <c r="J456" s="791">
        <v>4</v>
      </c>
      <c r="K456" s="791" t="s">
        <v>3922</v>
      </c>
      <c r="L456" s="791">
        <v>1.8</v>
      </c>
      <c r="M456" s="791" t="s">
        <v>3922</v>
      </c>
      <c r="N456" s="791">
        <v>0.1</v>
      </c>
      <c r="O456" s="791" t="s">
        <v>3922</v>
      </c>
      <c r="P456" s="791">
        <v>1</v>
      </c>
      <c r="Q456" s="791"/>
      <c r="R456" s="792"/>
      <c r="S456" s="793" t="s">
        <v>3923</v>
      </c>
      <c r="T456" s="794">
        <f>+J456*L456*N456*P456</f>
        <v>0.72000000000000008</v>
      </c>
      <c r="U456" s="807"/>
      <c r="V456" s="843">
        <f>+T456</f>
        <v>0.72000000000000008</v>
      </c>
      <c r="W456" s="809" t="s">
        <v>375</v>
      </c>
    </row>
    <row r="457" spans="2:23">
      <c r="B457" s="709"/>
      <c r="F457" s="710"/>
      <c r="G457" s="827">
        <f t="shared" si="2"/>
        <v>5</v>
      </c>
      <c r="H457" s="776" t="s">
        <v>4016</v>
      </c>
      <c r="I457" s="776"/>
      <c r="J457" s="791">
        <f>+J453</f>
        <v>11</v>
      </c>
      <c r="K457" s="791" t="s">
        <v>3922</v>
      </c>
      <c r="L457" s="791"/>
      <c r="M457" s="791" t="s">
        <v>3922</v>
      </c>
      <c r="N457" s="791">
        <f>+N453</f>
        <v>1.5</v>
      </c>
      <c r="O457" s="791" t="s">
        <v>3922</v>
      </c>
      <c r="P457" s="791"/>
      <c r="Q457" s="791"/>
      <c r="R457" s="792"/>
      <c r="S457" s="791" t="s">
        <v>3923</v>
      </c>
      <c r="T457" s="791">
        <f>+J457*N457</f>
        <v>16.5</v>
      </c>
      <c r="U457" s="824"/>
      <c r="V457" s="840">
        <f>+T457</f>
        <v>16.5</v>
      </c>
      <c r="W457" s="809" t="s">
        <v>376</v>
      </c>
    </row>
    <row r="458" spans="2:23">
      <c r="B458" s="709"/>
      <c r="F458" s="710"/>
      <c r="G458" s="827">
        <f t="shared" si="2"/>
        <v>6</v>
      </c>
      <c r="H458" s="776" t="s">
        <v>4017</v>
      </c>
      <c r="I458" s="776"/>
      <c r="J458" s="791">
        <v>4</v>
      </c>
      <c r="K458" s="791" t="s">
        <v>3922</v>
      </c>
      <c r="L458" s="791">
        <v>1.8</v>
      </c>
      <c r="M458" s="791"/>
      <c r="N458" s="791"/>
      <c r="O458" s="791"/>
      <c r="P458" s="791"/>
      <c r="Q458" s="791"/>
      <c r="R458" s="792"/>
      <c r="S458" s="793"/>
      <c r="T458" s="791"/>
      <c r="U458" s="824"/>
      <c r="V458" s="840">
        <f>+J458*L458</f>
        <v>7.2</v>
      </c>
      <c r="W458" s="809" t="s">
        <v>376</v>
      </c>
    </row>
    <row r="459" spans="2:23">
      <c r="B459" s="709"/>
      <c r="F459" s="710"/>
      <c r="G459" s="827"/>
      <c r="H459" s="776"/>
      <c r="I459" s="776"/>
      <c r="J459" s="791"/>
      <c r="K459" s="791"/>
      <c r="L459" s="791"/>
      <c r="M459" s="791"/>
      <c r="N459" s="791"/>
      <c r="O459" s="791"/>
      <c r="P459" s="791"/>
      <c r="Q459" s="791"/>
      <c r="R459" s="792"/>
      <c r="S459" s="793"/>
      <c r="T459" s="791"/>
      <c r="U459" s="824"/>
      <c r="V459" s="840"/>
      <c r="W459" s="809"/>
    </row>
    <row r="460" spans="2:23">
      <c r="B460" s="709"/>
      <c r="F460" s="710"/>
      <c r="G460" s="827"/>
      <c r="H460" s="730"/>
      <c r="I460" s="699"/>
      <c r="J460" s="805"/>
      <c r="K460" s="805"/>
      <c r="L460" s="805"/>
      <c r="M460" s="805"/>
      <c r="N460" s="842"/>
      <c r="O460" s="794"/>
      <c r="P460" s="794"/>
      <c r="Q460" s="794"/>
      <c r="R460" s="806"/>
      <c r="S460" s="793"/>
      <c r="T460" s="794"/>
      <c r="U460" s="824"/>
      <c r="V460" s="856"/>
      <c r="W460" s="809"/>
    </row>
    <row r="461" spans="2:23">
      <c r="B461" s="759"/>
      <c r="F461" s="710"/>
      <c r="G461" s="827"/>
      <c r="H461" s="699"/>
      <c r="I461" s="699"/>
      <c r="J461" s="791"/>
      <c r="K461" s="791"/>
      <c r="L461" s="791"/>
      <c r="M461" s="805"/>
      <c r="N461" s="838"/>
      <c r="O461" s="791"/>
      <c r="P461" s="791"/>
      <c r="Q461" s="791"/>
      <c r="R461" s="792"/>
      <c r="S461" s="793"/>
      <c r="T461" s="794"/>
      <c r="U461" s="845"/>
      <c r="V461" s="808"/>
      <c r="W461" s="809"/>
    </row>
    <row r="462" spans="2:23">
      <c r="B462" s="709"/>
      <c r="F462" s="710"/>
      <c r="G462" s="827"/>
      <c r="H462" s="699"/>
      <c r="I462" s="699"/>
      <c r="J462" s="791"/>
      <c r="K462" s="791"/>
      <c r="L462" s="791"/>
      <c r="M462" s="791"/>
      <c r="N462" s="791"/>
      <c r="O462" s="791"/>
      <c r="P462" s="791"/>
      <c r="Q462" s="791"/>
      <c r="R462" s="792"/>
      <c r="S462" s="793"/>
      <c r="T462" s="794"/>
      <c r="U462" s="844"/>
      <c r="V462" s="857"/>
      <c r="W462" s="809"/>
    </row>
    <row r="463" spans="2:23" ht="16" thickBot="1">
      <c r="B463" s="763"/>
      <c r="C463" s="744"/>
      <c r="D463" s="744"/>
      <c r="E463" s="744"/>
      <c r="F463" s="745"/>
      <c r="G463" s="818"/>
      <c r="H463" s="819"/>
      <c r="I463" s="819"/>
      <c r="J463" s="819"/>
      <c r="K463" s="819"/>
      <c r="L463" s="819"/>
      <c r="M463" s="750"/>
      <c r="N463" s="858"/>
      <c r="O463" s="858"/>
      <c r="P463" s="858"/>
      <c r="Q463" s="858"/>
      <c r="R463" s="859"/>
      <c r="S463" s="858"/>
      <c r="T463" s="858"/>
      <c r="U463" s="858"/>
      <c r="V463" s="860"/>
      <c r="W463" s="861"/>
    </row>
    <row r="464" spans="2:23" ht="16" thickTop="1"/>
    <row r="465" spans="2:27" ht="18.5" thickBot="1">
      <c r="B465" s="887" t="s">
        <v>4020</v>
      </c>
    </row>
    <row r="466" spans="2:27" s="907" customFormat="1">
      <c r="B466" s="903" t="s">
        <v>3519</v>
      </c>
      <c r="C466" s="904" t="s">
        <v>3929</v>
      </c>
      <c r="D466" s="905"/>
      <c r="E466" s="905"/>
      <c r="F466" s="906"/>
      <c r="G466" s="1788" t="s">
        <v>3888</v>
      </c>
      <c r="H466" s="1789"/>
      <c r="I466" s="1789"/>
      <c r="J466" s="1789"/>
      <c r="K466" s="1789"/>
      <c r="L466" s="1789"/>
      <c r="M466" s="1789"/>
      <c r="N466" s="1789"/>
      <c r="O466" s="1789"/>
      <c r="P466" s="1789"/>
      <c r="Q466" s="1789"/>
      <c r="R466" s="1789"/>
      <c r="S466" s="1789"/>
      <c r="T466" s="1789"/>
      <c r="U466" s="1789"/>
      <c r="V466" s="1789"/>
      <c r="W466" s="1790"/>
      <c r="AA466" s="908" t="e">
        <v>#REF!</v>
      </c>
    </row>
    <row r="467" spans="2:27" s="907" customFormat="1" ht="16" thickBot="1">
      <c r="B467" s="909" t="s">
        <v>3897</v>
      </c>
      <c r="C467" s="905" t="s">
        <v>3930</v>
      </c>
      <c r="D467" s="905"/>
      <c r="E467" s="905"/>
      <c r="F467" s="906"/>
      <c r="G467" s="910"/>
      <c r="H467" s="911"/>
      <c r="I467" s="911"/>
      <c r="J467" s="912" t="s">
        <v>3889</v>
      </c>
      <c r="K467" s="912"/>
      <c r="L467" s="912" t="s">
        <v>3890</v>
      </c>
      <c r="M467" s="912"/>
      <c r="N467" s="912" t="s">
        <v>3891</v>
      </c>
      <c r="O467" s="912"/>
      <c r="P467" s="912" t="s">
        <v>3892</v>
      </c>
      <c r="Q467" s="912"/>
      <c r="R467" s="913" t="s">
        <v>3893</v>
      </c>
      <c r="S467" s="914"/>
      <c r="T467" s="915" t="s">
        <v>3894</v>
      </c>
      <c r="U467" s="914"/>
      <c r="V467" s="916" t="s">
        <v>3895</v>
      </c>
      <c r="W467" s="917" t="s">
        <v>3896</v>
      </c>
    </row>
    <row r="468" spans="2:27">
      <c r="B468" s="759"/>
      <c r="F468" s="710"/>
      <c r="G468" s="724"/>
      <c r="H468" s="725"/>
      <c r="I468" s="725"/>
      <c r="J468" s="726"/>
      <c r="K468" s="726"/>
      <c r="L468" s="726"/>
      <c r="M468" s="726"/>
      <c r="N468" s="726"/>
      <c r="O468" s="726"/>
      <c r="P468" s="756"/>
      <c r="Q468" s="726"/>
      <c r="R468" s="727"/>
      <c r="S468" s="757"/>
      <c r="T468" s="726"/>
      <c r="U468" s="726"/>
      <c r="V468" s="758"/>
      <c r="W468" s="697"/>
    </row>
    <row r="469" spans="2:27">
      <c r="B469" s="723"/>
      <c r="C469" s="720"/>
      <c r="D469" s="720"/>
      <c r="E469" s="720"/>
      <c r="F469" s="721"/>
      <c r="G469" s="729" t="s">
        <v>3481</v>
      </c>
      <c r="H469" s="730"/>
      <c r="I469" s="730"/>
      <c r="J469" s="731"/>
      <c r="K469" s="731"/>
      <c r="L469" s="731"/>
      <c r="M469" s="731"/>
      <c r="N469" s="731"/>
      <c r="O469" s="731"/>
      <c r="P469" s="731"/>
      <c r="Q469" s="731"/>
      <c r="R469" s="732"/>
      <c r="S469" s="731"/>
      <c r="T469" s="731"/>
      <c r="U469" s="731"/>
      <c r="V469" s="733">
        <f>+T470+T471</f>
        <v>25.085000000000001</v>
      </c>
      <c r="W469" s="704" t="s">
        <v>375</v>
      </c>
    </row>
    <row r="470" spans="2:27">
      <c r="B470" s="723"/>
      <c r="C470" s="720"/>
      <c r="D470" s="720"/>
      <c r="E470" s="720"/>
      <c r="F470" s="721"/>
      <c r="G470" s="729"/>
      <c r="H470" s="730"/>
      <c r="I470" s="730" t="s">
        <v>4030</v>
      </c>
      <c r="J470" s="731">
        <v>4</v>
      </c>
      <c r="K470" s="731" t="s">
        <v>3922</v>
      </c>
      <c r="L470" s="731">
        <v>2.2999999999999998</v>
      </c>
      <c r="M470" s="731" t="s">
        <v>3922</v>
      </c>
      <c r="N470" s="731">
        <v>1.72</v>
      </c>
      <c r="O470" s="731"/>
      <c r="P470" s="731"/>
      <c r="Q470" s="731"/>
      <c r="R470" s="732"/>
      <c r="S470" s="735" t="s">
        <v>3923</v>
      </c>
      <c r="T470" s="731">
        <f>+J470*L470*N470</f>
        <v>15.823999999999998</v>
      </c>
      <c r="U470" s="731"/>
      <c r="V470" s="733"/>
      <c r="W470" s="704"/>
    </row>
    <row r="471" spans="2:27">
      <c r="B471" s="723"/>
      <c r="C471" s="720"/>
      <c r="D471" s="720"/>
      <c r="E471" s="720"/>
      <c r="F471" s="721"/>
      <c r="G471" s="729"/>
      <c r="H471" s="730"/>
      <c r="I471" s="730" t="s">
        <v>4031</v>
      </c>
      <c r="J471" s="731">
        <f>+J473</f>
        <v>12.600000000000001</v>
      </c>
      <c r="K471" s="731" t="s">
        <v>3922</v>
      </c>
      <c r="L471" s="731">
        <v>0.7</v>
      </c>
      <c r="M471" s="731" t="s">
        <v>3922</v>
      </c>
      <c r="N471" s="731">
        <v>1.05</v>
      </c>
      <c r="O471" s="731"/>
      <c r="P471" s="731"/>
      <c r="Q471" s="731"/>
      <c r="R471" s="732"/>
      <c r="S471" s="735" t="s">
        <v>3923</v>
      </c>
      <c r="T471" s="731">
        <f>+J471*L471*N471</f>
        <v>9.261000000000001</v>
      </c>
      <c r="U471" s="731"/>
      <c r="V471" s="733"/>
      <c r="W471" s="704"/>
    </row>
    <row r="472" spans="2:27">
      <c r="B472" s="723"/>
      <c r="C472" s="720"/>
      <c r="D472" s="720"/>
      <c r="E472" s="720"/>
      <c r="F472" s="721"/>
      <c r="G472" s="729"/>
      <c r="H472" s="730"/>
      <c r="I472" s="730"/>
      <c r="J472" s="670"/>
      <c r="K472" s="731"/>
      <c r="L472" s="731"/>
      <c r="M472" s="731"/>
      <c r="N472" s="731"/>
      <c r="O472" s="731"/>
      <c r="P472" s="731"/>
      <c r="Q472" s="731"/>
      <c r="R472" s="732"/>
      <c r="S472" s="731"/>
      <c r="T472" s="731"/>
      <c r="U472" s="731"/>
      <c r="V472" s="733">
        <f>T473</f>
        <v>1.7640000000000002</v>
      </c>
      <c r="W472" s="704" t="s">
        <v>375</v>
      </c>
    </row>
    <row r="473" spans="2:27">
      <c r="B473" s="723"/>
      <c r="C473" s="720"/>
      <c r="D473" s="720"/>
      <c r="E473" s="720"/>
      <c r="F473" s="721"/>
      <c r="G473" s="729" t="s">
        <v>3931</v>
      </c>
      <c r="H473" s="762"/>
      <c r="I473" s="762"/>
      <c r="J473" s="731">
        <f>4+4+2.3+2.3</f>
        <v>12.600000000000001</v>
      </c>
      <c r="K473" s="731" t="s">
        <v>3922</v>
      </c>
      <c r="L473" s="731">
        <v>0.7</v>
      </c>
      <c r="M473" s="731" t="s">
        <v>3922</v>
      </c>
      <c r="N473" s="731">
        <v>0.2</v>
      </c>
      <c r="O473" s="731" t="s">
        <v>3922</v>
      </c>
      <c r="P473" s="734">
        <v>1</v>
      </c>
      <c r="Q473" s="731"/>
      <c r="R473" s="732"/>
      <c r="S473" s="735" t="s">
        <v>3923</v>
      </c>
      <c r="T473" s="731">
        <f>J473*L473*N473*P473</f>
        <v>1.7640000000000002</v>
      </c>
      <c r="U473" s="731"/>
      <c r="V473" s="733"/>
      <c r="W473" s="704"/>
    </row>
    <row r="474" spans="2:27">
      <c r="B474" s="723"/>
      <c r="C474" s="720"/>
      <c r="D474" s="720"/>
      <c r="E474" s="720"/>
      <c r="F474" s="721"/>
      <c r="G474" s="729"/>
      <c r="H474" s="762"/>
      <c r="I474" s="762"/>
      <c r="J474" s="731"/>
      <c r="K474" s="731"/>
      <c r="L474" s="731"/>
      <c r="M474" s="731"/>
      <c r="N474" s="731"/>
      <c r="O474" s="731"/>
      <c r="P474" s="734"/>
      <c r="Q474" s="731"/>
      <c r="R474" s="732"/>
      <c r="S474" s="735"/>
      <c r="T474" s="731"/>
      <c r="U474" s="731"/>
      <c r="V474" s="733"/>
      <c r="W474" s="704"/>
    </row>
    <row r="475" spans="2:27">
      <c r="B475" s="723"/>
      <c r="C475" s="720"/>
      <c r="D475" s="720"/>
      <c r="E475" s="720"/>
      <c r="F475" s="721"/>
      <c r="G475" s="729" t="s">
        <v>3932</v>
      </c>
      <c r="H475" s="762"/>
      <c r="I475" s="762"/>
      <c r="J475" s="670"/>
      <c r="K475" s="731"/>
      <c r="L475" s="731"/>
      <c r="M475" s="731"/>
      <c r="N475" s="731"/>
      <c r="O475" s="731"/>
      <c r="P475" s="731"/>
      <c r="Q475" s="731"/>
      <c r="R475" s="732"/>
      <c r="S475" s="731"/>
      <c r="T475" s="731"/>
      <c r="U475" s="731"/>
      <c r="V475" s="733">
        <f>T476</f>
        <v>5.0400000000000009</v>
      </c>
      <c r="W475" s="704" t="s">
        <v>375</v>
      </c>
    </row>
    <row r="476" spans="2:27">
      <c r="B476" s="723"/>
      <c r="C476" s="720"/>
      <c r="D476" s="720"/>
      <c r="E476" s="720"/>
      <c r="F476" s="721"/>
      <c r="G476" s="761"/>
      <c r="H476" s="762"/>
      <c r="I476" s="762"/>
      <c r="J476" s="731">
        <f>+J473</f>
        <v>12.600000000000001</v>
      </c>
      <c r="K476" s="731" t="s">
        <v>3922</v>
      </c>
      <c r="L476" s="731">
        <f>+(0.7+0.3)/2</f>
        <v>0.5</v>
      </c>
      <c r="M476" s="731" t="s">
        <v>3922</v>
      </c>
      <c r="N476" s="731">
        <v>0.8</v>
      </c>
      <c r="O476" s="731" t="s">
        <v>3922</v>
      </c>
      <c r="P476" s="734">
        <v>1</v>
      </c>
      <c r="Q476" s="731"/>
      <c r="R476" s="732"/>
      <c r="S476" s="735" t="s">
        <v>3923</v>
      </c>
      <c r="T476" s="731">
        <f>J476*L476*N476*P476</f>
        <v>5.0400000000000009</v>
      </c>
      <c r="U476" s="731"/>
      <c r="V476" s="733"/>
      <c r="W476" s="704"/>
    </row>
    <row r="477" spans="2:27">
      <c r="B477" s="723"/>
      <c r="C477" s="720"/>
      <c r="D477" s="720"/>
      <c r="E477" s="720"/>
      <c r="F477" s="721"/>
      <c r="G477" s="729"/>
      <c r="H477" s="762"/>
      <c r="I477" s="762"/>
      <c r="J477" s="731"/>
      <c r="K477" s="731"/>
      <c r="L477" s="731"/>
      <c r="M477" s="731"/>
      <c r="N477" s="731"/>
      <c r="O477" s="731"/>
      <c r="P477" s="734"/>
      <c r="Q477" s="731"/>
      <c r="R477" s="732"/>
      <c r="S477" s="735"/>
      <c r="T477" s="731"/>
      <c r="U477" s="731"/>
      <c r="V477" s="733"/>
      <c r="W477" s="704"/>
    </row>
    <row r="478" spans="2:27">
      <c r="B478" s="723"/>
      <c r="C478" s="720"/>
      <c r="D478" s="720"/>
      <c r="E478" s="720"/>
      <c r="F478" s="721"/>
      <c r="G478" s="729" t="s">
        <v>3964</v>
      </c>
      <c r="H478" s="762"/>
      <c r="I478" s="762"/>
      <c r="J478" s="731">
        <f>+J476</f>
        <v>12.600000000000001</v>
      </c>
      <c r="K478" s="731" t="s">
        <v>3922</v>
      </c>
      <c r="L478" s="731">
        <f>+L473</f>
        <v>0.7</v>
      </c>
      <c r="M478" s="731" t="s">
        <v>3922</v>
      </c>
      <c r="N478" s="731">
        <v>0.05</v>
      </c>
      <c r="O478" s="731" t="s">
        <v>3922</v>
      </c>
      <c r="P478" s="734">
        <v>1</v>
      </c>
      <c r="Q478" s="731"/>
      <c r="R478" s="732"/>
      <c r="S478" s="735" t="s">
        <v>3923</v>
      </c>
      <c r="T478" s="731">
        <f>J478*L478*N478*P478</f>
        <v>0.44100000000000006</v>
      </c>
      <c r="U478" s="731"/>
      <c r="V478" s="733">
        <f>+T478</f>
        <v>0.44100000000000006</v>
      </c>
      <c r="W478" s="704" t="s">
        <v>375</v>
      </c>
    </row>
    <row r="479" spans="2:27">
      <c r="B479" s="723"/>
      <c r="C479" s="720"/>
      <c r="D479" s="720"/>
      <c r="E479" s="720"/>
      <c r="F479" s="721"/>
      <c r="G479" s="761"/>
      <c r="H479" s="762"/>
      <c r="I479" s="762"/>
      <c r="J479" s="731"/>
      <c r="K479" s="731"/>
      <c r="L479" s="731"/>
      <c r="M479" s="731"/>
      <c r="N479" s="731"/>
      <c r="O479" s="731"/>
      <c r="P479" s="734"/>
      <c r="Q479" s="731"/>
      <c r="R479" s="732"/>
      <c r="S479" s="735"/>
      <c r="T479" s="731"/>
      <c r="U479" s="731"/>
      <c r="V479" s="733"/>
      <c r="W479" s="704"/>
    </row>
    <row r="480" spans="2:27">
      <c r="B480" s="723"/>
      <c r="C480" s="720"/>
      <c r="D480" s="720"/>
      <c r="E480" s="720"/>
      <c r="F480" s="721"/>
      <c r="G480" s="761"/>
      <c r="H480" s="762"/>
      <c r="I480" s="762"/>
      <c r="J480" s="731"/>
      <c r="K480" s="731"/>
      <c r="L480" s="731"/>
      <c r="M480" s="731"/>
      <c r="N480" s="731"/>
      <c r="O480" s="731"/>
      <c r="P480" s="734"/>
      <c r="Q480" s="731"/>
      <c r="R480" s="732"/>
      <c r="S480" s="735"/>
      <c r="T480" s="731"/>
      <c r="U480" s="731"/>
      <c r="V480" s="733"/>
      <c r="W480" s="704"/>
    </row>
    <row r="481" spans="2:23" ht="16" thickBot="1">
      <c r="B481" s="799"/>
      <c r="C481" s="800"/>
      <c r="D481" s="800"/>
      <c r="E481" s="800"/>
      <c r="F481" s="801"/>
      <c r="G481" s="918"/>
      <c r="H481" s="919"/>
      <c r="I481" s="919"/>
      <c r="J481" s="920"/>
      <c r="K481" s="920"/>
      <c r="L481" s="920"/>
      <c r="M481" s="920"/>
      <c r="N481" s="920"/>
      <c r="O481" s="920"/>
      <c r="P481" s="921"/>
      <c r="Q481" s="920"/>
      <c r="R481" s="922"/>
      <c r="S481" s="923"/>
      <c r="T481" s="920"/>
      <c r="U481" s="920"/>
      <c r="V481" s="924"/>
      <c r="W481" s="925"/>
    </row>
    <row r="482" spans="2:23" ht="16" thickBot="1">
      <c r="B482" s="709"/>
      <c r="F482" s="710"/>
      <c r="G482" s="827"/>
      <c r="H482" s="699"/>
      <c r="I482" s="699"/>
      <c r="J482" s="805"/>
      <c r="K482" s="805"/>
      <c r="L482" s="805"/>
      <c r="M482" s="805"/>
      <c r="N482" s="805"/>
      <c r="O482" s="807"/>
      <c r="P482" s="807"/>
      <c r="Q482" s="807"/>
      <c r="R482" s="806"/>
      <c r="S482" s="807"/>
      <c r="T482" s="794"/>
      <c r="U482" s="807"/>
      <c r="V482" s="808"/>
      <c r="W482" s="809"/>
    </row>
    <row r="483" spans="2:23">
      <c r="B483" s="798">
        <v>3</v>
      </c>
      <c r="C483" s="1771" t="s">
        <v>4013</v>
      </c>
      <c r="D483" s="1771"/>
      <c r="E483" s="1771"/>
      <c r="F483" s="1772"/>
      <c r="G483" s="1765" t="s">
        <v>3950</v>
      </c>
      <c r="H483" s="1766"/>
      <c r="I483" s="1766"/>
      <c r="J483" s="1766"/>
      <c r="K483" s="1766"/>
      <c r="L483" s="1766"/>
      <c r="M483" s="1766"/>
      <c r="N483" s="1766"/>
      <c r="O483" s="1766"/>
      <c r="P483" s="1766"/>
      <c r="Q483" s="1766"/>
      <c r="R483" s="1766"/>
      <c r="S483" s="1766"/>
      <c r="T483" s="1766"/>
      <c r="U483" s="1766"/>
      <c r="V483" s="1766"/>
      <c r="W483" s="1767"/>
    </row>
    <row r="484" spans="2:23" ht="16" thickBot="1">
      <c r="B484" s="709"/>
      <c r="F484" s="710"/>
      <c r="G484" s="722"/>
      <c r="H484" s="683"/>
      <c r="I484" s="683"/>
      <c r="J484" s="684" t="s">
        <v>3889</v>
      </c>
      <c r="K484" s="684"/>
      <c r="L484" s="684" t="s">
        <v>3890</v>
      </c>
      <c r="M484" s="684"/>
      <c r="N484" s="684" t="s">
        <v>3891</v>
      </c>
      <c r="O484" s="684"/>
      <c r="P484" s="684" t="s">
        <v>3892</v>
      </c>
      <c r="Q484" s="684"/>
      <c r="R484" s="685" t="s">
        <v>3893</v>
      </c>
      <c r="S484" s="686"/>
      <c r="T484" s="687" t="s">
        <v>3894</v>
      </c>
      <c r="U484" s="686"/>
      <c r="V484" s="688" t="s">
        <v>3895</v>
      </c>
      <c r="W484" s="689" t="s">
        <v>3896</v>
      </c>
    </row>
    <row r="485" spans="2:23">
      <c r="B485" s="709"/>
      <c r="F485" s="710"/>
      <c r="G485" s="821"/>
      <c r="H485" s="692"/>
      <c r="I485" s="692"/>
      <c r="J485" s="828"/>
      <c r="K485" s="828"/>
      <c r="L485" s="828"/>
      <c r="M485" s="828"/>
      <c r="N485" s="828"/>
      <c r="O485" s="829"/>
      <c r="P485" s="829"/>
      <c r="Q485" s="829"/>
      <c r="R485" s="830"/>
      <c r="S485" s="829"/>
      <c r="T485" s="831"/>
      <c r="U485" s="832"/>
      <c r="V485" s="833"/>
      <c r="W485" s="822"/>
    </row>
    <row r="486" spans="2:23">
      <c r="B486" s="709"/>
      <c r="F486" s="710"/>
      <c r="G486" s="827" t="s">
        <v>3941</v>
      </c>
      <c r="H486" s="730" t="s">
        <v>4014</v>
      </c>
      <c r="I486" s="699"/>
      <c r="J486" s="805"/>
      <c r="K486" s="805"/>
      <c r="L486" s="805"/>
      <c r="M486" s="805"/>
      <c r="N486" s="805"/>
      <c r="O486" s="794"/>
      <c r="P486" s="794"/>
      <c r="Q486" s="794"/>
      <c r="R486" s="806"/>
      <c r="S486" s="793"/>
      <c r="T486" s="794"/>
      <c r="U486" s="807"/>
      <c r="V486" s="808">
        <f>+T487</f>
        <v>0.37800000000000006</v>
      </c>
      <c r="W486" s="809" t="s">
        <v>375</v>
      </c>
    </row>
    <row r="487" spans="2:23">
      <c r="B487" s="1768"/>
      <c r="C487" s="1769"/>
      <c r="D487" s="1769"/>
      <c r="E487" s="1769"/>
      <c r="F487" s="1770"/>
      <c r="G487" s="827"/>
      <c r="H487" s="699"/>
      <c r="I487" s="699"/>
      <c r="J487" s="791">
        <f>+J473</f>
        <v>12.600000000000001</v>
      </c>
      <c r="K487" s="791" t="s">
        <v>3922</v>
      </c>
      <c r="L487" s="791">
        <v>0.15</v>
      </c>
      <c r="M487" s="791" t="s">
        <v>3922</v>
      </c>
      <c r="N487" s="791">
        <v>0.2</v>
      </c>
      <c r="O487" s="791" t="s">
        <v>3922</v>
      </c>
      <c r="P487" s="791">
        <v>1</v>
      </c>
      <c r="Q487" s="791"/>
      <c r="R487" s="792"/>
      <c r="S487" s="793" t="s">
        <v>3923</v>
      </c>
      <c r="T487" s="794">
        <f>J487*L487*N487*P487</f>
        <v>0.37800000000000006</v>
      </c>
      <c r="U487" s="807"/>
      <c r="V487" s="810"/>
      <c r="W487" s="809"/>
    </row>
    <row r="488" spans="2:23">
      <c r="B488" s="709"/>
      <c r="F488" s="710"/>
      <c r="G488" s="827"/>
      <c r="H488" s="699"/>
      <c r="I488" s="699"/>
      <c r="J488" s="791"/>
      <c r="K488" s="791"/>
      <c r="L488" s="791"/>
      <c r="M488" s="791"/>
      <c r="N488" s="791"/>
      <c r="O488" s="791"/>
      <c r="P488" s="791"/>
      <c r="Q488" s="791"/>
      <c r="R488" s="792"/>
      <c r="S488" s="793"/>
      <c r="T488" s="794"/>
      <c r="U488" s="824"/>
      <c r="V488" s="834"/>
      <c r="W488" s="809"/>
    </row>
    <row r="489" spans="2:23">
      <c r="B489" s="709"/>
      <c r="F489" s="710"/>
      <c r="G489" s="775" t="s">
        <v>3935</v>
      </c>
      <c r="H489" s="776" t="s">
        <v>3943</v>
      </c>
      <c r="I489" s="776"/>
      <c r="J489" s="777"/>
      <c r="K489" s="777"/>
      <c r="L489" s="777"/>
      <c r="M489" s="777"/>
      <c r="N489" s="777"/>
      <c r="O489" s="825"/>
      <c r="P489" s="825"/>
      <c r="Q489" s="825"/>
      <c r="R489" s="778"/>
      <c r="S489" s="825"/>
      <c r="T489" s="826"/>
      <c r="U489" s="807"/>
      <c r="V489" s="808">
        <f>+SUM(T491:T496)</f>
        <v>102.17088000000003</v>
      </c>
      <c r="W489" s="823" t="s">
        <v>93</v>
      </c>
    </row>
    <row r="490" spans="2:23">
      <c r="B490" s="737"/>
      <c r="C490" s="738"/>
      <c r="D490" s="738"/>
      <c r="E490" s="738"/>
      <c r="F490" s="739"/>
      <c r="G490" s="729"/>
      <c r="H490" s="730"/>
      <c r="I490" s="730"/>
      <c r="J490" s="817" t="s">
        <v>3889</v>
      </c>
      <c r="K490" s="817"/>
      <c r="L490" s="817" t="s">
        <v>3892</v>
      </c>
      <c r="M490" s="791"/>
      <c r="N490" s="791"/>
      <c r="O490" s="824"/>
      <c r="P490" s="824"/>
      <c r="Q490" s="824"/>
      <c r="R490" s="792"/>
      <c r="S490" s="824"/>
      <c r="T490" s="794"/>
      <c r="U490" s="807"/>
      <c r="V490" s="810"/>
      <c r="W490" s="823"/>
    </row>
    <row r="491" spans="2:23">
      <c r="B491" s="760"/>
      <c r="C491" s="720"/>
      <c r="D491" s="720"/>
      <c r="E491" s="720"/>
      <c r="F491" s="721"/>
      <c r="G491" s="729"/>
      <c r="H491" s="730" t="s">
        <v>4005</v>
      </c>
      <c r="I491" s="730" t="s">
        <v>3944</v>
      </c>
      <c r="J491" s="791">
        <f>J487</f>
        <v>12.600000000000001</v>
      </c>
      <c r="K491" s="791" t="s">
        <v>3922</v>
      </c>
      <c r="L491" s="791">
        <v>2</v>
      </c>
      <c r="M491" s="791"/>
      <c r="N491" s="791"/>
      <c r="O491" s="824"/>
      <c r="P491" s="824"/>
      <c r="Q491" s="824" t="s">
        <v>3922</v>
      </c>
      <c r="R491" s="792">
        <v>1.04</v>
      </c>
      <c r="S491" s="824" t="s">
        <v>3923</v>
      </c>
      <c r="T491" s="794">
        <f>J491*L491*R491</f>
        <v>26.208000000000006</v>
      </c>
      <c r="U491" s="807"/>
      <c r="V491" s="810"/>
      <c r="W491" s="823"/>
    </row>
    <row r="492" spans="2:23">
      <c r="B492" s="760"/>
      <c r="C492" s="720"/>
      <c r="D492" s="720"/>
      <c r="E492" s="720"/>
      <c r="F492" s="721"/>
      <c r="G492" s="729"/>
      <c r="H492" s="730" t="s">
        <v>4005</v>
      </c>
      <c r="I492" s="730" t="s">
        <v>3945</v>
      </c>
      <c r="J492" s="791">
        <f>+J491</f>
        <v>12.600000000000001</v>
      </c>
      <c r="K492" s="791" t="s">
        <v>3922</v>
      </c>
      <c r="L492" s="791">
        <v>2</v>
      </c>
      <c r="M492" s="791"/>
      <c r="N492" s="791"/>
      <c r="O492" s="824"/>
      <c r="P492" s="824"/>
      <c r="Q492" s="824" t="s">
        <v>3922</v>
      </c>
      <c r="R492" s="792">
        <f>+R491</f>
        <v>1.04</v>
      </c>
      <c r="S492" s="824" t="s">
        <v>3923</v>
      </c>
      <c r="T492" s="794">
        <f>J492*L492*R492</f>
        <v>26.208000000000006</v>
      </c>
      <c r="U492" s="807"/>
      <c r="V492" s="810"/>
      <c r="W492" s="823"/>
    </row>
    <row r="493" spans="2:23">
      <c r="B493" s="760"/>
      <c r="C493" s="720"/>
      <c r="D493" s="720"/>
      <c r="E493" s="720"/>
      <c r="F493" s="721"/>
      <c r="G493" s="729"/>
      <c r="H493" s="730"/>
      <c r="I493" s="730"/>
      <c r="J493" s="791"/>
      <c r="K493" s="791"/>
      <c r="L493" s="791"/>
      <c r="M493" s="791"/>
      <c r="N493" s="791"/>
      <c r="O493" s="824"/>
      <c r="P493" s="824"/>
      <c r="Q493" s="824"/>
      <c r="R493" s="792"/>
      <c r="S493" s="824"/>
      <c r="T493" s="794"/>
      <c r="U493" s="807"/>
      <c r="V493" s="810"/>
      <c r="W493" s="823"/>
    </row>
    <row r="494" spans="2:23">
      <c r="B494" s="760"/>
      <c r="C494" s="720"/>
      <c r="D494" s="720"/>
      <c r="E494" s="720"/>
      <c r="F494" s="721"/>
      <c r="G494" s="729" t="s">
        <v>3937</v>
      </c>
      <c r="H494" s="776" t="s">
        <v>3946</v>
      </c>
      <c r="I494" s="730"/>
      <c r="J494" s="791"/>
      <c r="K494" s="791"/>
      <c r="L494" s="791"/>
      <c r="M494" s="791"/>
      <c r="N494" s="791"/>
      <c r="O494" s="824"/>
      <c r="P494" s="824"/>
      <c r="Q494" s="824"/>
      <c r="R494" s="792"/>
      <c r="S494" s="824"/>
      <c r="T494" s="794"/>
      <c r="U494" s="807"/>
      <c r="V494" s="810"/>
      <c r="W494" s="823"/>
    </row>
    <row r="495" spans="2:23">
      <c r="B495" s="723"/>
      <c r="F495" s="710"/>
      <c r="G495" s="835"/>
      <c r="H495" s="730"/>
      <c r="I495" s="741"/>
      <c r="J495" s="817" t="s">
        <v>3951</v>
      </c>
      <c r="K495" s="817"/>
      <c r="L495" s="817" t="s">
        <v>3952</v>
      </c>
      <c r="M495" s="791"/>
      <c r="N495" s="791"/>
      <c r="O495" s="824"/>
      <c r="P495" s="824"/>
      <c r="Q495" s="824"/>
      <c r="R495" s="792"/>
      <c r="S495" s="824"/>
      <c r="T495" s="794"/>
      <c r="U495" s="807"/>
      <c r="V495" s="808"/>
      <c r="W495" s="809"/>
    </row>
    <row r="496" spans="2:23">
      <c r="B496" s="723"/>
      <c r="F496" s="710"/>
      <c r="G496" s="729"/>
      <c r="H496" s="730" t="s">
        <v>3947</v>
      </c>
      <c r="I496" s="730"/>
      <c r="J496" s="791">
        <f>0.11+0.11+0.16+0.16+0.05+0.05</f>
        <v>0.64000000000000012</v>
      </c>
      <c r="K496" s="791" t="s">
        <v>3922</v>
      </c>
      <c r="L496" s="791">
        <f>+J487/0.1</f>
        <v>126.00000000000001</v>
      </c>
      <c r="M496" s="791"/>
      <c r="N496" s="791"/>
      <c r="O496" s="824"/>
      <c r="P496" s="824"/>
      <c r="Q496" s="824" t="s">
        <v>3922</v>
      </c>
      <c r="R496" s="792">
        <v>0.61699999999999999</v>
      </c>
      <c r="S496" s="824" t="s">
        <v>3923</v>
      </c>
      <c r="T496" s="794">
        <f>J496*L496*R496</f>
        <v>49.754880000000014</v>
      </c>
      <c r="U496" s="807"/>
      <c r="V496" s="810"/>
      <c r="W496" s="823"/>
    </row>
    <row r="497" spans="2:23">
      <c r="B497" s="709"/>
      <c r="F497" s="710"/>
      <c r="G497" s="827"/>
      <c r="H497" s="699"/>
      <c r="I497" s="699"/>
      <c r="J497" s="805"/>
      <c r="K497" s="805"/>
      <c r="L497" s="805"/>
      <c r="M497" s="805"/>
      <c r="N497" s="805"/>
      <c r="O497" s="807"/>
      <c r="P497" s="807"/>
      <c r="Q497" s="807"/>
      <c r="R497" s="806"/>
      <c r="S497" s="807"/>
      <c r="T497" s="794"/>
      <c r="U497" s="807"/>
      <c r="V497" s="808"/>
      <c r="W497" s="809"/>
    </row>
    <row r="498" spans="2:23">
      <c r="B498" s="709"/>
      <c r="F498" s="710"/>
      <c r="G498" s="827" t="s">
        <v>3940</v>
      </c>
      <c r="H498" s="699" t="s">
        <v>4006</v>
      </c>
      <c r="I498" s="699"/>
      <c r="J498" s="805"/>
      <c r="K498" s="805"/>
      <c r="L498" s="805"/>
      <c r="M498" s="805"/>
      <c r="N498" s="805"/>
      <c r="O498" s="807"/>
      <c r="P498" s="807"/>
      <c r="Q498" s="807"/>
      <c r="R498" s="806"/>
      <c r="S498" s="807"/>
      <c r="T498" s="794"/>
      <c r="U498" s="807"/>
      <c r="V498" s="808">
        <f>T499</f>
        <v>5.0400000000000009</v>
      </c>
      <c r="W498" s="809" t="s">
        <v>376</v>
      </c>
    </row>
    <row r="499" spans="2:23">
      <c r="B499" s="709"/>
      <c r="F499" s="710"/>
      <c r="G499" s="827"/>
      <c r="H499" s="699"/>
      <c r="I499" s="699"/>
      <c r="J499" s="805">
        <f>+J487</f>
        <v>12.600000000000001</v>
      </c>
      <c r="K499" s="805"/>
      <c r="L499" s="805"/>
      <c r="M499" s="805" t="s">
        <v>3922</v>
      </c>
      <c r="N499" s="805">
        <f>+N487</f>
        <v>0.2</v>
      </c>
      <c r="O499" s="807" t="s">
        <v>3922</v>
      </c>
      <c r="P499" s="807">
        <v>2</v>
      </c>
      <c r="Q499" s="807"/>
      <c r="R499" s="806"/>
      <c r="S499" s="807" t="s">
        <v>3923</v>
      </c>
      <c r="T499" s="794">
        <f>J499*N499*P499</f>
        <v>5.0400000000000009</v>
      </c>
      <c r="U499" s="807"/>
      <c r="V499" s="808"/>
      <c r="W499" s="809"/>
    </row>
    <row r="500" spans="2:23">
      <c r="B500" s="709"/>
      <c r="F500" s="710"/>
      <c r="G500" s="827"/>
      <c r="H500" s="699"/>
      <c r="I500" s="699"/>
      <c r="J500" s="805"/>
      <c r="K500" s="805"/>
      <c r="L500" s="805"/>
      <c r="M500" s="805"/>
      <c r="N500" s="805"/>
      <c r="O500" s="807"/>
      <c r="P500" s="807"/>
      <c r="Q500" s="807"/>
      <c r="R500" s="806"/>
      <c r="S500" s="807"/>
      <c r="T500" s="794"/>
      <c r="U500" s="807"/>
      <c r="V500" s="808"/>
      <c r="W500" s="809"/>
    </row>
    <row r="501" spans="2:23" ht="16" thickBot="1">
      <c r="B501" s="926"/>
      <c r="C501" s="927"/>
      <c r="D501" s="927"/>
      <c r="E501" s="927"/>
      <c r="F501" s="928"/>
      <c r="G501" s="764"/>
      <c r="H501" s="747"/>
      <c r="I501" s="747"/>
      <c r="J501" s="929"/>
      <c r="K501" s="929"/>
      <c r="L501" s="929"/>
      <c r="M501" s="929"/>
      <c r="N501" s="929"/>
      <c r="O501" s="930"/>
      <c r="P501" s="930"/>
      <c r="Q501" s="930"/>
      <c r="R501" s="931"/>
      <c r="S501" s="930"/>
      <c r="T501" s="932"/>
      <c r="U501" s="930"/>
      <c r="V501" s="933"/>
      <c r="W501" s="934"/>
    </row>
    <row r="502" spans="2:23" ht="16" thickTop="1">
      <c r="B502" s="798" t="s">
        <v>3909</v>
      </c>
      <c r="C502" s="1771" t="s">
        <v>4018</v>
      </c>
      <c r="D502" s="1771"/>
      <c r="E502" s="1771"/>
      <c r="F502" s="1772"/>
      <c r="G502" s="1765" t="s">
        <v>3888</v>
      </c>
      <c r="H502" s="1766"/>
      <c r="I502" s="1766"/>
      <c r="J502" s="1766"/>
      <c r="K502" s="1766"/>
      <c r="L502" s="1766"/>
      <c r="M502" s="1766"/>
      <c r="N502" s="1766"/>
      <c r="O502" s="1766"/>
      <c r="P502" s="1766"/>
      <c r="Q502" s="1766"/>
      <c r="R502" s="1766"/>
      <c r="S502" s="1766"/>
      <c r="T502" s="1766"/>
      <c r="U502" s="1766"/>
      <c r="V502" s="1766"/>
      <c r="W502" s="1767"/>
    </row>
    <row r="503" spans="2:23" ht="16" thickBot="1">
      <c r="B503" s="709"/>
      <c r="F503" s="710"/>
      <c r="G503" s="722"/>
      <c r="H503" s="683"/>
      <c r="I503" s="683"/>
      <c r="J503" s="684" t="s">
        <v>3889</v>
      </c>
      <c r="K503" s="684"/>
      <c r="L503" s="684" t="s">
        <v>3890</v>
      </c>
      <c r="M503" s="684"/>
      <c r="N503" s="684" t="s">
        <v>3891</v>
      </c>
      <c r="O503" s="684"/>
      <c r="P503" s="684" t="s">
        <v>3892</v>
      </c>
      <c r="Q503" s="684"/>
      <c r="R503" s="685" t="s">
        <v>3893</v>
      </c>
      <c r="S503" s="686"/>
      <c r="T503" s="687" t="s">
        <v>3894</v>
      </c>
      <c r="U503" s="686"/>
      <c r="V503" s="688" t="s">
        <v>3895</v>
      </c>
      <c r="W503" s="689" t="s">
        <v>3896</v>
      </c>
    </row>
    <row r="504" spans="2:23">
      <c r="B504" s="709"/>
      <c r="G504" s="821"/>
      <c r="H504" s="692"/>
      <c r="I504" s="692"/>
      <c r="J504" s="828"/>
      <c r="K504" s="828"/>
      <c r="L504" s="828"/>
      <c r="M504" s="828"/>
      <c r="N504" s="828"/>
      <c r="O504" s="829"/>
      <c r="P504" s="829"/>
      <c r="Q504" s="829"/>
      <c r="R504" s="830"/>
      <c r="S504" s="829"/>
      <c r="T504" s="831"/>
      <c r="U504" s="832"/>
      <c r="V504" s="833"/>
      <c r="W504" s="697"/>
    </row>
    <row r="505" spans="2:23">
      <c r="B505" s="709"/>
      <c r="F505" s="710"/>
      <c r="G505" s="827" t="s">
        <v>3941</v>
      </c>
      <c r="H505" s="699" t="s">
        <v>3969</v>
      </c>
      <c r="I505" s="699"/>
      <c r="J505" s="805"/>
      <c r="K505" s="805"/>
      <c r="L505" s="805"/>
      <c r="M505" s="805"/>
      <c r="N505" s="805"/>
      <c r="O505" s="794"/>
      <c r="P505" s="794"/>
      <c r="Q505" s="794"/>
      <c r="R505" s="806"/>
      <c r="S505" s="793"/>
      <c r="T505" s="794"/>
      <c r="U505" s="807"/>
      <c r="V505" s="808">
        <f>+T506</f>
        <v>0.27</v>
      </c>
      <c r="W505" s="704" t="s">
        <v>375</v>
      </c>
    </row>
    <row r="506" spans="2:23">
      <c r="B506" s="1768"/>
      <c r="C506" s="1769"/>
      <c r="D506" s="1769"/>
      <c r="E506" s="1769"/>
      <c r="F506" s="1770"/>
      <c r="G506" s="827"/>
      <c r="H506" s="699"/>
      <c r="I506" s="699" t="s">
        <v>3956</v>
      </c>
      <c r="J506" s="791">
        <v>0.15</v>
      </c>
      <c r="K506" s="791" t="s">
        <v>3922</v>
      </c>
      <c r="L506" s="791">
        <v>0.2</v>
      </c>
      <c r="M506" s="791" t="s">
        <v>3922</v>
      </c>
      <c r="N506" s="791">
        <v>1.5</v>
      </c>
      <c r="O506" s="791" t="s">
        <v>3922</v>
      </c>
      <c r="P506" s="791">
        <v>6</v>
      </c>
      <c r="Q506" s="791"/>
      <c r="R506" s="792"/>
      <c r="S506" s="793" t="s">
        <v>3923</v>
      </c>
      <c r="T506" s="794">
        <f>+J506*L506*N506*P506</f>
        <v>0.27</v>
      </c>
      <c r="U506" s="807"/>
      <c r="V506" s="810"/>
      <c r="W506" s="704"/>
    </row>
    <row r="507" spans="2:23">
      <c r="B507" s="709"/>
      <c r="F507" s="710"/>
      <c r="G507" s="827"/>
      <c r="H507" s="699"/>
      <c r="I507" s="699"/>
      <c r="J507" s="791"/>
      <c r="K507" s="791"/>
      <c r="L507" s="791"/>
      <c r="M507" s="791"/>
      <c r="N507" s="791"/>
      <c r="O507" s="791"/>
      <c r="P507" s="791"/>
      <c r="Q507" s="791"/>
      <c r="R507" s="792"/>
      <c r="S507" s="793"/>
      <c r="T507" s="794"/>
      <c r="U507" s="824"/>
      <c r="V507" s="834"/>
      <c r="W507" s="704"/>
    </row>
    <row r="508" spans="2:23">
      <c r="B508" s="755"/>
      <c r="F508" s="710"/>
      <c r="G508" s="827" t="s">
        <v>3935</v>
      </c>
      <c r="H508" s="776" t="s">
        <v>3953</v>
      </c>
      <c r="I508" s="699"/>
      <c r="J508" s="791"/>
      <c r="K508" s="791"/>
      <c r="L508" s="791"/>
      <c r="M508" s="791"/>
      <c r="N508" s="791"/>
      <c r="O508" s="791"/>
      <c r="P508" s="791"/>
      <c r="Q508" s="791"/>
      <c r="R508" s="792"/>
      <c r="S508" s="793"/>
      <c r="T508" s="794"/>
      <c r="U508" s="824"/>
      <c r="V508" s="840">
        <f>+SUM(T510:T514)</f>
        <v>79.852800000000002</v>
      </c>
      <c r="W508" s="704" t="s">
        <v>93</v>
      </c>
    </row>
    <row r="509" spans="2:23">
      <c r="B509" s="759"/>
      <c r="F509" s="710"/>
      <c r="G509" s="827"/>
      <c r="H509" s="699"/>
      <c r="I509" s="699"/>
      <c r="J509" s="817" t="s">
        <v>3889</v>
      </c>
      <c r="K509" s="817"/>
      <c r="L509" s="817" t="s">
        <v>3892</v>
      </c>
      <c r="M509" s="791"/>
      <c r="N509" s="791"/>
      <c r="O509" s="791"/>
      <c r="P509" s="791"/>
      <c r="Q509" s="791"/>
      <c r="R509" s="792"/>
      <c r="S509" s="793"/>
      <c r="T509" s="794"/>
      <c r="U509" s="824"/>
      <c r="V509" s="834"/>
      <c r="W509" s="704"/>
    </row>
    <row r="510" spans="2:23">
      <c r="B510" s="709"/>
      <c r="F510" s="710"/>
      <c r="G510" s="827"/>
      <c r="H510" s="730" t="s">
        <v>3422</v>
      </c>
      <c r="I510" s="699" t="s">
        <v>3957</v>
      </c>
      <c r="J510" s="791">
        <f>+N506</f>
        <v>1.5</v>
      </c>
      <c r="K510" s="791" t="s">
        <v>3922</v>
      </c>
      <c r="L510" s="791">
        <v>6</v>
      </c>
      <c r="M510" s="791"/>
      <c r="N510" s="791"/>
      <c r="O510" s="791" t="s">
        <v>3922</v>
      </c>
      <c r="P510" s="791">
        <f>P506</f>
        <v>6</v>
      </c>
      <c r="Q510" s="791" t="s">
        <v>3922</v>
      </c>
      <c r="R510" s="792">
        <v>1.04</v>
      </c>
      <c r="S510" s="791" t="s">
        <v>3923</v>
      </c>
      <c r="T510" s="841">
        <f>J510*L510*P510*R510</f>
        <v>56.160000000000004</v>
      </c>
      <c r="U510" s="824"/>
      <c r="V510" s="841"/>
      <c r="W510" s="704"/>
    </row>
    <row r="511" spans="2:23">
      <c r="B511" s="709"/>
      <c r="F511" s="710"/>
      <c r="G511" s="827"/>
      <c r="H511" s="730"/>
      <c r="I511" s="699"/>
      <c r="J511" s="805"/>
      <c r="K511" s="805"/>
      <c r="L511" s="805"/>
      <c r="M511" s="805"/>
      <c r="N511" s="842"/>
      <c r="O511" s="794"/>
      <c r="P511" s="794"/>
      <c r="Q511" s="794"/>
      <c r="R511" s="806"/>
      <c r="S511" s="793"/>
      <c r="T511" s="843"/>
      <c r="U511" s="824"/>
      <c r="V511" s="841"/>
      <c r="W511" s="704"/>
    </row>
    <row r="512" spans="2:23">
      <c r="B512" s="709"/>
      <c r="F512" s="710"/>
      <c r="G512" s="827" t="s">
        <v>3937</v>
      </c>
      <c r="H512" s="776" t="s">
        <v>3953</v>
      </c>
      <c r="I512" s="699"/>
      <c r="J512" s="805"/>
      <c r="K512" s="805"/>
      <c r="L512" s="805"/>
      <c r="M512" s="805"/>
      <c r="N512" s="842"/>
      <c r="O512" s="794"/>
      <c r="P512" s="794"/>
      <c r="Q512" s="794"/>
      <c r="R512" s="806"/>
      <c r="S512" s="793"/>
      <c r="T512" s="843"/>
      <c r="U512" s="824"/>
      <c r="W512" s="704"/>
    </row>
    <row r="513" spans="2:23">
      <c r="B513" s="755"/>
      <c r="F513" s="710"/>
      <c r="G513" s="827"/>
      <c r="H513" s="730"/>
      <c r="I513" s="699"/>
      <c r="J513" s="817" t="s">
        <v>3951</v>
      </c>
      <c r="K513" s="817"/>
      <c r="L513" s="817" t="s">
        <v>3952</v>
      </c>
      <c r="M513" s="805"/>
      <c r="N513" s="842"/>
      <c r="O513" s="791"/>
      <c r="P513" s="791"/>
      <c r="Q513" s="791"/>
      <c r="R513" s="792"/>
      <c r="S513" s="793"/>
      <c r="T513" s="794"/>
      <c r="U513" s="844"/>
      <c r="V513" s="840"/>
      <c r="W513" s="704"/>
    </row>
    <row r="514" spans="2:23">
      <c r="B514" s="759"/>
      <c r="F514" s="710"/>
      <c r="G514" s="827"/>
      <c r="H514" s="730" t="s">
        <v>3947</v>
      </c>
      <c r="I514" s="699" t="s">
        <v>3957</v>
      </c>
      <c r="J514" s="791">
        <f>0.11+0.11+0.16+0.16+0.05+0.05</f>
        <v>0.64000000000000012</v>
      </c>
      <c r="K514" s="791" t="s">
        <v>3922</v>
      </c>
      <c r="L514" s="805">
        <f>+J510/0.15</f>
        <v>10</v>
      </c>
      <c r="M514" s="805"/>
      <c r="N514" s="842"/>
      <c r="O514" s="791" t="s">
        <v>3922</v>
      </c>
      <c r="P514" s="791">
        <f>P510</f>
        <v>6</v>
      </c>
      <c r="Q514" s="791" t="s">
        <v>3922</v>
      </c>
      <c r="R514" s="792">
        <v>0.61699999999999999</v>
      </c>
      <c r="S514" s="793" t="s">
        <v>3923</v>
      </c>
      <c r="T514" s="794">
        <f>J514*L514*P514*R514</f>
        <v>23.692800000000002</v>
      </c>
      <c r="U514" s="845"/>
      <c r="V514" s="846"/>
      <c r="W514" s="704"/>
    </row>
    <row r="515" spans="2:23">
      <c r="B515" s="709"/>
      <c r="F515" s="710"/>
      <c r="G515" s="827"/>
      <c r="H515" s="699"/>
      <c r="I515" s="699"/>
      <c r="J515" s="791"/>
      <c r="K515" s="791"/>
      <c r="L515" s="791"/>
      <c r="M515" s="791"/>
      <c r="N515" s="842"/>
      <c r="O515" s="791"/>
      <c r="P515" s="791"/>
      <c r="Q515" s="791"/>
      <c r="R515" s="792"/>
      <c r="S515" s="793"/>
      <c r="T515" s="794"/>
      <c r="U515" s="847"/>
      <c r="V515" s="848"/>
      <c r="W515" s="704"/>
    </row>
    <row r="516" spans="2:23">
      <c r="B516" s="755"/>
      <c r="F516" s="710"/>
      <c r="G516" s="827" t="s">
        <v>3940</v>
      </c>
      <c r="H516" s="730" t="s">
        <v>3976</v>
      </c>
      <c r="I516" s="730"/>
      <c r="J516" s="791"/>
      <c r="K516" s="791"/>
      <c r="L516" s="791"/>
      <c r="M516" s="791"/>
      <c r="N516" s="842"/>
      <c r="O516" s="791"/>
      <c r="P516" s="791"/>
      <c r="Q516" s="791"/>
      <c r="R516" s="792"/>
      <c r="S516" s="793"/>
      <c r="T516" s="794"/>
      <c r="U516" s="807"/>
      <c r="V516" s="808">
        <f>+SUM(T517:T517)</f>
        <v>5.3999999999999995</v>
      </c>
      <c r="W516" s="736" t="s">
        <v>376</v>
      </c>
    </row>
    <row r="517" spans="2:23">
      <c r="B517" s="759"/>
      <c r="F517" s="710"/>
      <c r="G517" s="827"/>
      <c r="H517" s="730"/>
      <c r="I517" s="699" t="s">
        <v>3957</v>
      </c>
      <c r="J517" s="791"/>
      <c r="K517" s="791"/>
      <c r="L517" s="791">
        <f>+J506</f>
        <v>0.15</v>
      </c>
      <c r="M517" s="791" t="s">
        <v>3922</v>
      </c>
      <c r="N517" s="805">
        <f>N506</f>
        <v>1.5</v>
      </c>
      <c r="O517" s="791" t="s">
        <v>3922</v>
      </c>
      <c r="P517" s="791">
        <f>+P514</f>
        <v>6</v>
      </c>
      <c r="Q517" s="791"/>
      <c r="R517" s="792"/>
      <c r="S517" s="793" t="s">
        <v>3923</v>
      </c>
      <c r="T517" s="794">
        <f>+(L517*4)*N517*P517</f>
        <v>5.3999999999999995</v>
      </c>
      <c r="U517" s="807"/>
      <c r="V517" s="810"/>
      <c r="W517" s="736"/>
    </row>
    <row r="518" spans="2:23">
      <c r="B518" s="723"/>
      <c r="C518" s="720"/>
      <c r="D518" s="720"/>
      <c r="E518" s="720"/>
      <c r="F518" s="721"/>
      <c r="G518" s="827"/>
      <c r="H518" s="699"/>
      <c r="I518" s="699"/>
      <c r="J518" s="791"/>
      <c r="K518" s="791"/>
      <c r="L518" s="791"/>
      <c r="M518" s="791"/>
      <c r="N518" s="842"/>
      <c r="O518" s="791"/>
      <c r="P518" s="791"/>
      <c r="Q518" s="791"/>
      <c r="R518" s="792"/>
      <c r="S518" s="793"/>
      <c r="T518" s="794"/>
      <c r="U518" s="807"/>
      <c r="V518" s="810"/>
      <c r="W518" s="704"/>
    </row>
    <row r="519" spans="2:23" ht="16" thickBot="1">
      <c r="B519" s="763"/>
      <c r="C519" s="744"/>
      <c r="D519" s="744"/>
      <c r="E519" s="744"/>
      <c r="F519" s="745"/>
      <c r="G519" s="818"/>
      <c r="H519" s="819"/>
      <c r="I519" s="819"/>
      <c r="J519" s="819"/>
      <c r="K519" s="819"/>
      <c r="L519" s="819"/>
      <c r="M519" s="750"/>
      <c r="N519" s="751"/>
      <c r="O519" s="751"/>
      <c r="P519" s="751"/>
      <c r="Q519" s="751"/>
      <c r="R519" s="752"/>
      <c r="S519" s="751"/>
      <c r="T519" s="751"/>
      <c r="U519" s="751"/>
      <c r="V519" s="767"/>
      <c r="W519" s="754"/>
    </row>
    <row r="520" spans="2:23" ht="16.5" thickTop="1" thickBot="1">
      <c r="B520" s="709"/>
      <c r="F520" s="710"/>
      <c r="G520" s="827"/>
      <c r="H520" s="699"/>
      <c r="I520" s="699"/>
      <c r="J520" s="805"/>
      <c r="K520" s="805"/>
      <c r="L520" s="805"/>
      <c r="M520" s="805"/>
      <c r="N520" s="805"/>
      <c r="O520" s="807"/>
      <c r="P520" s="807"/>
      <c r="Q520" s="807"/>
      <c r="R520" s="806"/>
      <c r="S520" s="807"/>
      <c r="T520" s="794"/>
      <c r="U520" s="807"/>
      <c r="V520" s="808"/>
      <c r="W520" s="809"/>
    </row>
    <row r="521" spans="2:23">
      <c r="B521" s="798">
        <v>3</v>
      </c>
      <c r="C521" s="1771" t="s">
        <v>4015</v>
      </c>
      <c r="D521" s="1771"/>
      <c r="E521" s="1771"/>
      <c r="F521" s="1772"/>
      <c r="G521" s="1765" t="s">
        <v>3950</v>
      </c>
      <c r="H521" s="1766"/>
      <c r="I521" s="1766"/>
      <c r="J521" s="1766"/>
      <c r="K521" s="1766"/>
      <c r="L521" s="1766"/>
      <c r="M521" s="1766"/>
      <c r="N521" s="1766"/>
      <c r="O521" s="1766"/>
      <c r="P521" s="1766"/>
      <c r="Q521" s="1766"/>
      <c r="R521" s="1766"/>
      <c r="S521" s="1766"/>
      <c r="T521" s="1766"/>
      <c r="U521" s="1766"/>
      <c r="V521" s="1766"/>
      <c r="W521" s="1767"/>
    </row>
    <row r="522" spans="2:23" ht="16" thickBot="1">
      <c r="B522" s="709"/>
      <c r="F522" s="710"/>
      <c r="G522" s="722"/>
      <c r="H522" s="683"/>
      <c r="I522" s="683"/>
      <c r="J522" s="684" t="s">
        <v>3889</v>
      </c>
      <c r="K522" s="684"/>
      <c r="L522" s="684" t="s">
        <v>3890</v>
      </c>
      <c r="M522" s="684"/>
      <c r="N522" s="684" t="s">
        <v>3891</v>
      </c>
      <c r="O522" s="684"/>
      <c r="P522" s="684" t="s">
        <v>3892</v>
      </c>
      <c r="Q522" s="684"/>
      <c r="R522" s="685" t="s">
        <v>3893</v>
      </c>
      <c r="S522" s="686"/>
      <c r="T522" s="687" t="s">
        <v>3894</v>
      </c>
      <c r="U522" s="686"/>
      <c r="V522" s="688" t="s">
        <v>3895</v>
      </c>
      <c r="W522" s="689" t="s">
        <v>3896</v>
      </c>
    </row>
    <row r="523" spans="2:23">
      <c r="B523" s="709"/>
      <c r="F523" s="710"/>
      <c r="G523" s="821"/>
      <c r="H523" s="692"/>
      <c r="I523" s="692"/>
      <c r="J523" s="828"/>
      <c r="K523" s="828"/>
      <c r="L523" s="828"/>
      <c r="M523" s="828"/>
      <c r="N523" s="828"/>
      <c r="O523" s="829"/>
      <c r="P523" s="829"/>
      <c r="Q523" s="829"/>
      <c r="R523" s="830"/>
      <c r="S523" s="829"/>
      <c r="T523" s="831"/>
      <c r="U523" s="832"/>
      <c r="V523" s="833"/>
      <c r="W523" s="822"/>
    </row>
    <row r="524" spans="2:23">
      <c r="B524" s="709"/>
      <c r="F524" s="710"/>
      <c r="G524" s="827" t="s">
        <v>3941</v>
      </c>
      <c r="H524" s="730" t="s">
        <v>3969</v>
      </c>
      <c r="I524" s="699"/>
      <c r="J524" s="805"/>
      <c r="K524" s="805"/>
      <c r="L524" s="805"/>
      <c r="M524" s="805"/>
      <c r="N524" s="805"/>
      <c r="O524" s="794"/>
      <c r="P524" s="794"/>
      <c r="Q524" s="794"/>
      <c r="R524" s="806"/>
      <c r="S524" s="793"/>
      <c r="T524" s="794"/>
      <c r="U524" s="807"/>
      <c r="V524" s="808">
        <f>+T525</f>
        <v>0.37800000000000006</v>
      </c>
      <c r="W524" s="809" t="s">
        <v>375</v>
      </c>
    </row>
    <row r="525" spans="2:23">
      <c r="B525" s="1768"/>
      <c r="C525" s="1769"/>
      <c r="D525" s="1769"/>
      <c r="E525" s="1769"/>
      <c r="F525" s="1770"/>
      <c r="G525" s="827"/>
      <c r="H525" s="699"/>
      <c r="I525" s="699"/>
      <c r="J525" s="791">
        <f>+J487</f>
        <v>12.600000000000001</v>
      </c>
      <c r="K525" s="791" t="s">
        <v>3922</v>
      </c>
      <c r="L525" s="791">
        <v>0.15</v>
      </c>
      <c r="M525" s="791" t="s">
        <v>3922</v>
      </c>
      <c r="N525" s="791">
        <v>0.2</v>
      </c>
      <c r="O525" s="791" t="s">
        <v>3922</v>
      </c>
      <c r="P525" s="791">
        <v>1</v>
      </c>
      <c r="Q525" s="791"/>
      <c r="R525" s="792"/>
      <c r="S525" s="793" t="s">
        <v>3923</v>
      </c>
      <c r="T525" s="794">
        <f>J525*L525*N525*P525</f>
        <v>0.37800000000000006</v>
      </c>
      <c r="U525" s="807"/>
      <c r="V525" s="810"/>
      <c r="W525" s="809"/>
    </row>
    <row r="526" spans="2:23">
      <c r="B526" s="709"/>
      <c r="F526" s="710"/>
      <c r="G526" s="827"/>
      <c r="H526" s="699"/>
      <c r="I526" s="699"/>
      <c r="J526" s="791"/>
      <c r="K526" s="791"/>
      <c r="L526" s="791"/>
      <c r="M526" s="791"/>
      <c r="N526" s="791"/>
      <c r="O526" s="791"/>
      <c r="P526" s="791"/>
      <c r="Q526" s="791"/>
      <c r="R526" s="792"/>
      <c r="S526" s="793"/>
      <c r="T526" s="794"/>
      <c r="U526" s="824"/>
      <c r="V526" s="834"/>
      <c r="W526" s="809"/>
    </row>
    <row r="527" spans="2:23">
      <c r="B527" s="709"/>
      <c r="F527" s="710"/>
      <c r="G527" s="775" t="s">
        <v>3935</v>
      </c>
      <c r="H527" s="776" t="s">
        <v>3943</v>
      </c>
      <c r="I527" s="776"/>
      <c r="J527" s="777"/>
      <c r="K527" s="777"/>
      <c r="L527" s="777"/>
      <c r="M527" s="777"/>
      <c r="N527" s="777"/>
      <c r="O527" s="825"/>
      <c r="P527" s="825"/>
      <c r="Q527" s="825"/>
      <c r="R527" s="778"/>
      <c r="S527" s="825"/>
      <c r="T527" s="826"/>
      <c r="U527" s="807"/>
      <c r="V527" s="808">
        <f>+SUM(T529:T534)</f>
        <v>102.17088000000003</v>
      </c>
      <c r="W527" s="823" t="s">
        <v>93</v>
      </c>
    </row>
    <row r="528" spans="2:23">
      <c r="B528" s="737"/>
      <c r="C528" s="738"/>
      <c r="D528" s="738"/>
      <c r="E528" s="738"/>
      <c r="F528" s="739"/>
      <c r="G528" s="729"/>
      <c r="H528" s="730"/>
      <c r="I528" s="730"/>
      <c r="J528" s="817" t="s">
        <v>3889</v>
      </c>
      <c r="K528" s="817"/>
      <c r="L528" s="817" t="s">
        <v>3892</v>
      </c>
      <c r="M528" s="791"/>
      <c r="N528" s="791"/>
      <c r="O528" s="824"/>
      <c r="P528" s="824"/>
      <c r="Q528" s="824"/>
      <c r="R528" s="792"/>
      <c r="S528" s="824"/>
      <c r="T528" s="794"/>
      <c r="U528" s="807"/>
      <c r="V528" s="810"/>
      <c r="W528" s="823"/>
    </row>
    <row r="529" spans="2:23">
      <c r="B529" s="760"/>
      <c r="C529" s="720"/>
      <c r="D529" s="720"/>
      <c r="E529" s="720"/>
      <c r="F529" s="721"/>
      <c r="G529" s="729"/>
      <c r="H529" s="730" t="s">
        <v>4005</v>
      </c>
      <c r="I529" s="730" t="s">
        <v>3944</v>
      </c>
      <c r="J529" s="791">
        <f>J525</f>
        <v>12.600000000000001</v>
      </c>
      <c r="K529" s="791" t="s">
        <v>3922</v>
      </c>
      <c r="L529" s="791">
        <v>2</v>
      </c>
      <c r="M529" s="791"/>
      <c r="N529" s="791"/>
      <c r="O529" s="824"/>
      <c r="P529" s="824"/>
      <c r="Q529" s="824" t="s">
        <v>3922</v>
      </c>
      <c r="R529" s="792">
        <v>1.04</v>
      </c>
      <c r="S529" s="824" t="s">
        <v>3923</v>
      </c>
      <c r="T529" s="794">
        <f>J529*L529*R529</f>
        <v>26.208000000000006</v>
      </c>
      <c r="U529" s="807"/>
      <c r="V529" s="810"/>
      <c r="W529" s="823"/>
    </row>
    <row r="530" spans="2:23">
      <c r="B530" s="760"/>
      <c r="C530" s="720"/>
      <c r="D530" s="720"/>
      <c r="E530" s="720"/>
      <c r="F530" s="721"/>
      <c r="G530" s="729"/>
      <c r="H530" s="730" t="s">
        <v>4005</v>
      </c>
      <c r="I530" s="730" t="s">
        <v>3945</v>
      </c>
      <c r="J530" s="791">
        <f>+J529</f>
        <v>12.600000000000001</v>
      </c>
      <c r="K530" s="791" t="s">
        <v>3922</v>
      </c>
      <c r="L530" s="791">
        <v>2</v>
      </c>
      <c r="M530" s="791"/>
      <c r="N530" s="791"/>
      <c r="O530" s="824"/>
      <c r="P530" s="824"/>
      <c r="Q530" s="824" t="s">
        <v>3922</v>
      </c>
      <c r="R530" s="792">
        <f>+R529</f>
        <v>1.04</v>
      </c>
      <c r="S530" s="824" t="s">
        <v>3923</v>
      </c>
      <c r="T530" s="794">
        <f>J530*L530*R530</f>
        <v>26.208000000000006</v>
      </c>
      <c r="U530" s="807"/>
      <c r="V530" s="810"/>
      <c r="W530" s="823"/>
    </row>
    <row r="531" spans="2:23">
      <c r="B531" s="760"/>
      <c r="C531" s="720"/>
      <c r="D531" s="720"/>
      <c r="E531" s="720"/>
      <c r="F531" s="721"/>
      <c r="G531" s="729"/>
      <c r="H531" s="730"/>
      <c r="I531" s="730"/>
      <c r="J531" s="791"/>
      <c r="K531" s="791"/>
      <c r="L531" s="791"/>
      <c r="M531" s="791"/>
      <c r="N531" s="791"/>
      <c r="O531" s="824"/>
      <c r="P531" s="824"/>
      <c r="Q531" s="824"/>
      <c r="R531" s="792"/>
      <c r="S531" s="824"/>
      <c r="T531" s="794"/>
      <c r="U531" s="807"/>
      <c r="V531" s="810"/>
      <c r="W531" s="823"/>
    </row>
    <row r="532" spans="2:23">
      <c r="B532" s="760"/>
      <c r="C532" s="720"/>
      <c r="D532" s="720"/>
      <c r="E532" s="720"/>
      <c r="F532" s="721"/>
      <c r="G532" s="729" t="s">
        <v>3937</v>
      </c>
      <c r="H532" s="776" t="s">
        <v>3946</v>
      </c>
      <c r="I532" s="730"/>
      <c r="J532" s="791"/>
      <c r="K532" s="791"/>
      <c r="L532" s="791"/>
      <c r="M532" s="791"/>
      <c r="N532" s="791"/>
      <c r="O532" s="824"/>
      <c r="P532" s="824"/>
      <c r="Q532" s="824"/>
      <c r="R532" s="792"/>
      <c r="S532" s="824"/>
      <c r="T532" s="794"/>
      <c r="U532" s="807"/>
      <c r="V532" s="810"/>
      <c r="W532" s="823"/>
    </row>
    <row r="533" spans="2:23">
      <c r="B533" s="723"/>
      <c r="F533" s="710"/>
      <c r="G533" s="835"/>
      <c r="H533" s="730"/>
      <c r="I533" s="741"/>
      <c r="J533" s="817" t="s">
        <v>3951</v>
      </c>
      <c r="K533" s="817"/>
      <c r="L533" s="817" t="s">
        <v>3952</v>
      </c>
      <c r="M533" s="791"/>
      <c r="N533" s="791"/>
      <c r="O533" s="824"/>
      <c r="P533" s="824"/>
      <c r="Q533" s="824"/>
      <c r="R533" s="792"/>
      <c r="S533" s="824"/>
      <c r="T533" s="794"/>
      <c r="U533" s="807"/>
      <c r="V533" s="808"/>
      <c r="W533" s="809"/>
    </row>
    <row r="534" spans="2:23">
      <c r="B534" s="723"/>
      <c r="F534" s="710"/>
      <c r="G534" s="729"/>
      <c r="H534" s="730" t="s">
        <v>3947</v>
      </c>
      <c r="I534" s="730"/>
      <c r="J534" s="791">
        <f>0.11+0.11+0.16+0.16+0.05+0.05</f>
        <v>0.64000000000000012</v>
      </c>
      <c r="K534" s="791" t="s">
        <v>3922</v>
      </c>
      <c r="L534" s="791">
        <f>+J525/0.1</f>
        <v>126.00000000000001</v>
      </c>
      <c r="M534" s="791"/>
      <c r="N534" s="791"/>
      <c r="O534" s="824"/>
      <c r="P534" s="824"/>
      <c r="Q534" s="824" t="s">
        <v>3922</v>
      </c>
      <c r="R534" s="792">
        <v>0.61699999999999999</v>
      </c>
      <c r="S534" s="824" t="s">
        <v>3923</v>
      </c>
      <c r="T534" s="794">
        <f>J534*L534*R534</f>
        <v>49.754880000000014</v>
      </c>
      <c r="U534" s="807"/>
      <c r="V534" s="810"/>
      <c r="W534" s="823"/>
    </row>
    <row r="535" spans="2:23">
      <c r="B535" s="709"/>
      <c r="F535" s="710"/>
      <c r="G535" s="827"/>
      <c r="H535" s="699"/>
      <c r="I535" s="699"/>
      <c r="J535" s="805"/>
      <c r="K535" s="805"/>
      <c r="L535" s="805"/>
      <c r="M535" s="805"/>
      <c r="N535" s="805"/>
      <c r="O535" s="807"/>
      <c r="P535" s="807"/>
      <c r="Q535" s="807"/>
      <c r="R535" s="806"/>
      <c r="S535" s="807"/>
      <c r="T535" s="794"/>
      <c r="U535" s="807"/>
      <c r="V535" s="808"/>
      <c r="W535" s="809"/>
    </row>
    <row r="536" spans="2:23">
      <c r="B536" s="709"/>
      <c r="F536" s="710"/>
      <c r="G536" s="827" t="s">
        <v>3940</v>
      </c>
      <c r="H536" s="699" t="s">
        <v>4006</v>
      </c>
      <c r="I536" s="699"/>
      <c r="J536" s="805"/>
      <c r="K536" s="805"/>
      <c r="L536" s="805"/>
      <c r="M536" s="805"/>
      <c r="N536" s="805"/>
      <c r="O536" s="807"/>
      <c r="P536" s="807"/>
      <c r="Q536" s="807"/>
      <c r="R536" s="806"/>
      <c r="S536" s="807"/>
      <c r="T536" s="794"/>
      <c r="U536" s="807"/>
      <c r="V536" s="808">
        <f>T537</f>
        <v>5.0400000000000009</v>
      </c>
      <c r="W536" s="809" t="s">
        <v>376</v>
      </c>
    </row>
    <row r="537" spans="2:23">
      <c r="B537" s="709"/>
      <c r="F537" s="710"/>
      <c r="G537" s="827"/>
      <c r="H537" s="699"/>
      <c r="I537" s="699"/>
      <c r="J537" s="805">
        <f>+J525</f>
        <v>12.600000000000001</v>
      </c>
      <c r="K537" s="805"/>
      <c r="L537" s="805"/>
      <c r="M537" s="805" t="s">
        <v>3922</v>
      </c>
      <c r="N537" s="805">
        <f>+N525</f>
        <v>0.2</v>
      </c>
      <c r="O537" s="807" t="s">
        <v>3922</v>
      </c>
      <c r="P537" s="807">
        <v>2</v>
      </c>
      <c r="Q537" s="807"/>
      <c r="R537" s="806"/>
      <c r="S537" s="807" t="s">
        <v>3923</v>
      </c>
      <c r="T537" s="794">
        <f>J537*N537*P537</f>
        <v>5.0400000000000009</v>
      </c>
      <c r="U537" s="807"/>
      <c r="V537" s="808"/>
      <c r="W537" s="809"/>
    </row>
    <row r="538" spans="2:23">
      <c r="B538" s="709"/>
      <c r="F538" s="710"/>
      <c r="G538" s="827"/>
      <c r="H538" s="699"/>
      <c r="I538" s="699"/>
      <c r="J538" s="805"/>
      <c r="K538" s="805"/>
      <c r="L538" s="805"/>
      <c r="M538" s="805"/>
      <c r="N538" s="805"/>
      <c r="O538" s="807"/>
      <c r="P538" s="807"/>
      <c r="Q538" s="807"/>
      <c r="R538" s="806"/>
      <c r="S538" s="807"/>
      <c r="T538" s="794"/>
      <c r="U538" s="807"/>
      <c r="V538" s="808"/>
      <c r="W538" s="809"/>
    </row>
    <row r="539" spans="2:23" ht="16" thickBot="1">
      <c r="B539" s="926"/>
      <c r="C539" s="927"/>
      <c r="D539" s="927"/>
      <c r="E539" s="927"/>
      <c r="F539" s="928"/>
      <c r="G539" s="764"/>
      <c r="H539" s="747"/>
      <c r="I539" s="747"/>
      <c r="J539" s="929"/>
      <c r="K539" s="929"/>
      <c r="L539" s="929"/>
      <c r="M539" s="929"/>
      <c r="N539" s="929"/>
      <c r="O539" s="930"/>
      <c r="P539" s="930"/>
      <c r="Q539" s="930"/>
      <c r="R539" s="931"/>
      <c r="S539" s="930"/>
      <c r="T539" s="932"/>
      <c r="U539" s="930"/>
      <c r="V539" s="933"/>
      <c r="W539" s="934"/>
    </row>
    <row r="540" spans="2:23" ht="16" thickTop="1">
      <c r="B540" s="798">
        <v>4</v>
      </c>
      <c r="C540" s="1771" t="s">
        <v>4007</v>
      </c>
      <c r="D540" s="1771"/>
      <c r="E540" s="1771"/>
      <c r="F540" s="1772"/>
      <c r="G540" s="1765" t="s">
        <v>3950</v>
      </c>
      <c r="H540" s="1766"/>
      <c r="I540" s="1766"/>
      <c r="J540" s="1766"/>
      <c r="K540" s="1766"/>
      <c r="L540" s="1766"/>
      <c r="M540" s="1766"/>
      <c r="N540" s="1766"/>
      <c r="O540" s="1766"/>
      <c r="P540" s="1766"/>
      <c r="Q540" s="1766"/>
      <c r="R540" s="1766"/>
      <c r="S540" s="1766"/>
      <c r="T540" s="1766"/>
      <c r="U540" s="1766"/>
      <c r="V540" s="1766"/>
      <c r="W540" s="1767"/>
    </row>
    <row r="541" spans="2:23" ht="16" thickBot="1">
      <c r="B541" s="709"/>
      <c r="F541" s="710"/>
      <c r="G541" s="722"/>
      <c r="H541" s="683"/>
      <c r="I541" s="683"/>
      <c r="J541" s="684" t="s">
        <v>3889</v>
      </c>
      <c r="K541" s="684"/>
      <c r="L541" s="684" t="s">
        <v>3890</v>
      </c>
      <c r="M541" s="684"/>
      <c r="N541" s="684" t="s">
        <v>3891</v>
      </c>
      <c r="O541" s="684"/>
      <c r="P541" s="684" t="s">
        <v>3892</v>
      </c>
      <c r="Q541" s="684"/>
      <c r="R541" s="685" t="s">
        <v>3893</v>
      </c>
      <c r="S541" s="686"/>
      <c r="T541" s="687" t="s">
        <v>3894</v>
      </c>
      <c r="U541" s="686"/>
      <c r="V541" s="688" t="s">
        <v>3895</v>
      </c>
      <c r="W541" s="689" t="s">
        <v>3896</v>
      </c>
    </row>
    <row r="542" spans="2:23">
      <c r="B542" s="709"/>
      <c r="F542" s="710"/>
      <c r="G542" s="821"/>
      <c r="H542" s="692"/>
      <c r="I542" s="692"/>
      <c r="J542" s="828"/>
      <c r="K542" s="828"/>
      <c r="L542" s="828"/>
      <c r="M542" s="828"/>
      <c r="N542" s="828"/>
      <c r="O542" s="829"/>
      <c r="P542" s="829"/>
      <c r="Q542" s="829"/>
      <c r="R542" s="830"/>
      <c r="S542" s="829"/>
      <c r="T542" s="831"/>
      <c r="U542" s="832"/>
      <c r="V542" s="833"/>
      <c r="W542" s="822"/>
    </row>
    <row r="543" spans="2:23">
      <c r="B543" s="709"/>
      <c r="F543" s="710"/>
      <c r="G543" s="827" t="s">
        <v>3941</v>
      </c>
      <c r="H543" s="730" t="s">
        <v>3969</v>
      </c>
      <c r="I543" s="699"/>
      <c r="J543" s="805"/>
      <c r="K543" s="805"/>
      <c r="L543" s="805"/>
      <c r="M543" s="805"/>
      <c r="N543" s="805"/>
      <c r="O543" s="794"/>
      <c r="P543" s="794"/>
      <c r="Q543" s="794"/>
      <c r="R543" s="806"/>
      <c r="S543" s="793"/>
      <c r="T543" s="794"/>
      <c r="U543" s="807"/>
      <c r="V543" s="808">
        <f>+T544+T545</f>
        <v>0.81599999999999995</v>
      </c>
      <c r="W543" s="809" t="s">
        <v>375</v>
      </c>
    </row>
    <row r="544" spans="2:23">
      <c r="B544" s="1768"/>
      <c r="C544" s="1769"/>
      <c r="D544" s="1769"/>
      <c r="E544" s="1769"/>
      <c r="F544" s="1770"/>
      <c r="G544" s="827"/>
      <c r="H544" s="699"/>
      <c r="I544" s="699"/>
      <c r="J544" s="791">
        <v>4</v>
      </c>
      <c r="K544" s="791" t="s">
        <v>3922</v>
      </c>
      <c r="L544" s="791">
        <f>0.85+0.85</f>
        <v>1.7</v>
      </c>
      <c r="M544" s="791" t="s">
        <v>3922</v>
      </c>
      <c r="N544" s="791">
        <v>0.12</v>
      </c>
      <c r="O544" s="791" t="s">
        <v>3922</v>
      </c>
      <c r="P544" s="791">
        <v>1</v>
      </c>
      <c r="Q544" s="791"/>
      <c r="R544" s="792"/>
      <c r="S544" s="793" t="s">
        <v>3923</v>
      </c>
      <c r="T544" s="794">
        <f>+J544*L544*N544*P544</f>
        <v>0.81599999999999995</v>
      </c>
      <c r="U544" s="807"/>
      <c r="V544" s="810"/>
      <c r="W544" s="809"/>
    </row>
    <row r="545" spans="2:23">
      <c r="B545" s="770"/>
      <c r="C545" s="771"/>
      <c r="D545" s="771"/>
      <c r="E545" s="771"/>
      <c r="F545" s="772"/>
      <c r="G545" s="827"/>
      <c r="H545" s="699"/>
      <c r="I545" s="699"/>
      <c r="J545" s="791"/>
      <c r="K545" s="791"/>
      <c r="L545" s="791"/>
      <c r="M545" s="791"/>
      <c r="N545" s="791"/>
      <c r="O545" s="791"/>
      <c r="P545" s="791"/>
      <c r="Q545" s="791"/>
      <c r="R545" s="792"/>
      <c r="S545" s="793"/>
      <c r="T545" s="794"/>
      <c r="U545" s="807"/>
      <c r="V545" s="810"/>
      <c r="W545" s="809"/>
    </row>
    <row r="546" spans="2:23">
      <c r="B546" s="770"/>
      <c r="C546" s="771"/>
      <c r="D546" s="771"/>
      <c r="E546" s="771"/>
      <c r="F546" s="772"/>
      <c r="G546" s="827"/>
      <c r="H546" s="699"/>
      <c r="I546" s="699"/>
      <c r="J546" s="791"/>
      <c r="K546" s="791"/>
      <c r="L546" s="791"/>
      <c r="M546" s="791"/>
      <c r="N546" s="791"/>
      <c r="O546" s="791"/>
      <c r="P546" s="791"/>
      <c r="Q546" s="791"/>
      <c r="R546" s="792"/>
      <c r="S546" s="793"/>
      <c r="T546" s="794"/>
      <c r="U546" s="807"/>
      <c r="V546" s="810"/>
      <c r="W546" s="809"/>
    </row>
    <row r="547" spans="2:23">
      <c r="B547" s="709"/>
      <c r="F547" s="710"/>
      <c r="G547" s="827" t="s">
        <v>3937</v>
      </c>
      <c r="H547" s="776" t="s">
        <v>3960</v>
      </c>
      <c r="I547" s="699"/>
      <c r="J547" s="791" t="s">
        <v>3889</v>
      </c>
      <c r="K547" s="791"/>
      <c r="L547" s="791" t="s">
        <v>3890</v>
      </c>
      <c r="M547" s="791"/>
      <c r="N547" s="791" t="s">
        <v>3891</v>
      </c>
      <c r="O547" s="791"/>
      <c r="P547" s="791" t="s">
        <v>3892</v>
      </c>
      <c r="Q547" s="791"/>
      <c r="R547" s="792" t="s">
        <v>3442</v>
      </c>
      <c r="S547" s="791"/>
      <c r="T547" s="791"/>
      <c r="U547" s="824"/>
      <c r="V547" s="840">
        <f>+SUM(T549:T550)</f>
        <v>111.88266666666667</v>
      </c>
      <c r="W547" s="809" t="s">
        <v>93</v>
      </c>
    </row>
    <row r="548" spans="2:23">
      <c r="B548" s="709"/>
      <c r="F548" s="710"/>
      <c r="G548" s="827"/>
      <c r="H548" s="776">
        <v>1</v>
      </c>
      <c r="I548" s="776"/>
      <c r="J548" s="791">
        <f>+J544</f>
        <v>4</v>
      </c>
      <c r="K548" s="791"/>
      <c r="L548" s="791">
        <f>+L544</f>
        <v>1.7</v>
      </c>
      <c r="M548" s="791"/>
      <c r="N548" s="791"/>
      <c r="O548" s="791"/>
      <c r="P548" s="791"/>
      <c r="Q548" s="791"/>
      <c r="R548" s="792"/>
      <c r="S548" s="791"/>
      <c r="T548" s="791"/>
      <c r="U548" s="824"/>
      <c r="V548" s="840"/>
      <c r="W548" s="809"/>
    </row>
    <row r="549" spans="2:23">
      <c r="B549" s="709"/>
      <c r="F549" s="710"/>
      <c r="G549" s="827"/>
      <c r="H549" s="776"/>
      <c r="I549" s="776" t="s">
        <v>3961</v>
      </c>
      <c r="J549" s="791">
        <f>+J548/0.15</f>
        <v>26.666666666666668</v>
      </c>
      <c r="K549" s="791"/>
      <c r="L549" s="791">
        <f>+L548/0.15</f>
        <v>11.333333333333334</v>
      </c>
      <c r="M549" s="791"/>
      <c r="N549" s="791"/>
      <c r="O549" s="791"/>
      <c r="P549" s="791"/>
      <c r="Q549" s="791"/>
      <c r="R549" s="792">
        <v>0.61699999999999999</v>
      </c>
      <c r="S549" s="793" t="s">
        <v>3923</v>
      </c>
      <c r="T549" s="791">
        <f>+((J549*L548*2)+(J548*L549*2))*R549</f>
        <v>111.88266666666667</v>
      </c>
      <c r="U549" s="824"/>
      <c r="V549" s="840"/>
      <c r="W549" s="809"/>
    </row>
    <row r="550" spans="2:23">
      <c r="B550" s="709"/>
      <c r="F550" s="710"/>
      <c r="G550" s="827"/>
      <c r="H550" s="776"/>
      <c r="I550" s="776"/>
      <c r="J550" s="791"/>
      <c r="K550" s="791"/>
      <c r="L550" s="791"/>
      <c r="M550" s="791"/>
      <c r="N550" s="791"/>
      <c r="O550" s="791"/>
      <c r="P550" s="791"/>
      <c r="Q550" s="791"/>
      <c r="R550" s="792"/>
      <c r="S550" s="793"/>
      <c r="T550" s="791"/>
      <c r="U550" s="824"/>
      <c r="V550" s="840"/>
      <c r="W550" s="809"/>
    </row>
    <row r="551" spans="2:23">
      <c r="B551" s="709"/>
      <c r="F551" s="710"/>
      <c r="G551" s="827"/>
      <c r="H551" s="730"/>
      <c r="I551" s="699"/>
      <c r="J551" s="805"/>
      <c r="K551" s="805"/>
      <c r="L551" s="805"/>
      <c r="M551" s="805"/>
      <c r="N551" s="842"/>
      <c r="O551" s="794"/>
      <c r="P551" s="794"/>
      <c r="Q551" s="794"/>
      <c r="R551" s="806"/>
      <c r="S551" s="793"/>
      <c r="T551" s="794"/>
      <c r="U551" s="824"/>
      <c r="V551" s="856"/>
      <c r="W551" s="809"/>
    </row>
    <row r="552" spans="2:23">
      <c r="B552" s="759"/>
      <c r="F552" s="710"/>
      <c r="G552" s="827" t="s">
        <v>3940</v>
      </c>
      <c r="H552" s="699" t="s">
        <v>3984</v>
      </c>
      <c r="I552" s="699"/>
      <c r="J552" s="791"/>
      <c r="K552" s="791"/>
      <c r="L552" s="791"/>
      <c r="M552" s="805"/>
      <c r="N552" s="838"/>
      <c r="O552" s="791"/>
      <c r="P552" s="791"/>
      <c r="Q552" s="791"/>
      <c r="R552" s="792"/>
      <c r="S552" s="793"/>
      <c r="T552" s="794"/>
      <c r="U552" s="845"/>
      <c r="V552" s="808">
        <f>SUM(T553:T553)</f>
        <v>6.8</v>
      </c>
      <c r="W552" s="809" t="s">
        <v>376</v>
      </c>
    </row>
    <row r="553" spans="2:23">
      <c r="B553" s="709"/>
      <c r="F553" s="710"/>
      <c r="G553" s="827"/>
      <c r="H553" s="699"/>
      <c r="I553" s="699"/>
      <c r="J553" s="791">
        <f>+J548</f>
        <v>4</v>
      </c>
      <c r="K553" s="791" t="s">
        <v>3922</v>
      </c>
      <c r="L553" s="791">
        <f>+L548</f>
        <v>1.7</v>
      </c>
      <c r="M553" s="791"/>
      <c r="N553" s="791"/>
      <c r="O553" s="791" t="s">
        <v>3922</v>
      </c>
      <c r="P553" s="791">
        <v>1</v>
      </c>
      <c r="Q553" s="791"/>
      <c r="R553" s="792"/>
      <c r="S553" s="793" t="s">
        <v>3923</v>
      </c>
      <c r="T553" s="794">
        <f>J553*L553*P553</f>
        <v>6.8</v>
      </c>
      <c r="U553" s="844"/>
      <c r="V553" s="857"/>
      <c r="W553" s="809"/>
    </row>
    <row r="554" spans="2:23" ht="16" thickBot="1">
      <c r="B554" s="763"/>
      <c r="C554" s="744"/>
      <c r="D554" s="744"/>
      <c r="E554" s="744"/>
      <c r="F554" s="745"/>
      <c r="G554" s="818"/>
      <c r="H554" s="819"/>
      <c r="I554" s="819"/>
      <c r="J554" s="819"/>
      <c r="K554" s="819"/>
      <c r="L554" s="819"/>
      <c r="M554" s="750"/>
      <c r="N554" s="858"/>
      <c r="O554" s="858"/>
      <c r="P554" s="858"/>
      <c r="Q554" s="858"/>
      <c r="R554" s="859"/>
      <c r="S554" s="858"/>
      <c r="T554" s="858"/>
      <c r="U554" s="858"/>
      <c r="V554" s="860"/>
      <c r="W554" s="861"/>
    </row>
    <row r="555" spans="2:23" ht="16" thickTop="1">
      <c r="B555" s="798">
        <v>5</v>
      </c>
      <c r="C555" s="1771" t="s">
        <v>4008</v>
      </c>
      <c r="D555" s="1771"/>
      <c r="E555" s="1771"/>
      <c r="F555" s="1772"/>
      <c r="G555" s="1765" t="s">
        <v>3950</v>
      </c>
      <c r="H555" s="1766"/>
      <c r="I555" s="1766"/>
      <c r="J555" s="1766"/>
      <c r="K555" s="1766"/>
      <c r="L555" s="1766"/>
      <c r="M555" s="1766"/>
      <c r="N555" s="1766"/>
      <c r="O555" s="1766"/>
      <c r="P555" s="1766"/>
      <c r="Q555" s="1766"/>
      <c r="R555" s="1766"/>
      <c r="S555" s="1766"/>
      <c r="T555" s="1766"/>
      <c r="U555" s="1766"/>
      <c r="V555" s="1766"/>
      <c r="W555" s="1767"/>
    </row>
    <row r="556" spans="2:23" ht="16" thickBot="1">
      <c r="B556" s="770"/>
      <c r="C556" s="771"/>
      <c r="D556" s="771"/>
      <c r="E556" s="771"/>
      <c r="F556" s="772"/>
      <c r="G556" s="827"/>
      <c r="H556" s="699"/>
      <c r="I556" s="699"/>
      <c r="J556" s="791" t="s">
        <v>3889</v>
      </c>
      <c r="K556" s="791"/>
      <c r="L556" s="791" t="s">
        <v>3890</v>
      </c>
      <c r="M556" s="791"/>
      <c r="N556" s="791" t="s">
        <v>3891</v>
      </c>
      <c r="O556" s="791"/>
      <c r="P556" s="791" t="s">
        <v>3892</v>
      </c>
      <c r="Q556" s="791"/>
      <c r="R556" s="792" t="s">
        <v>3893</v>
      </c>
      <c r="S556" s="793"/>
      <c r="T556" s="794" t="s">
        <v>3894</v>
      </c>
      <c r="U556" s="807"/>
      <c r="V556" s="810" t="s">
        <v>3895</v>
      </c>
      <c r="W556" s="809" t="s">
        <v>3896</v>
      </c>
    </row>
    <row r="557" spans="2:23">
      <c r="B557" s="709"/>
      <c r="F557" s="710"/>
      <c r="G557" s="821"/>
      <c r="H557" s="692"/>
      <c r="I557" s="692"/>
      <c r="J557" s="828"/>
      <c r="K557" s="828"/>
      <c r="L557" s="828"/>
      <c r="M557" s="828"/>
      <c r="N557" s="828"/>
      <c r="O557" s="829"/>
      <c r="P557" s="829"/>
      <c r="Q557" s="829"/>
      <c r="R557" s="830"/>
      <c r="S557" s="829"/>
      <c r="T557" s="831"/>
      <c r="U557" s="832"/>
      <c r="V557" s="833"/>
      <c r="W557" s="822"/>
    </row>
    <row r="558" spans="2:23">
      <c r="B558" s="709"/>
      <c r="F558" s="710"/>
      <c r="G558" s="935">
        <v>1</v>
      </c>
      <c r="H558" s="936" t="s">
        <v>4009</v>
      </c>
      <c r="I558" s="936"/>
      <c r="J558" s="805">
        <f>4+4+2+2</f>
        <v>12</v>
      </c>
      <c r="K558" s="805" t="s">
        <v>3922</v>
      </c>
      <c r="L558" s="805"/>
      <c r="M558" s="805" t="s">
        <v>3922</v>
      </c>
      <c r="N558" s="805">
        <v>1.5</v>
      </c>
      <c r="O558" s="794"/>
      <c r="P558" s="794"/>
      <c r="Q558" s="794"/>
      <c r="R558" s="806"/>
      <c r="S558" s="793" t="s">
        <v>3923</v>
      </c>
      <c r="T558" s="794">
        <f>+J558*N558</f>
        <v>18</v>
      </c>
      <c r="U558" s="807"/>
      <c r="V558" s="808">
        <f>+T558</f>
        <v>18</v>
      </c>
      <c r="W558" s="809" t="s">
        <v>376</v>
      </c>
    </row>
    <row r="559" spans="2:23">
      <c r="B559" s="1768"/>
      <c r="C559" s="1769"/>
      <c r="D559" s="1769"/>
      <c r="E559" s="1769"/>
      <c r="F559" s="1770"/>
      <c r="G559" s="827">
        <f>+G558+1</f>
        <v>2</v>
      </c>
      <c r="H559" s="699" t="s">
        <v>4010</v>
      </c>
      <c r="I559" s="699"/>
      <c r="J559" s="791"/>
      <c r="K559" s="791"/>
      <c r="L559" s="791"/>
      <c r="M559" s="791"/>
      <c r="N559" s="791"/>
      <c r="O559" s="791"/>
      <c r="P559" s="791">
        <v>2</v>
      </c>
      <c r="Q559" s="791"/>
      <c r="R559" s="792"/>
      <c r="S559" s="793" t="s">
        <v>3923</v>
      </c>
      <c r="T559" s="794">
        <f>+V558*P559</f>
        <v>36</v>
      </c>
      <c r="U559" s="807"/>
      <c r="V559" s="843">
        <f>+T559</f>
        <v>36</v>
      </c>
      <c r="W559" s="809" t="s">
        <v>376</v>
      </c>
    </row>
    <row r="560" spans="2:23">
      <c r="B560" s="770"/>
      <c r="C560" s="771"/>
      <c r="D560" s="771"/>
      <c r="E560" s="771"/>
      <c r="F560" s="772"/>
      <c r="G560" s="827">
        <f t="shared" ref="G560:G563" si="3">+G559+1</f>
        <v>3</v>
      </c>
      <c r="H560" s="699" t="s">
        <v>4011</v>
      </c>
      <c r="I560" s="699"/>
      <c r="J560" s="791">
        <v>4</v>
      </c>
      <c r="K560" s="791" t="s">
        <v>3922</v>
      </c>
      <c r="L560" s="791">
        <v>2</v>
      </c>
      <c r="M560" s="791" t="s">
        <v>3922</v>
      </c>
      <c r="N560" s="791">
        <v>0.1</v>
      </c>
      <c r="O560" s="791" t="s">
        <v>3922</v>
      </c>
      <c r="P560" s="791">
        <v>1</v>
      </c>
      <c r="Q560" s="791"/>
      <c r="R560" s="792"/>
      <c r="S560" s="793" t="s">
        <v>3923</v>
      </c>
      <c r="T560" s="794">
        <f>+J560*L560*N560*P560</f>
        <v>0.8</v>
      </c>
      <c r="U560" s="807"/>
      <c r="V560" s="843">
        <f>+T560</f>
        <v>0.8</v>
      </c>
      <c r="W560" s="809" t="s">
        <v>375</v>
      </c>
    </row>
    <row r="561" spans="2:23">
      <c r="B561" s="709"/>
      <c r="F561" s="710"/>
      <c r="G561" s="827">
        <f t="shared" si="3"/>
        <v>4</v>
      </c>
      <c r="H561" s="776" t="s">
        <v>4012</v>
      </c>
      <c r="I561" s="699"/>
      <c r="J561" s="791">
        <v>4</v>
      </c>
      <c r="K561" s="791" t="s">
        <v>3922</v>
      </c>
      <c r="L561" s="791">
        <v>2</v>
      </c>
      <c r="M561" s="791" t="s">
        <v>3922</v>
      </c>
      <c r="N561" s="791">
        <v>0.1</v>
      </c>
      <c r="O561" s="791" t="s">
        <v>3922</v>
      </c>
      <c r="P561" s="791">
        <v>1</v>
      </c>
      <c r="Q561" s="791"/>
      <c r="R561" s="792"/>
      <c r="S561" s="793" t="s">
        <v>3923</v>
      </c>
      <c r="T561" s="794">
        <f>+J561*L561*N561*P561</f>
        <v>0.8</v>
      </c>
      <c r="U561" s="807"/>
      <c r="V561" s="843">
        <f>+T561</f>
        <v>0.8</v>
      </c>
      <c r="W561" s="809" t="s">
        <v>375</v>
      </c>
    </row>
    <row r="562" spans="2:23">
      <c r="B562" s="709"/>
      <c r="F562" s="710"/>
      <c r="G562" s="827">
        <f t="shared" si="3"/>
        <v>5</v>
      </c>
      <c r="H562" s="776" t="s">
        <v>4017</v>
      </c>
      <c r="I562" s="776"/>
      <c r="J562" s="791">
        <f>+J558</f>
        <v>12</v>
      </c>
      <c r="K562" s="791" t="s">
        <v>3922</v>
      </c>
      <c r="L562" s="791"/>
      <c r="M562" s="791" t="s">
        <v>3922</v>
      </c>
      <c r="N562" s="791">
        <f>+N558</f>
        <v>1.5</v>
      </c>
      <c r="O562" s="791" t="s">
        <v>3922</v>
      </c>
      <c r="P562" s="791"/>
      <c r="Q562" s="791"/>
      <c r="R562" s="792"/>
      <c r="S562" s="791" t="s">
        <v>3923</v>
      </c>
      <c r="T562" s="791">
        <f>+J562*N562</f>
        <v>18</v>
      </c>
      <c r="U562" s="824"/>
      <c r="V562" s="840">
        <f>+T562</f>
        <v>18</v>
      </c>
      <c r="W562" s="809" t="s">
        <v>376</v>
      </c>
    </row>
    <row r="563" spans="2:23">
      <c r="B563" s="709"/>
      <c r="F563" s="710"/>
      <c r="G563" s="827">
        <f t="shared" si="3"/>
        <v>6</v>
      </c>
      <c r="H563" s="776" t="s">
        <v>4017</v>
      </c>
      <c r="I563" s="776"/>
      <c r="J563" s="791">
        <v>4</v>
      </c>
      <c r="K563" s="791" t="s">
        <v>3922</v>
      </c>
      <c r="L563" s="791">
        <v>2</v>
      </c>
      <c r="M563" s="791"/>
      <c r="N563" s="791"/>
      <c r="O563" s="791"/>
      <c r="P563" s="791"/>
      <c r="Q563" s="791"/>
      <c r="R563" s="792"/>
      <c r="S563" s="793"/>
      <c r="T563" s="791"/>
      <c r="U563" s="824"/>
      <c r="V563" s="840">
        <f>+J563*L563</f>
        <v>8</v>
      </c>
      <c r="W563" s="809" t="s">
        <v>376</v>
      </c>
    </row>
    <row r="564" spans="2:23">
      <c r="B564" s="709"/>
      <c r="F564" s="710"/>
      <c r="G564" s="827"/>
      <c r="H564" s="776"/>
      <c r="I564" s="776"/>
      <c r="J564" s="791"/>
      <c r="K564" s="791"/>
      <c r="L564" s="791"/>
      <c r="M564" s="791"/>
      <c r="N564" s="791"/>
      <c r="O564" s="791"/>
      <c r="P564" s="791"/>
      <c r="Q564" s="791"/>
      <c r="R564" s="792"/>
      <c r="S564" s="793"/>
      <c r="T564" s="791"/>
      <c r="U564" s="824"/>
      <c r="V564" s="840"/>
      <c r="W564" s="809"/>
    </row>
    <row r="565" spans="2:23">
      <c r="B565" s="709"/>
      <c r="F565" s="710"/>
      <c r="G565" s="827"/>
      <c r="H565" s="730"/>
      <c r="I565" s="699"/>
      <c r="J565" s="805"/>
      <c r="K565" s="805"/>
      <c r="L565" s="805"/>
      <c r="M565" s="805"/>
      <c r="N565" s="842"/>
      <c r="O565" s="794"/>
      <c r="P565" s="794"/>
      <c r="Q565" s="794"/>
      <c r="R565" s="806"/>
      <c r="S565" s="793"/>
      <c r="T565" s="794"/>
      <c r="U565" s="824"/>
      <c r="V565" s="856"/>
      <c r="W565" s="809"/>
    </row>
    <row r="566" spans="2:23">
      <c r="B566" s="759"/>
      <c r="F566" s="710"/>
      <c r="G566" s="827"/>
      <c r="H566" s="699"/>
      <c r="I566" s="699"/>
      <c r="J566" s="791"/>
      <c r="K566" s="791"/>
      <c r="L566" s="791"/>
      <c r="M566" s="805"/>
      <c r="N566" s="838"/>
      <c r="O566" s="791"/>
      <c r="P566" s="791"/>
      <c r="Q566" s="791"/>
      <c r="R566" s="792"/>
      <c r="S566" s="793"/>
      <c r="T566" s="794"/>
      <c r="U566" s="845"/>
      <c r="V566" s="808"/>
      <c r="W566" s="809"/>
    </row>
    <row r="567" spans="2:23">
      <c r="B567" s="709"/>
      <c r="F567" s="710"/>
      <c r="G567" s="827"/>
      <c r="H567" s="699"/>
      <c r="I567" s="699"/>
      <c r="J567" s="791"/>
      <c r="K567" s="791"/>
      <c r="L567" s="791"/>
      <c r="M567" s="791"/>
      <c r="N567" s="791"/>
      <c r="O567" s="791"/>
      <c r="P567" s="791"/>
      <c r="Q567" s="791"/>
      <c r="R567" s="792"/>
      <c r="S567" s="793"/>
      <c r="T567" s="794"/>
      <c r="U567" s="844"/>
      <c r="V567" s="857"/>
      <c r="W567" s="809"/>
    </row>
    <row r="568" spans="2:23" ht="16" thickBot="1">
      <c r="B568" s="763"/>
      <c r="C568" s="744"/>
      <c r="D568" s="744"/>
      <c r="E568" s="744"/>
      <c r="F568" s="745"/>
      <c r="G568" s="818"/>
      <c r="H568" s="819"/>
      <c r="I568" s="819"/>
      <c r="J568" s="819"/>
      <c r="K568" s="819"/>
      <c r="L568" s="819"/>
      <c r="M568" s="750"/>
      <c r="N568" s="858"/>
      <c r="O568" s="858"/>
      <c r="P568" s="858"/>
      <c r="Q568" s="858"/>
      <c r="R568" s="859"/>
      <c r="S568" s="858"/>
      <c r="T568" s="858"/>
      <c r="U568" s="858"/>
      <c r="V568" s="860"/>
      <c r="W568" s="861"/>
    </row>
    <row r="569" spans="2:23" ht="16" thickTop="1">
      <c r="B569" s="798">
        <v>4</v>
      </c>
      <c r="C569" s="1771" t="s">
        <v>4035</v>
      </c>
      <c r="D569" s="1771"/>
      <c r="E569" s="1771"/>
      <c r="F569" s="1772"/>
      <c r="G569" s="1765" t="s">
        <v>3950</v>
      </c>
      <c r="H569" s="1766"/>
      <c r="I569" s="1766"/>
      <c r="J569" s="1766"/>
      <c r="K569" s="1766"/>
      <c r="L569" s="1766"/>
      <c r="M569" s="1766"/>
      <c r="N569" s="1766"/>
      <c r="O569" s="1766"/>
      <c r="P569" s="1766"/>
      <c r="Q569" s="1766"/>
      <c r="R569" s="1766"/>
      <c r="S569" s="1766"/>
      <c r="T569" s="1766"/>
      <c r="U569" s="1766"/>
      <c r="V569" s="1766"/>
      <c r="W569" s="1767"/>
    </row>
    <row r="570" spans="2:23" ht="16" thickBot="1">
      <c r="B570" s="709"/>
      <c r="F570" s="710"/>
      <c r="G570" s="722"/>
      <c r="H570" s="683"/>
      <c r="I570" s="683"/>
      <c r="J570" s="684" t="s">
        <v>3889</v>
      </c>
      <c r="K570" s="684"/>
      <c r="L570" s="684" t="s">
        <v>3890</v>
      </c>
      <c r="M570" s="684"/>
      <c r="N570" s="684" t="s">
        <v>3891</v>
      </c>
      <c r="O570" s="684"/>
      <c r="P570" s="684" t="s">
        <v>3892</v>
      </c>
      <c r="Q570" s="684"/>
      <c r="R570" s="685" t="s">
        <v>3893</v>
      </c>
      <c r="S570" s="686"/>
      <c r="T570" s="687" t="s">
        <v>3894</v>
      </c>
      <c r="U570" s="686"/>
      <c r="V570" s="688" t="s">
        <v>3895</v>
      </c>
      <c r="W570" s="689" t="s">
        <v>3896</v>
      </c>
    </row>
    <row r="571" spans="2:23">
      <c r="B571" s="709"/>
      <c r="F571" s="710"/>
      <c r="G571" s="821"/>
      <c r="H571" s="692"/>
      <c r="I571" s="692"/>
      <c r="J571" s="828"/>
      <c r="K571" s="828"/>
      <c r="L571" s="828"/>
      <c r="M571" s="828"/>
      <c r="N571" s="828"/>
      <c r="O571" s="829"/>
      <c r="P571" s="829"/>
      <c r="Q571" s="829"/>
      <c r="R571" s="830"/>
      <c r="S571" s="829"/>
      <c r="T571" s="831"/>
      <c r="U571" s="832"/>
      <c r="V571" s="833"/>
      <c r="W571" s="822"/>
    </row>
    <row r="572" spans="2:23">
      <c r="B572" s="709"/>
      <c r="F572" s="710"/>
      <c r="G572" s="827" t="s">
        <v>3941</v>
      </c>
      <c r="H572" s="730" t="s">
        <v>3969</v>
      </c>
      <c r="I572" s="699"/>
      <c r="J572" s="805"/>
      <c r="K572" s="805"/>
      <c r="L572" s="805"/>
      <c r="M572" s="805"/>
      <c r="N572" s="805"/>
      <c r="O572" s="794"/>
      <c r="P572" s="794"/>
      <c r="Q572" s="794"/>
      <c r="R572" s="806"/>
      <c r="S572" s="793"/>
      <c r="T572" s="794"/>
      <c r="U572" s="807"/>
      <c r="V572" s="808">
        <f>+T573+T574</f>
        <v>0.5</v>
      </c>
      <c r="W572" s="809" t="s">
        <v>375</v>
      </c>
    </row>
    <row r="573" spans="2:23">
      <c r="B573" s="1768"/>
      <c r="C573" s="1769"/>
      <c r="D573" s="1769"/>
      <c r="E573" s="1769"/>
      <c r="F573" s="1770"/>
      <c r="G573" s="827"/>
      <c r="H573" s="699"/>
      <c r="I573" s="699"/>
      <c r="J573" s="791">
        <v>2.5</v>
      </c>
      <c r="K573" s="791" t="s">
        <v>3922</v>
      </c>
      <c r="L573" s="791">
        <v>1</v>
      </c>
      <c r="M573" s="791" t="s">
        <v>3922</v>
      </c>
      <c r="N573" s="791">
        <v>0.2</v>
      </c>
      <c r="O573" s="791" t="s">
        <v>3922</v>
      </c>
      <c r="P573" s="791">
        <v>1</v>
      </c>
      <c r="Q573" s="791"/>
      <c r="R573" s="792"/>
      <c r="S573" s="793" t="s">
        <v>3923</v>
      </c>
      <c r="T573" s="794">
        <f>+J573*L573*N573*P573</f>
        <v>0.5</v>
      </c>
      <c r="U573" s="807"/>
      <c r="V573" s="810"/>
      <c r="W573" s="809"/>
    </row>
    <row r="574" spans="2:23">
      <c r="B574" s="770"/>
      <c r="C574" s="771"/>
      <c r="D574" s="771"/>
      <c r="E574" s="771"/>
      <c r="F574" s="772"/>
      <c r="G574" s="827"/>
      <c r="H574" s="699"/>
      <c r="I574" s="699"/>
      <c r="J574" s="791"/>
      <c r="K574" s="791"/>
      <c r="L574" s="791"/>
      <c r="M574" s="791"/>
      <c r="N574" s="791"/>
      <c r="O574" s="791"/>
      <c r="P574" s="791"/>
      <c r="Q574" s="791"/>
      <c r="R574" s="792"/>
      <c r="S574" s="793"/>
      <c r="T574" s="794"/>
      <c r="U574" s="807"/>
      <c r="V574" s="810"/>
      <c r="W574" s="809"/>
    </row>
    <row r="575" spans="2:23">
      <c r="B575" s="770"/>
      <c r="C575" s="771"/>
      <c r="D575" s="771"/>
      <c r="E575" s="771"/>
      <c r="F575" s="772"/>
      <c r="G575" s="827"/>
      <c r="H575" s="699"/>
      <c r="I575" s="699"/>
      <c r="J575" s="791"/>
      <c r="K575" s="791"/>
      <c r="L575" s="791"/>
      <c r="M575" s="791"/>
      <c r="N575" s="791"/>
      <c r="O575" s="791"/>
      <c r="P575" s="791"/>
      <c r="Q575" s="791"/>
      <c r="R575" s="792"/>
      <c r="S575" s="793"/>
      <c r="T575" s="794"/>
      <c r="U575" s="807"/>
      <c r="V575" s="810"/>
      <c r="W575" s="809"/>
    </row>
    <row r="576" spans="2:23">
      <c r="B576" s="709"/>
      <c r="F576" s="710"/>
      <c r="G576" s="827" t="s">
        <v>3937</v>
      </c>
      <c r="H576" s="776" t="s">
        <v>3960</v>
      </c>
      <c r="I576" s="699"/>
      <c r="J576" s="791" t="s">
        <v>3889</v>
      </c>
      <c r="K576" s="791"/>
      <c r="L576" s="791" t="s">
        <v>3890</v>
      </c>
      <c r="M576" s="791"/>
      <c r="N576" s="791" t="s">
        <v>3891</v>
      </c>
      <c r="O576" s="791"/>
      <c r="P576" s="791" t="s">
        <v>3892</v>
      </c>
      <c r="Q576" s="791"/>
      <c r="R576" s="792" t="s">
        <v>3442</v>
      </c>
      <c r="S576" s="791"/>
      <c r="T576" s="791"/>
      <c r="U576" s="824"/>
      <c r="V576" s="840">
        <f>+SUM(T578:T579)</f>
        <v>52</v>
      </c>
      <c r="W576" s="809" t="s">
        <v>93</v>
      </c>
    </row>
    <row r="577" spans="2:23">
      <c r="B577" s="709"/>
      <c r="F577" s="710"/>
      <c r="G577" s="827"/>
      <c r="H577" s="776">
        <v>1</v>
      </c>
      <c r="I577" s="776"/>
      <c r="J577" s="791">
        <f>+J573</f>
        <v>2.5</v>
      </c>
      <c r="K577" s="791"/>
      <c r="L577" s="791">
        <f>+L573</f>
        <v>1</v>
      </c>
      <c r="M577" s="791"/>
      <c r="N577" s="791"/>
      <c r="O577" s="791"/>
      <c r="P577" s="791"/>
      <c r="Q577" s="791"/>
      <c r="R577" s="792"/>
      <c r="S577" s="791"/>
      <c r="T577" s="791"/>
      <c r="U577" s="824"/>
      <c r="V577" s="840"/>
      <c r="W577" s="809"/>
    </row>
    <row r="578" spans="2:23">
      <c r="B578" s="709"/>
      <c r="F578" s="710"/>
      <c r="G578" s="827"/>
      <c r="H578" s="776"/>
      <c r="I578" s="776" t="s">
        <v>4036</v>
      </c>
      <c r="J578" s="791">
        <f>+J577/0.2</f>
        <v>12.5</v>
      </c>
      <c r="K578" s="791"/>
      <c r="L578" s="791">
        <f>+L577/0.2</f>
        <v>5</v>
      </c>
      <c r="M578" s="791"/>
      <c r="N578" s="791"/>
      <c r="O578" s="791"/>
      <c r="P578" s="791"/>
      <c r="Q578" s="791"/>
      <c r="R578" s="792">
        <v>1.04</v>
      </c>
      <c r="S578" s="793" t="s">
        <v>3923</v>
      </c>
      <c r="T578" s="791">
        <f>+((J578*L577*2)+(J577*L578*2))*R578</f>
        <v>52</v>
      </c>
      <c r="U578" s="824"/>
      <c r="V578" s="840"/>
      <c r="W578" s="809"/>
    </row>
    <row r="579" spans="2:23">
      <c r="B579" s="709"/>
      <c r="F579" s="710"/>
      <c r="G579" s="827"/>
      <c r="H579" s="776"/>
      <c r="I579" s="776"/>
      <c r="J579" s="791"/>
      <c r="K579" s="791"/>
      <c r="L579" s="791"/>
      <c r="M579" s="791"/>
      <c r="N579" s="791"/>
      <c r="O579" s="791"/>
      <c r="P579" s="791"/>
      <c r="Q579" s="791"/>
      <c r="R579" s="792"/>
      <c r="S579" s="793"/>
      <c r="T579" s="791"/>
      <c r="U579" s="824"/>
      <c r="V579" s="840"/>
      <c r="W579" s="809"/>
    </row>
    <row r="580" spans="2:23">
      <c r="B580" s="709"/>
      <c r="F580" s="710"/>
      <c r="G580" s="827"/>
      <c r="H580" s="730"/>
      <c r="I580" s="699"/>
      <c r="J580" s="805"/>
      <c r="K580" s="805"/>
      <c r="L580" s="805"/>
      <c r="M580" s="805"/>
      <c r="N580" s="842"/>
      <c r="O580" s="794"/>
      <c r="P580" s="794"/>
      <c r="Q580" s="794"/>
      <c r="R580" s="806"/>
      <c r="S580" s="793"/>
      <c r="T580" s="794"/>
      <c r="U580" s="824"/>
      <c r="V580" s="856"/>
      <c r="W580" s="809"/>
    </row>
    <row r="581" spans="2:23">
      <c r="B581" s="759"/>
      <c r="F581" s="710"/>
      <c r="G581" s="827" t="s">
        <v>3940</v>
      </c>
      <c r="H581" s="699" t="s">
        <v>3984</v>
      </c>
      <c r="I581" s="699"/>
      <c r="J581" s="791"/>
      <c r="K581" s="791"/>
      <c r="L581" s="791"/>
      <c r="M581" s="805"/>
      <c r="N581" s="838"/>
      <c r="O581" s="791"/>
      <c r="P581" s="791"/>
      <c r="Q581" s="791"/>
      <c r="R581" s="792"/>
      <c r="S581" s="793"/>
      <c r="T581" s="794"/>
      <c r="U581" s="845"/>
      <c r="V581" s="808">
        <f>SUM(T582:T582)</f>
        <v>2.5</v>
      </c>
      <c r="W581" s="809" t="s">
        <v>376</v>
      </c>
    </row>
    <row r="582" spans="2:23">
      <c r="B582" s="709"/>
      <c r="F582" s="710"/>
      <c r="G582" s="827"/>
      <c r="H582" s="699"/>
      <c r="I582" s="699"/>
      <c r="J582" s="791">
        <f>+J577</f>
        <v>2.5</v>
      </c>
      <c r="K582" s="791" t="s">
        <v>3922</v>
      </c>
      <c r="L582" s="791">
        <f>+L577</f>
        <v>1</v>
      </c>
      <c r="M582" s="791"/>
      <c r="N582" s="791"/>
      <c r="O582" s="791" t="s">
        <v>3922</v>
      </c>
      <c r="P582" s="791">
        <v>1</v>
      </c>
      <c r="Q582" s="791"/>
      <c r="R582" s="792"/>
      <c r="S582" s="793" t="s">
        <v>3923</v>
      </c>
      <c r="T582" s="794">
        <f>J582*L582*P582</f>
        <v>2.5</v>
      </c>
      <c r="U582" s="844"/>
      <c r="V582" s="857"/>
      <c r="W582" s="809"/>
    </row>
    <row r="583" spans="2:23" ht="16" thickBot="1">
      <c r="B583" s="763"/>
      <c r="C583" s="744"/>
      <c r="D583" s="744"/>
      <c r="E583" s="744"/>
      <c r="F583" s="745"/>
      <c r="G583" s="818"/>
      <c r="H583" s="819"/>
      <c r="I583" s="819"/>
      <c r="J583" s="819"/>
      <c r="K583" s="819"/>
      <c r="L583" s="819"/>
      <c r="M583" s="750"/>
      <c r="N583" s="858"/>
      <c r="O583" s="858"/>
      <c r="P583" s="858"/>
      <c r="Q583" s="858"/>
      <c r="R583" s="859"/>
      <c r="S583" s="858"/>
      <c r="T583" s="858"/>
      <c r="U583" s="858"/>
      <c r="V583" s="860"/>
      <c r="W583" s="861"/>
    </row>
    <row r="584" spans="2:23" ht="16" thickTop="1"/>
  </sheetData>
  <mergeCells count="84">
    <mergeCell ref="B573:F573"/>
    <mergeCell ref="B544:F544"/>
    <mergeCell ref="C555:F555"/>
    <mergeCell ref="G555:W555"/>
    <mergeCell ref="B559:F559"/>
    <mergeCell ref="C569:F569"/>
    <mergeCell ref="G569:W569"/>
    <mergeCell ref="B506:F506"/>
    <mergeCell ref="C521:F521"/>
    <mergeCell ref="G521:W521"/>
    <mergeCell ref="B525:F525"/>
    <mergeCell ref="C540:F540"/>
    <mergeCell ref="G540:W540"/>
    <mergeCell ref="C483:F483"/>
    <mergeCell ref="G483:W483"/>
    <mergeCell ref="B487:F487"/>
    <mergeCell ref="C502:F502"/>
    <mergeCell ref="G502:W502"/>
    <mergeCell ref="C397:F397"/>
    <mergeCell ref="G397:W397"/>
    <mergeCell ref="B401:F401"/>
    <mergeCell ref="G466:W466"/>
    <mergeCell ref="B439:F439"/>
    <mergeCell ref="C450:F450"/>
    <mergeCell ref="G450:W450"/>
    <mergeCell ref="B454:F454"/>
    <mergeCell ref="C416:F416"/>
    <mergeCell ref="G416:W416"/>
    <mergeCell ref="B420:F420"/>
    <mergeCell ref="C435:F435"/>
    <mergeCell ref="G435:W435"/>
    <mergeCell ref="B346:F346"/>
    <mergeCell ref="G360:W360"/>
    <mergeCell ref="C378:F378"/>
    <mergeCell ref="G378:W378"/>
    <mergeCell ref="B382:F382"/>
    <mergeCell ref="C327:F327"/>
    <mergeCell ref="G327:W327"/>
    <mergeCell ref="B331:F331"/>
    <mergeCell ref="C342:F342"/>
    <mergeCell ref="G342:W342"/>
    <mergeCell ref="G61:W61"/>
    <mergeCell ref="B1:W2"/>
    <mergeCell ref="F5:G5"/>
    <mergeCell ref="B9:B10"/>
    <mergeCell ref="C9:F10"/>
    <mergeCell ref="G9:W9"/>
    <mergeCell ref="G29:W29"/>
    <mergeCell ref="G37:W37"/>
    <mergeCell ref="G43:W43"/>
    <mergeCell ref="B44:F44"/>
    <mergeCell ref="B45:F45"/>
    <mergeCell ref="G53:W53"/>
    <mergeCell ref="B62:F62"/>
    <mergeCell ref="B63:F63"/>
    <mergeCell ref="G71:W71"/>
    <mergeCell ref="G86:W86"/>
    <mergeCell ref="G94:W94"/>
    <mergeCell ref="C132:F132"/>
    <mergeCell ref="G132:W132"/>
    <mergeCell ref="B136:F136"/>
    <mergeCell ref="G151:W151"/>
    <mergeCell ref="C113:F113"/>
    <mergeCell ref="G113:W113"/>
    <mergeCell ref="B117:F117"/>
    <mergeCell ref="B188:F188"/>
    <mergeCell ref="G208:W208"/>
    <mergeCell ref="B209:F209"/>
    <mergeCell ref="B210:F210"/>
    <mergeCell ref="C168:F168"/>
    <mergeCell ref="G168:W168"/>
    <mergeCell ref="B172:F172"/>
    <mergeCell ref="G186:W186"/>
    <mergeCell ref="B187:F187"/>
    <mergeCell ref="G308:W308"/>
    <mergeCell ref="B249:F249"/>
    <mergeCell ref="C230:F230"/>
    <mergeCell ref="G230:W230"/>
    <mergeCell ref="B234:F234"/>
    <mergeCell ref="C245:F245"/>
    <mergeCell ref="G245:W245"/>
    <mergeCell ref="G278:W278"/>
    <mergeCell ref="G289:W289"/>
    <mergeCell ref="G264:W26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4AD7E-FDB9-4A3C-946C-E36962EF5922}">
  <sheetPr>
    <tabColor rgb="FFFF0000"/>
  </sheetPr>
  <dimension ref="A1:X231"/>
  <sheetViews>
    <sheetView workbookViewId="0">
      <selection activeCell="K200" sqref="K200"/>
    </sheetView>
  </sheetViews>
  <sheetFormatPr defaultColWidth="9.08984375" defaultRowHeight="14.5"/>
  <cols>
    <col min="1" max="2" width="9.08984375" style="127"/>
    <col min="3" max="3" width="34.90625" style="127" customWidth="1"/>
    <col min="4" max="8" width="9.08984375" style="158"/>
    <col min="9" max="9" width="9.08984375" style="206"/>
    <col min="10" max="14" width="9.08984375" style="127"/>
    <col min="15" max="17" width="9.08984375" style="158"/>
    <col min="18" max="16384" width="9.08984375" style="127"/>
  </cols>
  <sheetData>
    <row r="1" spans="1:24">
      <c r="B1" s="199"/>
    </row>
    <row r="3" spans="1:24">
      <c r="D3" s="158" t="s">
        <v>3482</v>
      </c>
      <c r="E3" s="158" t="s">
        <v>3194</v>
      </c>
      <c r="F3" s="158" t="s">
        <v>3461</v>
      </c>
      <c r="G3" s="158" t="s">
        <v>3296</v>
      </c>
      <c r="H3" s="158" t="s">
        <v>3489</v>
      </c>
      <c r="I3" s="206" t="s">
        <v>3490</v>
      </c>
      <c r="N3" s="200"/>
      <c r="R3" s="158"/>
      <c r="T3" s="200"/>
      <c r="U3" s="158"/>
      <c r="V3" s="158"/>
      <c r="W3" s="158"/>
      <c r="X3" s="363"/>
    </row>
    <row r="4" spans="1:24">
      <c r="A4" s="200">
        <v>1</v>
      </c>
      <c r="B4" s="200" t="s">
        <v>3534</v>
      </c>
      <c r="J4" s="344"/>
      <c r="U4" s="158"/>
      <c r="V4" s="158"/>
      <c r="W4" s="158"/>
    </row>
    <row r="5" spans="1:24">
      <c r="B5" s="579" t="s">
        <v>3802</v>
      </c>
      <c r="C5" s="342" t="s">
        <v>3691</v>
      </c>
      <c r="D5" s="158">
        <f>2.265+3.88+0.38+1.765+3.65</f>
        <v>11.94</v>
      </c>
      <c r="F5" s="158">
        <v>4.3179999999999996</v>
      </c>
      <c r="I5" s="206">
        <f>D5*F5</f>
        <v>51.556919999999991</v>
      </c>
      <c r="U5" s="158"/>
      <c r="V5" s="158"/>
      <c r="W5" s="158"/>
    </row>
    <row r="6" spans="1:24">
      <c r="B6" s="579" t="s">
        <v>3802</v>
      </c>
      <c r="C6" s="342" t="s">
        <v>3692</v>
      </c>
      <c r="D6" s="158">
        <f>5.88+2.765+0.765</f>
        <v>9.41</v>
      </c>
      <c r="F6" s="158">
        <v>3.8180000000000001</v>
      </c>
      <c r="I6" s="206">
        <f t="shared" ref="I6:I32" si="0">D6*F6</f>
        <v>35.927379999999999</v>
      </c>
      <c r="U6" s="158"/>
      <c r="V6" s="158"/>
      <c r="W6" s="158"/>
    </row>
    <row r="7" spans="1:24">
      <c r="B7" s="579" t="s">
        <v>3802</v>
      </c>
      <c r="C7" s="342" t="s">
        <v>3722</v>
      </c>
      <c r="D7" s="158">
        <f>1.88*4</f>
        <v>7.52</v>
      </c>
      <c r="F7" s="158">
        <v>3.8180000000000001</v>
      </c>
      <c r="I7" s="206">
        <f t="shared" si="0"/>
        <v>28.711359999999999</v>
      </c>
      <c r="U7" s="158"/>
      <c r="V7" s="158"/>
      <c r="W7" s="158"/>
    </row>
    <row r="8" spans="1:24">
      <c r="B8" s="579" t="s">
        <v>3802</v>
      </c>
      <c r="C8" s="342" t="s">
        <v>3693</v>
      </c>
      <c r="D8" s="158">
        <f>3.65+2.765+3.995</f>
        <v>10.41</v>
      </c>
      <c r="F8" s="158">
        <v>3.15</v>
      </c>
      <c r="I8" s="206">
        <f t="shared" si="0"/>
        <v>32.791499999999999</v>
      </c>
      <c r="U8" s="158"/>
      <c r="V8" s="158"/>
      <c r="W8" s="158"/>
    </row>
    <row r="9" spans="1:24">
      <c r="B9" s="579" t="s">
        <v>3802</v>
      </c>
      <c r="C9" s="342" t="s">
        <v>3694</v>
      </c>
      <c r="D9" s="158">
        <f>3.65</f>
        <v>3.65</v>
      </c>
      <c r="F9" s="158">
        <v>3.9369999999999998</v>
      </c>
      <c r="I9" s="206">
        <f t="shared" si="0"/>
        <v>14.370049999999999</v>
      </c>
      <c r="U9" s="158"/>
      <c r="V9" s="158"/>
      <c r="W9" s="158"/>
    </row>
    <row r="10" spans="1:24">
      <c r="B10" s="579" t="s">
        <v>3802</v>
      </c>
      <c r="C10" s="342"/>
      <c r="D10" s="158">
        <f>1.465+2.065+0.765</f>
        <v>4.2949999999999999</v>
      </c>
      <c r="F10" s="158">
        <v>3</v>
      </c>
      <c r="I10" s="206">
        <f t="shared" si="0"/>
        <v>12.885</v>
      </c>
      <c r="U10" s="158"/>
      <c r="V10" s="158"/>
      <c r="W10" s="158"/>
    </row>
    <row r="11" spans="1:24">
      <c r="B11" s="579" t="s">
        <v>3802</v>
      </c>
      <c r="C11" s="127" t="s">
        <v>3493</v>
      </c>
      <c r="D11" s="158">
        <f>2.14+1.505+1.465+3.65</f>
        <v>8.76</v>
      </c>
      <c r="F11" s="158">
        <v>3</v>
      </c>
      <c r="I11" s="206">
        <f t="shared" si="0"/>
        <v>26.28</v>
      </c>
      <c r="U11" s="158"/>
      <c r="V11" s="158"/>
      <c r="W11" s="158"/>
    </row>
    <row r="12" spans="1:24">
      <c r="B12" s="579" t="s">
        <v>3802</v>
      </c>
      <c r="C12" s="342" t="s">
        <v>3695</v>
      </c>
      <c r="D12" s="158">
        <f>1.58+1.505+1.58+0.365</f>
        <v>5.03</v>
      </c>
      <c r="F12" s="158">
        <v>3</v>
      </c>
      <c r="I12" s="206">
        <f t="shared" si="0"/>
        <v>15.09</v>
      </c>
      <c r="U12" s="158"/>
      <c r="V12" s="158"/>
      <c r="W12" s="158"/>
    </row>
    <row r="13" spans="1:24">
      <c r="B13" s="579" t="s">
        <v>3802</v>
      </c>
      <c r="C13" s="579" t="s">
        <v>3803</v>
      </c>
      <c r="D13" s="158">
        <f>3.65*4</f>
        <v>14.6</v>
      </c>
      <c r="F13" s="158">
        <f t="shared" ref="F13" si="1">1.65+2.7-0.4</f>
        <v>3.9499999999999997</v>
      </c>
      <c r="I13" s="206">
        <f t="shared" si="0"/>
        <v>57.669999999999995</v>
      </c>
      <c r="U13" s="158"/>
      <c r="V13" s="158"/>
      <c r="W13" s="158"/>
    </row>
    <row r="14" spans="1:24" ht="14" customHeight="1">
      <c r="B14" s="579" t="s">
        <v>3802</v>
      </c>
      <c r="C14" s="342" t="s">
        <v>3696</v>
      </c>
      <c r="D14" s="158">
        <f>3.65+3.65+3.65</f>
        <v>10.95</v>
      </c>
      <c r="F14" s="158">
        <v>3</v>
      </c>
      <c r="I14" s="206">
        <f t="shared" si="0"/>
        <v>32.849999999999994</v>
      </c>
      <c r="U14" s="158"/>
      <c r="V14" s="158"/>
      <c r="W14" s="158"/>
    </row>
    <row r="15" spans="1:24">
      <c r="B15" s="579" t="s">
        <v>3802</v>
      </c>
      <c r="C15" s="342"/>
      <c r="D15" s="158">
        <v>3.65</v>
      </c>
      <c r="F15" s="158">
        <v>3.95</v>
      </c>
      <c r="I15" s="206">
        <f t="shared" si="0"/>
        <v>14.4175</v>
      </c>
      <c r="U15" s="158"/>
      <c r="V15" s="158"/>
      <c r="W15" s="158"/>
    </row>
    <row r="16" spans="1:24">
      <c r="B16" s="579" t="s">
        <v>3802</v>
      </c>
      <c r="C16" s="342" t="s">
        <v>3697</v>
      </c>
      <c r="D16" s="158">
        <f>3.65+1.265</f>
        <v>4.915</v>
      </c>
      <c r="F16" s="158">
        <v>3</v>
      </c>
      <c r="I16" s="206">
        <f t="shared" si="0"/>
        <v>14.745000000000001</v>
      </c>
      <c r="U16" s="158"/>
      <c r="V16" s="158"/>
      <c r="W16" s="158"/>
    </row>
    <row r="17" spans="2:23">
      <c r="B17" s="579" t="s">
        <v>3802</v>
      </c>
      <c r="C17" s="342"/>
      <c r="D17" s="158">
        <f>3.65*2</f>
        <v>7.3</v>
      </c>
      <c r="F17" s="158">
        <v>3.95</v>
      </c>
      <c r="I17" s="206">
        <f t="shared" si="0"/>
        <v>28.835000000000001</v>
      </c>
      <c r="U17" s="158"/>
      <c r="V17" s="158"/>
      <c r="W17" s="158"/>
    </row>
    <row r="18" spans="2:23">
      <c r="B18" s="579" t="s">
        <v>3802</v>
      </c>
      <c r="C18" s="342" t="s">
        <v>3698</v>
      </c>
      <c r="D18" s="158">
        <f>2.265+1.88+2.38</f>
        <v>6.5249999999999995</v>
      </c>
      <c r="F18" s="158">
        <v>3</v>
      </c>
      <c r="I18" s="206">
        <f t="shared" si="0"/>
        <v>19.574999999999999</v>
      </c>
      <c r="U18" s="158"/>
      <c r="V18" s="158"/>
      <c r="W18" s="158"/>
    </row>
    <row r="19" spans="2:23">
      <c r="B19" s="579" t="s">
        <v>3802</v>
      </c>
      <c r="C19" s="342"/>
      <c r="D19" s="158">
        <v>1.7649999999999999</v>
      </c>
      <c r="F19" s="158">
        <v>3.95</v>
      </c>
      <c r="I19" s="206">
        <f t="shared" si="0"/>
        <v>6.9717500000000001</v>
      </c>
      <c r="U19" s="158"/>
      <c r="V19" s="158"/>
      <c r="W19" s="158"/>
    </row>
    <row r="20" spans="2:23">
      <c r="B20" s="579" t="s">
        <v>3802</v>
      </c>
      <c r="C20" s="342" t="s">
        <v>3699</v>
      </c>
      <c r="D20" s="158">
        <f>2.265+1.88+2.38</f>
        <v>6.5249999999999995</v>
      </c>
      <c r="F20" s="158">
        <v>3</v>
      </c>
      <c r="I20" s="206">
        <f t="shared" si="0"/>
        <v>19.574999999999999</v>
      </c>
      <c r="U20" s="158"/>
      <c r="V20" s="158"/>
      <c r="W20" s="158"/>
    </row>
    <row r="21" spans="2:23">
      <c r="B21" s="579" t="s">
        <v>3802</v>
      </c>
      <c r="C21" s="342"/>
      <c r="D21" s="158">
        <v>1.7649999999999999</v>
      </c>
      <c r="F21" s="158">
        <v>3.95</v>
      </c>
      <c r="I21" s="206">
        <f t="shared" si="0"/>
        <v>6.9717500000000001</v>
      </c>
      <c r="U21" s="158"/>
      <c r="V21" s="158"/>
      <c r="W21" s="158"/>
    </row>
    <row r="22" spans="2:23">
      <c r="B22" s="579" t="s">
        <v>3802</v>
      </c>
      <c r="C22" s="342" t="s">
        <v>3700</v>
      </c>
      <c r="D22" s="158">
        <f>2.38*3+2.265</f>
        <v>9.4049999999999994</v>
      </c>
      <c r="F22" s="158">
        <v>3</v>
      </c>
      <c r="I22" s="206">
        <f t="shared" si="0"/>
        <v>28.214999999999996</v>
      </c>
      <c r="U22" s="158"/>
      <c r="V22" s="158"/>
      <c r="W22" s="158"/>
    </row>
    <row r="23" spans="2:23">
      <c r="B23" s="579" t="s">
        <v>3802</v>
      </c>
      <c r="C23" s="342" t="s">
        <v>3701</v>
      </c>
      <c r="D23" s="158">
        <f>3.65*2+1.262</f>
        <v>8.5619999999999994</v>
      </c>
      <c r="F23" s="158">
        <v>3</v>
      </c>
      <c r="I23" s="206">
        <f t="shared" si="0"/>
        <v>25.686</v>
      </c>
      <c r="U23" s="158"/>
      <c r="V23" s="158"/>
      <c r="W23" s="158"/>
    </row>
    <row r="24" spans="2:23">
      <c r="B24" s="579" t="s">
        <v>3802</v>
      </c>
      <c r="C24" s="342"/>
      <c r="D24" s="158">
        <v>3.65</v>
      </c>
      <c r="F24" s="158">
        <v>3.95</v>
      </c>
      <c r="I24" s="206">
        <f t="shared" si="0"/>
        <v>14.4175</v>
      </c>
      <c r="U24" s="158"/>
      <c r="V24" s="158"/>
      <c r="W24" s="158"/>
    </row>
    <row r="25" spans="2:23">
      <c r="B25" s="579" t="s">
        <v>3802</v>
      </c>
      <c r="C25" s="342" t="s">
        <v>3702</v>
      </c>
      <c r="D25" s="158">
        <v>1.2649999999999999</v>
      </c>
      <c r="F25" s="158">
        <v>3</v>
      </c>
      <c r="I25" s="206">
        <f t="shared" si="0"/>
        <v>3.7949999999999999</v>
      </c>
      <c r="U25" s="158"/>
      <c r="V25" s="158"/>
      <c r="W25" s="158"/>
    </row>
    <row r="26" spans="2:23">
      <c r="B26" s="579" t="s">
        <v>3802</v>
      </c>
      <c r="C26" s="342"/>
      <c r="D26" s="158">
        <f>3.65*2</f>
        <v>7.3</v>
      </c>
      <c r="F26" s="158">
        <v>3.95</v>
      </c>
      <c r="I26" s="206">
        <f t="shared" si="0"/>
        <v>28.835000000000001</v>
      </c>
      <c r="U26" s="158"/>
      <c r="V26" s="158"/>
      <c r="W26" s="158"/>
    </row>
    <row r="27" spans="2:23">
      <c r="B27" s="579"/>
      <c r="C27" s="668" t="s">
        <v>3875</v>
      </c>
      <c r="D27" s="158">
        <f>2.65+2.65+4+4</f>
        <v>13.3</v>
      </c>
      <c r="F27" s="158">
        <v>2.5499999999999998</v>
      </c>
      <c r="I27" s="206">
        <f t="shared" si="0"/>
        <v>33.914999999999999</v>
      </c>
      <c r="U27" s="158"/>
      <c r="V27" s="158"/>
      <c r="W27" s="158"/>
    </row>
    <row r="28" spans="2:23">
      <c r="B28" s="579"/>
      <c r="C28" s="668" t="s">
        <v>3876</v>
      </c>
      <c r="D28" s="158">
        <f>3.65+2.65</f>
        <v>6.3</v>
      </c>
      <c r="F28" s="158">
        <v>2.5499999999999998</v>
      </c>
      <c r="I28" s="206">
        <f t="shared" si="0"/>
        <v>16.064999999999998</v>
      </c>
      <c r="U28" s="158"/>
      <c r="V28" s="158"/>
      <c r="W28" s="158"/>
    </row>
    <row r="29" spans="2:23">
      <c r="B29" s="579" t="s">
        <v>3802</v>
      </c>
      <c r="C29" s="579" t="s">
        <v>3804</v>
      </c>
      <c r="D29" s="158">
        <f>1.135*10</f>
        <v>11.35</v>
      </c>
      <c r="F29" s="158">
        <v>3.95</v>
      </c>
      <c r="I29" s="206">
        <f t="shared" si="0"/>
        <v>44.832500000000003</v>
      </c>
      <c r="U29" s="158"/>
      <c r="V29" s="158"/>
      <c r="W29" s="158"/>
    </row>
    <row r="30" spans="2:23">
      <c r="B30" s="579" t="s">
        <v>3802</v>
      </c>
      <c r="C30" s="579" t="s">
        <v>3808</v>
      </c>
      <c r="D30" s="158">
        <f>3.65*3</f>
        <v>10.95</v>
      </c>
      <c r="F30" s="158">
        <v>1.728</v>
      </c>
      <c r="I30" s="206">
        <f t="shared" si="0"/>
        <v>18.921599999999998</v>
      </c>
      <c r="U30" s="158"/>
      <c r="V30" s="158"/>
      <c r="W30" s="158"/>
    </row>
    <row r="31" spans="2:23">
      <c r="B31" s="579" t="s">
        <v>3802</v>
      </c>
      <c r="C31" s="579" t="s">
        <v>3809</v>
      </c>
      <c r="D31" s="158">
        <f>4.96*2+12</f>
        <v>21.92</v>
      </c>
      <c r="F31" s="158">
        <v>0.5</v>
      </c>
      <c r="I31" s="206">
        <f t="shared" si="0"/>
        <v>10.96</v>
      </c>
      <c r="U31" s="158"/>
      <c r="V31" s="158"/>
      <c r="W31" s="158"/>
    </row>
    <row r="32" spans="2:23">
      <c r="B32" s="579" t="s">
        <v>3802</v>
      </c>
      <c r="C32" s="361" t="s">
        <v>3831</v>
      </c>
      <c r="D32" s="158">
        <v>3.65</v>
      </c>
      <c r="F32" s="158">
        <v>2.15</v>
      </c>
      <c r="I32" s="206">
        <f t="shared" si="0"/>
        <v>7.8474999999999993</v>
      </c>
      <c r="J32" s="200"/>
      <c r="U32" s="158"/>
      <c r="V32" s="158"/>
      <c r="W32" s="158"/>
    </row>
    <row r="33" spans="2:23">
      <c r="B33" s="579" t="s">
        <v>3802</v>
      </c>
      <c r="C33" s="361" t="s">
        <v>3770</v>
      </c>
      <c r="I33" s="570">
        <v>60.738999999999997</v>
      </c>
      <c r="J33" s="200"/>
      <c r="U33" s="158"/>
      <c r="V33" s="158"/>
      <c r="W33" s="158"/>
    </row>
    <row r="34" spans="2:23">
      <c r="B34" s="579" t="s">
        <v>3802</v>
      </c>
      <c r="C34" s="351" t="s">
        <v>3806</v>
      </c>
      <c r="U34" s="158"/>
      <c r="V34" s="158"/>
      <c r="W34" s="158"/>
    </row>
    <row r="35" spans="2:23">
      <c r="B35" s="579" t="s">
        <v>3802</v>
      </c>
      <c r="C35" s="346" t="s">
        <v>3729</v>
      </c>
      <c r="D35" s="158">
        <v>1.7</v>
      </c>
      <c r="F35" s="158">
        <v>2.1</v>
      </c>
      <c r="G35" s="158">
        <v>-2</v>
      </c>
      <c r="I35" s="345">
        <f>D35*F35*G35</f>
        <v>-7.14</v>
      </c>
      <c r="J35" s="200"/>
      <c r="U35" s="158"/>
      <c r="V35" s="158"/>
      <c r="W35" s="158"/>
    </row>
    <row r="36" spans="2:23">
      <c r="B36" s="579" t="s">
        <v>3802</v>
      </c>
      <c r="C36" s="346" t="s">
        <v>3495</v>
      </c>
      <c r="D36" s="158">
        <v>0.58899999999999997</v>
      </c>
      <c r="F36" s="158">
        <v>0.38900000000000001</v>
      </c>
      <c r="G36" s="158">
        <v>-3</v>
      </c>
      <c r="I36" s="345">
        <f>D36*F36*G36</f>
        <v>-0.68736299999999995</v>
      </c>
      <c r="J36" s="200"/>
      <c r="U36" s="158"/>
      <c r="V36" s="158"/>
      <c r="W36" s="158"/>
    </row>
    <row r="37" spans="2:23">
      <c r="B37" s="579" t="s">
        <v>3802</v>
      </c>
      <c r="C37" s="346" t="s">
        <v>3805</v>
      </c>
      <c r="D37" s="158">
        <v>1.8</v>
      </c>
      <c r="F37" s="158">
        <v>0.38900000000000001</v>
      </c>
      <c r="G37" s="158">
        <v>-2</v>
      </c>
      <c r="I37" s="345">
        <f t="shared" ref="I37" si="2">D37*F37*G37</f>
        <v>-1.4004000000000001</v>
      </c>
      <c r="J37" s="200"/>
      <c r="U37" s="158"/>
      <c r="V37" s="158"/>
      <c r="W37" s="158"/>
    </row>
    <row r="38" spans="2:23">
      <c r="B38" s="579" t="s">
        <v>3802</v>
      </c>
      <c r="C38" s="346" t="s">
        <v>3274</v>
      </c>
      <c r="D38" s="158">
        <v>1.889</v>
      </c>
      <c r="F38" s="158">
        <v>2.1</v>
      </c>
      <c r="G38" s="158">
        <v>-2</v>
      </c>
      <c r="I38" s="345">
        <f t="shared" ref="I38:I41" si="3">D38*F38*G38</f>
        <v>-7.9338000000000006</v>
      </c>
      <c r="J38" s="200"/>
      <c r="U38" s="158"/>
      <c r="V38" s="158"/>
      <c r="W38" s="158"/>
    </row>
    <row r="39" spans="2:23">
      <c r="B39" s="579" t="s">
        <v>3802</v>
      </c>
      <c r="C39" s="346" t="s">
        <v>3279</v>
      </c>
      <c r="D39" s="158">
        <v>0.88900000000000001</v>
      </c>
      <c r="F39" s="158">
        <v>2.1</v>
      </c>
      <c r="G39" s="158">
        <v>-1</v>
      </c>
      <c r="I39" s="345">
        <f>D39*F39*G39</f>
        <v>-1.8669</v>
      </c>
      <c r="J39" s="200"/>
      <c r="K39" s="351"/>
      <c r="U39" s="158"/>
      <c r="V39" s="158"/>
      <c r="W39" s="158"/>
    </row>
    <row r="40" spans="2:23">
      <c r="B40" s="579" t="s">
        <v>3802</v>
      </c>
      <c r="C40" s="346" t="s">
        <v>3494</v>
      </c>
      <c r="D40" s="158">
        <v>1.8</v>
      </c>
      <c r="F40" s="158">
        <v>1.35</v>
      </c>
      <c r="G40" s="158">
        <v>-5</v>
      </c>
      <c r="I40" s="345">
        <f>D40*F40*G40</f>
        <v>-12.15</v>
      </c>
      <c r="J40" s="200"/>
      <c r="U40" s="158"/>
      <c r="V40" s="158"/>
      <c r="W40" s="158"/>
    </row>
    <row r="41" spans="2:23">
      <c r="B41" s="579" t="s">
        <v>3802</v>
      </c>
      <c r="C41" s="346" t="s">
        <v>3728</v>
      </c>
      <c r="D41" s="158">
        <v>0.88900000000000001</v>
      </c>
      <c r="F41" s="158">
        <v>2.1</v>
      </c>
      <c r="G41" s="158">
        <v>-1</v>
      </c>
      <c r="I41" s="345">
        <f t="shared" si="3"/>
        <v>-1.8669</v>
      </c>
      <c r="J41" s="200"/>
      <c r="U41" s="158"/>
      <c r="V41" s="158"/>
      <c r="W41" s="158"/>
    </row>
    <row r="42" spans="2:23">
      <c r="B42" s="579"/>
      <c r="C42" s="351" t="s">
        <v>3807</v>
      </c>
      <c r="I42" s="345"/>
      <c r="J42" s="200"/>
      <c r="U42" s="158"/>
      <c r="V42" s="158"/>
      <c r="W42" s="158"/>
    </row>
    <row r="43" spans="2:23">
      <c r="B43" s="579" t="s">
        <v>3802</v>
      </c>
      <c r="C43" s="346" t="s">
        <v>3279</v>
      </c>
      <c r="D43" s="158">
        <v>0.88900000000000001</v>
      </c>
      <c r="F43" s="158">
        <v>2.1</v>
      </c>
      <c r="G43" s="158">
        <v>-9</v>
      </c>
      <c r="I43" s="345">
        <f>D43*F43*G43</f>
        <v>-16.802099999999999</v>
      </c>
      <c r="J43" s="200"/>
      <c r="U43" s="158"/>
      <c r="V43" s="158"/>
      <c r="W43" s="158"/>
    </row>
    <row r="44" spans="2:23">
      <c r="B44" s="579" t="s">
        <v>3802</v>
      </c>
      <c r="C44" s="346" t="s">
        <v>3728</v>
      </c>
      <c r="D44" s="158">
        <v>0.88900000000000001</v>
      </c>
      <c r="F44" s="158">
        <v>2.1</v>
      </c>
      <c r="G44" s="158">
        <v>-2</v>
      </c>
      <c r="I44" s="345">
        <f t="shared" ref="I44" si="4">D44*F44*G44</f>
        <v>-3.7338</v>
      </c>
      <c r="J44" s="200"/>
      <c r="U44" s="158"/>
      <c r="V44" s="158"/>
      <c r="W44" s="158"/>
    </row>
    <row r="45" spans="2:23">
      <c r="D45" s="158">
        <f>SUM(D5:D29)</f>
        <v>180.14200000000005</v>
      </c>
      <c r="I45" s="210">
        <f>SUM(I5:I44)</f>
        <v>659.87104699999998</v>
      </c>
      <c r="J45" s="200" t="s">
        <v>380</v>
      </c>
      <c r="U45" s="158"/>
      <c r="V45" s="158"/>
      <c r="W45" s="158"/>
    </row>
    <row r="46" spans="2:23">
      <c r="I46" s="210"/>
      <c r="J46" s="200"/>
      <c r="U46" s="158"/>
      <c r="V46" s="158"/>
      <c r="W46" s="158"/>
    </row>
    <row r="47" spans="2:23">
      <c r="C47" s="212" t="s">
        <v>3703</v>
      </c>
      <c r="I47" s="210">
        <f>+SUM(I48:I56)</f>
        <v>1518.9422725099996</v>
      </c>
      <c r="J47" s="200" t="s">
        <v>380</v>
      </c>
      <c r="K47" s="197"/>
      <c r="U47" s="158"/>
      <c r="V47" s="158"/>
      <c r="W47" s="158"/>
    </row>
    <row r="48" spans="2:23">
      <c r="C48" s="212" t="s">
        <v>3703</v>
      </c>
      <c r="G48" s="158">
        <v>2</v>
      </c>
      <c r="I48" s="570">
        <f>+I45*G48</f>
        <v>1319.742094</v>
      </c>
      <c r="J48" s="200"/>
      <c r="K48" s="197"/>
      <c r="U48" s="158"/>
      <c r="V48" s="158"/>
      <c r="W48" s="158"/>
    </row>
    <row r="49" spans="1:24">
      <c r="B49" s="579" t="s">
        <v>3802</v>
      </c>
      <c r="C49" s="212" t="s">
        <v>3810</v>
      </c>
      <c r="I49" s="127"/>
      <c r="J49" s="200"/>
      <c r="K49" s="197"/>
      <c r="U49" s="158"/>
      <c r="V49" s="158"/>
      <c r="W49" s="158"/>
    </row>
    <row r="50" spans="1:24">
      <c r="B50" s="579" t="s">
        <v>3802</v>
      </c>
      <c r="C50" s="361" t="s">
        <v>3811</v>
      </c>
      <c r="I50" s="570">
        <f>47.5656624*2</f>
        <v>95.131324800000002</v>
      </c>
      <c r="J50" s="200"/>
      <c r="K50" s="197"/>
      <c r="U50" s="158"/>
      <c r="V50" s="158"/>
      <c r="W50" s="158"/>
    </row>
    <row r="51" spans="1:24">
      <c r="B51" s="579" t="s">
        <v>3802</v>
      </c>
      <c r="C51" s="579" t="s">
        <v>3812</v>
      </c>
      <c r="I51" s="570">
        <f>2.14495531</f>
        <v>2.1449553099999998</v>
      </c>
      <c r="J51" s="200"/>
      <c r="K51" s="197"/>
      <c r="U51" s="158"/>
      <c r="V51" s="158"/>
      <c r="W51" s="158"/>
    </row>
    <row r="52" spans="1:24">
      <c r="B52" s="579" t="s">
        <v>3802</v>
      </c>
      <c r="C52" s="212" t="s">
        <v>3813</v>
      </c>
      <c r="I52" s="570">
        <f>22.624</f>
        <v>22.623999999999999</v>
      </c>
      <c r="J52" s="200"/>
      <c r="K52" s="197"/>
      <c r="U52" s="158"/>
      <c r="V52" s="158"/>
      <c r="W52" s="158"/>
    </row>
    <row r="53" spans="1:24">
      <c r="B53" s="579" t="s">
        <v>3802</v>
      </c>
      <c r="C53" s="361" t="s">
        <v>3815</v>
      </c>
      <c r="I53" s="570">
        <f>(33.3795+0.857)</f>
        <v>34.236499999999999</v>
      </c>
      <c r="J53" s="200"/>
      <c r="K53" s="197"/>
      <c r="U53" s="158"/>
      <c r="V53" s="158"/>
      <c r="W53" s="158"/>
    </row>
    <row r="54" spans="1:24">
      <c r="B54" s="579" t="s">
        <v>3802</v>
      </c>
      <c r="C54" s="361" t="s">
        <v>3816</v>
      </c>
      <c r="I54" s="570">
        <f>22.6248884</f>
        <v>22.6248884</v>
      </c>
      <c r="J54" s="200"/>
      <c r="K54" s="197"/>
      <c r="U54" s="158"/>
      <c r="V54" s="158"/>
      <c r="W54" s="158"/>
    </row>
    <row r="55" spans="1:24">
      <c r="B55" s="579" t="s">
        <v>3802</v>
      </c>
      <c r="C55" s="361" t="s">
        <v>3817</v>
      </c>
      <c r="I55" s="570">
        <f>4.855</f>
        <v>4.8550000000000004</v>
      </c>
      <c r="J55" s="200"/>
      <c r="K55" s="197"/>
      <c r="U55" s="158"/>
      <c r="V55" s="158"/>
      <c r="W55" s="158"/>
    </row>
    <row r="56" spans="1:24">
      <c r="B56" s="579" t="s">
        <v>3802</v>
      </c>
      <c r="C56" s="361" t="s">
        <v>3831</v>
      </c>
      <c r="I56" s="570">
        <f>(7.076755+0.8575*2)*2</f>
        <v>17.58351</v>
      </c>
      <c r="J56" s="200"/>
      <c r="K56" s="197"/>
      <c r="U56" s="158"/>
      <c r="V56" s="158"/>
      <c r="W56" s="158"/>
    </row>
    <row r="57" spans="1:24">
      <c r="B57" s="347"/>
      <c r="C57" s="212" t="s">
        <v>3704</v>
      </c>
      <c r="I57" s="210"/>
      <c r="J57" s="200"/>
    </row>
    <row r="58" spans="1:24">
      <c r="C58" s="212"/>
      <c r="I58" s="210"/>
      <c r="J58" s="200"/>
    </row>
    <row r="59" spans="1:24">
      <c r="D59" s="158" t="s">
        <v>3482</v>
      </c>
      <c r="E59" s="158" t="s">
        <v>3194</v>
      </c>
      <c r="F59" s="158" t="s">
        <v>3461</v>
      </c>
      <c r="G59" s="158" t="s">
        <v>3296</v>
      </c>
      <c r="H59" s="158" t="s">
        <v>3489</v>
      </c>
      <c r="I59" s="206" t="s">
        <v>3490</v>
      </c>
      <c r="J59" s="200"/>
    </row>
    <row r="60" spans="1:24">
      <c r="A60" s="200">
        <v>2</v>
      </c>
      <c r="B60" s="200" t="s">
        <v>3531</v>
      </c>
      <c r="U60" s="158"/>
      <c r="V60" s="158"/>
      <c r="W60" s="158"/>
      <c r="X60" s="200"/>
    </row>
    <row r="61" spans="1:24" s="202" customFormat="1" ht="29">
      <c r="C61" s="350" t="s">
        <v>3688</v>
      </c>
      <c r="D61" s="204"/>
      <c r="E61" s="204"/>
      <c r="F61" s="204"/>
      <c r="G61" s="204"/>
      <c r="H61" s="204"/>
      <c r="I61" s="211">
        <f>77.01+96.88+23.23+8.91+71.37+11.98+50.98</f>
        <v>340.36</v>
      </c>
      <c r="J61" s="205" t="s">
        <v>376</v>
      </c>
      <c r="N61" s="127"/>
      <c r="O61" s="158"/>
      <c r="P61" s="158"/>
      <c r="Q61" s="158"/>
      <c r="R61" s="127"/>
      <c r="U61" s="204"/>
      <c r="V61" s="204"/>
      <c r="W61" s="204"/>
      <c r="X61" s="205"/>
    </row>
    <row r="62" spans="1:24" s="202" customFormat="1">
      <c r="C62" s="348" t="s">
        <v>3705</v>
      </c>
      <c r="D62" s="204"/>
      <c r="E62" s="204"/>
      <c r="F62" s="204"/>
      <c r="G62" s="204"/>
      <c r="H62" s="204"/>
      <c r="I62" s="211"/>
      <c r="J62" s="205"/>
      <c r="N62" s="127"/>
      <c r="O62" s="158"/>
      <c r="P62" s="158"/>
      <c r="Q62" s="158"/>
      <c r="R62" s="127"/>
      <c r="U62" s="204"/>
      <c r="V62" s="204"/>
      <c r="W62" s="204"/>
      <c r="X62" s="205"/>
    </row>
    <row r="63" spans="1:24" s="202" customFormat="1">
      <c r="C63" s="348" t="s">
        <v>3706</v>
      </c>
      <c r="D63" s="204"/>
      <c r="E63" s="204"/>
      <c r="F63" s="204"/>
      <c r="G63" s="204"/>
      <c r="H63" s="204"/>
      <c r="I63" s="211"/>
      <c r="J63" s="205"/>
      <c r="N63" s="127"/>
      <c r="O63" s="158"/>
      <c r="P63" s="158"/>
      <c r="Q63" s="158"/>
      <c r="R63" s="127"/>
      <c r="U63" s="204"/>
      <c r="V63" s="204"/>
      <c r="W63" s="204"/>
      <c r="X63" s="205"/>
    </row>
    <row r="64" spans="1:24" s="202" customFormat="1">
      <c r="C64" s="348" t="s">
        <v>3682</v>
      </c>
      <c r="D64" s="204"/>
      <c r="E64" s="204"/>
      <c r="F64" s="204"/>
      <c r="G64" s="204"/>
      <c r="H64" s="204"/>
      <c r="I64" s="211"/>
      <c r="J64" s="205"/>
      <c r="N64" s="127"/>
      <c r="O64" s="158"/>
      <c r="P64" s="158"/>
      <c r="Q64" s="158"/>
      <c r="R64" s="127"/>
      <c r="U64" s="204"/>
      <c r="V64" s="204"/>
      <c r="W64" s="204"/>
      <c r="X64" s="205"/>
    </row>
    <row r="65" spans="2:24">
      <c r="C65" s="351" t="s">
        <v>3683</v>
      </c>
      <c r="D65" s="127"/>
      <c r="E65" s="127"/>
      <c r="F65" s="127"/>
      <c r="G65" s="127"/>
      <c r="H65" s="127"/>
      <c r="I65" s="127"/>
      <c r="U65" s="158"/>
      <c r="V65" s="158"/>
      <c r="W65" s="158"/>
      <c r="X65" s="200"/>
    </row>
    <row r="66" spans="2:24">
      <c r="C66" s="349" t="s">
        <v>3707</v>
      </c>
      <c r="D66" s="158">
        <v>2.38</v>
      </c>
      <c r="E66" s="158">
        <v>3.88</v>
      </c>
      <c r="G66" s="158">
        <v>1</v>
      </c>
      <c r="I66" s="210">
        <f>D66*E66*G66</f>
        <v>9.2343999999999991</v>
      </c>
      <c r="J66" s="200" t="s">
        <v>376</v>
      </c>
      <c r="U66" s="158"/>
      <c r="V66" s="158"/>
      <c r="W66" s="158"/>
      <c r="X66" s="200"/>
    </row>
    <row r="67" spans="2:24" ht="29">
      <c r="C67" s="350" t="s">
        <v>3724</v>
      </c>
      <c r="I67" s="210"/>
      <c r="J67" s="200"/>
      <c r="U67" s="158"/>
      <c r="V67" s="158"/>
      <c r="W67" s="158"/>
      <c r="X67" s="200"/>
    </row>
    <row r="68" spans="2:24">
      <c r="B68" s="579" t="s">
        <v>3802</v>
      </c>
      <c r="C68" s="203"/>
      <c r="I68" s="210">
        <f>213.421359-5.944664</f>
        <v>207.47669500000001</v>
      </c>
      <c r="J68" s="200" t="s">
        <v>376</v>
      </c>
      <c r="U68" s="158"/>
      <c r="V68" s="158"/>
      <c r="W68" s="158"/>
      <c r="X68" s="200"/>
    </row>
    <row r="69" spans="2:24" ht="29">
      <c r="C69" s="350" t="s">
        <v>3725</v>
      </c>
      <c r="I69" s="210"/>
      <c r="J69" s="200"/>
      <c r="U69" s="158"/>
      <c r="V69" s="158"/>
      <c r="W69" s="158"/>
      <c r="X69" s="200"/>
    </row>
    <row r="70" spans="2:24">
      <c r="B70" s="358"/>
      <c r="C70" s="348" t="s">
        <v>3716</v>
      </c>
      <c r="I70" s="580">
        <f>10.59+0.8+0.5+(0.45*1.38)</f>
        <v>12.511000000000001</v>
      </c>
      <c r="U70" s="158"/>
      <c r="V70" s="158"/>
      <c r="W70" s="158"/>
      <c r="X70" s="200"/>
    </row>
    <row r="71" spans="2:24">
      <c r="C71" s="348" t="s">
        <v>3717</v>
      </c>
      <c r="I71" s="352">
        <v>5.64</v>
      </c>
      <c r="J71" s="200"/>
      <c r="U71" s="158"/>
      <c r="V71" s="158"/>
      <c r="W71" s="158"/>
      <c r="X71" s="200"/>
    </row>
    <row r="72" spans="2:24">
      <c r="C72" s="581" t="s">
        <v>3832</v>
      </c>
      <c r="I72" s="352">
        <v>12.30945</v>
      </c>
      <c r="J72" s="200"/>
      <c r="U72" s="158"/>
      <c r="V72" s="158"/>
      <c r="W72" s="158"/>
      <c r="X72" s="200"/>
    </row>
    <row r="73" spans="2:24">
      <c r="C73" s="348"/>
      <c r="I73" s="210">
        <f>SUM(I70:I72)</f>
        <v>30.460450000000002</v>
      </c>
      <c r="J73" s="200" t="s">
        <v>376</v>
      </c>
      <c r="U73" s="158"/>
      <c r="V73" s="158"/>
      <c r="W73" s="158"/>
      <c r="X73" s="200"/>
    </row>
    <row r="74" spans="2:24">
      <c r="C74" s="348"/>
      <c r="I74" s="352"/>
      <c r="J74" s="200"/>
      <c r="U74" s="158"/>
      <c r="V74" s="158"/>
      <c r="W74" s="158"/>
      <c r="X74" s="200"/>
    </row>
    <row r="75" spans="2:24" ht="29">
      <c r="B75" s="579" t="s">
        <v>3802</v>
      </c>
      <c r="C75" s="350" t="s">
        <v>3726</v>
      </c>
      <c r="I75" s="352"/>
      <c r="J75" s="200"/>
      <c r="U75" s="158"/>
      <c r="V75" s="158"/>
      <c r="W75" s="158"/>
      <c r="X75" s="200"/>
    </row>
    <row r="76" spans="2:24">
      <c r="C76" s="348" t="s">
        <v>3715</v>
      </c>
      <c r="I76" s="352">
        <v>18.6891</v>
      </c>
      <c r="J76" s="200"/>
      <c r="U76" s="158"/>
      <c r="V76" s="158"/>
      <c r="W76" s="158"/>
      <c r="X76" s="200"/>
    </row>
    <row r="77" spans="2:24">
      <c r="C77" s="348" t="s">
        <v>3722</v>
      </c>
      <c r="I77" s="352">
        <v>3.5581510000000001</v>
      </c>
      <c r="J77" s="200"/>
      <c r="U77" s="158"/>
      <c r="V77" s="158"/>
      <c r="W77" s="158"/>
      <c r="X77" s="200"/>
    </row>
    <row r="78" spans="2:24">
      <c r="C78" s="348" t="s">
        <v>3718</v>
      </c>
      <c r="I78" s="352">
        <v>4.3499999999999996</v>
      </c>
      <c r="J78" s="200"/>
      <c r="U78" s="158"/>
      <c r="V78" s="158"/>
      <c r="W78" s="158"/>
      <c r="X78" s="200"/>
    </row>
    <row r="79" spans="2:24">
      <c r="C79" s="348" t="s">
        <v>3719</v>
      </c>
      <c r="I79" s="352">
        <f>I78</f>
        <v>4.3499999999999996</v>
      </c>
      <c r="J79" s="200"/>
      <c r="U79" s="158"/>
      <c r="V79" s="158"/>
      <c r="W79" s="158"/>
      <c r="X79" s="200"/>
    </row>
    <row r="80" spans="2:24">
      <c r="C80" s="581" t="s">
        <v>3818</v>
      </c>
      <c r="I80" s="352">
        <v>5.9446640000000004</v>
      </c>
      <c r="J80" s="200"/>
      <c r="U80" s="158"/>
      <c r="V80" s="158"/>
      <c r="W80" s="158"/>
      <c r="X80" s="200"/>
    </row>
    <row r="81" spans="1:24">
      <c r="C81" s="348"/>
      <c r="I81" s="210">
        <f>SUM(I76:I80)</f>
        <v>36.891915000000004</v>
      </c>
      <c r="J81" s="200" t="s">
        <v>376</v>
      </c>
      <c r="U81" s="158"/>
      <c r="V81" s="158"/>
      <c r="W81" s="158"/>
      <c r="X81" s="200"/>
    </row>
    <row r="82" spans="1:24">
      <c r="C82" s="348"/>
      <c r="I82" s="352"/>
      <c r="J82" s="200"/>
      <c r="U82" s="158"/>
      <c r="V82" s="158"/>
      <c r="W82" s="158"/>
      <c r="X82" s="200"/>
    </row>
    <row r="83" spans="1:24">
      <c r="B83" s="579" t="s">
        <v>3802</v>
      </c>
      <c r="C83" s="350" t="s">
        <v>3601</v>
      </c>
      <c r="I83" s="210"/>
      <c r="J83" s="200"/>
      <c r="U83" s="158"/>
      <c r="V83" s="158"/>
      <c r="W83" s="158"/>
      <c r="X83" s="200"/>
    </row>
    <row r="84" spans="1:24">
      <c r="C84" s="348" t="s">
        <v>3722</v>
      </c>
      <c r="I84" s="352">
        <v>3.5581510000000001</v>
      </c>
      <c r="J84" s="200"/>
      <c r="U84" s="158"/>
      <c r="V84" s="158"/>
      <c r="W84" s="158"/>
      <c r="X84" s="200"/>
    </row>
    <row r="85" spans="1:24">
      <c r="C85" s="348" t="s">
        <v>3718</v>
      </c>
      <c r="I85" s="352">
        <v>4.3499999999999996</v>
      </c>
      <c r="J85" s="200"/>
      <c r="U85" s="158"/>
      <c r="V85" s="158"/>
      <c r="W85" s="158"/>
      <c r="X85" s="200"/>
    </row>
    <row r="86" spans="1:24">
      <c r="C86" s="348" t="s">
        <v>3719</v>
      </c>
      <c r="I86" s="352">
        <f>I85</f>
        <v>4.3499999999999996</v>
      </c>
      <c r="J86" s="200"/>
      <c r="U86" s="158"/>
      <c r="V86" s="158"/>
      <c r="W86" s="158"/>
      <c r="X86" s="200"/>
    </row>
    <row r="87" spans="1:24">
      <c r="C87" s="348" t="s">
        <v>3720</v>
      </c>
      <c r="D87" s="158">
        <v>26.5</v>
      </c>
      <c r="E87" s="158">
        <v>14.5</v>
      </c>
      <c r="I87" s="206">
        <f>D87*E87</f>
        <v>384.25</v>
      </c>
      <c r="U87" s="158"/>
      <c r="V87" s="158"/>
      <c r="W87" s="158"/>
      <c r="X87" s="200"/>
    </row>
    <row r="88" spans="1:24">
      <c r="C88" s="581" t="s">
        <v>3833</v>
      </c>
      <c r="I88" s="206">
        <f>I72</f>
        <v>12.30945</v>
      </c>
      <c r="U88" s="158"/>
      <c r="V88" s="158"/>
      <c r="W88" s="158"/>
      <c r="X88" s="200"/>
    </row>
    <row r="89" spans="1:24">
      <c r="C89" s="203"/>
      <c r="I89" s="210">
        <f>SUM(I84:I88)</f>
        <v>408.81760100000002</v>
      </c>
      <c r="J89" s="200" t="s">
        <v>376</v>
      </c>
      <c r="R89" s="200"/>
      <c r="U89" s="158"/>
      <c r="V89" s="158"/>
      <c r="W89" s="158"/>
      <c r="X89" s="200"/>
    </row>
    <row r="90" spans="1:24">
      <c r="B90" s="200"/>
      <c r="C90" s="203"/>
      <c r="I90" s="210"/>
      <c r="J90" s="200"/>
      <c r="R90" s="200"/>
      <c r="U90" s="158"/>
      <c r="V90" s="158"/>
      <c r="W90" s="158"/>
      <c r="X90" s="200"/>
    </row>
    <row r="91" spans="1:24">
      <c r="A91" s="200">
        <v>3</v>
      </c>
      <c r="B91" s="200" t="s">
        <v>3533</v>
      </c>
      <c r="I91" s="210"/>
      <c r="J91" s="200"/>
      <c r="R91" s="200"/>
      <c r="U91" s="158"/>
      <c r="V91" s="158"/>
      <c r="W91" s="158"/>
      <c r="X91" s="200"/>
    </row>
    <row r="92" spans="1:24" s="202" customFormat="1" ht="30.65" customHeight="1">
      <c r="A92" s="205"/>
      <c r="C92" s="355" t="s">
        <v>3819</v>
      </c>
      <c r="D92" s="204"/>
      <c r="E92" s="204"/>
      <c r="F92" s="204"/>
      <c r="G92" s="204"/>
      <c r="H92" s="204"/>
      <c r="I92" s="211"/>
      <c r="J92" s="362"/>
      <c r="O92" s="204"/>
      <c r="P92" s="204"/>
      <c r="Q92" s="204"/>
      <c r="R92" s="205"/>
      <c r="U92" s="204"/>
      <c r="V92" s="204"/>
      <c r="W92" s="204"/>
      <c r="X92" s="205"/>
    </row>
    <row r="93" spans="1:24" ht="18" customHeight="1">
      <c r="A93" s="200"/>
      <c r="B93" s="353"/>
      <c r="C93" s="354" t="s">
        <v>3721</v>
      </c>
      <c r="I93" s="210"/>
      <c r="J93" s="200"/>
      <c r="R93" s="200"/>
      <c r="U93" s="158"/>
      <c r="V93" s="158"/>
      <c r="W93" s="158"/>
      <c r="X93" s="200"/>
    </row>
    <row r="94" spans="1:24" ht="18" customHeight="1">
      <c r="A94" s="200"/>
      <c r="B94" s="353"/>
      <c r="C94" s="359" t="s">
        <v>3727</v>
      </c>
      <c r="D94" s="158">
        <v>12.62</v>
      </c>
      <c r="F94" s="158">
        <v>2.95</v>
      </c>
      <c r="I94" s="360">
        <f>D94*F94</f>
        <v>37.228999999999999</v>
      </c>
      <c r="J94" s="200"/>
      <c r="R94" s="200"/>
      <c r="U94" s="158"/>
      <c r="V94" s="158"/>
      <c r="W94" s="158"/>
      <c r="X94" s="200"/>
    </row>
    <row r="95" spans="1:24" ht="18" customHeight="1">
      <c r="A95" s="200"/>
      <c r="B95" s="353"/>
      <c r="C95" s="359" t="s">
        <v>3740</v>
      </c>
      <c r="D95" s="158">
        <v>56.845999999999997</v>
      </c>
      <c r="F95" s="158">
        <v>3.95</v>
      </c>
      <c r="I95" s="360">
        <f>D95*F95</f>
        <v>224.54169999999999</v>
      </c>
      <c r="J95" s="200"/>
      <c r="R95" s="200"/>
      <c r="U95" s="158"/>
      <c r="V95" s="158"/>
      <c r="W95" s="158"/>
      <c r="X95" s="200"/>
    </row>
    <row r="96" spans="1:24" ht="14" customHeight="1">
      <c r="C96" s="361" t="s">
        <v>3829</v>
      </c>
      <c r="D96" s="158">
        <f>D29</f>
        <v>11.35</v>
      </c>
      <c r="F96" s="158">
        <v>3.95</v>
      </c>
      <c r="G96" s="158">
        <v>10</v>
      </c>
      <c r="I96" s="345">
        <f>D96*F96*G96</f>
        <v>448.32500000000005</v>
      </c>
      <c r="J96" s="200"/>
      <c r="U96" s="158"/>
      <c r="V96" s="158"/>
      <c r="W96" s="158"/>
    </row>
    <row r="97" spans="2:23" ht="14" customHeight="1">
      <c r="C97" s="361" t="s">
        <v>3830</v>
      </c>
      <c r="D97" s="158">
        <v>1.4</v>
      </c>
      <c r="F97" s="158">
        <v>2.62</v>
      </c>
      <c r="G97" s="158">
        <v>4</v>
      </c>
      <c r="I97" s="345">
        <f>D97*F97*G97</f>
        <v>14.671999999999999</v>
      </c>
      <c r="J97" s="200"/>
      <c r="U97" s="158"/>
      <c r="V97" s="158"/>
      <c r="W97" s="158"/>
    </row>
    <row r="98" spans="2:23" ht="14" customHeight="1">
      <c r="B98" s="579" t="s">
        <v>3802</v>
      </c>
      <c r="C98" s="212" t="s">
        <v>3810</v>
      </c>
      <c r="I98" s="127"/>
      <c r="J98" s="200"/>
      <c r="K98" s="197"/>
      <c r="U98" s="158"/>
      <c r="V98" s="158"/>
      <c r="W98" s="158"/>
    </row>
    <row r="99" spans="2:23">
      <c r="B99" s="579" t="s">
        <v>3802</v>
      </c>
      <c r="C99" s="361" t="s">
        <v>3811</v>
      </c>
      <c r="I99" s="570">
        <f>47.5656624*2</f>
        <v>95.131324800000002</v>
      </c>
      <c r="J99" s="200"/>
      <c r="K99" s="197"/>
      <c r="U99" s="158"/>
      <c r="V99" s="158"/>
      <c r="W99" s="158"/>
    </row>
    <row r="100" spans="2:23">
      <c r="B100" s="579" t="s">
        <v>3802</v>
      </c>
      <c r="C100" s="579" t="s">
        <v>3812</v>
      </c>
      <c r="I100" s="570">
        <f>2.14495531</f>
        <v>2.1449553099999998</v>
      </c>
      <c r="J100" s="200"/>
      <c r="K100" s="197"/>
      <c r="U100" s="158"/>
      <c r="V100" s="158"/>
      <c r="W100" s="158"/>
    </row>
    <row r="101" spans="2:23">
      <c r="B101" s="579" t="s">
        <v>3802</v>
      </c>
      <c r="C101" s="212" t="s">
        <v>3813</v>
      </c>
      <c r="I101" s="570">
        <f>22.624</f>
        <v>22.623999999999999</v>
      </c>
      <c r="J101" s="200"/>
      <c r="K101" s="197"/>
      <c r="U101" s="158"/>
      <c r="V101" s="158"/>
      <c r="W101" s="158"/>
    </row>
    <row r="102" spans="2:23">
      <c r="B102" s="579" t="s">
        <v>3802</v>
      </c>
      <c r="C102" s="361" t="s">
        <v>3815</v>
      </c>
      <c r="I102" s="570">
        <f>(33.3795+0.857)</f>
        <v>34.236499999999999</v>
      </c>
      <c r="J102" s="200"/>
      <c r="K102" s="197"/>
      <c r="U102" s="158"/>
      <c r="V102" s="158"/>
      <c r="W102" s="158"/>
    </row>
    <row r="103" spans="2:23">
      <c r="B103" s="579" t="s">
        <v>3802</v>
      </c>
      <c r="C103" s="361" t="s">
        <v>3816</v>
      </c>
      <c r="I103" s="570">
        <f>22.6248884</f>
        <v>22.6248884</v>
      </c>
      <c r="J103" s="200"/>
      <c r="K103" s="197"/>
      <c r="U103" s="158"/>
      <c r="V103" s="158"/>
      <c r="W103" s="158"/>
    </row>
    <row r="104" spans="2:23">
      <c r="B104" s="579" t="s">
        <v>3802</v>
      </c>
      <c r="C104" s="361" t="s">
        <v>3817</v>
      </c>
      <c r="I104" s="570">
        <f>4.855</f>
        <v>4.8550000000000004</v>
      </c>
      <c r="J104" s="200"/>
      <c r="K104" s="197"/>
      <c r="U104" s="158"/>
      <c r="V104" s="158"/>
      <c r="W104" s="158"/>
    </row>
    <row r="105" spans="2:23">
      <c r="B105" s="579" t="s">
        <v>3802</v>
      </c>
      <c r="C105" s="361" t="s">
        <v>3831</v>
      </c>
      <c r="I105" s="570">
        <f>(7.076755+0.8575*2)</f>
        <v>8.7917550000000002</v>
      </c>
      <c r="J105" s="200"/>
      <c r="K105" s="197"/>
      <c r="U105" s="158"/>
      <c r="V105" s="158"/>
      <c r="W105" s="158"/>
    </row>
    <row r="106" spans="2:23">
      <c r="B106" s="579" t="s">
        <v>3802</v>
      </c>
      <c r="C106" s="346" t="s">
        <v>3729</v>
      </c>
      <c r="D106" s="158">
        <v>1.7</v>
      </c>
      <c r="F106" s="158">
        <v>2.1</v>
      </c>
      <c r="G106" s="158">
        <v>-2</v>
      </c>
      <c r="I106" s="345">
        <f>D106*F106*G106</f>
        <v>-7.14</v>
      </c>
      <c r="J106" s="200"/>
      <c r="U106" s="158"/>
      <c r="V106" s="158"/>
      <c r="W106" s="158"/>
    </row>
    <row r="107" spans="2:23">
      <c r="B107" s="579" t="s">
        <v>3802</v>
      </c>
      <c r="C107" s="346" t="s">
        <v>3495</v>
      </c>
      <c r="D107" s="158">
        <v>0.58899999999999997</v>
      </c>
      <c r="F107" s="158">
        <v>0.38900000000000001</v>
      </c>
      <c r="G107" s="158">
        <v>-3</v>
      </c>
      <c r="I107" s="345">
        <f>D107*F107*G107</f>
        <v>-0.68736299999999995</v>
      </c>
      <c r="J107" s="200"/>
      <c r="U107" s="158"/>
      <c r="V107" s="158"/>
      <c r="W107" s="158"/>
    </row>
    <row r="108" spans="2:23">
      <c r="B108" s="579" t="s">
        <v>3802</v>
      </c>
      <c r="C108" s="346" t="s">
        <v>3805</v>
      </c>
      <c r="D108" s="158">
        <v>1.8</v>
      </c>
      <c r="F108" s="158">
        <v>0.38900000000000001</v>
      </c>
      <c r="G108" s="158">
        <v>-2</v>
      </c>
      <c r="I108" s="345">
        <f t="shared" ref="I108:I109" si="5">D108*F108*G108</f>
        <v>-1.4004000000000001</v>
      </c>
      <c r="J108" s="200"/>
      <c r="U108" s="158"/>
      <c r="V108" s="158"/>
      <c r="W108" s="158"/>
    </row>
    <row r="109" spans="2:23">
      <c r="B109" s="579" t="s">
        <v>3802</v>
      </c>
      <c r="C109" s="346" t="s">
        <v>3274</v>
      </c>
      <c r="D109" s="158">
        <v>1.889</v>
      </c>
      <c r="F109" s="158">
        <v>2.1</v>
      </c>
      <c r="G109" s="158">
        <v>-2</v>
      </c>
      <c r="I109" s="345">
        <f t="shared" si="5"/>
        <v>-7.9338000000000006</v>
      </c>
      <c r="J109" s="200"/>
      <c r="U109" s="158"/>
      <c r="V109" s="158"/>
      <c r="W109" s="158"/>
    </row>
    <row r="110" spans="2:23">
      <c r="B110" s="579" t="s">
        <v>3802</v>
      </c>
      <c r="C110" s="346" t="s">
        <v>3279</v>
      </c>
      <c r="D110" s="158">
        <v>0.88900000000000001</v>
      </c>
      <c r="F110" s="158">
        <v>2.1</v>
      </c>
      <c r="G110" s="158">
        <v>-2</v>
      </c>
      <c r="I110" s="345">
        <f>D110*F110*G110</f>
        <v>-3.7338</v>
      </c>
      <c r="J110" s="200"/>
      <c r="K110" s="351"/>
      <c r="U110" s="158"/>
      <c r="V110" s="158"/>
      <c r="W110" s="158"/>
    </row>
    <row r="111" spans="2:23">
      <c r="B111" s="579" t="s">
        <v>3802</v>
      </c>
      <c r="C111" s="346" t="s">
        <v>3494</v>
      </c>
      <c r="D111" s="158">
        <v>1.8</v>
      </c>
      <c r="F111" s="158">
        <v>1.35</v>
      </c>
      <c r="G111" s="158">
        <v>-5</v>
      </c>
      <c r="I111" s="345">
        <f>D111*F111*G111</f>
        <v>-12.15</v>
      </c>
      <c r="J111" s="200"/>
      <c r="U111" s="158"/>
      <c r="V111" s="158"/>
      <c r="W111" s="158"/>
    </row>
    <row r="112" spans="2:23">
      <c r="B112" s="579" t="s">
        <v>3802</v>
      </c>
      <c r="C112" s="346" t="s">
        <v>3728</v>
      </c>
      <c r="D112" s="158">
        <v>0.88900000000000001</v>
      </c>
      <c r="F112" s="158">
        <v>2.1</v>
      </c>
      <c r="G112" s="158">
        <v>-1</v>
      </c>
      <c r="I112" s="345">
        <f t="shared" ref="I112" si="6">D112*F112*G112</f>
        <v>-1.8669</v>
      </c>
      <c r="J112" s="200"/>
      <c r="U112" s="158"/>
      <c r="V112" s="158"/>
      <c r="W112" s="158"/>
    </row>
    <row r="113" spans="1:24">
      <c r="C113" s="346"/>
      <c r="I113" s="345"/>
      <c r="J113" s="200"/>
      <c r="U113" s="158"/>
      <c r="V113" s="158"/>
      <c r="W113" s="158"/>
    </row>
    <row r="114" spans="1:24" ht="18" customHeight="1">
      <c r="A114" s="200"/>
      <c r="B114" s="353"/>
      <c r="C114" s="354"/>
      <c r="I114" s="210">
        <f>SUM(I94:I112)</f>
        <v>880.2638605100002</v>
      </c>
      <c r="J114" s="200" t="s">
        <v>376</v>
      </c>
      <c r="R114" s="200"/>
      <c r="U114" s="158"/>
      <c r="V114" s="158"/>
      <c r="W114" s="158"/>
      <c r="X114" s="200"/>
    </row>
    <row r="115" spans="1:24" ht="18" customHeight="1">
      <c r="A115" s="200"/>
      <c r="B115" s="353"/>
      <c r="C115" s="354"/>
      <c r="I115" s="210"/>
      <c r="J115" s="200"/>
      <c r="R115" s="200"/>
      <c r="U115" s="158"/>
      <c r="V115" s="158"/>
      <c r="W115" s="158"/>
      <c r="X115" s="200"/>
    </row>
    <row r="116" spans="1:24" ht="32" customHeight="1">
      <c r="A116" s="200"/>
      <c r="B116" s="353"/>
      <c r="C116" s="355" t="s">
        <v>4054</v>
      </c>
      <c r="I116" s="210"/>
      <c r="J116" s="200"/>
      <c r="R116" s="200"/>
      <c r="U116" s="158"/>
      <c r="V116" s="158"/>
      <c r="W116" s="158"/>
      <c r="X116" s="200"/>
    </row>
    <row r="117" spans="1:24" ht="18" customHeight="1">
      <c r="A117" s="200"/>
      <c r="B117" s="353"/>
      <c r="C117" s="940" t="s">
        <v>4055</v>
      </c>
      <c r="D117" s="158">
        <f>+(1.88*2)+(2*2)</f>
        <v>7.76</v>
      </c>
      <c r="G117" s="158">
        <v>3.25</v>
      </c>
      <c r="I117" s="352">
        <f>+D117*G117</f>
        <v>25.22</v>
      </c>
      <c r="J117" s="200"/>
      <c r="R117" s="200"/>
      <c r="U117" s="158"/>
      <c r="V117" s="158"/>
      <c r="W117" s="158"/>
      <c r="X117" s="200"/>
    </row>
    <row r="118" spans="1:24" s="361" customFormat="1">
      <c r="C118" s="361" t="s">
        <v>4056</v>
      </c>
      <c r="D118" s="636">
        <f>+(2.5*4)+(1.88*4)</f>
        <v>17.52</v>
      </c>
      <c r="E118" s="636"/>
      <c r="F118" s="636"/>
      <c r="G118" s="636">
        <v>3.25</v>
      </c>
      <c r="H118" s="636"/>
      <c r="I118" s="352">
        <f>+D118*G118</f>
        <v>56.94</v>
      </c>
      <c r="J118" s="212"/>
      <c r="O118" s="636"/>
      <c r="P118" s="636"/>
      <c r="Q118" s="636"/>
      <c r="U118" s="636"/>
      <c r="V118" s="636"/>
      <c r="W118" s="636"/>
    </row>
    <row r="119" spans="1:24" ht="18" customHeight="1">
      <c r="A119" s="200"/>
      <c r="B119" s="353"/>
      <c r="C119" s="940"/>
      <c r="I119" s="352"/>
      <c r="J119" s="200"/>
      <c r="R119" s="200"/>
      <c r="U119" s="158"/>
      <c r="V119" s="158"/>
      <c r="W119" s="158"/>
      <c r="X119" s="200"/>
    </row>
    <row r="120" spans="1:24">
      <c r="C120" s="346"/>
      <c r="I120" s="345"/>
      <c r="J120" s="200"/>
      <c r="U120" s="158"/>
      <c r="V120" s="158"/>
      <c r="W120" s="158"/>
    </row>
    <row r="121" spans="1:24" ht="18" customHeight="1">
      <c r="A121" s="200"/>
      <c r="B121" s="353"/>
      <c r="C121" s="354"/>
      <c r="I121" s="210">
        <f>SUM(I117:I120)</f>
        <v>82.16</v>
      </c>
      <c r="J121" s="200" t="s">
        <v>376</v>
      </c>
      <c r="R121" s="200"/>
      <c r="U121" s="158"/>
      <c r="V121" s="158"/>
      <c r="W121" s="158"/>
      <c r="X121" s="200"/>
    </row>
    <row r="122" spans="1:24" ht="18" customHeight="1">
      <c r="A122" s="200"/>
      <c r="B122" s="353"/>
      <c r="C122" s="354"/>
      <c r="I122" s="210"/>
      <c r="J122" s="200"/>
      <c r="R122" s="200"/>
      <c r="U122" s="158"/>
      <c r="V122" s="158"/>
      <c r="W122" s="158"/>
      <c r="X122" s="200"/>
    </row>
    <row r="123" spans="1:24">
      <c r="A123" s="200">
        <v>4</v>
      </c>
      <c r="B123" s="200" t="s">
        <v>3532</v>
      </c>
      <c r="C123" s="203"/>
      <c r="I123" s="210"/>
      <c r="J123" s="200"/>
      <c r="U123" s="158"/>
      <c r="V123" s="158"/>
      <c r="W123" s="158"/>
      <c r="X123" s="200"/>
    </row>
    <row r="124" spans="1:24">
      <c r="A124" s="349"/>
      <c r="C124" s="350" t="s">
        <v>3742</v>
      </c>
      <c r="I124" s="210"/>
      <c r="J124" s="200"/>
      <c r="U124" s="158"/>
      <c r="V124" s="158"/>
      <c r="W124" s="158"/>
      <c r="X124" s="200"/>
    </row>
    <row r="125" spans="1:24">
      <c r="A125" s="349"/>
      <c r="C125" s="356" t="s">
        <v>3716</v>
      </c>
      <c r="I125" s="357">
        <v>10.59</v>
      </c>
      <c r="J125" s="200"/>
      <c r="U125" s="158"/>
      <c r="V125" s="158"/>
      <c r="W125" s="158"/>
      <c r="X125" s="200"/>
    </row>
    <row r="126" spans="1:24">
      <c r="A126" s="349"/>
      <c r="C126" s="356" t="s">
        <v>3708</v>
      </c>
      <c r="I126" s="357">
        <v>11.38</v>
      </c>
      <c r="J126" s="200"/>
      <c r="U126" s="158"/>
      <c r="V126" s="158"/>
      <c r="W126" s="158"/>
      <c r="X126" s="200"/>
    </row>
    <row r="127" spans="1:24">
      <c r="A127" s="349"/>
      <c r="C127" s="356" t="s">
        <v>3709</v>
      </c>
      <c r="I127" s="357">
        <v>19.16</v>
      </c>
      <c r="J127" s="200"/>
      <c r="U127" s="158"/>
      <c r="V127" s="158"/>
      <c r="W127" s="158"/>
      <c r="X127" s="200"/>
    </row>
    <row r="128" spans="1:24">
      <c r="A128" s="349"/>
      <c r="C128" s="356" t="s">
        <v>3723</v>
      </c>
      <c r="I128" s="357">
        <v>50.72</v>
      </c>
      <c r="J128" s="200"/>
      <c r="U128" s="158"/>
      <c r="V128" s="158"/>
      <c r="W128" s="158"/>
      <c r="X128" s="200"/>
    </row>
    <row r="129" spans="1:24">
      <c r="A129" s="349"/>
      <c r="C129" s="364" t="s">
        <v>3741</v>
      </c>
      <c r="I129" s="357">
        <v>2.3769999999999998</v>
      </c>
      <c r="J129" s="200"/>
      <c r="U129" s="158"/>
      <c r="V129" s="158"/>
      <c r="W129" s="158"/>
      <c r="X129" s="200"/>
    </row>
    <row r="130" spans="1:24">
      <c r="A130" s="349"/>
      <c r="C130" s="356" t="s">
        <v>3717</v>
      </c>
      <c r="I130" s="357">
        <v>5.64</v>
      </c>
      <c r="J130" s="200"/>
      <c r="U130" s="158"/>
      <c r="V130" s="158"/>
      <c r="W130" s="158"/>
      <c r="X130" s="200"/>
    </row>
    <row r="131" spans="1:24">
      <c r="A131" s="349"/>
      <c r="C131" s="356" t="s">
        <v>3710</v>
      </c>
      <c r="I131" s="357">
        <v>60.41</v>
      </c>
      <c r="J131" s="200"/>
      <c r="U131" s="158"/>
      <c r="V131" s="158"/>
      <c r="W131" s="158"/>
      <c r="X131" s="200"/>
    </row>
    <row r="132" spans="1:24">
      <c r="A132" s="349"/>
      <c r="C132" s="356" t="s">
        <v>3711</v>
      </c>
      <c r="I132" s="357">
        <v>14.76</v>
      </c>
      <c r="J132" s="200"/>
      <c r="U132" s="158"/>
      <c r="V132" s="158"/>
      <c r="W132" s="158"/>
      <c r="X132" s="200"/>
    </row>
    <row r="133" spans="1:24">
      <c r="A133" s="349"/>
      <c r="C133" s="356" t="s">
        <v>3712</v>
      </c>
      <c r="I133" s="357">
        <v>14.75</v>
      </c>
      <c r="J133" s="200"/>
      <c r="U133" s="158"/>
      <c r="V133" s="158"/>
      <c r="W133" s="158"/>
      <c r="X133" s="200"/>
    </row>
    <row r="134" spans="1:24">
      <c r="A134" s="349"/>
      <c r="C134" s="356" t="s">
        <v>3713</v>
      </c>
      <c r="I134" s="357">
        <v>5.6639999999999997</v>
      </c>
      <c r="J134" s="200"/>
      <c r="U134" s="158"/>
      <c r="V134" s="158"/>
      <c r="W134" s="158"/>
      <c r="X134" s="200"/>
    </row>
    <row r="135" spans="1:24">
      <c r="A135" s="349"/>
      <c r="C135" s="364" t="s">
        <v>3714</v>
      </c>
      <c r="I135" s="357">
        <v>15.504</v>
      </c>
      <c r="J135" s="200"/>
      <c r="U135" s="158"/>
      <c r="V135" s="158"/>
      <c r="W135" s="158"/>
      <c r="X135" s="200"/>
    </row>
    <row r="136" spans="1:24">
      <c r="A136" s="349"/>
      <c r="C136" s="364" t="s">
        <v>3743</v>
      </c>
      <c r="I136" s="357">
        <f>I135</f>
        <v>15.504</v>
      </c>
      <c r="J136" s="200"/>
      <c r="U136" s="158"/>
      <c r="V136" s="158"/>
      <c r="W136" s="158"/>
      <c r="X136" s="200"/>
    </row>
    <row r="137" spans="1:24">
      <c r="A137" s="349"/>
      <c r="C137" s="364"/>
      <c r="I137" s="210">
        <f>SUM(I125:I136)</f>
        <v>226.45899999999995</v>
      </c>
      <c r="J137" s="200" t="s">
        <v>376</v>
      </c>
      <c r="U137" s="158"/>
      <c r="V137" s="158"/>
      <c r="W137" s="158"/>
      <c r="X137" s="200"/>
    </row>
    <row r="138" spans="1:24">
      <c r="C138" s="351" t="s">
        <v>3744</v>
      </c>
      <c r="I138" s="210"/>
      <c r="J138" s="200"/>
      <c r="U138" s="158"/>
      <c r="V138" s="158"/>
      <c r="W138" s="158"/>
      <c r="X138" s="200"/>
    </row>
    <row r="139" spans="1:24">
      <c r="A139" s="349"/>
      <c r="C139" s="356" t="s">
        <v>3722</v>
      </c>
      <c r="I139" s="357">
        <v>3.4506749999999999</v>
      </c>
      <c r="J139" s="200"/>
      <c r="U139" s="158"/>
      <c r="V139" s="158"/>
      <c r="W139" s="158"/>
      <c r="X139" s="200"/>
    </row>
    <row r="140" spans="1:24">
      <c r="A140" s="349"/>
      <c r="C140" s="364" t="s">
        <v>3718</v>
      </c>
      <c r="I140" s="357">
        <v>4.5599999999999996</v>
      </c>
      <c r="J140" s="200"/>
      <c r="U140" s="158"/>
      <c r="V140" s="158"/>
      <c r="W140" s="158"/>
      <c r="X140" s="200"/>
    </row>
    <row r="141" spans="1:24">
      <c r="A141" s="349"/>
      <c r="C141" s="364" t="s">
        <v>3719</v>
      </c>
      <c r="I141" s="357">
        <f>I140</f>
        <v>4.5599999999999996</v>
      </c>
      <c r="J141" s="200"/>
      <c r="U141" s="158"/>
      <c r="V141" s="158"/>
      <c r="W141" s="158"/>
      <c r="X141" s="200"/>
    </row>
    <row r="142" spans="1:24">
      <c r="A142" s="349"/>
      <c r="C142" s="356"/>
      <c r="I142" s="210">
        <f>SUM(I139:I141)</f>
        <v>12.570674999999998</v>
      </c>
      <c r="J142" s="200" t="s">
        <v>376</v>
      </c>
      <c r="U142" s="158"/>
      <c r="V142" s="158"/>
      <c r="W142" s="158"/>
      <c r="X142" s="200"/>
    </row>
    <row r="143" spans="1:24">
      <c r="A143" s="349"/>
      <c r="C143" s="356"/>
      <c r="I143" s="210"/>
      <c r="J143" s="200"/>
      <c r="U143" s="158"/>
      <c r="V143" s="158"/>
      <c r="W143" s="158"/>
      <c r="X143" s="200"/>
    </row>
    <row r="144" spans="1:24">
      <c r="A144" s="349"/>
      <c r="C144" s="351" t="s">
        <v>3825</v>
      </c>
      <c r="I144" s="210"/>
      <c r="J144" s="200"/>
      <c r="U144" s="158"/>
      <c r="V144" s="158"/>
      <c r="W144" s="158"/>
      <c r="X144" s="200"/>
    </row>
    <row r="145" spans="1:24">
      <c r="A145" s="349"/>
      <c r="C145" s="581" t="s">
        <v>3823</v>
      </c>
      <c r="I145" s="210">
        <f>117.825722-I139</f>
        <v>114.375047</v>
      </c>
      <c r="J145" s="200" t="s">
        <v>376</v>
      </c>
      <c r="U145" s="158"/>
      <c r="V145" s="158"/>
      <c r="W145" s="158"/>
      <c r="X145" s="200"/>
    </row>
    <row r="146" spans="1:24">
      <c r="A146" s="349"/>
      <c r="C146" s="356"/>
      <c r="I146" s="210"/>
      <c r="J146" s="200"/>
      <c r="U146" s="158"/>
      <c r="V146" s="158"/>
      <c r="W146" s="158"/>
      <c r="X146" s="200"/>
    </row>
    <row r="147" spans="1:24">
      <c r="A147" s="349"/>
      <c r="C147" s="356"/>
      <c r="I147" s="210"/>
      <c r="J147" s="200"/>
      <c r="U147" s="158"/>
      <c r="V147" s="158"/>
      <c r="W147" s="158"/>
      <c r="X147" s="200"/>
    </row>
    <row r="148" spans="1:24">
      <c r="A148" s="349"/>
      <c r="C148" s="356"/>
      <c r="I148" s="210"/>
      <c r="J148" s="200"/>
      <c r="U148" s="158"/>
      <c r="V148" s="158"/>
      <c r="W148" s="158"/>
      <c r="X148" s="200"/>
    </row>
    <row r="149" spans="1:24">
      <c r="A149" s="349"/>
      <c r="C149" s="350" t="s">
        <v>3745</v>
      </c>
      <c r="I149" s="357"/>
      <c r="J149" s="200"/>
      <c r="U149" s="158"/>
      <c r="V149" s="158"/>
      <c r="W149" s="158"/>
      <c r="X149" s="200"/>
    </row>
    <row r="150" spans="1:24">
      <c r="A150" s="349"/>
      <c r="C150" s="356" t="s">
        <v>3716</v>
      </c>
      <c r="I150" s="357">
        <v>15.753</v>
      </c>
      <c r="J150" s="200"/>
      <c r="U150" s="158"/>
      <c r="V150" s="158"/>
      <c r="W150" s="158"/>
      <c r="X150" s="200"/>
    </row>
    <row r="151" spans="1:24">
      <c r="A151" s="349"/>
      <c r="C151" s="356" t="s">
        <v>3708</v>
      </c>
      <c r="I151" s="357">
        <v>13.747999999999999</v>
      </c>
      <c r="J151" s="200"/>
      <c r="U151" s="158"/>
      <c r="V151" s="158"/>
      <c r="W151" s="158"/>
      <c r="X151" s="200"/>
    </row>
    <row r="152" spans="1:24">
      <c r="A152" s="349"/>
      <c r="C152" s="356" t="s">
        <v>3709</v>
      </c>
      <c r="I152" s="357">
        <v>17.449000000000002</v>
      </c>
      <c r="J152" s="200"/>
      <c r="U152" s="158"/>
      <c r="V152" s="158"/>
      <c r="W152" s="158"/>
      <c r="X152" s="200"/>
    </row>
    <row r="153" spans="1:24">
      <c r="A153" s="349"/>
      <c r="C153" s="364" t="s">
        <v>3746</v>
      </c>
      <c r="I153" s="357">
        <f>70.666</f>
        <v>70.665999999999997</v>
      </c>
      <c r="J153" s="200"/>
      <c r="U153" s="158"/>
      <c r="V153" s="158"/>
      <c r="W153" s="158"/>
      <c r="X153" s="200"/>
    </row>
    <row r="154" spans="1:24">
      <c r="A154" s="349"/>
      <c r="C154" s="364" t="s">
        <v>3741</v>
      </c>
      <c r="I154" s="357">
        <v>6.17</v>
      </c>
      <c r="J154" s="200"/>
      <c r="U154" s="158"/>
      <c r="V154" s="158"/>
      <c r="W154" s="158"/>
      <c r="X154" s="200"/>
    </row>
    <row r="155" spans="1:24">
      <c r="A155" s="349"/>
      <c r="C155" s="356" t="s">
        <v>3717</v>
      </c>
      <c r="I155" s="206">
        <v>10.69</v>
      </c>
      <c r="J155" s="200"/>
      <c r="U155" s="158"/>
      <c r="V155" s="158"/>
      <c r="W155" s="158"/>
      <c r="X155" s="200"/>
    </row>
    <row r="156" spans="1:24">
      <c r="A156" s="349"/>
      <c r="C156" s="356" t="s">
        <v>3711</v>
      </c>
      <c r="I156" s="357">
        <v>15.53</v>
      </c>
      <c r="J156" s="200"/>
      <c r="U156" s="158"/>
      <c r="V156" s="158"/>
      <c r="W156" s="158"/>
      <c r="X156" s="200"/>
    </row>
    <row r="157" spans="1:24">
      <c r="A157" s="349"/>
      <c r="C157" s="356" t="s">
        <v>3712</v>
      </c>
      <c r="I157" s="357">
        <v>15.516999999999999</v>
      </c>
      <c r="J157" s="200"/>
      <c r="U157" s="158"/>
      <c r="V157" s="158"/>
      <c r="W157" s="158"/>
      <c r="X157" s="200"/>
    </row>
    <row r="158" spans="1:24">
      <c r="A158" s="349"/>
      <c r="C158" s="356" t="s">
        <v>3713</v>
      </c>
      <c r="I158" s="357">
        <v>9.52</v>
      </c>
      <c r="J158" s="200"/>
      <c r="U158" s="158"/>
      <c r="V158" s="158"/>
      <c r="W158" s="158"/>
      <c r="X158" s="200"/>
    </row>
    <row r="159" spans="1:24">
      <c r="A159" s="349"/>
      <c r="C159" s="364" t="s">
        <v>3714</v>
      </c>
      <c r="I159" s="357">
        <v>15.518000000000001</v>
      </c>
      <c r="J159" s="200"/>
      <c r="U159" s="158"/>
      <c r="V159" s="158"/>
      <c r="W159" s="158"/>
      <c r="X159" s="200"/>
    </row>
    <row r="160" spans="1:24">
      <c r="A160" s="349"/>
      <c r="C160" s="364" t="s">
        <v>3743</v>
      </c>
      <c r="I160" s="357">
        <f>I159</f>
        <v>15.518000000000001</v>
      </c>
      <c r="J160" s="200"/>
      <c r="U160" s="158"/>
      <c r="V160" s="158"/>
      <c r="W160" s="158"/>
      <c r="X160" s="200"/>
    </row>
    <row r="161" spans="1:24">
      <c r="C161" s="365" t="s">
        <v>3718</v>
      </c>
      <c r="I161" s="206">
        <v>8.5510000000000002</v>
      </c>
      <c r="U161" s="158"/>
      <c r="V161" s="158"/>
      <c r="W161" s="158"/>
      <c r="X161" s="200"/>
    </row>
    <row r="162" spans="1:24">
      <c r="C162" s="365" t="s">
        <v>3719</v>
      </c>
      <c r="I162" s="206">
        <f>I161</f>
        <v>8.5510000000000002</v>
      </c>
      <c r="R162" s="200"/>
      <c r="U162" s="158"/>
      <c r="V162" s="158"/>
      <c r="W162" s="158"/>
      <c r="X162" s="200"/>
    </row>
    <row r="163" spans="1:24">
      <c r="B163" s="200"/>
      <c r="C163" s="365" t="s">
        <v>3722</v>
      </c>
      <c r="I163" s="206">
        <v>7.52</v>
      </c>
      <c r="R163" s="200"/>
      <c r="U163" s="158"/>
      <c r="V163" s="158"/>
      <c r="W163" s="158"/>
      <c r="X163" s="200"/>
    </row>
    <row r="164" spans="1:24">
      <c r="B164" s="200"/>
      <c r="C164" s="365"/>
      <c r="I164" s="210">
        <f>SUM(I150:I163)</f>
        <v>230.70099999999999</v>
      </c>
      <c r="J164" s="200" t="s">
        <v>2911</v>
      </c>
      <c r="R164" s="200"/>
      <c r="U164" s="158"/>
      <c r="V164" s="158"/>
      <c r="W164" s="158"/>
      <c r="X164" s="200"/>
    </row>
    <row r="165" spans="1:24">
      <c r="B165" s="200"/>
      <c r="C165" s="365"/>
      <c r="R165" s="200"/>
      <c r="U165" s="158"/>
      <c r="V165" s="158"/>
      <c r="W165" s="158"/>
      <c r="X165" s="200"/>
    </row>
    <row r="166" spans="1:24">
      <c r="A166" s="200">
        <v>5</v>
      </c>
      <c r="B166" s="200" t="s">
        <v>3747</v>
      </c>
      <c r="C166" s="203"/>
      <c r="I166" s="210"/>
      <c r="J166" s="200"/>
      <c r="U166" s="158"/>
      <c r="V166" s="158"/>
      <c r="W166" s="158"/>
      <c r="X166" s="200"/>
    </row>
    <row r="167" spans="1:24">
      <c r="A167" s="200"/>
      <c r="B167" s="200" t="s">
        <v>3827</v>
      </c>
      <c r="C167" s="203"/>
      <c r="I167" s="210"/>
      <c r="J167" s="200"/>
      <c r="U167" s="158"/>
      <c r="V167" s="158"/>
      <c r="W167" s="158"/>
      <c r="X167" s="200"/>
    </row>
    <row r="168" spans="1:24">
      <c r="B168" s="579" t="s">
        <v>3802</v>
      </c>
      <c r="C168" s="342" t="s">
        <v>3691</v>
      </c>
      <c r="D168" s="158">
        <f>2.265+3.88+0.38+1.765+3.65</f>
        <v>11.94</v>
      </c>
      <c r="F168" s="158">
        <v>4.3179999999999996</v>
      </c>
      <c r="I168" s="206">
        <f>D168*F168</f>
        <v>51.556919999999991</v>
      </c>
      <c r="U168" s="158"/>
      <c r="V168" s="158"/>
      <c r="W168" s="158"/>
    </row>
    <row r="169" spans="1:24">
      <c r="B169" s="579" t="s">
        <v>3802</v>
      </c>
      <c r="C169" s="342" t="s">
        <v>3692</v>
      </c>
      <c r="D169" s="158">
        <f>5.88+2.765+0.765</f>
        <v>9.41</v>
      </c>
      <c r="F169" s="158">
        <v>3.8180000000000001</v>
      </c>
      <c r="I169" s="206">
        <f t="shared" ref="I169:I189" si="7">D169*F169</f>
        <v>35.927379999999999</v>
      </c>
      <c r="U169" s="158"/>
      <c r="V169" s="158"/>
      <c r="W169" s="158"/>
    </row>
    <row r="170" spans="1:24">
      <c r="B170" s="579" t="s">
        <v>3802</v>
      </c>
      <c r="C170" s="342" t="s">
        <v>3722</v>
      </c>
      <c r="D170" s="158">
        <f>1.88*4</f>
        <v>7.52</v>
      </c>
      <c r="F170" s="158">
        <v>3.8180000000000001</v>
      </c>
      <c r="I170" s="206">
        <v>0</v>
      </c>
      <c r="U170" s="158"/>
      <c r="V170" s="158"/>
      <c r="W170" s="158"/>
    </row>
    <row r="171" spans="1:24">
      <c r="B171" s="579" t="s">
        <v>3802</v>
      </c>
      <c r="C171" s="342" t="s">
        <v>3693</v>
      </c>
      <c r="D171" s="158">
        <f>3.65+2.765+3.995</f>
        <v>10.41</v>
      </c>
      <c r="F171" s="158">
        <v>3.15</v>
      </c>
      <c r="I171" s="206">
        <f t="shared" si="7"/>
        <v>32.791499999999999</v>
      </c>
      <c r="U171" s="158"/>
      <c r="V171" s="158"/>
      <c r="W171" s="158"/>
    </row>
    <row r="172" spans="1:24">
      <c r="B172" s="579" t="s">
        <v>3802</v>
      </c>
      <c r="C172" s="342" t="s">
        <v>3694</v>
      </c>
      <c r="D172" s="158">
        <f>3.65</f>
        <v>3.65</v>
      </c>
      <c r="F172" s="158">
        <v>3.9369999999999998</v>
      </c>
      <c r="I172" s="206">
        <f t="shared" si="7"/>
        <v>14.370049999999999</v>
      </c>
      <c r="U172" s="158"/>
      <c r="V172" s="158"/>
      <c r="W172" s="158"/>
    </row>
    <row r="173" spans="1:24">
      <c r="B173" s="579" t="s">
        <v>3802</v>
      </c>
      <c r="C173" s="342"/>
      <c r="D173" s="158">
        <f>1.465+2.065+0.765</f>
        <v>4.2949999999999999</v>
      </c>
      <c r="F173" s="158">
        <v>3</v>
      </c>
      <c r="I173" s="206">
        <f t="shared" si="7"/>
        <v>12.885</v>
      </c>
      <c r="U173" s="158"/>
      <c r="V173" s="158"/>
      <c r="W173" s="158"/>
    </row>
    <row r="174" spans="1:24">
      <c r="B174" s="579" t="s">
        <v>3802</v>
      </c>
      <c r="C174" s="127" t="s">
        <v>3493</v>
      </c>
      <c r="D174" s="158">
        <f>2.14+1.505+1.465+3.65</f>
        <v>8.76</v>
      </c>
      <c r="F174" s="158">
        <v>3</v>
      </c>
      <c r="I174" s="206">
        <f t="shared" si="7"/>
        <v>26.28</v>
      </c>
      <c r="U174" s="158"/>
      <c r="V174" s="158"/>
      <c r="W174" s="158"/>
    </row>
    <row r="175" spans="1:24">
      <c r="B175" s="579" t="s">
        <v>3802</v>
      </c>
      <c r="C175" s="342" t="s">
        <v>3695</v>
      </c>
      <c r="D175" s="158">
        <f>1.58+1.505+1.58+0.365</f>
        <v>5.03</v>
      </c>
      <c r="F175" s="158">
        <v>3</v>
      </c>
      <c r="I175" s="206">
        <f t="shared" si="7"/>
        <v>15.09</v>
      </c>
      <c r="U175" s="158"/>
      <c r="V175" s="158"/>
      <c r="W175" s="158"/>
    </row>
    <row r="176" spans="1:24">
      <c r="B176" s="579" t="s">
        <v>3802</v>
      </c>
      <c r="C176" s="579" t="s">
        <v>3803</v>
      </c>
      <c r="D176" s="158">
        <f>3.65*4</f>
        <v>14.6</v>
      </c>
      <c r="F176" s="158">
        <f t="shared" ref="F176" si="8">1.65+2.7-0.4</f>
        <v>3.9499999999999997</v>
      </c>
      <c r="I176" s="206">
        <f t="shared" si="7"/>
        <v>57.669999999999995</v>
      </c>
      <c r="U176" s="158"/>
      <c r="V176" s="158"/>
      <c r="W176" s="158"/>
    </row>
    <row r="177" spans="2:23" ht="14" customHeight="1">
      <c r="B177" s="579" t="s">
        <v>3802</v>
      </c>
      <c r="C177" s="342" t="s">
        <v>3696</v>
      </c>
      <c r="D177" s="158">
        <f>3.65+3.65+3.65</f>
        <v>10.95</v>
      </c>
      <c r="F177" s="158">
        <v>3</v>
      </c>
      <c r="I177" s="206">
        <f t="shared" si="7"/>
        <v>32.849999999999994</v>
      </c>
      <c r="U177" s="158"/>
      <c r="V177" s="158"/>
      <c r="W177" s="158"/>
    </row>
    <row r="178" spans="2:23">
      <c r="B178" s="579" t="s">
        <v>3802</v>
      </c>
      <c r="C178" s="342"/>
      <c r="D178" s="158">
        <v>3.65</v>
      </c>
      <c r="F178" s="158">
        <v>3.95</v>
      </c>
      <c r="I178" s="206">
        <f t="shared" si="7"/>
        <v>14.4175</v>
      </c>
      <c r="U178" s="158"/>
      <c r="V178" s="158"/>
      <c r="W178" s="158"/>
    </row>
    <row r="179" spans="2:23">
      <c r="B179" s="579" t="s">
        <v>3802</v>
      </c>
      <c r="C179" s="342" t="s">
        <v>3697</v>
      </c>
      <c r="D179" s="158">
        <f>3.65+1.265</f>
        <v>4.915</v>
      </c>
      <c r="F179" s="158">
        <v>3</v>
      </c>
      <c r="I179" s="206">
        <f t="shared" si="7"/>
        <v>14.745000000000001</v>
      </c>
      <c r="U179" s="158"/>
      <c r="V179" s="158"/>
      <c r="W179" s="158"/>
    </row>
    <row r="180" spans="2:23">
      <c r="B180" s="579" t="s">
        <v>3802</v>
      </c>
      <c r="C180" s="342"/>
      <c r="D180" s="158">
        <f>3.65*2</f>
        <v>7.3</v>
      </c>
      <c r="F180" s="158">
        <v>3.95</v>
      </c>
      <c r="I180" s="206">
        <f t="shared" si="7"/>
        <v>28.835000000000001</v>
      </c>
      <c r="U180" s="158"/>
      <c r="V180" s="158"/>
      <c r="W180" s="158"/>
    </row>
    <row r="181" spans="2:23">
      <c r="B181" s="579" t="s">
        <v>3802</v>
      </c>
      <c r="C181" s="342" t="s">
        <v>3698</v>
      </c>
      <c r="D181" s="158">
        <f>2.265+1.88+2.38</f>
        <v>6.5249999999999995</v>
      </c>
      <c r="F181" s="158">
        <v>3</v>
      </c>
      <c r="I181" s="206">
        <v>0</v>
      </c>
      <c r="U181" s="158"/>
      <c r="V181" s="158"/>
      <c r="W181" s="158"/>
    </row>
    <row r="182" spans="2:23">
      <c r="B182" s="579" t="s">
        <v>3802</v>
      </c>
      <c r="C182" s="342"/>
      <c r="D182" s="158">
        <v>1.7649999999999999</v>
      </c>
      <c r="F182" s="158">
        <v>3.95</v>
      </c>
      <c r="I182" s="206">
        <v>0</v>
      </c>
      <c r="U182" s="158"/>
      <c r="V182" s="158"/>
      <c r="W182" s="158"/>
    </row>
    <row r="183" spans="2:23">
      <c r="B183" s="579" t="s">
        <v>3802</v>
      </c>
      <c r="C183" s="342" t="s">
        <v>3699</v>
      </c>
      <c r="D183" s="158">
        <f>2.265+1.88+2.38</f>
        <v>6.5249999999999995</v>
      </c>
      <c r="F183" s="158">
        <v>3</v>
      </c>
      <c r="I183" s="206">
        <v>0</v>
      </c>
      <c r="U183" s="158"/>
      <c r="V183" s="158"/>
      <c r="W183" s="158"/>
    </row>
    <row r="184" spans="2:23">
      <c r="B184" s="579" t="s">
        <v>3802</v>
      </c>
      <c r="C184" s="342"/>
      <c r="D184" s="158">
        <v>1.7649999999999999</v>
      </c>
      <c r="F184" s="158">
        <v>3.95</v>
      </c>
      <c r="I184" s="206">
        <v>0</v>
      </c>
      <c r="U184" s="158"/>
      <c r="V184" s="158"/>
      <c r="W184" s="158"/>
    </row>
    <row r="185" spans="2:23">
      <c r="B185" s="579" t="s">
        <v>3802</v>
      </c>
      <c r="C185" s="342" t="s">
        <v>3700</v>
      </c>
      <c r="D185" s="158">
        <f>2.38*3+2.265</f>
        <v>9.4049999999999994</v>
      </c>
      <c r="F185" s="158">
        <v>3</v>
      </c>
      <c r="I185" s="206">
        <f t="shared" si="7"/>
        <v>28.214999999999996</v>
      </c>
      <c r="U185" s="158"/>
      <c r="V185" s="158"/>
      <c r="W185" s="158"/>
    </row>
    <row r="186" spans="2:23">
      <c r="B186" s="579" t="s">
        <v>3802</v>
      </c>
      <c r="C186" s="342" t="s">
        <v>3701</v>
      </c>
      <c r="D186" s="158">
        <f>3.65*2+1.262</f>
        <v>8.5619999999999994</v>
      </c>
      <c r="F186" s="158">
        <v>3</v>
      </c>
      <c r="I186" s="206">
        <f t="shared" si="7"/>
        <v>25.686</v>
      </c>
      <c r="U186" s="158"/>
      <c r="V186" s="158"/>
      <c r="W186" s="158"/>
    </row>
    <row r="187" spans="2:23">
      <c r="B187" s="579" t="s">
        <v>3802</v>
      </c>
      <c r="C187" s="342"/>
      <c r="D187" s="158">
        <v>3.65</v>
      </c>
      <c r="F187" s="158">
        <v>3.95</v>
      </c>
      <c r="I187" s="206">
        <f t="shared" si="7"/>
        <v>14.4175</v>
      </c>
      <c r="U187" s="158"/>
      <c r="V187" s="158"/>
      <c r="W187" s="158"/>
    </row>
    <row r="188" spans="2:23">
      <c r="B188" s="579" t="s">
        <v>3802</v>
      </c>
      <c r="C188" s="342" t="s">
        <v>3702</v>
      </c>
      <c r="D188" s="158">
        <v>1.2649999999999999</v>
      </c>
      <c r="F188" s="158">
        <v>3</v>
      </c>
      <c r="I188" s="206">
        <f t="shared" si="7"/>
        <v>3.7949999999999999</v>
      </c>
      <c r="U188" s="158"/>
      <c r="V188" s="158"/>
      <c r="W188" s="158"/>
    </row>
    <row r="189" spans="2:23">
      <c r="B189" s="579" t="s">
        <v>3802</v>
      </c>
      <c r="C189" s="342"/>
      <c r="D189" s="158">
        <f>3.65*2</f>
        <v>7.3</v>
      </c>
      <c r="F189" s="158">
        <v>3.95</v>
      </c>
      <c r="I189" s="206">
        <f t="shared" si="7"/>
        <v>28.835000000000001</v>
      </c>
      <c r="U189" s="158"/>
      <c r="V189" s="158"/>
      <c r="W189" s="158"/>
    </row>
    <row r="190" spans="2:23">
      <c r="B190" s="579" t="s">
        <v>3802</v>
      </c>
      <c r="C190" s="579" t="s">
        <v>3804</v>
      </c>
      <c r="D190" s="158">
        <f>1.135*10</f>
        <v>11.35</v>
      </c>
      <c r="F190" s="158">
        <v>3.95</v>
      </c>
      <c r="I190" s="206">
        <v>0</v>
      </c>
      <c r="U190" s="158"/>
      <c r="V190" s="158"/>
      <c r="W190" s="158"/>
    </row>
    <row r="191" spans="2:23">
      <c r="B191" s="579" t="s">
        <v>3802</v>
      </c>
      <c r="C191" s="579" t="s">
        <v>3808</v>
      </c>
      <c r="D191" s="158">
        <f>3.65*3</f>
        <v>10.95</v>
      </c>
      <c r="F191" s="158">
        <v>1.728</v>
      </c>
      <c r="I191" s="206">
        <v>0</v>
      </c>
      <c r="U191" s="158"/>
      <c r="V191" s="158"/>
      <c r="W191" s="158"/>
    </row>
    <row r="192" spans="2:23">
      <c r="B192" s="579" t="s">
        <v>3802</v>
      </c>
      <c r="C192" s="579" t="s">
        <v>3809</v>
      </c>
      <c r="D192" s="158">
        <f>4.96*2+12</f>
        <v>21.92</v>
      </c>
      <c r="F192" s="158">
        <v>0.5</v>
      </c>
      <c r="I192" s="206">
        <v>0</v>
      </c>
      <c r="U192" s="158"/>
      <c r="V192" s="158"/>
      <c r="W192" s="158"/>
    </row>
    <row r="193" spans="2:24">
      <c r="B193" s="579" t="s">
        <v>3802</v>
      </c>
      <c r="C193" s="361" t="s">
        <v>3814</v>
      </c>
      <c r="D193" s="158">
        <v>3.65</v>
      </c>
      <c r="F193" s="158">
        <v>2.15</v>
      </c>
      <c r="I193" s="206">
        <f>D193*F193+((4.35+3.35+3.35)*2.15)</f>
        <v>31.604999999999997</v>
      </c>
      <c r="J193" s="200"/>
      <c r="U193" s="158"/>
      <c r="V193" s="158"/>
      <c r="W193" s="158"/>
    </row>
    <row r="194" spans="2:24">
      <c r="B194" s="579" t="s">
        <v>3802</v>
      </c>
      <c r="C194" s="361" t="s">
        <v>3770</v>
      </c>
      <c r="I194" s="570">
        <v>0</v>
      </c>
      <c r="J194" s="200"/>
      <c r="U194" s="158"/>
      <c r="V194" s="158"/>
      <c r="W194" s="158"/>
    </row>
    <row r="195" spans="2:24">
      <c r="B195" s="579" t="s">
        <v>3802</v>
      </c>
      <c r="C195" s="351" t="s">
        <v>3806</v>
      </c>
      <c r="U195" s="158"/>
      <c r="V195" s="158"/>
      <c r="W195" s="158"/>
    </row>
    <row r="196" spans="2:24">
      <c r="B196" s="579" t="s">
        <v>3802</v>
      </c>
      <c r="C196" s="346" t="s">
        <v>3729</v>
      </c>
      <c r="D196" s="158">
        <v>1.7</v>
      </c>
      <c r="F196" s="158">
        <v>2.1</v>
      </c>
      <c r="G196" s="158">
        <v>-2</v>
      </c>
      <c r="I196" s="345">
        <f>D196*F196*G196</f>
        <v>-7.14</v>
      </c>
      <c r="J196" s="200"/>
      <c r="U196" s="158"/>
      <c r="V196" s="158"/>
      <c r="W196" s="158"/>
    </row>
    <row r="197" spans="2:24">
      <c r="B197" s="579" t="s">
        <v>3802</v>
      </c>
      <c r="C197" s="346" t="s">
        <v>3495</v>
      </c>
      <c r="D197" s="158">
        <v>0.58899999999999997</v>
      </c>
      <c r="F197" s="158">
        <v>0.38900000000000001</v>
      </c>
      <c r="G197" s="158">
        <v>-3</v>
      </c>
      <c r="I197" s="345">
        <f>D197*F197*G197</f>
        <v>-0.68736299999999995</v>
      </c>
      <c r="J197" s="200"/>
      <c r="U197" s="158"/>
      <c r="V197" s="158"/>
      <c r="W197" s="158"/>
    </row>
    <row r="198" spans="2:24">
      <c r="B198" s="579" t="s">
        <v>3802</v>
      </c>
      <c r="C198" s="346" t="s">
        <v>3805</v>
      </c>
      <c r="D198" s="158">
        <v>1.8</v>
      </c>
      <c r="F198" s="158">
        <v>0.38900000000000001</v>
      </c>
      <c r="G198" s="158">
        <v>-2</v>
      </c>
      <c r="I198" s="345">
        <f t="shared" ref="I198:I199" si="9">D198*F198*G198</f>
        <v>-1.4004000000000001</v>
      </c>
      <c r="J198" s="200"/>
      <c r="U198" s="158"/>
      <c r="V198" s="158"/>
      <c r="W198" s="158"/>
    </row>
    <row r="199" spans="2:24">
      <c r="B199" s="579" t="s">
        <v>3802</v>
      </c>
      <c r="C199" s="346" t="s">
        <v>3274</v>
      </c>
      <c r="D199" s="158">
        <v>1.889</v>
      </c>
      <c r="F199" s="158">
        <v>2.1</v>
      </c>
      <c r="G199" s="158">
        <v>-2</v>
      </c>
      <c r="I199" s="345">
        <f t="shared" si="9"/>
        <v>-7.9338000000000006</v>
      </c>
      <c r="J199" s="200"/>
      <c r="U199" s="158"/>
      <c r="V199" s="158"/>
      <c r="W199" s="158"/>
    </row>
    <row r="200" spans="2:24">
      <c r="B200" s="579" t="s">
        <v>3802</v>
      </c>
      <c r="C200" s="346" t="s">
        <v>3279</v>
      </c>
      <c r="D200" s="158">
        <v>0.88900000000000001</v>
      </c>
      <c r="F200" s="158">
        <v>2.1</v>
      </c>
      <c r="G200" s="158">
        <v>-2</v>
      </c>
      <c r="I200" s="345">
        <f>D200*F200*G200</f>
        <v>-3.7338</v>
      </c>
      <c r="J200" s="200"/>
      <c r="K200" s="351"/>
      <c r="U200" s="158"/>
      <c r="V200" s="158"/>
      <c r="W200" s="158"/>
    </row>
    <row r="201" spans="2:24">
      <c r="B201" s="579" t="s">
        <v>3802</v>
      </c>
      <c r="C201" s="346" t="s">
        <v>3494</v>
      </c>
      <c r="D201" s="158">
        <v>1.8</v>
      </c>
      <c r="F201" s="158">
        <v>1.35</v>
      </c>
      <c r="G201" s="158">
        <v>-5</v>
      </c>
      <c r="I201" s="345">
        <f>D201*F201*G201</f>
        <v>-12.15</v>
      </c>
      <c r="J201" s="200"/>
      <c r="U201" s="158"/>
      <c r="V201" s="158"/>
      <c r="W201" s="158"/>
    </row>
    <row r="202" spans="2:24">
      <c r="B202" s="579" t="s">
        <v>3802</v>
      </c>
      <c r="C202" s="346" t="s">
        <v>3728</v>
      </c>
      <c r="D202" s="158">
        <v>0.88900000000000001</v>
      </c>
      <c r="F202" s="158">
        <v>2.1</v>
      </c>
      <c r="G202" s="158">
        <v>-1</v>
      </c>
      <c r="I202" s="345">
        <f t="shared" ref="I202" si="10">D202*F202*G202</f>
        <v>-1.8669</v>
      </c>
      <c r="J202" s="200"/>
      <c r="U202" s="158"/>
      <c r="V202" s="158"/>
      <c r="W202" s="158"/>
    </row>
    <row r="203" spans="2:24">
      <c r="B203" s="579"/>
      <c r="C203" s="351" t="s">
        <v>3807</v>
      </c>
      <c r="I203" s="345"/>
      <c r="J203" s="200"/>
      <c r="U203" s="158"/>
      <c r="V203" s="158"/>
      <c r="W203" s="158"/>
    </row>
    <row r="204" spans="2:24">
      <c r="B204" s="579" t="s">
        <v>3802</v>
      </c>
      <c r="C204" s="346" t="s">
        <v>3279</v>
      </c>
      <c r="D204" s="158">
        <v>0.88900000000000001</v>
      </c>
      <c r="F204" s="158">
        <v>2.1</v>
      </c>
      <c r="G204" s="158">
        <v>-9</v>
      </c>
      <c r="I204" s="345">
        <f>D204*F204*G204</f>
        <v>-16.802099999999999</v>
      </c>
      <c r="J204" s="200"/>
      <c r="U204" s="158"/>
      <c r="V204" s="158"/>
      <c r="W204" s="158"/>
    </row>
    <row r="205" spans="2:24">
      <c r="B205" s="579" t="s">
        <v>3802</v>
      </c>
      <c r="C205" s="346" t="s">
        <v>3728</v>
      </c>
      <c r="D205" s="158">
        <v>0.88900000000000001</v>
      </c>
      <c r="F205" s="158">
        <v>2.1</v>
      </c>
      <c r="G205" s="158">
        <v>-2</v>
      </c>
      <c r="I205" s="345">
        <f t="shared" ref="I205" si="11">D205*F205*G205</f>
        <v>-3.7338</v>
      </c>
      <c r="J205" s="200"/>
      <c r="U205" s="158"/>
      <c r="V205" s="158"/>
      <c r="W205" s="158"/>
    </row>
    <row r="206" spans="2:24">
      <c r="D206" s="158">
        <f>SUM(D152:D194)</f>
        <v>197.06200000000004</v>
      </c>
      <c r="I206" s="210">
        <f>SUM(I152:I205)</f>
        <v>846.42468700000018</v>
      </c>
      <c r="J206" s="200" t="s">
        <v>380</v>
      </c>
      <c r="U206" s="158"/>
      <c r="V206" s="158"/>
      <c r="W206" s="158"/>
    </row>
    <row r="207" spans="2:24">
      <c r="B207" s="200"/>
      <c r="C207" s="365"/>
      <c r="R207" s="200"/>
      <c r="U207" s="158"/>
      <c r="V207" s="158"/>
      <c r="W207" s="158"/>
      <c r="X207" s="200"/>
    </row>
    <row r="208" spans="2:24">
      <c r="B208" s="200" t="s">
        <v>3828</v>
      </c>
      <c r="C208" s="365"/>
      <c r="R208" s="200"/>
      <c r="U208" s="158"/>
      <c r="V208" s="158"/>
      <c r="W208" s="158"/>
      <c r="X208" s="200"/>
    </row>
    <row r="209" spans="2:24">
      <c r="B209" s="579" t="s">
        <v>3802</v>
      </c>
      <c r="C209" s="579" t="s">
        <v>3808</v>
      </c>
      <c r="D209" s="158">
        <f>3.65*3</f>
        <v>10.95</v>
      </c>
      <c r="F209" s="158">
        <v>1.728</v>
      </c>
      <c r="I209" s="210">
        <f>D209*F209</f>
        <v>18.921599999999998</v>
      </c>
      <c r="J209" s="200" t="s">
        <v>380</v>
      </c>
      <c r="U209" s="158"/>
      <c r="V209" s="158"/>
      <c r="W209" s="158"/>
    </row>
    <row r="210" spans="2:24">
      <c r="B210" s="200"/>
      <c r="C210" s="365"/>
      <c r="I210" s="210">
        <f>+I206+I209</f>
        <v>865.34628700000019</v>
      </c>
      <c r="R210" s="200"/>
      <c r="U210" s="158"/>
      <c r="V210" s="158"/>
      <c r="W210" s="158"/>
      <c r="X210" s="200"/>
    </row>
    <row r="211" spans="2:24">
      <c r="B211" s="200"/>
      <c r="C211" s="365"/>
      <c r="R211" s="200"/>
      <c r="U211" s="158"/>
      <c r="V211" s="158"/>
      <c r="W211" s="158"/>
      <c r="X211" s="200"/>
    </row>
    <row r="212" spans="2:24">
      <c r="B212" s="200"/>
      <c r="C212" s="365"/>
      <c r="R212" s="200"/>
      <c r="U212" s="158"/>
      <c r="V212" s="158"/>
      <c r="W212" s="158"/>
      <c r="X212" s="200"/>
    </row>
    <row r="213" spans="2:24">
      <c r="B213" s="200"/>
      <c r="C213" s="365"/>
      <c r="R213" s="200"/>
      <c r="U213" s="158"/>
      <c r="V213" s="158"/>
      <c r="W213" s="158"/>
      <c r="X213" s="200"/>
    </row>
    <row r="214" spans="2:24">
      <c r="B214" s="200" t="s">
        <v>3511</v>
      </c>
      <c r="R214" s="200"/>
      <c r="U214" s="158"/>
      <c r="V214" s="158"/>
      <c r="W214" s="158"/>
      <c r="X214" s="200"/>
    </row>
    <row r="215" spans="2:24">
      <c r="B215" s="200" t="s">
        <v>3491</v>
      </c>
      <c r="C215" s="158" t="s">
        <v>127</v>
      </c>
      <c r="D215" s="158" t="s">
        <v>3492</v>
      </c>
      <c r="E215" s="158" t="s">
        <v>3236</v>
      </c>
      <c r="F215" s="127"/>
      <c r="R215" s="200"/>
      <c r="U215" s="158"/>
      <c r="V215" s="158"/>
      <c r="W215" s="158"/>
      <c r="X215" s="200"/>
    </row>
    <row r="216" spans="2:24">
      <c r="B216" s="346" t="s">
        <v>3274</v>
      </c>
      <c r="C216" s="158">
        <f>D38+0.3</f>
        <v>2.1890000000000001</v>
      </c>
      <c r="D216" s="158">
        <v>2</v>
      </c>
      <c r="E216" s="158">
        <f>C216*D216</f>
        <v>4.3780000000000001</v>
      </c>
      <c r="G216" s="127"/>
      <c r="I216" s="345"/>
      <c r="J216" s="200"/>
      <c r="U216" s="158"/>
      <c r="V216" s="158"/>
      <c r="W216" s="158"/>
    </row>
    <row r="217" spans="2:24">
      <c r="B217" s="346" t="s">
        <v>3279</v>
      </c>
      <c r="C217" s="158">
        <f>D39+0.3</f>
        <v>1.1890000000000001</v>
      </c>
      <c r="D217" s="158">
        <v>10</v>
      </c>
      <c r="E217" s="158">
        <f t="shared" ref="E217:E221" si="12">C217*D217</f>
        <v>11.89</v>
      </c>
      <c r="G217" s="127"/>
      <c r="I217" s="345"/>
      <c r="J217" s="200"/>
      <c r="U217" s="158"/>
      <c r="V217" s="158"/>
      <c r="W217" s="158"/>
    </row>
    <row r="218" spans="2:24">
      <c r="B218" s="346" t="s">
        <v>3728</v>
      </c>
      <c r="C218" s="158">
        <f>D41+0.3</f>
        <v>1.1890000000000001</v>
      </c>
      <c r="D218" s="158">
        <v>3</v>
      </c>
      <c r="E218" s="158">
        <f t="shared" si="12"/>
        <v>3.5670000000000002</v>
      </c>
      <c r="G218" s="127"/>
      <c r="I218" s="345"/>
      <c r="J218" s="200"/>
      <c r="U218" s="158"/>
      <c r="V218" s="158"/>
      <c r="W218" s="158"/>
    </row>
    <row r="219" spans="2:24">
      <c r="B219" s="346" t="s">
        <v>3729</v>
      </c>
      <c r="C219" s="158">
        <f>D35+0.3</f>
        <v>2</v>
      </c>
      <c r="D219" s="158">
        <v>2</v>
      </c>
      <c r="E219" s="158">
        <f t="shared" si="12"/>
        <v>4</v>
      </c>
      <c r="G219" s="127"/>
      <c r="I219" s="345"/>
      <c r="J219" s="200"/>
      <c r="U219" s="158"/>
      <c r="V219" s="158"/>
      <c r="W219" s="158"/>
    </row>
    <row r="220" spans="2:24">
      <c r="B220" s="346" t="s">
        <v>3494</v>
      </c>
      <c r="C220" s="158">
        <f>D40+0.3</f>
        <v>2.1</v>
      </c>
      <c r="D220" s="158">
        <v>6</v>
      </c>
      <c r="E220" s="158">
        <f t="shared" si="12"/>
        <v>12.600000000000001</v>
      </c>
      <c r="G220" s="127"/>
      <c r="I220" s="345"/>
      <c r="J220" s="200"/>
      <c r="U220" s="158"/>
      <c r="V220" s="158"/>
      <c r="W220" s="158"/>
    </row>
    <row r="221" spans="2:24">
      <c r="B221" s="346" t="s">
        <v>3495</v>
      </c>
      <c r="C221" s="158">
        <f>D36+0.3</f>
        <v>0.88900000000000001</v>
      </c>
      <c r="D221" s="158">
        <v>6</v>
      </c>
      <c r="E221" s="158">
        <f t="shared" si="12"/>
        <v>5.3339999999999996</v>
      </c>
      <c r="G221" s="127"/>
      <c r="I221" s="345"/>
      <c r="J221" s="200"/>
      <c r="U221" s="158"/>
      <c r="V221" s="158"/>
      <c r="W221" s="158"/>
    </row>
    <row r="222" spans="2:24">
      <c r="B222" s="346"/>
      <c r="C222" s="158"/>
      <c r="E222" s="201">
        <f>SUM(E216:E221)</f>
        <v>41.769000000000005</v>
      </c>
      <c r="F222" s="200" t="s">
        <v>2911</v>
      </c>
      <c r="G222" s="127"/>
      <c r="I222" s="345"/>
      <c r="J222" s="200"/>
      <c r="U222" s="158"/>
      <c r="V222" s="158"/>
      <c r="W222" s="158"/>
    </row>
    <row r="226" spans="2:10">
      <c r="B226" s="160" t="s">
        <v>3546</v>
      </c>
      <c r="C226" s="160" t="s">
        <v>3293</v>
      </c>
      <c r="D226" s="160" t="s">
        <v>3294</v>
      </c>
      <c r="E226" s="160" t="s">
        <v>3294</v>
      </c>
      <c r="F226" s="160" t="s">
        <v>3345</v>
      </c>
      <c r="G226" s="160" t="s">
        <v>3379</v>
      </c>
      <c r="H226" s="160"/>
      <c r="I226" s="160"/>
      <c r="J226" s="160"/>
    </row>
    <row r="227" spans="2:10">
      <c r="B227" s="160"/>
      <c r="C227" s="160"/>
      <c r="D227" s="160">
        <v>0.15</v>
      </c>
      <c r="E227" s="160">
        <v>0.15</v>
      </c>
      <c r="F227" s="160">
        <v>3.95</v>
      </c>
      <c r="G227" s="160">
        <v>20</v>
      </c>
      <c r="H227" s="160"/>
      <c r="I227" s="160">
        <f>+F227*G227</f>
        <v>79</v>
      </c>
      <c r="J227" s="160" t="s">
        <v>2911</v>
      </c>
    </row>
    <row r="230" spans="2:10">
      <c r="D230" s="127"/>
      <c r="E230" s="127"/>
      <c r="F230" s="127"/>
      <c r="G230" s="127"/>
      <c r="H230" s="127"/>
    </row>
    <row r="231" spans="2:10">
      <c r="D231" s="127"/>
      <c r="E231" s="127"/>
      <c r="F231" s="127"/>
      <c r="G231" s="127"/>
      <c r="H231" s="127"/>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14C82-A7C1-49F9-B563-21E4162274A9}">
  <sheetPr>
    <tabColor rgb="FFC00000"/>
  </sheetPr>
  <dimension ref="B2:H51"/>
  <sheetViews>
    <sheetView topLeftCell="A7" workbookViewId="0">
      <selection activeCell="E46" sqref="E46:E50"/>
    </sheetView>
  </sheetViews>
  <sheetFormatPr defaultColWidth="9.08984375" defaultRowHeight="14.5"/>
  <cols>
    <col min="1" max="1" width="9.08984375" style="127"/>
    <col min="2" max="2" width="58.453125" style="127" customWidth="1"/>
    <col min="3" max="3" width="12.453125" style="206" customWidth="1"/>
    <col min="4" max="4" width="9.90625" style="158" customWidth="1"/>
    <col min="5" max="6" width="12.453125" style="158" customWidth="1"/>
    <col min="7" max="16384" width="9.08984375" style="127"/>
  </cols>
  <sheetData>
    <row r="2" spans="2:8">
      <c r="D2" s="206"/>
    </row>
    <row r="3" spans="2:8">
      <c r="C3" s="206" t="s">
        <v>3490</v>
      </c>
      <c r="D3" s="158" t="s">
        <v>3496</v>
      </c>
      <c r="E3" s="158" t="s">
        <v>3497</v>
      </c>
      <c r="F3" s="158" t="s">
        <v>3498</v>
      </c>
    </row>
    <row r="4" spans="2:8">
      <c r="B4" s="200" t="s">
        <v>3771</v>
      </c>
    </row>
    <row r="5" spans="2:8">
      <c r="B5" s="572" t="s">
        <v>3785</v>
      </c>
      <c r="C5" s="206">
        <f>(0.5*0.35*25)+(2.5*0.5*6)+(1.85*0.5*6)+(2.5*1.85)</f>
        <v>22.05</v>
      </c>
      <c r="D5" s="573" t="s">
        <v>376</v>
      </c>
      <c r="E5" s="340"/>
      <c r="F5" s="315">
        <f>+E5*C5</f>
        <v>0</v>
      </c>
    </row>
    <row r="6" spans="2:8">
      <c r="B6" s="574" t="s">
        <v>3781</v>
      </c>
      <c r="C6" s="207">
        <f>25*2</f>
        <v>50</v>
      </c>
      <c r="D6" s="575" t="s">
        <v>128</v>
      </c>
      <c r="E6" s="341"/>
      <c r="F6" s="316">
        <f t="shared" ref="F6:F8" si="0">+E6*C6</f>
        <v>0</v>
      </c>
      <c r="G6" s="343"/>
      <c r="H6" s="208"/>
    </row>
    <row r="7" spans="2:8">
      <c r="B7" s="572" t="s">
        <v>3782</v>
      </c>
      <c r="C7" s="206">
        <v>25</v>
      </c>
      <c r="D7" s="158" t="s">
        <v>128</v>
      </c>
      <c r="E7" s="340"/>
      <c r="F7" s="315">
        <f t="shared" si="0"/>
        <v>0</v>
      </c>
    </row>
    <row r="8" spans="2:8">
      <c r="B8" s="572" t="s">
        <v>3792</v>
      </c>
      <c r="C8" s="206">
        <f>2.5*0.1</f>
        <v>0.25</v>
      </c>
      <c r="D8" s="573" t="s">
        <v>376</v>
      </c>
      <c r="E8" s="340"/>
      <c r="F8" s="315">
        <f t="shared" si="0"/>
        <v>0</v>
      </c>
    </row>
    <row r="9" spans="2:8">
      <c r="E9" s="201" t="s">
        <v>3506</v>
      </c>
      <c r="F9" s="317">
        <f>SUM(F5:F8)</f>
        <v>0</v>
      </c>
    </row>
    <row r="11" spans="2:8">
      <c r="B11" s="200" t="s">
        <v>3772</v>
      </c>
    </row>
    <row r="12" spans="2:8">
      <c r="B12" s="572" t="s">
        <v>3785</v>
      </c>
      <c r="C12" s="206">
        <f>(0.5*0.35*45)+(4.5*0.5*6)+(1.85*0.5*6)+(4.5*1.85)</f>
        <v>35.25</v>
      </c>
      <c r="D12" s="573" t="s">
        <v>376</v>
      </c>
      <c r="E12" s="340">
        <f>E5</f>
        <v>0</v>
      </c>
      <c r="F12" s="315">
        <f>+E12*C12</f>
        <v>0</v>
      </c>
    </row>
    <row r="13" spans="2:8">
      <c r="B13" s="574" t="s">
        <v>3781</v>
      </c>
      <c r="C13" s="207">
        <f>45*2</f>
        <v>90</v>
      </c>
      <c r="D13" s="575" t="s">
        <v>128</v>
      </c>
      <c r="E13" s="341">
        <f>E6</f>
        <v>0</v>
      </c>
      <c r="F13" s="316">
        <f t="shared" ref="F13:F15" si="1">+E13*C13</f>
        <v>0</v>
      </c>
      <c r="G13" s="343"/>
      <c r="H13" s="208"/>
    </row>
    <row r="14" spans="2:8">
      <c r="B14" s="572" t="s">
        <v>3782</v>
      </c>
      <c r="C14" s="206">
        <v>45</v>
      </c>
      <c r="D14" s="158" t="s">
        <v>128</v>
      </c>
      <c r="E14" s="340">
        <f>E7</f>
        <v>0</v>
      </c>
      <c r="F14" s="315">
        <f t="shared" si="1"/>
        <v>0</v>
      </c>
    </row>
    <row r="15" spans="2:8">
      <c r="B15" s="572" t="s">
        <v>3783</v>
      </c>
      <c r="C15" s="206">
        <f>4.5*0.1</f>
        <v>0.45</v>
      </c>
      <c r="D15" s="573" t="s">
        <v>376</v>
      </c>
      <c r="E15" s="340">
        <f>E8</f>
        <v>0</v>
      </c>
      <c r="F15" s="315">
        <f t="shared" si="1"/>
        <v>0</v>
      </c>
    </row>
    <row r="16" spans="2:8">
      <c r="E16" s="201" t="s">
        <v>3506</v>
      </c>
      <c r="F16" s="317">
        <f>SUM(F12:F15)</f>
        <v>0</v>
      </c>
    </row>
    <row r="18" spans="2:6">
      <c r="B18" s="200" t="s">
        <v>3773</v>
      </c>
    </row>
    <row r="19" spans="2:6">
      <c r="B19" s="572" t="s">
        <v>3784</v>
      </c>
      <c r="C19" s="206">
        <f>0.5*1.6</f>
        <v>0.8</v>
      </c>
      <c r="D19" s="573" t="s">
        <v>376</v>
      </c>
      <c r="E19" s="340"/>
      <c r="F19" s="315">
        <f t="shared" ref="F19:F23" si="2">+E19*C19</f>
        <v>0</v>
      </c>
    </row>
    <row r="20" spans="2:6">
      <c r="B20" s="572" t="s">
        <v>3785</v>
      </c>
      <c r="C20" s="207">
        <f>(0.64*5)+(0.4*10)+(0.4*6.5*2)+(0.4*1.65*8)+(1.6*0.8)+((0.123*0.38)+(0.38*0.123)+(0.38*0.45)*8)</f>
        <v>20.421480000000003</v>
      </c>
      <c r="D20" s="208" t="s">
        <v>376</v>
      </c>
      <c r="E20" s="340"/>
      <c r="F20" s="315">
        <f t="shared" si="2"/>
        <v>0</v>
      </c>
    </row>
    <row r="21" spans="2:6">
      <c r="B21" s="572" t="s">
        <v>3786</v>
      </c>
      <c r="C21" s="207">
        <f>0.1*1.6</f>
        <v>0.16000000000000003</v>
      </c>
      <c r="D21" s="208" t="s">
        <v>376</v>
      </c>
      <c r="E21" s="340"/>
      <c r="F21" s="315">
        <f t="shared" ref="F21" si="3">+E21*C21</f>
        <v>0</v>
      </c>
    </row>
    <row r="22" spans="2:6">
      <c r="B22" s="127" t="s">
        <v>3501</v>
      </c>
      <c r="C22" s="206">
        <v>4</v>
      </c>
      <c r="D22" s="158" t="s">
        <v>128</v>
      </c>
      <c r="E22" s="340"/>
      <c r="F22" s="315">
        <f t="shared" si="2"/>
        <v>0</v>
      </c>
    </row>
    <row r="23" spans="2:6">
      <c r="B23" s="572" t="s">
        <v>3787</v>
      </c>
      <c r="C23" s="206">
        <v>1</v>
      </c>
      <c r="D23" s="573" t="s">
        <v>3257</v>
      </c>
      <c r="E23" s="340"/>
      <c r="F23" s="315">
        <f t="shared" si="2"/>
        <v>0</v>
      </c>
    </row>
    <row r="24" spans="2:6">
      <c r="E24" s="201" t="s">
        <v>3506</v>
      </c>
      <c r="F24" s="317">
        <f>SUM(F19:F23)</f>
        <v>0</v>
      </c>
    </row>
    <row r="26" spans="2:6">
      <c r="B26" s="200" t="s">
        <v>3774</v>
      </c>
    </row>
    <row r="27" spans="2:6">
      <c r="B27" s="572" t="s">
        <v>3788</v>
      </c>
      <c r="C27" s="206">
        <f>(1.7*0.75)+((1.3+1.55)/2*0.69*2)+(0.672*0.55*2)+(0.55*0.69)</f>
        <v>4.3601999999999999</v>
      </c>
      <c r="D27" s="573" t="s">
        <v>376</v>
      </c>
      <c r="E27" s="340"/>
      <c r="F27" s="315">
        <f t="shared" ref="F27:F33" si="4">+E27*C27</f>
        <v>0</v>
      </c>
    </row>
    <row r="28" spans="2:6">
      <c r="B28" s="572" t="s">
        <v>3789</v>
      </c>
      <c r="C28" s="207">
        <f>1.27+0.781</f>
        <v>2.0510000000000002</v>
      </c>
      <c r="D28" s="208" t="s">
        <v>376</v>
      </c>
      <c r="E28" s="340"/>
      <c r="F28" s="315">
        <f t="shared" si="4"/>
        <v>0</v>
      </c>
    </row>
    <row r="29" spans="2:6">
      <c r="B29" s="572" t="s">
        <v>3785</v>
      </c>
      <c r="C29" s="207">
        <f>(0.41*0.45)+(0.14*0.45*2)+(0.302*0.14)</f>
        <v>0.35277999999999998</v>
      </c>
      <c r="D29" s="208" t="s">
        <v>376</v>
      </c>
      <c r="E29" s="340"/>
      <c r="F29" s="315">
        <f t="shared" si="4"/>
        <v>0</v>
      </c>
    </row>
    <row r="30" spans="2:6">
      <c r="B30" s="572" t="s">
        <v>3790</v>
      </c>
      <c r="C30" s="207">
        <f>(0.675*0.55*2)+0.619+0.359</f>
        <v>1.7205000000000001</v>
      </c>
      <c r="D30" s="208" t="s">
        <v>376</v>
      </c>
      <c r="E30" s="340"/>
      <c r="F30" s="315">
        <f t="shared" si="4"/>
        <v>0</v>
      </c>
    </row>
    <row r="31" spans="2:6">
      <c r="B31" s="572" t="s">
        <v>3791</v>
      </c>
      <c r="C31" s="207">
        <f>1.27+(0.45*0.69*2)+(0.14*0.38)</f>
        <v>1.9441999999999999</v>
      </c>
      <c r="D31" s="208" t="s">
        <v>376</v>
      </c>
      <c r="E31" s="340"/>
      <c r="F31" s="315">
        <f t="shared" ref="F31" si="5">+E31*C31</f>
        <v>0</v>
      </c>
    </row>
    <row r="32" spans="2:6">
      <c r="B32" s="572" t="s">
        <v>3787</v>
      </c>
      <c r="C32" s="206">
        <v>1</v>
      </c>
      <c r="D32" s="573" t="s">
        <v>3257</v>
      </c>
      <c r="E32" s="340"/>
      <c r="F32" s="315">
        <f t="shared" si="4"/>
        <v>0</v>
      </c>
    </row>
    <row r="33" spans="2:6">
      <c r="B33" s="572" t="s">
        <v>3792</v>
      </c>
      <c r="C33" s="206">
        <f>(0.55+1.55)*0.1</f>
        <v>0.21000000000000002</v>
      </c>
      <c r="D33" s="573" t="s">
        <v>376</v>
      </c>
      <c r="E33" s="340"/>
      <c r="F33" s="315">
        <f t="shared" si="4"/>
        <v>0</v>
      </c>
    </row>
    <row r="34" spans="2:6">
      <c r="E34" s="201" t="s">
        <v>3506</v>
      </c>
      <c r="F34" s="317">
        <f>SUM(F27:F33)</f>
        <v>0</v>
      </c>
    </row>
    <row r="36" spans="2:6">
      <c r="B36" s="200" t="s">
        <v>3775</v>
      </c>
    </row>
    <row r="37" spans="2:6">
      <c r="B37" s="576" t="s">
        <v>3793</v>
      </c>
      <c r="C37" s="207">
        <f>4.715*0.8</f>
        <v>3.7720000000000002</v>
      </c>
      <c r="D37" s="208" t="s">
        <v>376</v>
      </c>
      <c r="E37" s="340"/>
      <c r="F37" s="315">
        <f t="shared" ref="F37:F42" si="6">+E37*C37</f>
        <v>0</v>
      </c>
    </row>
    <row r="38" spans="2:6">
      <c r="B38" s="576" t="s">
        <v>3794</v>
      </c>
      <c r="C38" s="207">
        <f>(4.715*0.7*2)+(4.715*0.1*5)+(0.67*10)+(0.5*4*0.41)</f>
        <v>16.4785</v>
      </c>
      <c r="D38" s="208" t="s">
        <v>376</v>
      </c>
      <c r="E38" s="340"/>
      <c r="F38" s="315">
        <f t="shared" si="6"/>
        <v>0</v>
      </c>
    </row>
    <row r="39" spans="2:6">
      <c r="B39" s="576" t="s">
        <v>3795</v>
      </c>
      <c r="C39" s="207">
        <f>4.175*0.63</f>
        <v>2.6302499999999998</v>
      </c>
      <c r="D39" s="208" t="s">
        <v>376</v>
      </c>
      <c r="E39" s="340"/>
      <c r="F39" s="315">
        <f t="shared" si="6"/>
        <v>0</v>
      </c>
    </row>
    <row r="40" spans="2:6">
      <c r="B40" s="576" t="s">
        <v>3796</v>
      </c>
      <c r="C40" s="207">
        <v>4.7149999999999999</v>
      </c>
      <c r="D40" s="577" t="s">
        <v>2911</v>
      </c>
      <c r="E40" s="340"/>
      <c r="F40" s="315">
        <f t="shared" si="6"/>
        <v>0</v>
      </c>
    </row>
    <row r="41" spans="2:6">
      <c r="B41" s="576" t="s">
        <v>3797</v>
      </c>
      <c r="C41" s="206">
        <f>C40</f>
        <v>4.7149999999999999</v>
      </c>
      <c r="D41" s="578" t="s">
        <v>2911</v>
      </c>
      <c r="E41" s="340"/>
      <c r="F41" s="315">
        <f t="shared" si="6"/>
        <v>0</v>
      </c>
    </row>
    <row r="42" spans="2:6">
      <c r="B42" s="576" t="s">
        <v>3798</v>
      </c>
      <c r="C42" s="206">
        <v>1</v>
      </c>
      <c r="D42" s="573" t="s">
        <v>3257</v>
      </c>
      <c r="E42" s="340"/>
      <c r="F42" s="315">
        <f t="shared" si="6"/>
        <v>0</v>
      </c>
    </row>
    <row r="43" spans="2:6">
      <c r="E43" s="201" t="s">
        <v>3506</v>
      </c>
      <c r="F43" s="317">
        <f>SUM(F37:F42)</f>
        <v>0</v>
      </c>
    </row>
    <row r="45" spans="2:6">
      <c r="B45" s="200" t="s">
        <v>3776</v>
      </c>
    </row>
    <row r="46" spans="2:6">
      <c r="B46" s="572" t="s">
        <v>3791</v>
      </c>
      <c r="C46" s="207">
        <f>(0.6*1.2)+(2.4*1.2)</f>
        <v>3.5999999999999996</v>
      </c>
      <c r="D46" s="208" t="s">
        <v>376</v>
      </c>
      <c r="E46" s="340"/>
      <c r="F46" s="315">
        <f t="shared" ref="F46:F47" si="7">+E46*C46</f>
        <v>0</v>
      </c>
    </row>
    <row r="47" spans="2:6">
      <c r="B47" s="576" t="s">
        <v>3794</v>
      </c>
      <c r="C47" s="207">
        <f>(0.09*0.57*5)</f>
        <v>0.25649999999999995</v>
      </c>
      <c r="D47" s="208" t="s">
        <v>376</v>
      </c>
      <c r="E47" s="340"/>
      <c r="F47" s="315">
        <f t="shared" si="7"/>
        <v>0</v>
      </c>
    </row>
    <row r="48" spans="2:6">
      <c r="B48" s="361" t="s">
        <v>3799</v>
      </c>
      <c r="C48" s="207">
        <f>0.3*0.925*4</f>
        <v>1.1100000000000001</v>
      </c>
      <c r="D48" s="208" t="s">
        <v>376</v>
      </c>
      <c r="E48" s="340"/>
      <c r="F48" s="315">
        <f t="shared" ref="F48:F50" si="8">+E48*C48</f>
        <v>0</v>
      </c>
    </row>
    <row r="49" spans="2:6">
      <c r="B49" s="361" t="s">
        <v>3800</v>
      </c>
      <c r="C49" s="207">
        <f>(0.61*0.5*2)+(0.61*0.15*2)</f>
        <v>0.79299999999999993</v>
      </c>
      <c r="D49" s="208" t="s">
        <v>376</v>
      </c>
      <c r="E49" s="340"/>
      <c r="F49" s="315">
        <f t="shared" si="8"/>
        <v>0</v>
      </c>
    </row>
    <row r="50" spans="2:6">
      <c r="B50" s="361" t="s">
        <v>3801</v>
      </c>
      <c r="C50" s="207">
        <f>(2.535*2.4*2)+(2.535*1.2)</f>
        <v>15.21</v>
      </c>
      <c r="D50" s="577" t="s">
        <v>2911</v>
      </c>
      <c r="E50" s="340"/>
      <c r="F50" s="315">
        <f t="shared" si="8"/>
        <v>0</v>
      </c>
    </row>
    <row r="51" spans="2:6">
      <c r="E51" s="201" t="s">
        <v>3506</v>
      </c>
      <c r="F51" s="317">
        <f>SUM(F46:F50)</f>
        <v>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20</vt:i4>
      </vt:variant>
    </vt:vector>
  </HeadingPairs>
  <TitlesOfParts>
    <vt:vector size="37" baseType="lpstr">
      <vt:lpstr>REKAP </vt:lpstr>
      <vt:lpstr>3.BOQ STR</vt:lpstr>
      <vt:lpstr>4. BOQ ARS</vt:lpstr>
      <vt:lpstr>VOL.STR</vt:lpstr>
      <vt:lpstr>5. BOQ ME</vt:lpstr>
      <vt:lpstr>ANALISA ME</vt:lpstr>
      <vt:lpstr>UPAH (2)</vt:lpstr>
      <vt:lpstr>HARGA ME</vt:lpstr>
      <vt:lpstr>HSP</vt:lpstr>
      <vt:lpstr>AHS KUSEN</vt:lpstr>
      <vt:lpstr>ANL</vt:lpstr>
      <vt:lpstr>UPAH</vt:lpstr>
      <vt:lpstr>BAHAN </vt:lpstr>
      <vt:lpstr>Alat</vt:lpstr>
      <vt:lpstr>VOL STR</vt:lpstr>
      <vt:lpstr>VOL.ARS</vt:lpstr>
      <vt:lpstr>AHS FURNITURE</vt:lpstr>
      <vt:lpstr>bahan_Pake</vt:lpstr>
      <vt:lpstr>'3.BOQ STR'!Print_Area</vt:lpstr>
      <vt:lpstr>'4. BOQ ARS'!Print_Area</vt:lpstr>
      <vt:lpstr>'5. BOQ ME'!Print_Area</vt:lpstr>
      <vt:lpstr>'AHS KUSEN'!Print_Area</vt:lpstr>
      <vt:lpstr>Alat!Print_Area</vt:lpstr>
      <vt:lpstr>'ANALISA ME'!Print_Area</vt:lpstr>
      <vt:lpstr>ANL!Print_Area</vt:lpstr>
      <vt:lpstr>'BAHAN '!Print_Area</vt:lpstr>
      <vt:lpstr>'HARGA ME'!Print_Area</vt:lpstr>
      <vt:lpstr>HSP!Print_Area</vt:lpstr>
      <vt:lpstr>'REKAP '!Print_Area</vt:lpstr>
      <vt:lpstr>UPAH!Print_Area</vt:lpstr>
      <vt:lpstr>'UPAH (2)'!Print_Area</vt:lpstr>
      <vt:lpstr>'3.BOQ STR'!Print_Titles</vt:lpstr>
      <vt:lpstr>'4. BOQ ARS'!Print_Titles</vt:lpstr>
      <vt:lpstr>Alat!Print_Titles</vt:lpstr>
      <vt:lpstr>'BAHAN '!Print_Titles</vt:lpstr>
      <vt:lpstr>'HARGA ME'!Print_Titles</vt:lpstr>
      <vt:lpstr>HSP!Print_Titles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dc:creator>
  <cp:lastModifiedBy>L.2024.BUPR.004</cp:lastModifiedBy>
  <cp:lastPrinted>2025-08-25T09:18:14Z</cp:lastPrinted>
  <dcterms:created xsi:type="dcterms:W3CDTF">2017-03-16T18:06:17Z</dcterms:created>
  <dcterms:modified xsi:type="dcterms:W3CDTF">2025-11-07T09:11:20Z</dcterms:modified>
</cp:coreProperties>
</file>